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 Stock" sheetId="1" r:id="rId5"/>
    <sheet state="visible" name="PENJUALAN" sheetId="2" r:id="rId6"/>
    <sheet state="visible" name="Copy of Copy of INV VIRTUAL AME" sheetId="3" r:id="rId7"/>
    <sheet state="visible" name="Copy of INV VIRTUAL AMEL 2 1" sheetId="4" r:id="rId8"/>
    <sheet state="visible" name="tanda terima dp" sheetId="5" r:id="rId9"/>
    <sheet state="visible" name="Copy of INV VIRTUAL AMEL 2" sheetId="6" r:id="rId10"/>
    <sheet state="visible" name="INV SALSA" sheetId="7" r:id="rId11"/>
    <sheet state="visible" name="Copy of INV SALSA" sheetId="8" r:id="rId12"/>
    <sheet state="visible" name="INV VIRTUAL VISCA" sheetId="9" r:id="rId13"/>
    <sheet state="visible" name="Copy of INV VIRTUAL VISCA" sheetId="10" r:id="rId14"/>
    <sheet state="visible" name="Copy of Copy of INV VIRTUAL VIS" sheetId="11" r:id="rId15"/>
    <sheet state="visible" name="INV VIRTUAL VISCA 2" sheetId="12" r:id="rId16"/>
    <sheet state="hidden" name="Copy of INV VIRTUAL 5" sheetId="13" r:id="rId17"/>
    <sheet state="hidden" name="INV-Asep Saipul Milah" sheetId="14" r:id="rId18"/>
    <sheet state="visible" name="Copy of PROFORMA INVOICE" sheetId="15" r:id="rId19"/>
    <sheet state="visible" name="JADWAL" sheetId="16" r:id="rId20"/>
    <sheet state="visible" name="Petty Cash" sheetId="17" r:id="rId21"/>
    <sheet state="visible" name="Laporan Setor" sheetId="18" r:id="rId22"/>
    <sheet state="visible" name="X" sheetId="19" r:id="rId23"/>
    <sheet state="visible" name="SURAT JALAN" sheetId="20" r:id="rId24"/>
    <sheet state="visible" name="Copy of SURAT JALAN" sheetId="21" r:id="rId25"/>
    <sheet state="visible" name=" INV POLOS" sheetId="22" r:id="rId26"/>
    <sheet state="hidden" name="Uang Setoran" sheetId="23" r:id="rId27"/>
    <sheet state="visible" name="Copy of SURAT PO toyota PJM" sheetId="24" r:id="rId28"/>
    <sheet state="visible" name="SURAT PO BKS Honda" sheetId="25" r:id="rId29"/>
    <sheet state="visible" name="SURAT PO BKS toyota" sheetId="26" r:id="rId30"/>
    <sheet state="visible" name="SURAT PO BKS Mitsubisi" sheetId="27" r:id="rId31"/>
    <sheet state="visible" name="FORM ambil barang" sheetId="28" r:id="rId32"/>
    <sheet state="visible" name="SURAT PO TGR toyota" sheetId="29" r:id="rId33"/>
    <sheet state="visible" name="SURAT PO TGR honda" sheetId="30" r:id="rId34"/>
    <sheet state="visible" name="STOK KOSONG" sheetId="31" r:id="rId35"/>
    <sheet state="visible" name="INV TTD A4" sheetId="32" r:id="rId36"/>
    <sheet state="visible" name="INV TTD A4 KF" sheetId="33" r:id="rId37"/>
    <sheet state="visible" name="SURAT JALAN PRINT" sheetId="34" r:id="rId38"/>
    <sheet state="visible" name=" INV TTD A4 PDF" sheetId="35" r:id="rId39"/>
    <sheet state="visible" name="SJ POLOS" sheetId="36" r:id="rId40"/>
    <sheet state="visible" name="NOTA RETUR" sheetId="37" r:id="rId41"/>
    <sheet state="visible" name="TANDA TERIMA" sheetId="38" r:id="rId42"/>
    <sheet state="hidden" name="Inventory Dalam" sheetId="39" r:id="rId43"/>
    <sheet state="hidden" name="Sheet11" sheetId="40" r:id="rId44"/>
    <sheet state="hidden" name="SPK" sheetId="41" r:id="rId45"/>
    <sheet state="visible" name="Print alamat" sheetId="42" r:id="rId46"/>
    <sheet state="visible" name="Copy of Print alamat" sheetId="43" r:id="rId47"/>
    <sheet state="visible" name="KAS" sheetId="44" r:id="rId48"/>
    <sheet state="visible" name="MEMO" sheetId="45" r:id="rId49"/>
    <sheet state="visible" name="peti jangan balik" sheetId="46" r:id="rId50"/>
    <sheet state="hidden" name="PL APR24" sheetId="47" r:id="rId51"/>
    <sheet state="hidden" name="KEY BGI" sheetId="48" r:id="rId52"/>
  </sheets>
  <definedNames>
    <definedName name="Stock">'Current Stock'!$A:$N</definedName>
    <definedName name="kirim">#REF!</definedName>
    <definedName name="Tugas">#REF!</definedName>
    <definedName name="stockKJD">'Current Stock'!$A$2:$J$2156</definedName>
    <definedName name="StockAll">'Current Stock'!$A$1:$N$2165</definedName>
    <definedName name="BGI">#REF!</definedName>
    <definedName name="Penjualan">PENJUALAN!$A$4:$I$10719</definedName>
    <definedName name="hpp">#REF!</definedName>
    <definedName name="NamedRange1">'Current Stock'!$1:$2934</definedName>
    <definedName hidden="1" localSheetId="30" name="_xlnm._FilterDatabase">'STOK KOSONG'!$A$1:$AA$999</definedName>
    <definedName hidden="1" localSheetId="46" name="_xlnm._FilterDatabase">'PL APR24'!$D$1:$D$232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tc={0f43cae8-7ced-42bc-8756-9deb992e6f1e}</author>
    <author>tc={3b54c7e8-f67b-4d17-a95e-08af4b6c8747}</author>
    <author>tc={4f01e5bc-3350-4c6c-86c6-b52f5d474945}</author>
    <author>tc={66baa626-7c41-4a5b-be2d-5924590900e0}</author>
    <author>tc={80264e1e-27ed-447d-8462-fa142e3b3a85}</author>
    <author>tc={ea26039a-1888-4a6a-84d6-1a0ece794d20}</author>
  </authors>
  <commentList>
    <comment authorId="0" ref="B7">
      <text>
        <t xml:space="preserve">garansi 15 bulan</t>
      </text>
    </comment>
    <comment authorId="0" ref="B8">
      <text>
        <t xml:space="preserve">CIVIC ESTILO</t>
      </text>
    </comment>
    <comment authorId="0" ref="B19">
      <text>
        <t xml:space="preserve">garansi 15bln</t>
      </text>
    </comment>
    <comment authorId="0" ref="C28">
      <text>
        <t xml:space="preserve">cargo</t>
      </text>
    </comment>
    <comment authorId="0" ref="B33">
      <text>
        <t xml:space="preserve">review 3 bln garansi
</t>
      </text>
    </comment>
    <comment authorId="0" ref="B37">
      <text>
        <t xml:space="preserve">garansi 15bln</t>
      </text>
    </comment>
    <comment authorId="0" ref="B39">
      <text>
        <t xml:space="preserve">garansi 15 bulan</t>
      </text>
    </comment>
    <comment authorId="0" ref="B41">
      <text>
        <t xml:space="preserve">garansi 15 bulan</t>
      </text>
    </comment>
    <comment authorId="0" ref="B42">
      <text>
        <t xml:space="preserve">review - no garansi</t>
      </text>
    </comment>
    <comment authorId="0" ref="B43">
      <text>
        <t xml:space="preserve">garansi 15 bulan</t>
      </text>
    </comment>
    <comment authorId="0" ref="B45">
      <text>
        <t xml:space="preserve">FJ80</t>
      </text>
    </comment>
    <comment authorId="0" ref="C48">
      <text>
        <t xml:space="preserve">mini cooper
</t>
      </text>
    </comment>
    <comment authorId="0" ref="C73">
      <text>
        <t xml:space="preserve">LFW-MAZDA CX5</t>
      </text>
    </comment>
    <comment authorId="0" ref="C80">
      <text>
        <t xml:space="preserve">LFW-E46</t>
      </text>
    </comment>
    <comment authorId="0" ref="B139">
      <text>
        <t xml:space="preserve">Pecah pasang</t>
      </text>
    </comment>
    <comment authorId="0" ref="B140">
      <text>
        <t xml:space="preserve">kaca saja, karna kaca dia pecah di bengkel body repair</t>
      </text>
    </comment>
    <comment authorId="0" ref="C193">
      <text>
        <t xml:space="preserve">Double nota E250030</t>
      </text>
    </comment>
    <comment authorId="0" ref="B231">
      <text>
        <t xml:space="preserve">Pemasangan tgl 30/05/2025</t>
      </text>
    </comment>
    <comment authorId="0" ref="C276">
      <text>
        <t xml:space="preserve">Double dengan F250028</t>
      </text>
    </comment>
    <comment authorId="0" ref="B302">
      <text>
        <t xml:space="preserve">udh review +6 bln garansi
</t>
      </text>
    </comment>
    <comment authorId="0" ref="B306">
      <text>
        <t xml:space="preserve">review +3 bulan
</t>
      </text>
    </comment>
    <comment authorId="0" ref="B310">
      <text>
        <t xml:space="preserve">REVIEW 
GARANSI KEBOCORAN 15 BULAN</t>
      </text>
    </comment>
    <comment authorId="0" ref="B325">
      <text>
        <t xml:space="preserve">REVIEW 1+6bln</t>
      </text>
    </comment>
    <comment authorId="0" ref="B327">
      <text>
        <t xml:space="preserve">garansi 2 tahun</t>
      </text>
    </comment>
    <comment authorId="0" ref="B334">
      <text>
        <t xml:space="preserve">REVIEW 1 + 6bln</t>
      </text>
    </comment>
    <comment authorId="0" ref="B340">
      <text>
        <t xml:space="preserve">REVIEW 1 + 6bln</t>
      </text>
    </comment>
    <comment authorId="0" ref="B346">
      <text>
        <t xml:space="preserve">garansi +6 bulan</t>
      </text>
    </comment>
    <comment authorId="0" ref="B349">
      <text>
        <t xml:space="preserve">REVIEW 1 + 1 tahun</t>
      </text>
    </comment>
    <comment authorId="0" ref="B356">
      <text>
        <t xml:space="preserve">Ganti 400k body ancur</t>
      </text>
    </comment>
    <comment authorId="0" ref="B370">
      <text>
        <t xml:space="preserve">udh review +6 bln garansi</t>
      </text>
    </comment>
    <comment authorId="0" ref="B385">
      <text>
        <t xml:space="preserve">udh review +6 bln garansi</t>
      </text>
    </comment>
    <comment authorId="0" ref="C399">
      <text>
        <t xml:space="preserve">+6 bulan</t>
      </text>
    </comment>
    <comment authorId="0" ref="C400">
      <text>
        <t xml:space="preserve">+6 bulan</t>
      </text>
    </comment>
    <comment authorId="0" ref="B406">
      <text>
        <t xml:space="preserve">garansi +6 bln</t>
      </text>
    </comment>
    <comment authorId="0" ref="B416">
      <text>
        <t xml:space="preserve">garansi 2 tahun
</t>
      </text>
    </comment>
    <comment authorId="0" ref="B422">
      <text>
        <t xml:space="preserve">+6 bulan</t>
      </text>
    </comment>
    <comment authorId="0" ref="B429">
      <text>
        <t xml:space="preserve">+1 tahun</t>
      </text>
    </comment>
    <comment authorId="0" ref="B431">
      <text>
        <t xml:space="preserve">+6 bulan</t>
      </text>
    </comment>
    <comment authorId="0" ref="B432">
      <text>
        <t xml:space="preserve">+ 6 bulan</t>
      </text>
    </comment>
    <comment authorId="0" ref="B436">
      <text>
        <t xml:space="preserve">+1 tahun</t>
      </text>
    </comment>
    <comment authorId="0" ref="B439">
      <text>
        <t xml:space="preserve">[12:44 pm, 14/07/2025] Sentra Autoglass Kaca Mobil: Data customer
Nama: Annisa Dita R
No. Telepon: 081318680695
Alamat lengkap: Fleekhauz blok H18 no.20 Lengkong Kulon, Pagedangan, Kab. Tangerang
DATA MOBIL 
Merk mobil: Wuling
Tipe mobil: Almaz
Tahun keluaran: 2021
Warna: Abu-abu metalik
No. Polisi: B1788CZR
No. Rangka: MK3BAAGAJ001438
[12:44 pm, 14/07/2025] Sentra Autoglass Kaca Mobil: Kaca depan : 40%
Kaca samping baris 1: 60%
Kaca samping baris 2: 60%
Kaca belakang dan samping baris 3: 80%
Sunroof 80%
Solar Gard Black Phantom</t>
      </text>
    </comment>
    <comment authorId="0" ref="B445">
      <text>
        <t xml:space="preserve">+6 bulan</t>
      </text>
    </comment>
    <comment authorId="0" ref="B447">
      <text>
        <t xml:space="preserve">+6 bulan
</t>
      </text>
    </comment>
    <comment authorId="0" ref="C467">
      <text>
        <t xml:space="preserve">LFW Outlander</t>
      </text>
    </comment>
    <comment authorId="0" ref="B483">
      <text>
        <t xml:space="preserve">Kaca pecah oleh Pavel, Dimas
</t>
      </text>
    </comment>
    <comment authorId="0" ref="T483">
      <text>
        <t xml:space="preserve">sudah di refund 30/7/25</t>
      </text>
    </comment>
    <comment authorId="0" ref="B484">
      <text>
        <t xml:space="preserve">PECAH</t>
      </text>
    </comment>
    <comment authorId="0" ref="B485">
      <text>
        <t xml:space="preserve">+6 bln review</t>
      </text>
    </comment>
    <comment authorId="0" ref="B486">
      <text>
        <t xml:space="preserve">garansi 2 tahun</t>
      </text>
    </comment>
    <comment authorId="0" ref="B490">
      <text>
        <t xml:space="preserve">garansi 2 tahun</t>
      </text>
    </comment>
    <comment authorId="0" ref="B491">
      <text>
        <t xml:space="preserve">garansi 2 tahun</t>
      </text>
    </comment>
    <comment authorId="0" ref="B497">
      <text>
        <t xml:space="preserve">DOUBLE DGN H250003</t>
      </text>
    </comment>
    <comment authorId="0" ref="B498">
      <text>
        <t xml:space="preserve">garansi 2 tahun</t>
      </text>
    </comment>
    <comment authorId="0" ref="B501">
      <text>
        <t xml:space="preserve">+6 bln
</t>
      </text>
    </comment>
    <comment authorId="0" ref="B502">
      <text>
        <t xml:space="preserve">+6 bulan</t>
      </text>
    </comment>
    <comment authorId="0" ref="B547">
      <text>
        <t xml:space="preserve">2 tahun</t>
      </text>
    </comment>
    <comment authorId="0" ref="B549">
      <text>
        <t xml:space="preserve">2 tahun</t>
      </text>
    </comment>
    <comment authorId="0" ref="B551">
      <text>
        <t xml:space="preserve">2 tahun</t>
      </text>
    </comment>
    <comment authorId="0" ref="B554">
      <text>
        <t xml:space="preserve">2 tahun</t>
      </text>
    </comment>
    <comment authorId="0" ref="B565">
      <text>
        <t xml:space="preserve">rangka karat, garansi 1 bulan 
1x claim</t>
      </text>
    </comment>
    <comment authorId="0" ref="C574">
      <text>
        <t xml:space="preserve">trw-elgrand jadinya dikirim dari sby</t>
      </text>
    </comment>
    <comment authorId="0" ref="B575">
      <text>
        <t xml:space="preserve">2 tahun</t>
      </text>
    </comment>
    <comment authorId="0" ref="B580">
      <text>
        <t xml:space="preserve">retur karna salah ukuran
revisi 2507708</t>
      </text>
    </comment>
    <comment authorId="0" ref="B581">
      <text>
        <t xml:space="preserve">2 tahun
</t>
      </text>
    </comment>
    <comment authorId="0" ref="B583">
      <text>
        <t xml:space="preserve">2 tahun</t>
      </text>
    </comment>
    <comment authorId="0" ref="B590">
      <text>
        <t xml:space="preserve">+6 bln</t>
      </text>
    </comment>
    <comment authorId="0" ref="B593">
      <text>
        <t xml:space="preserve">+6 bln</t>
      </text>
    </comment>
    <comment authorId="0" ref="B594">
      <text>
        <t xml:space="preserve">+6  bln
</t>
      </text>
    </comment>
    <comment authorId="0" ref="B595">
      <text>
        <t xml:space="preserve">2 tahunb
</t>
      </text>
    </comment>
    <comment authorId="0" ref="T597">
      <text>
        <t xml:space="preserve">kurang 2 juta</t>
      </text>
    </comment>
    <comment authorId="0" ref="H627">
      <text>
        <t xml:space="preserve">baru bayar untuk bongkar saja</t>
      </text>
    </comment>
    <comment authorId="0" ref="C638">
      <text>
        <t xml:space="preserve">pakai stok baret BC</t>
      </text>
    </comment>
    <comment authorId="0" ref="C640">
      <text>
        <t xml:space="preserve">salah harusny ttep 81, tpi ke copy jdi 82</t>
      </text>
    </comment>
    <comment authorId="0" ref="B663">
      <text>
        <t xml:space="preserve">2 tahun</t>
      </text>
    </comment>
    <comment authorId="0" ref="B665">
      <text>
        <t xml:space="preserve">2 tahun
</t>
      </text>
    </comment>
    <comment authorId="0" ref="B683">
      <text>
        <t xml:space="preserve">2 tahun</t>
      </text>
    </comment>
    <comment authorId="0" ref="B685">
      <text>
        <t xml:space="preserve">2 tahun
</t>
      </text>
    </comment>
    <comment authorId="0" ref="B686">
      <text>
        <t xml:space="preserve">2 tahun</t>
      </text>
    </comment>
    <comment authorId="0" ref="B688">
      <text>
        <t xml:space="preserve">2 tahun</t>
      </text>
    </comment>
    <comment authorId="0" ref="B689">
      <text>
        <t xml:space="preserve">2 tahun</t>
      </text>
    </comment>
    <comment authorId="0" ref="B691">
      <text>
        <t xml:space="preserve">2 tahun</t>
      </text>
    </comment>
    <comment authorId="0" ref="B692">
      <text>
        <t xml:space="preserve">2 tahun</t>
      </text>
    </comment>
    <comment authorId="0" ref="B693">
      <text>
        <t xml:space="preserve">2 tahun</t>
      </text>
    </comment>
    <comment authorId="0" ref="B698">
      <text>
        <t xml:space="preserve">2 tahun</t>
      </text>
    </comment>
    <comment authorId="0" ref="B699">
      <text>
        <t xml:space="preserve">2 tahun</t>
      </text>
    </comment>
    <comment authorId="0" ref="B704">
      <text>
        <t xml:space="preserve">2 tahun</t>
      </text>
    </comment>
    <comment authorId="0" ref="B705">
      <text>
        <t xml:space="preserve">2 tahun</t>
      </text>
    </comment>
    <comment authorId="0" ref="B715">
      <text>
        <t xml:space="preserve">2 tahun</t>
      </text>
    </comment>
    <comment authorId="0" ref="B716">
      <text>
        <t xml:space="preserve">2 tahun</t>
      </text>
    </comment>
    <comment authorId="0" ref="B719">
      <text>
        <t xml:space="preserve">2 thn review</t>
      </text>
    </comment>
    <comment authorId="0" ref="B721">
      <text>
        <t xml:space="preserve">2 thn review</t>
      </text>
    </comment>
    <comment authorId="0" ref="B723">
      <text>
        <t xml:space="preserve">2 thn review</t>
      </text>
    </comment>
    <comment authorId="0" ref="B725">
      <text>
        <t xml:space="preserve">2 thn review</t>
      </text>
    </comment>
    <comment authorId="0" ref="B742">
      <text>
        <t xml:space="preserve">claim garansi 3 hari</t>
      </text>
    </comment>
    <comment authorId="0" ref="B743">
      <text>
        <t xml:space="preserve">18 bulan
</t>
      </text>
    </comment>
    <comment authorId="0" ref="B744">
      <text>
        <t xml:space="preserve">2 tahun</t>
      </text>
    </comment>
    <comment authorId="0" ref="B760">
      <text>
        <t xml:space="preserve">18 bln</t>
      </text>
    </comment>
    <comment authorId="0" ref="B762">
      <text>
        <t xml:space="preserve">18 bln</t>
      </text>
    </comment>
    <comment authorId="0" ref="B763">
      <text>
        <t xml:space="preserve">18 bln</t>
      </text>
    </comment>
    <comment authorId="0" ref="B764">
      <text>
        <t xml:space="preserve">18 bln</t>
      </text>
    </comment>
    <comment authorId="0" ref="B765">
      <text>
        <t xml:space="preserve">18 bln</t>
      </text>
    </comment>
    <comment authorId="0" ref="B766">
      <text>
        <t xml:space="preserve">18 bln</t>
      </text>
    </comment>
    <comment authorId="0" ref="B769">
      <text>
        <t xml:space="preserve">Bongkar saja</t>
      </text>
    </comment>
    <comment authorId="0" ref="B770">
      <text>
        <t xml:space="preserve">18 bln</t>
      </text>
    </comment>
    <comment authorId="0" ref="B773">
      <text>
        <t xml:space="preserve">18 bln
</t>
      </text>
    </comment>
    <comment authorId="0" ref="B774">
      <text>
        <t xml:space="preserve">18 bln</t>
      </text>
    </comment>
    <comment authorId="0" ref="B775">
      <text>
        <t xml:space="preserve">18 bln
</t>
      </text>
    </comment>
    <comment authorId="0" ref="B784">
      <text>
        <t xml:space="preserve">18 bln</t>
      </text>
    </comment>
    <comment authorId="0" ref="B785">
      <text>
        <t xml:space="preserve">ID pesanan 580394152562952124</t>
      </text>
    </comment>
    <comment authorId="0" ref="B786">
      <text>
        <t xml:space="preserve">ID pesanan 580394152562952124</t>
      </text>
    </comment>
    <comment authorId="0" ref="B791">
      <text>
        <t xml:space="preserve">3 tahun pkai sika
</t>
      </text>
    </comment>
    <comment authorId="0" ref="B794">
      <text>
        <t xml:space="preserve">18 bln</t>
      </text>
    </comment>
    <comment authorId="0" ref="B797">
      <text>
        <t xml:space="preserve">3 tahun</t>
      </text>
    </comment>
    <comment authorId="0" ref="B799">
      <text>
        <t xml:space="preserve">3 tahun pakai sika</t>
      </text>
    </comment>
    <comment authorId="0" ref="B802">
      <text>
        <t xml:space="preserve">3 tahun pakai sika
</t>
      </text>
    </comment>
    <comment authorId="0" ref="B804">
      <text>
        <t xml:space="preserve">no SJ SJTGRI250008</t>
      </text>
    </comment>
    <comment authorId="0" ref="B815">
      <text>
        <t xml:space="preserve">garansi 3 tahun</t>
      </text>
    </comment>
    <comment authorId="0" ref="B818">
      <text>
        <t xml:space="preserve">review 18 bln</t>
      </text>
    </comment>
    <comment authorId="0" ref="B819">
      <text>
        <t xml:space="preserve">18 bln</t>
      </text>
    </comment>
    <comment authorId="0" ref="C834">
      <text>
        <t xml:space="preserve">FDR-BALENO23</t>
      </text>
    </comment>
    <comment authorId="0" ref="B847">
      <text>
        <t xml:space="preserve">3 tahun</t>
      </text>
    </comment>
    <comment authorId="0" ref="B853">
      <text>
        <t xml:space="preserve">3 tahun</t>
      </text>
    </comment>
    <comment authorId="0" ref="B856">
      <text>
        <t xml:space="preserve">no sj SJTGRI250011</t>
      </text>
    </comment>
    <comment authorId="0" ref="B860">
      <text>
        <t xml:space="preserve">3 tahun</t>
      </text>
    </comment>
    <comment authorId="0" ref="T863">
      <text>
        <t xml:space="preserve">25/09/2025 dp rp 605.000
27/09/2025 pelunasan rp 1.500.000</t>
      </text>
    </comment>
    <comment authorId="0" ref="K865">
      <text>
        <t xml:space="preserve">no di invoice 0813-4505-7779
</t>
      </text>
    </comment>
    <comment authorId="0" ref="T890">
      <text>
        <t xml:space="preserve">dp 30rb</t>
      </text>
    </comment>
    <comment authorId="0" ref="T905">
      <text>
        <t xml:space="preserve">dp 30k</t>
      </text>
    </comment>
    <comment authorId="0" ref="T911">
      <text>
        <t xml:space="preserve">dp 30.000</t>
      </text>
    </comment>
    <comment authorId="0" ref="B918">
      <text>
        <t xml:space="preserve">garansi 1,5 tahun</t>
      </text>
    </comment>
    <comment authorId="0" ref="B927">
      <text>
        <t xml:space="preserve">garansi 3 tahun</t>
      </text>
    </comment>
    <comment authorId="0" ref="B939">
      <text>
        <t xml:space="preserve">garansi 1,5 tahun</t>
      </text>
    </comment>
    <comment authorId="0" ref="B944">
      <text>
        <t xml:space="preserve">garansi 1,5 tahun</t>
      </text>
    </comment>
    <comment authorId="0" ref="B950">
      <text>
        <t xml:space="preserve">garansi 1,5 tahun</t>
      </text>
    </comment>
    <comment authorId="0" ref="B956">
      <text>
        <t xml:space="preserve">garansi 1,5 tahun</t>
      </text>
    </comment>
    <comment authorId="0" ref="T961">
      <text>
        <t xml:space="preserve">dp 50.000
</t>
      </text>
    </comment>
    <comment authorId="0" ref="B962">
      <text>
        <t xml:space="preserve">garansi 1,5 tahun</t>
      </text>
    </comment>
    <comment authorId="0" ref="C963">
      <text>
        <t xml:space="preserve">Bongkar saja, karna pas mau pasang kaca gompal. Terus gada kabar lg</t>
      </text>
    </comment>
    <comment authorId="0" ref="B965">
      <text>
        <t xml:space="preserve">garansi 3 tahun</t>
      </text>
    </comment>
    <comment authorId="0" ref="B971">
      <text>
        <t xml:space="preserve">garansi 1,5 tahun</t>
      </text>
    </comment>
    <comment authorId="0" ref="B973">
      <text>
        <t xml:space="preserve">garansi 1,5 tahun</t>
      </text>
    </comment>
    <comment authorId="0" ref="B974">
      <text>
        <t xml:space="preserve">garansi 3 tahun</t>
      </text>
    </comment>
    <comment authorId="0" ref="B976">
      <text>
        <t xml:space="preserve">garansi 3 tahun</t>
      </text>
    </comment>
    <comment authorId="0" ref="B979">
      <text>
        <t xml:space="preserve">garansi 1,5 tahun</t>
      </text>
    </comment>
    <comment authorId="0" ref="B981">
      <text>
        <t xml:space="preserve">garansi 3 tahun</t>
      </text>
    </comment>
    <comment authorId="0" ref="B986">
      <text>
        <t xml:space="preserve">garansi 3 tahun</t>
      </text>
    </comment>
    <comment authorId="0" ref="B989">
      <text>
        <t xml:space="preserve">garansi 1,5 tahun</t>
      </text>
    </comment>
    <comment authorId="0" ref="B992">
      <text>
        <t xml:space="preserve">garansi 1,5 tahun</t>
      </text>
    </comment>
    <comment authorId="0" ref="B996">
      <text>
        <t xml:space="preserve">garansi 3 tahun</t>
      </text>
    </comment>
    <comment authorId="0" ref="T1009">
      <text>
        <t xml:space="preserve">note pelunasan tgl 16/10/2025</t>
      </text>
    </comment>
    <comment authorId="0" ref="C1016">
      <text>
        <t xml:space="preserve">LFW-MACAN14RSXYG</t>
      </text>
    </comment>
    <comment authorId="0" ref="B1018">
      <text>
        <t xml:space="preserve">garansi 1,5 tahun</t>
      </text>
    </comment>
    <comment authorId="0" ref="B1024">
      <text>
        <t xml:space="preserve">garansi 1,5 tahun</t>
      </text>
    </comment>
    <comment authorId="0" ref="B1029">
      <text>
        <t xml:space="preserve">garansi 1,5 tahun
</t>
      </text>
    </comment>
    <comment authorId="0" ref="B1040">
      <text>
        <t xml:space="preserve">garansi 3 tahun
</t>
      </text>
    </comment>
    <comment authorId="0" ref="B1043">
      <text>
        <t xml:space="preserve">garansi 3 tahun</t>
      </text>
    </comment>
    <comment authorId="0" ref="B1053">
      <text>
        <t xml:space="preserve">garansi 1 bln 1x claim</t>
      </text>
    </comment>
    <comment authorId="0" ref="B1058">
      <text>
        <t xml:space="preserve">garansi 3 tahun</t>
      </text>
    </comment>
    <comment authorId="0" ref="B1064">
      <text>
        <t xml:space="preserve">garansi 2 tahun
</t>
      </text>
    </comment>
    <comment authorId="0" ref="B1068">
      <text>
        <t xml:space="preserve">garansi 1,5 thn</t>
      </text>
    </comment>
    <comment authorId="0" ref="B1069">
      <text>
        <t xml:space="preserve">garansi 1,5 thn</t>
      </text>
    </comment>
    <comment authorId="0" ref="B1074">
      <text>
        <t xml:space="preserve">garansi 1,5 tahubn</t>
      </text>
    </comment>
    <comment authorId="0" ref="B1078">
      <text>
        <t xml:space="preserve">garansi 1,5 tahubn</t>
      </text>
    </comment>
    <comment authorId="0" ref="B1079">
      <text>
        <t xml:space="preserve">garansi 3 tahun
</t>
      </text>
    </comment>
    <comment authorId="0" ref="B1088">
      <text>
        <t xml:space="preserve">1.5 tahun
</t>
      </text>
    </comment>
    <comment authorId="0" ref="C1107">
      <text>
        <t xml:space="preserve">garansi 3 tahun
</t>
      </text>
    </comment>
    <comment authorId="0" ref="C1112">
      <text>
        <t xml:space="preserve">LFW-DYNAMU</t>
      </text>
    </comment>
    <comment authorId="0" ref="B1115">
      <text>
        <t xml:space="preserve">1.5 tahun</t>
      </text>
    </comment>
    <comment authorId="0" ref="C1128">
      <text>
        <t xml:space="preserve">LFW-LOUHANFY
OTH-SERTRANSPORT</t>
      </text>
    </comment>
    <comment authorId="0" ref="C1137">
      <text>
        <t xml:space="preserve">garansi 3 tahun</t>
      </text>
    </comment>
    <comment authorId="0" ref="B1142">
      <text>
        <t xml:space="preserve">3 tahun garansi</t>
      </text>
    </comment>
    <comment authorId="0" ref="B1145">
      <text>
        <t xml:space="preserve">1,5 tahun
</t>
      </text>
    </comment>
    <comment authorId="0" ref="C1146">
      <text>
        <t xml:space="preserve">FDR-EVALIAASH</t>
      </text>
    </comment>
    <comment authorId="0" ref="B1149">
      <text>
        <t xml:space="preserve">1,5 tahun</t>
      </text>
    </comment>
    <comment authorId="0" ref="B1151">
      <text>
        <t xml:space="preserve">3 tahun garansi</t>
      </text>
    </comment>
    <comment authorId="0" ref="B1153">
      <text>
        <t xml:space="preserve">3 tahun
</t>
      </text>
    </comment>
    <comment authorId="0" ref="B1158">
      <text>
        <t xml:space="preserve">3 tahun</t>
      </text>
    </comment>
    <comment authorId="0" ref="B1160">
      <text>
        <t xml:space="preserve">tidak ada garansi, body rangka karatan</t>
      </text>
    </comment>
    <comment authorId="0" ref="B1167">
      <text>
        <t xml:space="preserve">1.5 tahun</t>
      </text>
    </comment>
    <comment authorId="0" ref="B1174">
      <text>
        <t xml:space="preserve">3 tahun</t>
      </text>
    </comment>
    <comment authorId="0" ref="B1181">
      <text>
        <t xml:space="preserve">3 tahun</t>
      </text>
    </comment>
    <comment authorId="0" ref="B1183">
      <text>
        <t xml:space="preserve">1.5 tahun</t>
      </text>
    </comment>
    <comment authorId="0" ref="B1185">
      <text>
        <t xml:space="preserve">1.5 tahun</t>
      </text>
    </comment>
    <comment authorId="0" ref="B1189">
      <text>
        <t xml:space="preserve">1.5 tahun</t>
      </text>
    </comment>
    <comment authorId="0" ref="B1190">
      <text>
        <t xml:space="preserve">1.5 tahun
</t>
      </text>
    </comment>
    <comment authorId="0" ref="Q1192">
      <text>
        <t xml:space="preserve">lebih 30rb</t>
      </text>
    </comment>
    <comment authorId="0" ref="B1193">
      <text>
        <t xml:space="preserve">1.5 tahun</t>
      </text>
    </comment>
    <comment authorId="0" ref="B1200">
      <text>
        <t xml:space="preserve">1.5 tahun</t>
      </text>
    </comment>
    <comment authorId="0" ref="B1202">
      <text>
        <t xml:space="preserve">3 tahun
</t>
      </text>
    </comment>
    <comment authorId="0" ref="B1205">
      <text>
        <t xml:space="preserve">1.5 tahun
</t>
      </text>
    </comment>
    <comment authorId="0" ref="B1209">
      <text>
        <t xml:space="preserve">1.5 tahun</t>
      </text>
    </comment>
    <comment authorId="0" ref="B1219">
      <text>
        <t xml:space="preserve">1.5 tahun</t>
      </text>
    </comment>
    <comment authorId="0" ref="B1225">
      <text>
        <t xml:space="preserve">1.5 tahun</t>
      </text>
    </comment>
    <comment authorId="0" ref="B1226">
      <text>
        <t xml:space="preserve">1.5 tahun</t>
      </text>
    </comment>
    <comment authorId="0" ref="B1229">
      <text>
        <t xml:space="preserve">1.5 tahun</t>
      </text>
    </comment>
    <comment authorId="0" ref="B1232">
      <text>
        <t xml:space="preserve">1.5 tahun</t>
      </text>
    </comment>
    <comment authorId="0" ref="B1234">
      <text>
        <t xml:space="preserve">1.5 tahun</t>
      </text>
    </comment>
    <comment authorId="0" ref="B1242">
      <text>
        <t xml:space="preserve">1.5 tahun</t>
      </text>
    </comment>
    <comment authorId="0" ref="B1245">
      <text>
        <t xml:space="preserve">1.5 tahun</t>
      </text>
    </comment>
    <comment authorId="0" ref="B1249">
      <text>
        <t xml:space="preserve">1.5 tahun</t>
      </text>
    </comment>
    <comment authorId="0" ref="B1253">
      <text>
        <t xml:space="preserve">1.5 tahun</t>
      </text>
    </comment>
    <comment authorId="0" ref="C1257">
      <text>
        <t xml:space="preserve">awlny gelora, ternyta glory</t>
      </text>
    </comment>
    <comment authorId="0" ref="D1257">
      <text>
        <t xml:space="preserve">awlny gelora, ternyta glory</t>
      </text>
    </comment>
    <comment authorId="0" ref="B1261">
      <text>
        <t xml:space="preserve">1,5 tahun</t>
      </text>
    </comment>
    <comment authorId="0" ref="B1262">
      <text>
        <t xml:space="preserve">1,5 tahun</t>
      </text>
    </comment>
    <comment authorId="0" ref="B1266">
      <text>
        <t xml:space="preserve">1,5 tahun
</t>
      </text>
    </comment>
    <comment authorId="0" ref="B1269">
      <text>
        <t xml:space="preserve">1.5 tahun</t>
      </text>
    </comment>
    <comment authorId="0" ref="B1270">
      <text>
        <t xml:space="preserve">1.5 tahun</t>
      </text>
    </comment>
    <comment authorId="0" ref="C1272">
      <text>
        <t xml:space="preserve">LFW-AVANZA11</t>
      </text>
    </comment>
    <comment authorId="0" ref="B1273">
      <text>
        <t xml:space="preserve">1.5 tahun</t>
      </text>
    </comment>
    <comment authorId="0" ref="B1274">
      <text>
        <t xml:space="preserve">1.5 tahun</t>
      </text>
    </comment>
    <comment authorId="0" ref="B1275">
      <text>
        <t xml:space="preserve">1.5 tahun</t>
      </text>
    </comment>
    <comment authorId="0" ref="B1279">
      <text>
        <t xml:space="preserve">1.5 tahun</t>
      </text>
    </comment>
    <comment authorId="0" ref="B1286">
      <text>
        <t xml:space="preserve">1.5 tahun</t>
      </text>
    </comment>
    <comment authorId="0" ref="B1291">
      <text>
        <t xml:space="preserve">1.5 tahun</t>
      </text>
    </comment>
    <comment authorId="0" ref="B1294">
      <text>
        <t xml:space="preserve">1.5 tahun</t>
      </text>
    </comment>
    <comment authorId="0" ref="B1296">
      <text>
        <t xml:space="preserve">1.5 tahun</t>
      </text>
    </comment>
    <comment authorId="0" ref="B1299">
      <text>
        <t xml:space="preserve">1.5 tahun</t>
      </text>
    </comment>
    <comment authorId="0" ref="B1308">
      <text>
        <t xml:space="preserve">1.5 tahun</t>
      </text>
    </comment>
    <comment authorId="0" ref="B1310">
      <text>
        <t xml:space="preserve">1.5 tahun</t>
      </text>
    </comment>
    <comment authorId="0" ref="B1314">
      <text>
        <t xml:space="preserve">1.5 tahun</t>
      </text>
    </comment>
    <comment authorId="0" ref="B1325">
      <text>
        <t xml:space="preserve">1.5 tahun</t>
      </text>
    </comment>
    <comment authorId="0" ref="B1330">
      <text>
        <t xml:space="preserve">1.5 tahun</t>
      </text>
    </comment>
    <comment authorId="0" ref="B1332">
      <text>
        <t xml:space="preserve">1.5 tahun</t>
      </text>
    </comment>
    <comment authorId="0" ref="B1334">
      <text>
        <t xml:space="preserve">1.5 tahun</t>
      </text>
    </comment>
    <comment authorId="0" ref="B1338">
      <text>
        <t xml:space="preserve">1.5 tahun</t>
      </text>
    </comment>
    <comment authorId="0" ref="B1339">
      <text>
        <t xml:space="preserve">1.5 tahun</t>
      </text>
    </comment>
    <comment authorId="0" ref="B1340">
      <text>
        <t xml:space="preserve">1,5 tahun</t>
      </text>
    </comment>
    <comment authorId="0" ref="B1342">
      <text>
        <t xml:space="preserve">1,5 tahun</t>
      </text>
    </comment>
    <comment authorId="0" ref="B1354">
      <text>
        <t xml:space="preserve">1,5 tahun</t>
      </text>
    </comment>
    <comment authorId="0" ref="B1360">
      <text>
        <t xml:space="preserve">1,5 tahun</t>
      </text>
    </comment>
    <comment authorId="0" ref="B1361">
      <text>
        <t xml:space="preserve">1,5 tahun</t>
      </text>
    </comment>
    <comment authorId="0" ref="B1371">
      <text>
        <t xml:space="preserve">1,5 tahun</t>
      </text>
    </comment>
    <comment authorId="0" ref="B1373">
      <text>
        <t xml:space="preserve">1,5 tahun</t>
      </text>
    </comment>
    <comment authorId="0" ref="B1378">
      <text>
        <t xml:space="preserve">1,5 tahun</t>
      </text>
    </comment>
    <comment authorId="0" ref="B1380">
      <text>
        <t xml:space="preserve">1,5 tahun</t>
      </text>
    </comment>
    <comment authorId="0" ref="B1384">
      <text>
        <t xml:space="preserve">1,5 tahun</t>
      </text>
    </comment>
    <comment authorId="0" ref="B1389">
      <text>
        <t xml:space="preserve">1,5 tahun</t>
      </text>
    </comment>
    <comment authorId="0" ref="B1393">
      <text>
        <t xml:space="preserve">1,5 tahun</t>
      </text>
    </comment>
    <comment authorId="0" ref="B1404">
      <text>
        <t xml:space="preserve">1,5 tahun</t>
      </text>
    </comment>
    <comment authorId="0" ref="B1409">
      <text>
        <t xml:space="preserve">1,5 tahun</t>
      </text>
    </comment>
    <comment authorId="0" ref="B1411">
      <text>
        <t xml:space="preserve">1,5 tahun</t>
      </text>
    </comment>
    <comment authorId="0" ref="B1412">
      <text>
        <t xml:space="preserve">1,5 tahun</t>
      </text>
    </comment>
    <comment authorId="0" ref="B1413">
      <text>
        <t xml:space="preserve">1,5 tahun</t>
      </text>
    </comment>
    <comment authorId="0" ref="C1419">
      <text>
        <t xml:space="preserve">Sentra sudah dp via 5781177611 Rp1.132.755
ke dfsk PI.POP.2512.000453</t>
      </text>
    </comment>
    <comment authorId="0" ref="B1421">
      <text>
        <t xml:space="preserve">1,5 tahun</t>
      </text>
    </comment>
    <comment authorId="0" ref="B1428">
      <text>
        <t xml:space="preserve">3 tahun
</t>
      </text>
    </comment>
    <comment authorId="0" ref="B1431">
      <text>
        <t xml:space="preserve">1.5 tahun</t>
      </text>
    </comment>
    <comment authorId="0" ref="B1434">
      <text>
        <t xml:space="preserve">1.5 tahun</t>
      </text>
    </comment>
    <comment authorId="0" ref="B1437">
      <text>
        <t xml:space="preserve">1.5 tahun</t>
      </text>
    </comment>
    <comment authorId="0" ref="B1442">
      <text>
        <t xml:space="preserve">1.5 tahun</t>
      </text>
    </comment>
    <comment authorId="0" ref="B1448">
      <text>
        <t xml:space="preserve">1.5 tahun</t>
      </text>
    </comment>
    <comment authorId="0" ref="B1449">
      <text>
        <t xml:space="preserve">1,5 tahun</t>
      </text>
    </comment>
    <comment authorId="0" ref="B1452">
      <text>
        <t xml:space="preserve">1,5 tahun</t>
      </text>
    </comment>
    <comment authorId="0" ref="B1456">
      <text>
        <t xml:space="preserve">1,5 tahun</t>
      </text>
    </comment>
    <comment authorId="0" ref="B1457">
      <text>
        <t xml:space="preserve">1,5 tahun</t>
      </text>
    </comment>
    <comment authorId="0" ref="B1459">
      <text>
        <t xml:space="preserve">1,5 tahun</t>
      </text>
    </comment>
    <comment authorId="0" ref="C1462">
      <text>
        <t xml:space="preserve">ke panen</t>
      </text>
    </comment>
    <comment authorId="0" ref="T1462">
      <text>
        <t xml:space="preserve">sudah refund Rp 8.124.500
</t>
      </text>
    </comment>
    <comment authorId="0" ref="B1469">
      <text>
        <t xml:space="preserve">1,5 tahun</t>
      </text>
    </comment>
    <comment authorId="0" ref="B1470">
      <text>
        <t xml:space="preserve">1,5 tahun</t>
      </text>
    </comment>
    <comment authorId="0" ref="B1476">
      <text>
        <t xml:space="preserve">fisik masih ada, di cs sudah keluar</t>
      </text>
    </comment>
    <comment authorId="0" ref="B1478">
      <text>
        <t xml:space="preserve">1,5 tahun</t>
      </text>
    </comment>
    <comment authorId="0" ref="B1481">
      <text>
        <t xml:space="preserve">1.5 tahun</t>
      </text>
    </comment>
    <comment authorId="0" ref="B1483">
      <text>
        <t xml:space="preserve">1,5 tahun</t>
      </text>
    </comment>
    <comment authorId="0" ref="B1488">
      <text>
        <t xml:space="preserve">1,5 tahun</t>
      </text>
    </comment>
    <comment authorId="0" ref="B1492">
      <text>
        <t xml:space="preserve">1,5 5ahun
</t>
      </text>
    </comment>
    <comment authorId="0" ref="B1493">
      <text>
        <t xml:space="preserve">1,5 5ahun
</t>
      </text>
    </comment>
    <comment authorId="0" ref="B1495">
      <text>
        <t xml:space="preserve">review - 3thn 6 bln sika</t>
      </text>
    </comment>
    <comment authorId="0" ref="B1497">
      <text>
        <t xml:space="preserve">1,5 5ahun
</t>
      </text>
    </comment>
    <comment authorId="0" ref="B1502">
      <text>
        <t xml:space="preserve">1,5 tahun</t>
      </text>
    </comment>
    <comment authorId="0" ref="C1505">
      <text>
        <t xml:space="preserve">PI.POP.2512.000475</t>
      </text>
    </comment>
    <comment authorId="0" ref="B1512">
      <text>
        <t xml:space="preserve">1,5 tahun</t>
      </text>
    </comment>
    <comment authorId="0" ref="B1520">
      <text>
        <t xml:space="preserve">SJTGRL250008</t>
      </text>
    </comment>
    <comment authorId="0" ref="B1522">
      <text>
        <t xml:space="preserve">ganti kaca karna baret
</t>
      </text>
    </comment>
    <comment authorId="0" ref="T1522">
      <text>
        <t xml:space="preserve">di refund 200k
</t>
      </text>
    </comment>
    <comment authorId="0" ref="B1524">
      <text>
        <t xml:space="preserve">ganti kaca
</t>
      </text>
    </comment>
    <comment authorId="0" ref="B1557">
      <text>
        <t xml:space="preserve">1.5 tahun</t>
      </text>
    </comment>
    <comment authorId="0" ref="B1558">
      <text>
        <t xml:space="preserve">1.5 tahun</t>
      </text>
    </comment>
    <comment authorId="0" ref="B1613">
      <text>
        <t xml:space="preserve">L250108 </t>
      </text>
    </comment>
    <comment authorId="0" ref="F1648">
      <text>
        <t xml:space="preserve">kemurahan!</t>
      </text>
    </comment>
    <comment authorId="0" ref="B1669">
      <text>
        <t xml:space="preserve">L250128</t>
      </text>
    </comment>
    <comment authorId="0" ref="B1675">
      <text>
        <t xml:space="preserve">review 3thn 6 bulan</t>
      </text>
    </comment>
    <comment authorId="0" ref="B1679">
      <text>
        <t xml:space="preserve">review - 1 THN 1X CLAIM - SIGRA LFW</t>
      </text>
    </comment>
    <comment authorId="0" ref="B1698">
      <text>
        <t xml:space="preserve">KIRIM</t>
      </text>
    </comment>
    <comment authorId="0" ref="T1698">
      <text>
        <t xml:space="preserve">refund 149k ke Andiansyah 6590086248
masuk awal 1.249.000</t>
      </text>
    </comment>
    <comment authorId="0" ref="T1699">
      <text>
        <t xml:space="preserve">rek alvin
</t>
      </text>
    </comment>
    <comment authorId="0" ref="B1701">
      <text>
        <t xml:space="preserve">REVIEW
</t>
      </text>
    </comment>
    <comment authorId="0" ref="B1707">
      <text>
        <t xml:space="preserve">REVIEW - BY 1 THN 6 BLN</t>
      </text>
    </comment>
    <comment authorId="0" ref="B1709">
      <text>
        <t xml:space="preserve">3 thn</t>
      </text>
    </comment>
    <comment authorId="0" ref="B1712">
      <text>
        <t xml:space="preserve">review, 1 thn 6 bln</t>
      </text>
    </comment>
    <comment authorId="0" ref="B1722">
      <text>
        <t xml:space="preserve">review 1thn 6 bln</t>
      </text>
    </comment>
    <comment authorId="0" ref="B1727">
      <text>
        <t xml:space="preserve">REVIEW 1THN 6 BLN</t>
      </text>
    </comment>
    <comment authorId="0" ref="B1728">
      <text>
        <t xml:space="preserve">REVIEW 1 THN 6 BLN</t>
      </text>
    </comment>
    <comment authorId="0" ref="B1729">
      <text>
        <t xml:space="preserve">review</t>
      </text>
    </comment>
    <comment authorId="0" ref="C1731">
      <text>
        <t xml:space="preserve">gada no telp, ga jelas blm datang</t>
      </text>
    </comment>
    <comment authorId="0" ref="T1734">
      <text>
        <t xml:space="preserve">tf 2.500.000
lebih 279.000 7435235808 bca dedi kurniawan</t>
      </text>
    </comment>
    <comment authorId="0" ref="B1735">
      <text>
        <t xml:space="preserve">review, 1 thn 6 bln</t>
      </text>
    </comment>
    <comment authorId="0" ref="B1737">
      <text>
        <t xml:space="preserve">review, 1 thn 6 bln</t>
      </text>
    </comment>
    <comment authorId="0" ref="T1744">
      <text>
        <t xml:space="preserve">25.000 tips yayan</t>
      </text>
    </comment>
    <comment authorId="0" ref="B1745">
      <text>
        <t xml:space="preserve">review 3thn</t>
      </text>
    </comment>
    <comment authorId="0" ref="E1763">
      <text>
        <t xml:space="preserve">BGI
</t>
      </text>
    </comment>
    <comment authorId="0" ref="E1764">
      <text>
        <t xml:space="preserve">BGI
</t>
      </text>
    </comment>
    <comment authorId="0" ref="B1767">
      <text>
        <t xml:space="preserve">review 1th  6bln</t>
      </text>
    </comment>
    <comment authorId="0" ref="B1768">
      <text>
        <t xml:space="preserve">review, 1thn 6bln</t>
      </text>
    </comment>
    <comment authorId="0" ref="B1769">
      <text>
        <t xml:space="preserve">A260027 pasang lfw louhan</t>
      </text>
    </comment>
    <comment authorId="0" ref="B1774">
      <text>
        <t xml:space="preserve">INVKR2600031</t>
      </text>
    </comment>
    <comment authorId="0" ref="B1786">
      <text>
        <t xml:space="preserve">review, 1 thn 6 bln
</t>
      </text>
    </comment>
    <comment authorId="0" ref="B1789">
      <text>
        <t xml:space="preserve">ambil kaca saja</t>
      </text>
    </comment>
    <comment authorId="0" ref="B1801">
      <text>
        <t xml:space="preserve">1 thn 1 x claim</t>
      </text>
    </comment>
    <comment authorId="0" ref="E1817">
      <text>
        <t xml:space="preserve">1 pc diambil buat stok tgr, jadi potong nota</t>
      </text>
    </comment>
    <comment authorId="0" ref="B1833">
      <text>
        <t xml:space="preserve">review. 1 thn 6 bln</t>
      </text>
    </comment>
    <comment authorId="0" ref="B1848">
      <text>
        <t xml:space="preserve">pecah / BATAL</t>
      </text>
    </comment>
    <comment authorId="0" ref="B1853">
      <text>
        <t xml:space="preserve">REVIEW- 1THN 6BLN</t>
      </text>
    </comment>
    <comment authorId="0" ref="B1857">
      <text>
        <t xml:space="preserve">review 1thn 6 bln</t>
      </text>
    </comment>
    <comment authorId="0" ref="B1859">
      <text>
        <t xml:space="preserve">review</t>
      </text>
    </comment>
    <comment authorId="0" ref="E1863">
      <text>
        <t xml:space="preserve">1 pecah dibawa balik minggu depannya</t>
      </text>
    </comment>
    <comment authorId="0" ref="B1866">
      <text>
        <t xml:space="preserve">kirim</t>
      </text>
    </comment>
    <comment authorId="0" ref="B1877">
      <text>
        <t xml:space="preserve">kirim</t>
      </text>
    </comment>
    <comment authorId="0" ref="B1880">
      <text>
        <t xml:space="preserve">tidak jadi, gagal</t>
      </text>
    </comment>
    <comment authorId="0" ref="B1882">
      <text>
        <t xml:space="preserve">kirim</t>
      </text>
    </comment>
    <comment authorId="0" ref="B1884">
      <text>
        <t xml:space="preserve">Review 1 thn 6 bln</t>
      </text>
    </comment>
    <comment authorId="0" ref="B1886">
      <text>
        <t xml:space="preserve">review 1 thn 6 bln</t>
      </text>
    </comment>
    <comment authorId="0" ref="B1891">
      <text>
        <t xml:space="preserve">review</t>
      </text>
    </comment>
    <comment authorId="0" ref="B1898">
      <text>
        <t xml:space="preserve">review</t>
      </text>
    </comment>
    <comment authorId="0" ref="B1899">
      <text>
        <t xml:space="preserve">review, 3thn</t>
      </text>
    </comment>
    <comment authorId="0" ref="B1902">
      <text>
        <t xml:space="preserve">3 thn</t>
      </text>
    </comment>
    <comment authorId="0" ref="B1904">
      <text>
        <t xml:space="preserve">review 3thn</t>
      </text>
    </comment>
    <comment authorId="0" ref="B1905">
      <text>
        <t xml:space="preserve">Double
</t>
      </text>
    </comment>
    <comment authorId="0" ref="B1908">
      <text>
        <t xml:space="preserve">3 thn</t>
      </text>
    </comment>
    <comment authorId="0" ref="B1909">
      <text>
        <t xml:space="preserve">review 3thn</t>
      </text>
    </comment>
    <comment authorId="0" ref="B1939">
      <text>
        <t xml:space="preserve">review 3thn</t>
      </text>
    </comment>
    <comment authorId="0" ref="B1942">
      <text>
        <t xml:space="preserve">review 3thn</t>
      </text>
    </comment>
    <comment authorId="0" ref="B1943">
      <text>
        <t xml:space="preserve">kaca saja</t>
      </text>
    </comment>
    <comment authorId="0" ref="B1944">
      <text>
        <t xml:space="preserve">review 3thn</t>
      </text>
    </comment>
    <comment authorId="0" ref="B1945">
      <text>
        <t xml:space="preserve">kaca saja</t>
      </text>
    </comment>
    <comment authorId="0" ref="B1950">
      <text>
        <t xml:space="preserve">review 3thn</t>
      </text>
    </comment>
    <comment authorId="0" ref="B1951">
      <text>
        <t xml:space="preserve">lfw mux
review 3thn</t>
      </text>
    </comment>
    <comment authorId="0" ref="B1955">
      <text>
        <t xml:space="preserve">kaca saja</t>
      </text>
    </comment>
    <comment authorId="0" ref="B1956">
      <text>
        <t xml:space="preserve">review 3thn</t>
      </text>
    </comment>
    <comment authorId="0" ref="B1966">
      <text>
        <t xml:space="preserve">review, 3 thn</t>
      </text>
    </comment>
    <comment authorId="0" ref="B1968">
      <text>
        <t xml:space="preserve">kirim</t>
      </text>
    </comment>
    <comment authorId="0" ref="B1978">
      <text>
        <t xml:space="preserve">review 3thn</t>
      </text>
    </comment>
    <comment authorId="0" ref="B1981">
      <text>
        <t xml:space="preserve">review 3thn</t>
      </text>
    </comment>
    <comment authorId="0" ref="B1982">
      <text>
        <t xml:space="preserve">mobilio, review 3thn</t>
      </text>
    </comment>
    <comment authorId="0" ref="B1984">
      <text>
        <t xml:space="preserve">review 3thn
</t>
      </text>
    </comment>
    <comment authorId="0" ref="B1985">
      <text>
        <t xml:space="preserve">REVIEW 3THN</t>
      </text>
    </comment>
    <comment authorId="0" ref="B1988">
      <text>
        <t xml:space="preserve">ambil</t>
      </text>
    </comment>
    <comment authorId="0" ref="B1994">
      <text>
        <t xml:space="preserve">review 3thn</t>
      </text>
    </comment>
    <comment authorId="0" ref="B1995">
      <text>
        <t xml:space="preserve">review 3thn</t>
      </text>
    </comment>
    <comment authorId="0" ref="B1999">
      <text>
        <t xml:space="preserve">lfw xpander, review</t>
      </text>
    </comment>
    <comment authorId="0" ref="B2000">
      <text>
        <t xml:space="preserve">review 3 th </t>
      </text>
    </comment>
    <comment authorId="0" ref="B2005">
      <text>
        <t xml:space="preserve">kirim</t>
      </text>
    </comment>
    <comment authorId="0" ref="B2006">
      <text>
        <t xml:space="preserve">review 3 thn</t>
      </text>
    </comment>
    <comment authorId="0" ref="B2008">
      <text>
        <t xml:space="preserve">review 3 th 
</t>
      </text>
    </comment>
    <comment authorId="0" ref="B2020">
      <text>
        <t xml:space="preserve">REVIEW 3THN</t>
      </text>
    </comment>
    <comment authorId="0" ref="B2022">
      <text>
        <t xml:space="preserve">review 3 th
</t>
      </text>
    </comment>
    <comment authorId="0" ref="B2023">
      <text>
        <t xml:space="preserve">review 5thn</t>
      </text>
    </comment>
    <comment authorId="0" ref="B2025">
      <text>
        <t xml:space="preserve">review 3 th </t>
      </text>
    </comment>
    <comment authorId="0" ref="B2026">
      <text>
        <t xml:space="preserve">review 3thn</t>
      </text>
    </comment>
    <comment authorId="0" ref="B2029">
      <text>
        <t xml:space="preserve">review 3thn</t>
      </text>
    </comment>
    <comment authorId="0" ref="B2031">
      <text>
        <t xml:space="preserve">review 3thn</t>
      </text>
    </comment>
    <comment authorId="0" ref="B2041">
      <text>
        <t xml:space="preserve">review 3thn</t>
      </text>
    </comment>
    <comment authorId="0" ref="B2042">
      <text>
        <t xml:space="preserve">review 3 th mhmd sobhan 
</t>
      </text>
    </comment>
    <comment authorId="0" ref="B2043">
      <text>
        <t xml:space="preserve">review 1 bln 1x claim</t>
      </text>
    </comment>
    <comment authorId="0" ref="B2046">
      <text>
        <t xml:space="preserve">review 3thn</t>
      </text>
    </comment>
    <comment authorId="0" ref="B2057">
      <text>
        <t xml:space="preserve">review 3 thn</t>
      </text>
    </comment>
    <comment authorId="0" ref="F2097">
      <text>
        <t xml:space="preserve">biaya lebih Rp. 96.000 refund ko rian Jum'at, 13/02/2026 </t>
      </text>
    </comment>
    <comment authorId="0" ref="B2101">
      <text>
        <t xml:space="preserve">elf nmr</t>
      </text>
    </comment>
    <comment authorId="0" ref="B2122">
      <text>
        <t xml:space="preserve">kirim</t>
      </text>
    </comment>
    <comment authorId="0" ref="B2128">
      <text>
        <t xml:space="preserve">review</t>
      </text>
    </comment>
    <comment authorId="0" ref="B2133">
      <text>
        <t xml:space="preserve">cancel
</t>
      </text>
    </comment>
    <comment authorId="0" ref="T2133">
      <text>
        <t xml:space="preserve">dp hangus
</t>
      </text>
    </comment>
    <comment authorId="0" ref="B2134">
      <text>
        <t xml:space="preserve">review 3 th 
</t>
      </text>
    </comment>
    <comment authorId="0" ref="B2136">
      <text>
        <t xml:space="preserve">review 3 thn</t>
      </text>
    </comment>
    <comment authorId="0" ref="C2137">
      <text>
        <t xml:space="preserve">double B260118
</t>
      </text>
    </comment>
    <comment authorId="0" ref="B2141">
      <text>
        <t xml:space="preserve">review 3 thn</t>
      </text>
    </comment>
    <comment authorId="0" ref="B2172">
      <text>
        <t xml:space="preserve">review 3 th </t>
      </text>
    </comment>
    <comment authorId="0" ref="C2175">
      <text>
        <t xml:space="preserve">baret kaca xyg, jadi ganti rugi 200k</t>
      </text>
    </comment>
    <comment authorId="0" ref="B2179">
      <text>
        <t xml:space="preserve">review 3 th
</t>
      </text>
    </comment>
    <comment authorId="0" ref="B2184">
      <text>
        <t xml:space="preserve">review 3 th</t>
      </text>
    </comment>
    <comment authorId="0" ref="B2191">
      <text>
        <t xml:space="preserve">review 3 th 
</t>
      </text>
    </comment>
    <comment authorId="0" ref="B2194">
      <text>
        <t xml:space="preserve">review 3 th
</t>
      </text>
    </comment>
    <comment authorId="0" ref="B2198">
      <text>
        <t xml:space="preserve">review 3 th 
</t>
      </text>
    </comment>
    <comment authorId="0" ref="B2204">
      <text>
        <t xml:space="preserve">review 3th 
</t>
      </text>
    </comment>
    <comment authorId="0" ref="B2227">
      <text>
        <t xml:space="preserve">VOID DOUBLE DGN NO B260130</t>
      </text>
    </comment>
    <comment authorId="0" ref="T2267">
      <text>
        <t xml:space="preserve">tf 100.000 dan 900.000
upping harga
sudah tf balik 165.000 ke 7125430457 Atas nama keming ucok</t>
      </text>
    </comment>
    <comment authorId="0" ref="B2273">
      <text>
        <t xml:space="preserve">review 3 th tgl 2/03/26</t>
      </text>
    </comment>
    <comment authorId="0" ref="B2293">
      <text>
        <t xml:space="preserve">review 3 th </t>
      </text>
    </comment>
    <comment authorId="0" ref="B2295">
      <text>
        <t xml:space="preserve">REVIEW 3 TH 
</t>
      </text>
    </comment>
    <comment authorId="0" ref="B2296">
      <text>
        <t xml:space="preserve">review 3 th 
</t>
      </text>
    </comment>
    <comment authorId="0" ref="B2298">
      <text>
        <t xml:space="preserve">review 3 th 
</t>
      </text>
    </comment>
    <comment authorId="0" ref="B2300">
      <text>
        <t xml:space="preserve">REVIEW GARANSI 3 TAHUN </t>
      </text>
    </comment>
    <comment authorId="0" ref="B2301">
      <text>
        <t xml:space="preserve">review 3 th 
</t>
      </text>
    </comment>
    <comment authorId="0" ref="B2303">
      <text>
        <t xml:space="preserve">review 3 th 
</t>
      </text>
    </comment>
    <comment authorId="0" ref="B2307">
      <text>
        <t xml:space="preserve">review 3 th 
</t>
      </text>
    </comment>
    <comment authorId="0" ref="B2309">
      <text>
        <t xml:space="preserve">review3 th 
</t>
      </text>
    </comment>
    <comment authorId="0" ref="B2312">
      <text>
        <t xml:space="preserve">review 3 th 
</t>
      </text>
    </comment>
    <comment authorId="0" ref="B2313">
      <text>
        <t xml:space="preserve">review 3 th </t>
      </text>
    </comment>
    <comment authorId="0" ref="B2316">
      <text>
        <t xml:space="preserve">review 3 th 
</t>
      </text>
    </comment>
    <comment authorId="0" ref="B2321">
      <text>
        <t xml:space="preserve">REVIEW 3 TH 
</t>
      </text>
    </comment>
    <comment authorId="0" ref="B2322">
      <text>
        <t xml:space="preserve">REVIEW 3 TH 
</t>
      </text>
    </comment>
    <comment authorId="0" ref="B2323">
      <text>
        <t xml:space="preserve">REVIEW 3 TAHUN</t>
      </text>
    </comment>
    <comment authorId="0" ref="B2325">
      <text>
        <t xml:space="preserve">review 3 th 
</t>
      </text>
    </comment>
    <comment authorId="0" ref="B2327">
      <text>
        <t xml:space="preserve">review 3 th 
</t>
      </text>
    </comment>
    <comment authorId="0" ref="B2333">
      <text>
        <t xml:space="preserve">surat jalan untuk kirim ke bekasi</t>
      </text>
    </comment>
    <comment authorId="0" ref="E2346">
      <text>
        <t xml:space="preserve">1pc dari tgr, di bks inout nota chery</t>
      </text>
    </comment>
    <comment authorId="0" ref="B2349">
      <text>
        <t xml:space="preserve">review 3 th 
</t>
      </text>
    </comment>
    <comment authorId="0" ref="B2351">
      <text>
        <t xml:space="preserve">review 3 th 
</t>
      </text>
    </comment>
    <comment authorId="0" ref="B2353">
      <text>
        <t xml:space="preserve">review 3 th 
</t>
      </text>
    </comment>
    <comment authorId="0" ref="B2360">
      <text>
        <t xml:space="preserve">review 3 th </t>
      </text>
    </comment>
    <comment authorId="0" ref="B2361">
      <text>
        <t xml:space="preserve">via tokped</t>
      </text>
    </comment>
    <comment authorId="0" ref="B2362">
      <text>
        <t xml:space="preserve">via tokped</t>
      </text>
    </comment>
    <comment authorId="0" ref="B2363">
      <text>
        <t xml:space="preserve">review 3 th 
</t>
      </text>
    </comment>
    <comment authorId="0" ref="B2366">
      <text>
        <t xml:space="preserve">review 3 th 
</t>
      </text>
    </comment>
    <comment authorId="0" ref="B2377">
      <text>
        <t xml:space="preserve">review 3  th
</t>
      </text>
    </comment>
    <comment authorId="0" ref="B2378">
      <text>
        <t xml:space="preserve">INSGR2600392</t>
      </text>
    </comment>
    <comment authorId="0" ref="B2379">
      <text>
        <t xml:space="preserve">review 3  th
</t>
      </text>
    </comment>
    <comment authorId="0" ref="B2380">
      <text>
        <t xml:space="preserve">review 3  th
</t>
      </text>
    </comment>
    <comment authorId="0" ref="B2381">
      <text>
        <t xml:space="preserve">review 3 th 
</t>
      </text>
    </comment>
    <comment authorId="0" ref="B2385">
      <text>
        <t xml:space="preserve">review 3 th 
</t>
      </text>
    </comment>
    <comment authorId="0" ref="B2386">
      <text>
        <t xml:space="preserve">REVIEW 3 TH 
</t>
      </text>
    </comment>
    <comment authorId="0" ref="B2404">
      <text>
        <t xml:space="preserve">review 3 taun</t>
      </text>
    </comment>
    <comment authorId="0" ref="B2412">
      <text>
        <t xml:space="preserve">review 3 th 
</t>
      </text>
    </comment>
    <comment authorId="0" ref="B2413">
      <text>
        <t xml:space="preserve">garansi 3 thn</t>
      </text>
    </comment>
    <comment authorId="0" ref="C2419">
      <text>
        <t xml:space="preserve">garansi 3 tahun</t>
      </text>
    </comment>
    <comment authorId="0" ref="B2423">
      <text>
        <t xml:space="preserve">REVIEW 3 TH 
</t>
      </text>
    </comment>
    <comment authorId="0" ref="B2426">
      <text>
        <t xml:space="preserve">garansi 3 taun</t>
      </text>
    </comment>
    <comment authorId="0" ref="B2432">
      <text>
        <t xml:space="preserve">review 3 th 
</t>
      </text>
    </comment>
    <comment authorId="0" ref="B2459">
      <text>
        <t xml:space="preserve">refund 300 lecet</t>
      </text>
    </comment>
    <comment authorId="0" ref="C2466">
      <text>
        <t xml:space="preserve">garansi 3 taun</t>
      </text>
    </comment>
    <comment authorId="0" ref="B2468">
      <text>
        <t xml:space="preserve">garansi 3 taun</t>
      </text>
    </comment>
    <comment authorId="0" ref="B2469">
      <text>
        <t xml:space="preserve">garansi 3 taun</t>
      </text>
    </comment>
    <comment authorId="0" ref="B2470">
      <text>
        <t xml:space="preserve">garansi 3 thun</t>
      </text>
    </comment>
    <comment authorId="0" ref="B2472">
      <text>
        <t xml:space="preserve">GARANSI 3 TAHUN</t>
      </text>
    </comment>
    <comment authorId="0" ref="B2473">
      <text>
        <t xml:space="preserve">GARANSI 3 TAHUN</t>
      </text>
    </comment>
    <comment authorId="0" ref="C2476">
      <text>
        <t xml:space="preserve">garansi 3 taun</t>
      </text>
    </comment>
    <comment authorId="0" ref="B2477">
      <text>
        <t xml:space="preserve">garansi 3 taun</t>
      </text>
    </comment>
    <comment authorId="0" ref="B2478">
      <text>
        <t xml:space="preserve">bareng dengan inv 72</t>
      </text>
    </comment>
    <comment authorId="0" ref="B2480">
      <text>
        <t xml:space="preserve">garansi 3 taun</t>
      </text>
    </comment>
    <comment authorId="0" ref="B2483">
      <text>
        <t xml:space="preserve">garansi 3 taun</t>
      </text>
    </comment>
    <comment authorId="0" ref="B2485">
      <text>
        <t xml:space="preserve">garansi 3 taun</t>
      </text>
    </comment>
    <comment authorId="0" ref="B2490">
      <text>
        <t xml:space="preserve">garansi 3 tahun</t>
      </text>
    </comment>
    <comment authorId="0" ref="B2492">
      <text>
        <t xml:space="preserve">garansi 3 taun</t>
      </text>
    </comment>
    <comment authorId="0" ref="B2493">
      <text>
        <t xml:space="preserve">garansi 3 tahun</t>
      </text>
    </comment>
    <comment authorId="0" ref="B2499">
      <text>
        <t xml:space="preserve">garansi 3 taun</t>
      </text>
    </comment>
    <comment authorId="0" ref="B2506">
      <text>
        <t xml:space="preserve">garansi 3 tahun
</t>
      </text>
    </comment>
    <comment authorId="0" ref="B2522">
      <text>
        <t xml:space="preserve">garansi 3 tahun
</t>
      </text>
    </comment>
    <comment authorId="0" ref="B2526">
      <text>
        <t xml:space="preserve">reveiw 3 th 
</t>
      </text>
    </comment>
    <comment authorId="0" ref="B2527">
      <text>
        <t xml:space="preserve">review 3 th 
</t>
      </text>
    </comment>
    <comment authorId="0" ref="B2528">
      <text>
        <t xml:space="preserve">garansi 3 tahun</t>
      </text>
    </comment>
    <comment authorId="0" ref="B2529">
      <text>
        <t xml:space="preserve">kaca aja</t>
      </text>
    </comment>
    <comment authorId="0" ref="B2530">
      <text>
        <t xml:space="preserve">kaca aja</t>
      </text>
    </comment>
    <comment authorId="0" ref="B2537">
      <text>
        <t xml:space="preserve">SOLARGARD 27 MARET
INSGR2600480 harga modal 225.225
</t>
      </text>
    </comment>
    <comment authorId="0" ref="C2552">
      <text>
        <t xml:space="preserve">garansi 3 tahun
</t>
      </text>
    </comment>
    <comment authorId="0" ref="C2558">
      <text>
        <t xml:space="preserve">garansi 3 tahun
</t>
      </text>
    </comment>
    <comment authorId="0" ref="C2563">
      <text>
        <t xml:space="preserve">garansi 3 tahun
</t>
      </text>
    </comment>
    <comment authorId="0" ref="C2566">
      <text>
        <t xml:space="preserve">garansi 3 tahun
</t>
      </text>
    </comment>
    <comment authorId="0" ref="C2567">
      <text>
        <t xml:space="preserve">garansi 3 tahun
</t>
      </text>
    </comment>
    <comment authorId="0" ref="B2569">
      <text>
        <t xml:space="preserve">
</t>
      </text>
    </comment>
    <comment authorId="0" ref="B2590">
      <text>
        <t xml:space="preserve">review 3 th </t>
      </text>
    </comment>
    <comment authorId="0" ref="B2591">
      <text>
        <t xml:space="preserve">review 3 th 
</t>
      </text>
    </comment>
    <comment authorId="0" ref="B2595">
      <text>
        <t xml:space="preserve">review 3 th 
</t>
      </text>
    </comment>
    <comment authorId="0" ref="B2600">
      <text>
        <t xml:space="preserve">review 3 th 
</t>
      </text>
    </comment>
    <comment authorId="0" ref="B2609">
      <text>
        <t xml:space="preserve">review 3 th 
</t>
      </text>
    </comment>
    <comment authorId="0" ref="B2622">
      <text>
        <t xml:space="preserve">garansi 3 tahun
</t>
      </text>
    </comment>
    <comment authorId="0" ref="B2625">
      <text>
        <t xml:space="preserve">review 3 thn
</t>
      </text>
    </comment>
    <comment authorId="0" ref="B2627">
      <text>
        <t xml:space="preserve">REVIEW 3 TH 
</t>
      </text>
    </comment>
    <comment authorId="0" ref="B2632">
      <text>
        <t xml:space="preserve">garansi 3 tahun</t>
      </text>
    </comment>
    <comment authorId="0" ref="B2633">
      <text>
        <t xml:space="preserve">review 3 th 
</t>
      </text>
    </comment>
    <comment authorId="0" ref="B2636">
      <text>
        <t xml:space="preserve">PECAH</t>
      </text>
    </comment>
    <comment authorId="0" ref="B2637">
      <text>
        <t xml:space="preserve">GARANSI 3 TAHUN</t>
      </text>
    </comment>
    <comment authorId="0" ref="B2640">
      <text>
        <t xml:space="preserve">riview 3 th 
</t>
      </text>
    </comment>
    <comment authorId="0" ref="B2646">
      <text>
        <t xml:space="preserve">garansi 3 thn</t>
      </text>
    </comment>
    <comment authorId="0" ref="B2648">
      <text>
        <t xml:space="preserve">review 3 th 
</t>
      </text>
    </comment>
    <comment authorId="0" ref="B2649">
      <text>
        <t xml:space="preserve">REVIW 3 TH
</t>
      </text>
    </comment>
    <comment authorId="0" ref="B2657">
      <text>
        <t xml:space="preserve">pecah</t>
      </text>
    </comment>
    <comment authorId="0" ref="B2658">
      <text>
        <t xml:space="preserve">pecah</t>
      </text>
    </comment>
    <comment authorId="0" ref="C2659">
      <text>
        <t xml:space="preserve">FILM-VIPVK void ga je</t>
      </text>
    </comment>
    <comment authorId="0" ref="B2669">
      <text>
        <t xml:space="preserve">garansi 3 tahun
</t>
      </text>
    </comment>
    <comment authorId="0" ref="B2670">
      <text>
        <t xml:space="preserve">review</t>
      </text>
    </comment>
    <comment authorId="0" ref="B2671">
      <text>
        <t xml:space="preserve">review</t>
      </text>
    </comment>
    <comment authorId="0" ref="B2673">
      <text>
        <t xml:space="preserve">garansi 3 thn</t>
      </text>
    </comment>
    <comment authorId="0" ref="B2674">
      <text>
        <t xml:space="preserve">garansi 3 thn</t>
      </text>
    </comment>
    <comment authorId="0" ref="C2674">
      <text>
        <t xml:space="preserve">garansi 3 thn
</t>
      </text>
    </comment>
    <comment authorId="0" ref="B2679">
      <text>
        <t xml:space="preserve">review 3 th
</t>
      </text>
    </comment>
    <comment authorId="0" ref="B2684">
      <text>
        <t xml:space="preserve">garansi 3 thn</t>
      </text>
    </comment>
    <comment authorId="0" ref="B2685">
      <text>
        <t xml:space="preserve">garansi 3 thn
spk ad di bekasi</t>
      </text>
    </comment>
    <comment authorId="0" ref="B2688">
      <text>
        <t xml:space="preserve">review 3 th 
</t>
      </text>
    </comment>
    <comment authorId="0" ref="B2690">
      <text>
        <t xml:space="preserve">review 3 th 
</t>
      </text>
    </comment>
    <comment authorId="0" ref="B2691">
      <text>
        <t xml:space="preserve">garansi 3 tahun</t>
      </text>
    </comment>
    <comment authorId="0" ref="B2692">
      <text>
        <t xml:space="preserve">review</t>
      </text>
    </comment>
    <comment authorId="0" ref="B2696">
      <text>
        <t xml:space="preserve">garansi 3 thn</t>
      </text>
    </comment>
    <comment authorId="0" ref="B2702">
      <text>
        <t xml:space="preserve">REVIEEW</t>
      </text>
    </comment>
    <comment authorId="0" ref="B2707">
      <text>
        <t xml:space="preserve">REVIEW 3 TAUN</t>
      </text>
    </comment>
    <comment authorId="0" ref="B2711">
      <text>
        <t xml:space="preserve">garansi</t>
      </text>
    </comment>
    <comment authorId="0" ref="B2712">
      <text>
        <t xml:space="preserve">REVIEW 3 TH 
</t>
      </text>
    </comment>
    <comment authorId="0" ref="B2713">
      <text>
        <t xml:space="preserve">review 3 th 
</t>
      </text>
    </comment>
    <comment authorId="0" ref="B2716">
      <text>
        <t xml:space="preserve">review 3 th 
</t>
      </text>
    </comment>
    <comment authorId="0" ref="B2717">
      <text>
        <t xml:space="preserve">review 3 th 
</t>
      </text>
    </comment>
    <comment authorId="0" ref="B2719">
      <text>
        <t xml:space="preserve">review 3 th 
</t>
      </text>
    </comment>
    <comment authorId="0" ref="B2723">
      <text>
        <t xml:space="preserve">review 3 th 
</t>
      </text>
    </comment>
    <comment authorId="0" ref="B2724">
      <text>
        <t xml:space="preserve">REVIEW 3 TH 
</t>
      </text>
    </comment>
    <comment authorId="0" ref="B2726">
      <text>
        <t xml:space="preserve">review 3 th 
</t>
      </text>
    </comment>
    <comment authorId="0" ref="B2729">
      <text>
        <t xml:space="preserve">yayam agung</t>
      </text>
    </comment>
    <comment authorId="0" ref="B2732">
      <text>
        <t xml:space="preserve">garansi</t>
      </text>
    </comment>
    <comment authorId="0" ref="B2733">
      <text>
        <t xml:space="preserve">review 3 th
</t>
      </text>
    </comment>
    <comment authorId="0" ref="B2736">
      <text>
        <t xml:space="preserve">review 3 th 
</t>
      </text>
    </comment>
    <comment authorId="0" ref="B2741">
      <text>
        <t xml:space="preserve">INVKR2600764 modal 3.234.000</t>
      </text>
    </comment>
    <comment authorId="0" ref="B2744">
      <text>
        <t xml:space="preserve">garansi 3 tahun</t>
      </text>
    </comment>
    <comment authorId="0" ref="B2747">
      <text>
        <t xml:space="preserve">garansi</t>
      </text>
    </comment>
    <comment authorId="0" ref="B2749">
      <text>
        <t xml:space="preserve">garansi</t>
      </text>
    </comment>
    <comment authorId="0" ref="B2769">
      <text>
        <t xml:space="preserve">review 3 th 
</t>
      </text>
    </comment>
    <comment authorId="0" ref="B2778">
      <text>
        <t xml:space="preserve">garansi</t>
      </text>
    </comment>
    <comment authorId="0" ref="B2779">
      <text>
        <t xml:space="preserve">review 3 th 
</t>
      </text>
    </comment>
    <comment authorId="0" ref="B2782">
      <text>
        <t xml:space="preserve">review 3 th 
</t>
      </text>
    </comment>
    <comment authorId="0" ref="B2783">
      <text>
        <t xml:space="preserve">GARANSI</t>
      </text>
    </comment>
    <comment authorId="0" ref="B2786">
      <text>
        <t xml:space="preserve">review 3 th 
</t>
      </text>
    </comment>
    <comment authorId="0" ref="B2787">
      <text>
        <t xml:space="preserve">review 3 th 
</t>
      </text>
    </comment>
    <comment authorId="0" ref="B2790">
      <text>
        <t xml:space="preserve">review</t>
      </text>
    </comment>
    <comment authorId="0" ref="B2800">
      <text>
        <t xml:space="preserve">garansi 3 th 
</t>
      </text>
    </comment>
    <comment authorId="0" ref="B2801">
      <text>
        <t xml:space="preserve">review
</t>
      </text>
    </comment>
    <comment authorId="0" ref="B2803">
      <text>
        <t xml:space="preserve">review</t>
      </text>
    </comment>
    <comment authorId="0" ref="B2807">
      <text>
        <t xml:space="preserve">review</t>
      </text>
    </comment>
    <comment authorId="0" ref="B2809">
      <text>
        <t xml:space="preserve">garansi
</t>
      </text>
    </comment>
    <comment authorId="0" ref="B2810">
      <text>
        <t xml:space="preserve">review 3 th 
</t>
      </text>
    </comment>
    <comment authorId="0" ref="B2813">
      <text>
        <t xml:space="preserve">PECAH AGUNG+DIMAS</t>
      </text>
    </comment>
    <comment authorId="0" ref="B2815">
      <text>
        <t xml:space="preserve">garansi review</t>
      </text>
    </comment>
    <comment authorId="0" ref="B2818">
      <text>
        <t xml:space="preserve">REVIEW</t>
      </text>
    </comment>
    <comment authorId="0" ref="B2819">
      <text>
        <t xml:space="preserve">REVIEW</t>
      </text>
    </comment>
    <comment authorId="0" ref="B2822">
      <text>
        <t xml:space="preserve">review</t>
      </text>
    </comment>
    <comment authorId="0" ref="Q2826">
      <text>
        <t xml:space="preserve">14/04/2026
beli karet 
</t>
      </text>
    </comment>
    <comment authorId="0" ref="B2829">
      <text>
        <t xml:space="preserve">review 3 th 
</t>
      </text>
    </comment>
    <comment authorId="0" ref="B2831">
      <text>
        <t xml:space="preserve">garanasi</t>
      </text>
    </comment>
    <comment authorId="0" ref="B2833">
      <text>
        <t xml:space="preserve">garansi</t>
      </text>
    </comment>
    <comment authorId="0" ref="B2852">
      <text>
        <t xml:space="preserve">review</t>
      </text>
    </comment>
    <comment authorId="0" ref="B2853">
      <text>
        <t xml:space="preserve">garansi</t>
      </text>
    </comment>
    <comment authorId="0" ref="B2860">
      <text>
        <t xml:space="preserve">review 3 th 
</t>
      </text>
    </comment>
    <comment authorId="0" ref="B2862">
      <text>
        <t xml:space="preserve">review 3 th 
</t>
      </text>
    </comment>
    <comment authorId="0" ref="B2866">
      <text>
        <t xml:space="preserve">review</t>
      </text>
    </comment>
    <comment authorId="0" ref="B2867">
      <text>
        <t xml:space="preserve">review</t>
      </text>
    </comment>
    <comment authorId="0" ref="B2868">
      <text>
        <t xml:space="preserve">review</t>
      </text>
    </comment>
    <comment authorId="0" ref="B2878">
      <text>
        <t xml:space="preserve">review 3 th 
</t>
      </text>
    </comment>
    <comment authorId="0" ref="B2881">
      <text>
        <t xml:space="preserve">review 7 hari
</t>
      </text>
    </comment>
    <comment authorId="0" ref="B2885">
      <text>
        <t xml:space="preserve">review 3 th
</t>
      </text>
    </comment>
    <comment authorId="0" ref="B2886">
      <text>
        <t xml:space="preserve">REVIEW 3 TH 
</t>
      </text>
    </comment>
    <comment authorId="0" ref="B2892">
      <text>
        <t xml:space="preserve">review 3 th 
</t>
      </text>
    </comment>
    <comment authorId="0" ref="B2900">
      <text>
        <t xml:space="preserve">garansi </t>
      </text>
    </comment>
    <comment authorId="0" ref="B2901">
      <text>
        <t xml:space="preserve">review 3 th 
</t>
      </text>
    </comment>
    <comment authorId="0" ref="B2902">
      <text>
        <t xml:space="preserve">review 3 th 
</t>
      </text>
    </comment>
    <comment authorId="0" ref="B2904">
      <text>
        <t xml:space="preserve">review</t>
      </text>
    </comment>
    <comment authorId="0" ref="B2905">
      <text>
        <t xml:space="preserve">review</t>
      </text>
    </comment>
    <comment authorId="0" ref="B2910">
      <text>
        <t xml:space="preserve">review</t>
      </text>
    </comment>
    <comment authorId="0" ref="B2911">
      <text>
        <t xml:space="preserve">nota yang dikirim D260154</t>
      </text>
    </comment>
    <comment authorId="0" ref="B2921">
      <text>
        <t xml:space="preserve">review 3 th 
</t>
      </text>
    </comment>
    <comment authorId="0" ref="B2922">
      <text>
        <t xml:space="preserve">review 3 th 
</t>
      </text>
    </comment>
    <comment authorId="0" ref="B2925">
      <text>
        <t xml:space="preserve">review
</t>
      </text>
    </comment>
    <comment authorId="0" ref="B2933">
      <text>
        <t xml:space="preserve">review 3 th 
</t>
      </text>
    </comment>
    <comment authorId="0" ref="B2934">
      <text>
        <t xml:space="preserve">review 3 th 
</t>
      </text>
    </comment>
    <comment authorId="0" ref="B2935">
      <text>
        <t xml:space="preserve">review 3 th 
</t>
      </text>
    </comment>
    <comment authorId="0" ref="B2940">
      <text>
        <t xml:space="preserve">REVIEW</t>
      </text>
    </comment>
    <comment authorId="0" ref="B2944">
      <text>
        <t xml:space="preserve">garansi 3 tahun</t>
      </text>
    </comment>
    <comment authorId="0" ref="C2945">
      <text>
        <t xml:space="preserve">Ganti pecah</t>
      </text>
    </comment>
    <comment authorId="0" ref="B2961">
      <text>
        <t xml:space="preserve">garansi</t>
      </text>
    </comment>
    <comment authorId="0" ref="B2963">
      <text>
        <t xml:space="preserve">garansi 3 tahun</t>
      </text>
    </comment>
    <comment authorId="1" xr:uid="{0f43cae8-7ced-42bc-8756-9deb992e6f1e}" ref="B12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1.5 tahun
</t>
      </text>
    </comment>
    <comment authorId="2" xr:uid="{3b54c7e8-f67b-4d17-a95e-08af4b6c8747}" ref="C4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@tharinatirta.sentra@gmail.com Ini harusnya LFW-STARGAZERRSXYG.. jangan salah input ya ,nnti stoknya ngaco :*
udh gua benerin
Ditugaskan kepada tharinatirta.sentra@gmail.com
</t>
      </text>
    </comment>
    <comment authorId="3" xr:uid="{4f01e5bc-3350-4c6c-86c6-b52f5d474945}" ref="B22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BLUM BAYAR
</t>
      </text>
    </comment>
    <comment authorId="4" xr:uid="{66baa626-7c41-4a5b-be2d-5924590900e0}" ref="B12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K250055
</t>
      </text>
    </comment>
    <comment authorId="5" xr:uid="{80264e1e-27ed-447d-8462-fa142e3b3a85}" ref="B3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udh review +6 bln garansi
</t>
      </text>
    </comment>
    <comment authorId="6" xr:uid="{ea26039a-1888-4a6a-84d6-1a0ece794d20}" ref="B4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+6 bulan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">
      <text>
        <t xml:space="preserve">Bensin motor teknisi (home service / antar barang kecil)
Tol (jika teknisi pakai mobil operasional)
Parkir (mall, rumah sakit, apartemen, dll saat pasang/kirim kaca)
Transportasi darurat (ojek online, dll)</t>
      </text>
    </comment>
    <comment authorId="0" ref="L2">
      <text>
        <t xml:space="preserve">Sealant / PU tambahan (jika beli eceran darurat)
Primer / activator kaca (kecil-kecilan, kalau habis tiba-tiba)
Kain lap, tisu, sabun pembersih kaca
Cutter, silet, scraper, kuas kecil, masking tape
Lakban, plastik wrap untuk proteksi mobil
Bahan pengikat/pengganjal (busur, karet, selang, busa, dsb)</t>
      </text>
    </comment>
    <comment authorId="0" ref="M2">
      <text>
        <t xml:space="preserve">ATK (bolpoin, buku nota, kertas HVS)
Printer (tinta, kertas, isi ulang)
Fotokopi, materai kecil
Pulsa/kuota darurat untuk admin/teknisi</t>
      </text>
    </comment>
    <comment authorId="0" ref="N2">
      <text>
        <t xml:space="preserve">Aqua galon, refill air minum
Gas elpiji (jika ada dispenser kompor kecil)
Kopi, teh, gula, snack teknisi
Konsumsi kecil kalau lembur</t>
      </text>
    </comment>
    <comment authorId="0" ref="O2">
      <text>
        <t xml:space="preserve">Service AC kipas/exhaust
Lampu bengkel (ganti bohlam, kabel, stop kontak kecil)
Alat kebersihan (sapu, pel, kain pel, ember)
Sabun cuci tangan, hand sanitizer
Pest control (kapur anti serangga, semprot nyamuk)</t>
      </text>
    </comment>
    <comment authorId="0" ref="P2">
      <text>
        <t xml:space="preserve">Lain-lain (catatan harus jelas alasannya)</t>
      </text>
    </comment>
    <comment authorId="0" ref="D23">
      <text>
        <t xml:space="preserve">kca fdl confero</t>
      </text>
    </comment>
    <comment authorId="0" ref="D24">
      <text>
        <t xml:space="preserve">swl jazz</t>
      </text>
    </comment>
    <comment authorId="0" ref="D25">
      <text>
        <t xml:space="preserve">fdl mux dan livina07ash</t>
      </text>
    </comment>
    <comment authorId="0" ref="D35">
      <text>
        <t xml:space="preserve">LFW-EVALIAASH
</t>
      </text>
    </comment>
    <comment authorId="0" ref="F50">
      <text>
        <t xml:space="preserve">Rp.50.000 pinjamg uang laci
</t>
      </text>
    </comment>
    <comment authorId="0" ref="D51">
      <text>
        <t xml:space="preserve">FDL-STARGAZER</t>
      </text>
    </comment>
    <comment authorId="0" ref="F51">
      <text>
        <t xml:space="preserve">Pakek 20 ribu uang kasir</t>
      </text>
    </comment>
    <comment authorId="0" ref="F60">
      <text>
        <t xml:space="preserve">pake duit ka tharina
31/10 udah di balikin
</t>
      </text>
    </comment>
    <comment authorId="0" ref="F61">
      <text>
        <t xml:space="preserve">DIBAYAR KO RIAN Rp 300.000
</t>
      </text>
    </comment>
    <comment authorId="0" ref="D63">
      <text>
        <t xml:space="preserve">BC ke TGR</t>
      </text>
    </comment>
    <comment authorId="0" ref="D115">
      <text>
        <t xml:space="preserve">di transfer rp 7.500</t>
      </text>
    </comment>
    <comment authorId="0" ref="D122">
      <text>
        <t xml:space="preserve">amplas 3m (2m dibawah, 1m utk stock)
kape 2pcs (1 toolbok bawah, 1 stock)</t>
      </text>
    </comment>
    <comment authorId="0" ref="B128">
      <text>
        <t xml:space="preserve">selasa 02 desember isiny, tpi diinfo sm ko yan tgl 4</t>
      </text>
    </comment>
    <comment authorId="0" ref="D153">
      <text>
        <t xml:space="preserve">300rb di tf dri alvin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8">
      <text>
        <t xml:space="preserve">ko rian info tidak usah di setor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tc={0d7aefa3-a2ec-486c-9a9d-caf5b8abc7fc}</author>
    <author>tc={1b6a60a6-e0a7-40f0-87b1-ee33b529b8cf}</author>
    <author>tc={312c1c6d-0f15-4e67-abe2-a7b418033a3e}</author>
    <author>tc={3a4d40e9-4735-482b-a6e8-402aded0095a}</author>
    <author>tc={3b8a6fc5-6a7a-4388-919c-4d789c7477be}</author>
    <author>tc={44306a07-38ac-4a74-a9cc-bc949c640466}</author>
    <author>tc={45e2b29c-4335-452f-861c-08a831b410e6}</author>
    <author>tc={754d32c2-8388-49ab-a7a0-7261215ebe11}</author>
    <author>tc={86f76dce-3d35-499f-862e-8f4eb74c8d81}</author>
    <author>tc={969f8356-f326-43c4-ba3c-21179cbf3c29}</author>
    <author>tc={a4512524-c22f-4f1e-9ca0-b571f5846bbe}</author>
    <author>tc={a8ea8b9f-1e67-4174-89b3-2a4935d31c3d}</author>
    <author>tc={c828df3a-0bfb-480f-9996-8a4eddb23574}</author>
    <author>tc={c94b33d7-616b-4150-b370-5eca27901dd9}</author>
    <author>tc={f2f4292a-94e9-4627-b4b9-7d0dfdeeb85c}</author>
    <author>tc={ff29ebd7-86f1-40c2-b104-300a4322b4cd}</author>
  </authors>
  <commentList>
    <comment authorId="0" ref="N223">
      <text>
        <t xml:space="preserve">Rp. 5.187.77 24/07/25</t>
      </text>
    </comment>
    <comment authorId="0" ref="N272">
      <text>
        <t xml:space="preserve">disc cashback 3.000.000
</t>
      </text>
    </comment>
    <comment authorId="0" ref="N273">
      <text>
        <t xml:space="preserve">disc cashback 3.000.000
</t>
      </text>
    </comment>
    <comment authorId="0" ref="B313">
      <text>
        <t xml:space="preserve">Potong cashback 4.683.520
ttl inv : 3.655.580</t>
      </text>
    </comment>
    <comment authorId="0" ref="B337">
      <text>
        <t xml:space="preserve">LFW-ALMAZ SGBP
FULL SIDE + SUNROOF
</t>
      </text>
    </comment>
    <comment authorId="0" ref="D345">
      <text>
        <t xml:space="preserve">BLM DATANG
dtg 31/7/25
</t>
      </text>
    </comment>
    <comment authorId="0" ref="B348">
      <text>
        <t xml:space="preserve">TRW-SIENTA</t>
      </text>
    </comment>
    <comment authorId="0" ref="D356">
      <text>
        <t xml:space="preserve">Retur BGI - tidak presisi
SJ</t>
      </text>
    </comment>
    <comment authorId="0" ref="B357">
      <text>
        <t xml:space="preserve">TRW-W212 SGBP
</t>
      </text>
    </comment>
    <comment authorId="0" ref="B438">
      <text>
        <t xml:space="preserve">Yng cacat mau di retur</t>
      </text>
    </comment>
    <comment authorId="0" ref="D493">
      <text>
        <t xml:space="preserve">1 ROLL 50 METER</t>
      </text>
    </comment>
    <comment authorId="0" ref="B494">
      <text>
        <t xml:space="preserve">Sudah lunas</t>
      </text>
    </comment>
    <comment authorId="0" ref="D498">
      <text>
        <t xml:space="preserve">SAUSAGE 600ML
</t>
      </text>
    </comment>
    <comment authorId="0" ref="F532">
      <text>
        <t xml:space="preserve">NOTA 2 
1 BKS
1 TGR
</t>
      </text>
    </comment>
    <comment authorId="0" ref="D576">
      <text>
        <t xml:space="preserve">TRW-CAMRY11
</t>
      </text>
    </comment>
    <comment authorId="0" ref="F578">
      <text>
        <t xml:space="preserve">NOTA 2 
1 BKS
1 TGR</t>
      </text>
    </comment>
    <comment authorId="0" ref="F579">
      <text>
        <t xml:space="preserve">NOTA 2 
1 BKS
1 TGR</t>
      </text>
    </comment>
    <comment authorId="0" ref="F580">
      <text>
        <t xml:space="preserve">NOTA 2 
1 BKS
1 TGR</t>
      </text>
    </comment>
    <comment authorId="0" ref="F596">
      <text>
        <t xml:space="preserve">2 TGR / 2 BKS
03/09/25 - Bekasi belum terima
17/09/25 - bekasi terima 2
</t>
      </text>
    </comment>
    <comment authorId="0" ref="F597">
      <text>
        <t xml:space="preserve">2 TGR / 2 BKS
03/09/25 - Bekasi belum terima
17/09/25 - bekasi terima 2
</t>
      </text>
    </comment>
    <comment authorId="0" ref="F598">
      <text>
        <t xml:space="preserve">2 TGR / 2 BKS
03/09/25 - Bekasi terima 1pc
17/09/25 - bekasi terima 1pc
</t>
      </text>
    </comment>
    <comment authorId="0" ref="F599">
      <text>
        <t xml:space="preserve">2 TGR / 2 BKS</t>
      </text>
    </comment>
    <comment authorId="0" ref="F606">
      <text>
        <t xml:space="preserve">2 TGR / 2 BKS</t>
      </text>
    </comment>
    <comment authorId="0" ref="F607">
      <text>
        <t xml:space="preserve">1 TGR / 1 BKS
</t>
      </text>
    </comment>
    <comment authorId="0" ref="F608">
      <text>
        <t xml:space="preserve">1 TGR / 1 BKS
</t>
      </text>
    </comment>
    <comment authorId="0" ref="F609">
      <text>
        <t xml:space="preserve">1 TGR / 1 BKS
</t>
      </text>
    </comment>
    <comment authorId="0" ref="F611">
      <text>
        <t xml:space="preserve">1 TGR / 1 BKS
</t>
      </text>
    </comment>
    <comment authorId="0" ref="F612">
      <text>
        <t xml:space="preserve">1 TGR / 1 BKS
</t>
      </text>
    </comment>
    <comment authorId="0" ref="F613">
      <text>
        <t xml:space="preserve">1 TGR / 1 BKS
</t>
      </text>
    </comment>
    <comment authorId="0" ref="F614">
      <text>
        <t xml:space="preserve">1 TGR / 1 BKS
</t>
      </text>
    </comment>
    <comment authorId="0" ref="F615">
      <text>
        <t xml:space="preserve">1 TGR / 1 BKS
</t>
      </text>
    </comment>
    <comment authorId="0" ref="D671">
      <text>
        <t xml:space="preserve">H250021 - LFW-BRV22AGC</t>
      </text>
    </comment>
    <comment authorId="0" ref="F679">
      <text>
        <t xml:space="preserve">kurang 100pc lg
15/9/25 - 5 dus</t>
      </text>
    </comment>
    <comment authorId="0" ref="G687">
      <text>
        <t xml:space="preserve">potongan 200k ada noda putih di kaca</t>
      </text>
    </comment>
    <comment authorId="0" ref="H791">
      <text>
        <t xml:space="preserve">POTONGAN 250.000 PERMUKAAN TIDAK RATA</t>
      </text>
    </comment>
    <comment authorId="0" ref="D795">
      <text>
        <t xml:space="preserve">1pcs belum dikirim ke bks, di invoice ada 3 pcs
</t>
      </text>
    </comment>
    <comment authorId="0" ref="G857">
      <text>
        <t xml:space="preserve">potongan 200k baret dan gelembung</t>
      </text>
    </comment>
    <comment authorId="0" ref="B862">
      <text>
        <t xml:space="preserve">lunas, ko yan byr</t>
      </text>
    </comment>
    <comment authorId="0" ref="B863">
      <text>
        <t xml:space="preserve">lunas, ko yan byr</t>
      </text>
    </comment>
    <comment authorId="0" ref="B866">
      <text>
        <t xml:space="preserve">lunas, ko yan byr</t>
      </text>
    </comment>
    <comment authorId="0" ref="G880">
      <text>
        <t xml:space="preserve">45% DI NOTA LAIN</t>
      </text>
    </comment>
    <comment authorId="0" ref="B881">
      <text>
        <t xml:space="preserve">Kaca sudah lunas , Perlu di ambil ke bc</t>
      </text>
    </comment>
    <comment authorId="0" ref="B894">
      <text>
        <t xml:space="preserve">K250018 - TRW-BRIO</t>
      </text>
    </comment>
    <comment authorId="0" ref="B903">
      <text>
        <t xml:space="preserve">Sudah di trf via 5781177611 </t>
      </text>
    </comment>
    <comment authorId="0" ref="B905">
      <text>
        <t xml:space="preserve">Sudah di trf via 5781177611 </t>
      </text>
    </comment>
    <comment authorId="0" ref="B906">
      <text>
        <t xml:space="preserve">Sudah di trf via 5781177611 
</t>
      </text>
    </comment>
    <comment authorId="0" ref="B907">
      <text>
        <t xml:space="preserve">kirimkan dari SBY ke TGR</t>
      </text>
    </comment>
    <comment authorId="0" ref="B916">
      <text>
        <t xml:space="preserve">Sudah di trf via 5781177611 </t>
      </text>
    </comment>
    <comment authorId="0" ref="B917">
      <text>
        <t xml:space="preserve">Sudah di trf via 5781177611 </t>
      </text>
    </comment>
    <comment authorId="0" ref="B918">
      <text>
        <t xml:space="preserve">K250059 - LFW-AVANZA11</t>
      </text>
    </comment>
    <comment authorId="0" ref="B928">
      <text>
        <t xml:space="preserve">Sudah di trf via 5781177611 </t>
      </text>
    </comment>
    <comment authorId="0" ref="B929">
      <text>
        <t xml:space="preserve">Sudah di trf via 5781177611 </t>
      </text>
    </comment>
    <comment authorId="0" ref="B940">
      <text>
        <t xml:space="preserve">Sudah di trf via 5781177611 </t>
      </text>
    </comment>
    <comment authorId="0" ref="B941">
      <text>
        <t xml:space="preserve">Sudah di trf via 5781177611 </t>
      </text>
    </comment>
    <comment authorId="0" ref="B952">
      <text>
        <t xml:space="preserve">Sudah di trf via 5781177611 </t>
      </text>
    </comment>
    <comment authorId="0" ref="B953">
      <text>
        <t xml:space="preserve">Sudah di trf via 5781177611 </t>
      </text>
    </comment>
    <comment authorId="0" ref="B966">
      <text>
        <t xml:space="preserve">Sudah di trf via 5781177611 </t>
      </text>
    </comment>
    <comment authorId="0" ref="B978">
      <text>
        <t xml:space="preserve">Sudah di trf via 5781177611 </t>
      </text>
    </comment>
    <comment authorId="0" ref="B979">
      <text>
        <t xml:space="preserve">LFW-HRV14 
B 1643 WYZ</t>
      </text>
    </comment>
    <comment authorId="0" ref="B997">
      <text>
        <t xml:space="preserve">Sudah di trf via 5781177611 </t>
      </text>
    </comment>
    <comment authorId="0" ref="B998">
      <text>
        <t xml:space="preserve">Sudah di trf via 5781177611 </t>
      </text>
    </comment>
    <comment authorId="0" ref="B1040">
      <text>
        <t xml:space="preserve">Sudah di trf via 5781177611 </t>
      </text>
    </comment>
    <comment authorId="0" ref="B1041">
      <text>
        <t xml:space="preserve">Sudah di trf via 5781177611 </t>
      </text>
    </comment>
    <comment authorId="0" ref="B1045">
      <text>
        <t xml:space="preserve">Sudah di trf via 5781177611 </t>
      </text>
    </comment>
    <comment authorId="0" ref="B1046">
      <text>
        <t xml:space="preserve">Sudah di trf via 5781177611 </t>
      </text>
    </comment>
    <comment authorId="0" ref="D1060">
      <text>
        <t xml:space="preserve">HARGA RP 717.750 TPI GOMPAL JADI DISKON 100RB</t>
      </text>
    </comment>
    <comment authorId="0" ref="B1104">
      <text>
        <t xml:space="preserve">Sudah di trf via 5781177611 </t>
      </text>
    </comment>
    <comment authorId="0" ref="G1131">
      <text>
        <t xml:space="preserve">2511096  706500 potongan</t>
      </text>
    </comment>
    <comment authorId="0" ref="F1174">
      <text>
        <t xml:space="preserve">4 CACAT DI BY</t>
      </text>
    </comment>
    <comment authorId="0" ref="B1204">
      <text>
        <t xml:space="preserve">Sudah di trf via 5781177611 </t>
      </text>
    </comment>
    <comment authorId="0" ref="B1207">
      <text>
        <t xml:space="preserve">Sudah di trf via 5781177611 </t>
      </text>
    </comment>
    <comment authorId="0" ref="B1208">
      <text>
        <t xml:space="preserve">Sudah di trf via 5781177611 </t>
      </text>
    </comment>
    <comment authorId="0" ref="B1209">
      <text>
        <t xml:space="preserve">Sudah di trf via 5781177611 </t>
      </text>
    </comment>
    <comment authorId="0" ref="B1216">
      <text>
        <t xml:space="preserve">L250108 - LFW CITY14</t>
      </text>
    </comment>
    <comment authorId="0" ref="B1217">
      <text>
        <t xml:space="preserve">L250128 - LFW CRETA</t>
      </text>
    </comment>
    <comment authorId="0" ref="B1218">
      <text>
        <t xml:space="preserve">Sudah di trf via 5781177611 </t>
      </text>
    </comment>
    <comment authorId="0" ref="B1220">
      <text>
        <t xml:space="preserve">Sudah di trf via 5781177611 </t>
      </text>
    </comment>
    <comment authorId="0" ref="B1221">
      <text>
        <t xml:space="preserve">Sudah di trf via 5781177611 </t>
      </text>
    </comment>
    <comment authorId="0" ref="B1225">
      <text>
        <t xml:space="preserve">Sudah di trf via 5781177611 </t>
      </text>
    </comment>
    <comment authorId="0" ref="B1228">
      <text>
        <t xml:space="preserve">Sudah di trf via 5781177611 </t>
      </text>
    </comment>
    <comment authorId="0" ref="B1229">
      <text>
        <t xml:space="preserve">Sudah di trf via 5781177611 </t>
      </text>
    </comment>
    <comment authorId="0" ref="B1235">
      <text>
        <t xml:space="preserve">Sudah di trf via 5781177611 </t>
      </text>
    </comment>
    <comment authorId="0" ref="B1236">
      <text>
        <t xml:space="preserve">Sudah di trf via 5781177611 </t>
      </text>
    </comment>
    <comment authorId="0" ref="B1242">
      <text>
        <t xml:space="preserve">Sudah di trf via 5781177611 </t>
      </text>
    </comment>
    <comment authorId="0" ref="B1243">
      <text>
        <t xml:space="preserve">Sudah di trf via 5781177611 </t>
      </text>
    </comment>
    <comment authorId="0" ref="B1244">
      <text>
        <t xml:space="preserve">Sudah di trf via 5781177611 </t>
      </text>
    </comment>
    <comment authorId="0" ref="B1245">
      <text>
        <t xml:space="preserve">Sudah di trf via 5781177611 </t>
      </text>
    </comment>
    <comment authorId="0" ref="B1246">
      <text>
        <t xml:space="preserve">Sudah di trf via 5781177611 </t>
      </text>
    </comment>
    <comment authorId="0" ref="B1247">
      <text>
        <t xml:space="preserve">Sudah di trf via 5781177611 </t>
      </text>
    </comment>
    <comment authorId="0" ref="B1248">
      <text>
        <t xml:space="preserve">Sudah di trf via 5781177611 </t>
      </text>
    </comment>
    <comment authorId="0" ref="B1249">
      <text>
        <t xml:space="preserve">Sudah di trf via 5781177611 </t>
      </text>
    </comment>
    <comment authorId="0" ref="B1250">
      <text>
        <t xml:space="preserve">Sudah di trf via 5781177611 </t>
      </text>
    </comment>
    <comment authorId="0" ref="B1263">
      <text>
        <t xml:space="preserve">Sudah di trf via 5781177611 </t>
      </text>
    </comment>
    <comment authorId="0" ref="B1269">
      <text>
        <t xml:space="preserve">Sudah di trf via 5781177611 </t>
      </text>
    </comment>
    <comment authorId="0" ref="B1270">
      <text>
        <t xml:space="preserve">A260043 - FDR CRV</t>
      </text>
    </comment>
    <comment authorId="0" ref="B1271">
      <text>
        <t xml:space="preserve">Sudah di trf via 5781177611 </t>
      </text>
    </comment>
    <comment authorId="0" ref="B1296">
      <text>
        <t xml:space="preserve">Sudah di trf via 5781177611 </t>
      </text>
    </comment>
    <comment authorId="0" ref="B1298">
      <text>
        <t xml:space="preserve">Sudah di trf via 5781177611 </t>
      </text>
    </comment>
    <comment authorId="0" ref="B1301">
      <text>
        <t xml:space="preserve">Sudah di trf via 5781177611 </t>
      </text>
    </comment>
    <comment authorId="0" ref="B1303">
      <text>
        <t xml:space="preserve">Sudah di trf via 5781177611 </t>
      </text>
    </comment>
    <comment authorId="0" ref="B1305">
      <text>
        <t xml:space="preserve">Sudah di trf via 5781177611 </t>
      </text>
    </comment>
    <comment authorId="0" ref="B1306">
      <text>
        <t xml:space="preserve">Sudah di trf via 5781177611 </t>
      </text>
    </comment>
    <comment authorId="0" ref="B1309">
      <text>
        <t xml:space="preserve">Sudah di trf via 5781177611 </t>
      </text>
    </comment>
    <comment authorId="0" ref="B1346">
      <text>
        <t xml:space="preserve">Sudah di trf via 5781177611 </t>
      </text>
    </comment>
    <comment authorId="0" ref="D1347">
      <text>
        <t xml:space="preserve">Potong Nota A260061</t>
      </text>
    </comment>
    <comment authorId="0" ref="N1378">
      <text>
        <t xml:space="preserve">salah tf total 3.985.344 10/04/26
14/04/26 - -1,253,406</t>
      </text>
    </comment>
    <comment authorId="0" ref="N1379">
      <text>
        <t xml:space="preserve">salah tf total 3.985.344 10/04/26
14/04/26 - -1,253,406</t>
      </text>
    </comment>
    <comment authorId="0" ref="L1393">
      <text>
        <t xml:space="preserve"> bayar 632.700 : SO250601875 DP SELTOS</t>
      </text>
    </comment>
    <comment authorId="0" ref="L1394">
      <text>
        <t xml:space="preserve"> bayar 632.700 : SO250601875 DP SELTOS</t>
      </text>
    </comment>
    <comment authorId="0" ref="D1425">
      <text>
        <t xml:space="preserve">Baru terima 5 pcs </t>
      </text>
    </comment>
    <comment authorId="0" ref="B1443">
      <text>
        <t xml:space="preserve">BRV LIANTO</t>
      </text>
    </comment>
    <comment authorId="0" ref="B1470">
      <text>
        <t xml:space="preserve">Darmansyah LFW MOBILIO</t>
      </text>
    </comment>
    <comment authorId="0" ref="F1541">
      <text>
        <t xml:space="preserve">Masih perlu ambil 9 pcs ke bc</t>
      </text>
    </comment>
    <comment authorId="0" ref="F1554">
      <text>
        <t xml:space="preserve">Masih sisa 6 pcs</t>
      </text>
    </comment>
    <comment authorId="0" ref="F1566">
      <text>
        <t xml:space="preserve">masih 5  pcs lagi perlu kita ambil</t>
      </text>
    </comment>
    <comment authorId="0" ref="B1567">
      <text>
        <t xml:space="preserve">C260041</t>
      </text>
    </comment>
    <comment authorId="0" ref="F1619">
      <text>
        <t xml:space="preserve">13 PCS masih belum di ambil ke bc</t>
      </text>
    </comment>
    <comment authorId="0" ref="B1667">
      <text>
        <t xml:space="preserve">D260039</t>
      </text>
    </comment>
    <comment authorId="0" ref="F1669">
      <text>
        <t xml:space="preserve">PO 2 PCS BARU DATENG 1 PCS</t>
      </text>
    </comment>
    <comment authorId="0" ref="F1670">
      <text>
        <t xml:space="preserve">PESEN KIRI KODE DAPET DARI SI PANEN NYA YANG DATENG MALAH KANAN UDAH LAPORAN MINTA TUKER</t>
      </text>
    </comment>
    <comment authorId="0" ref="B1729">
      <text>
        <t xml:space="preserve">C260142 NOTA HARGA JUAL 700</t>
      </text>
    </comment>
    <comment authorId="0" ref="B1730">
      <text>
        <t xml:space="preserve">D260053 HARGA JUAL 3.773</t>
      </text>
    </comment>
    <comment authorId="1" xr:uid="{0d7aefa3-a2ec-486c-9a9d-caf5b8abc7fc}" ref="B4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BLM AMBIL
</t>
      </text>
    </comment>
    <comment authorId="2" xr:uid="{1b6a60a6-e0a7-40f0-87b1-ee33b529b8cf}" ref="D2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Bantu ubah LFW-MAZDA214RS3XYG , karena fisik kaca yang di pakai juga rs3
</t>
      </text>
    </comment>
    <comment authorId="3" xr:uid="{312c1c6d-0f15-4e67-abe2-a7b418033a3e}" ref="B5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Nota belum ada
Reply:
	dikirim notanya 21/8/25
Ditandai selesai
</t>
      </text>
    </comment>
    <comment authorId="4" xr:uid="{3a4d40e9-4735-482b-a6e8-402aded0095a}" ref="D3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RETUR, plug heater gepeng
</t>
      </text>
    </comment>
    <comment authorId="5" xr:uid="{3b8a6fc5-6a7a-4388-919c-4d789c7477be}" ref="F5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lg ke bekasi
Reply:
	nnti klo udh ready bekasi, dibuat sj ke bekasi aja
</t>
      </text>
    </comment>
    <comment authorId="6" xr:uid="{44306a07-38ac-4a74-a9cc-bc949c640466}" ref="F12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SISA 9
</t>
      </text>
    </comment>
    <comment authorId="7" xr:uid="{45e2b29c-4335-452f-861c-08a831b410e6}" ref="F11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SISA 7
Reply:
	datang 7 hari ini
</t>
      </text>
    </comment>
    <comment authorId="8" xr:uid="{754d32c2-8388-49ab-a7a0-7261215ebe11}" ref="F12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SISA 9
</t>
      </text>
    </comment>
    <comment authorId="9" xr:uid="{86f76dce-3d35-499f-862e-8f4eb74c8d81}" ref="D14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nota swr, cek fisik
Reply:
	swr fisiknya
</t>
      </text>
    </comment>
    <comment authorId="10" xr:uid="{969f8356-f326-43c4-ba3c-21179cbf3c29}" ref="G5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Harganya masih salah
</t>
      </text>
    </comment>
    <comment authorId="11" xr:uid="{a4512524-c22f-4f1e-9ca0-b571f5846bbe}" ref="F12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SISA 9
</t>
      </text>
    </comment>
    <comment authorId="12" xr:uid="{a8ea8b9f-1e67-4174-89b3-2a4935d31c3d}" ref="F4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MJD Kurang kirim 5
Reply:
	minus 1 minta ganti sudah di acc
</t>
      </text>
    </comment>
    <comment authorId="13" xr:uid="{c828df3a-0bfb-480f-9996-8a4eddb23574}" ref="D7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 harus - 200k, defect kaca cacat
</t>
      </text>
    </comment>
    <comment authorId="14" xr:uid="{c94b33d7-616b-4150-b370-5eca27901dd9}" ref="F11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SISA 9
Reply:
	dtg 9 hari ini
</t>
      </text>
    </comment>
    <comment authorId="15" xr:uid="{f2f4292a-94e9-4627-b4b9-7d0dfdeeb85c}" ref="D14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NOTA FDR, CEK FISIK
</t>
      </text>
    </comment>
    <comment authorId="16" xr:uid="{ff29ebd7-86f1-40c2-b104-300a4322b4cd}" ref="F12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SISA 7
Reply:
	+3. sisa 4
</t>
      </text>
    </comment>
  </commentList>
</comments>
</file>

<file path=xl/sharedStrings.xml><?xml version="1.0" encoding="utf-8"?>
<sst xmlns="http://schemas.openxmlformats.org/spreadsheetml/2006/main" count="54520" uniqueCount="13983">
  <si>
    <t>Kode</t>
  </si>
  <si>
    <t>Kode Mobil</t>
  </si>
  <si>
    <t>Tipe Mobil</t>
  </si>
  <si>
    <t>Part</t>
  </si>
  <si>
    <t>Merk</t>
  </si>
  <si>
    <t>Aksesoris</t>
  </si>
  <si>
    <t>SO</t>
  </si>
  <si>
    <t>Masuk</t>
  </si>
  <si>
    <t>Keluar</t>
  </si>
  <si>
    <t>Stok Akhir</t>
  </si>
  <si>
    <t>Rak</t>
  </si>
  <si>
    <t>Alert</t>
  </si>
  <si>
    <t>Lain - Lain</t>
  </si>
  <si>
    <t>OTH-SEALANT</t>
  </si>
  <si>
    <t>Sealant Polyurethane XYG Tube</t>
  </si>
  <si>
    <t>OTH</t>
  </si>
  <si>
    <t>XYG</t>
  </si>
  <si>
    <t>OTH-PETI</t>
  </si>
  <si>
    <t>Peti Kayu</t>
  </si>
  <si>
    <t>KAYU</t>
  </si>
  <si>
    <t>OTH-SER</t>
  </si>
  <si>
    <t>9092 Sealant Application</t>
  </si>
  <si>
    <t>TR</t>
  </si>
  <si>
    <t>501 Sealant Application</t>
  </si>
  <si>
    <t>BY</t>
  </si>
  <si>
    <t>255 Ultra + Actv-100 Application</t>
  </si>
  <si>
    <t>SK</t>
  </si>
  <si>
    <t>Otoseal Sealant Application</t>
  </si>
  <si>
    <t>OTO</t>
  </si>
  <si>
    <t>Transport</t>
  </si>
  <si>
    <t>TRANSPORT</t>
  </si>
  <si>
    <t>OTH-LIST04</t>
  </si>
  <si>
    <t>List Kaca Depan Code 04</t>
  </si>
  <si>
    <t>TOYDAI</t>
  </si>
  <si>
    <t>OTH-LIST11</t>
  </si>
  <si>
    <t>List Kaca Depan Code 11</t>
  </si>
  <si>
    <t>OTH-LISTINV</t>
  </si>
  <si>
    <t>List Kaca Depan INV</t>
  </si>
  <si>
    <t>TOY</t>
  </si>
  <si>
    <t>OTH-LISTWSERT12</t>
  </si>
  <si>
    <t>List Kaca Depan Ertiga 2012-2018 SGP</t>
  </si>
  <si>
    <t>SGP</t>
  </si>
  <si>
    <t>MLDG-LFWHRV14UP</t>
  </si>
  <si>
    <t>Moulding List Honda HR-V 14-21 5D SUV (Upper)</t>
  </si>
  <si>
    <t>MLDG</t>
  </si>
  <si>
    <t>HON</t>
  </si>
  <si>
    <t>MLDG-LFWHRV14SIDE</t>
  </si>
  <si>
    <t>Moulding List Honda HR-V 14-21 5D SUV (Side)</t>
  </si>
  <si>
    <t>MLDG-ANH20AGH30UP</t>
  </si>
  <si>
    <t>Moulding List Alphard ANH20 AGH30 (Upper)</t>
  </si>
  <si>
    <t>MLDG-LFWFE700</t>
  </si>
  <si>
    <t>Moulding List Mitsubishi Canter FE700 01- (PS110,125) (Windshield)</t>
  </si>
  <si>
    <t>MIT</t>
  </si>
  <si>
    <t>MLDG-LFWFORTUNER05</t>
  </si>
  <si>
    <t>Moulding List Toyota Fortuner 05-15  1st Gen (Windshield)</t>
  </si>
  <si>
    <t>MLDG-LFWCROSSTREK23</t>
  </si>
  <si>
    <t>Moulding List Subaru Crosstrek 23- (Windshield)</t>
  </si>
  <si>
    <t>SUB</t>
  </si>
  <si>
    <t>OTH-RPLX</t>
  </si>
  <si>
    <t>Bongkar Pasang Kaca Mobil Depan</t>
  </si>
  <si>
    <t>LFW</t>
  </si>
  <si>
    <t>Bongkar Pasang Kaca Mobil Belakang</t>
  </si>
  <si>
    <t>TRW</t>
  </si>
  <si>
    <t>Bongkar Pasang Kaca Mobil Samping</t>
  </si>
  <si>
    <t>SIDE</t>
  </si>
  <si>
    <t>Lembur</t>
  </si>
  <si>
    <t>LMB</t>
  </si>
  <si>
    <t>OTH-C</t>
  </si>
  <si>
    <t>Biaya Pengecekan</t>
  </si>
  <si>
    <t>KC</t>
  </si>
  <si>
    <t>FILM-40</t>
  </si>
  <si>
    <t xml:space="preserve">Automotive Film Standard - Black 40%				</t>
  </si>
  <si>
    <t>FILM</t>
  </si>
  <si>
    <t>STD</t>
  </si>
  <si>
    <t>FILM-60</t>
  </si>
  <si>
    <t>FILM-80</t>
  </si>
  <si>
    <t>Automotive Film Standard - Black 80%</t>
  </si>
  <si>
    <t>FILM-BP</t>
  </si>
  <si>
    <t>Black Phantom Solar Gard</t>
  </si>
  <si>
    <t>SG</t>
  </si>
  <si>
    <t>TRW-AVANZA03H</t>
  </si>
  <si>
    <t>Toyota Avanza / Xenia 03-11 1st Gen</t>
  </si>
  <si>
    <t>AUTO</t>
  </si>
  <si>
    <t>X/H</t>
  </si>
  <si>
    <t>RDR-CRV12</t>
  </si>
  <si>
    <t>Honda CR-V 12-16 4th Gen</t>
  </si>
  <si>
    <t>RDR</t>
  </si>
  <si>
    <t>LFW-ALPHARD08RS</t>
  </si>
  <si>
    <t>Toyota Alphard 08-15 ANH20 2nd Gen</t>
  </si>
  <si>
    <t>PIL</t>
  </si>
  <si>
    <t>X/MB/RS</t>
  </si>
  <si>
    <t>RDL-AVANZA03</t>
  </si>
  <si>
    <t>RDL</t>
  </si>
  <si>
    <t>ASH</t>
  </si>
  <si>
    <t>RDR-AVANZA11</t>
  </si>
  <si>
    <t>Toyota Avanza / Xenia 11-15 2nd Gen/3rd Gen</t>
  </si>
  <si>
    <t>D1T3</t>
  </si>
  <si>
    <t>RDL-AVANZA11</t>
  </si>
  <si>
    <t>TRW-AVANZA11</t>
  </si>
  <si>
    <t>ORI</t>
  </si>
  <si>
    <t>X/Logo</t>
  </si>
  <si>
    <t>AGC</t>
  </si>
  <si>
    <t>ACG</t>
  </si>
  <si>
    <t>FDL-AVANZA11</t>
  </si>
  <si>
    <t>FDL</t>
  </si>
  <si>
    <t>FDR-AVANZA11</t>
  </si>
  <si>
    <t>FDR</t>
  </si>
  <si>
    <t>LFW-ETIOS</t>
  </si>
  <si>
    <t>Toyota Etios 10- 1st Gen Sedan</t>
  </si>
  <si>
    <t>X</t>
  </si>
  <si>
    <t>TRW-LUXIO</t>
  </si>
  <si>
    <t>Daihatsu Luxio 07-</t>
  </si>
  <si>
    <t>DAIHATSU</t>
  </si>
  <si>
    <t>A3T3</t>
  </si>
  <si>
    <t>SWR-RAIZE</t>
  </si>
  <si>
    <t>Toyota Raize / Daihatsu Rocky 20-</t>
  </si>
  <si>
    <t>SWR</t>
  </si>
  <si>
    <t>TRW-BRV16</t>
  </si>
  <si>
    <t>Honda BR-V 16-21 (Honda)</t>
  </si>
  <si>
    <t>X/H/Logo</t>
  </si>
  <si>
    <t>B5T3</t>
  </si>
  <si>
    <t>LFW-AUDIB8</t>
  </si>
  <si>
    <t>Audi A4 08-15 B8</t>
  </si>
  <si>
    <t>FY</t>
  </si>
  <si>
    <t>X/RS/List</t>
  </si>
  <si>
    <t>TRW-AUDIB8</t>
  </si>
  <si>
    <t>X/H/A</t>
  </si>
  <si>
    <t>LFW-AUDIC7</t>
  </si>
  <si>
    <t>Audi A6 11-18 C7</t>
  </si>
  <si>
    <t>TRW-AUDIC7</t>
  </si>
  <si>
    <t>X/H/List</t>
  </si>
  <si>
    <t>LFW-E30</t>
  </si>
  <si>
    <t>BMW 3 Series 82-94 E30</t>
  </si>
  <si>
    <t>TRW-E30</t>
  </si>
  <si>
    <t>H</t>
  </si>
  <si>
    <t>LFW-E36</t>
  </si>
  <si>
    <t>BMW 3 Series 90-99 E36</t>
  </si>
  <si>
    <t>X/MB</t>
  </si>
  <si>
    <t>TRW-E36</t>
  </si>
  <si>
    <t>FDL-E36</t>
  </si>
  <si>
    <t>FD/L</t>
  </si>
  <si>
    <t>FDR-E36</t>
  </si>
  <si>
    <t>FD/R</t>
  </si>
  <si>
    <t>RDL-E36</t>
  </si>
  <si>
    <t>RD/L</t>
  </si>
  <si>
    <t>RDR-E36</t>
  </si>
  <si>
    <t>RD/R</t>
  </si>
  <si>
    <t>LFW-E46RS</t>
  </si>
  <si>
    <t>BMW 3 Series 98-06 E46</t>
  </si>
  <si>
    <t>LFW-E46</t>
  </si>
  <si>
    <t>TRW-E46</t>
  </si>
  <si>
    <t>FDL-E46</t>
  </si>
  <si>
    <t>2Hole</t>
  </si>
  <si>
    <t>FDR-E46</t>
  </si>
  <si>
    <t>RDL-E46</t>
  </si>
  <si>
    <t>1Hole</t>
  </si>
  <si>
    <t>RDR-E46</t>
  </si>
  <si>
    <t>LFW-E46RS2DOOR</t>
  </si>
  <si>
    <t>BMW 3 Series 98-06 E46 (2-Door Coupe)</t>
  </si>
  <si>
    <t>LFW-E90RS</t>
  </si>
  <si>
    <t>BMW 3 Series 05-12 E90</t>
  </si>
  <si>
    <t>LFW-E90</t>
  </si>
  <si>
    <t>TRW-E90</t>
  </si>
  <si>
    <t>FDL-E90</t>
  </si>
  <si>
    <t>FDR-E90</t>
  </si>
  <si>
    <t>RDL-E90</t>
  </si>
  <si>
    <t>RDR-E90</t>
  </si>
  <si>
    <t>LFW-F30</t>
  </si>
  <si>
    <t>BMW 3 Series 12-18 F30/F35</t>
  </si>
  <si>
    <t>TRW-F30</t>
  </si>
  <si>
    <t>FDL-F30</t>
  </si>
  <si>
    <t>FDR-F30</t>
  </si>
  <si>
    <t>RDL-F30</t>
  </si>
  <si>
    <t>RDR-F30</t>
  </si>
  <si>
    <t>LFW-E60RSK</t>
  </si>
  <si>
    <t>BMW 5 Series 03-10 E60 (1 Sensor / [] )</t>
  </si>
  <si>
    <t>LFW-E60RSO</t>
  </si>
  <si>
    <t>BMW 5 Series 03-10 E60 (1 Sensor / O)</t>
  </si>
  <si>
    <t>TRW-E60</t>
  </si>
  <si>
    <t>BMW 5 Series 03-10 E60</t>
  </si>
  <si>
    <t>FDL-E60</t>
  </si>
  <si>
    <t>FDR-E60</t>
  </si>
  <si>
    <t>RDL-E60</t>
  </si>
  <si>
    <t>RDR-E60</t>
  </si>
  <si>
    <t>LFW-F10</t>
  </si>
  <si>
    <t>BMW 5 Series 10-16 F10 (1 Sensor / ꓳ Tengah)</t>
  </si>
  <si>
    <t>FDL-F10</t>
  </si>
  <si>
    <t>BMW 5 Series 10-16 F10</t>
  </si>
  <si>
    <t>RDL-F10</t>
  </si>
  <si>
    <t>RDR-F10</t>
  </si>
  <si>
    <t>LFW-E84</t>
  </si>
  <si>
    <t>BMW X1 Series 09-14 E84 (1 Sensor / [] )</t>
  </si>
  <si>
    <t>TRW-E84</t>
  </si>
  <si>
    <t>BMW X1 Series 09-14 E84</t>
  </si>
  <si>
    <t>LFW-F48</t>
  </si>
  <si>
    <t>BMW X1 Series 15- F48</t>
  </si>
  <si>
    <t>X/RS</t>
  </si>
  <si>
    <t>LFW-E53</t>
  </si>
  <si>
    <t>BMW X5 Series 00-06 E53</t>
  </si>
  <si>
    <t>TRW-E53BLACK</t>
  </si>
  <si>
    <t>BMW X5 Series 00-06 E53 (Hitam)</t>
  </si>
  <si>
    <t>X/H/A/1hole</t>
  </si>
  <si>
    <t>LFW-E70RS</t>
  </si>
  <si>
    <t>BMW X5 Series 07-13 E70 (1 Sensor / ꓳ)</t>
  </si>
  <si>
    <t>TRW-E70</t>
  </si>
  <si>
    <t>BMW X5 Series 07-13 E70</t>
  </si>
  <si>
    <t>X/H/A/3Hole</t>
  </si>
  <si>
    <t>RDL-E70</t>
  </si>
  <si>
    <t>SWL-E70</t>
  </si>
  <si>
    <t>SW/L</t>
  </si>
  <si>
    <t>LFW-F15</t>
  </si>
  <si>
    <t>BMW X5 Series 13-18 F15</t>
  </si>
  <si>
    <t>RDL-F15</t>
  </si>
  <si>
    <t>RDR-F15</t>
  </si>
  <si>
    <t>LFW-QQ03</t>
  </si>
  <si>
    <t>Chery QQ 03-15 S11 5D / Spark 98-05</t>
  </si>
  <si>
    <t>TRW-QQ03</t>
  </si>
  <si>
    <t>LFW-AVEO99</t>
  </si>
  <si>
    <t>Chevrolet Aveo 99-08 T200 Hatch. (Panjang)</t>
  </si>
  <si>
    <t>FDL-AVEO99</t>
  </si>
  <si>
    <t>Chevrolet Aveo 99-11 T200 Hatch.</t>
  </si>
  <si>
    <t>FDR-AVEO99</t>
  </si>
  <si>
    <t>TRW-AVEO99</t>
  </si>
  <si>
    <t>LFW-AVEO08</t>
  </si>
  <si>
    <t>Chevrolet Aveo 08-11 T250 Hatch. (Kalos/Lova) (Pendek)</t>
  </si>
  <si>
    <t>LFW-AVEO11</t>
  </si>
  <si>
    <t>Chevrolet Aveo 11- T300 2nd Gen Hatchback</t>
  </si>
  <si>
    <t>TRW-AVEO11</t>
  </si>
  <si>
    <t>X/H/1Hole</t>
  </si>
  <si>
    <t>LFW-CAPTIVARS</t>
  </si>
  <si>
    <t>Chevrolet Captiva 06-18 1st gen C100</t>
  </si>
  <si>
    <t>X/MB/RS/LIST</t>
  </si>
  <si>
    <t>LFW-CAPTIVA</t>
  </si>
  <si>
    <t>TRW-CAPTIVA6HOLE</t>
  </si>
  <si>
    <t>X/H/6Hole</t>
  </si>
  <si>
    <t>TRW-CAPTIVA</t>
  </si>
  <si>
    <t>FDL2-CAPTIVA</t>
  </si>
  <si>
    <t>FDR2-CAPTIVA</t>
  </si>
  <si>
    <t>RDL2-CAPTIVA</t>
  </si>
  <si>
    <t>RDR2-CAPTIVA</t>
  </si>
  <si>
    <t>RQL-CAPTIVA</t>
  </si>
  <si>
    <t>X/A</t>
  </si>
  <si>
    <t>RQR-CAPTIVA</t>
  </si>
  <si>
    <t>SW/R</t>
  </si>
  <si>
    <t>LFW-OPTRA</t>
  </si>
  <si>
    <t>Chevrolet Optra 03-</t>
  </si>
  <si>
    <t>LFW-ORLANDORS</t>
  </si>
  <si>
    <t>Chevrolet Orlando 12- 1st Gen</t>
  </si>
  <si>
    <t>LFW-ORLANDO</t>
  </si>
  <si>
    <t>FDR-ORLANDO</t>
  </si>
  <si>
    <t>RDL-ORLANDO</t>
  </si>
  <si>
    <t>LFW-SPARK98</t>
  </si>
  <si>
    <t>Chevrolet Spark 98-05 M100 1stGen (800cc)</t>
  </si>
  <si>
    <t>TRW-SPARK98</t>
  </si>
  <si>
    <t>LFW-SPARK05</t>
  </si>
  <si>
    <t>Chevrolet Spark 05-09 M200 2nd Gen (1000cc)</t>
  </si>
  <si>
    <t>TRW-SPARK05</t>
  </si>
  <si>
    <t>FDL-SPARK05</t>
  </si>
  <si>
    <t>FDR-SPARK05</t>
  </si>
  <si>
    <t>RDR-SPARK05</t>
  </si>
  <si>
    <t>LFW-SPARK10</t>
  </si>
  <si>
    <t>Chevrolet Spark 10-15 M300 3rd Gen (1200cc)</t>
  </si>
  <si>
    <t>TRW-SPARK10</t>
  </si>
  <si>
    <t>FDL-SPARK10</t>
  </si>
  <si>
    <t>FDR-SPARK10</t>
  </si>
  <si>
    <t>RDL-SPARK10</t>
  </si>
  <si>
    <t>RDR-SPARK10</t>
  </si>
  <si>
    <t>LFW-SPIN</t>
  </si>
  <si>
    <t>Chevrolet Spin 12-</t>
  </si>
  <si>
    <t>RDL-TRAILBLAZER</t>
  </si>
  <si>
    <t>Chevrolet TrailBlazer 13- / Isuzu MUX 13-19</t>
  </si>
  <si>
    <t>RDR-TRAILBLAZER</t>
  </si>
  <si>
    <t>TRW-TRAILBLAZER</t>
  </si>
  <si>
    <t>Chevrolet TrailBlazer 13- / Isuzu MUX</t>
  </si>
  <si>
    <t>LFW-TRAX</t>
  </si>
  <si>
    <t>Chevrolet Trax 13- [Tanpa Sensor]</t>
  </si>
  <si>
    <t>TRW-TRAX</t>
  </si>
  <si>
    <t>Chevrolet Trax 13-</t>
  </si>
  <si>
    <t>LFW-ZAFIRA</t>
  </si>
  <si>
    <t>Chevrolet Zafira 99-05 T0600</t>
  </si>
  <si>
    <t>TRW-ZAFIRA</t>
  </si>
  <si>
    <t>LFW-GRANMAX</t>
  </si>
  <si>
    <t>Daihatsu Gran Max / Luxio 07-</t>
  </si>
  <si>
    <t>TRW-SIRION1</t>
  </si>
  <si>
    <t>Daihatsu Sirion 04-10 1st Gen</t>
  </si>
  <si>
    <t>LFW-YRV</t>
  </si>
  <si>
    <t>Daihatsu YRV 00-05 Mini MPV</t>
  </si>
  <si>
    <t>LFW-DODGE</t>
  </si>
  <si>
    <t>Dodge Journey 09-</t>
  </si>
  <si>
    <t>TRW-DODGE</t>
  </si>
  <si>
    <t>LFW-ECOSPORT</t>
  </si>
  <si>
    <t>Ford EcoSport 13- B515</t>
  </si>
  <si>
    <t>LFW-ECOSPORTRS</t>
  </si>
  <si>
    <t>TRW-ECOSPORT</t>
  </si>
  <si>
    <t>FDL-ECOSPORT</t>
  </si>
  <si>
    <t>FDR-ECOSPORT</t>
  </si>
  <si>
    <t>RDL-ECOSPORT</t>
  </si>
  <si>
    <t>RDR-ECOSPORT</t>
  </si>
  <si>
    <t>LFW-ESCAPE</t>
  </si>
  <si>
    <t>Ford Escape 00-12</t>
  </si>
  <si>
    <t>TRW-ESCAPE</t>
  </si>
  <si>
    <t>LFW-RANGER04</t>
  </si>
  <si>
    <t>Ford Everest 04-15 / Ranger 04-11 / Mazda BT-50</t>
  </si>
  <si>
    <t>TRW-EVEREST</t>
  </si>
  <si>
    <t>Ford Everest 06-15</t>
  </si>
  <si>
    <t>LFW-FIESTA</t>
  </si>
  <si>
    <t>Ford Fiesta 09-17</t>
  </si>
  <si>
    <t>TRW-FIESTA</t>
  </si>
  <si>
    <t>FDL-FIESTA</t>
  </si>
  <si>
    <t>FDR-FIESTA</t>
  </si>
  <si>
    <t>RDL-FIESTA</t>
  </si>
  <si>
    <t>RDR-FIESTA</t>
  </si>
  <si>
    <t>LFW-FIESTARSBULAT</t>
  </si>
  <si>
    <t>Ford Fiesta 09-17 (Sensor Bulat)</t>
  </si>
  <si>
    <t>X/MB/RS/List</t>
  </si>
  <si>
    <t>LFW-FIESTARSKOTAK</t>
  </si>
  <si>
    <t>Ford Fiesta 09-17 (Sensor Kotak)</t>
  </si>
  <si>
    <t>LFW-FOCUS04</t>
  </si>
  <si>
    <t>Ford Focus 04-11 Hatchback/Sedan</t>
  </si>
  <si>
    <t>TRW-FOCUS04</t>
  </si>
  <si>
    <t>Ford Focus 04-07 Hatchback (Lampu Putih Stgh)</t>
  </si>
  <si>
    <t>LFW-FOCUS11</t>
  </si>
  <si>
    <t>Ford Focus 11- Hatchback/Sedan</t>
  </si>
  <si>
    <t>TRW-FOCUS11</t>
  </si>
  <si>
    <t>Ford Focus 11- Hatchback</t>
  </si>
  <si>
    <t>LFW-RANGER11RS</t>
  </si>
  <si>
    <t>Ford Ranger 11- T6 /Mazda BT50 Sing/Doub Cabin</t>
  </si>
  <si>
    <t>LFW-EMGRAND</t>
  </si>
  <si>
    <t>Geely Emgrand 09- EC Sedan</t>
  </si>
  <si>
    <t>LFW-PANDA</t>
  </si>
  <si>
    <t>Geely Panda 09- LC Hatchback</t>
  </si>
  <si>
    <t>LFW-ACCORD86</t>
  </si>
  <si>
    <t>Honda Accord 86-89 SE3/SE5 3rd Gen (Prestige)</t>
  </si>
  <si>
    <t>TRW-ACCORD86</t>
  </si>
  <si>
    <t>FDL-ACCORD86</t>
  </si>
  <si>
    <t>FDR-ACCORD86</t>
  </si>
  <si>
    <t>RDL-ACCORD86</t>
  </si>
  <si>
    <t>RDR-ACCORD86</t>
  </si>
  <si>
    <t>LFW-ACCORD90</t>
  </si>
  <si>
    <t>Honda Accord 90-93 SM4 4th Gen (Maestro)</t>
  </si>
  <si>
    <t>TRW-ACCORD90</t>
  </si>
  <si>
    <t>LFW-ACCORD93</t>
  </si>
  <si>
    <t>Honda Accord 93-98 SV4 5th Gen (Cielo)</t>
  </si>
  <si>
    <t>TRW-ACCORD93</t>
  </si>
  <si>
    <t>Honda Accord 93-98 SV4 5th Gen (Cielo) (93-95) 77cm</t>
  </si>
  <si>
    <t>LFW-ACCORD98</t>
  </si>
  <si>
    <t>Honda Accord 98-02 S84/S86 6th Gen</t>
  </si>
  <si>
    <t>TRW-ACCORD98</t>
  </si>
  <si>
    <t>RDL-ACCORD98</t>
  </si>
  <si>
    <t>RDR-ACCORD98</t>
  </si>
  <si>
    <t>LFW-ACCORD03</t>
  </si>
  <si>
    <t>Honda Accord 03-07 7th Gen CM5,6,7</t>
  </si>
  <si>
    <t>TRW-ACCORD03</t>
  </si>
  <si>
    <t>LFW-ACCORD08</t>
  </si>
  <si>
    <t>Honda Accord 08-12 8th Gen</t>
  </si>
  <si>
    <t>B2T2</t>
  </si>
  <si>
    <t>TRW-ACCORD08</t>
  </si>
  <si>
    <t>LFW-ACCORD13RS</t>
  </si>
  <si>
    <t>Honda Accord 13-17 9th Gen [Sensor]</t>
  </si>
  <si>
    <t>LFW-ACCORD13</t>
  </si>
  <si>
    <t>Honda Accord 13-17 9th Gen [Tanpa Sensor]</t>
  </si>
  <si>
    <t>TRW-ACCORD13</t>
  </si>
  <si>
    <t>Honda Accord 13-17 9th Gen</t>
  </si>
  <si>
    <t>FDR-ACCORD13</t>
  </si>
  <si>
    <t>RDL-ACCORD13</t>
  </si>
  <si>
    <t>LFW-BRIO</t>
  </si>
  <si>
    <t>Honda Brio 10- / Mobilio 11-</t>
  </si>
  <si>
    <t>LFW-CITY96</t>
  </si>
  <si>
    <t>Honda City 96-02 3rdGen (City Z)</t>
  </si>
  <si>
    <t>TRW-CITY96</t>
  </si>
  <si>
    <t>LFW-CITY02</t>
  </si>
  <si>
    <t>Honda City 02-08 4th Gen Idsi GD8</t>
  </si>
  <si>
    <t>TRW-CITY02</t>
  </si>
  <si>
    <t>Honda City 02-08 4th Gen Idsi GD8 (4 Colokan)</t>
  </si>
  <si>
    <t>LFW-CITY08</t>
  </si>
  <si>
    <t>Honda City 08-13 5th Gen (All New) RS</t>
  </si>
  <si>
    <t>TRW-CITY08</t>
  </si>
  <si>
    <t>LFW-CITY14</t>
  </si>
  <si>
    <t>Honda City 14-18 GM6</t>
  </si>
  <si>
    <t>LFW-CIVICEST</t>
  </si>
  <si>
    <t>Honda Civic 92-95 3D SR0/SR3 (Estilo)</t>
  </si>
  <si>
    <t>TRW-CIVICEST</t>
  </si>
  <si>
    <t>X/H/10Hole</t>
  </si>
  <si>
    <t>FDL-CIVICEST</t>
  </si>
  <si>
    <t>FDR-CIVICEST</t>
  </si>
  <si>
    <t>RDL-CIVICEST</t>
  </si>
  <si>
    <t>RDR-CIVICEST</t>
  </si>
  <si>
    <t>LFW-CIVICGENIO</t>
  </si>
  <si>
    <t>Honda Civic 92-95 SR1/SR4 (Genio)</t>
  </si>
  <si>
    <t>RDL-CIVICGENIO</t>
  </si>
  <si>
    <t>TRW-CIVICGENIO</t>
  </si>
  <si>
    <t>LFW-CIVIC96</t>
  </si>
  <si>
    <t>Honda Civic 96-00 SO4/SO6 (Ferio)</t>
  </si>
  <si>
    <t>TRW-CIVIC96</t>
  </si>
  <si>
    <t>RDR-CIVIC96</t>
  </si>
  <si>
    <t>RVL-CIVIC96</t>
  </si>
  <si>
    <t>RV/L</t>
  </si>
  <si>
    <t>RVR-CIVIC96</t>
  </si>
  <si>
    <t>RV/R</t>
  </si>
  <si>
    <t>LFW-CIVIC00</t>
  </si>
  <si>
    <t>Honda Civic 00-05 VTIS S5A 7th Gen (Venturi)</t>
  </si>
  <si>
    <t>TRW-CIVIC00</t>
  </si>
  <si>
    <t>LFW-CIVIC05</t>
  </si>
  <si>
    <t>Honda Civic 05-11 8th Gen (Civic Batman FD)</t>
  </si>
  <si>
    <t>TRW-CIVIC05</t>
  </si>
  <si>
    <t>FDL-CIVIC05</t>
  </si>
  <si>
    <t>Klip</t>
  </si>
  <si>
    <t>FDR-CIVIC05</t>
  </si>
  <si>
    <t>FVL-CIVIC05</t>
  </si>
  <si>
    <t>FV/L</t>
  </si>
  <si>
    <t>FVR-CIVIC05</t>
  </si>
  <si>
    <t>FV/R</t>
  </si>
  <si>
    <t>RVL-CIVIC05</t>
  </si>
  <si>
    <t>RVR-CIVIC05</t>
  </si>
  <si>
    <t>LFW-CIVIC11</t>
  </si>
  <si>
    <t>Honda Civic 11-15 9th Gen (All New)</t>
  </si>
  <si>
    <t>TRW-CIVIC11</t>
  </si>
  <si>
    <t>TRW-CIVIC16SED</t>
  </si>
  <si>
    <t>Honda Civic 16- 10th Gen Sedan</t>
  </si>
  <si>
    <t>LFW-CRV95</t>
  </si>
  <si>
    <t>Honda CR-V 95-01 1st Gen</t>
  </si>
  <si>
    <t>TRW-CRV95</t>
  </si>
  <si>
    <t>FDL-CRV95</t>
  </si>
  <si>
    <t>FDR-CRV95</t>
  </si>
  <si>
    <t>RVL-CRV95</t>
  </si>
  <si>
    <t>RVR-CRV95</t>
  </si>
  <si>
    <t>SWL-CRV95</t>
  </si>
  <si>
    <t>SWR-CRV95</t>
  </si>
  <si>
    <t>LFW-CRV02</t>
  </si>
  <si>
    <t>Honda CR-V 02-04 2nd Gen (Spion Jepit)</t>
  </si>
  <si>
    <t>B3T1</t>
  </si>
  <si>
    <t>LFW-CRV05</t>
  </si>
  <si>
    <t>Honda CR-V 04-06 2nd Gen (Spion Biasa)</t>
  </si>
  <si>
    <t>TRW-CRV02</t>
  </si>
  <si>
    <t>Honda CR-V 02-06 2nd Gen</t>
  </si>
  <si>
    <t>RDL-CRV02</t>
  </si>
  <si>
    <t>RDR-CRV02</t>
  </si>
  <si>
    <t>SWL-CRV02</t>
  </si>
  <si>
    <t>SWR-CRV02</t>
  </si>
  <si>
    <t>LFW-CRV07</t>
  </si>
  <si>
    <t>Honda CR-V 07-11 3rd Gen</t>
  </si>
  <si>
    <t>TRW-CRV07</t>
  </si>
  <si>
    <t>X/H/2Hole</t>
  </si>
  <si>
    <t>SWL-CRV07</t>
  </si>
  <si>
    <t>SWR-CRV07</t>
  </si>
  <si>
    <t>LFW-CRV12</t>
  </si>
  <si>
    <t>TRW-CRV12NONP</t>
  </si>
  <si>
    <t>Honda CR-V 12-16 4th Gen [Rata]</t>
  </si>
  <si>
    <t>TRW-CRV12PRESTIGE</t>
  </si>
  <si>
    <t>Honda CR-V 12-16 4th Gen [Lengkung]</t>
  </si>
  <si>
    <t>X/H/1hole</t>
  </si>
  <si>
    <t>FDL-CRV12</t>
  </si>
  <si>
    <t>FDR-CRV12</t>
  </si>
  <si>
    <t>RDL-CRV12</t>
  </si>
  <si>
    <t>LFW-CRV17</t>
  </si>
  <si>
    <t>Honda CR-V 17- 5th Gen</t>
  </si>
  <si>
    <t>TRW-CRV17</t>
  </si>
  <si>
    <t>LFW-CRZ</t>
  </si>
  <si>
    <t>Honda CR-Z 10-16 2D Coupe</t>
  </si>
  <si>
    <t>LFW-ELYSION</t>
  </si>
  <si>
    <t>Honda Elysion 04- RR1</t>
  </si>
  <si>
    <t>TRW-ELYSIONRATA</t>
  </si>
  <si>
    <t>Honda Elysion 04- RR1 [Rata]</t>
  </si>
  <si>
    <t>TRW-ELYSIONCURVE</t>
  </si>
  <si>
    <t>Honda Elysion 04- RR1 [Lengkung]</t>
  </si>
  <si>
    <t>LFW-FREED</t>
  </si>
  <si>
    <t>Honda Freed 08-16 1st gen</t>
  </si>
  <si>
    <t>TRW-FREED</t>
  </si>
  <si>
    <t>SWL-FREED</t>
  </si>
  <si>
    <t>SWR-FREED</t>
  </si>
  <si>
    <t>LFW-HRV14</t>
  </si>
  <si>
    <t>Honda HR-V 14-21 5D SUV</t>
  </si>
  <si>
    <t>B2T1</t>
  </si>
  <si>
    <t>TRW-HRV14</t>
  </si>
  <si>
    <t>LFW-JAZZ01</t>
  </si>
  <si>
    <t>Honda Jazz 01-07 1st Gen</t>
  </si>
  <si>
    <t>TRW-JAZZ01</t>
  </si>
  <si>
    <t>FDL-JAZZ01</t>
  </si>
  <si>
    <t>Acc</t>
  </si>
  <si>
    <t>FVL-JAZZ01</t>
  </si>
  <si>
    <t>RDL-JAZZ01</t>
  </si>
  <si>
    <t>RDR-JAZZ01</t>
  </si>
  <si>
    <t>LFW-JAZZ07</t>
  </si>
  <si>
    <t>Honda Jazz 07-13 2nd Gen</t>
  </si>
  <si>
    <t>TRW-JAZZ07</t>
  </si>
  <si>
    <t>FDL-JAZZ07</t>
  </si>
  <si>
    <t>SWL-JAZZ07</t>
  </si>
  <si>
    <t>SWR-JAZZ07</t>
  </si>
  <si>
    <t>LFW-JAZZ13</t>
  </si>
  <si>
    <t>Honda Jazz 13- 3rd Gen</t>
  </si>
  <si>
    <t>TRW-JAZZ13</t>
  </si>
  <si>
    <t>LFW-LEGEND</t>
  </si>
  <si>
    <t>Honda Legend 04-12 SJA</t>
  </si>
  <si>
    <t>LFW-ODYSSEY99</t>
  </si>
  <si>
    <t>Honda Odyssey 99-03 2nd Gen RA6-RA9</t>
  </si>
  <si>
    <t>TRW-ODYSSEY99</t>
  </si>
  <si>
    <t>LFW-ODYSSEY03</t>
  </si>
  <si>
    <t>Honda Odyssey 03-08 3rd Gen RB1-RB2 (Lampu Δ)</t>
  </si>
  <si>
    <t>TRW-ODYSSEY03</t>
  </si>
  <si>
    <t>FDL-ODYSSEY03</t>
  </si>
  <si>
    <t>FDR-ODYSSEY03</t>
  </si>
  <si>
    <t>RDL-ODYSSEY03</t>
  </si>
  <si>
    <t>RDR-ODYSSEY03</t>
  </si>
  <si>
    <t>SWL-ODYSSEY03</t>
  </si>
  <si>
    <t>SWR-ODYSSEY03</t>
  </si>
  <si>
    <t>LFW-ODYSSEY09</t>
  </si>
  <si>
    <t>Honda Odyssey 09-13 4th Gen RB3-RB4</t>
  </si>
  <si>
    <t>FDL-ODYSSEY09</t>
  </si>
  <si>
    <t>FDR-ODYSSEY09</t>
  </si>
  <si>
    <t>RDL-ODYSSEY09</t>
  </si>
  <si>
    <t>RDR-ODYSSEY09</t>
  </si>
  <si>
    <t>SWL-ODYSSEY09</t>
  </si>
  <si>
    <t>SWR-ODYSSEY09</t>
  </si>
  <si>
    <t>LFW-ODYSSEY13</t>
  </si>
  <si>
    <t>Honda Odyssey 13- 5th Gen RC1/RC2</t>
  </si>
  <si>
    <t>TRW-ODYSSEY13</t>
  </si>
  <si>
    <t>RDL-ODYSSEY13</t>
  </si>
  <si>
    <t>RDR-ODYSSEY13</t>
  </si>
  <si>
    <t>SWL-ODYSSEY13</t>
  </si>
  <si>
    <t>TRW-STREAM00</t>
  </si>
  <si>
    <t>Honda Stream 00-06 S7A/RN1</t>
  </si>
  <si>
    <t>RDR-STREAM00</t>
  </si>
  <si>
    <t>LFW-STREAM00MB</t>
  </si>
  <si>
    <t>Honda Stream 04-06 S7A/RN1 (Spion)</t>
  </si>
  <si>
    <t>TRW-VERNA00</t>
  </si>
  <si>
    <t>Hyundai Accent Verna 01-05 Sedan</t>
  </si>
  <si>
    <t>LFW-ELANTRA</t>
  </si>
  <si>
    <t>Hyundai Elantra 10-15 Sedan</t>
  </si>
  <si>
    <t>LFW-GETZ</t>
  </si>
  <si>
    <t>Hyundai Getz 02-11</t>
  </si>
  <si>
    <t>TRW-GETZ</t>
  </si>
  <si>
    <t>FDL-GETZ</t>
  </si>
  <si>
    <t>FDR-GETZ</t>
  </si>
  <si>
    <t>RDL-GETZ</t>
  </si>
  <si>
    <t>RDR-GETZ</t>
  </si>
  <si>
    <t>LFW-GAVEGA</t>
  </si>
  <si>
    <t>Hyundai Grand Avega 11-16 RB</t>
  </si>
  <si>
    <t>TRW-GAVEGA</t>
  </si>
  <si>
    <t>RDL-GAVEGA</t>
  </si>
  <si>
    <t>RDR-GAVEGA</t>
  </si>
  <si>
    <t>LFW-H1</t>
  </si>
  <si>
    <t>Hyundai H1 08- / Mover</t>
  </si>
  <si>
    <t>TRW-H1</t>
  </si>
  <si>
    <t>Hyundai H1 08- / Mover (Lubang)</t>
  </si>
  <si>
    <t>RDL-H1</t>
  </si>
  <si>
    <t>Hyundai H1 08- / Mover [Tanpa Frame]</t>
  </si>
  <si>
    <t>X/1Hole</t>
  </si>
  <si>
    <t>SWL-H1</t>
  </si>
  <si>
    <t>LFW-I1008</t>
  </si>
  <si>
    <t>Hyundai i10 08-13 - Hatchback</t>
  </si>
  <si>
    <t>TRW-I1008</t>
  </si>
  <si>
    <t>FDL-I1008</t>
  </si>
  <si>
    <t>FDR-I1008</t>
  </si>
  <si>
    <t>RDL-I1008</t>
  </si>
  <si>
    <t>RDR-I1008</t>
  </si>
  <si>
    <t>LFW-I1013</t>
  </si>
  <si>
    <t>Hyundai i10 13-19</t>
  </si>
  <si>
    <t>TRW-I1013</t>
  </si>
  <si>
    <t>RDL-I1013</t>
  </si>
  <si>
    <t>RDR-I1013</t>
  </si>
  <si>
    <t>RVL-I1013</t>
  </si>
  <si>
    <t>RVR-I1013</t>
  </si>
  <si>
    <t>LFW-MATRIX</t>
  </si>
  <si>
    <t>Hyundai Matrix 01-</t>
  </si>
  <si>
    <t>TRW-MATRIXNOHOLE</t>
  </si>
  <si>
    <t>TRW-MATRIXHOLE</t>
  </si>
  <si>
    <t>LFW-SANTAFE07</t>
  </si>
  <si>
    <t>Hyundai Santa Fe 07-12</t>
  </si>
  <si>
    <t>TRW-SANTAFE07</t>
  </si>
  <si>
    <t>FDR-SANTAFE07</t>
  </si>
  <si>
    <t>RDL-SANTAFE07</t>
  </si>
  <si>
    <t>SWL-SANTAFE07</t>
  </si>
  <si>
    <t>LFW-SANTAFE12</t>
  </si>
  <si>
    <t>Hyundai Santa Fe 12-18</t>
  </si>
  <si>
    <t>TRW-SANTAFE12</t>
  </si>
  <si>
    <t>FDR-SANTAFE12</t>
  </si>
  <si>
    <t>RDL-SANTAFE12</t>
  </si>
  <si>
    <t>RDR-SANTAFE12</t>
  </si>
  <si>
    <t>LFW-TUCSON05</t>
  </si>
  <si>
    <t>Hyundai Tucson 05-10 1st Gen</t>
  </si>
  <si>
    <t>LFW-TUCSON10</t>
  </si>
  <si>
    <t>Hyundai Tucson 10-15 2nd Gen</t>
  </si>
  <si>
    <t>TRW-TUCSON10</t>
  </si>
  <si>
    <t>LFW-TUCSON16</t>
  </si>
  <si>
    <t>Hyundai Tucson 16- 3rd Gen</t>
  </si>
  <si>
    <t>TRW-TUCSON16</t>
  </si>
  <si>
    <t>LFW-MUX</t>
  </si>
  <si>
    <t>Isuzu MUX / Colorado</t>
  </si>
  <si>
    <t>LFW-RUBICON07</t>
  </si>
  <si>
    <t>Jeep Wrangler Rubicon 07-18 JK</t>
  </si>
  <si>
    <t>TRW-CAREN99</t>
  </si>
  <si>
    <t>Kia Caren 1 99-04</t>
  </si>
  <si>
    <t>LFW-CAREN99</t>
  </si>
  <si>
    <t>Kia Caren 1 99-04 / Caren 2 04-12</t>
  </si>
  <si>
    <t>TRW-CAREN04</t>
  </si>
  <si>
    <t>Kia Caren 2 04-12</t>
  </si>
  <si>
    <t>TRW-CAREN13</t>
  </si>
  <si>
    <t>Kia Caren 3 13-</t>
  </si>
  <si>
    <t>LFW-PICANTO04B</t>
  </si>
  <si>
    <t>Kia Picanto 04-11 1st Gen (Spion Besi)</t>
  </si>
  <si>
    <t>LFW-PICANTO04HTM</t>
  </si>
  <si>
    <t>Kia Picanto 04-11 1st Gen (Spion Hitam)</t>
  </si>
  <si>
    <t>TRW-PICANTO04</t>
  </si>
  <si>
    <t>Kia Picanto 04-11 1st Gen</t>
  </si>
  <si>
    <t>FDL-PICANTO04</t>
  </si>
  <si>
    <t>FDR-PICANTO04</t>
  </si>
  <si>
    <t>B3T3</t>
  </si>
  <si>
    <t>RDR-PICANTO04</t>
  </si>
  <si>
    <t>LFW-PICANTO11</t>
  </si>
  <si>
    <t>Kia Picanto 11-16 2nd Gen</t>
  </si>
  <si>
    <t>TRW-PICANTO11</t>
  </si>
  <si>
    <t>FDL-PICANTO11</t>
  </si>
  <si>
    <t>FDR-PICANTO11</t>
  </si>
  <si>
    <t>RDL-PICANTO11</t>
  </si>
  <si>
    <t>RDR-PICANTO11</t>
  </si>
  <si>
    <t>FDL2-PREGIO</t>
  </si>
  <si>
    <t>Kia Pregio Van 95-</t>
  </si>
  <si>
    <t>FDR2-PREGIO</t>
  </si>
  <si>
    <t>TRW-PREGIO</t>
  </si>
  <si>
    <t>Kia Pregio Van 95- / Kia Travello</t>
  </si>
  <si>
    <t>LFW-RIO00</t>
  </si>
  <si>
    <t>Kia Rio 00-05 DC Sedan/Hatchback</t>
  </si>
  <si>
    <t>TRW-RIO00</t>
  </si>
  <si>
    <t>Kia Rio 00-05 DC Sedan</t>
  </si>
  <si>
    <t>LFW-RIO05</t>
  </si>
  <si>
    <t>Kia Rio 05-11 JB Sedan/Hatchback (Kia Pride)</t>
  </si>
  <si>
    <t>TRW-RIO05</t>
  </si>
  <si>
    <t>Kia Rio 05-11 JB Hatchback (Kia Pride)</t>
  </si>
  <si>
    <t>LFW-RIO11</t>
  </si>
  <si>
    <t>Kia Rio 11-17 UB Hatchback</t>
  </si>
  <si>
    <t>TRW-RIO11</t>
  </si>
  <si>
    <t>FDL-RIO11</t>
  </si>
  <si>
    <t>FDR-RIO11</t>
  </si>
  <si>
    <t>RDL-RIO11</t>
  </si>
  <si>
    <t>RDR-RIO11</t>
  </si>
  <si>
    <t>LFW-SEDONA98</t>
  </si>
  <si>
    <t>Kia Sedona /Carnival 98-06 1st Gen 4D Van</t>
  </si>
  <si>
    <t>TRW-CARNIVAL98</t>
  </si>
  <si>
    <t>Kia Sedona /Carnival 02-06 1st Gen 4D Van</t>
  </si>
  <si>
    <t>LFW-SORENTO</t>
  </si>
  <si>
    <t>Kia Sorento 09-14 2nd Gen</t>
  </si>
  <si>
    <t>TRW-SORENTO</t>
  </si>
  <si>
    <t>LFW-SPORTAGE10</t>
  </si>
  <si>
    <t>Kia Sportage 10-15 SL</t>
  </si>
  <si>
    <t>FDL-SPORTAGE10</t>
  </si>
  <si>
    <t>FDR-SPORTAGE10</t>
  </si>
  <si>
    <t>RDL-SPORTAGE10</t>
  </si>
  <si>
    <t>RDR-SPORTAGE10</t>
  </si>
  <si>
    <t>TRW-SPORTAGE10S</t>
  </si>
  <si>
    <t>Kia Sportage 10-15 SL [Tipe ada Spoiler]</t>
  </si>
  <si>
    <t>LFW-SPORTAGE15</t>
  </si>
  <si>
    <t>Kia Sportage 15- QL</t>
  </si>
  <si>
    <t>TRW-SPORTAGE15</t>
  </si>
  <si>
    <t>FDR-SPORTAGE15</t>
  </si>
  <si>
    <t>RDL-SPORTAGE15</t>
  </si>
  <si>
    <t>RDR-SPORTAGE15</t>
  </si>
  <si>
    <t>TRW-TIMOR</t>
  </si>
  <si>
    <t>Kia Timor 95-98 / Sephia 94-05</t>
  </si>
  <si>
    <t>LFW-VISTO</t>
  </si>
  <si>
    <t>Kia Visto 99-03</t>
  </si>
  <si>
    <t>TRW-VISTO</t>
  </si>
  <si>
    <t>LFW-XU10</t>
  </si>
  <si>
    <t>Lexus RX (Harrier) 97-03 XU10</t>
  </si>
  <si>
    <t>TRW-XU10</t>
  </si>
  <si>
    <t>Lexus RX (Harrier) 97-03 XU10 (Hitam)</t>
  </si>
  <si>
    <t>LFW-XU30RS</t>
  </si>
  <si>
    <t>Lexus RX (Harrier) 03-08 XU30</t>
  </si>
  <si>
    <t>LFW-XU30</t>
  </si>
  <si>
    <t>TRW-XU30</t>
  </si>
  <si>
    <t>Lexus RX (Harrier) 03-08 XU30 (Spoiler atas)</t>
  </si>
  <si>
    <t>X/H/A/1Hole</t>
  </si>
  <si>
    <t>TRW-XU31</t>
  </si>
  <si>
    <t>Lexus RX (Harrier) 03-08 XU31 (Spoiler 3 sisi)</t>
  </si>
  <si>
    <t>FDL-XU30</t>
  </si>
  <si>
    <t>FDR-XU30</t>
  </si>
  <si>
    <t>RDL-XU30</t>
  </si>
  <si>
    <t>RDR-XU30</t>
  </si>
  <si>
    <t>RVL-XU30</t>
  </si>
  <si>
    <t>RVR-XU30</t>
  </si>
  <si>
    <t>RQL-XU30</t>
  </si>
  <si>
    <t>RQR-XU30</t>
  </si>
  <si>
    <t>LFW-AL10</t>
  </si>
  <si>
    <t>Lexus RX (Harrier) 08-15 AL10</t>
  </si>
  <si>
    <t>X/MB/RS/H/A</t>
  </si>
  <si>
    <t>TRW-AL10</t>
  </si>
  <si>
    <t>Lexus RX (Harrier) 08-15 AL10 (Hitam)</t>
  </si>
  <si>
    <t>TRW-MOBILIO</t>
  </si>
  <si>
    <t>Honda Mobilio 14-</t>
  </si>
  <si>
    <t>TRW-CU6</t>
  </si>
  <si>
    <t>Lexus RX (Harrier) 13- CU6</t>
  </si>
  <si>
    <t>RDL-CU6</t>
  </si>
  <si>
    <t>RDR-CU6</t>
  </si>
  <si>
    <t>RVL-CU6</t>
  </si>
  <si>
    <t>RVR-CU6</t>
  </si>
  <si>
    <t>RQL-CU6</t>
  </si>
  <si>
    <t>RQR-CU6</t>
  </si>
  <si>
    <t>LFW-MAZDA209</t>
  </si>
  <si>
    <t>Mazda 2 09-14 3rd Gen</t>
  </si>
  <si>
    <t>B6T1</t>
  </si>
  <si>
    <t>TRW-MAZDA209</t>
  </si>
  <si>
    <t>Mazda 2 09-14 3rd Gen Hatchback</t>
  </si>
  <si>
    <t>FDL-MAZDA209</t>
  </si>
  <si>
    <t>FDR-MAZDA209</t>
  </si>
  <si>
    <t>RDL-MAZDA209</t>
  </si>
  <si>
    <t>RDR-MAZDA209</t>
  </si>
  <si>
    <t>LFW-MAZDA214</t>
  </si>
  <si>
    <t>Mazda 2 14- Skyactiv 4th Gen</t>
  </si>
  <si>
    <t>LFW-MAZDA214RS</t>
  </si>
  <si>
    <t>Mazda 2 14- Skyactiv 4th Gen (3 Sensor/ /\8 )</t>
  </si>
  <si>
    <t>X/MB/RS3/List</t>
  </si>
  <si>
    <t>TRW-MAZDA214</t>
  </si>
  <si>
    <t>Mazda 2 14- Skyactiv 4th Gen Hatchback</t>
  </si>
  <si>
    <t>FDL-MAZDA214</t>
  </si>
  <si>
    <t>FDR-MAZDA214</t>
  </si>
  <si>
    <t>RDL-MAZDA214</t>
  </si>
  <si>
    <t>RDR-MAZDA214</t>
  </si>
  <si>
    <t>LFW-MAZDA602</t>
  </si>
  <si>
    <t>Mazda 6 02-08 GG1 1st Gen</t>
  </si>
  <si>
    <t>TRW-MAZDA602</t>
  </si>
  <si>
    <t>LFW-MAZDA608</t>
  </si>
  <si>
    <t>Mazda 6 08-12 GH1 2nd Gen</t>
  </si>
  <si>
    <t>TRW-MAZDA608</t>
  </si>
  <si>
    <t>FDL-MAZDA608</t>
  </si>
  <si>
    <t>FDR-MAZDA608</t>
  </si>
  <si>
    <t>LFW-MAZDA608RS</t>
  </si>
  <si>
    <t>LFW-MAZDA612</t>
  </si>
  <si>
    <t>Mazda 6 12- GJ1/GL 3rd Gen</t>
  </si>
  <si>
    <t>LFW-MAZDA612RS</t>
  </si>
  <si>
    <t>TRW-MAZDA612</t>
  </si>
  <si>
    <t>FDL-MAZDA612</t>
  </si>
  <si>
    <t>LFW-MAZDA8</t>
  </si>
  <si>
    <t>Mazda 8 06-16</t>
  </si>
  <si>
    <t>TRW-MAZDA8</t>
  </si>
  <si>
    <t>LFW-BIANTERS</t>
  </si>
  <si>
    <t>Mazda Biante 08-</t>
  </si>
  <si>
    <t>LFW-BIANTE</t>
  </si>
  <si>
    <t>TRW-BIANTE</t>
  </si>
  <si>
    <t>TRW-BIANTEBLACK</t>
  </si>
  <si>
    <t>Mazda Biante 08- (Hitam)</t>
  </si>
  <si>
    <t>RDL-BIANTE</t>
  </si>
  <si>
    <t>RDR-BIANTE</t>
  </si>
  <si>
    <t>SWL-BIANTE</t>
  </si>
  <si>
    <t>SWR-BIANTE</t>
  </si>
  <si>
    <t>LFW-CX5GEN1</t>
  </si>
  <si>
    <t>Mazda CX-5 .12-14 1st Gen KE Pre</t>
  </si>
  <si>
    <t>X/MB/List</t>
  </si>
  <si>
    <t>LFW-CX5GEN1RS</t>
  </si>
  <si>
    <t>Mazda CX-5 .12-14 1st Gen KE Pre - (1 Sensor/ □ )</t>
  </si>
  <si>
    <t>LFW-CX5GEN1RS3</t>
  </si>
  <si>
    <t>Mazda CX-5 .14-17 1st Gen KE Facelift - (3 Sensor/ /\8 )</t>
  </si>
  <si>
    <t>TRW-CX5GEN1</t>
  </si>
  <si>
    <t>Mazda CX-5 12-17 1st Gen KE</t>
  </si>
  <si>
    <t>FDL-CX5GEN1</t>
  </si>
  <si>
    <t>FDR-CX5GEN1</t>
  </si>
  <si>
    <t>RDR-FJ80</t>
  </si>
  <si>
    <t>Toyota LandCruiser 90-97 FJ80</t>
  </si>
  <si>
    <t>RDR-CX5GEN1</t>
  </si>
  <si>
    <t>RVL-CX5GEN1</t>
  </si>
  <si>
    <t>RVR-CX5GEN1</t>
  </si>
  <si>
    <t>LFW-CX7RS</t>
  </si>
  <si>
    <t>Mazda CX-7 07- (1 Sensor / [] )</t>
  </si>
  <si>
    <t>LFW-CX7</t>
  </si>
  <si>
    <t>Mazda CX-7 07- (Tanpa Sensor)</t>
  </si>
  <si>
    <t>TRW-CX7</t>
  </si>
  <si>
    <t>Mazda CX-7 07-</t>
  </si>
  <si>
    <t>X/H/1Hole/A</t>
  </si>
  <si>
    <t>FDR-CX7</t>
  </si>
  <si>
    <t>RDL-CX7</t>
  </si>
  <si>
    <t>RDR-CX7</t>
  </si>
  <si>
    <t>SWL-CX7</t>
  </si>
  <si>
    <t>SWR-CX7</t>
  </si>
  <si>
    <t>LFW-CX9GEN1</t>
  </si>
  <si>
    <t>Mazda CX-9 07-15 1st Gen</t>
  </si>
  <si>
    <t>TRW-CX9GEN1</t>
  </si>
  <si>
    <t>LFW-MX5</t>
  </si>
  <si>
    <t>Mazda MX-5/Miata/Roadster 2D NC 05-15</t>
  </si>
  <si>
    <t>LFW-W168</t>
  </si>
  <si>
    <t>Mers-Benz A140/160/A190 97-04 W168</t>
  </si>
  <si>
    <t>TRW-W168</t>
  </si>
  <si>
    <t>LFW-W176</t>
  </si>
  <si>
    <t>Mers-Benz A-Class 13-18 W176 / W156 / W117 (1 Sensor [] )</t>
  </si>
  <si>
    <t>LFW-CRETA</t>
  </si>
  <si>
    <t xml:space="preserve">Hyundai Creta 22- </t>
  </si>
  <si>
    <t>TRW-W203</t>
  </si>
  <si>
    <t>Mers-Benz C-Class 00-07 W203</t>
  </si>
  <si>
    <t>LFW-W204RS</t>
  </si>
  <si>
    <t>Mers-Benz C-Class 07-14 W204 (1 Sensor/ □)</t>
  </si>
  <si>
    <t>TRW-W204</t>
  </si>
  <si>
    <t>Mers-Benz C-Class 07-14 W204</t>
  </si>
  <si>
    <t>LFW-W205RS</t>
  </si>
  <si>
    <t>Mers-Benz C-Class 14 - W205 (1 Sensor/ □)</t>
  </si>
  <si>
    <t>LFW-W205RS2</t>
  </si>
  <si>
    <t>Mers-Benz C-Class 14 - W205 (2 Sensor/ □Δ)</t>
  </si>
  <si>
    <t>X/RS/List/Cam</t>
  </si>
  <si>
    <t>LFW-W117</t>
  </si>
  <si>
    <t>Mers-Benz CLA-Class 13-19 W117 (1 Sensor / □)</t>
  </si>
  <si>
    <t>TRW-W117</t>
  </si>
  <si>
    <t xml:space="preserve">Mers-Benz CLA-Class 13-19 W117 </t>
  </si>
  <si>
    <t>LRW-W124</t>
  </si>
  <si>
    <t>Mers-Benz E-Class 88-92 W124 2Door Coupe</t>
  </si>
  <si>
    <t>LFW-W210</t>
  </si>
  <si>
    <t>Mers-Benz E-Class 95-02 W210</t>
  </si>
  <si>
    <t>TRW-W210</t>
  </si>
  <si>
    <t>LFW-W211</t>
  </si>
  <si>
    <t>Mers-Benz E-Class 02-09 W211</t>
  </si>
  <si>
    <t>LFW-SANTAFE21RS2</t>
  </si>
  <si>
    <t>Hyundai Santa Fe 18-23 (thn 21-23) (2 Sensor / /\ O)</t>
  </si>
  <si>
    <t>LFW-W212RS2</t>
  </si>
  <si>
    <t>Mers-Benz E-Class 09-16 W212 (2 Sensor/ □Δ)</t>
  </si>
  <si>
    <t>X/MB/RS/H/List</t>
  </si>
  <si>
    <t>BMW 3 Series 12-18 F30/F35 (1 Sensor / O )</t>
  </si>
  <si>
    <t>LFW-W253</t>
  </si>
  <si>
    <t>Mers-Benz GLC-Class SUV 16- W253</t>
  </si>
  <si>
    <t>TRW-W253</t>
  </si>
  <si>
    <t>LFW-W140</t>
  </si>
  <si>
    <t>Mers-Benz S-Class 91-98 W140 4D</t>
  </si>
  <si>
    <t>LRW-W140</t>
  </si>
  <si>
    <t>TRW-W220</t>
  </si>
  <si>
    <t>Mers-Benz S-Class 98-05 W220 4D (Lami)</t>
  </si>
  <si>
    <t>LFW-DELICA</t>
  </si>
  <si>
    <t>Mitsubishi Delica 07- 5th Gen</t>
  </si>
  <si>
    <t>TRW-ETERNA</t>
  </si>
  <si>
    <t>Mitsubishi Galant 87-93 YH/E31 6th Gen (Eterna)</t>
  </si>
  <si>
    <t>FDL-ETERNA</t>
  </si>
  <si>
    <t>FDR-ETERNA</t>
  </si>
  <si>
    <t>TRW-LELE</t>
  </si>
  <si>
    <t>Mitsubishi Galant 92-98 YB/E52A (Lele)</t>
  </si>
  <si>
    <t>FDL-LELE</t>
  </si>
  <si>
    <t>FDR-LELE</t>
  </si>
  <si>
    <t>RDL-LELE</t>
  </si>
  <si>
    <t>RDR-LELE</t>
  </si>
  <si>
    <t>LFW-HIU</t>
  </si>
  <si>
    <t>Mitsubishi Galant 96-03 YC/EA2A 8th Gen (Hiu)</t>
  </si>
  <si>
    <t>TRW-HIU</t>
  </si>
  <si>
    <t>FDL-HIU</t>
  </si>
  <si>
    <t>FDR-HIU</t>
  </si>
  <si>
    <t>RDL-HIU</t>
  </si>
  <si>
    <t>RDR-HIU</t>
  </si>
  <si>
    <t>LFW-GRANDIS</t>
  </si>
  <si>
    <t>Mitsubishi Grandis 03-11 EZ45/NA4W</t>
  </si>
  <si>
    <t>TRW-GRANDIS</t>
  </si>
  <si>
    <t>FDL-GRANDIS</t>
  </si>
  <si>
    <t>FDR-GRANDIS</t>
  </si>
  <si>
    <t>RDL-GRANDIS</t>
  </si>
  <si>
    <t>RDR-GRANDIS</t>
  </si>
  <si>
    <t>SWL-GRANDIS</t>
  </si>
  <si>
    <t>SWR-GRANDIS</t>
  </si>
  <si>
    <t>LFW-EVO3</t>
  </si>
  <si>
    <t>Mitsubishi Lancer 91-96 LE41 CB4/5 (Evo3)</t>
  </si>
  <si>
    <t>TRW-EVO3</t>
  </si>
  <si>
    <t>FDL-EVO3</t>
  </si>
  <si>
    <t>FDR-EVO3</t>
  </si>
  <si>
    <t>RDL-EVO3</t>
  </si>
  <si>
    <t>RDR-EVO3</t>
  </si>
  <si>
    <t>RVL-EVO3</t>
  </si>
  <si>
    <t>RVR-EVO3</t>
  </si>
  <si>
    <t>LFW-EVO4</t>
  </si>
  <si>
    <t>Mitsubishi Lancer 95-03 LG41/CK2/CK4(Evo4)</t>
  </si>
  <si>
    <t>TRW-EVO4</t>
  </si>
  <si>
    <t>FDL-EVO4</t>
  </si>
  <si>
    <t>FDR-EVO4</t>
  </si>
  <si>
    <t>LFW-EVO5</t>
  </si>
  <si>
    <t>Mitsubishi Lancer 00-07 CS3 CS5 (Evo5/Evo6/Cedia)</t>
  </si>
  <si>
    <t>TRW-EVO5</t>
  </si>
  <si>
    <t>FDL-EVO5</t>
  </si>
  <si>
    <t>FDR-EVO5</t>
  </si>
  <si>
    <t>RDL-EVO5</t>
  </si>
  <si>
    <t>RDR-EVO5</t>
  </si>
  <si>
    <t>LFW-EVO10</t>
  </si>
  <si>
    <t>Mitsubishi Lancer 07- EX Mobil Polisi (Evo 10)</t>
  </si>
  <si>
    <t>LFW-EVO10RS</t>
  </si>
  <si>
    <t>TRW-EVO10</t>
  </si>
  <si>
    <t>FDL-EVO10</t>
  </si>
  <si>
    <t>FDR-EVO10</t>
  </si>
  <si>
    <t>RDL-EVO10</t>
  </si>
  <si>
    <t>RDR-EVO10</t>
  </si>
  <si>
    <t>LFW-MIRAGE</t>
  </si>
  <si>
    <t>Mitsubishi Mirage 12-</t>
  </si>
  <si>
    <t>TRW-MIRAGE</t>
  </si>
  <si>
    <t>LFW-OUTLANDER</t>
  </si>
  <si>
    <t>Mitsubishi Outlander 10-21 GA3</t>
  </si>
  <si>
    <t>TRW-OUTLANDER</t>
  </si>
  <si>
    <t>LFW-PAJERO08</t>
  </si>
  <si>
    <t>Mitsubishi Pajero 08-16</t>
  </si>
  <si>
    <t>TRW-PAJERO08</t>
  </si>
  <si>
    <t>LFW-PAJERO16</t>
  </si>
  <si>
    <t>Mitsubishi Pajero 16-</t>
  </si>
  <si>
    <t>TRW-PAJERO16</t>
  </si>
  <si>
    <t>LFW-TRITON05</t>
  </si>
  <si>
    <t>Mitsubishi Strada Triton 08-15</t>
  </si>
  <si>
    <t>TRW-TRITON05</t>
  </si>
  <si>
    <t>LFW-TRITON14</t>
  </si>
  <si>
    <t>Mitsubishi Strada Triton 16-</t>
  </si>
  <si>
    <t>TRW-TRITON14H</t>
  </si>
  <si>
    <t>RDL-TRITON14</t>
  </si>
  <si>
    <t>RDR-TRITON14</t>
  </si>
  <si>
    <t>FDL-DATSUN</t>
  </si>
  <si>
    <t>Nissan Datsun Go/Go+ 14- (5-Seater)</t>
  </si>
  <si>
    <t>RDL-DATSUN</t>
  </si>
  <si>
    <t>RDR-DATSUN</t>
  </si>
  <si>
    <t>LFW-ELGRAND02</t>
  </si>
  <si>
    <t>Nissan Elgrand 02-10 E51 2nd Gen</t>
  </si>
  <si>
    <t>TRW-ELGRAND02</t>
  </si>
  <si>
    <t>FDL-ELGRAND02</t>
  </si>
  <si>
    <t>FDR-ELGRAND02</t>
  </si>
  <si>
    <t>SFL-ELGRAND02</t>
  </si>
  <si>
    <t>SF/L</t>
  </si>
  <si>
    <t>SFR-ELGRAND02</t>
  </si>
  <si>
    <t>SF/R</t>
  </si>
  <si>
    <t>SRL-ELGRAND02</t>
  </si>
  <si>
    <t>SR/L</t>
  </si>
  <si>
    <t>X/A/1Hole</t>
  </si>
  <si>
    <t>SRR-ELGRAND02</t>
  </si>
  <si>
    <t>SR/R</t>
  </si>
  <si>
    <t>LFW-ELGRAND10</t>
  </si>
  <si>
    <t>Nissan Elgrand 10- E52 3rd Gen</t>
  </si>
  <si>
    <t>TRW-ELGRAND10</t>
  </si>
  <si>
    <t>RDL-ELGRAND10</t>
  </si>
  <si>
    <t>RDR-ELGRAND10</t>
  </si>
  <si>
    <t>SWL-ELGRAND10</t>
  </si>
  <si>
    <t>SWR-ELGRAND10</t>
  </si>
  <si>
    <t>LFW-EVALIA</t>
  </si>
  <si>
    <t>Nissan Evalia 10- X11M</t>
  </si>
  <si>
    <t>SRL-EVALIA</t>
  </si>
  <si>
    <t>TRW-NAVARA97</t>
  </si>
  <si>
    <t>Nissan Frontier Navara 97-04 D22 1st Gen</t>
  </si>
  <si>
    <t>LFW-NAVARA04</t>
  </si>
  <si>
    <t>Nissan Frontier Navara 04-15 D40 2nd Gen</t>
  </si>
  <si>
    <t>TRW-NAVARA04</t>
  </si>
  <si>
    <t>LFW-JUKE</t>
  </si>
  <si>
    <t>Nissan Juke 11-</t>
  </si>
  <si>
    <t>TRW-JUKE</t>
  </si>
  <si>
    <t>FDL-JUKE</t>
  </si>
  <si>
    <t>FDR-JUKE</t>
  </si>
  <si>
    <t>RDL-JUKE</t>
  </si>
  <si>
    <t>RDR-JUKE</t>
  </si>
  <si>
    <t>LFW-LIVINA07</t>
  </si>
  <si>
    <t>Nissan Livina 07-18 L10/L11</t>
  </si>
  <si>
    <t>TRW-LIVINA07</t>
  </si>
  <si>
    <t>Nissan Livina 07-12 L10 (Tanpa Lubang)</t>
  </si>
  <si>
    <t>FDL-LIVINA07</t>
  </si>
  <si>
    <t>LFW-MARCH</t>
  </si>
  <si>
    <t>Nissan March 10- K13</t>
  </si>
  <si>
    <t>TRW-MARCH</t>
  </si>
  <si>
    <t>FDL-MARCH</t>
  </si>
  <si>
    <t>FDR-MARCH</t>
  </si>
  <si>
    <t>RDL-MARCH</t>
  </si>
  <si>
    <t>RDR-MARCH</t>
  </si>
  <si>
    <t>LFW-MURANO02</t>
  </si>
  <si>
    <t>Nissan Murano 02-08 Z50 1st Gen</t>
  </si>
  <si>
    <t>TRW-MURANO02</t>
  </si>
  <si>
    <t>LFW-MURANO08</t>
  </si>
  <si>
    <t>Nissan Murano 08-14 PZ/TZ51</t>
  </si>
  <si>
    <t>TRW-MURANO08</t>
  </si>
  <si>
    <t>RDL-MURANO08</t>
  </si>
  <si>
    <t>RDR-MURANO08</t>
  </si>
  <si>
    <t>LFW-NAVARA15</t>
  </si>
  <si>
    <t>Nissan Navara (NP300) 4D Pickup 15- D23</t>
  </si>
  <si>
    <t>TRW-NAVARA15</t>
  </si>
  <si>
    <t>FDL-NAVARA15</t>
  </si>
  <si>
    <t>FDR-NAVARA15</t>
  </si>
  <si>
    <t>RDL-NAVARA15</t>
  </si>
  <si>
    <t>RDR-NAVARA15</t>
  </si>
  <si>
    <t>TRW-C23</t>
  </si>
  <si>
    <t>Nissan Serena 91-00 MKI C23</t>
  </si>
  <si>
    <t>LFW-C24</t>
  </si>
  <si>
    <t>Nissan Serena 99-10 MKII C24</t>
  </si>
  <si>
    <t>TRW-C24</t>
  </si>
  <si>
    <t>LFW-C25</t>
  </si>
  <si>
    <t>Nissan Serena 05-10 MKIII C25</t>
  </si>
  <si>
    <t>TRW-C25</t>
  </si>
  <si>
    <t>RDL-C25</t>
  </si>
  <si>
    <t>RDR-C25</t>
  </si>
  <si>
    <t>SWL-C25</t>
  </si>
  <si>
    <t>SWR-C25</t>
  </si>
  <si>
    <t>LFW-C26</t>
  </si>
  <si>
    <t>Nissan Serena 10-19 MKIV C26</t>
  </si>
  <si>
    <t>TRW-C26</t>
  </si>
  <si>
    <t>FDL-C26</t>
  </si>
  <si>
    <t>FDR-C26</t>
  </si>
  <si>
    <t>RDL-C26</t>
  </si>
  <si>
    <t>RDR-C26</t>
  </si>
  <si>
    <t>SWL-C26</t>
  </si>
  <si>
    <t>SWR-C26</t>
  </si>
  <si>
    <t>LFW-T30</t>
  </si>
  <si>
    <t>Nissan X-Trail 01-07 T30</t>
  </si>
  <si>
    <t>TRW-T30</t>
  </si>
  <si>
    <t>FDL-T30</t>
  </si>
  <si>
    <t>RDL-T30</t>
  </si>
  <si>
    <t>RDR-T30</t>
  </si>
  <si>
    <t>SWL-T30</t>
  </si>
  <si>
    <t>SWR-T30</t>
  </si>
  <si>
    <t>LFW-T31</t>
  </si>
  <si>
    <t>Nissan X-Trail 07-13 T31</t>
  </si>
  <si>
    <t>TRW-T31</t>
  </si>
  <si>
    <t>FDL-T31</t>
  </si>
  <si>
    <t>FDR-T31</t>
  </si>
  <si>
    <t>RDL-T31</t>
  </si>
  <si>
    <t>RDR-T31</t>
  </si>
  <si>
    <t>LFW-T32</t>
  </si>
  <si>
    <t>Nissan X-Trail 13- T32 (1 Sensor)</t>
  </si>
  <si>
    <t>TRW-T32</t>
  </si>
  <si>
    <t>Nissan X-Trail 13- T32</t>
  </si>
  <si>
    <t>FDL-T32</t>
  </si>
  <si>
    <t>FDR-T32</t>
  </si>
  <si>
    <t>RDL-T32</t>
  </si>
  <si>
    <t>RDR-T32</t>
  </si>
  <si>
    <t>LFW-OPEL</t>
  </si>
  <si>
    <t>Opel Blazer 96-04 S10/T10</t>
  </si>
  <si>
    <t>LFW-PEU307RSBULAT</t>
  </si>
  <si>
    <t>Peugeot 307 01-08 SW (RS Bulat)</t>
  </si>
  <si>
    <t>LFW-PEU307RSKOTAK</t>
  </si>
  <si>
    <t>Peugeot 307 01-08 SW (RS Kotak)</t>
  </si>
  <si>
    <t>TRW-PEU307HATCH</t>
  </si>
  <si>
    <t>Peugeot 307 01-08 SW Hatchback</t>
  </si>
  <si>
    <t>TRW-PEU307SEDAN</t>
  </si>
  <si>
    <t>Peugeot 307 01-08 SW Wagon</t>
  </si>
  <si>
    <t>LFW-RANGEROVER4D</t>
  </si>
  <si>
    <t>Range Rover Evoque 11-18 SALVA 4Door (1 Sensor / [] )</t>
  </si>
  <si>
    <t>TRW-RANGEROVER</t>
  </si>
  <si>
    <t>Range Rover Evoque 11-18 SALVA 4Door (Hitam)</t>
  </si>
  <si>
    <t>TRW-AERIO</t>
  </si>
  <si>
    <t>Suzuki Aerio 5D 01-07</t>
  </si>
  <si>
    <t>LFW-APV</t>
  </si>
  <si>
    <t>Suzuki APV 03- Pickup/ Van</t>
  </si>
  <si>
    <t>LFW-ERTIGA12</t>
  </si>
  <si>
    <t>Suzuki Ertiga 12-18 1st Gen MPV</t>
  </si>
  <si>
    <t>LFW-SPLASH</t>
  </si>
  <si>
    <t>Suzuki Splash 09-16</t>
  </si>
  <si>
    <t>LFW-ALPHARD02</t>
  </si>
  <si>
    <t>Toyota Alphard 02-08 ANH10 1st Gen</t>
  </si>
  <si>
    <t>TRW-ALPHARD02</t>
  </si>
  <si>
    <t>TRW-ALPHARD02BLACK</t>
  </si>
  <si>
    <t>Toyota Alphard 02-08 ANH10 1st Gen (Hitam)</t>
  </si>
  <si>
    <t>FDL-ALPHARD02</t>
  </si>
  <si>
    <t>FDR-ALPHARD02</t>
  </si>
  <si>
    <t>RDL-ALPHARD02</t>
  </si>
  <si>
    <t>RDR-ALPHARD02</t>
  </si>
  <si>
    <t>SWL-ALPHARD02COAK</t>
  </si>
  <si>
    <t>Toyota Alphard 02-08 ANH10 1st Gen (coak)</t>
  </si>
  <si>
    <t>SWR-ALPHARD02COAK</t>
  </si>
  <si>
    <t>SWL-ALPHARD02COAKHITAM</t>
  </si>
  <si>
    <t>Toyota Alphard 02-08 ANH10 1st Gen (coak) (Hitam)</t>
  </si>
  <si>
    <t>SWR-ALPHARD02COAKHITAM</t>
  </si>
  <si>
    <t>RDL-ALPHARD02HITAM</t>
  </si>
  <si>
    <t>RDR-ALPHARD02HITAM</t>
  </si>
  <si>
    <t>LFW-ALPHARD08</t>
  </si>
  <si>
    <t>FDL-ALPHARD08</t>
  </si>
  <si>
    <t>FDR-ALPHARD08</t>
  </si>
  <si>
    <t>SWL-ALPHARD08</t>
  </si>
  <si>
    <t>SWR-ALPHARD08</t>
  </si>
  <si>
    <t>RDL-ALPHARD08</t>
  </si>
  <si>
    <t>RDR-ALPHARD08</t>
  </si>
  <si>
    <t>TRW-ALPHARD08BLACK</t>
  </si>
  <si>
    <t>Toyota Alphard 08-15 ANH20 2nd Gen (Hitam)</t>
  </si>
  <si>
    <t>SWL-ALPHARD08HITAM</t>
  </si>
  <si>
    <t>SWR-ALPHARD08HITAM</t>
  </si>
  <si>
    <t>FDL-ALPHARD15</t>
  </si>
  <si>
    <t>Toyota Alphard 15- ANH30 3rd Gen</t>
  </si>
  <si>
    <t>FDR-ALPHARD15</t>
  </si>
  <si>
    <t>RDL-ALPHARD15</t>
  </si>
  <si>
    <t>RDR-ALPHARD15</t>
  </si>
  <si>
    <t>SWL-ALPHARD15</t>
  </si>
  <si>
    <t>SWR-ALPHARD15</t>
  </si>
  <si>
    <t>RDL-ALPHARD15HITAM</t>
  </si>
  <si>
    <t>Toyota Alphard 15- ANH30 3rd Gen (Hitam)</t>
  </si>
  <si>
    <t>RDR-ALPHARD15HITAM</t>
  </si>
  <si>
    <t>TRW-ALPHARD15BLACK</t>
  </si>
  <si>
    <t>Toyota Alphard 15-17 ANH30 3rd Gen (Hitam)</t>
  </si>
  <si>
    <t>TRW-ALPHARD15</t>
  </si>
  <si>
    <t>Toyota Alphard 15-17 ANH30 3rd Gen</t>
  </si>
  <si>
    <t>LFW-ALPHARD15</t>
  </si>
  <si>
    <t>Toyota Alphard 15-17 ANH30 3rd Gen (Sensor atas keramik)</t>
  </si>
  <si>
    <t>LFW-ALTIS00</t>
  </si>
  <si>
    <t>Toyota Altis 00-06 E120/130 9th Gen</t>
  </si>
  <si>
    <t>TRW-ALTIS00</t>
  </si>
  <si>
    <t>LFW-ALTIS06</t>
  </si>
  <si>
    <t>Toyota Altis 06-13 E140 10th Gen (DZ055)</t>
  </si>
  <si>
    <t>LFW-ALTIS06RS</t>
  </si>
  <si>
    <t>Toyota Altis 06-13 E140 10th Gen</t>
  </si>
  <si>
    <t>TRW-ALTIS06</t>
  </si>
  <si>
    <t>X/H/A/List</t>
  </si>
  <si>
    <t>FDL-ALTIS06</t>
  </si>
  <si>
    <t>FDR-ALTIS06</t>
  </si>
  <si>
    <t>RDL-ALTIS06</t>
  </si>
  <si>
    <t>RDR-ALTIS06</t>
  </si>
  <si>
    <t>RVL-ALTIS06</t>
  </si>
  <si>
    <t>RVR-ALTIS06</t>
  </si>
  <si>
    <t>LFW-ALTIS13RS</t>
  </si>
  <si>
    <t>Toyota Altis 13-17 E170 11th Gen</t>
  </si>
  <si>
    <t>TRW-ALTIS13</t>
  </si>
  <si>
    <t>FDL-ALTIS13</t>
  </si>
  <si>
    <t>FDR-ALTIS13</t>
  </si>
  <si>
    <t>RDL-ALTIS13</t>
  </si>
  <si>
    <t>RDR-ALTIS13</t>
  </si>
  <si>
    <t>RVL-ALTIS13</t>
  </si>
  <si>
    <t>RVR-ALTIS13</t>
  </si>
  <si>
    <t>LFW-AVANZA03</t>
  </si>
  <si>
    <t>TRW-AVANZA03</t>
  </si>
  <si>
    <t>LFW-AVANZA11</t>
  </si>
  <si>
    <t>Toyota Avanza / Xenia 11-15 2nd Gen</t>
  </si>
  <si>
    <t>TRW-AVANZA11H</t>
  </si>
  <si>
    <t>LFW-AVANZA16</t>
  </si>
  <si>
    <t>Toyota Avanza / Xenia 15-21 3rd Gen</t>
  </si>
  <si>
    <t>LFW-CAMRY96</t>
  </si>
  <si>
    <t>Toyota Camry 96-01 XV20 2nd Gen</t>
  </si>
  <si>
    <t>TRW-CAMRY96</t>
  </si>
  <si>
    <t>LFW-CAMRY02</t>
  </si>
  <si>
    <t>Toyota Camry 02-06 ACV30 3rd Gen</t>
  </si>
  <si>
    <t>TRW-CAMRY02</t>
  </si>
  <si>
    <t>FDL-CAMRY02</t>
  </si>
  <si>
    <t>FDR-CAMRY02</t>
  </si>
  <si>
    <t>LFW-CAMRY06</t>
  </si>
  <si>
    <t>Toyota Camry 06-11 XV40 4th Gen</t>
  </si>
  <si>
    <t>LFW-CAMRY06RS</t>
  </si>
  <si>
    <t>TRW-CAMRY06</t>
  </si>
  <si>
    <t>LFW-CAMRY11</t>
  </si>
  <si>
    <t>Toyota Camry 11-17 XV50 5th Gen</t>
  </si>
  <si>
    <t>LFW-CAMRY11RS</t>
  </si>
  <si>
    <t>TRW-CAMRY11</t>
  </si>
  <si>
    <t>FDL-CAMRY11</t>
  </si>
  <si>
    <t>FDR-CAMRY11</t>
  </si>
  <si>
    <t>TRW-COROLLA87</t>
  </si>
  <si>
    <t>Toyota Corolla AE92/EE90 87-92 6th Gen Twincam</t>
  </si>
  <si>
    <t>LFW-COROLLA91</t>
  </si>
  <si>
    <t>Toyota Corolla Great E100 91-96 7th Gen</t>
  </si>
  <si>
    <t>TRW-COROLLA91</t>
  </si>
  <si>
    <t>TRW-COROLLA95</t>
  </si>
  <si>
    <t>Toyota Corolla All New AE111 95-02 8th Gen</t>
  </si>
  <si>
    <t>TRW-ETIOSSEDAN</t>
  </si>
  <si>
    <t>TRW-ETIOSHSEDAN</t>
  </si>
  <si>
    <t>LFW-FORTUNER05</t>
  </si>
  <si>
    <t>Toyota Fortuner 05-15 1st Gen</t>
  </si>
  <si>
    <t>TRW-FORTUNER05</t>
  </si>
  <si>
    <t>Belum bisa masuk ke rak</t>
  </si>
  <si>
    <t>TRW-FORTUNER05BLACK</t>
  </si>
  <si>
    <t>Toyota Fortuner 05-15 1st Gen (Hitam)</t>
  </si>
  <si>
    <t>B1T3</t>
  </si>
  <si>
    <t>RDL-FORTUNER05</t>
  </si>
  <si>
    <t>RDR-FORTUNER05</t>
  </si>
  <si>
    <t>SWL-FORTUNER05BLACK</t>
  </si>
  <si>
    <t>SWR-FORTUNER05BLACK</t>
  </si>
  <si>
    <t>LFW-FORTUNER15</t>
  </si>
  <si>
    <t>Toyota Fortuner 15- 2nd Gen</t>
  </si>
  <si>
    <t>TRW-FORTUNER15</t>
  </si>
  <si>
    <t>TRW-FORTUNER15BLACK</t>
  </si>
  <si>
    <t>Toyota Fortuner 15- 2nd Gen (Hitam)</t>
  </si>
  <si>
    <t>RDL-FORTUNER15</t>
  </si>
  <si>
    <t>RDR-FORTUNER15</t>
  </si>
  <si>
    <t>LFW-HIACE</t>
  </si>
  <si>
    <t>Toyota Hi-Ace 04-20 Commuter</t>
  </si>
  <si>
    <t>TRW-HIACE</t>
  </si>
  <si>
    <t>FDL-HIACE</t>
  </si>
  <si>
    <t>FDR-HIACE</t>
  </si>
  <si>
    <t>SRL-HIACE</t>
  </si>
  <si>
    <t>SRR-HIACE</t>
  </si>
  <si>
    <t>TRW-HIACEBLACK</t>
  </si>
  <si>
    <t>Toyota Hi-Ace 04-20 Commuter (Hitam)</t>
  </si>
  <si>
    <t>TRW-HILUX05</t>
  </si>
  <si>
    <t>Toyota Hilux Pickup 05-15</t>
  </si>
  <si>
    <t>LFW-HILUX15</t>
  </si>
  <si>
    <t>Toyota Hilux Pickup 15- (Revo)</t>
  </si>
  <si>
    <t>TRW-HILUX15H</t>
  </si>
  <si>
    <t>TRW-HILUX15</t>
  </si>
  <si>
    <t>LFW-INNOVA04</t>
  </si>
  <si>
    <t>Toyota Innova 04-15 1st Gen</t>
  </si>
  <si>
    <t>TRW-INNOVA04H</t>
  </si>
  <si>
    <t>TRW-INNOVA04</t>
  </si>
  <si>
    <t>RVL-INNOVA04</t>
  </si>
  <si>
    <t>RVR-INNOVA04</t>
  </si>
  <si>
    <t>RQR-INNOVA04</t>
  </si>
  <si>
    <t>LFW-INNOVA15</t>
  </si>
  <si>
    <t>Toyota Innova 15- 2nd Gen</t>
  </si>
  <si>
    <t>LFW-IST</t>
  </si>
  <si>
    <t>Toyota ist 01-06 SC10/NCP60</t>
  </si>
  <si>
    <t>TRW-IST</t>
  </si>
  <si>
    <t>LFW-FJ80</t>
  </si>
  <si>
    <t>TRW-FJ80</t>
  </si>
  <si>
    <t>RDL-FJ80</t>
  </si>
  <si>
    <t>Rak BY</t>
  </si>
  <si>
    <t>SFL-FJ80</t>
  </si>
  <si>
    <t>SFR-FJ80</t>
  </si>
  <si>
    <t>SRL-FJ80</t>
  </si>
  <si>
    <t>SRR-FJ80</t>
  </si>
  <si>
    <t>LFW-FJ100</t>
  </si>
  <si>
    <t>Toyota LandCruiser 98-07 FJ100 (Signus) [No Sensor]</t>
  </si>
  <si>
    <t>TRW-FJ100</t>
  </si>
  <si>
    <t>Toyota LandCruiser 98-07 FJ100 (Signus)</t>
  </si>
  <si>
    <t>RDL-FJ100</t>
  </si>
  <si>
    <t>RDR-FJ100</t>
  </si>
  <si>
    <t>RQL-FJ100</t>
  </si>
  <si>
    <t>RQR-FJ100</t>
  </si>
  <si>
    <t>LFW-FJ200RS</t>
  </si>
  <si>
    <t>Toyota LandCruiser 07- FJ200</t>
  </si>
  <si>
    <t>LFW-FJ200</t>
  </si>
  <si>
    <t>TRW-FJ200</t>
  </si>
  <si>
    <t>FDL-FJ200</t>
  </si>
  <si>
    <t>FDR-FJ200</t>
  </si>
  <si>
    <t>RDL-FJ200</t>
  </si>
  <si>
    <t>RDR-FJ200</t>
  </si>
  <si>
    <t>RVL-FJ200</t>
  </si>
  <si>
    <t>RVR-FJ200</t>
  </si>
  <si>
    <t>LFW-FJ120</t>
  </si>
  <si>
    <t>Toyota LandCruiser Prado 02-09 FJ120</t>
  </si>
  <si>
    <t>RDL-FJ120</t>
  </si>
  <si>
    <t>RDR-FJ120</t>
  </si>
  <si>
    <t>RQL-FJ120</t>
  </si>
  <si>
    <t>X/1hole</t>
  </si>
  <si>
    <t>RQR-FJ120</t>
  </si>
  <si>
    <t>TRW-FJ120</t>
  </si>
  <si>
    <t>Toyota LandCruiser Prado 02-09 FJ120 (lbg)</t>
  </si>
  <si>
    <t>LFW-FJ150</t>
  </si>
  <si>
    <t>Toyota LandCruiser Prado FJ150W 09-</t>
  </si>
  <si>
    <t>TRW-FJ150</t>
  </si>
  <si>
    <t>X/H/17hole</t>
  </si>
  <si>
    <t>RDL-FJ150</t>
  </si>
  <si>
    <t>RDR-FJ150</t>
  </si>
  <si>
    <t>LFW-NAV07</t>
  </si>
  <si>
    <t>Toyota NAV1/Noah 07-17</t>
  </si>
  <si>
    <t>TRW-NAV07</t>
  </si>
  <si>
    <t>RQL-NAV07</t>
  </si>
  <si>
    <t>RQR-NAV07</t>
  </si>
  <si>
    <t>LFW-NOAH</t>
  </si>
  <si>
    <t>Toyota Noah 01-07</t>
  </si>
  <si>
    <t>TRW-NOAH</t>
  </si>
  <si>
    <t>RDL-NOAH</t>
  </si>
  <si>
    <t>RDR-NOAH</t>
  </si>
  <si>
    <t>RQL-NOAH</t>
  </si>
  <si>
    <t>LFW-PREVIA00</t>
  </si>
  <si>
    <t>Toyota Previa/Estima 00-06 KR30/ACR30/XR30</t>
  </si>
  <si>
    <t>TRW-PREVIA00</t>
  </si>
  <si>
    <t>LFW-PREVIA06</t>
  </si>
  <si>
    <t>Toyota Previa/Estima 06- KR40/TR70/XR50</t>
  </si>
  <si>
    <t>TRW-PREVIA06</t>
  </si>
  <si>
    <t>TRW-RAV400</t>
  </si>
  <si>
    <t>Toyota RAV4 00-05 XA20 2th Gen</t>
  </si>
  <si>
    <t>LFW-RAV400</t>
  </si>
  <si>
    <t>Toyota RAV4 00-05 XA20 2th Gen / Cherry Tiggo</t>
  </si>
  <si>
    <t>LFW-RAV405</t>
  </si>
  <si>
    <t>Toyota RAV4 05-12 XA30 3rd Gen</t>
  </si>
  <si>
    <t>TRW-RAV405</t>
  </si>
  <si>
    <t>FDL-RAV405</t>
  </si>
  <si>
    <t>FDR-RAV405</t>
  </si>
  <si>
    <t>RDL-RAV405</t>
  </si>
  <si>
    <t>RDR-RAV405</t>
  </si>
  <si>
    <t>RQL-RAV405</t>
  </si>
  <si>
    <t>RQR-RAV405</t>
  </si>
  <si>
    <t>LFW-TERIOS06</t>
  </si>
  <si>
    <t>Toyota Rush / Terios 06-17</t>
  </si>
  <si>
    <t>TRW-TERIOS06HOLE</t>
  </si>
  <si>
    <t>TRW-TERIOS06HHOLE</t>
  </si>
  <si>
    <t>TRW-TERIOS06</t>
  </si>
  <si>
    <t>LFW-SIENTA</t>
  </si>
  <si>
    <t>Toyota Sienta 15-</t>
  </si>
  <si>
    <t>TRW-SIENTA</t>
  </si>
  <si>
    <t>LFW-SOLUNA</t>
  </si>
  <si>
    <t>Toyota Soluna AL50 00-</t>
  </si>
  <si>
    <t>LFW-STARLET</t>
  </si>
  <si>
    <t>Toyota Starlet KP80 89-95</t>
  </si>
  <si>
    <t>TRW-STARLET</t>
  </si>
  <si>
    <t>RDL-STARLET</t>
  </si>
  <si>
    <t>RDR-STARLET</t>
  </si>
  <si>
    <t>TRW-VIOS02</t>
  </si>
  <si>
    <t>Toyota Vios 02-07 XP40 1st Gen</t>
  </si>
  <si>
    <t>RDL-VIOS02</t>
  </si>
  <si>
    <t>RDR-VIOS02</t>
  </si>
  <si>
    <t>LFW-VIOS07</t>
  </si>
  <si>
    <t>Toyota Vios 07-13 XP90 2nd Gen</t>
  </si>
  <si>
    <t>TRW-VIOS07A</t>
  </si>
  <si>
    <t>TRW-VIOS07</t>
  </si>
  <si>
    <t>RDL-VIOS07</t>
  </si>
  <si>
    <t>RDR-VIOS07</t>
  </si>
  <si>
    <t>RVL-VIOS07</t>
  </si>
  <si>
    <t>LFW-VOXY17</t>
  </si>
  <si>
    <t>Toyota Voxy 17-</t>
  </si>
  <si>
    <t>TRW-VOXY</t>
  </si>
  <si>
    <t>Toyota Voxy 17- (Hitam)</t>
  </si>
  <si>
    <t>LFW-WISH</t>
  </si>
  <si>
    <t>Toyota Wish 03-09</t>
  </si>
  <si>
    <t>TRW-WISH</t>
  </si>
  <si>
    <t>LFW-YARIS05</t>
  </si>
  <si>
    <t>Toyota Yaris 05-13 XP90 1st Gen</t>
  </si>
  <si>
    <t>TRW-YARIS05</t>
  </si>
  <si>
    <t>LFW-VIOS13</t>
  </si>
  <si>
    <t>Toyota Yaris 13- 2nd Gen / Vios 14- 3rd Gen</t>
  </si>
  <si>
    <t>LFW-T5</t>
  </si>
  <si>
    <t>VW Caravelle T5 03-16</t>
  </si>
  <si>
    <t>TRW-T5</t>
  </si>
  <si>
    <t>TRW-MK5</t>
  </si>
  <si>
    <t>VW Golf MK5 Hatchback 03-08</t>
  </si>
  <si>
    <t>LFW-GOLFMK6</t>
  </si>
  <si>
    <t>VW Golf MK6 Hatchback 08-12</t>
  </si>
  <si>
    <t>TRW-MK6</t>
  </si>
  <si>
    <t>LFW-MK7</t>
  </si>
  <si>
    <t>VW Golf MK7 Hatchback 12-</t>
  </si>
  <si>
    <t>LFW-NEWBEETLE</t>
  </si>
  <si>
    <t>VW New Beetle 2D Hatchback A5 11-</t>
  </si>
  <si>
    <t>LFW-POLO09RS</t>
  </si>
  <si>
    <t>VW Polo Hatchback 09-17 5th Gen MK5 [1 Sensor / O]</t>
  </si>
  <si>
    <t>LFW-POLO09</t>
  </si>
  <si>
    <t>VW Polo Hatchback 09-17 5th Gen MK5</t>
  </si>
  <si>
    <t>TRW-POLO09</t>
  </si>
  <si>
    <t>LFW-SCIROCCO</t>
  </si>
  <si>
    <t>VW Scirocco III 3D Coupe 08-</t>
  </si>
  <si>
    <t>LFW-TIGUAN</t>
  </si>
  <si>
    <t>VW Tiguan 07-16</t>
  </si>
  <si>
    <t>LFW-CONFERO</t>
  </si>
  <si>
    <t>Wuling Confero (Tanpa Spionnya)</t>
  </si>
  <si>
    <t>LFW-LOUHAN</t>
  </si>
  <si>
    <t>Hino Ranger Louhan 03- / Hino 500</t>
  </si>
  <si>
    <t>LFW-ELFNKR</t>
  </si>
  <si>
    <t>Isuzu Elf 93- NKR NHR</t>
  </si>
  <si>
    <t>LFW-ELFNMR</t>
  </si>
  <si>
    <t>Isuzu Elf 17- New NMR NLR</t>
  </si>
  <si>
    <t>LFW-FE700</t>
  </si>
  <si>
    <t>Mitsubishi Canter FE700 01- (PS110,125)</t>
  </si>
  <si>
    <t>LFW-FE800</t>
  </si>
  <si>
    <t>Mitsubishi Canter FE800 01- (PS136)</t>
  </si>
  <si>
    <t>LFW-FK40</t>
  </si>
  <si>
    <t>Mitsubishi Fuso Fighter FK40 82-(PS190,220)</t>
  </si>
  <si>
    <t>LFW-FV100</t>
  </si>
  <si>
    <t>Mitsubishi Fuso Super Great FV100 96-</t>
  </si>
  <si>
    <t>LFW-L300</t>
  </si>
  <si>
    <t>Mitsubishi L300</t>
  </si>
  <si>
    <t>LFW-A396</t>
  </si>
  <si>
    <t>Audi A3 96-03</t>
  </si>
  <si>
    <t>LFW-AUDIA304</t>
  </si>
  <si>
    <t>Audi A3 04-13</t>
  </si>
  <si>
    <t>LFW-AUDIB6</t>
  </si>
  <si>
    <t>Audi A4 01-06 B6</t>
  </si>
  <si>
    <t>LFW-AUDIB7</t>
  </si>
  <si>
    <t>Audi A4 01-08 B7</t>
  </si>
  <si>
    <t>LFW-AUDIC6</t>
  </si>
  <si>
    <t>Audi A6 04-11 C6</t>
  </si>
  <si>
    <t>LFW-AUDIQ508</t>
  </si>
  <si>
    <t>Audi Q5 08-17</t>
  </si>
  <si>
    <t>TRW-AUDIQ508</t>
  </si>
  <si>
    <t>Audi Q5 08-17 (Hitam)</t>
  </si>
  <si>
    <t>LFW-AUDIQ706</t>
  </si>
  <si>
    <t>Audi Q7 06-15</t>
  </si>
  <si>
    <t>LFW-AUDIQ716</t>
  </si>
  <si>
    <t>Audi Q7 16-</t>
  </si>
  <si>
    <t>B6T2</t>
  </si>
  <si>
    <t>LFW-STARGAZERRS</t>
  </si>
  <si>
    <t>Hyundai Stargazer 22-</t>
  </si>
  <si>
    <t>TRW-E90A</t>
  </si>
  <si>
    <t>BMW 3 Series 05-12 E90 (Antenna)</t>
  </si>
  <si>
    <t>D3T2</t>
  </si>
  <si>
    <t>FDL-PAJERO16</t>
  </si>
  <si>
    <t>LFW-E39</t>
  </si>
  <si>
    <t>BMW 5 Series 95-03 E39</t>
  </si>
  <si>
    <t>LFW-F10RSBWH</t>
  </si>
  <si>
    <t>BMW 5 Series 10-16 F10 (1 Sensor / ꓳ Bawah)</t>
  </si>
  <si>
    <t>TRW-F10</t>
  </si>
  <si>
    <t>LFW-F02</t>
  </si>
  <si>
    <t>BMW 7 Series 09-15 F01/02 (1 Sensor / O)</t>
  </si>
  <si>
    <t>C1T1</t>
  </si>
  <si>
    <t>Honda Freed 08-16 1st Gen (Honda)</t>
  </si>
  <si>
    <t>X/MB/Logo</t>
  </si>
  <si>
    <t>B4T3</t>
  </si>
  <si>
    <t>LFW-F25</t>
  </si>
  <si>
    <t>BMW X3 Series 11-17 F25</t>
  </si>
  <si>
    <t>FDR-CARRY19</t>
  </si>
  <si>
    <t>Suzuki Carry New 19-</t>
  </si>
  <si>
    <t>LFW-E89</t>
  </si>
  <si>
    <t>BMW Z4 09-16 E89</t>
  </si>
  <si>
    <t>LFW-Z4</t>
  </si>
  <si>
    <t>LFW-SPARK16</t>
  </si>
  <si>
    <t>Chevrolet Spark 16- M400 4th Gen</t>
  </si>
  <si>
    <t>B5T1</t>
  </si>
  <si>
    <t>TRW-SPARK16</t>
  </si>
  <si>
    <t>TRW-SPIN</t>
  </si>
  <si>
    <t>LFW-TRAILBLAZER</t>
  </si>
  <si>
    <t>Chevrolet TrailBlazer 13-</t>
  </si>
  <si>
    <t>LFW-TRAXRS</t>
  </si>
  <si>
    <t>Chevrolet Trax 13- [Sensor]</t>
  </si>
  <si>
    <t>A3T1</t>
  </si>
  <si>
    <t>LFW-SIRION1</t>
  </si>
  <si>
    <t>TRW-SIRION2</t>
  </si>
  <si>
    <t>Daihatsu Sirion 11-18 2nd Gen</t>
  </si>
  <si>
    <t>TRW-TARUNA</t>
  </si>
  <si>
    <t>Daihatsu Taruna</t>
  </si>
  <si>
    <t>LFW-SELTOS</t>
  </si>
  <si>
    <t>Kia Seltos 20-</t>
  </si>
  <si>
    <t>LFW-MUSTANG</t>
  </si>
  <si>
    <t>Ford Mustang 2D Coupe 15-</t>
  </si>
  <si>
    <t>LFW-RANGER11</t>
  </si>
  <si>
    <t>TRW-RANGER11</t>
  </si>
  <si>
    <t>LFW-GEELYMK</t>
  </si>
  <si>
    <t>Geely MK 06-17</t>
  </si>
  <si>
    <t>TRW-PANDA</t>
  </si>
  <si>
    <t>Geely Panda 09- LC Hatchback (Wiper)</t>
  </si>
  <si>
    <t>TRW-ACCORD96</t>
  </si>
  <si>
    <t>Honda Accord 93-98 SV4 5th Gen (Cielo) (96-98) 73cm</t>
  </si>
  <si>
    <t>LFW-ACCORD08RS</t>
  </si>
  <si>
    <t>Honda Accord 13-17 9th Gen (1 Sensor / I )</t>
  </si>
  <si>
    <t>LFW-BRV16</t>
  </si>
  <si>
    <t>Honda BR-V 16-</t>
  </si>
  <si>
    <t>B3T2</t>
  </si>
  <si>
    <t>LFW-CU6</t>
  </si>
  <si>
    <t>Lexus RX (Harrier) 13- CU6 [2 Sensor / /\ [] ]</t>
  </si>
  <si>
    <t>TRW-BRIO</t>
  </si>
  <si>
    <t>Honda Brio 10-17 [Lubang Wiper]</t>
  </si>
  <si>
    <t>X/9Hole</t>
  </si>
  <si>
    <t>TRW-BRIO18</t>
  </si>
  <si>
    <t>Honda Brio 18-</t>
  </si>
  <si>
    <t>BMW X5 Series 13-18 F15 (1 Sensor / O )</t>
  </si>
  <si>
    <t>B4T1 - 1pc / ALONG 6pc</t>
  </si>
  <si>
    <t>TRW-CITY14</t>
  </si>
  <si>
    <t>SWL-CIVICEST</t>
  </si>
  <si>
    <t>SWL</t>
  </si>
  <si>
    <t>SWR-CIVICEST</t>
  </si>
  <si>
    <t>TRW-CIVIC00HATCHBACK</t>
  </si>
  <si>
    <t>Honda Civic 00-05 VTIS S5A Hatchback Spoiler</t>
  </si>
  <si>
    <t>LFW-CIVIC16RS</t>
  </si>
  <si>
    <t>Honda Civic 16- 10th Gen</t>
  </si>
  <si>
    <t>LFW-CX5GEN1RS2</t>
  </si>
  <si>
    <t>Mazda CX-5 12-17 1st Gen KE Facelift - (2 Sensor / [] /\  )</t>
  </si>
  <si>
    <t>LFW-W246</t>
  </si>
  <si>
    <t>Mers-Benz B-Class 11-17 W246</t>
  </si>
  <si>
    <t>LFW-W204RS2</t>
  </si>
  <si>
    <t>Mers-Benz C-Class 07-14 W204 (2 Sensor/ □Δ)</t>
  </si>
  <si>
    <t>C2T1</t>
  </si>
  <si>
    <t>LFW-CRV17RS</t>
  </si>
  <si>
    <t>LFW-W213</t>
  </si>
  <si>
    <t>Mers-Benz E-Class 17- W213 (1 Sensor/ □ )</t>
  </si>
  <si>
    <t>LFW-W222</t>
  </si>
  <si>
    <t>Mers-Benz S-Class 13-20 W222 4D</t>
  </si>
  <si>
    <t>X/H/A/3S/List</t>
  </si>
  <si>
    <t>FR</t>
  </si>
  <si>
    <t>LFW-HRV22</t>
  </si>
  <si>
    <t>Honda HR-V 22- 5D SUV</t>
  </si>
  <si>
    <t>ALONG</t>
  </si>
  <si>
    <t>TRW-MAZDA319</t>
  </si>
  <si>
    <t>Mazda 3 19- 5D Hatchback</t>
  </si>
  <si>
    <t>X/H/1Hole/List</t>
  </si>
  <si>
    <t>TRW-ODYSSEY09</t>
  </si>
  <si>
    <t>X/Heater/1Hole</t>
  </si>
  <si>
    <t>LFW-STREAM00NO</t>
  </si>
  <si>
    <t>Honda Stream 00-04 S7A/RN1 (Tanpa Spion)</t>
  </si>
  <si>
    <t>TRW-EXCEL94</t>
  </si>
  <si>
    <t>Hyundai Accent/Excel/Cakra 94-01 Sedan</t>
  </si>
  <si>
    <t>X/Heater</t>
  </si>
  <si>
    <t>LFW-AVEGA01</t>
  </si>
  <si>
    <t>Hyundai Accent Verna / Avega 01-12 Sedan</t>
  </si>
  <si>
    <t>TRW-AVEGA99</t>
  </si>
  <si>
    <t>Hyundai Avega 06-12 Sedan</t>
  </si>
  <si>
    <t>LFW-CRETARS</t>
  </si>
  <si>
    <t>LFW-SONET</t>
  </si>
  <si>
    <t>Kia Sonet 21-</t>
  </si>
  <si>
    <t>TRW-CRETA</t>
  </si>
  <si>
    <t>TRW-H1NOHOLE</t>
  </si>
  <si>
    <t>Hyundai H1 08- / Mover (Tanpa Lubang)</t>
  </si>
  <si>
    <t>RDL-H1FRAME</t>
  </si>
  <si>
    <t>Hyundai H1 08- / Mover (Frame)</t>
  </si>
  <si>
    <t>RDR-H1FRAME</t>
  </si>
  <si>
    <t>SWR-H1</t>
  </si>
  <si>
    <t>LFW-I2008</t>
  </si>
  <si>
    <t>Hyundai i20 09- Hatchback</t>
  </si>
  <si>
    <t>LFW-PALISADE</t>
  </si>
  <si>
    <t>Hyundai Palisade 20-</t>
  </si>
  <si>
    <t>TRW-PALISADE</t>
  </si>
  <si>
    <t>LFW-AL20</t>
  </si>
  <si>
    <t>Lexus RX (Harrier) 16- AL20</t>
  </si>
  <si>
    <t>X/MB/RS/H</t>
  </si>
  <si>
    <t>LFW-SANTAFE19</t>
  </si>
  <si>
    <t>Hyundai Santa Fe 18-</t>
  </si>
  <si>
    <t>TRW-SANTAFE19</t>
  </si>
  <si>
    <t>B6T3</t>
  </si>
  <si>
    <t>LFW-SANTAFE24RS2</t>
  </si>
  <si>
    <t>Hyundai Santa Fe 24- (2 Sensor / O /\ )</t>
  </si>
  <si>
    <t>LFW-STARGAZER</t>
  </si>
  <si>
    <t>LFW-DMAX2</t>
  </si>
  <si>
    <t>Isuzu D-Max 12-19 2nd Gen</t>
  </si>
  <si>
    <t>TRW-STARGAZER</t>
  </si>
  <si>
    <t>RDL-PICANTO04</t>
  </si>
  <si>
    <t>LFW-PANTHER00</t>
  </si>
  <si>
    <t>Isuzu Panther 00- 2nd Gen</t>
  </si>
  <si>
    <t>LFW-JAGUARXF11</t>
  </si>
  <si>
    <t>Jaguar XF 11-15</t>
  </si>
  <si>
    <t>TRW-WRANGLER96</t>
  </si>
  <si>
    <t>Jeep Wrangler 96- TJ (Hitam)</t>
  </si>
  <si>
    <t>TRW-RUBICON07</t>
  </si>
  <si>
    <t>Jeep Wrangler Rubicon 07-11 JK (Hitam)</t>
  </si>
  <si>
    <t>TRW-RUBICON11</t>
  </si>
  <si>
    <t>Jeep Wrangler Rubicon 11-18 JK (Hitam)</t>
  </si>
  <si>
    <t>X/H/8Hole</t>
  </si>
  <si>
    <t>LFW-RUBICON18</t>
  </si>
  <si>
    <t>Jeep Wrangler Rubicon 18- JL</t>
  </si>
  <si>
    <t>TRW-RUBICON18BLACK</t>
  </si>
  <si>
    <t>Jeep Wrangler Rubicon 18- JL (Hitam)</t>
  </si>
  <si>
    <t>LFW-CAREN13</t>
  </si>
  <si>
    <t>LFW-CARNIVAL15</t>
  </si>
  <si>
    <t>Kia Carnival /Sedona 15-</t>
  </si>
  <si>
    <t>TRW-CARNIVAL15</t>
  </si>
  <si>
    <t>LFW-CERATO09</t>
  </si>
  <si>
    <t>Kia Cerato 09-13</t>
  </si>
  <si>
    <t>TRW-CERATO09</t>
  </si>
  <si>
    <t>LFW-RIO17</t>
  </si>
  <si>
    <t>Kia Rio 17- YB Hatchback</t>
  </si>
  <si>
    <t>TRW-RIO17</t>
  </si>
  <si>
    <t>Mazda CX-5 12-17 1st Gen KE Pre - (1 Sensor/ □ )</t>
  </si>
  <si>
    <t>TRW-SONET</t>
  </si>
  <si>
    <t>LFW-SPORTAGE04</t>
  </si>
  <si>
    <t>Kia Sportage 04-10 JE/KM</t>
  </si>
  <si>
    <t>TRW-SPORTAGE10NS</t>
  </si>
  <si>
    <t>Kia Sportage 10-15 SL [Tipe Tanpa Spoiler]</t>
  </si>
  <si>
    <t>LFW-NX15RS1</t>
  </si>
  <si>
    <t>Lexus NX 200T/300H 15-20 AZ/AG10</t>
  </si>
  <si>
    <t>X/Heater/A</t>
  </si>
  <si>
    <t>FDR-MAZDA612</t>
  </si>
  <si>
    <t>RDL-CX5GEN1</t>
  </si>
  <si>
    <t>TRW-MAZDA209SEDAN</t>
  </si>
  <si>
    <t>Mazda 2 09-14 3rd Gen Sedan</t>
  </si>
  <si>
    <t>LFW-W203RS2</t>
  </si>
  <si>
    <t>Mers-Benz C-Class 00-07 W203 (2 Sensor/ □ Pinggir)</t>
  </si>
  <si>
    <t>LFW-MAZDA214RS1</t>
  </si>
  <si>
    <t>Mazda 2 14- Skyactiv 4th Gen (1 Sensor/ □ )</t>
  </si>
  <si>
    <t>LFW-MAZDA214RS3</t>
  </si>
  <si>
    <t>LFW-MAZDA214RS4</t>
  </si>
  <si>
    <t>Mazda 2 14- Skyactiv 4th Gen (4 Sensor/ □/\8 )</t>
  </si>
  <si>
    <t>X/MB/RS4</t>
  </si>
  <si>
    <t>LFW-MAZDA319RS</t>
  </si>
  <si>
    <t>Mazda 3 19- 3D/5D (2 Sensor / [] /\ )</t>
  </si>
  <si>
    <t>LFW-W205RS3</t>
  </si>
  <si>
    <t>Mers-Benz C-Class 14 - W205 (3 Sensor/ Δ□Δ)</t>
  </si>
  <si>
    <t>LFW-MAZDA323</t>
  </si>
  <si>
    <t>Mazda 323 88-94</t>
  </si>
  <si>
    <t>LFW-MAZDA8RS</t>
  </si>
  <si>
    <t>LFW-W212RS</t>
  </si>
  <si>
    <t>Mers-Benz E-Class 09-16 W212 (1 Sensor/ □)</t>
  </si>
  <si>
    <t>TRW-W212</t>
  </si>
  <si>
    <t>Mers-Benz E-Class 09-16 W212</t>
  </si>
  <si>
    <t>SWL-BIANTEHITAM</t>
  </si>
  <si>
    <t>SWR-BIANTEHITAM</t>
  </si>
  <si>
    <t>LFW-CX3</t>
  </si>
  <si>
    <t>Mazda CX-3 15- (1 Sensor / □ )</t>
  </si>
  <si>
    <t>TRW-CX3</t>
  </si>
  <si>
    <t>Mazda CX-3 15-</t>
  </si>
  <si>
    <t>X/MB/A/RS/List</t>
  </si>
  <si>
    <t>LFW-CX5GEN2RS1</t>
  </si>
  <si>
    <t>Mazda CX-5 17- 2nd Gen KF - (1 Sensor/ □ )</t>
  </si>
  <si>
    <t>LFW-CX5GEN2RS3</t>
  </si>
  <si>
    <t>Mazda CX-5 17- 2nd Gen KF (2 Sensor/ □Δ )</t>
  </si>
  <si>
    <t>X/MB/RS2/List</t>
  </si>
  <si>
    <t>TRW-CX5GEN2</t>
  </si>
  <si>
    <t>Mazda CX-5 17- 2nd Gen KF</t>
  </si>
  <si>
    <t>FDL-CX5GEN2</t>
  </si>
  <si>
    <t>FDR-CX5GEN2</t>
  </si>
  <si>
    <t>RDL-CX5GEN2</t>
  </si>
  <si>
    <t>RDR-CX5GEN2</t>
  </si>
  <si>
    <t>SWL-CX5GEN2</t>
  </si>
  <si>
    <t>SWR-CX5GEN2</t>
  </si>
  <si>
    <t>X/Heater/1Hole/A</t>
  </si>
  <si>
    <t>TRW-CX9GEN2</t>
  </si>
  <si>
    <t>Mazda CX-9 16- 2nd Gen</t>
  </si>
  <si>
    <t>LFW-W169</t>
  </si>
  <si>
    <t>Mers-Benz A150/170/A200 05-12 W169/ B-Class 05-11 W245</t>
  </si>
  <si>
    <t>X/List</t>
  </si>
  <si>
    <t>LFW-W169RS</t>
  </si>
  <si>
    <t>Mers-Benz A180/200/250 13-18 W176 / GLA 13-19 W156</t>
  </si>
  <si>
    <t>LFW-W202</t>
  </si>
  <si>
    <t>Mers-Benz C-Class 93-00 W202</t>
  </si>
  <si>
    <t>LFW-CL203</t>
  </si>
  <si>
    <t>Mers-Benz C-Class 00-07 CL/W203 2Door Coupe</t>
  </si>
  <si>
    <t>LFW-W203RS1</t>
  </si>
  <si>
    <t>Mers-Benz C-Class 00-07 W203 (1 Sensor/ □ Tengah)</t>
  </si>
  <si>
    <t>1PC NO BRACKET SENSOR</t>
  </si>
  <si>
    <t>LFW-CITY19</t>
  </si>
  <si>
    <t>Honda City 19- GN</t>
  </si>
  <si>
    <t>TRW-W205</t>
  </si>
  <si>
    <t>Mers-Benz C-Class 14 - W205</t>
  </si>
  <si>
    <t>LFW-W1242DOOR</t>
  </si>
  <si>
    <t>LFW-W1244DOOR</t>
  </si>
  <si>
    <t>Mers-Benz E-Class 88-92 W124 4Door</t>
  </si>
  <si>
    <t>TRW-W211</t>
  </si>
  <si>
    <t>Mers-Benz E-Class 09-16 W212 (2 Sensor/ □Δ) Trapes</t>
  </si>
  <si>
    <t>TRW-W213</t>
  </si>
  <si>
    <t>Mers-Benz E-Class 17- W213</t>
  </si>
  <si>
    <t>C3T1</t>
  </si>
  <si>
    <t>LFW-W156</t>
  </si>
  <si>
    <t>Mers-Benz GLA-Class SUV 13-19 W156 (Hitam)</t>
  </si>
  <si>
    <t>LFW-W166RS1</t>
  </si>
  <si>
    <t>Mers-Benz GLE-Class SUV 13- W166 (1 Sensor/ □ )</t>
  </si>
  <si>
    <t>LFW-W166RS2</t>
  </si>
  <si>
    <t>Mers-Benz GLE-Class SUV 13- W166 (2 Sensor / □Δ)</t>
  </si>
  <si>
    <t>LFW-W140RS</t>
  </si>
  <si>
    <t>LFW-W220</t>
  </si>
  <si>
    <t>Mers-Benz S-Class 98-05 W220 4D (1 Sensor)</t>
  </si>
  <si>
    <t>LFW-W221</t>
  </si>
  <si>
    <t>Mers-Benz S-Class 06-13 W221 4D (1 Sensor/ □ )</t>
  </si>
  <si>
    <t>LFW-W221RS2</t>
  </si>
  <si>
    <t>Mers-Benz S-Class  06-13 W221 4D (2 Sensor/ □ /\ )</t>
  </si>
  <si>
    <t>LFW-SLK171</t>
  </si>
  <si>
    <t>Mers-Benz SLK 05-11 W171 2D (1 Sensor/ O )</t>
  </si>
  <si>
    <t>LFW-MINIF55RS1</t>
  </si>
  <si>
    <t>Mini Cooper Hatch. F55/F56/F57 14- 3D/5D/Cab. RS2 ( O /\ )</t>
  </si>
  <si>
    <t>LFW-MINIF55RS2</t>
  </si>
  <si>
    <t>Mini Cooper Hatch. F55/F56/F57 14- 3D/5D/Cab. RS1 ( O )</t>
  </si>
  <si>
    <t>LFW-MINIF60RS2</t>
  </si>
  <si>
    <t>Mini Cooper Hatch. F60 17-23 ( O /\ )</t>
  </si>
  <si>
    <t>TRW-DELICABENING</t>
  </si>
  <si>
    <t>TRW-DELICABLACK</t>
  </si>
  <si>
    <t>Mitsubishi Delica 07- 5th Gen (Hitam)</t>
  </si>
  <si>
    <t>LFW-ETERNA</t>
  </si>
  <si>
    <t>TRW-CIVIC16HAT</t>
  </si>
  <si>
    <t>Honda Civic 16- 10th Gen Hatchback (Hitam)</t>
  </si>
  <si>
    <t>LFW-GRANDIS97</t>
  </si>
  <si>
    <t>Mitsubishi Grandis 97-03 (Grandis Lama)</t>
  </si>
  <si>
    <t>TRW-GRANDIS97</t>
  </si>
  <si>
    <t>LFW-L200SINGLE</t>
  </si>
  <si>
    <t>Mitsubishi L200 02-07 Single Cabin</t>
  </si>
  <si>
    <t>LFW-L200DOUBLE</t>
  </si>
  <si>
    <t>Mitsubishi L200 02-07 Double Cabin</t>
  </si>
  <si>
    <t>LFW-PAJEROV40</t>
  </si>
  <si>
    <t>Mitsubishi Pajero Montero/Shogun 91-00 V40</t>
  </si>
  <si>
    <t>B1T1</t>
  </si>
  <si>
    <t>LFW-PAJEROV70</t>
  </si>
  <si>
    <t>Mitsubishi Pajero Montero/Shogun 99-05 V60/V70</t>
  </si>
  <si>
    <t>LFW-PAJEROV8090</t>
  </si>
  <si>
    <t>Mitsubishi Pajero Montero/Shogun 06- V80/90</t>
  </si>
  <si>
    <t>Toyota Innova 15-22 2nd Gen (Toyota)</t>
  </si>
  <si>
    <t>SWR-PAJERO08</t>
  </si>
  <si>
    <t>B5T2</t>
  </si>
  <si>
    <t>RDR-PAJERO16</t>
  </si>
  <si>
    <t>LFW-PAJERO16RS1</t>
  </si>
  <si>
    <t>Mitsubishi Pajero 20- (1 Sensor / □ ) (bentuk sama dgn 16-)</t>
  </si>
  <si>
    <t>LFW-PAJERO16RS2</t>
  </si>
  <si>
    <t>Mitsubishi Pajero 20- (2 Sensor / □ [] ) (bentuk sama dgn 16-)</t>
  </si>
  <si>
    <t>X/MB/RS2</t>
  </si>
  <si>
    <t>TRW-TRITON14</t>
  </si>
  <si>
    <t>LFW-XPANDER</t>
  </si>
  <si>
    <t>Mitsubishi Xpander 17-</t>
  </si>
  <si>
    <t>MU</t>
  </si>
  <si>
    <t>X/MB/Blue</t>
  </si>
  <si>
    <t>LFW-ALMERA</t>
  </si>
  <si>
    <t>Nissan Almera 11-</t>
  </si>
  <si>
    <t>TRW-EVALIA</t>
  </si>
  <si>
    <t>X/MB/Lidah</t>
  </si>
  <si>
    <t>A3T2</t>
  </si>
  <si>
    <t>LFW-CARRY19</t>
  </si>
  <si>
    <t>SWL-LIVINA</t>
  </si>
  <si>
    <t>Nissan Livina 07-18 L10/L11 (Ujung Panjang)</t>
  </si>
  <si>
    <t>SWR-LIVINA</t>
  </si>
  <si>
    <t>1pc pecah</t>
  </si>
  <si>
    <t>SWL-C24</t>
  </si>
  <si>
    <t>SWR-C24</t>
  </si>
  <si>
    <t>D3T3</t>
  </si>
  <si>
    <t>B4T2</t>
  </si>
  <si>
    <t>LFW-C27</t>
  </si>
  <si>
    <t>Nissan Serena 19- MKV C27</t>
  </si>
  <si>
    <t>Ban 1 depan roling sebelah kanan</t>
  </si>
  <si>
    <t>LFW-TEANA08</t>
  </si>
  <si>
    <t>Nissan Teana 08-12 J32</t>
  </si>
  <si>
    <t>FDR-T30</t>
  </si>
  <si>
    <t>TRW-ERTIGA12</t>
  </si>
  <si>
    <t>LFW-T32RS2</t>
  </si>
  <si>
    <t>Nissan X-Trail 13- T32 (2 Sensor)</t>
  </si>
  <si>
    <t>LFW-T32NRS</t>
  </si>
  <si>
    <t>Nissan X-Trail 13- T32 (Tanpa Sensor)</t>
  </si>
  <si>
    <t>FVL-ALPHARD08</t>
  </si>
  <si>
    <t>TRW-PEUGEUOT206</t>
  </si>
  <si>
    <t>Peugeot 206 98- 3D/5D</t>
  </si>
  <si>
    <t>LFW-EXORA</t>
  </si>
  <si>
    <t>Proton Exora MPV 09-</t>
  </si>
  <si>
    <t>TRW-EXORA</t>
  </si>
  <si>
    <t>LFW-PROTONGEN2</t>
  </si>
  <si>
    <t>Proton Gen2 04- Hatchback / Persona 08-</t>
  </si>
  <si>
    <t>LFW-SAGA</t>
  </si>
  <si>
    <t>Proton Saga 08- Sedan</t>
  </si>
  <si>
    <t>LFW-SAVVY</t>
  </si>
  <si>
    <t>Proton Savvy 06-</t>
  </si>
  <si>
    <t>LFW-RANGEROVER2D</t>
  </si>
  <si>
    <t>Range Rover Evoque 11-18 SALVA 2Door (1 Sensor / [] )</t>
  </si>
  <si>
    <t>TRW-RANGEROVER2D</t>
  </si>
  <si>
    <t>Range Rover Evoque 11-18 SALVA (2 Door) (Hitam)</t>
  </si>
  <si>
    <t>FDL-RANGEROVER2D</t>
  </si>
  <si>
    <t>Range Rover Evoque 11-18 SALVA (2 Door)</t>
  </si>
  <si>
    <t>FDR-RANGEROVER2D</t>
  </si>
  <si>
    <t>SWL-RANGEROVER2D</t>
  </si>
  <si>
    <t>SWR-RANGEROVER2D</t>
  </si>
  <si>
    <t>LFW-RANGEROVER4DRS3</t>
  </si>
  <si>
    <t>Range Rover Evoque 11-18 SALVA 4Door (3 Sensor/ []Δ[] )</t>
  </si>
  <si>
    <t>LFW-SUBARUXV</t>
  </si>
  <si>
    <t>Subaru XV 12- / WRX 15-</t>
  </si>
  <si>
    <t>LFW-AERIO</t>
  </si>
  <si>
    <t>Suzuki Aerio 5D 01-07 / Baleno 01-07 Next Gen</t>
  </si>
  <si>
    <t>LFW-BALENO96</t>
  </si>
  <si>
    <t>Suzuki Baleno 96-01</t>
  </si>
  <si>
    <t>TRW-BALENO96</t>
  </si>
  <si>
    <t>D3T1</t>
  </si>
  <si>
    <t>TRW-BALENO01</t>
  </si>
  <si>
    <t>Suzuki Baleno 01-07 Next Gen</t>
  </si>
  <si>
    <t>LFW-BALENO08</t>
  </si>
  <si>
    <t>Suzuki Baleno 08-15 SX4 / Neo Baleno</t>
  </si>
  <si>
    <t>B4T1</t>
  </si>
  <si>
    <t>TRW-BALENOSX408</t>
  </si>
  <si>
    <t>Suzuki Baleno 08-15 SX4 Hatchback</t>
  </si>
  <si>
    <t>SWR-BALENOSX408</t>
  </si>
  <si>
    <t>SWL-BALENOSX408</t>
  </si>
  <si>
    <t>A1T1</t>
  </si>
  <si>
    <t>TRW-BALENONEO08</t>
  </si>
  <si>
    <t>Suzuki Baleno 08-15 Neo Baleno Sedan</t>
  </si>
  <si>
    <t>LFW-BALENO15</t>
  </si>
  <si>
    <t>Suzuki Baleno 15-21</t>
  </si>
  <si>
    <t>1pc ☆3 Baret</t>
  </si>
  <si>
    <t>LFW-CARRYFUTURA</t>
  </si>
  <si>
    <t>Suzuki Carry Futura (1300cc) / Mitsubishi Colt T120</t>
  </si>
  <si>
    <t>LFW-ERTIGA18</t>
  </si>
  <si>
    <t>Suzuki Ertiga 18- 2nd Gen / XL7</t>
  </si>
  <si>
    <t>TRW-ERTIGA18</t>
  </si>
  <si>
    <t>LFW-ESCUDO00</t>
  </si>
  <si>
    <t>Suzuki Grand Escudo 00-05</t>
  </si>
  <si>
    <t>TRW-ALMAZ</t>
  </si>
  <si>
    <t>Wuling Almaz</t>
  </si>
  <si>
    <t>LFW-VITARA05</t>
  </si>
  <si>
    <t>Suzuki Grand Vitara 06-14</t>
  </si>
  <si>
    <t>TRW-VITARA05</t>
  </si>
  <si>
    <t>LFW-IGNIS</t>
  </si>
  <si>
    <t>Suzuki Ignis 17-</t>
  </si>
  <si>
    <t>TRW-IGNIS</t>
  </si>
  <si>
    <t>LFW-JIMNY19</t>
  </si>
  <si>
    <t>Suzuki Jimny All New 19-</t>
  </si>
  <si>
    <t>TRW-JIMNY19</t>
  </si>
  <si>
    <t>LFW-KARIMUN99</t>
  </si>
  <si>
    <t>Suzuki Karimun 99-06 Kotak</t>
  </si>
  <si>
    <t>TRW-KARIMUN99</t>
  </si>
  <si>
    <t>LFW-ESTILO</t>
  </si>
  <si>
    <t>Suzuki Karimun Estilo 07-</t>
  </si>
  <si>
    <t>TRW-ESTILO</t>
  </si>
  <si>
    <t>LFW-SWIFT04</t>
  </si>
  <si>
    <t>Suzuki Swift 04-11 1st Gen</t>
  </si>
  <si>
    <t>TRW-SWIFT04</t>
  </si>
  <si>
    <t>TRW-SWIFT11</t>
  </si>
  <si>
    <t>Suzuki Swift 11-17 2nd Gen</t>
  </si>
  <si>
    <t>TRW-WAGON13</t>
  </si>
  <si>
    <t>Suzuki Wagon R 12-</t>
  </si>
  <si>
    <t>LFW-TATAACE</t>
  </si>
  <si>
    <t>FVL-ALPHARD02</t>
  </si>
  <si>
    <t>FVR-ALPHARD02</t>
  </si>
  <si>
    <t>SWL-ALPHARD02RATAHITAM</t>
  </si>
  <si>
    <t>Toyota Alphard 02-08 ANH10 1st Gen (Rata) (Hitam)</t>
  </si>
  <si>
    <t>SWR-ALPHARD08RATAHITAM</t>
  </si>
  <si>
    <t>*8 MASUK ANGIN AGAK KEBAKAR KIRI SUPIR ATAS</t>
  </si>
  <si>
    <t>*2pcs baret tengah bawah, +- 20cm, terlihat</t>
  </si>
  <si>
    <t>FVR-ALPHARD08</t>
  </si>
  <si>
    <t>SWL-ALPHARD15HITAM</t>
  </si>
  <si>
    <t>X/A/List</t>
  </si>
  <si>
    <t>SWR-ALPHARD15HITAM</t>
  </si>
  <si>
    <t>Toyota Avanza / Xenia 11-15 2nd Gen / 15-21 3rd Gen</t>
  </si>
  <si>
    <t>LFW-ALPHARD18RS2</t>
  </si>
  <si>
    <t>Toyota Alphard 18- ANH30 3rd Gen (2 Sensor / □Δ )</t>
  </si>
  <si>
    <t>X/MB/RS/Cam</t>
  </si>
  <si>
    <t>TRW-ALPHARD18</t>
  </si>
  <si>
    <t>Toyota Alphard 18- ANH30 3rd Gen (with Camera)</t>
  </si>
  <si>
    <t>LFW-SIRION18</t>
  </si>
  <si>
    <t>Daihatsu Sirion 18- 3rd Gen</t>
  </si>
  <si>
    <t>B1T2</t>
  </si>
  <si>
    <t>C1T2</t>
  </si>
  <si>
    <t>B2T3</t>
  </si>
  <si>
    <t>A2T2</t>
  </si>
  <si>
    <t>A1T2</t>
  </si>
  <si>
    <t>RDR-INNOVA15</t>
  </si>
  <si>
    <t>LFW-AUDIB811</t>
  </si>
  <si>
    <t>Audi A4 08-15 B8 [11-15] (1 Sensor / O Sempurna)</t>
  </si>
  <si>
    <t>LFW-TRAGA</t>
  </si>
  <si>
    <t>Isuzu Traga</t>
  </si>
  <si>
    <t>LFW-CAMRY11NORS</t>
  </si>
  <si>
    <t>LFW-CAMRY18RS</t>
  </si>
  <si>
    <t>Toyota Camry 18- XV70 6th Gen</t>
  </si>
  <si>
    <t>LFW-CHR</t>
  </si>
  <si>
    <t>Toyota CHR</t>
  </si>
  <si>
    <t>LFW-COROLLA87</t>
  </si>
  <si>
    <t>TRW-BALENO15</t>
  </si>
  <si>
    <t>FDL-COROLLA91</t>
  </si>
  <si>
    <t>FDR-COROLLA91</t>
  </si>
  <si>
    <t>RDL-COROLLA91</t>
  </si>
  <si>
    <t>RDR-COROLLA91</t>
  </si>
  <si>
    <t>LFW-COROLLA95</t>
  </si>
  <si>
    <t>X/MB/Green</t>
  </si>
  <si>
    <t>TRW-ESCUDO00</t>
  </si>
  <si>
    <t xml:space="preserve">Toyota Fortuner 05-15 1st Gen </t>
  </si>
  <si>
    <t>LFW-ALPHARD18</t>
  </si>
  <si>
    <t>Toyota Alphard 18- ANH30 3rd Gen</t>
  </si>
  <si>
    <t>LFW-ALPHARD18RS</t>
  </si>
  <si>
    <t>Toyota Alphard 18- ANH30 3rd Gen (Sensor bwh keramik)</t>
  </si>
  <si>
    <t>LFW-FT86</t>
  </si>
  <si>
    <t>Toyota FT86 / Subaru BRZ</t>
  </si>
  <si>
    <t>TRW-FT86</t>
  </si>
  <si>
    <t>Toyota Hi-Ace 04-20 Commuter (Clear)</t>
  </si>
  <si>
    <t>TRW-HIACEC20</t>
  </si>
  <si>
    <t>Toyota Hi-Ace 20- Commuter (Bening)</t>
  </si>
  <si>
    <t>X/Heater/1hole</t>
  </si>
  <si>
    <t>RDR-HIACE</t>
  </si>
  <si>
    <t>SFR-HIACE</t>
  </si>
  <si>
    <t>RDL-HIACEF</t>
  </si>
  <si>
    <t>Toyota Hi-Ace 04-20 Commuter With Frame</t>
  </si>
  <si>
    <t>FDL-HIACE19</t>
  </si>
  <si>
    <t>Toyota Hi-Ace 19- Premio</t>
  </si>
  <si>
    <t>FDR-HIACE19</t>
  </si>
  <si>
    <t>A1T3</t>
  </si>
  <si>
    <t>RDL-HIACE19FRAME</t>
  </si>
  <si>
    <t>Toyota Hi-Ace 19- Premio With Frame</t>
  </si>
  <si>
    <t>RDR-HIACE19</t>
  </si>
  <si>
    <t>SRL-HIACE19</t>
  </si>
  <si>
    <t>SRR-HIACE19FRAME</t>
  </si>
  <si>
    <t>TRW-HIACE19</t>
  </si>
  <si>
    <t>Toyota Hi-Ace 19- Premio (Hitam) (Tinggi 56.7cm)</t>
  </si>
  <si>
    <t>LFW-HILUX05</t>
  </si>
  <si>
    <t>RDL-HILUX15</t>
  </si>
  <si>
    <t>RDR-HILUX15</t>
  </si>
  <si>
    <t>RVL-HILUX15</t>
  </si>
  <si>
    <t>RVR-HILUX15</t>
  </si>
  <si>
    <t>TRW-INNOVA15</t>
  </si>
  <si>
    <t>TRW-INNOVA15H</t>
  </si>
  <si>
    <t>LFW-FJ40</t>
  </si>
  <si>
    <t>Toyota LandCruiser 74- FJ40 / Jeep Hardtop</t>
  </si>
  <si>
    <t>LFW-FJ100RS</t>
  </si>
  <si>
    <t>Toyota LandCruiser 98-07 FJ100 (Signus) [Sensor]</t>
  </si>
  <si>
    <t>LFW-F90</t>
  </si>
  <si>
    <t>Toyota LandCruiser Prado 96-02 FJ90</t>
  </si>
  <si>
    <t>TRW-FJ120NOLBG</t>
  </si>
  <si>
    <t>Toyota LandCruiser Prado 02-09 FJ120 (no lbg)</t>
  </si>
  <si>
    <t>SFL-HIACE</t>
  </si>
  <si>
    <t>LFW-RAIZERS</t>
  </si>
  <si>
    <t>Toyota Raize / Daihatsu Rocky 20- [Sensor]</t>
  </si>
  <si>
    <t>SRR-HIACEF</t>
  </si>
  <si>
    <t>LFW-HIACE19</t>
  </si>
  <si>
    <t>SWL-TERIOS06</t>
  </si>
  <si>
    <t>SWR-TERIOS06</t>
  </si>
  <si>
    <t>LFW-RUSH17</t>
  </si>
  <si>
    <t>Toyota Rush / Terios 18-</t>
  </si>
  <si>
    <t>TRW-RUSH17</t>
  </si>
  <si>
    <t>LFW-KAPSUL97</t>
  </si>
  <si>
    <t>Toyota Kijang 98- Kapsul Karet</t>
  </si>
  <si>
    <t>TRW-SOLUNA</t>
  </si>
  <si>
    <t>LFW-VIOS02</t>
  </si>
  <si>
    <t>FDL-VIOS02</t>
  </si>
  <si>
    <t>FDR-VIOS02</t>
  </si>
  <si>
    <t>LFW-KAPSUL02</t>
  </si>
  <si>
    <t>Toyota Kijang 02-04 Kapsul Lem Efi</t>
  </si>
  <si>
    <t>RVR-VIOS07</t>
  </si>
  <si>
    <t>TRW-VIOS07LIMO</t>
  </si>
  <si>
    <t>Toyota Vios 07-13 XP90 2nd Gen (Limo)</t>
  </si>
  <si>
    <t>TRW-VIOS13</t>
  </si>
  <si>
    <t>Toyota Vios 14- 3rd Gen</t>
  </si>
  <si>
    <t>TRW-VOXY17</t>
  </si>
  <si>
    <t>Toyota Voxy 17-21 1st Gen (Hitam)</t>
  </si>
  <si>
    <t>LFW-VOXY22RS</t>
  </si>
  <si>
    <t>Toyota Voxy 22- 2nd Gen (1 Sensor / /\ )</t>
  </si>
  <si>
    <t>TRW-VOXY22</t>
  </si>
  <si>
    <t>Toyota Voxy 22- 2nd Gen (Hitam)</t>
  </si>
  <si>
    <t>TRW-YARIS13</t>
  </si>
  <si>
    <t>Toyota Yaris 13- 2nd Gen (Lampu C) XP150</t>
  </si>
  <si>
    <t>TRW-YARIS17</t>
  </si>
  <si>
    <t>Toyota Yaris 18- 3rd Gen (Lampu -) XP151</t>
  </si>
  <si>
    <t>TRW-SCIROCCO</t>
  </si>
  <si>
    <t>TRW-TIGUAN07</t>
  </si>
  <si>
    <t>LFW-TIGUAN17RS</t>
  </si>
  <si>
    <t>VW Tiguan 17-</t>
  </si>
  <si>
    <t>TRW-TIGUAN17</t>
  </si>
  <si>
    <t>TRW-RUSH17H</t>
  </si>
  <si>
    <t>LFW-ALMAZ</t>
  </si>
  <si>
    <t>TRW-ALMAZH</t>
  </si>
  <si>
    <t>TRW-CONFEROHHOLE</t>
  </si>
  <si>
    <t>Wuling Confero (Heater)</t>
  </si>
  <si>
    <t>TRW-CONFERO</t>
  </si>
  <si>
    <t>Wuling Confero / Formo</t>
  </si>
  <si>
    <t>LFW-CORTEZRS</t>
  </si>
  <si>
    <t>Wuling Cortez</t>
  </si>
  <si>
    <t>X/MB/RS Cat</t>
  </si>
  <si>
    <t>TRW-CORTEZ</t>
  </si>
  <si>
    <t>FDL-LOUHANXYG</t>
  </si>
  <si>
    <t>FDR-LOUHANXYG</t>
  </si>
  <si>
    <t>LFW-MIGHTY</t>
  </si>
  <si>
    <t>Hyundai Mighty Truck 99-</t>
  </si>
  <si>
    <t>List</t>
  </si>
  <si>
    <t>C3T2</t>
  </si>
  <si>
    <t>LFW-GIGASHORT</t>
  </si>
  <si>
    <t>Isuzu Giga Short (PS190,225) FVR33 (Lebar 195cm)</t>
  </si>
  <si>
    <t>LFW-AXOR</t>
  </si>
  <si>
    <t>Mers-Benz Axor 98- Truck</t>
  </si>
  <si>
    <t>LFW-FE300</t>
  </si>
  <si>
    <t>Mitsubishi Canter FE300 85- (PS100,120,135 kabin kecil)</t>
  </si>
  <si>
    <t>A2T1</t>
  </si>
  <si>
    <t>LFW-QUESTER</t>
  </si>
  <si>
    <t>Nissan Quester / Cw445 Quon 05-</t>
  </si>
  <si>
    <t>LFW-DYNA</t>
  </si>
  <si>
    <t>Toyota Dyna/Hino Dutro 00-</t>
  </si>
  <si>
    <t>LFW-AUDIA4B5</t>
  </si>
  <si>
    <t>Audi A4 1998-00 B5</t>
  </si>
  <si>
    <t>X/Green</t>
  </si>
  <si>
    <t>LFW-E34</t>
  </si>
  <si>
    <t>BMW E34 1987-96</t>
  </si>
  <si>
    <t>LFW-E46NORS</t>
  </si>
  <si>
    <t>LFW-E8187</t>
  </si>
  <si>
    <t>BMW E81/E87 (116I/120I)</t>
  </si>
  <si>
    <t>X/RS/Green</t>
  </si>
  <si>
    <t>LFW-ALMAZRS</t>
  </si>
  <si>
    <t>Wuling Almaz (Sensor)</t>
  </si>
  <si>
    <t>Chevrolet Aveo 08-11 T250 Hatch. (Kalos/Lova) (Pendek) Barina</t>
  </si>
  <si>
    <t>LFW-TROOPER</t>
  </si>
  <si>
    <t>Chevrolet TROOPER 1990</t>
  </si>
  <si>
    <t>TRW-GRANMAXVAN</t>
  </si>
  <si>
    <t>Daihatsu Gran Max Minibus/Van</t>
  </si>
  <si>
    <t>LFW-SIRION2</t>
  </si>
  <si>
    <t>TRW-CONFEROHOLE</t>
  </si>
  <si>
    <t>Wuling Confero</t>
  </si>
  <si>
    <t>* 1pc *8 , 1pc KF</t>
  </si>
  <si>
    <t>2PC PETI</t>
  </si>
  <si>
    <t>LFW-CIVIC88</t>
  </si>
  <si>
    <t>Honda Civic 88-91 SH4 (Grand)</t>
  </si>
  <si>
    <t>X/Blue</t>
  </si>
  <si>
    <t>LFW-CIVIC882D</t>
  </si>
  <si>
    <t>Honda Civic 88-91(Grand) CIVICGRAND 2D/NOUVA 1998-</t>
  </si>
  <si>
    <r>
      <rPr>
        <rFont val="Calibri"/>
        <color theme="1"/>
        <sz val="10.0"/>
      </rPr>
      <t>Honda Civic 96-00 SO4/SO6 (Ferio)</t>
    </r>
  </si>
  <si>
    <t>LFW-GIGALONG</t>
  </si>
  <si>
    <t>Isuzu Giga Long (PS240,285) FVR34 (Lebar 215cm)</t>
  </si>
  <si>
    <t>LFW-TARUNA</t>
  </si>
  <si>
    <t>LFW-EXCEL94</t>
  </si>
  <si>
    <t>X/FHC</t>
  </si>
  <si>
    <t>LFW-ATOZ</t>
  </si>
  <si>
    <t>Hyundai Atoz</t>
  </si>
  <si>
    <t>LFW-DMAX1</t>
  </si>
  <si>
    <t>Isuzu D-Max 02-12 1st Gen</t>
  </si>
  <si>
    <t>LFW-PANTHER91</t>
  </si>
  <si>
    <t>Isuzu Panther 91-99 1st Gen Kotak</t>
  </si>
  <si>
    <t>LFW-CHEROKEE</t>
  </si>
  <si>
    <t>Jeep Cherooke 94-99 XJ</t>
  </si>
  <si>
    <t>LFW-GCHEROKEE</t>
  </si>
  <si>
    <t>Jeep Grand Cherooke 96-99 ZJ</t>
  </si>
  <si>
    <t>* 5pc tdk ada MB *7</t>
  </si>
  <si>
    <t>LFW-PREGIO</t>
  </si>
  <si>
    <t>1pc ☆3</t>
  </si>
  <si>
    <r>
      <rPr>
        <rFont val="Calibri"/>
        <color theme="1"/>
        <sz val="10.0"/>
      </rPr>
      <t>Kia Rio 00-05 DC Sedan/Hatchback</t>
    </r>
  </si>
  <si>
    <r>
      <rPr>
        <rFont val="Calibri"/>
        <color theme="1"/>
        <sz val="10.0"/>
      </rPr>
      <t>Kia Rio 11-17 UB Hatchback</t>
    </r>
  </si>
  <si>
    <t>LFW-SPORTAGE93</t>
  </si>
  <si>
    <t>Kia Sportage 1993-05</t>
  </si>
  <si>
    <t>Blue</t>
  </si>
  <si>
    <t>LFW-TRAVELLO</t>
  </si>
  <si>
    <t>Kia Travello / Big Up</t>
  </si>
  <si>
    <t>Green</t>
  </si>
  <si>
    <t>LFW-TIMOR</t>
  </si>
  <si>
    <t>LFW-MX6COUPE</t>
  </si>
  <si>
    <r>
      <rPr>
        <rFont val="Calibri"/>
        <color theme="1"/>
        <sz val="10.0"/>
      </rPr>
      <t>FORD/MAZDA MX6 1987-92 COUPE/HB FHG</t>
    </r>
  </si>
  <si>
    <t>LFW-INTERPLAY</t>
  </si>
  <si>
    <r>
      <rPr>
        <rFont val="Calibri"/>
        <color theme="1"/>
        <sz val="10.0"/>
      </rPr>
      <t>Mazda INTERPLAY 1992-97 FHG</t>
    </r>
  </si>
  <si>
    <t>* 1pc kurang ceramic *8</t>
  </si>
  <si>
    <t>LFW-LANTIS</t>
  </si>
  <si>
    <t>Ford Lynx/Liata Mazda Lantis/Familia</t>
  </si>
  <si>
    <t>LFW-LELE</t>
  </si>
  <si>
    <t>X/RS/Blue</t>
  </si>
  <si>
    <t>LFW-W204RS1</t>
  </si>
  <si>
    <r>
      <rPr>
        <rFont val="Calibri"/>
        <color theme="1"/>
        <sz val="10.0"/>
      </rPr>
      <t>Mers-Benz C-Class 07-14 W204 (1 Sensor/ □)</t>
    </r>
  </si>
  <si>
    <r>
      <rPr>
        <rFont val="Calibri"/>
        <color theme="1"/>
        <sz val="10.0"/>
      </rPr>
      <t>Mers-Benz E-Class 88-92 W124 4Door</t>
    </r>
  </si>
  <si>
    <r>
      <rPr>
        <rFont val="Calibri"/>
        <color theme="1"/>
        <sz val="10.0"/>
      </rPr>
      <t>Mers-Benz E-Class 95-02 W210</t>
    </r>
  </si>
  <si>
    <r>
      <rPr>
        <rFont val="Calibri"/>
        <color theme="1"/>
        <sz val="10.0"/>
      </rPr>
      <t>Mers-Benz E-Class 02-09 W211</t>
    </r>
  </si>
  <si>
    <r>
      <rPr>
        <rFont val="Calibri"/>
        <color theme="1"/>
        <sz val="10.0"/>
      </rPr>
      <t>Mers-Benz S-Class 98-05 W220 4D (1 Sensor)</t>
    </r>
  </si>
  <si>
    <t>LFW-W123</t>
  </si>
  <si>
    <t>Mers-Benz W123 1976-86</t>
  </si>
  <si>
    <t>LFW-KUDA</t>
  </si>
  <si>
    <t>Mitsubishi Kuda 99-06</t>
  </si>
  <si>
    <r>
      <rPr>
        <rFont val="Calibri"/>
        <color theme="1"/>
        <sz val="10.0"/>
      </rPr>
      <t>Mitsubishi Mirage 12-</t>
    </r>
  </si>
  <si>
    <t>TRW-XPANDERH</t>
  </si>
  <si>
    <t>Mitsubishi Xpander 17-21</t>
  </si>
  <si>
    <t>TRW-XPANDER22H</t>
  </si>
  <si>
    <t>Mitsubishi Xpander 22-</t>
  </si>
  <si>
    <t>1 pcs ada baret</t>
  </si>
  <si>
    <t>LFW-DATSUNGO</t>
  </si>
  <si>
    <t>B9T2 keluar duluan</t>
  </si>
  <si>
    <t>LFW-NAVARA97</t>
  </si>
  <si>
    <t>LFW-LATIO</t>
  </si>
  <si>
    <t>Nissan Latio</t>
  </si>
  <si>
    <t xml:space="preserve"> </t>
  </si>
  <si>
    <t>LFW-TERRANO</t>
  </si>
  <si>
    <t>Nissan Terrano 95-06</t>
  </si>
  <si>
    <t>* 3pc cacat ceramic, tidak rata kanan kiri</t>
  </si>
  <si>
    <t>LFW-TEANA</t>
  </si>
  <si>
    <t>* 2pc ada titik *6</t>
  </si>
  <si>
    <t>LFW-SWIFT11</t>
  </si>
  <si>
    <t>Suzuki APV 03- Pickup/ Van (MULIA)</t>
  </si>
  <si>
    <t>TRW-APVVAN</t>
  </si>
  <si>
    <t>Suzuki APV 03- Van</t>
  </si>
  <si>
    <t>FDL-CARRYFUTURA</t>
  </si>
  <si>
    <t>Suzuki Carry 91-17 / Futura 91-18</t>
  </si>
  <si>
    <t>FDR-CARRYFUTURA</t>
  </si>
  <si>
    <t>LFW-AGYA23</t>
  </si>
  <si>
    <t>Toyota Agya/Ayla 23- 2nd Gen</t>
  </si>
  <si>
    <t>KF 1PC</t>
  </si>
  <si>
    <t>FDL-ERTIGA18</t>
  </si>
  <si>
    <t>Suzuki Ertiga 18- 2nd Gen (ORI MULIA) / XL7</t>
  </si>
  <si>
    <t>FDR-ERTIGA18</t>
  </si>
  <si>
    <t>RDL-ERTIGA18</t>
  </si>
  <si>
    <t>RDR-ERTIGA18</t>
  </si>
  <si>
    <t>LFW-ESTEEM</t>
  </si>
  <si>
    <t>Suzuki Esteem 89-90</t>
  </si>
  <si>
    <t>LFW-KATANAG84</t>
  </si>
  <si>
    <t>Suzuki Katana 84-</t>
  </si>
  <si>
    <t>SWL-AVANZA11</t>
  </si>
  <si>
    <t>LFW-VITARA88</t>
  </si>
  <si>
    <t>Suzuki Vitara 88-97 / Escudo / Sidekick</t>
  </si>
  <si>
    <t>LFW-WAGONR</t>
  </si>
  <si>
    <t>* 1pc masuk angin *8</t>
  </si>
  <si>
    <t>LFW-AGYA13MU</t>
  </si>
  <si>
    <t>LFW-AGYA13</t>
  </si>
  <si>
    <t>Toyota Agya/Ayla 13-22 1st Gen</t>
  </si>
  <si>
    <t>1pc KF</t>
  </si>
  <si>
    <t>SWL-AVANZA03</t>
  </si>
  <si>
    <t>SWR-AVANZA03</t>
  </si>
  <si>
    <t xml:space="preserve"> 1pc KF ngelipet</t>
  </si>
  <si>
    <t>FDL-INNOVA15</t>
  </si>
  <si>
    <t>SWR-AVANZA11</t>
  </si>
  <si>
    <t>8 PC Peti |  1PC KF</t>
  </si>
  <si>
    <t>LFW-AVANZA21</t>
  </si>
  <si>
    <t>Toyota Avanza / Xenia 21- 4th Gen (Non sensor)</t>
  </si>
  <si>
    <t>LFW-SIGRA16</t>
  </si>
  <si>
    <t>Toyota Calya / Sigra 16-</t>
  </si>
  <si>
    <t>2 PCS SUDAH DI KACA FILM</t>
  </si>
  <si>
    <t>TRW-SIGRA16</t>
  </si>
  <si>
    <t>1 pcs sudah di kaca film</t>
  </si>
  <si>
    <t>SWL-SIGRA16</t>
  </si>
  <si>
    <t>SWR-SIGRA16</t>
  </si>
  <si>
    <t>FDL-SIGRA16</t>
  </si>
  <si>
    <t>FDR-SIGRA16</t>
  </si>
  <si>
    <t>1pc ☆2</t>
  </si>
  <si>
    <t>X/MB/RS/Blue</t>
  </si>
  <si>
    <t>LFW-COROLLA83</t>
  </si>
  <si>
    <t>Toyota COROLLA KE70 1983-87/DX</t>
  </si>
  <si>
    <t>Toyota Corolla All New AE111 95-02 8th Gen KE120</t>
  </si>
  <si>
    <t>LFW-FORTUNER05MU</t>
  </si>
  <si>
    <t xml:space="preserve">*2pc ☆2 baret </t>
  </si>
  <si>
    <t>LFW-KIJANGK125</t>
  </si>
  <si>
    <t>Toyota Kijang Super/Grand K125</t>
  </si>
  <si>
    <t>LFW-FJ70HTOP</t>
  </si>
  <si>
    <t>Toyota LandCruiser 84- FJ70</t>
  </si>
  <si>
    <t>LFW-RAIZE</t>
  </si>
  <si>
    <t>* 1pc kurang seramik</t>
  </si>
  <si>
    <t>LFW-CROSS</t>
  </si>
  <si>
    <t>Toyota Corolla Cross 21-</t>
  </si>
  <si>
    <t>FDL-LOUHAN</t>
  </si>
  <si>
    <t>Hino Ranger Louhan 03- / Hino 500 (MULIA)</t>
  </si>
  <si>
    <t>FDR-LOUHAN</t>
  </si>
  <si>
    <t>LFW-ACTROS</t>
  </si>
  <si>
    <t>Mers-Benz Actros Truck</t>
  </si>
  <si>
    <t>LFW-SCANIA</t>
  </si>
  <si>
    <t>Scania New P-Series 16- (Pakai Lem)</t>
  </si>
  <si>
    <t>*-1 ada titik tengah atas</t>
  </si>
  <si>
    <t>FDL-DYNA</t>
  </si>
  <si>
    <t>No Klip</t>
  </si>
  <si>
    <t>FDR-DYNA</t>
  </si>
  <si>
    <t>D2T3</t>
  </si>
  <si>
    <t>TRW-NKING</t>
  </si>
  <si>
    <t>Bus New Armada NKING</t>
  </si>
  <si>
    <t>D2T1</t>
  </si>
  <si>
    <t>RDR-TARUNA</t>
  </si>
  <si>
    <t>Honda Brio 10- / Mobilio 11- (Honda)</t>
  </si>
  <si>
    <t>Honda Brio 18- (Honda)</t>
  </si>
  <si>
    <t>RDR-BRIO18</t>
  </si>
  <si>
    <t>Klip/Logo</t>
  </si>
  <si>
    <t>RDL-BRIO18</t>
  </si>
  <si>
    <t>SWR-MOBILIO</t>
  </si>
  <si>
    <t>Honda Mobilio 11-</t>
  </si>
  <si>
    <t>SWL-MOBILIO</t>
  </si>
  <si>
    <t>RDL-EVALIAFRAME</t>
  </si>
  <si>
    <t>X/FRAME</t>
  </si>
  <si>
    <t>LFW-BRV22</t>
  </si>
  <si>
    <t>Honda BR-V 22-</t>
  </si>
  <si>
    <t>FDL-BRIO</t>
  </si>
  <si>
    <t>Honda Brio 10-</t>
  </si>
  <si>
    <t>Honda Mobilio 14- (Honda)</t>
  </si>
  <si>
    <t>FDR-INNOVA15</t>
  </si>
  <si>
    <t>RDL-INNOVA15</t>
  </si>
  <si>
    <t>RDR-MOBILIO</t>
  </si>
  <si>
    <t>Honda Mobilio 14- / Honda BR-V 16-21</t>
  </si>
  <si>
    <t>SWL-INNOVA15</t>
  </si>
  <si>
    <t>X/List/Klip</t>
  </si>
  <si>
    <t>SWR-INNOVA15</t>
  </si>
  <si>
    <t>TRW-SPORTAGE04</t>
  </si>
  <si>
    <t>Kia Sportage 04-10 JE/KM (Hidrolik)</t>
  </si>
  <si>
    <t>X/H/Hole</t>
  </si>
  <si>
    <t>FDL-AVANZA03</t>
  </si>
  <si>
    <t>Logo Toyota Daihatsu</t>
  </si>
  <si>
    <t>LFW-TAFTGT</t>
  </si>
  <si>
    <t>Taft GT / Hiline / Feroza</t>
  </si>
  <si>
    <t>TRW-TAFTGT</t>
  </si>
  <si>
    <t>FDR-ACCORD08</t>
  </si>
  <si>
    <t>MSG</t>
  </si>
  <si>
    <t>RDR-BRIO</t>
  </si>
  <si>
    <t>FDR-ALTIS00</t>
  </si>
  <si>
    <t>FDR-AVANZA03</t>
  </si>
  <si>
    <t>TRW-PANTHER00SEAL</t>
  </si>
  <si>
    <t>Isuzu Panther 00- 2nd Gen (Sealant)</t>
  </si>
  <si>
    <t>1 pcs sudah terpasang kaca film</t>
  </si>
  <si>
    <t>TRW-PANTHER00KRT</t>
  </si>
  <si>
    <t>Isuzu Panther 00- 2nd Gen (Karet)</t>
  </si>
  <si>
    <t>RDR-BALENOSX408</t>
  </si>
  <si>
    <t>SWL-EVEREST06</t>
  </si>
  <si>
    <t>RDL-EVEREST06</t>
  </si>
  <si>
    <t>SWR-EVEREST06</t>
  </si>
  <si>
    <t>TRW-AGYA13</t>
  </si>
  <si>
    <t>Toyota Agya/Ayla</t>
  </si>
  <si>
    <t>TRW-FUTURAMB</t>
  </si>
  <si>
    <t>Suzuki Futura Mini Bus</t>
  </si>
  <si>
    <t>LFW-KATANAC84</t>
  </si>
  <si>
    <t>X/MB/Green/Logo Toyota</t>
  </si>
  <si>
    <t>Toyota Alphard 08-15 ANH20 2nd Gen Sensor</t>
  </si>
  <si>
    <t>RDL-ALPHARD15BLACK</t>
  </si>
  <si>
    <t>RDR-ALPHARD15BLACK</t>
  </si>
  <si>
    <t>RDL-CRV07</t>
  </si>
  <si>
    <t>Mers-Benz E-Class  09-16  W212 (2 Sensor/ □Δ) Trapes.</t>
  </si>
  <si>
    <t>X/MB/RS/H - List</t>
  </si>
  <si>
    <t>FDL-HARRIER480N</t>
  </si>
  <si>
    <t>Toyota Harrier - 480N</t>
  </si>
  <si>
    <t>FDR-HARRIER480N</t>
  </si>
  <si>
    <t>RDL-HARRIER480N</t>
  </si>
  <si>
    <t>RDR-HARRIER480N</t>
  </si>
  <si>
    <t>SRR</t>
  </si>
  <si>
    <t>RDL-HIACEFBLACK</t>
  </si>
  <si>
    <t>Toyota Hi-Ace 04-20 Commuter With Frame (Hitam)</t>
  </si>
  <si>
    <t>SRR-HIACEFBLACK</t>
  </si>
  <si>
    <t>TRW-RX270/350</t>
  </si>
  <si>
    <t>Lexus RX270/350</t>
  </si>
  <si>
    <t>RDL-HIACE19</t>
  </si>
  <si>
    <t>SRL</t>
  </si>
  <si>
    <t>SRR-HIACE19</t>
  </si>
  <si>
    <t>* CERAMIC SAMPING REGES</t>
  </si>
  <si>
    <t>SWR-XPANDERCH</t>
  </si>
  <si>
    <t>Mitsubishi Xpander 17- / Livina 19- 2nd Gen (Chrome)</t>
  </si>
  <si>
    <t>X/Chrome</t>
  </si>
  <si>
    <t>Honda Jazz 13- 3rd Gen (Honda)</t>
  </si>
  <si>
    <t>X/MB/Logo Honda</t>
  </si>
  <si>
    <t>X/Shade Green</t>
  </si>
  <si>
    <t>Honda HR-V 14-21 5D SUV (Honda)</t>
  </si>
  <si>
    <t>X/MB/Blue/Logo</t>
  </si>
  <si>
    <t>TRW-DATSUN3</t>
  </si>
  <si>
    <t>Nissan Datsun Go/Go+ 14- (3-Baris)</t>
  </si>
  <si>
    <t>Toyota Fortuner 05-15 1st Gen / Hilux Pickup 05-15 (Toyota)</t>
  </si>
  <si>
    <t>X/MB/ Logo/Green</t>
  </si>
  <si>
    <t>Toyota Fortuner 05-15 1st Gen (Toyota)</t>
  </si>
  <si>
    <t>FDL-HRV14</t>
  </si>
  <si>
    <t>FDR-HRV14</t>
  </si>
  <si>
    <t>RDL-HRV14</t>
  </si>
  <si>
    <t>Logo</t>
  </si>
  <si>
    <t>FDR-INNOVA04</t>
  </si>
  <si>
    <t>FDL-INNOVA04</t>
  </si>
  <si>
    <t>SWL-LUXIO</t>
  </si>
  <si>
    <t>FDL-TARUNA</t>
  </si>
  <si>
    <t>FDR-TARUNA</t>
  </si>
  <si>
    <t>FDL-FORTUNER05</t>
  </si>
  <si>
    <t>Toyota Fortuner 05-15  1st Gen / Hilux Pickup 05-15</t>
  </si>
  <si>
    <t>FDR-DATSUN</t>
  </si>
  <si>
    <t>RDL-RANGER02</t>
  </si>
  <si>
    <t xml:space="preserve">Ford Ranger 02-06 </t>
  </si>
  <si>
    <t>FDR-RANGER06</t>
  </si>
  <si>
    <t>Ford Ranger 06-11</t>
  </si>
  <si>
    <t>FDR-RANGER11</t>
  </si>
  <si>
    <t>Ford Ranger 11- (DC)</t>
  </si>
  <si>
    <t>FDL-RANGER11</t>
  </si>
  <si>
    <t>RDR-RANGER11</t>
  </si>
  <si>
    <t>RDL-RANGER11</t>
  </si>
  <si>
    <t>RDL-BRIO10</t>
  </si>
  <si>
    <t>Honda Brio 10-17</t>
  </si>
  <si>
    <t>FDL-FORTUNER15</t>
  </si>
  <si>
    <t>Toyota Fortuner 15-  2nd Gen / Toyota Hilux Pickup 15- (Revo)</t>
  </si>
  <si>
    <t>FDL-MOBILIO</t>
  </si>
  <si>
    <t>FDR-MOBILIO</t>
  </si>
  <si>
    <t>RDL-MOBILIO</t>
  </si>
  <si>
    <t>FVR-JAZZ01</t>
  </si>
  <si>
    <t>FDL-CRV02</t>
  </si>
  <si>
    <t>FDR-CRV02</t>
  </si>
  <si>
    <t>FDR-CRV07</t>
  </si>
  <si>
    <t>RDR-TERIOS06</t>
  </si>
  <si>
    <t>RDR-CRV07</t>
  </si>
  <si>
    <t>RDL-JAZZ13</t>
  </si>
  <si>
    <t>Honda Jazz 13-  3rd Gen</t>
  </si>
  <si>
    <t>TRW-GIGAPU</t>
  </si>
  <si>
    <t>Isuzu Giga Long (PS240,285) FVR34</t>
  </si>
  <si>
    <t>RDL-TRITON05</t>
  </si>
  <si>
    <t>FDL-XPANDER</t>
  </si>
  <si>
    <t>Mitsubishi Xpander 17- / Livina 19- 2nd Gen</t>
  </si>
  <si>
    <t>FDR-XPANDER</t>
  </si>
  <si>
    <t>RDL-XPANDER</t>
  </si>
  <si>
    <t>D2T2</t>
  </si>
  <si>
    <t>RDR-XPANDER</t>
  </si>
  <si>
    <t>SWR-XPANDER</t>
  </si>
  <si>
    <t>X/No Chrome</t>
  </si>
  <si>
    <t>Boyou</t>
  </si>
  <si>
    <t>SWL-XPANDER</t>
  </si>
  <si>
    <t>SWL-XPANDERCH</t>
  </si>
  <si>
    <t>RDR-GRANMAX</t>
  </si>
  <si>
    <t>Nissan Livina   07-18 L10/L11</t>
  </si>
  <si>
    <t>D1T1</t>
  </si>
  <si>
    <t>RDL-LIVINA07</t>
  </si>
  <si>
    <t>RDR-LIVINA07</t>
  </si>
  <si>
    <t>FDL-APV</t>
  </si>
  <si>
    <t>FDR-APV</t>
  </si>
  <si>
    <t>RDL-APV</t>
  </si>
  <si>
    <t>RDR-APV</t>
  </si>
  <si>
    <t>SWL-APV</t>
  </si>
  <si>
    <t>SWR-APV</t>
  </si>
  <si>
    <t>FDL-CARRY19</t>
  </si>
  <si>
    <t>SWL-GRANMAXLUXIO</t>
  </si>
  <si>
    <t>Daihatsu Gran Max</t>
  </si>
  <si>
    <t>TRW-CARRY19</t>
  </si>
  <si>
    <t>Suzuki Carry New 19- (Pick Up)</t>
  </si>
  <si>
    <t>FVL-ERTIGA12</t>
  </si>
  <si>
    <t>FVR-ERTIGA12</t>
  </si>
  <si>
    <t>D1T2</t>
  </si>
  <si>
    <t>SWR-ERTIGA12</t>
  </si>
  <si>
    <t>RVL-AGYA13</t>
  </si>
  <si>
    <t>RVR-AGYA13</t>
  </si>
  <si>
    <t>RDR-INNOVA04</t>
  </si>
  <si>
    <t>RDR-HILUX05</t>
  </si>
  <si>
    <t>FDL-AVANZA21</t>
  </si>
  <si>
    <t>Toyota Avanza / Xenia 21- 4th Gen</t>
  </si>
  <si>
    <t>Toyota Fortuner 15-  2nd Gen</t>
  </si>
  <si>
    <t>RVL-FORTUNER15</t>
  </si>
  <si>
    <t>RVR-FORTUNER15</t>
  </si>
  <si>
    <t>SWR-FORTUNER15</t>
  </si>
  <si>
    <t>SWL-FORTUNER15</t>
  </si>
  <si>
    <t>FDL-FREED</t>
  </si>
  <si>
    <t>RDL-FREED</t>
  </si>
  <si>
    <t>RDR-FREED</t>
  </si>
  <si>
    <t>FDR-ELFNKR</t>
  </si>
  <si>
    <t xml:space="preserve">Isuzu Elf  93- NKR NHR </t>
  </si>
  <si>
    <t>FDR-JAZZ01</t>
  </si>
  <si>
    <t>FVL-JAZZ07</t>
  </si>
  <si>
    <t>RDR-JAZZ07</t>
  </si>
  <si>
    <t>FDR-JAZZ13</t>
  </si>
  <si>
    <t>FDL-JAZZ13</t>
  </si>
  <si>
    <t>FDL-RUSH17</t>
  </si>
  <si>
    <t>FDR-RUSH17</t>
  </si>
  <si>
    <t>RDL-RUSH17</t>
  </si>
  <si>
    <t>RDR-RUSH17</t>
  </si>
  <si>
    <t>RDL-TERIOS06</t>
  </si>
  <si>
    <t>FDR-TERIOS06</t>
  </si>
  <si>
    <t>FDL-RAIZE</t>
  </si>
  <si>
    <t xml:space="preserve">Toyota Raize / Daihatsu Rocky 20- </t>
  </si>
  <si>
    <t>TRW-KAPSUL97</t>
  </si>
  <si>
    <t>Toyota Kijang  98- Kapsul Karet (7K)</t>
  </si>
  <si>
    <t>TRW-KAPSUL02</t>
  </si>
  <si>
    <t xml:space="preserve">Toyota Kijang 02-04 Kapsul Lem Efi </t>
  </si>
  <si>
    <t>FDR-KAPSUL97</t>
  </si>
  <si>
    <t>RVR-KAPSUL97</t>
  </si>
  <si>
    <t>SWR-KAPSUL02LONG</t>
  </si>
  <si>
    <t>Toyota Kijang 02-04 Kapsul Lem Efi (7K) Long</t>
  </si>
  <si>
    <t>X/Long</t>
  </si>
  <si>
    <t>TGA-KIJANGK125</t>
  </si>
  <si>
    <t>TRW-KIJANGK125PU</t>
  </si>
  <si>
    <t>Toyota Kijang Super/Grand K125 Pick Up</t>
  </si>
  <si>
    <t>FDL-L300</t>
  </si>
  <si>
    <t>FDR-L300</t>
  </si>
  <si>
    <t>TRW-L300PU</t>
  </si>
  <si>
    <t>Mitsubishi L300 Pick Up</t>
  </si>
  <si>
    <t>RVR</t>
  </si>
  <si>
    <t>RVR-INNOVA15</t>
  </si>
  <si>
    <t>Toyota Innova 15-22 2nd Gen</t>
  </si>
  <si>
    <t>FVR-INNOVA15</t>
  </si>
  <si>
    <t>FDL-VIOS07</t>
  </si>
  <si>
    <t>FDR-VIOS07</t>
  </si>
  <si>
    <t>FDL-VIOS13</t>
  </si>
  <si>
    <t>Toyota Vios 13-17 3rd Gen / Yaris 13- 2nd Gen XP150 / Yaris 18- 3rd Gen XP151</t>
  </si>
  <si>
    <t>FDR-VIOS13</t>
  </si>
  <si>
    <t>RDL-VIOS13</t>
  </si>
  <si>
    <t>Toyota Vios 13-17 3rd Gen</t>
  </si>
  <si>
    <t>RDR-VIOS13</t>
  </si>
  <si>
    <t>FDL-YARIS05</t>
  </si>
  <si>
    <t>FDR-YARIS05</t>
  </si>
  <si>
    <t>FDL-GRANMAX</t>
  </si>
  <si>
    <t>FDR-GRANMAX</t>
  </si>
  <si>
    <t>RDL-GRANMAX</t>
  </si>
  <si>
    <t>Habiskan yang di A13T3 dulu</t>
  </si>
  <si>
    <t>Honda HR-V 22- 5D SUV (Honda)</t>
  </si>
  <si>
    <t>X/MB/RS/Logo</t>
  </si>
  <si>
    <t>RDL-SIGRA16</t>
  </si>
  <si>
    <t>SWR-GRANMAXLUXIO</t>
  </si>
  <si>
    <t>RDR-AVANZA03</t>
  </si>
  <si>
    <t>FDL-AGYA13</t>
  </si>
  <si>
    <t>FDR-AGYA13</t>
  </si>
  <si>
    <t>RDL-AGYA13</t>
  </si>
  <si>
    <t>RDR-AGYA13</t>
  </si>
  <si>
    <t>RDL-INNOVA04</t>
  </si>
  <si>
    <t>FDL-FE300</t>
  </si>
  <si>
    <t>FDR-FE300</t>
  </si>
  <si>
    <t>SWL-INNOVA04</t>
  </si>
  <si>
    <t>SWR-INNOVA04</t>
  </si>
  <si>
    <t>FDL-FE700</t>
  </si>
  <si>
    <t>FDR-FE700</t>
  </si>
  <si>
    <t>2 pc baret *2</t>
  </si>
  <si>
    <t>FDL-ELFNMR</t>
  </si>
  <si>
    <t xml:space="preserve">Isuzu Elf 17- New NMR NLR / Isuzu Giga </t>
  </si>
  <si>
    <t>FDR-ELFNMR</t>
  </si>
  <si>
    <t>FDL-PAJERO08</t>
  </si>
  <si>
    <t>Mitsubishi Pajero 08-16 / Strada Triton 08-15</t>
  </si>
  <si>
    <t>FDR-PAJERO08</t>
  </si>
  <si>
    <t>RDL-PAJERO08</t>
  </si>
  <si>
    <t>RDR-PAJERO08</t>
  </si>
  <si>
    <t>Wuling Almaz (Orisinil)</t>
  </si>
  <si>
    <t>X/MB/Klip/Logo</t>
  </si>
  <si>
    <t>FDR-AVANZA21</t>
  </si>
  <si>
    <t>RDR-AVANZA21</t>
  </si>
  <si>
    <t>SWL-AVANZA21</t>
  </si>
  <si>
    <t>SWR-AVANZA21</t>
  </si>
  <si>
    <t>LFW-ALTIS18RS</t>
  </si>
  <si>
    <t>Toyota Altis 18- E210 12th Gen</t>
  </si>
  <si>
    <t>TRW-ALTIS18</t>
  </si>
  <si>
    <t>FDL-ELFNKR</t>
  </si>
  <si>
    <t>FDL-TERIOS06</t>
  </si>
  <si>
    <t>Mitsubishi Pajero 16- (Mitsubishi)</t>
  </si>
  <si>
    <t>4 pc tidak ada clip tdk ada list</t>
  </si>
  <si>
    <t>X/Heater/6Hole/Logo</t>
  </si>
  <si>
    <t>Honda CR-V 17-23 5th Gen</t>
  </si>
  <si>
    <t>X/Heater/Logo</t>
  </si>
  <si>
    <t>LFW-TELSTAR93</t>
  </si>
  <si>
    <t>Ford Telstar 93 / Mazda Cronos 626</t>
  </si>
  <si>
    <t>FDL-QUESTER</t>
  </si>
  <si>
    <t>Nissan UD Quester</t>
  </si>
  <si>
    <t>TRW-AVANZA21</t>
  </si>
  <si>
    <t>TRW-ELFNKR</t>
  </si>
  <si>
    <t>Toyota Camry 11-18 XV50 5th Gen</t>
  </si>
  <si>
    <t>RVL-SIGRA16</t>
  </si>
  <si>
    <t>Toyota Calya /  Sigra 16-</t>
  </si>
  <si>
    <t>RVL</t>
  </si>
  <si>
    <t>RVR-SIGRA16</t>
  </si>
  <si>
    <t>TRW-DYNA</t>
  </si>
  <si>
    <t>LFW-AVANZA21RS</t>
  </si>
  <si>
    <t>Toyota Avanza / Xenia 21- 4th Gen ( Sensor)</t>
  </si>
  <si>
    <t>RDL-PAJERO16</t>
  </si>
  <si>
    <t>FDR-PAJERO16</t>
  </si>
  <si>
    <t>SWR-PAJERO16</t>
  </si>
  <si>
    <t>SWL-PAJERO16</t>
  </si>
  <si>
    <t>Mitsubishi Xpander 17- / Livina 19- 2nd Gen (Mitsubishi)</t>
  </si>
  <si>
    <t>TRW-XPANDER</t>
  </si>
  <si>
    <t>Mitsubishi Xpander 17-21 / Livina 19- 2nd Gen (Mitsubishi)</t>
  </si>
  <si>
    <t>X/Hole</t>
  </si>
  <si>
    <t>5PC PETI</t>
  </si>
  <si>
    <t>Mitsubishi Xpander 17-21 / Livina 19- 2nd Gen</t>
  </si>
  <si>
    <t>X/Heater/Hole</t>
  </si>
  <si>
    <t>Mitsubishi Xpander 22-  (Mitsubishi)</t>
  </si>
  <si>
    <t>TRW-GRANMAXPU</t>
  </si>
  <si>
    <t>Daihatsu Gran Max / Zebra 2 (Pick Up)</t>
  </si>
  <si>
    <t>LFW-PALISADE23RS</t>
  </si>
  <si>
    <t>Hyundai Palisade 22-25 (1 Sensor /\ pendek)</t>
  </si>
  <si>
    <t>LFW-PALISADE23</t>
  </si>
  <si>
    <t>Hyundai Palisade 22-25</t>
  </si>
  <si>
    <t>LFW-CORTEZ</t>
  </si>
  <si>
    <t>RDR-SIGRA16</t>
  </si>
  <si>
    <t>Toyota Avanza / Xenia 11-15 2nd Gen/3rd Gen (Toyota/Daihatsu)</t>
  </si>
  <si>
    <t>Hino Ranger Louhan 03- / Hino 500 (kecuali tipe FC)</t>
  </si>
  <si>
    <t>TRW-HIACE19BNG</t>
  </si>
  <si>
    <t>Toyota Hi-Ace 19- Premio (Bening)</t>
  </si>
  <si>
    <t>FDL-ERTIGA12</t>
  </si>
  <si>
    <t>FDR-ERTIGA12</t>
  </si>
  <si>
    <t>RDL-ERTIGA12</t>
  </si>
  <si>
    <t>RDR-ERTIGA12</t>
  </si>
  <si>
    <t>FDR-SWIFT04</t>
  </si>
  <si>
    <t>TRW-RANGER02</t>
  </si>
  <si>
    <t>Ford Ranger 02-11 (Pick Up)</t>
  </si>
  <si>
    <t>LFW-FJ78</t>
  </si>
  <si>
    <t>Toyota LandCruiser 02-07 FJ78 / FJ79</t>
  </si>
  <si>
    <t>LFW-TERRA18RS</t>
  </si>
  <si>
    <t>Nissan Terra 18- (1 Sensor / /\ )</t>
  </si>
  <si>
    <t>TRW-TERRA</t>
  </si>
  <si>
    <t>Nissan Terra 18-</t>
  </si>
  <si>
    <t>A2T3</t>
  </si>
  <si>
    <t>Mers-Benz A-Class 05-12 W169/ B-Class 05-11 W245</t>
  </si>
  <si>
    <t>FDL-TAFTGT</t>
  </si>
  <si>
    <t xml:space="preserve">Taft GT Rocky / / Hiline / Feroza (Daihatsu)        </t>
  </si>
  <si>
    <t>Toyota Innova 04-15 1st Gen (Toyota)</t>
  </si>
  <si>
    <t>SWR-PANTHER91</t>
  </si>
  <si>
    <t>Isuzu Panther  91-99 1st Gen Kotak</t>
  </si>
  <si>
    <t>3 hole</t>
  </si>
  <si>
    <t>Suzuki Karimun Estilo 07- (Suzuki)</t>
  </si>
  <si>
    <t>AIS</t>
  </si>
  <si>
    <t>LFW-PAJERO20RS</t>
  </si>
  <si>
    <t>Mitsubishi Pajero 20-23 (1 Sensor / □ ) (Mitsubishi)</t>
  </si>
  <si>
    <t>LFW-PAJERO20RS2</t>
  </si>
  <si>
    <t>Mitsubishi Pajero 20- (2 Sensor / □ [] ) (Mitsubishi)</t>
  </si>
  <si>
    <t>LFW-PAJERO24RS</t>
  </si>
  <si>
    <t>Mitsubishi Pajero 23- (1 Sensor / □ ) (Mitsubishi)</t>
  </si>
  <si>
    <t>Mitsubishi Pajero 20- (2 Sensor / □ [] )</t>
  </si>
  <si>
    <t>TRW-BRIO10HOLE</t>
  </si>
  <si>
    <t>Honda Brio 10-17 [Lubang Wiper] (Honda)</t>
  </si>
  <si>
    <t>X/9Hole/Logo</t>
  </si>
  <si>
    <t>TRW-DMAX1</t>
  </si>
  <si>
    <t>FDL-DMAX1</t>
  </si>
  <si>
    <t>FDR-DMAX1</t>
  </si>
  <si>
    <t>RDL-DMAX1</t>
  </si>
  <si>
    <t>RDR-DMAX1</t>
  </si>
  <si>
    <t>FDL-CARRY</t>
  </si>
  <si>
    <t>Suzuki Carry (1000cc)</t>
  </si>
  <si>
    <t>FDR-CARRY</t>
  </si>
  <si>
    <t>SWR-LUXIO</t>
  </si>
  <si>
    <r>
      <rPr>
        <rFont val="Calibri"/>
        <color theme="1"/>
        <sz val="10.0"/>
      </rPr>
      <t xml:space="preserve">Nissan Livina  07-12 L10 (Tanpa Lubang) </t>
    </r>
    <r>
      <rPr>
        <rFont val="Calibri"/>
        <b/>
        <color theme="1"/>
        <sz val="10.0"/>
      </rPr>
      <t>Nissan</t>
    </r>
  </si>
  <si>
    <t>LFW-CARRY</t>
  </si>
  <si>
    <t>FDR-TAFTGT</t>
  </si>
  <si>
    <t>Toyota Avanza / Xenia 21- 4th Gen (Toyota/Daihatsu)</t>
  </si>
  <si>
    <t>RDR-YARIS13</t>
  </si>
  <si>
    <t>Toyota Yaris 13- 2nd Gen XP150 / 18- 3rd Gen XP151</t>
  </si>
  <si>
    <t>RDL-YARIS13</t>
  </si>
  <si>
    <t>Toyota Alphard 02-08 ANH10  1st Gen</t>
  </si>
  <si>
    <t>FDR-FORTUNER05</t>
  </si>
  <si>
    <t>Toyota Fortuner 05-15  1st Gen / Hilux Pickup 05-15 (Toyota)</t>
  </si>
  <si>
    <t>X/MB/Logo/Shade Green</t>
  </si>
  <si>
    <t>Toyota Fortuner 05-15  1st Gen (Toyota)</t>
  </si>
  <si>
    <t>Toyota Fortuner 15-  2nd Gen (Toyota)</t>
  </si>
  <si>
    <t>X/H/Riben</t>
  </si>
  <si>
    <t>FDR-FORTUNER15</t>
  </si>
  <si>
    <t>Toyota Fortuner 15-  2nd Gen / Toyota Hilux Pickup 15- (Revo) (Toyota)</t>
  </si>
  <si>
    <t>Toyota Fortuner 15- 2nd Gen (Toyota)</t>
  </si>
  <si>
    <t>Logo/Black</t>
  </si>
  <si>
    <t>TRW-FE700</t>
  </si>
  <si>
    <t>LFW-FORESTER</t>
  </si>
  <si>
    <t>Subaru Forester 09-13</t>
  </si>
  <si>
    <t>TRW-ERTIGA18H</t>
  </si>
  <si>
    <t>Suzuki Ertiga 18- 2nd Gen / XL7 (Suzuki)</t>
  </si>
  <si>
    <t>FDL-KUDA</t>
  </si>
  <si>
    <t>Honda Jazz 07-13 2nd Gen (Honda)</t>
  </si>
  <si>
    <t>Mers-Benz C-Class  07-14 W204 4D (1 Sensor/ □)</t>
  </si>
  <si>
    <t>Braket beda</t>
  </si>
  <si>
    <t>Mitsubishi Outlander 10-21</t>
  </si>
  <si>
    <t>Toyota LandCruiser 07-21 FJ200</t>
  </si>
  <si>
    <t>NSG</t>
  </si>
  <si>
    <t>TRW-AVANZA21H</t>
  </si>
  <si>
    <t>FDL-ALMAZ</t>
  </si>
  <si>
    <t>Wuling Almaz (Wuling)</t>
  </si>
  <si>
    <t>SWL-ERTIGA18</t>
  </si>
  <si>
    <t>SWR-ERTIGA18</t>
  </si>
  <si>
    <t>Toyota Innova 04-15 1st Gen (Toyota) (Copotan)</t>
  </si>
  <si>
    <t>COP</t>
  </si>
  <si>
    <t>Mitsubishi Xpander 17- / Livina 19- 2nd Gen (Mitsubishi/Nissan) (Copotan)</t>
  </si>
  <si>
    <t>SWL-TAFTGT</t>
  </si>
  <si>
    <t xml:space="preserve">Taft GT / Hiline / Feroza (Daihatsu)        </t>
  </si>
  <si>
    <t>Hole</t>
  </si>
  <si>
    <t>SWR-TAFTGT</t>
  </si>
  <si>
    <t>Toyota Rush / Terios 06-17 (Toyota/Daihatsu)</t>
  </si>
  <si>
    <t>SWL-ERTIGA12</t>
  </si>
  <si>
    <t>Suzuki Ertiga 12-18 1st Gen MPV (Suzuki)</t>
  </si>
  <si>
    <t>Toyota Agya/Ayla 13-22 1st Gen (Toyota/Daihatsu)</t>
  </si>
  <si>
    <t>RDL-HRV22</t>
  </si>
  <si>
    <t>SWL-SIENTA</t>
  </si>
  <si>
    <t>LFW-AUDIB808</t>
  </si>
  <si>
    <t>Audi A4 08-15 B8 [08-11] (1 Sensor / O Air Hujan)</t>
  </si>
  <si>
    <t>X/List/Logo</t>
  </si>
  <si>
    <t>SWL-INNOVA15HTM</t>
  </si>
  <si>
    <t>X/Logo/List Hitam</t>
  </si>
  <si>
    <t>SWR-INNOVA15HTM</t>
  </si>
  <si>
    <t>BMW X5 Series 07-13  E70 (1 Sensor / ꓳ)</t>
  </si>
  <si>
    <t>LFW-INNOVA22</t>
  </si>
  <si>
    <t>Toyota Innova 22- Zenyx 3rd Gen</t>
  </si>
  <si>
    <t>Mers-Benz Axor 98- Truck / Fuso FJ25</t>
  </si>
  <si>
    <t>RDR-CONFERO</t>
  </si>
  <si>
    <t>RDL-CONFERO</t>
  </si>
  <si>
    <t>TRW-BRIO10NOLBG</t>
  </si>
  <si>
    <t>Honda Brio 10-17 [Tanpa Lubang] (Honda)</t>
  </si>
  <si>
    <t>FDL-BRIO10</t>
  </si>
  <si>
    <t>Honda Brio 10- (Honda)</t>
  </si>
  <si>
    <t>FDR-BRIO10</t>
  </si>
  <si>
    <t>SWR-BRV16</t>
  </si>
  <si>
    <t>SWL-BRV16</t>
  </si>
  <si>
    <t>LFW-T32RS</t>
  </si>
  <si>
    <t>Nissan X-Trail 13- T32 (1 Sensor / O )</t>
  </si>
  <si>
    <t>X/MB/Shade Blue/Logo</t>
  </si>
  <si>
    <t>RDR-HRV14</t>
  </si>
  <si>
    <t>RDL-AVANZA21</t>
  </si>
  <si>
    <t>LFW-GELORA</t>
  </si>
  <si>
    <t>DFSK Gelora</t>
  </si>
  <si>
    <t>LFW-SUPERCAB</t>
  </si>
  <si>
    <t>DFSK Supercab 20-</t>
  </si>
  <si>
    <t>TRW-HRV22</t>
  </si>
  <si>
    <t>FDR-HRV22</t>
  </si>
  <si>
    <t>FDL-HRV22</t>
  </si>
  <si>
    <t>RDR-HRV22</t>
  </si>
  <si>
    <t>Suzuki Carry New 19- (Suzuki)</t>
  </si>
  <si>
    <t>SWR-SIENTA</t>
  </si>
  <si>
    <t>Nissan Frontier Navara  97-04 D22 1st Gen</t>
  </si>
  <si>
    <t>LFW-SEAL</t>
  </si>
  <si>
    <t>BYD Seal 23- (2 Sensor / /\ O )</t>
  </si>
  <si>
    <t>LFW-SEALION</t>
  </si>
  <si>
    <t>BYD Sealion 7 24- (2 Sensor / /\ O )</t>
  </si>
  <si>
    <t>LFW-INNOVA22RS</t>
  </si>
  <si>
    <t>Toyota Innova 22- Zenyx 3rd Gen (1 Sensor / /\ )</t>
  </si>
  <si>
    <t>LFW-IONIQ5RS2</t>
  </si>
  <si>
    <t>Hyundai Ioniq 5 SUV 22- (2 Sensor / O /\ )</t>
  </si>
  <si>
    <t>FDR-CRETA</t>
  </si>
  <si>
    <t>Hyundai Creta 22-</t>
  </si>
  <si>
    <t>Honda Mobilio 14- / Honda BR-V 16-21 (Honda)</t>
  </si>
  <si>
    <t>FDR-OUTLANDER</t>
  </si>
  <si>
    <t>FDL-OUTLANDER</t>
  </si>
  <si>
    <t>Nissan Serena 10-19 C26</t>
  </si>
  <si>
    <t>FDR-PANTHER00</t>
  </si>
  <si>
    <t xml:space="preserve">Nissan X-Trail 13- T32 </t>
  </si>
  <si>
    <t>FDR-SIENTA</t>
  </si>
  <si>
    <t>1 pcs sudah ada kaca film</t>
  </si>
  <si>
    <t>TRW-BRIONOLBG</t>
  </si>
  <si>
    <t>Honda Brio 10-17 [Tanpa Lubang]</t>
  </si>
  <si>
    <t>LFW-ATTO</t>
  </si>
  <si>
    <t>BYD Atto 3 23- (1 Sensor / Big /\ )</t>
  </si>
  <si>
    <t>LFW-DOLPHIN23</t>
  </si>
  <si>
    <t>BYD Dolphin 23- (2 Sensor / Big /\ /\  )</t>
  </si>
  <si>
    <t>FILM-VIP</t>
  </si>
  <si>
    <t>VIP Vkool Automotive Film</t>
  </si>
  <si>
    <t>VK</t>
  </si>
  <si>
    <t>SWL-PAJERO08</t>
  </si>
  <si>
    <t>LFW-AIREV</t>
  </si>
  <si>
    <t>Wuling Air EV 22-</t>
  </si>
  <si>
    <t>Honda BR-V 22- 2nd Gen / WRV 23- (Honda)</t>
  </si>
  <si>
    <t>LFW-BRV22RS</t>
  </si>
  <si>
    <t>Honda BR-V 22- 2nd Gen / WRV 23- (1 Sensor / Big /\ ) (Honda)</t>
  </si>
  <si>
    <t>TRW-BRV22</t>
  </si>
  <si>
    <t>Honda BR-V 22- 2nd Gen (Honda)</t>
  </si>
  <si>
    <t>FDR-BRV22</t>
  </si>
  <si>
    <t>FDL-BRV22</t>
  </si>
  <si>
    <t>RDR-BRV22</t>
  </si>
  <si>
    <t>RDL-BRV22</t>
  </si>
  <si>
    <t>SWR-BRV22</t>
  </si>
  <si>
    <t>SWL-BRV22</t>
  </si>
  <si>
    <t>TRW-WRV23</t>
  </si>
  <si>
    <t>Honda WR-V 23- (Honda)</t>
  </si>
  <si>
    <t>X/Hole/Logo</t>
  </si>
  <si>
    <t>FDR-WRV23</t>
  </si>
  <si>
    <t>FDL-WRV23</t>
  </si>
  <si>
    <t>RDR-WRV23</t>
  </si>
  <si>
    <t>RDL-WRV23</t>
  </si>
  <si>
    <t>FDL-CRETA</t>
  </si>
  <si>
    <t>Honda CR-V 17-23 5th Gen (2 Sensor / O /\ ) (Honda)</t>
  </si>
  <si>
    <t>Honda CR-V 17-23 5th Gen (Honda)</t>
  </si>
  <si>
    <t>X/Heater/1hole/Logo</t>
  </si>
  <si>
    <t>FDR-CRV17</t>
  </si>
  <si>
    <t>FDL-CRV17</t>
  </si>
  <si>
    <t>RDL-CRV17</t>
  </si>
  <si>
    <t>RDR-CRV17</t>
  </si>
  <si>
    <t>Honda CR-V 12-16  4th Gen (Honda)</t>
  </si>
  <si>
    <t>Honda Jazz 13-  3rd Gen (Honda)</t>
  </si>
  <si>
    <t>TRW-CITY19</t>
  </si>
  <si>
    <t>Honda City 19- GN (Honda)</t>
  </si>
  <si>
    <t>X/H/Hole/Logo</t>
  </si>
  <si>
    <t>LFW-XFORCERSRAIN</t>
  </si>
  <si>
    <t>Mitsubishi X-Force 23- (RS) (Mitsubishi)</t>
  </si>
  <si>
    <t>LFW-XFORCERSAD</t>
  </si>
  <si>
    <t>Mitsubishi X-Force 23- (Cam) (Mitsubishi)</t>
  </si>
  <si>
    <t>RDR-CITY02</t>
  </si>
  <si>
    <t>Honda City 02-08 4th Gen Idsi GD8 (Honda)</t>
  </si>
  <si>
    <t>TSG</t>
  </si>
  <si>
    <t>RDL-CITY02</t>
  </si>
  <si>
    <t>TRW-LIVINA13</t>
  </si>
  <si>
    <t>Nissan Livina 13-18 L11 (Lubang)</t>
  </si>
  <si>
    <t>TRW-C27</t>
  </si>
  <si>
    <t>FDL-SIENTA</t>
  </si>
  <si>
    <t>RDR-SIENTA</t>
  </si>
  <si>
    <t>RDL-SIENTA</t>
  </si>
  <si>
    <t>FDL-INNOVA22</t>
  </si>
  <si>
    <t>Toyota Innova 22- Zenyx 3rd Gen (Toyota)</t>
  </si>
  <si>
    <t>FDR-INNOVA22</t>
  </si>
  <si>
    <t>RDL-INNOVA22</t>
  </si>
  <si>
    <t>RDR-INNOVA22</t>
  </si>
  <si>
    <t>Toyota Raize / Daihatsu Rocky 20- (2 Sensor / /\/\ ) (Toyota/Daihasu)</t>
  </si>
  <si>
    <t>TRW-RAIZE</t>
  </si>
  <si>
    <t>Toyota Raize / Daihatsu Rocky 20- (Toyota/Daihatsu)</t>
  </si>
  <si>
    <t>FDR-RAIZE</t>
  </si>
  <si>
    <t>RDR-RAIZE</t>
  </si>
  <si>
    <t>RDL-RAIZE</t>
  </si>
  <si>
    <t>SWL-RAIZE</t>
  </si>
  <si>
    <t>LFW-TEANA13</t>
  </si>
  <si>
    <t>Nissan Teana 13-20 L33 (Nissan) - Windshield</t>
  </si>
  <si>
    <t>NIS</t>
  </si>
  <si>
    <t>Toyota Rush / Terios 18- (Toyota/Daihatsu)</t>
  </si>
  <si>
    <t>SWR-RUSH17</t>
  </si>
  <si>
    <t>SWL-RUSH17</t>
  </si>
  <si>
    <t>FDR-ALMAZ</t>
  </si>
  <si>
    <t>LFW-G20RS1</t>
  </si>
  <si>
    <t>BMW 3 Series 18- G20/G21 (1 Sensor / O )</t>
  </si>
  <si>
    <t>LFW-G20RS2</t>
  </si>
  <si>
    <t>BMW 3 Series 18- G20/G21 (2 Sensor / Big /\ O )</t>
  </si>
  <si>
    <t>LFW-G20RS2SM</t>
  </si>
  <si>
    <t>BMW 3 Series 18- G20/G21 (2 Sensor / Small /\ O )</t>
  </si>
  <si>
    <t>FDR-FREED</t>
  </si>
  <si>
    <t>RDL-SCROSS16</t>
  </si>
  <si>
    <t>Suzuki Baleno 16- SX4 Scross Hatchback</t>
  </si>
  <si>
    <t>FDL-AGYA23</t>
  </si>
  <si>
    <t>Toyota Agya/Ayla 23- 2nd Gen (Toyota/Daihatsu)</t>
  </si>
  <si>
    <t>LFW-DYNABY40</t>
  </si>
  <si>
    <t>Toyota Dyna Rino BY40 / Delta</t>
  </si>
  <si>
    <t>TRW-YARIS23</t>
  </si>
  <si>
    <t>Toyota Yaris 23- (Toyota)</t>
  </si>
  <si>
    <t>X/RS/Logo</t>
  </si>
  <si>
    <t>LFW-INNOVA22KT</t>
  </si>
  <si>
    <t>Toyota Innova 22- Zenyx 3rd Gen Mirror Base Kotak (Toyota)</t>
  </si>
  <si>
    <t>LFW-INNOVA22GR</t>
  </si>
  <si>
    <t>Toyota Innova 22- Zenyx 3rd Gen (Spion Garis) (Toyota)</t>
  </si>
  <si>
    <t>TRW-INNOVA22H</t>
  </si>
  <si>
    <t>TRW-INNOVA22</t>
  </si>
  <si>
    <t>Honda CR-V 07-11 3rd Gen (Honda)</t>
  </si>
  <si>
    <t>LFW-MGZS</t>
  </si>
  <si>
    <t>MG ZS SUV 17-</t>
  </si>
  <si>
    <t>LFW-SCROSS16RS</t>
  </si>
  <si>
    <t>Suzuki Baleno 16- SX4 Scross Hatchback (1 Sensor / I )</t>
  </si>
  <si>
    <t>FDR-TRAILBLAZER</t>
  </si>
  <si>
    <t>FDL-TRAILBLAZER</t>
  </si>
  <si>
    <t>SWR-TRAILBLAZER</t>
  </si>
  <si>
    <t>SWL-TRAILBLAZER</t>
  </si>
  <si>
    <t>FDL-CONFERO</t>
  </si>
  <si>
    <t>SWL-JAZZ01</t>
  </si>
  <si>
    <t>Nissan Livina  07-18 L10/L11</t>
  </si>
  <si>
    <t>Mazda CX-5 12-17 1st Gen KE Pre</t>
  </si>
  <si>
    <t>TRW-SELTOS</t>
  </si>
  <si>
    <t>Toyota LandCruiser  98-07 FJ100 (Signus) [No Sensor]</t>
  </si>
  <si>
    <t>LFW-CIVIC22RS</t>
  </si>
  <si>
    <t>Honda Civic 22- 11th Gen Hatch/Sedan (2 Sensor/ Big /\ O )</t>
  </si>
  <si>
    <t>RDL-CIVIC22</t>
  </si>
  <si>
    <t>Honda Civic 22- 11th Gen Hatch/Sedan (Honda)</t>
  </si>
  <si>
    <t>RDR-CIVIC22</t>
  </si>
  <si>
    <t>Toyota Yaris 13-17 2nd Gen  / Vios 14-22 3rd Gen (Toyota)</t>
  </si>
  <si>
    <t>FDR-BALENO15</t>
  </si>
  <si>
    <t>Suzuki Baleno 15-22 Hatchback</t>
  </si>
  <si>
    <t>FDL-BALENO15</t>
  </si>
  <si>
    <t>LFW-GLORY580</t>
  </si>
  <si>
    <t>DFSK Glory 580 16-21 (DFSK)</t>
  </si>
  <si>
    <t>X/MB/RS/Logo/List</t>
  </si>
  <si>
    <t>LFW-GLORY560</t>
  </si>
  <si>
    <t>DFSK Glory 560 19- (DFSK)</t>
  </si>
  <si>
    <t>FDL-STARGAZER</t>
  </si>
  <si>
    <t>TRW-STARGAZERNH</t>
  </si>
  <si>
    <t>Hyundai Stargazer 22- No Wiper (Hyundai)</t>
  </si>
  <si>
    <t>RDR-YARIS05</t>
  </si>
  <si>
    <t>RDL-YARIS05</t>
  </si>
  <si>
    <t>LFW-MAZDA618RS</t>
  </si>
  <si>
    <t>Mazda 6 18-23 GJ/GL 3rd Gen (2 Sensor / [] /=\ )</t>
  </si>
  <si>
    <t>RDL-CIVIC16</t>
  </si>
  <si>
    <t>Honda Civic 16-21 10th Gen Sedan (Honda)</t>
  </si>
  <si>
    <t>RDR-CIVIC16</t>
  </si>
  <si>
    <t>LFW-OMODARS</t>
  </si>
  <si>
    <t>Chery Omoda 5 23- (2 Sensor O /\ )</t>
  </si>
  <si>
    <t>LFW-E71</t>
  </si>
  <si>
    <t>BMW X6 Series 08-14 (Sensor 1) (BMW)</t>
  </si>
  <si>
    <t>FDR-OMODA</t>
  </si>
  <si>
    <t>Chery Omoda 5 23-  (Cherry)</t>
  </si>
  <si>
    <t>Klip/ Laminated</t>
  </si>
  <si>
    <t>RDR-OMODA</t>
  </si>
  <si>
    <t>2 Hole</t>
  </si>
  <si>
    <t>FVR-OMODA</t>
  </si>
  <si>
    <t>FVR</t>
  </si>
  <si>
    <t>PAN-OMODARS</t>
  </si>
  <si>
    <t>PAN</t>
  </si>
  <si>
    <t>LFW-AUDIQ312</t>
  </si>
  <si>
    <t>Audi Q3 12-17 (1 Sensor / O )</t>
  </si>
  <si>
    <t>LFW-G05</t>
  </si>
  <si>
    <t>BMW X5 Series 18-25 G05 (2 Sensor / /\ O ) (BMW)</t>
  </si>
  <si>
    <t>LFW-LANDCRUISER76</t>
  </si>
  <si>
    <t>Toyota Land Cruiser GDJ76</t>
  </si>
  <si>
    <t>LIST-LANDCRUISER76</t>
  </si>
  <si>
    <t>Toyota Land Cruiser GDJ76 - List Windshield</t>
  </si>
  <si>
    <t>LIST</t>
  </si>
  <si>
    <t>RDR-C24</t>
  </si>
  <si>
    <t>Nissan Serena  99-10 C24</t>
  </si>
  <si>
    <t>RDL-C24</t>
  </si>
  <si>
    <t>RDR-SPIN</t>
  </si>
  <si>
    <t>Chevrolet Spin 12- (Chevrolet)</t>
  </si>
  <si>
    <t>Logo GM</t>
  </si>
  <si>
    <t>FDR-KUDA</t>
  </si>
  <si>
    <t>RDL-CAMRY11</t>
  </si>
  <si>
    <t>Toyota Camry 11-18 XV50 5th Gen (Mitsubishi)</t>
  </si>
  <si>
    <t>LFW-TRITON23</t>
  </si>
  <si>
    <t>Mitsubishi Strada Triton 23- (Keramik Kotak Besar)</t>
  </si>
  <si>
    <t>Suzuki APV 03- Pickup/ Van (Suzuki)</t>
  </si>
  <si>
    <t>RDR-BRIO10AGC</t>
  </si>
  <si>
    <t>LFW-E38</t>
  </si>
  <si>
    <t>BMW Series 7 95-01 E38</t>
  </si>
  <si>
    <t>LFW-CROWN08</t>
  </si>
  <si>
    <t>Toyota Crown 08-12</t>
  </si>
  <si>
    <t>FDL-FV100</t>
  </si>
  <si>
    <t>PG</t>
  </si>
  <si>
    <t>Toyota Hi-Ace 19- Premio (Toyota)</t>
  </si>
  <si>
    <t>SWL-ALPHARD02RATA</t>
  </si>
  <si>
    <t>Toyota Alphard 02-08 ANH10 1st Gen (Rata)</t>
  </si>
  <si>
    <t>TRW-SPLASH</t>
  </si>
  <si>
    <t>SWR-INNOVA22</t>
  </si>
  <si>
    <t>SWL-INNOVA22</t>
  </si>
  <si>
    <t>LFW-FORESTER22RS3</t>
  </si>
  <si>
    <t>Subaru Forester 22- (3 Sensor / /\ [] /\ )</t>
  </si>
  <si>
    <t>LFW-CRESTA96</t>
  </si>
  <si>
    <t>Toyota Cresta 96-01</t>
  </si>
  <si>
    <t>LFW-BINGUO</t>
  </si>
  <si>
    <t>Wuling Binguo</t>
  </si>
  <si>
    <t>FVR-YARIS05</t>
  </si>
  <si>
    <t>Toyota Yaris 05-13 XP90 1st Gen (Toyota)</t>
  </si>
  <si>
    <t>RDR-STARGAZER</t>
  </si>
  <si>
    <t>RDL-STARGAZER</t>
  </si>
  <si>
    <t>FDL-SWIFT04</t>
  </si>
  <si>
    <t>RDR-JAZZ13</t>
  </si>
  <si>
    <t>FDR-LIVINA07</t>
  </si>
  <si>
    <t>RDR-CITY19</t>
  </si>
  <si>
    <t>Honda City 19- GN Sedan (Honda)</t>
  </si>
  <si>
    <t>RDL-CITY19</t>
  </si>
  <si>
    <t>LFW-CROSSTREK23</t>
  </si>
  <si>
    <t>Subaru Crosstrek 23- (4 Sensor / /\ /\ [] /\ )</t>
  </si>
  <si>
    <t>Honda Civic 16-21 10th Gen Sedan (1 Sensor / I ) (Honda)</t>
  </si>
  <si>
    <t>Subaru Forester 22- (3 Sensor / /\ [] /\ ) (Subaru)</t>
  </si>
  <si>
    <t>RVR-APV</t>
  </si>
  <si>
    <t>TRW-TIGGO5X</t>
  </si>
  <si>
    <t>Chery Tiggo 5X 24- (Chery)</t>
  </si>
  <si>
    <t>LFW-NETAVII</t>
  </si>
  <si>
    <t>Neta V-II 24-</t>
  </si>
  <si>
    <t>OTH-SEALENT</t>
  </si>
  <si>
    <t>Otoseal Tube</t>
  </si>
  <si>
    <t>OTH-</t>
  </si>
  <si>
    <t>LFW-SPRESSO</t>
  </si>
  <si>
    <t>Suzuki Spresso 20-</t>
  </si>
  <si>
    <t>TRW-SPRESSO</t>
  </si>
  <si>
    <t>Honda Freed 08-16 1st Gen</t>
  </si>
  <si>
    <t>RDR-CITY14</t>
  </si>
  <si>
    <t>RDL-CITY14</t>
  </si>
  <si>
    <t>RDR-SIRION18</t>
  </si>
  <si>
    <t>Daihatsu Sirion 18- 3rd Gen (Daihatsu)</t>
  </si>
  <si>
    <t>LFW-VIOS23</t>
  </si>
  <si>
    <t>Toyota Vios 23- 4th Gen</t>
  </si>
  <si>
    <t>LFD-ESCALADE07</t>
  </si>
  <si>
    <t>Cadillac Escalade 07-14</t>
  </si>
  <si>
    <t>LFD</t>
  </si>
  <si>
    <t>Mers-Benz C-Class  93-00 W202</t>
  </si>
  <si>
    <t>FDL-VOXY17</t>
  </si>
  <si>
    <t>Toyota Voxy 17-21 1st Gen (Toyota)</t>
  </si>
  <si>
    <t>FVL-VOXY17</t>
  </si>
  <si>
    <t>FVL</t>
  </si>
  <si>
    <t>X/Chorme/Logo</t>
  </si>
  <si>
    <t>SWL-CX3</t>
  </si>
  <si>
    <t>TANGGAL</t>
  </si>
  <si>
    <t>INV</t>
  </si>
  <si>
    <t>PRODUK</t>
  </si>
  <si>
    <t>PC</t>
  </si>
  <si>
    <t>Penjualan</t>
  </si>
  <si>
    <t>Konsumen</t>
  </si>
  <si>
    <t>Sales via</t>
  </si>
  <si>
    <t>Pembayaran</t>
  </si>
  <si>
    <t>Input By</t>
  </si>
  <si>
    <t>RIAN</t>
  </si>
  <si>
    <t>Check</t>
  </si>
  <si>
    <t>KODE</t>
  </si>
  <si>
    <t>NAMA</t>
  </si>
  <si>
    <t>Satuan</t>
  </si>
  <si>
    <t>Jumlah</t>
  </si>
  <si>
    <t>Diskon</t>
  </si>
  <si>
    <t>Nett</t>
  </si>
  <si>
    <t>Nama</t>
  </si>
  <si>
    <t>No Telp</t>
  </si>
  <si>
    <t>Email</t>
  </si>
  <si>
    <t>No Pol</t>
  </si>
  <si>
    <t>Alamat</t>
  </si>
  <si>
    <t>TUNAI</t>
  </si>
  <si>
    <t>DP TUNAI</t>
  </si>
  <si>
    <t>DP TF</t>
  </si>
  <si>
    <t>TRANSFER</t>
  </si>
  <si>
    <t>TOKPED</t>
  </si>
  <si>
    <t>POTONG</t>
  </si>
  <si>
    <t>Kembali</t>
  </si>
  <si>
    <t>C250001</t>
  </si>
  <si>
    <t>LFW-ALMAZRSXYG</t>
  </si>
  <si>
    <t>Rudi</t>
  </si>
  <si>
    <t>+62 818-213-689</t>
  </si>
  <si>
    <t>B 869 RS</t>
  </si>
  <si>
    <t>BSD</t>
  </si>
  <si>
    <t>GOOGLE</t>
  </si>
  <si>
    <t>CM</t>
  </si>
  <si>
    <t>TF 388</t>
  </si>
  <si>
    <t>C250002</t>
  </si>
  <si>
    <t>LFW-TIMORMU</t>
  </si>
  <si>
    <t>Icshan</t>
  </si>
  <si>
    <t>+62 812-8854-6009</t>
  </si>
  <si>
    <t>Pondok Aren</t>
  </si>
  <si>
    <t>DP 130K TF</t>
  </si>
  <si>
    <t>OTH-SERTRANSPORT</t>
  </si>
  <si>
    <t>C250003</t>
  </si>
  <si>
    <t>TRW-IGNISXYG</t>
  </si>
  <si>
    <t>Rudy Widyanto</t>
  </si>
  <si>
    <t>+62 816-531-320</t>
  </si>
  <si>
    <t>B 2003 BYB</t>
  </si>
  <si>
    <t>Meruya</t>
  </si>
  <si>
    <t>C250004</t>
  </si>
  <si>
    <t>OTH-RPLXLFW</t>
  </si>
  <si>
    <t>Gloss Patrol</t>
  </si>
  <si>
    <t>+62 813-8800-0093</t>
  </si>
  <si>
    <t>TF 388 100K DENNY KRISANDI</t>
  </si>
  <si>
    <t>OTH-RPLXSIDE</t>
  </si>
  <si>
    <t>TF 388 850K DENNY KRISANDI</t>
  </si>
  <si>
    <t>C250005</t>
  </si>
  <si>
    <t>SWL-PAJERO08XYG</t>
  </si>
  <si>
    <t>Togap Parlindungan Simanjuntak</t>
  </si>
  <si>
    <t>+62 813-8288-8277</t>
  </si>
  <si>
    <t>B 1439 NCY</t>
  </si>
  <si>
    <t>Karang Tengah</t>
  </si>
  <si>
    <t>TF 388 100K TOGAP PARLINDUNGAN /</t>
  </si>
  <si>
    <t>C250006</t>
  </si>
  <si>
    <t>TRW-SIGRA16MU</t>
  </si>
  <si>
    <t>Riki</t>
  </si>
  <si>
    <t>+62 811-239-870</t>
  </si>
  <si>
    <t>Ruko</t>
  </si>
  <si>
    <t>C250007</t>
  </si>
  <si>
    <t>FDR-SIGRA16MU</t>
  </si>
  <si>
    <t>Edison</t>
  </si>
  <si>
    <t>081288843107</t>
  </si>
  <si>
    <t>B 1038 VOF</t>
  </si>
  <si>
    <t>Tigaraksa</t>
  </si>
  <si>
    <t>C250008</t>
  </si>
  <si>
    <t>LFW-AUDIB811XYG</t>
  </si>
  <si>
    <t>Hamzah Purnama</t>
  </si>
  <si>
    <t>+62 815-6500-874</t>
  </si>
  <si>
    <t>H 1904 T2</t>
  </si>
  <si>
    <t>Jakarta Selatan</t>
  </si>
  <si>
    <t>lia</t>
  </si>
  <si>
    <t>C250009</t>
  </si>
  <si>
    <t>TRW-RUSH17HXYG</t>
  </si>
  <si>
    <t>Pak Hartono.</t>
  </si>
  <si>
    <t>+62 817-0705-500</t>
  </si>
  <si>
    <t>Tangerang</t>
  </si>
  <si>
    <t>B 1148 VOQ</t>
  </si>
  <si>
    <t>C250010</t>
  </si>
  <si>
    <t>LFW-VIOS02MU</t>
  </si>
  <si>
    <t>Rika</t>
  </si>
  <si>
    <t>+62 855-8685-624</t>
  </si>
  <si>
    <t>rika26aditya@gmail.com</t>
  </si>
  <si>
    <t>A 1054 VN</t>
  </si>
  <si>
    <t>Batuceper</t>
  </si>
  <si>
    <t>C250011</t>
  </si>
  <si>
    <t>LFW-CRV95XYG</t>
  </si>
  <si>
    <t>Among</t>
  </si>
  <si>
    <t>+62 817-6488-584</t>
  </si>
  <si>
    <t>aqlylsno@gmail.com</t>
  </si>
  <si>
    <t>B 8136 T</t>
  </si>
  <si>
    <t>Kembangan</t>
  </si>
  <si>
    <t>C250012</t>
  </si>
  <si>
    <t>VOID</t>
  </si>
  <si>
    <t>C250013</t>
  </si>
  <si>
    <t>TRW-AVANZA21HASH</t>
  </si>
  <si>
    <t>Nurjanah Efendy</t>
  </si>
  <si>
    <t>+62 813-4199-1001</t>
  </si>
  <si>
    <t>OTH-PETIKAYU</t>
  </si>
  <si>
    <t>C250014</t>
  </si>
  <si>
    <t>LFW-CROSSXYG</t>
  </si>
  <si>
    <t>P. Brian Wahyu</t>
  </si>
  <si>
    <t>+62 818-780-808</t>
  </si>
  <si>
    <t>C250015</t>
  </si>
  <si>
    <t>LFW-HIACEXYG</t>
  </si>
  <si>
    <t>Nirwana reborn</t>
  </si>
  <si>
    <t>+6287877218668</t>
  </si>
  <si>
    <t>C250016</t>
  </si>
  <si>
    <t>Fauzan</t>
  </si>
  <si>
    <t>+62 812-9940-9142</t>
  </si>
  <si>
    <t>C250017</t>
  </si>
  <si>
    <t>TRW-BRIONOLBGXYG</t>
  </si>
  <si>
    <t>Muhammad Haidar</t>
  </si>
  <si>
    <t>6282143097683</t>
  </si>
  <si>
    <t>C250018</t>
  </si>
  <si>
    <t>LFW-BIANTEXYG</t>
  </si>
  <si>
    <t>Fadhan Osti</t>
  </si>
  <si>
    <t>08132809993</t>
  </si>
  <si>
    <t>fadhan.osti@gmail.com</t>
  </si>
  <si>
    <t>C250019</t>
  </si>
  <si>
    <t>LFW-COROLLA91XYG</t>
  </si>
  <si>
    <t>Tokped BKS</t>
  </si>
  <si>
    <t>C250020</t>
  </si>
  <si>
    <t>TRW-BALENO15XYG</t>
  </si>
  <si>
    <t>Chuko Tanah Abang</t>
  </si>
  <si>
    <t>+62 813-4335-0809</t>
  </si>
  <si>
    <t>Jakarta pusat</t>
  </si>
  <si>
    <t>C250021</t>
  </si>
  <si>
    <t>LFW-FORTUNER15MU</t>
  </si>
  <si>
    <t>Johanes</t>
  </si>
  <si>
    <t>+62 813-5190-4272</t>
  </si>
  <si>
    <t>C250022</t>
  </si>
  <si>
    <t>LFW-GRANMAXMU</t>
  </si>
  <si>
    <t>Dedy Candra</t>
  </si>
  <si>
    <t>+6281385045210</t>
  </si>
  <si>
    <t>Kamal</t>
  </si>
  <si>
    <t>C250023</t>
  </si>
  <si>
    <t xml:space="preserve">P.Syahril </t>
  </si>
  <si>
    <t>+6282177528028</t>
  </si>
  <si>
    <t>C250024</t>
  </si>
  <si>
    <t>LFW-DYNAMU</t>
  </si>
  <si>
    <t>PT. Prima Makmur Indonesia</t>
  </si>
  <si>
    <t xml:space="preserve"> Cipondoh - Pergudangan Era Prima</t>
  </si>
  <si>
    <t>C250025</t>
  </si>
  <si>
    <t>LFW-OUTLANDERXYG</t>
  </si>
  <si>
    <t>+62 821-3089-8903</t>
  </si>
  <si>
    <t>Jalan Kopi-  Jakarta Barat</t>
  </si>
  <si>
    <t>C250026</t>
  </si>
  <si>
    <t>OTH-RPLXTRW</t>
  </si>
  <si>
    <t>C250027</t>
  </si>
  <si>
    <t>P. Dimas</t>
  </si>
  <si>
    <t>+62 812-3320-696</t>
  </si>
  <si>
    <t>B 1018 TMN</t>
  </si>
  <si>
    <t>Jaksel</t>
  </si>
  <si>
    <t>via</t>
  </si>
  <si>
    <t>C250028</t>
  </si>
  <si>
    <t>LFW-TARUNAMU</t>
  </si>
  <si>
    <t xml:space="preserve">P. Ananta
</t>
  </si>
  <si>
    <t>+62 822-9728-3361</t>
  </si>
  <si>
    <t>C250029</t>
  </si>
  <si>
    <t>TRW-AVANZA11HAGC</t>
  </si>
  <si>
    <t>Damana Pradito</t>
  </si>
  <si>
    <t>+62 818-0555-7547</t>
  </si>
  <si>
    <t>C250030</t>
  </si>
  <si>
    <t>LFW-CRV12MU</t>
  </si>
  <si>
    <t>Ali</t>
  </si>
  <si>
    <t>+62 853-7270-1893</t>
  </si>
  <si>
    <t>BH 1470 MZ</t>
  </si>
  <si>
    <t>PIK</t>
  </si>
  <si>
    <t>C250031</t>
  </si>
  <si>
    <t>LFW-ODYSSEY13XYG</t>
  </si>
  <si>
    <t>Ralfie Sekenauto</t>
  </si>
  <si>
    <t>+62 812‑8898‑6668</t>
  </si>
  <si>
    <t>B 1525 TYN</t>
  </si>
  <si>
    <t>C250032</t>
  </si>
  <si>
    <t>Frans</t>
  </si>
  <si>
    <t>+6282122255591</t>
  </si>
  <si>
    <t>LIA</t>
  </si>
  <si>
    <t>C250033</t>
  </si>
  <si>
    <t>TRW-ALPHARD08BLACKXYG</t>
  </si>
  <si>
    <t xml:space="preserve">Angeline </t>
  </si>
  <si>
    <t>+62 813-1622-0729</t>
  </si>
  <si>
    <t>C250034</t>
  </si>
  <si>
    <t>P. Sarno nugroho</t>
  </si>
  <si>
    <t>+62 857-1442-8194</t>
  </si>
  <si>
    <t>Jakarta barat</t>
  </si>
  <si>
    <t>C250035</t>
  </si>
  <si>
    <t>LFW-ERTIGA12MU</t>
  </si>
  <si>
    <t>P. Waliyo</t>
  </si>
  <si>
    <t>+6285934228131</t>
  </si>
  <si>
    <t>C250036</t>
  </si>
  <si>
    <t>LFW-W213XYG</t>
  </si>
  <si>
    <t xml:space="preserve">P. Steven </t>
  </si>
  <si>
    <t>+62 813-8433-4614</t>
  </si>
  <si>
    <t>C250037</t>
  </si>
  <si>
    <t>TRW-XPANDERXYG</t>
  </si>
  <si>
    <t>Fidel</t>
  </si>
  <si>
    <t>+6281283385638</t>
  </si>
  <si>
    <t>Ciputat</t>
  </si>
  <si>
    <t>Leni</t>
  </si>
  <si>
    <t>SWR-XPANDERCHASH</t>
  </si>
  <si>
    <t>C250038</t>
  </si>
  <si>
    <t>TRW-CRV17XYG</t>
  </si>
  <si>
    <t>Irma</t>
  </si>
  <si>
    <t>+62 817-823-992</t>
  </si>
  <si>
    <t>Serpong</t>
  </si>
  <si>
    <t>C250039</t>
  </si>
  <si>
    <t>LFW-INNOVA04MU</t>
  </si>
  <si>
    <t>P. Carlos Gultom</t>
  </si>
  <si>
    <t>+62 856-9722-2748</t>
  </si>
  <si>
    <t>C250040</t>
  </si>
  <si>
    <t>LFW-MARCHMU</t>
  </si>
  <si>
    <t>Kak Qais</t>
  </si>
  <si>
    <t>+62 813-8836-8774</t>
  </si>
  <si>
    <t>C250041</t>
  </si>
  <si>
    <t>LFW-AVANZA16MU</t>
  </si>
  <si>
    <t>P. Adi</t>
  </si>
  <si>
    <t>+62 878-8882-1775</t>
  </si>
  <si>
    <t>C250042</t>
  </si>
  <si>
    <t>TRW-AVANZA21ASH</t>
  </si>
  <si>
    <t>P  Denny Christian Susanto</t>
  </si>
  <si>
    <t>+62 822-5555-8262</t>
  </si>
  <si>
    <t>B 1595 HOA</t>
  </si>
  <si>
    <t>C250043</t>
  </si>
  <si>
    <t>+62 813-1457-8229</t>
  </si>
  <si>
    <t>OTH-SERLMB</t>
  </si>
  <si>
    <t>C250044</t>
  </si>
  <si>
    <t>RDL-FORTUNER15AGC</t>
  </si>
  <si>
    <t>Marsela Agustia</t>
  </si>
  <si>
    <t>+62 852-1628-2248</t>
  </si>
  <si>
    <t>C250045</t>
  </si>
  <si>
    <t>TRW-RUSH17HMU</t>
  </si>
  <si>
    <t>Galih Sugiharto</t>
  </si>
  <si>
    <t>+62823-2215-0999</t>
  </si>
  <si>
    <t>B 2810 TIC</t>
  </si>
  <si>
    <t>C250046</t>
  </si>
  <si>
    <t>LFW-CARRY19MU</t>
  </si>
  <si>
    <t>P. Syarip</t>
  </si>
  <si>
    <t>+62 858-8230-7698</t>
  </si>
  <si>
    <t>cici</t>
  </si>
  <si>
    <t>C250047</t>
  </si>
  <si>
    <t>LFW-QQ03MU</t>
  </si>
  <si>
    <t>Budi</t>
  </si>
  <si>
    <t>+62 812-8222-2514</t>
  </si>
  <si>
    <t>B 7050 KI</t>
  </si>
  <si>
    <t>Slipi</t>
  </si>
  <si>
    <t>C250048</t>
  </si>
  <si>
    <t>Dudi D</t>
  </si>
  <si>
    <t>0816968161</t>
  </si>
  <si>
    <t>N 1266 GN</t>
  </si>
  <si>
    <t>Bintaro</t>
  </si>
  <si>
    <t>C250049</t>
  </si>
  <si>
    <t>C250050</t>
  </si>
  <si>
    <t>LFW-SIRION18XYG</t>
  </si>
  <si>
    <t>Avril</t>
  </si>
  <si>
    <t>081315058684</t>
  </si>
  <si>
    <t>KT 1864 YB</t>
  </si>
  <si>
    <t>C250051</t>
  </si>
  <si>
    <t>LFW-CRV02XYG</t>
  </si>
  <si>
    <t>Edward</t>
  </si>
  <si>
    <t>081212226862</t>
  </si>
  <si>
    <t>KB 1376 QN</t>
  </si>
  <si>
    <t>Alam Sutra</t>
  </si>
  <si>
    <t>C250052</t>
  </si>
  <si>
    <t>Ervan Wijaya</t>
  </si>
  <si>
    <t>+62 822-6038-3843</t>
  </si>
  <si>
    <t>Duri</t>
  </si>
  <si>
    <t>C250053</t>
  </si>
  <si>
    <t xml:space="preserve"> Bp RW Adang </t>
  </si>
  <si>
    <t>+62 858-8127-4993</t>
  </si>
  <si>
    <t>Depok</t>
  </si>
  <si>
    <t>C250054</t>
  </si>
  <si>
    <t>TRW-MOBILIOXYG</t>
  </si>
  <si>
    <t>Een Yulia</t>
  </si>
  <si>
    <t>+62 818‑698‑181‬</t>
  </si>
  <si>
    <t>D250001</t>
  </si>
  <si>
    <t>LFW-FREEDAGC</t>
  </si>
  <si>
    <t>Deni Purbaya</t>
  </si>
  <si>
    <t>+62 852-6533-2039</t>
  </si>
  <si>
    <t>D250002</t>
  </si>
  <si>
    <t>TRW-T30XYG</t>
  </si>
  <si>
    <t>P. Aby</t>
  </si>
  <si>
    <t>+62 895-4117-48269</t>
  </si>
  <si>
    <t>D250003</t>
  </si>
  <si>
    <t>TRW-FREEDXYG</t>
  </si>
  <si>
    <t>Kak Desy</t>
  </si>
  <si>
    <t>+62 818-953-621</t>
  </si>
  <si>
    <t>D250004</t>
  </si>
  <si>
    <t>RDR-INNOVA15ASH</t>
  </si>
  <si>
    <t>P. Anton</t>
  </si>
  <si>
    <t>+62 812-9310-506</t>
  </si>
  <si>
    <t>D250005</t>
  </si>
  <si>
    <t>LFW-FE700MU</t>
  </si>
  <si>
    <t>P. Han</t>
  </si>
  <si>
    <t>+62 813-8696-5008</t>
  </si>
  <si>
    <t>B 9403 BDC</t>
  </si>
  <si>
    <t>Jakarta Barat</t>
  </si>
  <si>
    <t>D250006</t>
  </si>
  <si>
    <t>SRR-HIACEFXYG</t>
  </si>
  <si>
    <t>Robani</t>
  </si>
  <si>
    <t>+62 813‑8304‑5660‬‬</t>
  </si>
  <si>
    <t>D250007</t>
  </si>
  <si>
    <t>P. Yanto</t>
  </si>
  <si>
    <t>+62 812-9757-6252</t>
  </si>
  <si>
    <t>B 2526 UFU</t>
  </si>
  <si>
    <t>D250008</t>
  </si>
  <si>
    <t>LFW-CRV17XYG</t>
  </si>
  <si>
    <t>P. Dekri</t>
  </si>
  <si>
    <t xml:space="preserve">+62 831‑4596‑1281‬‬
</t>
  </si>
  <si>
    <t>BE 1047 DY</t>
  </si>
  <si>
    <t>D250009</t>
  </si>
  <si>
    <t>OTH-CKC</t>
  </si>
  <si>
    <t>P. Daniel</t>
  </si>
  <si>
    <t>+62 811-9714-853</t>
  </si>
  <si>
    <t>D250010</t>
  </si>
  <si>
    <t>LFW-CITY19XYG</t>
  </si>
  <si>
    <t>P. Rama Hidayat</t>
  </si>
  <si>
    <t xml:space="preserve">+62 819-0773-5888‬
</t>
  </si>
  <si>
    <t>BE 1141 TE</t>
  </si>
  <si>
    <t>D250011</t>
  </si>
  <si>
    <t>RDR-INNOVA04ASH</t>
  </si>
  <si>
    <t>Fazri</t>
  </si>
  <si>
    <t>+62 813-8147-0539</t>
  </si>
  <si>
    <t>D250012</t>
  </si>
  <si>
    <t>P. Jungsan</t>
  </si>
  <si>
    <t>+62 811-996-989</t>
  </si>
  <si>
    <t>B 1236 NZX</t>
  </si>
  <si>
    <t>D250013</t>
  </si>
  <si>
    <t>Riyan Wibowo</t>
  </si>
  <si>
    <t>+62 813-1107-1679</t>
  </si>
  <si>
    <t>Ko Iyan</t>
  </si>
  <si>
    <t>D250014</t>
  </si>
  <si>
    <t>LFW-TRAGAASH</t>
  </si>
  <si>
    <t>P. Ferry</t>
  </si>
  <si>
    <t>081294077966</t>
  </si>
  <si>
    <t>D250015</t>
  </si>
  <si>
    <t>TRW-INNOVA15XYG</t>
  </si>
  <si>
    <t>P. Andi Susanto</t>
  </si>
  <si>
    <t>+62 822-1474-3462‬</t>
  </si>
  <si>
    <t>B 1963 UMG</t>
  </si>
  <si>
    <t>D250016</t>
  </si>
  <si>
    <t>TRW-ERTIGA12XYG</t>
  </si>
  <si>
    <t xml:space="preserve">P.Banuarli Sitanggang </t>
  </si>
  <si>
    <t>B 1595 COG</t>
  </si>
  <si>
    <t>D250017</t>
  </si>
  <si>
    <t>LFW-F15XYG</t>
  </si>
  <si>
    <t>P. Gunawan</t>
  </si>
  <si>
    <t>+62 818-0738-8401</t>
  </si>
  <si>
    <t>B 1359 UCY</t>
  </si>
  <si>
    <t>D250018</t>
  </si>
  <si>
    <t>TRW-FE700ASH</t>
  </si>
  <si>
    <t>D250019</t>
  </si>
  <si>
    <t>D250020</t>
  </si>
  <si>
    <t>FVL-ALPHARD08XYG</t>
  </si>
  <si>
    <t xml:space="preserve"> Kak Yohana</t>
  </si>
  <si>
    <t>+62 878-8607-3508</t>
  </si>
  <si>
    <t>D250021</t>
  </si>
  <si>
    <t>FDL-TAFTGTASH</t>
  </si>
  <si>
    <t xml:space="preserve">P. Reza Siregar </t>
  </si>
  <si>
    <t>+62 812-8079-224</t>
  </si>
  <si>
    <t>B 1619 PCY</t>
  </si>
  <si>
    <t>FDR-TAFTGTASH</t>
  </si>
  <si>
    <t>D250022</t>
  </si>
  <si>
    <t>LFW-KAPSUL02XYG</t>
  </si>
  <si>
    <t>Pak Anang</t>
  </si>
  <si>
    <t>+62 812-9051-991</t>
  </si>
  <si>
    <t>AG 1788 CZ</t>
  </si>
  <si>
    <t>D250023</t>
  </si>
  <si>
    <t>LFW-W205RS3FY</t>
  </si>
  <si>
    <t>P. Haryono</t>
  </si>
  <si>
    <t>+62 882-9009-3602</t>
  </si>
  <si>
    <t>D250024</t>
  </si>
  <si>
    <t>LFW-CAMRY06RSXYG</t>
  </si>
  <si>
    <t>Pak Bilal</t>
  </si>
  <si>
    <t>+62 857-1075-7462</t>
  </si>
  <si>
    <t>D250025</t>
  </si>
  <si>
    <t>LFW-PAJERO16MU</t>
  </si>
  <si>
    <t>Kak Rizka</t>
  </si>
  <si>
    <t>+62 822-9996-0533</t>
  </si>
  <si>
    <t>D250026</t>
  </si>
  <si>
    <t>FVR-JAZZ01ASH</t>
  </si>
  <si>
    <t>P. Andika</t>
  </si>
  <si>
    <t>+62 853-2511-4882</t>
  </si>
  <si>
    <t>D250027</t>
  </si>
  <si>
    <t>LFW-CAMRY02XYG</t>
  </si>
  <si>
    <t>P. Sandi</t>
  </si>
  <si>
    <t>+62 812-8515-7600</t>
  </si>
  <si>
    <t>B 2624 SMH</t>
  </si>
  <si>
    <t>D250028</t>
  </si>
  <si>
    <t>LFW-CARRY19XYG</t>
  </si>
  <si>
    <t>P. Kamto</t>
  </si>
  <si>
    <t>+62 812-8309-2927</t>
  </si>
  <si>
    <t>D250029</t>
  </si>
  <si>
    <t>TRW-INNOVA04HXYG</t>
  </si>
  <si>
    <t>Kak Yogi</t>
  </si>
  <si>
    <t>+62 812-8466-9695</t>
  </si>
  <si>
    <t>D250030</t>
  </si>
  <si>
    <t>FDL-FJ200NSG</t>
  </si>
  <si>
    <t>P. Feri</t>
  </si>
  <si>
    <t>+62 812-1857-1140</t>
  </si>
  <si>
    <t>D250031</t>
  </si>
  <si>
    <t>TRW-FORTUNER05BLACKXYG</t>
  </si>
  <si>
    <t>P. Nicho</t>
  </si>
  <si>
    <t>+62 895-1459-9744</t>
  </si>
  <si>
    <t>D250032</t>
  </si>
  <si>
    <t>LFW-XPANDERMU</t>
  </si>
  <si>
    <t>Kak Lina</t>
  </si>
  <si>
    <t>+62 812-9575-0098</t>
  </si>
  <si>
    <t>B 1597 HKZ</t>
  </si>
  <si>
    <t>D250033</t>
  </si>
  <si>
    <t>LFW-SPINXYG</t>
  </si>
  <si>
    <t>Pak Arif</t>
  </si>
  <si>
    <t>+62 812-8156-3359</t>
  </si>
  <si>
    <t>B 1054 WMV</t>
  </si>
  <si>
    <t>D250034</t>
  </si>
  <si>
    <t>LFW-CIVIC05XYG</t>
  </si>
  <si>
    <t xml:space="preserve">Kak Rudi </t>
  </si>
  <si>
    <t>+62 812-9672-8808</t>
  </si>
  <si>
    <t>B 888 RNI</t>
  </si>
  <si>
    <t>D250035</t>
  </si>
  <si>
    <t>DIMAS PAVEL</t>
  </si>
  <si>
    <t>D250036</t>
  </si>
  <si>
    <t>D250037</t>
  </si>
  <si>
    <t>FDL-BRIO10AGC</t>
  </si>
  <si>
    <t>Santi</t>
  </si>
  <si>
    <t>087888079555</t>
  </si>
  <si>
    <t>B 1618</t>
  </si>
  <si>
    <t>D250038</t>
  </si>
  <si>
    <t>LFW-HRV22PIL</t>
  </si>
  <si>
    <t>P. Tri Wahyu</t>
  </si>
  <si>
    <t>081315112717</t>
  </si>
  <si>
    <t>B 2640 KIS</t>
  </si>
  <si>
    <t>E250001</t>
  </si>
  <si>
    <t>P. Nulfi</t>
  </si>
  <si>
    <t>+62 895-2319-0407</t>
  </si>
  <si>
    <t>E250002</t>
  </si>
  <si>
    <t>P. Yoga</t>
  </si>
  <si>
    <t>+62 813-8144-4992</t>
  </si>
  <si>
    <t>E250003</t>
  </si>
  <si>
    <t>LFW-MAZDA209XYG</t>
  </si>
  <si>
    <t xml:space="preserve"> P. Tembri Surjanto</t>
  </si>
  <si>
    <t xml:space="preserve">+62 812-8977-1688		</t>
  </si>
  <si>
    <t>B 1325 CKI</t>
  </si>
  <si>
    <t>E250004</t>
  </si>
  <si>
    <t>LFW-KAPSUL97XYG</t>
  </si>
  <si>
    <t>P. Dedi Hariprasetio</t>
  </si>
  <si>
    <t>+62 822‑8417‑3715‬‬</t>
  </si>
  <si>
    <t>E250005</t>
  </si>
  <si>
    <t>FDL-FORTUNER05ASH</t>
  </si>
  <si>
    <t>P. Tedi</t>
  </si>
  <si>
    <t>+62 812-8173-6085</t>
  </si>
  <si>
    <t>E250006</t>
  </si>
  <si>
    <t>+62 878‑4039‑3388</t>
  </si>
  <si>
    <t>RUKO</t>
  </si>
  <si>
    <t>CICI</t>
  </si>
  <si>
    <t>E250007</t>
  </si>
  <si>
    <t>LFW-AVANZA11MU</t>
  </si>
  <si>
    <t>Maulana</t>
  </si>
  <si>
    <t>+62 812-8756-6709</t>
  </si>
  <si>
    <t>E250008</t>
  </si>
  <si>
    <t>LFW-TRITON14MU</t>
  </si>
  <si>
    <t>P. Ukar Hastadi</t>
  </si>
  <si>
    <t xml:space="preserve">+62 811-497-755		</t>
  </si>
  <si>
    <t xml:space="preserve">+62 811-497-755                </t>
  </si>
  <si>
    <t>E250009</t>
  </si>
  <si>
    <t>P.Agus Sirait</t>
  </si>
  <si>
    <t xml:space="preserve">+62 856-7909-600		</t>
  </si>
  <si>
    <t>E250010</t>
  </si>
  <si>
    <t>TRW-INNOVA04XYG</t>
  </si>
  <si>
    <t>P. Stevans</t>
  </si>
  <si>
    <t xml:space="preserve">"+62 817-610-915‬
"		</t>
  </si>
  <si>
    <t>D 1605 ABB</t>
  </si>
  <si>
    <t>E250011</t>
  </si>
  <si>
    <t>P. David</t>
  </si>
  <si>
    <t xml:space="preserve">+62 822-8725-8696		</t>
  </si>
  <si>
    <t>E250012</t>
  </si>
  <si>
    <t>P. Suwanto</t>
  </si>
  <si>
    <t xml:space="preserve">+62 895-6108-45236		</t>
  </si>
  <si>
    <t>B 1825 CYO</t>
  </si>
  <si>
    <t>E250013</t>
  </si>
  <si>
    <t>P. Lindon</t>
  </si>
  <si>
    <t xml:space="preserve">+62 813-8539-3017‬		</t>
  </si>
  <si>
    <t>E250014</t>
  </si>
  <si>
    <t>LFW-F30XYG</t>
  </si>
  <si>
    <t>P.  Dedi Hartono</t>
  </si>
  <si>
    <t xml:space="preserve">+62 852-1720-4749		</t>
  </si>
  <si>
    <t>B 2997 STH</t>
  </si>
  <si>
    <t>E250015</t>
  </si>
  <si>
    <t>LFW-RUSH17MU</t>
  </si>
  <si>
    <t>P. Rifqi Muamar</t>
  </si>
  <si>
    <t xml:space="preserve">+62 812-1109-0489		</t>
  </si>
  <si>
    <t>A 1611 WF</t>
  </si>
  <si>
    <t>E250016</t>
  </si>
  <si>
    <t>LFW-FJ200RSXYG</t>
  </si>
  <si>
    <t>Kak Nino</t>
  </si>
  <si>
    <t xml:space="preserve">+62 813-8767-9479		</t>
  </si>
  <si>
    <t>E250017</t>
  </si>
  <si>
    <t>LFW-AVANZA21MU</t>
  </si>
  <si>
    <t>Zulchaidir</t>
  </si>
  <si>
    <t>+62 812-1007-6727</t>
  </si>
  <si>
    <t>E250018</t>
  </si>
  <si>
    <t>LFW-KAPSUL97MU</t>
  </si>
  <si>
    <t xml:space="preserve">+62 822‑8417‑3715‬‬		</t>
  </si>
  <si>
    <t>E250019</t>
  </si>
  <si>
    <t>LFW-ALPHARD18XYG</t>
  </si>
  <si>
    <t>P. Sumaryono</t>
  </si>
  <si>
    <t xml:space="preserve">+62 812‑8479‑712‬‬              </t>
  </si>
  <si>
    <t>B 2465 SED</t>
  </si>
  <si>
    <t>E250020</t>
  </si>
  <si>
    <t>LFW-SIGRA16MU</t>
  </si>
  <si>
    <t>Burger Bangor</t>
  </si>
  <si>
    <t>+62 822-1174-2200‬</t>
  </si>
  <si>
    <t>B 1779 WZX</t>
  </si>
  <si>
    <t>E250021</t>
  </si>
  <si>
    <t>P. Syamsahril</t>
  </si>
  <si>
    <t>+62 822-1151-7177‬</t>
  </si>
  <si>
    <t xml:space="preserve">"+62 822-1151-7177‬
"		</t>
  </si>
  <si>
    <t>E250022</t>
  </si>
  <si>
    <t>RDL-CRV07ASH</t>
  </si>
  <si>
    <t>P. Ipong</t>
  </si>
  <si>
    <t>+62 856-4231-2256‬</t>
  </si>
  <si>
    <t>E250023</t>
  </si>
  <si>
    <t>HS MOBILINDO</t>
  </si>
  <si>
    <t>+62 812-1918-2076</t>
  </si>
  <si>
    <t>E250024</t>
  </si>
  <si>
    <t>P. Jiang</t>
  </si>
  <si>
    <t>+62 812-8421-9968</t>
  </si>
  <si>
    <t>E250025</t>
  </si>
  <si>
    <t>LFW-JAZZ07MU</t>
  </si>
  <si>
    <t>P. Reynaldi</t>
  </si>
  <si>
    <t xml:space="preserve">+62 813-1598-3991		</t>
  </si>
  <si>
    <t>E250026</t>
  </si>
  <si>
    <t>FDL-PAJERO16ASH</t>
  </si>
  <si>
    <t>Sekawan Jaya Motor</t>
  </si>
  <si>
    <t>Lalamove</t>
  </si>
  <si>
    <t>E250027</t>
  </si>
  <si>
    <t>FDL-ALMAZAGC</t>
  </si>
  <si>
    <t>Michelle</t>
  </si>
  <si>
    <t>081111803195</t>
  </si>
  <si>
    <t>B 2774 PKO</t>
  </si>
  <si>
    <t>E250028</t>
  </si>
  <si>
    <t>TRW-MAZDA8XYG</t>
  </si>
  <si>
    <t>P. Richard</t>
  </si>
  <si>
    <t xml:space="preserve">"+62 812-1862-5935‬
"		</t>
  </si>
  <si>
    <t>B 2969 IB</t>
  </si>
  <si>
    <t>E250029</t>
  </si>
  <si>
    <t>FDR-T32XYG</t>
  </si>
  <si>
    <t>P. Indra</t>
  </si>
  <si>
    <t xml:space="preserve">+62 856-9375-7547		</t>
  </si>
  <si>
    <t>E250030</t>
  </si>
  <si>
    <t>RDL-SIGRA16ASH</t>
  </si>
  <si>
    <t>P. Bayu Aji</t>
  </si>
  <si>
    <t xml:space="preserve">"+62 856-9150-8202‬ 
"		</t>
  </si>
  <si>
    <t>E250031</t>
  </si>
  <si>
    <t>P. Arif</t>
  </si>
  <si>
    <t xml:space="preserve">+62 813-1523-2013		</t>
  </si>
  <si>
    <t>AE 1743 SS</t>
  </si>
  <si>
    <t>E250032</t>
  </si>
  <si>
    <t xml:space="preserve">+62 819-0540-0095		</t>
  </si>
  <si>
    <t>E250033</t>
  </si>
  <si>
    <t>LFW-ECOSPORTXYG</t>
  </si>
  <si>
    <t>P. Try Saragih</t>
  </si>
  <si>
    <t>+62 821-3812-2658</t>
  </si>
  <si>
    <t>F 1241 NF</t>
  </si>
  <si>
    <t>E250034</t>
  </si>
  <si>
    <t>LFW-LIVINA07MU</t>
  </si>
  <si>
    <t>Kak Dito</t>
  </si>
  <si>
    <t>+62 817-0085-775</t>
  </si>
  <si>
    <t>E250035</t>
  </si>
  <si>
    <t>SWL-SIENTAASH</t>
  </si>
  <si>
    <t>Agriven</t>
  </si>
  <si>
    <t>+6285894079098</t>
  </si>
  <si>
    <t>leni</t>
  </si>
  <si>
    <t>E250036</t>
  </si>
  <si>
    <t>P. Ayung</t>
  </si>
  <si>
    <t xml:space="preserve">+62 812-8773-5251		</t>
  </si>
  <si>
    <t>B 9296 CAD</t>
  </si>
  <si>
    <t>E250037</t>
  </si>
  <si>
    <t>Bayu Aji</t>
  </si>
  <si>
    <t xml:space="preserve">+62 856-9150-8202 </t>
  </si>
  <si>
    <t>E250038</t>
  </si>
  <si>
    <t>LFW-SWIFT11MU</t>
  </si>
  <si>
    <t>BJM Autocars / Harry</t>
  </si>
  <si>
    <t>+62 818-824-744</t>
  </si>
  <si>
    <t>B 2686 FMN</t>
  </si>
  <si>
    <t>Kebayoran Baru</t>
  </si>
  <si>
    <t>E250039</t>
  </si>
  <si>
    <t>LFW-T30MU</t>
  </si>
  <si>
    <t xml:space="preserve"> Kak Ricky Romansyah</t>
  </si>
  <si>
    <t xml:space="preserve"> +62 813-1212-0689</t>
  </si>
  <si>
    <t>B 2215 TZ</t>
  </si>
  <si>
    <t>E250040</t>
  </si>
  <si>
    <t>FDL-AVANZA21ASH</t>
  </si>
  <si>
    <t>Hanafi</t>
  </si>
  <si>
    <t>+62 812-1806-5164</t>
  </si>
  <si>
    <t>E250041</t>
  </si>
  <si>
    <t>LFW-ALPHARD18RSXYG</t>
  </si>
  <si>
    <t>Kak Fikar</t>
  </si>
  <si>
    <t xml:space="preserve">‪+62 813-9393-8805‬      </t>
  </si>
  <si>
    <t>B 414 RIN</t>
  </si>
  <si>
    <t>E250042</t>
  </si>
  <si>
    <t>TRW-INNOVA15AGC</t>
  </si>
  <si>
    <t>Ibu Yulizar</t>
  </si>
  <si>
    <t xml:space="preserve">081222333130 /‪+62 818-0709-5311‬
</t>
  </si>
  <si>
    <t>Jakarta</t>
  </si>
  <si>
    <t>E250043</t>
  </si>
  <si>
    <t>LFW-NAV07XYG</t>
  </si>
  <si>
    <t>Pak. Indra</t>
  </si>
  <si>
    <t>+6281519965958</t>
  </si>
  <si>
    <t>B 2565 STQ</t>
  </si>
  <si>
    <t>E250044</t>
  </si>
  <si>
    <t>LFW-FIESTAMU</t>
  </si>
  <si>
    <t>E250045</t>
  </si>
  <si>
    <t>Ken</t>
  </si>
  <si>
    <t>+6283871931620</t>
  </si>
  <si>
    <t>OTH-LISTINVTOY</t>
  </si>
  <si>
    <t>E240046</t>
  </si>
  <si>
    <t>LFW-BRIOAGC</t>
  </si>
  <si>
    <t>P. Wandi</t>
  </si>
  <si>
    <t>+62 813-1800-9380‬</t>
  </si>
  <si>
    <t>E240047</t>
  </si>
  <si>
    <t>TRW-AVANZA11MU</t>
  </si>
  <si>
    <t>P. Trino</t>
  </si>
  <si>
    <t xml:space="preserve">+62 859-1069-76852		</t>
  </si>
  <si>
    <t>B 1808 VMM</t>
  </si>
  <si>
    <t>E240048</t>
  </si>
  <si>
    <t>P. Hapid Apandi</t>
  </si>
  <si>
    <t xml:space="preserve">+62 858-8260-7868		</t>
  </si>
  <si>
    <t>B 2842 BRM</t>
  </si>
  <si>
    <t>E240049</t>
  </si>
  <si>
    <t>P. Lie Handre</t>
  </si>
  <si>
    <t xml:space="preserve">+62 819-1007-3283		</t>
  </si>
  <si>
    <t>B 1889 Z</t>
  </si>
  <si>
    <t>E240050</t>
  </si>
  <si>
    <t>P. Doharto Sihombing</t>
  </si>
  <si>
    <t>+62 813-1555-7919</t>
  </si>
  <si>
    <t>A 1495 ZW</t>
  </si>
  <si>
    <t>E240051</t>
  </si>
  <si>
    <t>Kak Aprian</t>
  </si>
  <si>
    <t>+62 896-8088-6447</t>
  </si>
  <si>
    <t>E240052</t>
  </si>
  <si>
    <t>LFW-APVXYG</t>
  </si>
  <si>
    <t xml:space="preserve"> Kak Steven</t>
  </si>
  <si>
    <t xml:space="preserve"> +62 813-1121-8280</t>
  </si>
  <si>
    <t>E250053</t>
  </si>
  <si>
    <t>TRW-OUTLANDERXYG</t>
  </si>
  <si>
    <t>Kak. Fiqih Nur Rohman</t>
  </si>
  <si>
    <t>+6281384557725</t>
  </si>
  <si>
    <t>2024 - 55</t>
  </si>
  <si>
    <t>E250054</t>
  </si>
  <si>
    <t>Pak. Roffi</t>
  </si>
  <si>
    <t>+6282258605030</t>
  </si>
  <si>
    <t>BE 1309 GN</t>
  </si>
  <si>
    <t>E250055</t>
  </si>
  <si>
    <t>LFW-W222XYG</t>
  </si>
  <si>
    <t>P. Ivan Fadilla</t>
  </si>
  <si>
    <t>+62 816-820-145</t>
  </si>
  <si>
    <t>Bogor</t>
  </si>
  <si>
    <t>E250056</t>
  </si>
  <si>
    <t>RDL-HRV22AGC</t>
  </si>
  <si>
    <t>P. Mayor Gus Wardy</t>
  </si>
  <si>
    <t>+62 812-8199-0039</t>
  </si>
  <si>
    <t>E250057</t>
  </si>
  <si>
    <t>LFW-W246XYG</t>
  </si>
  <si>
    <t>Zami</t>
  </si>
  <si>
    <t>+6281283868102</t>
  </si>
  <si>
    <t>E250058</t>
  </si>
  <si>
    <t>Kak. Andrian</t>
  </si>
  <si>
    <t>+62 812-8199-0301</t>
  </si>
  <si>
    <t>E250059</t>
  </si>
  <si>
    <t>Kak. Sami</t>
  </si>
  <si>
    <t>+62 812-2225-5066</t>
  </si>
  <si>
    <t>WA BKS</t>
  </si>
  <si>
    <t>E250060</t>
  </si>
  <si>
    <t>P. Subandi</t>
  </si>
  <si>
    <t>+62 878-8816-8884</t>
  </si>
  <si>
    <t>E250061</t>
  </si>
  <si>
    <t>SWR-MOBILIOAGC</t>
  </si>
  <si>
    <t>Loike Tenggara</t>
  </si>
  <si>
    <t xml:space="preserve">+62 813-8712-3864‬
</t>
  </si>
  <si>
    <t>F250001</t>
  </si>
  <si>
    <t>P. Uje</t>
  </si>
  <si>
    <t>+62 859-6640-1652</t>
  </si>
  <si>
    <t>F250002</t>
  </si>
  <si>
    <t>Pak Siregar</t>
  </si>
  <si>
    <t>+62 813-8356-8220</t>
  </si>
  <si>
    <t>F250003</t>
  </si>
  <si>
    <t>TRW-XPANDER22HAGC</t>
  </si>
  <si>
    <t>B. Santi</t>
  </si>
  <si>
    <t>+62 823-1111-1655</t>
  </si>
  <si>
    <t>F250004</t>
  </si>
  <si>
    <t>Ahmad Kosasih</t>
  </si>
  <si>
    <t>+6287808688091</t>
  </si>
  <si>
    <t>F250005</t>
  </si>
  <si>
    <t>P. Yusman</t>
  </si>
  <si>
    <t xml:space="preserve">+62 896-9321-0909		</t>
  </si>
  <si>
    <t>B 9188 UCF</t>
  </si>
  <si>
    <t>OTH-LIST04TOYDAI</t>
  </si>
  <si>
    <t>F250006</t>
  </si>
  <si>
    <t>Pak. Edih</t>
  </si>
  <si>
    <t>+6281385059666</t>
  </si>
  <si>
    <t>F250007</t>
  </si>
  <si>
    <t>RDR-FJ80FY</t>
  </si>
  <si>
    <t>P. Liong</t>
  </si>
  <si>
    <t>+62 813-8546-4444</t>
  </si>
  <si>
    <t>F250008</t>
  </si>
  <si>
    <t>TRW-VIOS07XYG</t>
  </si>
  <si>
    <t>Inti Baut Pondok Cabe</t>
  </si>
  <si>
    <t>+62 877-7434-3701</t>
  </si>
  <si>
    <t>OTH-SERBY</t>
  </si>
  <si>
    <t>F250009</t>
  </si>
  <si>
    <t>RDR-GETZXYG</t>
  </si>
  <si>
    <t>Aryo Dewa Bharata S</t>
  </si>
  <si>
    <t>087862328989</t>
  </si>
  <si>
    <t>Kirim Bali</t>
  </si>
  <si>
    <t>F250010</t>
  </si>
  <si>
    <t>P. Brandon Panjaitan</t>
  </si>
  <si>
    <t>+62 812-1284-9083‬</t>
  </si>
  <si>
    <t>B 1656 VOC</t>
  </si>
  <si>
    <t>OTH-LIST11TOYDAI</t>
  </si>
  <si>
    <t>F250011</t>
  </si>
  <si>
    <t>Kak Leo</t>
  </si>
  <si>
    <t>+62 812-9966-364</t>
  </si>
  <si>
    <t>B 1798 BYS</t>
  </si>
  <si>
    <t>F250012</t>
  </si>
  <si>
    <t>LFW-F48XYG</t>
  </si>
  <si>
    <t>Iqbal Januarzah</t>
  </si>
  <si>
    <t>+62 812-2535-3523</t>
  </si>
  <si>
    <t>F250013</t>
  </si>
  <si>
    <t>TRW-JAZZ07XYG</t>
  </si>
  <si>
    <t>P. Rimba</t>
  </si>
  <si>
    <t>+62 812-1805-9323‬</t>
  </si>
  <si>
    <t>B 1180 TMK</t>
  </si>
  <si>
    <t>F250014</t>
  </si>
  <si>
    <t>Bpk. Kukuh</t>
  </si>
  <si>
    <t>+6281219429893</t>
  </si>
  <si>
    <t>B 2959 TGY</t>
  </si>
  <si>
    <t>F250015</t>
  </si>
  <si>
    <t>LFW-AVANZA03MU</t>
  </si>
  <si>
    <t>Gires Ferarti</t>
  </si>
  <si>
    <t>081222332269</t>
  </si>
  <si>
    <t>B 1503 KFI</t>
  </si>
  <si>
    <t>Pondok Gede</t>
  </si>
  <si>
    <t>Tokped</t>
  </si>
  <si>
    <t>Ko Rian</t>
  </si>
  <si>
    <t>F250016</t>
  </si>
  <si>
    <t>LFW-HRV14MU</t>
  </si>
  <si>
    <t>Octaviandy</t>
  </si>
  <si>
    <t>+6281213418029</t>
  </si>
  <si>
    <t>B 2806 BZD</t>
  </si>
  <si>
    <t>Pamulang</t>
  </si>
  <si>
    <t>F250017</t>
  </si>
  <si>
    <t>FDR-MAZDA612FY</t>
  </si>
  <si>
    <t>Bpk. Mario</t>
  </si>
  <si>
    <t>+6287778313128</t>
  </si>
  <si>
    <t>B 1169 BAI</t>
  </si>
  <si>
    <t>F250018</t>
  </si>
  <si>
    <t>TRW-ALMAZXYG</t>
  </si>
  <si>
    <t xml:space="preserve">Kak Fachry Fabian
</t>
  </si>
  <si>
    <t>+6287788996000</t>
  </si>
  <si>
    <t>B 2472 BRC</t>
  </si>
  <si>
    <t>F250019</t>
  </si>
  <si>
    <t>LFW-BRIOMU</t>
  </si>
  <si>
    <t>P. Rudy Okto</t>
  </si>
  <si>
    <t>+62 821-1128-6092</t>
  </si>
  <si>
    <t>B 1158 WZU</t>
  </si>
  <si>
    <t>F250020</t>
  </si>
  <si>
    <t>Ka Lingga</t>
  </si>
  <si>
    <t>081807986196</t>
  </si>
  <si>
    <t>B 2026 JU</t>
  </si>
  <si>
    <t>F250021</t>
  </si>
  <si>
    <t>P. Phlip</t>
  </si>
  <si>
    <t>+6281316166241</t>
  </si>
  <si>
    <t>F250022</t>
  </si>
  <si>
    <t>FDR-TERIOS06ASH</t>
  </si>
  <si>
    <t>Dedi Hartono</t>
  </si>
  <si>
    <t>+6281289794691</t>
  </si>
  <si>
    <t>F250023</t>
  </si>
  <si>
    <t>TRW-ERTIGA18HAGC</t>
  </si>
  <si>
    <t>Tony Sibarani</t>
  </si>
  <si>
    <t>+62 812-8150-2428</t>
  </si>
  <si>
    <t>B 1875 JFH</t>
  </si>
  <si>
    <t>F250024</t>
  </si>
  <si>
    <t>P. Herri</t>
  </si>
  <si>
    <t>+62 878-8421-1899</t>
  </si>
  <si>
    <t>F250025</t>
  </si>
  <si>
    <t>LFW-HIACE19XYG</t>
  </si>
  <si>
    <t>P. Zaenal</t>
  </si>
  <si>
    <t>‪+62 819-1491-3330‬</t>
  </si>
  <si>
    <t>+62 819-1491-3330‬</t>
  </si>
  <si>
    <t>F250026</t>
  </si>
  <si>
    <t>TRW-STARGAZERXYG</t>
  </si>
  <si>
    <t xml:space="preserve"> P. Yosua Marvin</t>
  </si>
  <si>
    <t>+62 822-1172-8559</t>
  </si>
  <si>
    <t>B 1852 HKE</t>
  </si>
  <si>
    <t>F250027</t>
  </si>
  <si>
    <t>Chendy</t>
  </si>
  <si>
    <t>+62 813-9881-0538</t>
  </si>
  <si>
    <t>B 1587 WMT</t>
  </si>
  <si>
    <t>Tangerang Selatan</t>
  </si>
  <si>
    <t>F250028</t>
  </si>
  <si>
    <t>LFW-INNOVA22XYG</t>
  </si>
  <si>
    <t>P. Danny</t>
  </si>
  <si>
    <t xml:space="preserve"> +62 857-4599-9696 
</t>
  </si>
  <si>
    <t>B 1076 DOB</t>
  </si>
  <si>
    <t>F250029</t>
  </si>
  <si>
    <t>Aan</t>
  </si>
  <si>
    <t>+62 857‑1612‑7372‬‬</t>
  </si>
  <si>
    <t>B 9063BAZ</t>
  </si>
  <si>
    <t>F250030</t>
  </si>
  <si>
    <t>Ka Danny</t>
  </si>
  <si>
    <t>+62 857-4599-9696</t>
  </si>
  <si>
    <t>F250031</t>
  </si>
  <si>
    <t xml:space="preserve">Ka Hendrik </t>
  </si>
  <si>
    <t>+62 819-9900-0767</t>
  </si>
  <si>
    <t>F250032</t>
  </si>
  <si>
    <t>P. Yogi</t>
  </si>
  <si>
    <t>+62 819-4543-5610</t>
  </si>
  <si>
    <t>B 1400 CIP</t>
  </si>
  <si>
    <t>F250033</t>
  </si>
  <si>
    <t>LFW-CORTEZASH</t>
  </si>
  <si>
    <t xml:space="preserve">Hendi Refiaguna
</t>
  </si>
  <si>
    <t>‪'+62 856-2034-035‬ | ‪+62 817-9388-881‬</t>
  </si>
  <si>
    <t>F250034</t>
  </si>
  <si>
    <t>Fellycia Gufita</t>
  </si>
  <si>
    <t>+62 856-2259-784</t>
  </si>
  <si>
    <t>F 1706 FAN</t>
  </si>
  <si>
    <t>F250035</t>
  </si>
  <si>
    <t>P. Ramli</t>
  </si>
  <si>
    <t>+62 821-2538-3066</t>
  </si>
  <si>
    <t>B 2587 BIE</t>
  </si>
  <si>
    <t>F250036</t>
  </si>
  <si>
    <t xml:space="preserve">P.  Budi </t>
  </si>
  <si>
    <t>+62 896-5446-7985</t>
  </si>
  <si>
    <t>F250037</t>
  </si>
  <si>
    <t>FDL-INNOVA15ASH</t>
  </si>
  <si>
    <t>Angga</t>
  </si>
  <si>
    <t>+62 812-9525-7661</t>
  </si>
  <si>
    <t>B 1525 CIF</t>
  </si>
  <si>
    <t>F250038</t>
  </si>
  <si>
    <t>+62 821-2220-6545</t>
  </si>
  <si>
    <t>F 1895 FAK</t>
  </si>
  <si>
    <t>F250039</t>
  </si>
  <si>
    <t>LFW-E70RSXYG</t>
  </si>
  <si>
    <t>P. Indra Ponca</t>
  </si>
  <si>
    <t>+6285714350500</t>
  </si>
  <si>
    <t>F250040</t>
  </si>
  <si>
    <t>LFW-LOUHANMU</t>
  </si>
  <si>
    <t>Mandiri Thermo</t>
  </si>
  <si>
    <t>+62 822-9803-1043</t>
  </si>
  <si>
    <t>F250041</t>
  </si>
  <si>
    <t>RDR-FORTUNER15XYG</t>
  </si>
  <si>
    <t>Wiwi Robaniah</t>
  </si>
  <si>
    <t>+62 812-4449-0580</t>
  </si>
  <si>
    <t>F250042</t>
  </si>
  <si>
    <t>P. Mahrom</t>
  </si>
  <si>
    <t>+62 812-8582-3748</t>
  </si>
  <si>
    <t>F250043</t>
  </si>
  <si>
    <t>LFW-T31XYG</t>
  </si>
  <si>
    <t>Lala</t>
  </si>
  <si>
    <t>+62 813-9816-2513‬</t>
  </si>
  <si>
    <t>B 1155 ZMG</t>
  </si>
  <si>
    <t>F250044</t>
  </si>
  <si>
    <t>P. Lingga</t>
  </si>
  <si>
    <t>+62 818-0798-6195</t>
  </si>
  <si>
    <t>B 2598 WZ</t>
  </si>
  <si>
    <t>ruko</t>
  </si>
  <si>
    <t>F250045</t>
  </si>
  <si>
    <t>FDR-ELFNKRASH</t>
  </si>
  <si>
    <t>P. Malkan</t>
  </si>
  <si>
    <t>+62 813-1711-8514</t>
  </si>
  <si>
    <t>B 9820 GG</t>
  </si>
  <si>
    <t>F250046</t>
  </si>
  <si>
    <t>LFW-AXORASH</t>
  </si>
  <si>
    <t>P. Khairul Anwar</t>
  </si>
  <si>
    <t>+62 813-1144-8744</t>
  </si>
  <si>
    <t>F250047</t>
  </si>
  <si>
    <t>P. Nicole</t>
  </si>
  <si>
    <t>+62 812-8890-0378</t>
  </si>
  <si>
    <t>F250048</t>
  </si>
  <si>
    <t>Kak Fell</t>
  </si>
  <si>
    <t>+62 812-8567-995‬</t>
  </si>
  <si>
    <t>B 2245 JUQ</t>
  </si>
  <si>
    <t>F250049</t>
  </si>
  <si>
    <t>TRW-PAJERO08XYG</t>
  </si>
  <si>
    <t>P. Subur</t>
  </si>
  <si>
    <t xml:space="preserve">+62 812-8908-2006‬
</t>
  </si>
  <si>
    <t>A 1744 DC</t>
  </si>
  <si>
    <t>F250050</t>
  </si>
  <si>
    <t>LFW-E90RSXYG</t>
  </si>
  <si>
    <t>Ari Januar</t>
  </si>
  <si>
    <t>+6281294371512</t>
  </si>
  <si>
    <t>F250051</t>
  </si>
  <si>
    <t>P.  Bahrudin</t>
  </si>
  <si>
    <t>+62 812-8072-1942‬</t>
  </si>
  <si>
    <t>B 9055 WAE</t>
  </si>
  <si>
    <t>F250052</t>
  </si>
  <si>
    <t>TRW-AGYA13MU</t>
  </si>
  <si>
    <t>Ka William</t>
  </si>
  <si>
    <t xml:space="preserve"> '+62 817-849-077</t>
  </si>
  <si>
    <t>F250053</t>
  </si>
  <si>
    <t>LFW-CX5GEN1RSXYG</t>
  </si>
  <si>
    <t>Ibu Riska</t>
  </si>
  <si>
    <t>+6282211811503</t>
  </si>
  <si>
    <t>B 2430 STV</t>
  </si>
  <si>
    <t>F250054</t>
  </si>
  <si>
    <t>LFW-JAZZ01MU</t>
  </si>
  <si>
    <t>Ido Talentino</t>
  </si>
  <si>
    <t>+6281281066718</t>
  </si>
  <si>
    <t>F250055</t>
  </si>
  <si>
    <t>Kak Tesa</t>
  </si>
  <si>
    <t>+62 895-7003-91997‬</t>
  </si>
  <si>
    <t>A 1433 EG</t>
  </si>
  <si>
    <t>F250056</t>
  </si>
  <si>
    <t>Fanny</t>
  </si>
  <si>
    <t>+62 895-0364-3512</t>
  </si>
  <si>
    <t>F250057</t>
  </si>
  <si>
    <t>Suep</t>
  </si>
  <si>
    <t>+62 821‑1350‑6672</t>
  </si>
  <si>
    <t>B 2096 TOO</t>
  </si>
  <si>
    <t>F250058</t>
  </si>
  <si>
    <t>George</t>
  </si>
  <si>
    <t>+62 858-8157-2779</t>
  </si>
  <si>
    <t>B 1655 WCR</t>
  </si>
  <si>
    <t>F250059</t>
  </si>
  <si>
    <t>LFW-INNOVA15AGC</t>
  </si>
  <si>
    <t>Kak Willy</t>
  </si>
  <si>
    <t>+6281511133996</t>
  </si>
  <si>
    <t xml:space="preserve">+6281511133996
</t>
  </si>
  <si>
    <t>F250060</t>
  </si>
  <si>
    <t>P. Dedy</t>
  </si>
  <si>
    <t>+62 813-1532-2864</t>
  </si>
  <si>
    <t>B 9750 URU</t>
  </si>
  <si>
    <t>F250061</t>
  </si>
  <si>
    <t>LFW-CAMRY06XYG</t>
  </si>
  <si>
    <t>Bang Doni</t>
  </si>
  <si>
    <t xml:space="preserve">+62 812-1196-5783‬
</t>
  </si>
  <si>
    <t>B 1463 VBC</t>
  </si>
  <si>
    <t>F250062</t>
  </si>
  <si>
    <t>P. Zulfikar</t>
  </si>
  <si>
    <t>+62 859-5934-3571</t>
  </si>
  <si>
    <t>B 2545 BBM</t>
  </si>
  <si>
    <t>F250063</t>
  </si>
  <si>
    <t>LFW-ALMAZFY</t>
  </si>
  <si>
    <t>Harto</t>
  </si>
  <si>
    <t>+62 817-6490-017</t>
  </si>
  <si>
    <t>B 1162 CZZ</t>
  </si>
  <si>
    <t>Poris</t>
  </si>
  <si>
    <t>F250064</t>
  </si>
  <si>
    <t>TRW-JAZZ01XYG</t>
  </si>
  <si>
    <t>Iwan</t>
  </si>
  <si>
    <t>08561218343</t>
  </si>
  <si>
    <t>B 1495 NIF</t>
  </si>
  <si>
    <t>F250065</t>
  </si>
  <si>
    <t>SWL-GRANMAXLUXIOASH</t>
  </si>
  <si>
    <t>Ajat Sudrajat</t>
  </si>
  <si>
    <t>+62 812-9040-5210</t>
  </si>
  <si>
    <t>B 2366 BGX</t>
  </si>
  <si>
    <t>F250066</t>
  </si>
  <si>
    <t>LFW-CARRY19SGP</t>
  </si>
  <si>
    <t>+62 852‑1546‑0319‬‬</t>
  </si>
  <si>
    <t>B 9145 BAV</t>
  </si>
  <si>
    <t>F250067</t>
  </si>
  <si>
    <t>TRW-AVANZA11XYG</t>
  </si>
  <si>
    <t>Bapak Henry</t>
  </si>
  <si>
    <t>+62 852-6150-2225</t>
  </si>
  <si>
    <t>F250068</t>
  </si>
  <si>
    <t>LFW-BRV16AGC</t>
  </si>
  <si>
    <t>P.Jabar Toto S.</t>
  </si>
  <si>
    <t>+62 819-3797-3725</t>
  </si>
  <si>
    <t>A 1612 VU</t>
  </si>
  <si>
    <t>F2500069</t>
  </si>
  <si>
    <t>TRW-NAVARA97XYG</t>
  </si>
  <si>
    <t>P. Mathinus Umbu Rauta</t>
  </si>
  <si>
    <t>+62 812-3642-0571</t>
  </si>
  <si>
    <t>Sumba/NTT</t>
  </si>
  <si>
    <t>SBY</t>
  </si>
  <si>
    <t>G250001</t>
  </si>
  <si>
    <t>TRW-ESCUDO00XYG</t>
  </si>
  <si>
    <t>Herdiawan</t>
  </si>
  <si>
    <t>+62 822-9871-0880</t>
  </si>
  <si>
    <t>G250002</t>
  </si>
  <si>
    <t>Nicholas</t>
  </si>
  <si>
    <t>+62 889-0502-4881</t>
  </si>
  <si>
    <t>G250003</t>
  </si>
  <si>
    <t>LFW-SANTAFE12XYG</t>
  </si>
  <si>
    <t>Sugeng Wibowo</t>
  </si>
  <si>
    <t>+6287889943994</t>
  </si>
  <si>
    <t>B 1896 WLR</t>
  </si>
  <si>
    <t>G250004</t>
  </si>
  <si>
    <t>LFW-INNOVA15MU</t>
  </si>
  <si>
    <t>Ka Adry</t>
  </si>
  <si>
    <t>+62 877-5550-0999</t>
  </si>
  <si>
    <t>B 1194 CIJ</t>
  </si>
  <si>
    <t>G250005</t>
  </si>
  <si>
    <t>FDL-JAZZ01ASH</t>
  </si>
  <si>
    <t>Dio</t>
  </si>
  <si>
    <t xml:space="preserve">+6281281066718
</t>
  </si>
  <si>
    <t>DK 1530 UU</t>
  </si>
  <si>
    <t>G250006</t>
  </si>
  <si>
    <t>LFW-SUPERCABXYG</t>
  </si>
  <si>
    <t>Rizki</t>
  </si>
  <si>
    <t>+6287788206795</t>
  </si>
  <si>
    <t>B 9941 TCM</t>
  </si>
  <si>
    <t>G250007</t>
  </si>
  <si>
    <t>Pak Akhun</t>
  </si>
  <si>
    <t>+628161878976</t>
  </si>
  <si>
    <t>B 9482 BCJ</t>
  </si>
  <si>
    <t>PAK Akhun</t>
  </si>
  <si>
    <t>G250008</t>
  </si>
  <si>
    <t>TRW-CIVIC16HATXYG</t>
  </si>
  <si>
    <t>Suki</t>
  </si>
  <si>
    <t>+6287812241972</t>
  </si>
  <si>
    <t>B 17 ANG</t>
  </si>
  <si>
    <t>G250009</t>
  </si>
  <si>
    <t>Haris</t>
  </si>
  <si>
    <t>+6281298436062</t>
  </si>
  <si>
    <t>B 1851 COS</t>
  </si>
  <si>
    <t>G250010</t>
  </si>
  <si>
    <t>RDR-GRANMAXASH</t>
  </si>
  <si>
    <t>G250011</t>
  </si>
  <si>
    <t>RDR-HRV14ASH</t>
  </si>
  <si>
    <t>Rizky Fadila Kusuma</t>
  </si>
  <si>
    <t>081212971213</t>
  </si>
  <si>
    <t>Sudah DP Rp,50,000</t>
  </si>
  <si>
    <t>G250012</t>
  </si>
  <si>
    <t>Kak Limbubu</t>
  </si>
  <si>
    <t>+6281310633036</t>
  </si>
  <si>
    <t>G250013</t>
  </si>
  <si>
    <t>RDL-AVANZA21ASH</t>
  </si>
  <si>
    <t>Pak Salim</t>
  </si>
  <si>
    <t>+62 821-1111-1049</t>
  </si>
  <si>
    <t>G250014</t>
  </si>
  <si>
    <t>TRW-C24XYG</t>
  </si>
  <si>
    <t>Sofyan</t>
  </si>
  <si>
    <t>+62 813-9861-2899</t>
  </si>
  <si>
    <t>Google</t>
  </si>
  <si>
    <t>G250015</t>
  </si>
  <si>
    <t>FDL-FORTUNER15ASH</t>
  </si>
  <si>
    <t>Fazni</t>
  </si>
  <si>
    <t>+628128755414</t>
  </si>
  <si>
    <t>G250016</t>
  </si>
  <si>
    <t xml:space="preserve">P. Benny K. </t>
  </si>
  <si>
    <t>+628161970930</t>
  </si>
  <si>
    <t>B 1082 UYM</t>
  </si>
  <si>
    <t>G250017</t>
  </si>
  <si>
    <t>Pak. Ata</t>
  </si>
  <si>
    <t>+628179878936</t>
  </si>
  <si>
    <t>G250018</t>
  </si>
  <si>
    <t>Nando</t>
  </si>
  <si>
    <t>+6281260617046</t>
  </si>
  <si>
    <t>BK 1800 AYU</t>
  </si>
  <si>
    <t>G250019</t>
  </si>
  <si>
    <t>LFW-C24MU</t>
  </si>
  <si>
    <t>Kak. Fajar</t>
  </si>
  <si>
    <t>+6281235411832</t>
  </si>
  <si>
    <t>B 1852 WM</t>
  </si>
  <si>
    <t>G250020</t>
  </si>
  <si>
    <t>LFW-AGYA23MU</t>
  </si>
  <si>
    <t>Hadi Syahputra</t>
  </si>
  <si>
    <t>G250021</t>
  </si>
  <si>
    <t>RDR-TARUNAASH</t>
  </si>
  <si>
    <t>+6282112351314</t>
  </si>
  <si>
    <t>G250022</t>
  </si>
  <si>
    <t>Ginan</t>
  </si>
  <si>
    <t>+62878-8555-3123</t>
  </si>
  <si>
    <t>D 1093 EA</t>
  </si>
  <si>
    <t>Admin Bekasi</t>
  </si>
  <si>
    <t>G250023</t>
  </si>
  <si>
    <t>TRW-CRV12PRESTIGEXYG</t>
  </si>
  <si>
    <t>Kenji</t>
  </si>
  <si>
    <t>+62856‑8866‑606‬</t>
  </si>
  <si>
    <t>B 2176 NBB</t>
  </si>
  <si>
    <t>Thar</t>
  </si>
  <si>
    <t>G250024</t>
  </si>
  <si>
    <t>G250025</t>
  </si>
  <si>
    <t>Arief</t>
  </si>
  <si>
    <t>+62812‑8118‑2276‬</t>
  </si>
  <si>
    <t>B 1176 CKX</t>
  </si>
  <si>
    <t>G250026</t>
  </si>
  <si>
    <t>PT.Handall Mega Trading</t>
  </si>
  <si>
    <t>+62813-1955-3366</t>
  </si>
  <si>
    <t>B 9621 BCN</t>
  </si>
  <si>
    <t>G250027</t>
  </si>
  <si>
    <t>Dedy Kurniawan</t>
  </si>
  <si>
    <t>+62812-9336-8110</t>
  </si>
  <si>
    <t>B 1650 HFM</t>
  </si>
  <si>
    <t>G250028</t>
  </si>
  <si>
    <t>Teguh</t>
  </si>
  <si>
    <t xml:space="preserve"> +62878-8511-1783</t>
  </si>
  <si>
    <t>B 2576 PF</t>
  </si>
  <si>
    <t>G250029</t>
  </si>
  <si>
    <t>LFW-AVEGA01MU</t>
  </si>
  <si>
    <t>Prilla Yaumil</t>
  </si>
  <si>
    <t>+6281289963020</t>
  </si>
  <si>
    <t>A 1137 TX</t>
  </si>
  <si>
    <t>G250030</t>
  </si>
  <si>
    <t>Baehaki</t>
  </si>
  <si>
    <t>+62831-7262-8297</t>
  </si>
  <si>
    <t>A 8091 KS</t>
  </si>
  <si>
    <t>G250031</t>
  </si>
  <si>
    <t>LFW-W204RS2XYG</t>
  </si>
  <si>
    <t>Bpk. Asep</t>
  </si>
  <si>
    <t>+62812-9917-5198</t>
  </si>
  <si>
    <t>A 1768 JP</t>
  </si>
  <si>
    <t>G250032</t>
  </si>
  <si>
    <t>Daniel Sadikun</t>
  </si>
  <si>
    <t>+62819-3007-1036</t>
  </si>
  <si>
    <t>KT 9906 KA</t>
  </si>
  <si>
    <t>SJTGRG250001</t>
  </si>
  <si>
    <t>BEKASI</t>
  </si>
  <si>
    <t>G250033</t>
  </si>
  <si>
    <t>LFW-VIOS13MU</t>
  </si>
  <si>
    <t>Kak Mutia</t>
  </si>
  <si>
    <t xml:space="preserve"> +62878-9888-2121</t>
  </si>
  <si>
    <t xml:space="preserve"> B 1917 FZX</t>
  </si>
  <si>
    <t>G250034</t>
  </si>
  <si>
    <t>Udin / Erdin</t>
  </si>
  <si>
    <t>+62812-8309-8267</t>
  </si>
  <si>
    <t>B 9383 VAG</t>
  </si>
  <si>
    <t>G250035</t>
  </si>
  <si>
    <t>TRW-LUXIODAIHATSU</t>
  </si>
  <si>
    <t>Pak Tri</t>
  </si>
  <si>
    <t>+6289-5232-91454</t>
  </si>
  <si>
    <t>A 1882 WP</t>
  </si>
  <si>
    <t>G250036</t>
  </si>
  <si>
    <t>Rama</t>
  </si>
  <si>
    <t>+62812-1882-9872</t>
  </si>
  <si>
    <t>B 1794 CJD</t>
  </si>
  <si>
    <t>G250037</t>
  </si>
  <si>
    <t>LFW-MAZDA214RS3XYG</t>
  </si>
  <si>
    <t>Pak Yoga</t>
  </si>
  <si>
    <t>+62815-6814-313</t>
  </si>
  <si>
    <t>B 1576 NIC</t>
  </si>
  <si>
    <t>B 1576 NIC	Tangerang</t>
  </si>
  <si>
    <t>G250038</t>
  </si>
  <si>
    <t>LFW-T32RSPIL</t>
  </si>
  <si>
    <t>Sapta</t>
  </si>
  <si>
    <t>+62821-2393-8246</t>
  </si>
  <si>
    <t>G250039</t>
  </si>
  <si>
    <t>G250040</t>
  </si>
  <si>
    <t>TRW-CRV12NONPXYG</t>
  </si>
  <si>
    <t>Aldi Mulia</t>
  </si>
  <si>
    <t>+62877-2408-3109</t>
  </si>
  <si>
    <t>D 1621 AAU</t>
  </si>
  <si>
    <t>G250041</t>
  </si>
  <si>
    <t>Icha</t>
  </si>
  <si>
    <t>+62821-2410-1596</t>
  </si>
  <si>
    <t>BD 1535 CB</t>
  </si>
  <si>
    <t>G250042</t>
  </si>
  <si>
    <t>Agus Irawan</t>
  </si>
  <si>
    <t>+62 812-9279-107</t>
  </si>
  <si>
    <t>F 1453 RS</t>
  </si>
  <si>
    <t>G250043</t>
  </si>
  <si>
    <t>TRW-TERIOS06HHOLEXYG</t>
  </si>
  <si>
    <t>Jaelani</t>
  </si>
  <si>
    <t>+62878-0906-9324</t>
  </si>
  <si>
    <t>B 1477 POX</t>
  </si>
  <si>
    <t>G250044</t>
  </si>
  <si>
    <t>Arlis</t>
  </si>
  <si>
    <t>+62878-7873-7555</t>
  </si>
  <si>
    <t>B 1640 JUP</t>
  </si>
  <si>
    <t>G250045</t>
  </si>
  <si>
    <t>Algibran</t>
  </si>
  <si>
    <t>+62 822-4901-6780 / +62 895-3850-04838</t>
  </si>
  <si>
    <t>B 1928 DFW</t>
  </si>
  <si>
    <t>G250046</t>
  </si>
  <si>
    <t>LFW-CU6XYG</t>
  </si>
  <si>
    <t>Yousa</t>
  </si>
  <si>
    <t>+62812-9985-549</t>
  </si>
  <si>
    <t>B 1106 B</t>
  </si>
  <si>
    <t>G250047</t>
  </si>
  <si>
    <t>Toris</t>
  </si>
  <si>
    <t>+62882-2580-0749</t>
  </si>
  <si>
    <t>B 1665 FFZ</t>
  </si>
  <si>
    <t>G250048</t>
  </si>
  <si>
    <t>LFW-SEALXYG</t>
  </si>
  <si>
    <t>Riccardo</t>
  </si>
  <si>
    <t>+62813-9918-7668</t>
  </si>
  <si>
    <t>B 666 LCF</t>
  </si>
  <si>
    <t>G250049</t>
  </si>
  <si>
    <t>Rizki Primasakti</t>
  </si>
  <si>
    <t>+62813-1860-6456</t>
  </si>
  <si>
    <t>B 1094 DOY</t>
  </si>
  <si>
    <t>G250050</t>
  </si>
  <si>
    <t>Garasiku Workshop</t>
  </si>
  <si>
    <t>+62812-8005-5808</t>
  </si>
  <si>
    <t>H 1213 ER</t>
  </si>
  <si>
    <t>G250051</t>
  </si>
  <si>
    <t>Nurudin</t>
  </si>
  <si>
    <t>+62813-1022-5731</t>
  </si>
  <si>
    <t>B 1516 SMR</t>
  </si>
  <si>
    <t>G250052</t>
  </si>
  <si>
    <t>LFW-ERTIGA18MU</t>
  </si>
  <si>
    <t>Nova Hanafi</t>
  </si>
  <si>
    <t>+62831-3798-5870</t>
  </si>
  <si>
    <t>B 2597 TRS</t>
  </si>
  <si>
    <t>G250053</t>
  </si>
  <si>
    <t>LFW-CRETAXYG</t>
  </si>
  <si>
    <t>Praditya</t>
  </si>
  <si>
    <t>‪+62858‑8537‑0788‬</t>
  </si>
  <si>
    <t>B 1211 DFR</t>
  </si>
  <si>
    <t>G250054</t>
  </si>
  <si>
    <t>Tri Wahono</t>
  </si>
  <si>
    <t>+6282-2637-9204</t>
  </si>
  <si>
    <t>B 2364 VVE</t>
  </si>
  <si>
    <t>G250055</t>
  </si>
  <si>
    <t>TRW-MAZDA319XYG</t>
  </si>
  <si>
    <t>Ivan</t>
  </si>
  <si>
    <t>+6281-1146-6768</t>
  </si>
  <si>
    <t>F 646</t>
  </si>
  <si>
    <t>G250056</t>
  </si>
  <si>
    <t>Arif Hidayat</t>
  </si>
  <si>
    <t>+62857-8263-9963</t>
  </si>
  <si>
    <t>B 9987 BAY</t>
  </si>
  <si>
    <t>G250057</t>
  </si>
  <si>
    <t>TRW-BRIO18XYG</t>
  </si>
  <si>
    <t>Akmal</t>
  </si>
  <si>
    <t>‪+62812‑9232‑6961‬</t>
  </si>
  <si>
    <t>B 1593 JFE</t>
  </si>
  <si>
    <t>G250058</t>
  </si>
  <si>
    <t>LFW-ALMAZXYG</t>
  </si>
  <si>
    <t>Dita</t>
  </si>
  <si>
    <t>+62813-1868-0695</t>
  </si>
  <si>
    <t>B 1788 CZR</t>
  </si>
  <si>
    <t>G250059</t>
  </si>
  <si>
    <t>FDR-CARRY19ASH</t>
  </si>
  <si>
    <t>Opik</t>
  </si>
  <si>
    <t>+62813-8688-7899</t>
  </si>
  <si>
    <t>B 9902 VAG</t>
  </si>
  <si>
    <t>G250060</t>
  </si>
  <si>
    <t>Aldo</t>
  </si>
  <si>
    <t>+62822-9855-5586</t>
  </si>
  <si>
    <t>B 1472 CJE</t>
  </si>
  <si>
    <t>G250061</t>
  </si>
  <si>
    <t>Eva</t>
  </si>
  <si>
    <t>‪+62 838‑0607‑5777‬</t>
  </si>
  <si>
    <t>G250062</t>
  </si>
  <si>
    <t>LFW-TERRANOMU</t>
  </si>
  <si>
    <t>Rico</t>
  </si>
  <si>
    <t>+62813-1481-2629</t>
  </si>
  <si>
    <t>B 1765 WVJ</t>
  </si>
  <si>
    <t>G250063</t>
  </si>
  <si>
    <t>Chris</t>
  </si>
  <si>
    <t>+6287-8834-08000</t>
  </si>
  <si>
    <t>B 1750 BJY</t>
  </si>
  <si>
    <t>G250064</t>
  </si>
  <si>
    <t>Tea Kirana</t>
  </si>
  <si>
    <t>+62859-5926-6941</t>
  </si>
  <si>
    <t>B 8335 CD</t>
  </si>
  <si>
    <t>G250065</t>
  </si>
  <si>
    <t>Mohammad Riski</t>
  </si>
  <si>
    <t>+62 857-7411-3378</t>
  </si>
  <si>
    <t>B 1295 HFP</t>
  </si>
  <si>
    <t>G250066</t>
  </si>
  <si>
    <t>Hafidz Andrianto</t>
  </si>
  <si>
    <t>+62 822-1672-5161</t>
  </si>
  <si>
    <t>B 1417 KDZ</t>
  </si>
  <si>
    <t>G250067</t>
  </si>
  <si>
    <t>LFW-MAZDA209MU</t>
  </si>
  <si>
    <t>Gio</t>
  </si>
  <si>
    <t>+62 877-0195-7099</t>
  </si>
  <si>
    <t>B 1830 UAB</t>
  </si>
  <si>
    <t>G250068</t>
  </si>
  <si>
    <t>TRW-GRANMAXVANMU</t>
  </si>
  <si>
    <t>Yogi Triyadi</t>
  </si>
  <si>
    <t>+62 852-6787-0501</t>
  </si>
  <si>
    <t>B 2394 TIB</t>
  </si>
  <si>
    <t>G250069</t>
  </si>
  <si>
    <t>Asep</t>
  </si>
  <si>
    <t>+62851-5710-2209</t>
  </si>
  <si>
    <t>G250070</t>
  </si>
  <si>
    <t>Amsal</t>
  </si>
  <si>
    <t>+62 878-8278-2462</t>
  </si>
  <si>
    <t>B 2030 KVH</t>
  </si>
  <si>
    <t>G250071</t>
  </si>
  <si>
    <t>TRW-SIENTAXYG</t>
  </si>
  <si>
    <t>William Siregar</t>
  </si>
  <si>
    <t>+62 857-8274-2217</t>
  </si>
  <si>
    <t>B 1129 NIH</t>
  </si>
  <si>
    <t>FILM-BPSG</t>
  </si>
  <si>
    <t>G250072</t>
  </si>
  <si>
    <t>TRW-W212FY</t>
  </si>
  <si>
    <t>Ricko Adha</t>
  </si>
  <si>
    <t>+62 813-1922-2125</t>
  </si>
  <si>
    <t>B 1882 SEJ</t>
  </si>
  <si>
    <t>G250073</t>
  </si>
  <si>
    <t>LFW-CX5GEN1RS2XYG</t>
  </si>
  <si>
    <t>Dwi</t>
  </si>
  <si>
    <t>+62 858-9113-0223</t>
  </si>
  <si>
    <t>B 1265 KRM</t>
  </si>
  <si>
    <t>G250074</t>
  </si>
  <si>
    <t>Cristian</t>
  </si>
  <si>
    <t>+62 811-1461-221</t>
  </si>
  <si>
    <t>B 1201 SRK</t>
  </si>
  <si>
    <t>G250075</t>
  </si>
  <si>
    <t>Yoppy gustiana</t>
  </si>
  <si>
    <t>+62 812-1199-8380</t>
  </si>
  <si>
    <t>B 1259 VOZ</t>
  </si>
  <si>
    <t>G250076</t>
  </si>
  <si>
    <t>LFW-CU6FY</t>
  </si>
  <si>
    <t>Akbar</t>
  </si>
  <si>
    <t>+62 812-5737-2540</t>
  </si>
  <si>
    <t>DA 557 IM</t>
  </si>
  <si>
    <t>G250077</t>
  </si>
  <si>
    <t>Risma</t>
  </si>
  <si>
    <t>+62 812-8958-9878</t>
  </si>
  <si>
    <t>B 2932 BIW</t>
  </si>
  <si>
    <t>G250078</t>
  </si>
  <si>
    <t>FDL-L300ASH</t>
  </si>
  <si>
    <t>+62 857-1800-3215</t>
  </si>
  <si>
    <t>G250079</t>
  </si>
  <si>
    <t>Charles</t>
  </si>
  <si>
    <t>+62 813-7482-3300</t>
  </si>
  <si>
    <t>B 1153 JUU</t>
  </si>
  <si>
    <t>G250080</t>
  </si>
  <si>
    <t>Rachman</t>
  </si>
  <si>
    <t>+62 821-1033-2222</t>
  </si>
  <si>
    <t>B 1365 CLS</t>
  </si>
  <si>
    <t>G250081</t>
  </si>
  <si>
    <t>Zerri</t>
  </si>
  <si>
    <t>+62 822-1088-2080</t>
  </si>
  <si>
    <t>B 1433 VGZ</t>
  </si>
  <si>
    <t>G250082</t>
  </si>
  <si>
    <t>+62 813-1868-0695</t>
  </si>
  <si>
    <t>G250083</t>
  </si>
  <si>
    <t>Ryan Adhyatma</t>
  </si>
  <si>
    <t>+62 811-566-411</t>
  </si>
  <si>
    <t>OTH-LISTLFWACV30</t>
  </si>
  <si>
    <t>List Moulding Toyota Camry 02-06 ACV30 3rd Gen</t>
  </si>
  <si>
    <t>G250084</t>
  </si>
  <si>
    <t>Gimin</t>
  </si>
  <si>
    <t>+62 813-1148-9617</t>
  </si>
  <si>
    <t>B1581 WYT</t>
  </si>
  <si>
    <t>G250085</t>
  </si>
  <si>
    <t>Sudi Hartono</t>
  </si>
  <si>
    <t>+62 813-8763-8172</t>
  </si>
  <si>
    <t>B 2726 VVO</t>
  </si>
  <si>
    <t>G250086</t>
  </si>
  <si>
    <t>Marsono</t>
  </si>
  <si>
    <t>+62 812-8636-5741</t>
  </si>
  <si>
    <t>A 1348 WW</t>
  </si>
  <si>
    <t>G250087</t>
  </si>
  <si>
    <t>LFW-PANTHER00ASH</t>
  </si>
  <si>
    <t>Bagus</t>
  </si>
  <si>
    <t>+62 857-7835-2600</t>
  </si>
  <si>
    <t>B 2172 JUS</t>
  </si>
  <si>
    <t>G250088</t>
  </si>
  <si>
    <t>TRW-TERIOS06XYG</t>
  </si>
  <si>
    <t>Frinsen andreas</t>
  </si>
  <si>
    <t>+62 896-5248-6035</t>
  </si>
  <si>
    <t>G250089</t>
  </si>
  <si>
    <t>LFW-IONIQ5RS2XYG</t>
  </si>
  <si>
    <t>Dimas Ramadan</t>
  </si>
  <si>
    <t>+62 851-5528-0127</t>
  </si>
  <si>
    <t>B 1371 BNP</t>
  </si>
  <si>
    <t>G250090</t>
  </si>
  <si>
    <t>LFW-AL20XYG</t>
  </si>
  <si>
    <t>Franky</t>
  </si>
  <si>
    <t>+62 855-1100-030</t>
  </si>
  <si>
    <t>B 2055 UBV</t>
  </si>
  <si>
    <t>G250091</t>
  </si>
  <si>
    <t>Mariah</t>
  </si>
  <si>
    <t>+62 812-9442-8756</t>
  </si>
  <si>
    <t>B 1077 VKI</t>
  </si>
  <si>
    <t>G250092</t>
  </si>
  <si>
    <t>SFL-HIACEXYG</t>
  </si>
  <si>
    <t>Purwanto</t>
  </si>
  <si>
    <t>+62 813-3677-7230</t>
  </si>
  <si>
    <t>A 7089 ZA</t>
  </si>
  <si>
    <t>G250093</t>
  </si>
  <si>
    <t>Imam</t>
  </si>
  <si>
    <t>+62 823-1092-8291</t>
  </si>
  <si>
    <t>B 1445 COO</t>
  </si>
  <si>
    <t>G250094</t>
  </si>
  <si>
    <t>LFW-AIREVXYG</t>
  </si>
  <si>
    <t>Avner</t>
  </si>
  <si>
    <t>+62 818-0832-1567</t>
  </si>
  <si>
    <t>B 1362 JNP</t>
  </si>
  <si>
    <t>G250095</t>
  </si>
  <si>
    <t>Sumardi</t>
  </si>
  <si>
    <t>+62 815-1010-4464</t>
  </si>
  <si>
    <t>B 2995 UOS</t>
  </si>
  <si>
    <t>G250096</t>
  </si>
  <si>
    <t>LFW-SELTOSXYG</t>
  </si>
  <si>
    <t>Anto</t>
  </si>
  <si>
    <t>+62 813-1771-0137</t>
  </si>
  <si>
    <t>G250097</t>
  </si>
  <si>
    <t>LFW-STARGAZERRSXYG</t>
  </si>
  <si>
    <t>+62 859-5991-1504</t>
  </si>
  <si>
    <t>B 1747 DOC</t>
  </si>
  <si>
    <t>G250098</t>
  </si>
  <si>
    <t>LFW-CIVIC05MU</t>
  </si>
  <si>
    <t>Sendi</t>
  </si>
  <si>
    <t>+62 814-1235-7599</t>
  </si>
  <si>
    <t>B 1211 BER</t>
  </si>
  <si>
    <t>G250099</t>
  </si>
  <si>
    <t>LFW-MAZDA214XYG</t>
  </si>
  <si>
    <t>Deka Garage</t>
  </si>
  <si>
    <t>+62 813-8199-3133</t>
  </si>
  <si>
    <t>B 1931 KIL</t>
  </si>
  <si>
    <t>G250100</t>
  </si>
  <si>
    <t>TRW-C26AUTO</t>
  </si>
  <si>
    <t>Lieke Tampari</t>
  </si>
  <si>
    <t>+62 811 4133 565</t>
  </si>
  <si>
    <t>B 2834 SKX</t>
  </si>
  <si>
    <t>G250101</t>
  </si>
  <si>
    <t>LFW-TERIOS06MU</t>
  </si>
  <si>
    <t>Aris Farianto</t>
  </si>
  <si>
    <t>+62 896-2904-2520</t>
  </si>
  <si>
    <t>B 2941 BZE</t>
  </si>
  <si>
    <t>G250102</t>
  </si>
  <si>
    <t>Marco Aprilio</t>
  </si>
  <si>
    <t>+62 878-8889-4022</t>
  </si>
  <si>
    <t>B 1302 CLT</t>
  </si>
  <si>
    <t>G250103</t>
  </si>
  <si>
    <t>PT. Multi Adhi Perkasa</t>
  </si>
  <si>
    <t>+62 838-2960-0000</t>
  </si>
  <si>
    <t>B 2813 PZD</t>
  </si>
  <si>
    <t>G250104</t>
  </si>
  <si>
    <t>TRW-YARIS05XYG</t>
  </si>
  <si>
    <t>Imron</t>
  </si>
  <si>
    <t>+62 813-7410-2555</t>
  </si>
  <si>
    <t>G250105</t>
  </si>
  <si>
    <t>LFW-ALTIS06XYG</t>
  </si>
  <si>
    <t>Dika</t>
  </si>
  <si>
    <t>+62 859-0001-2772</t>
  </si>
  <si>
    <t>B 1157 RL</t>
  </si>
  <si>
    <t>G250106</t>
  </si>
  <si>
    <t>TRW-CONFEROHOLEXYG</t>
  </si>
  <si>
    <t>RSIA Assyifa</t>
  </si>
  <si>
    <t>+62 857-1066-6833</t>
  </si>
  <si>
    <t>B 1486 CZR</t>
  </si>
  <si>
    <t>G250107</t>
  </si>
  <si>
    <t>Kak Sapta</t>
  </si>
  <si>
    <t>+62 856‑9195‑6851‬‬</t>
  </si>
  <si>
    <t>B 1005 JVD</t>
  </si>
  <si>
    <t>SRI HANDAYA</t>
  </si>
  <si>
    <t>Bekasi</t>
  </si>
  <si>
    <t>LFW-HRV22AGC</t>
  </si>
  <si>
    <t>SJTGRG250002</t>
  </si>
  <si>
    <t>LFW-ALPHARD15FR</t>
  </si>
  <si>
    <t>G250108</t>
  </si>
  <si>
    <t>Ezra</t>
  </si>
  <si>
    <t>+62 811-8016-808</t>
  </si>
  <si>
    <t>G250109</t>
  </si>
  <si>
    <t>Pavel, Dimas</t>
  </si>
  <si>
    <t>G250110</t>
  </si>
  <si>
    <t>Asep Nugraha</t>
  </si>
  <si>
    <t>+62 819-0332-5356</t>
  </si>
  <si>
    <t>B 2389 FMN</t>
  </si>
  <si>
    <t>G250111</t>
  </si>
  <si>
    <t>Ronal</t>
  </si>
  <si>
    <t>+62 812-8452-3118</t>
  </si>
  <si>
    <t>G250112</t>
  </si>
  <si>
    <t>LFW-SONETXYG</t>
  </si>
  <si>
    <t>+62 857-1804-4746</t>
  </si>
  <si>
    <t>BE 1287 DN</t>
  </si>
  <si>
    <t>G250113</t>
  </si>
  <si>
    <t>FDR-CRETAASH</t>
  </si>
  <si>
    <t>Arie</t>
  </si>
  <si>
    <t>+62 811-3412-218</t>
  </si>
  <si>
    <t>B 1203 HKX</t>
  </si>
  <si>
    <t>H250001</t>
  </si>
  <si>
    <t>Andri</t>
  </si>
  <si>
    <t>+62 858-1170-2643</t>
  </si>
  <si>
    <t>B 2429 VVB</t>
  </si>
  <si>
    <t>H250002</t>
  </si>
  <si>
    <t>Salman</t>
  </si>
  <si>
    <t>+62 857-1004-4009</t>
  </si>
  <si>
    <t>B 2012 BFY</t>
  </si>
  <si>
    <t>H250003</t>
  </si>
  <si>
    <t>LFW-HIUXYG</t>
  </si>
  <si>
    <t>Sumarda</t>
  </si>
  <si>
    <t>+62 838-1751-6199</t>
  </si>
  <si>
    <t>AD 1160 UA</t>
  </si>
  <si>
    <t>H250004</t>
  </si>
  <si>
    <t>LFW-PALISADE23RSXYG</t>
  </si>
  <si>
    <t>DR.Irawan SE,SH,MH,CRA,CL</t>
  </si>
  <si>
    <t>+62 813-8433-8898</t>
  </si>
  <si>
    <t>A 1734 VPA</t>
  </si>
  <si>
    <t>Citra Raya</t>
  </si>
  <si>
    <t>H250005</t>
  </si>
  <si>
    <t>LFW-OUTLANDERASH</t>
  </si>
  <si>
    <t>Putri</t>
  </si>
  <si>
    <t>+62 813-2222-2814</t>
  </si>
  <si>
    <t>B 2139 TBP</t>
  </si>
  <si>
    <t>H250006</t>
  </si>
  <si>
    <t>H250007</t>
  </si>
  <si>
    <t>LFW-HRV14AGC</t>
  </si>
  <si>
    <t>Dedi</t>
  </si>
  <si>
    <t>+62 811-7309-081</t>
  </si>
  <si>
    <t>B 2893 TKA</t>
  </si>
  <si>
    <t>H250008</t>
  </si>
  <si>
    <t>LFW-T31FR</t>
  </si>
  <si>
    <t>BJM Autocars / Up Bpk. Harry</t>
  </si>
  <si>
    <t>B 1294 BYA</t>
  </si>
  <si>
    <t>H250009</t>
  </si>
  <si>
    <t>Agus Suryanto</t>
  </si>
  <si>
    <t>+62 856-9790-1090</t>
  </si>
  <si>
    <t>B 1527 JUP</t>
  </si>
  <si>
    <t>H250010</t>
  </si>
  <si>
    <t>B 8823 DV</t>
  </si>
  <si>
    <t>H250011</t>
  </si>
  <si>
    <t>Ricky</t>
  </si>
  <si>
    <t>+62 812-1367-7551</t>
  </si>
  <si>
    <t>B 2761 FFL</t>
  </si>
  <si>
    <t>H250012</t>
  </si>
  <si>
    <t>Whisnu</t>
  </si>
  <si>
    <t>+62 857-1793-8713</t>
  </si>
  <si>
    <t>B 1857 CYQ</t>
  </si>
  <si>
    <t>SJTGRG250003</t>
  </si>
  <si>
    <t>Nanotech</t>
  </si>
  <si>
    <t>Lakban Safety Tape</t>
  </si>
  <si>
    <t>Gel Bening Taffpack</t>
  </si>
  <si>
    <t>H250013</t>
  </si>
  <si>
    <t>Rudi Herdiansyah</t>
  </si>
  <si>
    <t>+62 812-8363-7122</t>
  </si>
  <si>
    <t>B 1084 WOP</t>
  </si>
  <si>
    <t>H250014</t>
  </si>
  <si>
    <t>LFW-FJ150XYG</t>
  </si>
  <si>
    <t>Prado</t>
  </si>
  <si>
    <t>+62 813-9126-9363</t>
  </si>
  <si>
    <t>B 2405 HK</t>
  </si>
  <si>
    <t>H250015</t>
  </si>
  <si>
    <t>SWL-AVANZA11MU</t>
  </si>
  <si>
    <t>Ahmad Lutfie</t>
  </si>
  <si>
    <t>+62 819-0511-1105</t>
  </si>
  <si>
    <t>B 1905 CKX</t>
  </si>
  <si>
    <t>H250016</t>
  </si>
  <si>
    <t>RDR-MOBILIOASH</t>
  </si>
  <si>
    <t>Agip</t>
  </si>
  <si>
    <t>+62 821-9771-2814</t>
  </si>
  <si>
    <t>KIRIM</t>
  </si>
  <si>
    <t>H250017</t>
  </si>
  <si>
    <t>RDL-PICANTO04FY</t>
  </si>
  <si>
    <t>Valent Yehezquiel</t>
  </si>
  <si>
    <t>‪+62 852‑8884‑8212‬</t>
  </si>
  <si>
    <t>B 1605 ZUL</t>
  </si>
  <si>
    <t>H250018</t>
  </si>
  <si>
    <t>RDR-FORTUNER15ASH</t>
  </si>
  <si>
    <t>Pak. Dedi Rahmat</t>
  </si>
  <si>
    <t>+62 859-1067-78174</t>
  </si>
  <si>
    <t>B 1498 TJZ</t>
  </si>
  <si>
    <t>H250019</t>
  </si>
  <si>
    <t>RDL-CX5GEN1FY</t>
  </si>
  <si>
    <t>Ibu Putri</t>
  </si>
  <si>
    <t>+62 812-1337-7843</t>
  </si>
  <si>
    <t>B 1939 VMX</t>
  </si>
  <si>
    <t>H250020</t>
  </si>
  <si>
    <t>LFW-ALTIS18RSXYG</t>
  </si>
  <si>
    <t>Reza</t>
  </si>
  <si>
    <t>+62 822-1135-5331</t>
  </si>
  <si>
    <t>B 1724 UAH</t>
  </si>
  <si>
    <t>H250021</t>
  </si>
  <si>
    <t>LFW-BRV22AGC</t>
  </si>
  <si>
    <t>Wen</t>
  </si>
  <si>
    <t>+62 811-7527-252</t>
  </si>
  <si>
    <t>BM 1111 WA</t>
  </si>
  <si>
    <t>H250022</t>
  </si>
  <si>
    <t>LFW-W212RSFY</t>
  </si>
  <si>
    <t>Fikar</t>
  </si>
  <si>
    <t>+62 821-1036-3084</t>
  </si>
  <si>
    <t>B 2061 SMA</t>
  </si>
  <si>
    <t>SJTGRH250001</t>
  </si>
  <si>
    <t>LFW-FV100XYG</t>
  </si>
  <si>
    <t>LFW-W203RS2FY</t>
  </si>
  <si>
    <t>TRW-MOBILIOAGC</t>
  </si>
  <si>
    <t>LFW-CITY96XYG</t>
  </si>
  <si>
    <t>H250023</t>
  </si>
  <si>
    <t>TRW-CITY02FR</t>
  </si>
  <si>
    <t>Bono</t>
  </si>
  <si>
    <t>+62 878-7286-7127</t>
  </si>
  <si>
    <t>B 8587 EI</t>
  </si>
  <si>
    <t>H250024</t>
  </si>
  <si>
    <t>RDR-TERIOS06ASH</t>
  </si>
  <si>
    <t>Herry</t>
  </si>
  <si>
    <t>+62 813-9164-0944</t>
  </si>
  <si>
    <t>B 1572 VVL</t>
  </si>
  <si>
    <t>H250025</t>
  </si>
  <si>
    <t>LFW-CONFEROMU</t>
  </si>
  <si>
    <t>PT Hoffmen Energi Perkasa</t>
  </si>
  <si>
    <t>+62 821-1331-0022</t>
  </si>
  <si>
    <t>Jakarta Utara</t>
  </si>
  <si>
    <t>H250026</t>
  </si>
  <si>
    <t>TRW-LIVINA13XYG</t>
  </si>
  <si>
    <t>Bayu / Melani</t>
  </si>
  <si>
    <t>+62 852-5279-2379</t>
  </si>
  <si>
    <t>B 1395 CYM</t>
  </si>
  <si>
    <t>H250027</t>
  </si>
  <si>
    <t>LFW-GIGALONGXYG</t>
  </si>
  <si>
    <t>Rani</t>
  </si>
  <si>
    <t>+62 812-8863-6879</t>
  </si>
  <si>
    <t>Legok</t>
  </si>
  <si>
    <t>H250028</t>
  </si>
  <si>
    <t>H250029</t>
  </si>
  <si>
    <t>Mujiono</t>
  </si>
  <si>
    <t>+62 852-6650-1303</t>
  </si>
  <si>
    <t>B 2413 SIG</t>
  </si>
  <si>
    <t>H250030</t>
  </si>
  <si>
    <t>TRW-PAJERO16AGC</t>
  </si>
  <si>
    <t>Awan Puryadi</t>
  </si>
  <si>
    <t>+62 813-1973-8591</t>
  </si>
  <si>
    <t>B 117 DUD</t>
  </si>
  <si>
    <t>H250031</t>
  </si>
  <si>
    <t>TRW-VOXYXYG</t>
  </si>
  <si>
    <t>Dicky</t>
  </si>
  <si>
    <t>+62 813-3798-0799</t>
  </si>
  <si>
    <t>B 2219 PFV</t>
  </si>
  <si>
    <t>H250032</t>
  </si>
  <si>
    <t>LFW-LX570</t>
  </si>
  <si>
    <t>H250033</t>
  </si>
  <si>
    <t>+62 813-1430-1420</t>
  </si>
  <si>
    <t>H 1468 CV</t>
  </si>
  <si>
    <t>H250034</t>
  </si>
  <si>
    <t>Fahri</t>
  </si>
  <si>
    <t>+62 857-1135-1717</t>
  </si>
  <si>
    <t>B 1716 DKG</t>
  </si>
  <si>
    <t>H250035</t>
  </si>
  <si>
    <t>Tjuhanda</t>
  </si>
  <si>
    <t>+62 811-853-569</t>
  </si>
  <si>
    <t>H250036</t>
  </si>
  <si>
    <t>Hendra Septian</t>
  </si>
  <si>
    <t>+62 859-2153-7727</t>
  </si>
  <si>
    <t>B 1273 KRA</t>
  </si>
  <si>
    <t>H250037</t>
  </si>
  <si>
    <t>Mitra Jasa Scaffolding</t>
  </si>
  <si>
    <t>+62 811-9342-003</t>
  </si>
  <si>
    <t>B 9076 CDA</t>
  </si>
  <si>
    <t>H250038</t>
  </si>
  <si>
    <t>FDR-PANTHER00ASH</t>
  </si>
  <si>
    <t>Deden</t>
  </si>
  <si>
    <t>+62 856-9752-8989</t>
  </si>
  <si>
    <t>H250039</t>
  </si>
  <si>
    <t>Hariyanto</t>
  </si>
  <si>
    <t>+62 813-1485-5999</t>
  </si>
  <si>
    <t>B 2512 TRM</t>
  </si>
  <si>
    <t>SJTGRH250002</t>
  </si>
  <si>
    <t>LFW-PAJERO16AGC</t>
  </si>
  <si>
    <t>Surabaya</t>
  </si>
  <si>
    <t>TRW-C27XYG</t>
  </si>
  <si>
    <t>SJTGRH250003</t>
  </si>
  <si>
    <t>LFW-VIOS13XYG</t>
  </si>
  <si>
    <t>TRW-LIVINA07XYG</t>
  </si>
  <si>
    <t>TRW-FORTUNER15XYG</t>
  </si>
  <si>
    <t>H250040</t>
  </si>
  <si>
    <t>LFW-HRV14XYG</t>
  </si>
  <si>
    <t>Andi Sadruddin</t>
  </si>
  <si>
    <t>+62 812-3446-1759</t>
  </si>
  <si>
    <t>B 2551 SOD</t>
  </si>
  <si>
    <t>H250041</t>
  </si>
  <si>
    <t>Yahya</t>
  </si>
  <si>
    <t>+62 816-1129-838</t>
  </si>
  <si>
    <t>B 1408 BYY</t>
  </si>
  <si>
    <t>SJTGRH250004</t>
  </si>
  <si>
    <t>TRW-GRANDISXYG</t>
  </si>
  <si>
    <t>H250042</t>
  </si>
  <si>
    <t>Asep Saipul Milah</t>
  </si>
  <si>
    <t>+62 857-2121-1537</t>
  </si>
  <si>
    <t>B 2290 BKT</t>
  </si>
  <si>
    <t>H250043</t>
  </si>
  <si>
    <t>Yogi</t>
  </si>
  <si>
    <t>+62 821-2839-4592</t>
  </si>
  <si>
    <t>B 9282 WDB</t>
  </si>
  <si>
    <t>H250044</t>
  </si>
  <si>
    <t>LFW-FE300MU</t>
  </si>
  <si>
    <t>+62 815-1653-899</t>
  </si>
  <si>
    <t>B 9438 IR</t>
  </si>
  <si>
    <t>FDL-FE300ASH</t>
  </si>
  <si>
    <t>H250045</t>
  </si>
  <si>
    <t>Ib Dewi (Nano Ceramic)</t>
  </si>
  <si>
    <t>+62 812-4175-6060</t>
  </si>
  <si>
    <t>Makasar</t>
  </si>
  <si>
    <t>H250046</t>
  </si>
  <si>
    <t>Subagyo</t>
  </si>
  <si>
    <t>+62 813-1525-3189</t>
  </si>
  <si>
    <t>B 2629 BIB</t>
  </si>
  <si>
    <t>H250047</t>
  </si>
  <si>
    <t>+62 851-7415-7608</t>
  </si>
  <si>
    <t>B 2406 BBP</t>
  </si>
  <si>
    <t>H250048</t>
  </si>
  <si>
    <t>LFW-ELFNKRXYG</t>
  </si>
  <si>
    <t>Irfan</t>
  </si>
  <si>
    <t>+62 811-3042-408</t>
  </si>
  <si>
    <t>H250049</t>
  </si>
  <si>
    <t>PT Klase Auto Graha</t>
  </si>
  <si>
    <t>+62 811-161-203</t>
  </si>
  <si>
    <t>B 2511 SJD</t>
  </si>
  <si>
    <t>Pesanggrahan</t>
  </si>
  <si>
    <t>SJTGRH250005</t>
  </si>
  <si>
    <t>PT Berkat Gemilang Indonesia</t>
  </si>
  <si>
    <t>+62 852-1151-9637</t>
  </si>
  <si>
    <t>H250050</t>
  </si>
  <si>
    <t>Nelson</t>
  </si>
  <si>
    <t>+62 813-8152-4059</t>
  </si>
  <si>
    <t>B 1887 UKT</t>
  </si>
  <si>
    <t>H250051</t>
  </si>
  <si>
    <t>TRW-XPANDERHAGC</t>
  </si>
  <si>
    <t>Bpk. Ken</t>
  </si>
  <si>
    <t>+62 812-1147-7197</t>
  </si>
  <si>
    <t>B 1346 VOR</t>
  </si>
  <si>
    <t>H250052</t>
  </si>
  <si>
    <t>LFW-INNOVA04AGC</t>
  </si>
  <si>
    <t>Handi</t>
  </si>
  <si>
    <t>+62 878-8772-7757</t>
  </si>
  <si>
    <t>B 2505 BFJ</t>
  </si>
  <si>
    <t>H250053</t>
  </si>
  <si>
    <t>Bpk. Jun</t>
  </si>
  <si>
    <t>B 1624 PDK</t>
  </si>
  <si>
    <t>H250054</t>
  </si>
  <si>
    <t>LFW-ELFNMRXYG</t>
  </si>
  <si>
    <t>H250055</t>
  </si>
  <si>
    <t>Bpk. Yoyok</t>
  </si>
  <si>
    <t>+62 815-9700-965</t>
  </si>
  <si>
    <t>B 1759 CKD</t>
  </si>
  <si>
    <t>H250056</t>
  </si>
  <si>
    <t>Alan</t>
  </si>
  <si>
    <t>+62 821-2227-0798</t>
  </si>
  <si>
    <t>A 1127 YP</t>
  </si>
  <si>
    <t>H250057</t>
  </si>
  <si>
    <t>Louis</t>
  </si>
  <si>
    <t>+62 812-8058-1697</t>
  </si>
  <si>
    <t>D 8042 XB</t>
  </si>
  <si>
    <t>H250058</t>
  </si>
  <si>
    <t>B 2960 KON</t>
  </si>
  <si>
    <t>H250059</t>
  </si>
  <si>
    <t>Eka</t>
  </si>
  <si>
    <t>+62 821-1256-0249</t>
  </si>
  <si>
    <t>B 1425 DKB</t>
  </si>
  <si>
    <t>Palmerah</t>
  </si>
  <si>
    <t>H250060</t>
  </si>
  <si>
    <t>LFW-CRV17AGC</t>
  </si>
  <si>
    <t>Bpk. Hermawan</t>
  </si>
  <si>
    <t>+62812-3610-1286</t>
  </si>
  <si>
    <t>B 2477 SXT</t>
  </si>
  <si>
    <t>H250061</t>
  </si>
  <si>
    <t>LFW-XPANDERAGC</t>
  </si>
  <si>
    <t>Chinen</t>
  </si>
  <si>
    <t>+62 819-0812-5505</t>
  </si>
  <si>
    <t>B 1745 HKS</t>
  </si>
  <si>
    <t>H250062</t>
  </si>
  <si>
    <t>Jo</t>
  </si>
  <si>
    <t>‪+62 877‑5067‑1110‬</t>
  </si>
  <si>
    <t>B 2244 TFZ</t>
  </si>
  <si>
    <t>H250063</t>
  </si>
  <si>
    <t>LFW-XFORCERSRAINMU</t>
  </si>
  <si>
    <t>Malik Akbar Halim</t>
  </si>
  <si>
    <t>‪+62 812‑9096‑6768‬</t>
  </si>
  <si>
    <t>B 1800 ZPC</t>
  </si>
  <si>
    <t>H250064</t>
  </si>
  <si>
    <t>Segie Putrama</t>
  </si>
  <si>
    <t>+62 878-8361-458</t>
  </si>
  <si>
    <t>B 1096 KW</t>
  </si>
  <si>
    <t>Kebayoran Lama</t>
  </si>
  <si>
    <t>H250065</t>
  </si>
  <si>
    <t>Roni</t>
  </si>
  <si>
    <t>+62 852-7167-2000</t>
  </si>
  <si>
    <t>H250066</t>
  </si>
  <si>
    <t>Suhartono</t>
  </si>
  <si>
    <t>+62 821-2272-6510</t>
  </si>
  <si>
    <t>B 1023 ZKM</t>
  </si>
  <si>
    <t>H250067</t>
  </si>
  <si>
    <t>TRW-CAMRY11XYG</t>
  </si>
  <si>
    <t>PT M.A.S</t>
  </si>
  <si>
    <t>+62 857-7817-7418</t>
  </si>
  <si>
    <t>B 1285 WAB</t>
  </si>
  <si>
    <t>H250068</t>
  </si>
  <si>
    <t>TRW-XPANDERAGC</t>
  </si>
  <si>
    <t>Adi Saputra</t>
  </si>
  <si>
    <t>+62 812-1839-0002</t>
  </si>
  <si>
    <t>A 1087 YK</t>
  </si>
  <si>
    <t>SJTGRH250008</t>
  </si>
  <si>
    <t>Sentra Bekasi</t>
  </si>
  <si>
    <t>H250069</t>
  </si>
  <si>
    <t>LFW-DMAX2XYG</t>
  </si>
  <si>
    <t>Reza Febrian</t>
  </si>
  <si>
    <t>+62 822-9808-7578</t>
  </si>
  <si>
    <t>Menteng</t>
  </si>
  <si>
    <t>v</t>
  </si>
  <si>
    <t>H250070</t>
  </si>
  <si>
    <t>Ahmad Maulana</t>
  </si>
  <si>
    <t>+62 813-8886-1939</t>
  </si>
  <si>
    <t>A 1870 YF</t>
  </si>
  <si>
    <t>H250071</t>
  </si>
  <si>
    <t>TRW-T32FR</t>
  </si>
  <si>
    <t>Immanuel Ragil</t>
  </si>
  <si>
    <t>+62 813-1199-5520</t>
  </si>
  <si>
    <t>B 2851 BFA</t>
  </si>
  <si>
    <t>Pasar Minggu</t>
  </si>
  <si>
    <t>SJH2025081600008</t>
  </si>
  <si>
    <t>TRW-BRV22AGC</t>
  </si>
  <si>
    <t>H250072</t>
  </si>
  <si>
    <t>RDL-PAJERO16XYG</t>
  </si>
  <si>
    <t>Ibu Susi</t>
  </si>
  <si>
    <t>+62 811-971-536</t>
  </si>
  <si>
    <t>B 685 SUS</t>
  </si>
  <si>
    <t>H250073</t>
  </si>
  <si>
    <t>SWR-ERTIGA12ASH</t>
  </si>
  <si>
    <t>Bu Yuli</t>
  </si>
  <si>
    <t xml:space="preserve">+62 878-8452-0296 </t>
  </si>
  <si>
    <t>B 2456 JUG</t>
  </si>
  <si>
    <t>Kampung Melayu</t>
  </si>
  <si>
    <t>H250074</t>
  </si>
  <si>
    <t>PT Sarana Baja Perkasa</t>
  </si>
  <si>
    <t>+62 812-1080-2272</t>
  </si>
  <si>
    <t>Kalideres</t>
  </si>
  <si>
    <t>H250075</t>
  </si>
  <si>
    <t>TRW-AVANZA03XYG</t>
  </si>
  <si>
    <t>SJTGRH250011</t>
  </si>
  <si>
    <t>H250076</t>
  </si>
  <si>
    <t>FDR-L300ASH</t>
  </si>
  <si>
    <t>Dzikri</t>
  </si>
  <si>
    <t>+62 895-3305-98911</t>
  </si>
  <si>
    <t>B 9377 CCI</t>
  </si>
  <si>
    <t>H250077</t>
  </si>
  <si>
    <t>Pak Al</t>
  </si>
  <si>
    <t>+62 821-7588-1135</t>
  </si>
  <si>
    <t>B 1275 WK</t>
  </si>
  <si>
    <t>H250078</t>
  </si>
  <si>
    <t>Rudi Poerwanto</t>
  </si>
  <si>
    <t>‪+62 855‑1076‑339‬</t>
  </si>
  <si>
    <t>H250079</t>
  </si>
  <si>
    <t>Berthalina</t>
  </si>
  <si>
    <t>‪+62 822‑8555‑4644‬</t>
  </si>
  <si>
    <t>BM 1660 AR</t>
  </si>
  <si>
    <t>H250080</t>
  </si>
  <si>
    <t>Adrian</t>
  </si>
  <si>
    <t>+62 813-9866-8821</t>
  </si>
  <si>
    <t>B 2551 KFF</t>
  </si>
  <si>
    <t>H250081</t>
  </si>
  <si>
    <t>Seda</t>
  </si>
  <si>
    <t>‪+62 813‑2101‑0804‬</t>
  </si>
  <si>
    <t>A 1421 WR</t>
  </si>
  <si>
    <t>H250082</t>
  </si>
  <si>
    <t>H250083</t>
  </si>
  <si>
    <t>Demina Sibayak Jaya</t>
  </si>
  <si>
    <t>+62 822-7736-4830</t>
  </si>
  <si>
    <t>H250084</t>
  </si>
  <si>
    <t>FDR-SIENTAASH</t>
  </si>
  <si>
    <t>Ibu Amalia</t>
  </si>
  <si>
    <t>+62 878-2332-7886</t>
  </si>
  <si>
    <t>SJTGRH2500010</t>
  </si>
  <si>
    <t>FDL-HRV14AGC</t>
  </si>
  <si>
    <t>H250085</t>
  </si>
  <si>
    <t>Arif Efendi</t>
  </si>
  <si>
    <t>+62 812-8491-2951</t>
  </si>
  <si>
    <t>A 1543 VK</t>
  </si>
  <si>
    <t>Cikupa</t>
  </si>
  <si>
    <t>A 1279 VMA</t>
  </si>
  <si>
    <t>H250086</t>
  </si>
  <si>
    <t>+62 858-8836-5860</t>
  </si>
  <si>
    <t>B 9706 SO</t>
  </si>
  <si>
    <t>H250087</t>
  </si>
  <si>
    <t>TRW-AVANZA11HXYG</t>
  </si>
  <si>
    <t>Reynaldi</t>
  </si>
  <si>
    <t>+6281-3159-83991</t>
  </si>
  <si>
    <t>A 1561 VT</t>
  </si>
  <si>
    <t>H250088</t>
  </si>
  <si>
    <t>Ateng Nasuta</t>
  </si>
  <si>
    <t>+62 812-8003-8917</t>
  </si>
  <si>
    <t>B 1329 NMP</t>
  </si>
  <si>
    <t>H250089</t>
  </si>
  <si>
    <t>Nelson Sihombing</t>
  </si>
  <si>
    <t>‪+62 857‑7483‑8363‬</t>
  </si>
  <si>
    <t>B 1689 CYK</t>
  </si>
  <si>
    <t>V</t>
  </si>
  <si>
    <t>H250090</t>
  </si>
  <si>
    <t>Hadiyono</t>
  </si>
  <si>
    <t>+62 819-1180-8883 / +62 852-5031-1128</t>
  </si>
  <si>
    <t>F 77 CQ</t>
  </si>
  <si>
    <t>Tambora</t>
  </si>
  <si>
    <t>H250091</t>
  </si>
  <si>
    <t>TRW-BIANTEBLACKXYG</t>
  </si>
  <si>
    <t>Nadhira Laisa</t>
  </si>
  <si>
    <t>+62 812-1398-0662</t>
  </si>
  <si>
    <t>B 2175 BZZ</t>
  </si>
  <si>
    <t>H250092</t>
  </si>
  <si>
    <t>Reasaskiu Grandy</t>
  </si>
  <si>
    <t>+62 812-9481-596</t>
  </si>
  <si>
    <t>B 89 DER</t>
  </si>
  <si>
    <t>H250093</t>
  </si>
  <si>
    <t>Gibran</t>
  </si>
  <si>
    <t>+62 819-0564-7703</t>
  </si>
  <si>
    <t>4021-00</t>
  </si>
  <si>
    <t>SJH2025082600013</t>
  </si>
  <si>
    <t>H250094</t>
  </si>
  <si>
    <t>Achi</t>
  </si>
  <si>
    <t>+62 822-1111-0372</t>
  </si>
  <si>
    <t>B 2041 TFY</t>
  </si>
  <si>
    <t>H250095</t>
  </si>
  <si>
    <t>RDR-BRIO18AGC</t>
  </si>
  <si>
    <t>Ferdinan Dany</t>
  </si>
  <si>
    <t>‪+62 812‑2571‑0005‬</t>
  </si>
  <si>
    <t>H250096</t>
  </si>
  <si>
    <t>Ade</t>
  </si>
  <si>
    <t>+62 816-729-399</t>
  </si>
  <si>
    <t>B 2008 NL</t>
  </si>
  <si>
    <t>H250097</t>
  </si>
  <si>
    <t>Dila</t>
  </si>
  <si>
    <t>+62 812-8641-7775</t>
  </si>
  <si>
    <t>B 1154 CMY</t>
  </si>
  <si>
    <t>SJH2025082800009</t>
  </si>
  <si>
    <t>FDL-INNOVA22AGC</t>
  </si>
  <si>
    <t>SENTRA Bekasi</t>
  </si>
  <si>
    <t>RDR-INNOVA22AGC</t>
  </si>
  <si>
    <t>RDL-INNOVA22AGC</t>
  </si>
  <si>
    <t>H250098</t>
  </si>
  <si>
    <t>LFW-RAIZEMU</t>
  </si>
  <si>
    <t>Michael</t>
  </si>
  <si>
    <t>+62 878-0425-7357</t>
  </si>
  <si>
    <t>B 2352 FGX</t>
  </si>
  <si>
    <t>H250099</t>
  </si>
  <si>
    <t>TRW-EVALIAAUTO</t>
  </si>
  <si>
    <t>+62 819-0827-5066</t>
  </si>
  <si>
    <t>B 1935 POX</t>
  </si>
  <si>
    <t>H250100</t>
  </si>
  <si>
    <t>LFW-SIENTAASH</t>
  </si>
  <si>
    <t>Kak Awan</t>
  </si>
  <si>
    <t>+62 821-3752-3956</t>
  </si>
  <si>
    <t>B 2413 TOA</t>
  </si>
  <si>
    <t>H250101</t>
  </si>
  <si>
    <t>TRW-W211XYG</t>
  </si>
  <si>
    <t>Randy</t>
  </si>
  <si>
    <t>+62 822-2866-6244</t>
  </si>
  <si>
    <t>B 2909 STV</t>
  </si>
  <si>
    <t>H250102</t>
  </si>
  <si>
    <t>SWL-RAIZEMU</t>
  </si>
  <si>
    <t>Biovan</t>
  </si>
  <si>
    <t>+62 813-3384-2347</t>
  </si>
  <si>
    <t>B 1631 DFH</t>
  </si>
  <si>
    <t>H250103</t>
  </si>
  <si>
    <t>+62 812-1882-8414</t>
  </si>
  <si>
    <t>FDR-ALMAZAGC</t>
  </si>
  <si>
    <t>H250104</t>
  </si>
  <si>
    <t>LFW-SPARK98XYG</t>
  </si>
  <si>
    <t>WA</t>
  </si>
  <si>
    <t>I250001</t>
  </si>
  <si>
    <t>LFW-ALPHARD08RSXYG</t>
  </si>
  <si>
    <t>Wahyu</t>
  </si>
  <si>
    <t>+62 811-948-095</t>
  </si>
  <si>
    <t>B 668 RIA</t>
  </si>
  <si>
    <t>MLDG-ANH20AGH30UPTOY</t>
  </si>
  <si>
    <t>I250002</t>
  </si>
  <si>
    <t>Kino</t>
  </si>
  <si>
    <t>+62 857-7218-3750</t>
  </si>
  <si>
    <t>B 9254 JZB</t>
  </si>
  <si>
    <t>I250003</t>
  </si>
  <si>
    <t>Gilang</t>
  </si>
  <si>
    <t>+62 821-1256-7778</t>
  </si>
  <si>
    <t>B 2510 SKE</t>
  </si>
  <si>
    <t>I250004</t>
  </si>
  <si>
    <t>Nissan Teana L33</t>
  </si>
  <si>
    <t>Bpk. Boy Achmad Fadjar</t>
  </si>
  <si>
    <t>+62 878-8908-2524</t>
  </si>
  <si>
    <t>UDAH REFUND</t>
  </si>
  <si>
    <t>Jakarta Timur</t>
  </si>
  <si>
    <t>I250005</t>
  </si>
  <si>
    <t>+62 812-8880-3812</t>
  </si>
  <si>
    <t>B 1588 VUK</t>
  </si>
  <si>
    <t>I250006</t>
  </si>
  <si>
    <t>Daud</t>
  </si>
  <si>
    <t>+62 857-1405-7974</t>
  </si>
  <si>
    <t>B 2875 BYG</t>
  </si>
  <si>
    <t>I250007</t>
  </si>
  <si>
    <t>+62 851-5660-2642</t>
  </si>
  <si>
    <t>B 8 CAF</t>
  </si>
  <si>
    <t>I250008</t>
  </si>
  <si>
    <t>Irsyad</t>
  </si>
  <si>
    <t>+62 821-7013-5053</t>
  </si>
  <si>
    <t>B 1408 BME</t>
  </si>
  <si>
    <t>I250009</t>
  </si>
  <si>
    <t>RDL-SCROSS16SGP</t>
  </si>
  <si>
    <t>Nisa</t>
  </si>
  <si>
    <t>+62 813-1764-9975</t>
  </si>
  <si>
    <t>B 2317 JUZ</t>
  </si>
  <si>
    <t>Karawaci</t>
  </si>
  <si>
    <t>I250010</t>
  </si>
  <si>
    <t>FDR-HRV14AGC</t>
  </si>
  <si>
    <t>Rissa</t>
  </si>
  <si>
    <t>+62 812-8602-6492</t>
  </si>
  <si>
    <t>B 2753 TKS</t>
  </si>
  <si>
    <t>Joglo</t>
  </si>
  <si>
    <t>SJTGRI250001</t>
  </si>
  <si>
    <t>LFW-JAZZ13AGC</t>
  </si>
  <si>
    <t>FDR-AVANZA21ASH</t>
  </si>
  <si>
    <t>I250011</t>
  </si>
  <si>
    <t>Nurdin</t>
  </si>
  <si>
    <t>+62 877-8829-4072</t>
  </si>
  <si>
    <t>B 1477 VLP</t>
  </si>
  <si>
    <t>I250012</t>
  </si>
  <si>
    <t>Andre / PT WIRA MANDIRI LESTARI</t>
  </si>
  <si>
    <t>+62 813-8650-6320</t>
  </si>
  <si>
    <t>B 1472 TOW</t>
  </si>
  <si>
    <t>SJH2025090200003</t>
  </si>
  <si>
    <t>FDR-CRV17AGC</t>
  </si>
  <si>
    <t>FDL-CRV17AGC</t>
  </si>
  <si>
    <t>RDR-CRV17AGC</t>
  </si>
  <si>
    <t>RDL-CRV17AGC</t>
  </si>
  <si>
    <t>I250013</t>
  </si>
  <si>
    <t>Pak Suratno</t>
  </si>
  <si>
    <t>+62 853-6012-8298</t>
  </si>
  <si>
    <t>B 2217 BRT</t>
  </si>
  <si>
    <t>I250014</t>
  </si>
  <si>
    <t>LFW-T32XYG</t>
  </si>
  <si>
    <t>Aidil</t>
  </si>
  <si>
    <t>+62 822-4444-8017</t>
  </si>
  <si>
    <t>B 2242 KYD</t>
  </si>
  <si>
    <t>SJH2025090300005</t>
  </si>
  <si>
    <t>FDR-FORTUNER15AGC</t>
  </si>
  <si>
    <t>FDL-FORTUNER15AGC</t>
  </si>
  <si>
    <t>RDR-FORTUNER15AGC</t>
  </si>
  <si>
    <t>SWL-TERIOS06AGC</t>
  </si>
  <si>
    <t>SJH2025090300004</t>
  </si>
  <si>
    <t>SWR-TERIOS06AGC</t>
  </si>
  <si>
    <t>SWR-RUSH17AGC</t>
  </si>
  <si>
    <t>SWL-RUSH17AGC</t>
  </si>
  <si>
    <t>I250015</t>
  </si>
  <si>
    <t>LFW-G20RS1XYG</t>
  </si>
  <si>
    <t xml:space="preserve">Firdan </t>
  </si>
  <si>
    <t>+62 855-1932-000</t>
  </si>
  <si>
    <t>B 1936 FAB</t>
  </si>
  <si>
    <t>I250016</t>
  </si>
  <si>
    <t>Bpk. Marjono</t>
  </si>
  <si>
    <t>+62 878-8678-4963</t>
  </si>
  <si>
    <t>B 1032 CFS</t>
  </si>
  <si>
    <t>I250017</t>
  </si>
  <si>
    <t>RDL-FREEDAGC</t>
  </si>
  <si>
    <t>Feri</t>
  </si>
  <si>
    <t>+62 815-1180-0145</t>
  </si>
  <si>
    <t>R 1786 NA</t>
  </si>
  <si>
    <t>I250018</t>
  </si>
  <si>
    <t>Bayu</t>
  </si>
  <si>
    <t>‪+62 812‑8178‑4449‬</t>
  </si>
  <si>
    <t>T 1223 AS</t>
  </si>
  <si>
    <t>Harmoni</t>
  </si>
  <si>
    <t>Cici</t>
  </si>
  <si>
    <t>I250019</t>
  </si>
  <si>
    <t>Lambok</t>
  </si>
  <si>
    <t>+62 812-8207-5400</t>
  </si>
  <si>
    <t>B 2373 TZX</t>
  </si>
  <si>
    <t>I250020</t>
  </si>
  <si>
    <t>LFW-BRV22RSAGC</t>
  </si>
  <si>
    <t>Johny Demitrus</t>
  </si>
  <si>
    <t>+62 812-9886-2486</t>
  </si>
  <si>
    <t>B 1889 DOV</t>
  </si>
  <si>
    <t>I250021</t>
  </si>
  <si>
    <t>TRW-AVANZA03HXYG</t>
  </si>
  <si>
    <t>Dias</t>
  </si>
  <si>
    <t>+62 812-3082-2001</t>
  </si>
  <si>
    <t>B 1405 VMI</t>
  </si>
  <si>
    <t>I250022</t>
  </si>
  <si>
    <t>TRW-CITY14XYG</t>
  </si>
  <si>
    <t>Djono / Body Repair Cimone</t>
  </si>
  <si>
    <t>+852 5982 3963</t>
  </si>
  <si>
    <t>Cimone</t>
  </si>
  <si>
    <t>I250023</t>
  </si>
  <si>
    <t>TRW-CX5GEN2XYG</t>
  </si>
  <si>
    <t>Ferry</t>
  </si>
  <si>
    <t>+62 812-2044-908</t>
  </si>
  <si>
    <t>B 2826 SYL</t>
  </si>
  <si>
    <t>I250024</t>
  </si>
  <si>
    <t>PT. CATUR ARKA ADIWIGNYA</t>
  </si>
  <si>
    <t>+62 852-1953-4502</t>
  </si>
  <si>
    <t>Banten</t>
  </si>
  <si>
    <t>I250025</t>
  </si>
  <si>
    <t>Ahmad Ramdani Badri</t>
  </si>
  <si>
    <t>+62 877-8397-9232</t>
  </si>
  <si>
    <t>B 1593 SFM</t>
  </si>
  <si>
    <t>I250026</t>
  </si>
  <si>
    <t>Johari</t>
  </si>
  <si>
    <t>+62 813-1680-1300</t>
  </si>
  <si>
    <t>B 1870 UKD</t>
  </si>
  <si>
    <t>I250027</t>
  </si>
  <si>
    <t>Pedro</t>
  </si>
  <si>
    <t>+62 877-2333-1777 / +62 818-0200-0777</t>
  </si>
  <si>
    <t>I250028</t>
  </si>
  <si>
    <t>Ames lian selih</t>
  </si>
  <si>
    <t>+62 881-0128-96111</t>
  </si>
  <si>
    <t>B 1477 JLP</t>
  </si>
  <si>
    <t>Parung Panjang</t>
  </si>
  <si>
    <t>I250029</t>
  </si>
  <si>
    <t>Johan</t>
  </si>
  <si>
    <t>+62 878-8899-9137</t>
  </si>
  <si>
    <t>B 1538 FID</t>
  </si>
  <si>
    <t>Pegadungan</t>
  </si>
  <si>
    <t>I250030</t>
  </si>
  <si>
    <t>B. Ida</t>
  </si>
  <si>
    <t>+62 812-8810-819</t>
  </si>
  <si>
    <t>B 2376 RG</t>
  </si>
  <si>
    <t>SJTGRI250002</t>
  </si>
  <si>
    <t>Sentra Surabaya</t>
  </si>
  <si>
    <t>I250031</t>
  </si>
  <si>
    <t>SWR-GRANMAXLUXIOASH</t>
  </si>
  <si>
    <t>Abi</t>
  </si>
  <si>
    <t>+62 899-6966-870</t>
  </si>
  <si>
    <t>I250032</t>
  </si>
  <si>
    <t>Duta</t>
  </si>
  <si>
    <t>‪+62 812‑9707‑007‬</t>
  </si>
  <si>
    <t>B 2049 DU</t>
  </si>
  <si>
    <t>Kreo</t>
  </si>
  <si>
    <t>I250033</t>
  </si>
  <si>
    <t>Amun</t>
  </si>
  <si>
    <t>+62 813-1979-3623</t>
  </si>
  <si>
    <t>B 2608 VVB</t>
  </si>
  <si>
    <t>I250034</t>
  </si>
  <si>
    <t>LFW-CX5GEN2RS1XYG</t>
  </si>
  <si>
    <t>+62 812-1719-9199</t>
  </si>
  <si>
    <t>B 1012 NZN</t>
  </si>
  <si>
    <t>I250035</t>
  </si>
  <si>
    <t>LFW-FJ120XYG</t>
  </si>
  <si>
    <t>Sumber Mas Afat Mks</t>
  </si>
  <si>
    <t xml:space="preserve">+62 811-103-499 </t>
  </si>
  <si>
    <t>I250036</t>
  </si>
  <si>
    <t>Didi</t>
  </si>
  <si>
    <t>+62 818-0830-9168</t>
  </si>
  <si>
    <t>B 1005 CYH</t>
  </si>
  <si>
    <t>SJH2025090900010</t>
  </si>
  <si>
    <t>SJH2025090900003</t>
  </si>
  <si>
    <t>FDR-WRV23AGC</t>
  </si>
  <si>
    <t>FDL-WRV23AGC</t>
  </si>
  <si>
    <t>RDR-WRV23AGC</t>
  </si>
  <si>
    <t>RDL-WRV23AGC</t>
  </si>
  <si>
    <t>I250037</t>
  </si>
  <si>
    <t>FDL-AGYA23MU</t>
  </si>
  <si>
    <t>Donny</t>
  </si>
  <si>
    <t>+62 818-0796-5533</t>
  </si>
  <si>
    <t>A 1816 VFA</t>
  </si>
  <si>
    <t>I250038</t>
  </si>
  <si>
    <t>Caesar</t>
  </si>
  <si>
    <t>+62 812-9069-3339</t>
  </si>
  <si>
    <t>B 27 QL</t>
  </si>
  <si>
    <t>Jakarta Pusat</t>
  </si>
  <si>
    <t>I250039</t>
  </si>
  <si>
    <t>Sumantri</t>
  </si>
  <si>
    <t>+62 821-2576-0168</t>
  </si>
  <si>
    <t>B 1926 EZU</t>
  </si>
  <si>
    <t>SJH2025091100004</t>
  </si>
  <si>
    <t>I250040</t>
  </si>
  <si>
    <t>Boyke</t>
  </si>
  <si>
    <t>+62 812-9687-0420</t>
  </si>
  <si>
    <t>B 8393 YU</t>
  </si>
  <si>
    <t>I250041</t>
  </si>
  <si>
    <t>LFW-PICANTO11XYG</t>
  </si>
  <si>
    <t>Dina Indriani</t>
  </si>
  <si>
    <t>+62 877-3394-6546</t>
  </si>
  <si>
    <t>B 1198 SZS</t>
  </si>
  <si>
    <t>I250042</t>
  </si>
  <si>
    <t>TRW-BRIO18AGC</t>
  </si>
  <si>
    <t>Anwar</t>
  </si>
  <si>
    <t>+62 878-1506-0382</t>
  </si>
  <si>
    <t>F 1094 FCE</t>
  </si>
  <si>
    <t>I250043</t>
  </si>
  <si>
    <t>Surya</t>
  </si>
  <si>
    <t>+62 856-6434-8490</t>
  </si>
  <si>
    <t>B 1727 KJO</t>
  </si>
  <si>
    <t>I250044</t>
  </si>
  <si>
    <t>Bpk. Pur</t>
  </si>
  <si>
    <t>+62 817-9551-599</t>
  </si>
  <si>
    <t>B 1032 VLS</t>
  </si>
  <si>
    <t>I250045</t>
  </si>
  <si>
    <t>Bpk. Faisal</t>
  </si>
  <si>
    <t>+62 895-3668-54327</t>
  </si>
  <si>
    <t>B 1420 CIE</t>
  </si>
  <si>
    <t>I250046</t>
  </si>
  <si>
    <t>Hana Dwi Djayanti (SPPG Khusus Seskoal- Cipulir-Jaksel)</t>
  </si>
  <si>
    <t>+62 857-8102-2049</t>
  </si>
  <si>
    <t>B 9041 FCN</t>
  </si>
  <si>
    <t>I250047</t>
  </si>
  <si>
    <t>Bram</t>
  </si>
  <si>
    <t>+62 811-3338-380</t>
  </si>
  <si>
    <t>B 2176 PBM</t>
  </si>
  <si>
    <t>I250048</t>
  </si>
  <si>
    <t>RDR-RANGER11ASH</t>
  </si>
  <si>
    <t>Rahmat Husain</t>
  </si>
  <si>
    <t>+62 852-1329-5550</t>
  </si>
  <si>
    <t>Simatupang</t>
  </si>
  <si>
    <t>I250049</t>
  </si>
  <si>
    <t>Roy</t>
  </si>
  <si>
    <t>+62 851-6265-0339</t>
  </si>
  <si>
    <t>B 1402 TBC</t>
  </si>
  <si>
    <t>I250050</t>
  </si>
  <si>
    <t>Paulin</t>
  </si>
  <si>
    <t>+62 811-9740-223</t>
  </si>
  <si>
    <t>B 1355 JFK</t>
  </si>
  <si>
    <t>SJTGRI250005</t>
  </si>
  <si>
    <t>LFW-CAMRY11XYG</t>
  </si>
  <si>
    <t>I250051</t>
  </si>
  <si>
    <t>Hika Putra</t>
  </si>
  <si>
    <t>+62 813-1709-1932</t>
  </si>
  <si>
    <t>B 1995 HIK</t>
  </si>
  <si>
    <t>I250052</t>
  </si>
  <si>
    <t>Hamam</t>
  </si>
  <si>
    <t>+62 895-2210-8548</t>
  </si>
  <si>
    <t>B 1195 WKH</t>
  </si>
  <si>
    <t>I250053</t>
  </si>
  <si>
    <t>Reven</t>
  </si>
  <si>
    <t>+62 877-0060-3773</t>
  </si>
  <si>
    <t>B 8472 BL</t>
  </si>
  <si>
    <t>SJTGRI250006</t>
  </si>
  <si>
    <t>LFW-SIENTAAGC</t>
  </si>
  <si>
    <t>I250054</t>
  </si>
  <si>
    <t>LFW-DYNABY40ASH</t>
  </si>
  <si>
    <t>Bpk. Hasan</t>
  </si>
  <si>
    <t>+62 896-9513-4814</t>
  </si>
  <si>
    <t>B 9507 CC</t>
  </si>
  <si>
    <t>I250055</t>
  </si>
  <si>
    <t>PT Prima Karya Berjaya</t>
  </si>
  <si>
    <t>+62 851-7991-8269</t>
  </si>
  <si>
    <t xml:space="preserve">B 2869 BOD
</t>
  </si>
  <si>
    <t>I250056</t>
  </si>
  <si>
    <t>Kay</t>
  </si>
  <si>
    <t>+62 811-993-422</t>
  </si>
  <si>
    <t>D 1386 OM</t>
  </si>
  <si>
    <t>I250057</t>
  </si>
  <si>
    <t>Intan Permatasari</t>
  </si>
  <si>
    <t>+62 812-2349-1295</t>
  </si>
  <si>
    <t>B 1101 SZI</t>
  </si>
  <si>
    <t>I250058</t>
  </si>
  <si>
    <t>LFW-SPORTAGE04XYG</t>
  </si>
  <si>
    <t>Rianto</t>
  </si>
  <si>
    <t>+62 858-3524-9698</t>
  </si>
  <si>
    <t>Sumatera Utara</t>
  </si>
  <si>
    <t>Tokopedia</t>
  </si>
  <si>
    <t>I250059</t>
  </si>
  <si>
    <t>Riko</t>
  </si>
  <si>
    <t>+62 812-1178-8628</t>
  </si>
  <si>
    <t>A 1529 CW</t>
  </si>
  <si>
    <t>I250060</t>
  </si>
  <si>
    <t>SWL-C26XYG</t>
  </si>
  <si>
    <t>Susan</t>
  </si>
  <si>
    <t>+62 813-5676-6693</t>
  </si>
  <si>
    <t>B 1396 JY</t>
  </si>
  <si>
    <t>I250061</t>
  </si>
  <si>
    <t>TRW-TRAILBLAZERXYG</t>
  </si>
  <si>
    <t>Ardi</t>
  </si>
  <si>
    <t>+62 858-4000-1026</t>
  </si>
  <si>
    <t>SWR-TRAILBLAZERXYG</t>
  </si>
  <si>
    <t>I250062</t>
  </si>
  <si>
    <t>LFW-SCIROCCOXYG</t>
  </si>
  <si>
    <t>Jay</t>
  </si>
  <si>
    <t>+62 878-1738-1809</t>
  </si>
  <si>
    <t>B 89 ARS</t>
  </si>
  <si>
    <t>OTH-SERSK</t>
  </si>
  <si>
    <t>I250063</t>
  </si>
  <si>
    <t>SRL-HIACEXYG</t>
  </si>
  <si>
    <t>Moko</t>
  </si>
  <si>
    <t>+62 812-9615-1170</t>
  </si>
  <si>
    <t>B 7712 FDA</t>
  </si>
  <si>
    <t>I250064</t>
  </si>
  <si>
    <t>Aminudin</t>
  </si>
  <si>
    <t>+62 813-8033-4127</t>
  </si>
  <si>
    <t>B 960 JJT</t>
  </si>
  <si>
    <t>I250065</t>
  </si>
  <si>
    <t>Ariel Mazefa</t>
  </si>
  <si>
    <t>+62 852-7607-1079</t>
  </si>
  <si>
    <t>B 1565 SVK</t>
  </si>
  <si>
    <t>Grogol</t>
  </si>
  <si>
    <t>I250066</t>
  </si>
  <si>
    <t>Daniel</t>
  </si>
  <si>
    <t>+62 822-9946-0623</t>
  </si>
  <si>
    <t>B 2781 CBA</t>
  </si>
  <si>
    <t>I250067</t>
  </si>
  <si>
    <t>Samsi</t>
  </si>
  <si>
    <t>+62 899-2568-977</t>
  </si>
  <si>
    <t>A 1658 WP</t>
  </si>
  <si>
    <t>I250068</t>
  </si>
  <si>
    <t>Mimi</t>
  </si>
  <si>
    <t>+62 878-7802-5027</t>
  </si>
  <si>
    <t>B 1431 NON</t>
  </si>
  <si>
    <t>I250069</t>
  </si>
  <si>
    <t>TRW-HIACEXYG</t>
  </si>
  <si>
    <t>Boby</t>
  </si>
  <si>
    <t>+62 813-7801-8926</t>
  </si>
  <si>
    <t>I250070</t>
  </si>
  <si>
    <t>Tondan Arlyanti</t>
  </si>
  <si>
    <t>+62 812-8343-4569</t>
  </si>
  <si>
    <t>B 1126 DZN</t>
  </si>
  <si>
    <t>I250071</t>
  </si>
  <si>
    <t>SWR-RAIZEMU</t>
  </si>
  <si>
    <t>Henry</t>
  </si>
  <si>
    <t>+62 812-1003-095</t>
  </si>
  <si>
    <t>B 2404 SRZ</t>
  </si>
  <si>
    <t>PIK 1</t>
  </si>
  <si>
    <t>I250072</t>
  </si>
  <si>
    <t>LFW-ALPHARD15XYG</t>
  </si>
  <si>
    <t>Sidra</t>
  </si>
  <si>
    <t>+62 812-5757-5655</t>
  </si>
  <si>
    <t>B 412 RFS</t>
  </si>
  <si>
    <t>I250073</t>
  </si>
  <si>
    <t>Giant</t>
  </si>
  <si>
    <t>+62 812-8138-9989</t>
  </si>
  <si>
    <t>B 2349 SJG</t>
  </si>
  <si>
    <t>I250074</t>
  </si>
  <si>
    <t>Bu Siti Aisyah</t>
  </si>
  <si>
    <t>+62 812-9550-322 / +62811725383</t>
  </si>
  <si>
    <t>BE 41 MEE</t>
  </si>
  <si>
    <t>PIK 2</t>
  </si>
  <si>
    <t>I250075</t>
  </si>
  <si>
    <t>Irwan</t>
  </si>
  <si>
    <t>+62 811-123-239</t>
  </si>
  <si>
    <t>B 1611 NAB</t>
  </si>
  <si>
    <t>Alam Sutera</t>
  </si>
  <si>
    <t>IRWAN SAMBILANI SE</t>
  </si>
  <si>
    <t>I250076</t>
  </si>
  <si>
    <t>LFW-FREEDXYG</t>
  </si>
  <si>
    <t>Samsul</t>
  </si>
  <si>
    <t>+62 895-2001-3054</t>
  </si>
  <si>
    <t>B 1941 BKK</t>
  </si>
  <si>
    <t>ANRI AFANDI</t>
  </si>
  <si>
    <t>I250077</t>
  </si>
  <si>
    <t>RDL-INNOVA15AGC</t>
  </si>
  <si>
    <t>Ifan</t>
  </si>
  <si>
    <t>+62 812-8204-0804</t>
  </si>
  <si>
    <t>B 1245 NZO</t>
  </si>
  <si>
    <t>I250078</t>
  </si>
  <si>
    <t>LFW-BALENO08XYG</t>
  </si>
  <si>
    <t>Fahmi</t>
  </si>
  <si>
    <t>+62 858-1029-2961</t>
  </si>
  <si>
    <t>B 1266 BFH</t>
  </si>
  <si>
    <t>I250079</t>
  </si>
  <si>
    <t xml:space="preserve">  </t>
  </si>
  <si>
    <t>+62 812-5050-7699</t>
  </si>
  <si>
    <t>B 1078 SRO</t>
  </si>
  <si>
    <t>Pak Ery Yunasri</t>
  </si>
  <si>
    <t>SJTGRI250009</t>
  </si>
  <si>
    <t>TRW-CRV17AGC</t>
  </si>
  <si>
    <t>FDR-INNOVA22AGC</t>
  </si>
  <si>
    <t>FDL-FREEDAGC</t>
  </si>
  <si>
    <t>I250080</t>
  </si>
  <si>
    <t>TRW-BALENO96XYG</t>
  </si>
  <si>
    <t>Deni</t>
  </si>
  <si>
    <t>+62 812-9617-8737</t>
  </si>
  <si>
    <t>B 2684 YJ</t>
  </si>
  <si>
    <t>I250081</t>
  </si>
  <si>
    <t>Bu Iin</t>
  </si>
  <si>
    <t>+62 812-1700-0599</t>
  </si>
  <si>
    <t>B 1321 WIV</t>
  </si>
  <si>
    <t>REFUND DP 500K</t>
  </si>
  <si>
    <t>I250082</t>
  </si>
  <si>
    <t>Arif</t>
  </si>
  <si>
    <t>+62 823-1000-0508</t>
  </si>
  <si>
    <t>AD 1580 GY</t>
  </si>
  <si>
    <t>I250083</t>
  </si>
  <si>
    <t>LFW-XU30XYG</t>
  </si>
  <si>
    <t>Grazio</t>
  </si>
  <si>
    <t>+62 877-8078-4477</t>
  </si>
  <si>
    <t>B 1667 ELT</t>
  </si>
  <si>
    <t>I250084</t>
  </si>
  <si>
    <t>+62 813-1142-3318</t>
  </si>
  <si>
    <t>B 1887 NAU</t>
  </si>
  <si>
    <t>I250085</t>
  </si>
  <si>
    <t>LFW-TRAVELLOMU</t>
  </si>
  <si>
    <t>+62 818-407-757</t>
  </si>
  <si>
    <t>B 9255 BUT</t>
  </si>
  <si>
    <t>SJTGRI250010</t>
  </si>
  <si>
    <t>TRW-BRV16XYG</t>
  </si>
  <si>
    <t>SJH2025092300019</t>
  </si>
  <si>
    <t>SJ2025092400015</t>
  </si>
  <si>
    <t>I250086</t>
  </si>
  <si>
    <t>LFW-SCROSS16RSXYG</t>
  </si>
  <si>
    <t>Nyoman Surya</t>
  </si>
  <si>
    <t>+62 811-9693-894</t>
  </si>
  <si>
    <t>B 1545 VUL</t>
  </si>
  <si>
    <t>I250087</t>
  </si>
  <si>
    <t>Denie</t>
  </si>
  <si>
    <t>+62 852-1914-4793</t>
  </si>
  <si>
    <t>B 1972 VOR</t>
  </si>
  <si>
    <t>I250088</t>
  </si>
  <si>
    <t>LFW-MGZSXYG</t>
  </si>
  <si>
    <t>Raymond</t>
  </si>
  <si>
    <t>+62 818-945-818</t>
  </si>
  <si>
    <t>DD 1565 AA</t>
  </si>
  <si>
    <t>I250089</t>
  </si>
  <si>
    <t>LFW-ECOSPORTRSXYG</t>
  </si>
  <si>
    <t>W.Rayyandra</t>
  </si>
  <si>
    <t>+62 856-9454-9054</t>
  </si>
  <si>
    <t>I250090</t>
  </si>
  <si>
    <t>LFW-SIRION2MU</t>
  </si>
  <si>
    <t>Bu Evi</t>
  </si>
  <si>
    <t>‪+62 812-9646-4577 /+62 855-9079-999</t>
  </si>
  <si>
    <t>B 1838 UOO</t>
  </si>
  <si>
    <t>I250091</t>
  </si>
  <si>
    <t>LFW-E34MU</t>
  </si>
  <si>
    <t>Andi Fachruddin</t>
  </si>
  <si>
    <t>+62 852-9890-2006</t>
  </si>
  <si>
    <t>Sulawesi Selatan</t>
  </si>
  <si>
    <t>LFW-E36XYG</t>
  </si>
  <si>
    <t>I250092</t>
  </si>
  <si>
    <t>TRW-SPINXYG</t>
  </si>
  <si>
    <t>Pak Ajat</t>
  </si>
  <si>
    <t>+62 813-8365-0497</t>
  </si>
  <si>
    <t>B 2693 EGX</t>
  </si>
  <si>
    <t>I250093</t>
  </si>
  <si>
    <t>LFW-INNOVA04ASH</t>
  </si>
  <si>
    <t>+62 811-115-171</t>
  </si>
  <si>
    <t>B 1045 UVE</t>
  </si>
  <si>
    <t>I250094</t>
  </si>
  <si>
    <t>LFW-E46NORSMU</t>
  </si>
  <si>
    <t>Andika</t>
  </si>
  <si>
    <t>+62 813-8225-5528</t>
  </si>
  <si>
    <t>B 1577 SF</t>
  </si>
  <si>
    <t>I250095</t>
  </si>
  <si>
    <t>Pak Abi</t>
  </si>
  <si>
    <t>+62 813-8224-3588</t>
  </si>
  <si>
    <t>B 1726 NIN</t>
  </si>
  <si>
    <t>I250096</t>
  </si>
  <si>
    <t>FDR-FREEDAGC</t>
  </si>
  <si>
    <t>Indra Gunawan</t>
  </si>
  <si>
    <t>Pontianak</t>
  </si>
  <si>
    <t>+62 822-1888-0063</t>
  </si>
  <si>
    <t>I250097</t>
  </si>
  <si>
    <t>Benny</t>
  </si>
  <si>
    <t>+62 813-1952-0366</t>
  </si>
  <si>
    <t>B 2889 BIE</t>
  </si>
  <si>
    <t>I250098</t>
  </si>
  <si>
    <t>PT Sinarbudi Intraco</t>
  </si>
  <si>
    <t>+62 899-9141-112</t>
  </si>
  <si>
    <t>-</t>
  </si>
  <si>
    <t>I250099</t>
  </si>
  <si>
    <t>Anni</t>
  </si>
  <si>
    <t>‪+62 811‑156‑608‬</t>
  </si>
  <si>
    <t>B 2939 SMI</t>
  </si>
  <si>
    <t>I250100</t>
  </si>
  <si>
    <t>LFW-CITY14XYG</t>
  </si>
  <si>
    <t>Pak Jhon</t>
  </si>
  <si>
    <t>+62 818-812-325</t>
  </si>
  <si>
    <t>B 1020 SW</t>
  </si>
  <si>
    <t>I250101</t>
  </si>
  <si>
    <t>I250102</t>
  </si>
  <si>
    <t>LFW-BRV16XYG</t>
  </si>
  <si>
    <t>Edwin</t>
  </si>
  <si>
    <t>+62 813-8444-9834</t>
  </si>
  <si>
    <t>B 2258 TKO</t>
  </si>
  <si>
    <t>I250103</t>
  </si>
  <si>
    <t>Dwi Cahyadi</t>
  </si>
  <si>
    <t>+62 895-4046-25759</t>
  </si>
  <si>
    <t>B 1064 JYA</t>
  </si>
  <si>
    <t>I250104</t>
  </si>
  <si>
    <t>Mado</t>
  </si>
  <si>
    <t>+62 822-9749-6997</t>
  </si>
  <si>
    <t>B 2573 UKB</t>
  </si>
  <si>
    <t>I250105</t>
  </si>
  <si>
    <t>FDL-MOBILIOASH</t>
  </si>
  <si>
    <t>FDR-MOBILIOASH</t>
  </si>
  <si>
    <t>RDL-MOBILIOASH</t>
  </si>
  <si>
    <t>SJTGRI250013</t>
  </si>
  <si>
    <t>I250106</t>
  </si>
  <si>
    <t>Jaminto</t>
  </si>
  <si>
    <t>+62 812-6764-4598</t>
  </si>
  <si>
    <t>B 1819 HFQ</t>
  </si>
  <si>
    <t>I250107</t>
  </si>
  <si>
    <t>SWL-ERTIGA18AGC</t>
  </si>
  <si>
    <t>Roni Hadiwijaya</t>
  </si>
  <si>
    <t>‪+62 822‑1375‑7735‬</t>
  </si>
  <si>
    <t>A 1171 EL</t>
  </si>
  <si>
    <t>I250108</t>
  </si>
  <si>
    <t>Sonia</t>
  </si>
  <si>
    <t>+62 877-7656-5667</t>
  </si>
  <si>
    <t>B 1164 CLS</t>
  </si>
  <si>
    <t>I250109</t>
  </si>
  <si>
    <t>Albertus</t>
  </si>
  <si>
    <t>+62 878-7503-7689</t>
  </si>
  <si>
    <t>B 1874 EOZ</t>
  </si>
  <si>
    <t>I250110</t>
  </si>
  <si>
    <t>TRW-VOXY22FR</t>
  </si>
  <si>
    <t>Andina</t>
  </si>
  <si>
    <t>‪+62 812‑9405‑9009‬</t>
  </si>
  <si>
    <t>B 1381 DR</t>
  </si>
  <si>
    <t>Pondok Bambu</t>
  </si>
  <si>
    <t>I250111</t>
  </si>
  <si>
    <t>LFW-ALPHARD08RSPIL</t>
  </si>
  <si>
    <t>Hendrawan</t>
  </si>
  <si>
    <t>+62 851-3713-7077</t>
  </si>
  <si>
    <t>B 1823 YVT</t>
  </si>
  <si>
    <t>I250112</t>
  </si>
  <si>
    <t>Nabilah</t>
  </si>
  <si>
    <t>‪+62 857‑1673‑9044‬</t>
  </si>
  <si>
    <t>B 1669 CYM</t>
  </si>
  <si>
    <t>I250113</t>
  </si>
  <si>
    <t>TRW-JAZZ13XYG</t>
  </si>
  <si>
    <t>Jeffrey</t>
  </si>
  <si>
    <t>‪+62 812‑8374‑7912‬</t>
  </si>
  <si>
    <t>B 2065 PBO</t>
  </si>
  <si>
    <t>I250114</t>
  </si>
  <si>
    <t>Noor Shodiq</t>
  </si>
  <si>
    <t>+62 812-8608-4292</t>
  </si>
  <si>
    <t>B 1723 JNO</t>
  </si>
  <si>
    <t>I250115</t>
  </si>
  <si>
    <t>RDR-AVANZA11ASH</t>
  </si>
  <si>
    <t>Chandra</t>
  </si>
  <si>
    <t>+62 812-8579-7760</t>
  </si>
  <si>
    <t>B 2166 SOJ</t>
  </si>
  <si>
    <t>I250116</t>
  </si>
  <si>
    <t>Renaldi</t>
  </si>
  <si>
    <t>+62 811-8136-886</t>
  </si>
  <si>
    <t>B 2588 IB</t>
  </si>
  <si>
    <t>I250117</t>
  </si>
  <si>
    <t>Josua</t>
  </si>
  <si>
    <t>+62 895-7031-00174</t>
  </si>
  <si>
    <t>B 1586 CII</t>
  </si>
  <si>
    <t>I250118</t>
  </si>
  <si>
    <t>B 10 JHL</t>
  </si>
  <si>
    <t>I250119</t>
  </si>
  <si>
    <t>Jessica Justine Tabah</t>
  </si>
  <si>
    <t>+62 812-7869-0915</t>
  </si>
  <si>
    <t>J250001</t>
  </si>
  <si>
    <t>FDL-CONFEROASH</t>
  </si>
  <si>
    <t>Sylvi</t>
  </si>
  <si>
    <t>+62 811-9996-197</t>
  </si>
  <si>
    <t>B 1652 WZI</t>
  </si>
  <si>
    <t>SYLVIA STEPHANIE</t>
  </si>
  <si>
    <t>J250002</t>
  </si>
  <si>
    <t>SWL-JAZZ01ASH</t>
  </si>
  <si>
    <t>Indri</t>
  </si>
  <si>
    <t>+62 857-7048-3375</t>
  </si>
  <si>
    <t>B 1220 ZME</t>
  </si>
  <si>
    <t>SUTRISNOMBKBKE DIGI</t>
  </si>
  <si>
    <t>FILM-60STD</t>
  </si>
  <si>
    <t>J250003</t>
  </si>
  <si>
    <t>SWL-BALENOSX408XYG</t>
  </si>
  <si>
    <t xml:space="preserve">Dhony Priyayi
</t>
  </si>
  <si>
    <t>+62 811-7179-789</t>
  </si>
  <si>
    <t>Bangka</t>
  </si>
  <si>
    <t xml:space="preserve">Dhony Priyay
</t>
  </si>
  <si>
    <t>J250004</t>
  </si>
  <si>
    <t>LFW-LIVINA07ASH</t>
  </si>
  <si>
    <t>Reynaldo Ismena Putra</t>
  </si>
  <si>
    <t>+62 811-9155-696</t>
  </si>
  <si>
    <t>B 1775 TON</t>
  </si>
  <si>
    <t>RUTH ELIZABETH NOV</t>
  </si>
  <si>
    <t>+62 811-9155-697</t>
  </si>
  <si>
    <t>J250005</t>
  </si>
  <si>
    <t>FDR-TRAILBLAZERASH</t>
  </si>
  <si>
    <t>Erick</t>
  </si>
  <si>
    <t>+62 823-3568-2342</t>
  </si>
  <si>
    <t>B 1235 M</t>
  </si>
  <si>
    <t>J250006</t>
  </si>
  <si>
    <t>Juarin</t>
  </si>
  <si>
    <t>+62 813-2384-5688</t>
  </si>
  <si>
    <t>L 8014 VD</t>
  </si>
  <si>
    <t>J250007</t>
  </si>
  <si>
    <t>Cecep Saepul Ambia</t>
  </si>
  <si>
    <t>+62 838-2220-0033</t>
  </si>
  <si>
    <t>B 1125 HFD</t>
  </si>
  <si>
    <t>CECEP SAEPUL AMBIA</t>
  </si>
  <si>
    <t>J250008</t>
  </si>
  <si>
    <t>LFW-F30FY</t>
  </si>
  <si>
    <t>Enjar</t>
  </si>
  <si>
    <t>+62 813-1924-7366</t>
  </si>
  <si>
    <t>B 2560 PBK</t>
  </si>
  <si>
    <t>ENJAR SURBHAKTI</t>
  </si>
  <si>
    <t>J250009</t>
  </si>
  <si>
    <t>Bimo</t>
  </si>
  <si>
    <t>+62 878-8559-4077</t>
  </si>
  <si>
    <t>B 2703 SZN</t>
  </si>
  <si>
    <t>ERY NAUFAL BIMOPRA</t>
  </si>
  <si>
    <t>J250010</t>
  </si>
  <si>
    <t>LFW-W211XYG</t>
  </si>
  <si>
    <t>Sutrisno Hady</t>
  </si>
  <si>
    <t>+62 819-0529-1999</t>
  </si>
  <si>
    <t>B 8358 GK</t>
  </si>
  <si>
    <t>SUTRISNO HADI SANT</t>
  </si>
  <si>
    <t>J250011</t>
  </si>
  <si>
    <t>LFW-VIOS07MU</t>
  </si>
  <si>
    <t>Agust Achirudin</t>
  </si>
  <si>
    <t>+62 812-9915-6569</t>
  </si>
  <si>
    <t>B 1115 ZER</t>
  </si>
  <si>
    <t>Mery</t>
  </si>
  <si>
    <t>AGUST ACHIRUDIN IR</t>
  </si>
  <si>
    <t>J250012</t>
  </si>
  <si>
    <t>P. Galang</t>
  </si>
  <si>
    <t>+62 853-1325-8511</t>
  </si>
  <si>
    <t>B 9403 SBF</t>
  </si>
  <si>
    <t>GALANG BAYU ATMAVI</t>
  </si>
  <si>
    <t>+62 853-1325-8512</t>
  </si>
  <si>
    <t>J250013</t>
  </si>
  <si>
    <t>LFW-YARIS05MU</t>
  </si>
  <si>
    <t>Ading</t>
  </si>
  <si>
    <t>+62 857-1105-3430</t>
  </si>
  <si>
    <t>L 1327 AAG</t>
  </si>
  <si>
    <t>IMAM MUNASIK / MUCH. MAULANA ADHI</t>
  </si>
  <si>
    <t>+62 857-1105-3431</t>
  </si>
  <si>
    <t>J250014</t>
  </si>
  <si>
    <t>Ovie</t>
  </si>
  <si>
    <t>+62 852-8261-8228</t>
  </si>
  <si>
    <t>B 1541 SYE</t>
  </si>
  <si>
    <t>Cinere</t>
  </si>
  <si>
    <t>HANA OKTAVIA NINGS</t>
  </si>
  <si>
    <t>J250015</t>
  </si>
  <si>
    <t>TRW-INNOVA04AGC</t>
  </si>
  <si>
    <t>Aldi</t>
  </si>
  <si>
    <t>+62 821-6796-9666</t>
  </si>
  <si>
    <t>B 2757 VBC</t>
  </si>
  <si>
    <t>J250016</t>
  </si>
  <si>
    <t>William</t>
  </si>
  <si>
    <t>‪+62 859‑2138‑8889‬</t>
  </si>
  <si>
    <t>B 1345 COQ</t>
  </si>
  <si>
    <t>J250017</t>
  </si>
  <si>
    <t>Pak Yos</t>
  </si>
  <si>
    <t>+62 813-8906-3330</t>
  </si>
  <si>
    <t>B 2061 TVV</t>
  </si>
  <si>
    <t>RITA LYDIAWATI</t>
  </si>
  <si>
    <t>SUSWITA DWI JAYANT</t>
  </si>
  <si>
    <t>J250018</t>
  </si>
  <si>
    <t>Aura</t>
  </si>
  <si>
    <t>+62 815-1330-7119</t>
  </si>
  <si>
    <t>B 1675 UJR</t>
  </si>
  <si>
    <t>AURA DIVA AZZAHRA</t>
  </si>
  <si>
    <t>J250019</t>
  </si>
  <si>
    <t>LFW-TRAGAMU</t>
  </si>
  <si>
    <t>Damian</t>
  </si>
  <si>
    <t>+62 812-1138-8877</t>
  </si>
  <si>
    <t>B 8652 UJ</t>
  </si>
  <si>
    <t>ELSHA VIERHEZA.K</t>
  </si>
  <si>
    <t>J250020</t>
  </si>
  <si>
    <t>Harumi</t>
  </si>
  <si>
    <t>+62 818-786-920</t>
  </si>
  <si>
    <t>B 123 CLA</t>
  </si>
  <si>
    <t>NY HARUMI YUNIARTI</t>
  </si>
  <si>
    <t>J250021</t>
  </si>
  <si>
    <t>Fharez nesfi</t>
  </si>
  <si>
    <t>+62 812 33247371</t>
  </si>
  <si>
    <t>J250022</t>
  </si>
  <si>
    <t>Fathur</t>
  </si>
  <si>
    <t>+62 859-5525-4844</t>
  </si>
  <si>
    <t>B 1733 CMP</t>
  </si>
  <si>
    <t xml:space="preserve">RFDN-FATHUR RAHMAESPAY </t>
  </si>
  <si>
    <t>J250023</t>
  </si>
  <si>
    <t>Nuryahman</t>
  </si>
  <si>
    <t>+62 852-2580-4840</t>
  </si>
  <si>
    <t>K 1509 CV</t>
  </si>
  <si>
    <t>J250024</t>
  </si>
  <si>
    <t>Ronald</t>
  </si>
  <si>
    <t>‪+62 877‑8913‑1349‬</t>
  </si>
  <si>
    <t>B 1752 WZU</t>
  </si>
  <si>
    <t>425.000  Ronaldo Budiarto G</t>
  </si>
  <si>
    <t>J250025</t>
  </si>
  <si>
    <t>LFW-EVO5XYG</t>
  </si>
  <si>
    <t>Rully Rinaldi</t>
  </si>
  <si>
    <t>+62 818-620-422</t>
  </si>
  <si>
    <t>ALDRIAN SUWARDI CH</t>
  </si>
  <si>
    <t>J250026</t>
  </si>
  <si>
    <t>Agung</t>
  </si>
  <si>
    <t>+62 812-1244-3234</t>
  </si>
  <si>
    <t>B 952 DWP</t>
  </si>
  <si>
    <t>RIZKY AGUNG SUCIPT</t>
  </si>
  <si>
    <t>J250027</t>
  </si>
  <si>
    <t>J250028</t>
  </si>
  <si>
    <t>LFW-EVALIAASH</t>
  </si>
  <si>
    <t>Sigit</t>
  </si>
  <si>
    <t>+62 812-1913-2979</t>
  </si>
  <si>
    <t>B 1150 SIJ</t>
  </si>
  <si>
    <t>KARINA NUTRIANSYAH /  SIGIT PRASETYO S K</t>
  </si>
  <si>
    <t xml:space="preserve">Sigit </t>
  </si>
  <si>
    <t>J250029</t>
  </si>
  <si>
    <t>Husnul Khuluk</t>
  </si>
  <si>
    <t>+62 853-5989-5997</t>
  </si>
  <si>
    <t>Ameliatul Wardah</t>
  </si>
  <si>
    <t>SJTGRJ250001</t>
  </si>
  <si>
    <t>TRW-CAMRY06XYG</t>
  </si>
  <si>
    <t>J250030</t>
  </si>
  <si>
    <t>Abu mika</t>
  </si>
  <si>
    <t>‪+62 856‑9417‑7285‬</t>
  </si>
  <si>
    <t>B 1982 TYR</t>
  </si>
  <si>
    <t>J250031</t>
  </si>
  <si>
    <t>Rio said</t>
  </si>
  <si>
    <t>+62 817-7522-1731</t>
  </si>
  <si>
    <t>B 1109 BVL</t>
  </si>
  <si>
    <t>J250032</t>
  </si>
  <si>
    <t>Garasi Kedutaan</t>
  </si>
  <si>
    <t>‪+62 813‑3334‑4373‬</t>
  </si>
  <si>
    <t>CD 61 627</t>
  </si>
  <si>
    <t>J250033</t>
  </si>
  <si>
    <t>LFW-EVALIAXYG</t>
  </si>
  <si>
    <t>Hodiono</t>
  </si>
  <si>
    <t>+62 818-201-205</t>
  </si>
  <si>
    <t>B 1718 NYQ</t>
  </si>
  <si>
    <t>J250034</t>
  </si>
  <si>
    <t>Cecedian</t>
  </si>
  <si>
    <t>+62 895-0736-4830</t>
  </si>
  <si>
    <t>B 1571 JFI</t>
  </si>
  <si>
    <t>SJTGRJ250004</t>
  </si>
  <si>
    <t>J250035</t>
  </si>
  <si>
    <t>Fajar</t>
  </si>
  <si>
    <t>+62 812-8414-0242</t>
  </si>
  <si>
    <t>B 2180 UZO</t>
  </si>
  <si>
    <t>J250036</t>
  </si>
  <si>
    <t>TRW-ELGRAND02XYG</t>
  </si>
  <si>
    <t>Harri</t>
  </si>
  <si>
    <t>+62 878-7857-4930</t>
  </si>
  <si>
    <t>B 2756 JBC</t>
  </si>
  <si>
    <t>J250037</t>
  </si>
  <si>
    <t>Zapar / PT KARYA GEMILANG ABADIJAYA</t>
  </si>
  <si>
    <t>+62 896-0263-6561</t>
  </si>
  <si>
    <t>B 9702 UXV</t>
  </si>
  <si>
    <t>J250038</t>
  </si>
  <si>
    <t>TRW-SELTOSXYG</t>
  </si>
  <si>
    <t>Auliah</t>
  </si>
  <si>
    <t>+62 811-9983-232</t>
  </si>
  <si>
    <t>F 1412 YS</t>
  </si>
  <si>
    <t>J250039</t>
  </si>
  <si>
    <t>Mega Kharisma</t>
  </si>
  <si>
    <t>+62 859-3255-2598</t>
  </si>
  <si>
    <t>B 1545 KJB</t>
  </si>
  <si>
    <t>J250040</t>
  </si>
  <si>
    <t>Abdul Majid</t>
  </si>
  <si>
    <t>+62 812-9386-7436</t>
  </si>
  <si>
    <t>A 1758 XM</t>
  </si>
  <si>
    <t>J250041</t>
  </si>
  <si>
    <t>Aris dekorasi</t>
  </si>
  <si>
    <t>+62 838-7979-9994</t>
  </si>
  <si>
    <t>B 1297 NRH</t>
  </si>
  <si>
    <t>J250042</t>
  </si>
  <si>
    <t>Andre</t>
  </si>
  <si>
    <t>+62 857-1000-0002</t>
  </si>
  <si>
    <t>B 1191 BFF</t>
  </si>
  <si>
    <t>J250043</t>
  </si>
  <si>
    <t>Herry wijaya</t>
  </si>
  <si>
    <t>+62 819-1181-1826</t>
  </si>
  <si>
    <t>B 1835 PID</t>
  </si>
  <si>
    <t>Pademangan</t>
  </si>
  <si>
    <t>SJTGRJ250005</t>
  </si>
  <si>
    <t>J250044</t>
  </si>
  <si>
    <t>FDR-AVANZA11ASH</t>
  </si>
  <si>
    <t>Paldo Putra</t>
  </si>
  <si>
    <t>+62 821-2432-9623</t>
  </si>
  <si>
    <t>B 1552 DRV</t>
  </si>
  <si>
    <t>J250045</t>
  </si>
  <si>
    <t>Ka Asya</t>
  </si>
  <si>
    <t>+62 858-1103-1165</t>
  </si>
  <si>
    <t>B 1003 TJK</t>
  </si>
  <si>
    <t>J250046</t>
  </si>
  <si>
    <t>Yan Leo</t>
  </si>
  <si>
    <t>+62 852-1557-0074</t>
  </si>
  <si>
    <t>B 2317 SOD</t>
  </si>
  <si>
    <t>J250047</t>
  </si>
  <si>
    <t>RDL-HRV14AGC</t>
  </si>
  <si>
    <t>Almer</t>
  </si>
  <si>
    <t>+62 812-8590-8337</t>
  </si>
  <si>
    <t>B 1076 CZJ</t>
  </si>
  <si>
    <t>Cikokol</t>
  </si>
  <si>
    <t>J250048</t>
  </si>
  <si>
    <t>PT Catur Arka Adiwignya</t>
  </si>
  <si>
    <t>J250049</t>
  </si>
  <si>
    <t>TRW-RAIZEAGC</t>
  </si>
  <si>
    <t>Raisa</t>
  </si>
  <si>
    <t>+62 877-1114-1229</t>
  </si>
  <si>
    <t>J250050</t>
  </si>
  <si>
    <t>Ariiel</t>
  </si>
  <si>
    <t>+62 812-8144-5773</t>
  </si>
  <si>
    <t>B 1474 ZKJ</t>
  </si>
  <si>
    <t>J250051</t>
  </si>
  <si>
    <t>Azis</t>
  </si>
  <si>
    <t>+62 821-3088-8841</t>
  </si>
  <si>
    <t>B 1115 DFU</t>
  </si>
  <si>
    <t>MLDG-LFWHRV14UPHON</t>
  </si>
  <si>
    <t>MLDG-LFWHRV14SIDEHON</t>
  </si>
  <si>
    <t>J250052</t>
  </si>
  <si>
    <t>Kusuma</t>
  </si>
  <si>
    <t xml:space="preserve"> +62 811-947-578</t>
  </si>
  <si>
    <t>J250053</t>
  </si>
  <si>
    <t>RDL-FORTUNER05AGC</t>
  </si>
  <si>
    <t>Nico</t>
  </si>
  <si>
    <t>+62 812-8511-7054</t>
  </si>
  <si>
    <t>B 1709 VLS</t>
  </si>
  <si>
    <t>Graha Raya</t>
  </si>
  <si>
    <t>J250054</t>
  </si>
  <si>
    <t>+62 813-8588-1976</t>
  </si>
  <si>
    <t>A 1813 ZC</t>
  </si>
  <si>
    <t>J250055</t>
  </si>
  <si>
    <t>TRW-T31XYG</t>
  </si>
  <si>
    <t>David Willianto Djauhari</t>
  </si>
  <si>
    <t>+62 812-2224-8181</t>
  </si>
  <si>
    <t>Tasikmalaya</t>
  </si>
  <si>
    <t>J250056</t>
  </si>
  <si>
    <t>Hikmat</t>
  </si>
  <si>
    <t>+62 852-1191-1945</t>
  </si>
  <si>
    <t>B 1977 BES</t>
  </si>
  <si>
    <t>Pondok Bahar</t>
  </si>
  <si>
    <t>J250057</t>
  </si>
  <si>
    <t>Andar</t>
  </si>
  <si>
    <t>+62 815-8010-795</t>
  </si>
  <si>
    <t>B 1619 JUG</t>
  </si>
  <si>
    <t>J250058</t>
  </si>
  <si>
    <t>FDL-SIENTAASH</t>
  </si>
  <si>
    <t>Muhamad Hendra Laksamana</t>
  </si>
  <si>
    <t>+62 812-9113-2019</t>
  </si>
  <si>
    <t>B 1581 NIO</t>
  </si>
  <si>
    <t>J250059</t>
  </si>
  <si>
    <t>TRW-FORTUNER05BLACKFY</t>
  </si>
  <si>
    <t>Iyonk</t>
  </si>
  <si>
    <t>+62 821-2261-4861</t>
  </si>
  <si>
    <t>DN 1937 UY</t>
  </si>
  <si>
    <t>J250060</t>
  </si>
  <si>
    <t>Susanti</t>
  </si>
  <si>
    <t>+62 821-5708-8188</t>
  </si>
  <si>
    <t>B 1387 BMR</t>
  </si>
  <si>
    <t>J250061</t>
  </si>
  <si>
    <t>FDL-LIVINA07ASH</t>
  </si>
  <si>
    <t>+62 812-8186-2289</t>
  </si>
  <si>
    <t>B 1527 NKY</t>
  </si>
  <si>
    <t>J250062</t>
  </si>
  <si>
    <t>LFW-JAZZ13MU</t>
  </si>
  <si>
    <t>+62 813-8997-7704</t>
  </si>
  <si>
    <t>B 2845 SBM</t>
  </si>
  <si>
    <t>J250063</t>
  </si>
  <si>
    <t>LFW-W1244DOORXYG</t>
  </si>
  <si>
    <t>Deddy</t>
  </si>
  <si>
    <t>+62 813-1600-2325</t>
  </si>
  <si>
    <t>B 1327 WER</t>
  </si>
  <si>
    <t>J250064</t>
  </si>
  <si>
    <t>TRW-INNOVA15HXYG</t>
  </si>
  <si>
    <t xml:space="preserve">Ina </t>
  </si>
  <si>
    <t>+62 821-1256-0033</t>
  </si>
  <si>
    <t>B 888 INA</t>
  </si>
  <si>
    <t>J250065</t>
  </si>
  <si>
    <t>RDR-ALTIS06ASH</t>
  </si>
  <si>
    <t>Madina variasi</t>
  </si>
  <si>
    <t>+62 821-2324-4017</t>
  </si>
  <si>
    <t>J250066</t>
  </si>
  <si>
    <t>Hendri</t>
  </si>
  <si>
    <t>+62 821-8942-7854</t>
  </si>
  <si>
    <t>B 1887 TBF</t>
  </si>
  <si>
    <t xml:space="preserve">Ciledug </t>
  </si>
  <si>
    <t>J250067</t>
  </si>
  <si>
    <t>LFW-JAZZ07AGC</t>
  </si>
  <si>
    <t>Abd wadud said</t>
  </si>
  <si>
    <t>+62 818-0988-8243</t>
  </si>
  <si>
    <t>N 1702 MU</t>
  </si>
  <si>
    <t>J250068</t>
  </si>
  <si>
    <t>Slamet Riyadi</t>
  </si>
  <si>
    <t>+62 853-3744-4110</t>
  </si>
  <si>
    <t>B 1763 WS</t>
  </si>
  <si>
    <t>J250069</t>
  </si>
  <si>
    <t>Danny / Marcus</t>
  </si>
  <si>
    <t>+62 813-3000-1986</t>
  </si>
  <si>
    <t>64922-00</t>
  </si>
  <si>
    <t>Tanjung Duren</t>
  </si>
  <si>
    <t>J250070</t>
  </si>
  <si>
    <t>FDR-FE300ASH</t>
  </si>
  <si>
    <t>Lukas Setiawan</t>
  </si>
  <si>
    <t>+62 858-3816-1514</t>
  </si>
  <si>
    <t>B 9332 TU</t>
  </si>
  <si>
    <t>J250071</t>
  </si>
  <si>
    <t>Rian</t>
  </si>
  <si>
    <t>+62 813-1123-7707</t>
  </si>
  <si>
    <t>B 9421 UAK</t>
  </si>
  <si>
    <t>+62 813-1123-7708</t>
  </si>
  <si>
    <t>J250072</t>
  </si>
  <si>
    <t>Yos Ardiansyah</t>
  </si>
  <si>
    <t>+62 816-652-263</t>
  </si>
  <si>
    <t>B 1643 WYZ</t>
  </si>
  <si>
    <t>J250073</t>
  </si>
  <si>
    <t>LFW-CAREN13XYG</t>
  </si>
  <si>
    <t xml:space="preserve">Adjie
</t>
  </si>
  <si>
    <t>+62 853-1170-2170</t>
  </si>
  <si>
    <t>F 1149 HW</t>
  </si>
  <si>
    <t>J250074</t>
  </si>
  <si>
    <t>Berkah Motor</t>
  </si>
  <si>
    <t>+62 813-1410-9227</t>
  </si>
  <si>
    <t>B 1830 WFT</t>
  </si>
  <si>
    <t>J250075</t>
  </si>
  <si>
    <t>Oktaviano Soekmono</t>
  </si>
  <si>
    <t>+62 811-2405-267</t>
  </si>
  <si>
    <t>B 8331 X</t>
  </si>
  <si>
    <t>+62 811-2405-268</t>
  </si>
  <si>
    <t>J250076</t>
  </si>
  <si>
    <t>Yopie</t>
  </si>
  <si>
    <t>+62 897-9800-176</t>
  </si>
  <si>
    <t>B 1047 PRB</t>
  </si>
  <si>
    <t>J250077</t>
  </si>
  <si>
    <t>Fitrah Fahrudin</t>
  </si>
  <si>
    <t>+62 812-8773-3892</t>
  </si>
  <si>
    <t>B 2841 BYJ</t>
  </si>
  <si>
    <t>J250078</t>
  </si>
  <si>
    <t>+62 898-9383-989</t>
  </si>
  <si>
    <t>B 1444 NZX</t>
  </si>
  <si>
    <t>J250079</t>
  </si>
  <si>
    <t>Agustian</t>
  </si>
  <si>
    <t>+62 812-1839-8898</t>
  </si>
  <si>
    <t>B 1854 UJI</t>
  </si>
  <si>
    <t>Cengkareng</t>
  </si>
  <si>
    <t>+62 812-1839-8899</t>
  </si>
  <si>
    <t>J250080</t>
  </si>
  <si>
    <t>J250081</t>
  </si>
  <si>
    <t>Pranowo</t>
  </si>
  <si>
    <t>‪+62 858‑1353‑3766‬</t>
  </si>
  <si>
    <t>B 1579 BRM</t>
  </si>
  <si>
    <t>J250082</t>
  </si>
  <si>
    <t>Rony</t>
  </si>
  <si>
    <t>+62 858-8235-7308</t>
  </si>
  <si>
    <t>J250083</t>
  </si>
  <si>
    <t>PT. Sumber Mandiri</t>
  </si>
  <si>
    <t>+62 858-1091-2051</t>
  </si>
  <si>
    <t>B 9098 BDJ</t>
  </si>
  <si>
    <t>J250084</t>
  </si>
  <si>
    <t>FVR-ALPHARD02XYG</t>
  </si>
  <si>
    <t>Sugiyono</t>
  </si>
  <si>
    <t xml:space="preserve">+62 856-8833-354 </t>
  </si>
  <si>
    <t>BG 1724 KR</t>
  </si>
  <si>
    <t>J250085</t>
  </si>
  <si>
    <t>+62 812-9909-9072</t>
  </si>
  <si>
    <t>B 9012 BAW</t>
  </si>
  <si>
    <t>J250086</t>
  </si>
  <si>
    <t>TRW-C26XYG</t>
  </si>
  <si>
    <t>Marga Harjadiputra</t>
  </si>
  <si>
    <t>+62 813-1130-1184</t>
  </si>
  <si>
    <t>B 1564 PRR</t>
  </si>
  <si>
    <t>+62 813-1130-1185</t>
  </si>
  <si>
    <t>J250087</t>
  </si>
  <si>
    <t>LFW-LANDCRUISER76TOY</t>
  </si>
  <si>
    <t>Pras</t>
  </si>
  <si>
    <t>+62 813-8242-8426</t>
  </si>
  <si>
    <t>Pekanbaru</t>
  </si>
  <si>
    <t>DWI HERMAN / SOMANTRI</t>
  </si>
  <si>
    <t>J250088</t>
  </si>
  <si>
    <t>B 2286 SRO</t>
  </si>
  <si>
    <t>Pesangrahan</t>
  </si>
  <si>
    <t>J250089</t>
  </si>
  <si>
    <t>LFW-OUTLANDERFY</t>
  </si>
  <si>
    <t>Aldhi</t>
  </si>
  <si>
    <t>+62 8989888618</t>
  </si>
  <si>
    <t>+62 8989888619</t>
  </si>
  <si>
    <t>J250090</t>
  </si>
  <si>
    <t>Ahmad Syauqi</t>
  </si>
  <si>
    <t>+62 877-8236-8799</t>
  </si>
  <si>
    <t>B 1451 WYC</t>
  </si>
  <si>
    <t>J250091</t>
  </si>
  <si>
    <t>FDR-JAZZ13ASH</t>
  </si>
  <si>
    <t>Adhi</t>
  </si>
  <si>
    <t>+62 852-9292-5166</t>
  </si>
  <si>
    <t>H 1875 RW</t>
  </si>
  <si>
    <t>J250092</t>
  </si>
  <si>
    <t>LFW-QQ03XYG</t>
  </si>
  <si>
    <t>Sumitra ependi</t>
  </si>
  <si>
    <t>+62 815-8558-5506</t>
  </si>
  <si>
    <t>B 1505 UKM</t>
  </si>
  <si>
    <t>J250093</t>
  </si>
  <si>
    <t>LFW-W212RS2XYG</t>
  </si>
  <si>
    <t>Firdaus</t>
  </si>
  <si>
    <t>+62 878-8881-7033</t>
  </si>
  <si>
    <t>B 2964 STB</t>
  </si>
  <si>
    <t>J250094</t>
  </si>
  <si>
    <t>TRW-WAGON13XYG</t>
  </si>
  <si>
    <t>Ian</t>
  </si>
  <si>
    <t>+62 812-8347-8799</t>
  </si>
  <si>
    <t>B 1055 FOD</t>
  </si>
  <si>
    <t>J250095</t>
  </si>
  <si>
    <t>Marcelino</t>
  </si>
  <si>
    <t>+62 811-1229-244</t>
  </si>
  <si>
    <t>B 2409 UIA</t>
  </si>
  <si>
    <t>J250096</t>
  </si>
  <si>
    <t>LFW-AVANZA21RSASH</t>
  </si>
  <si>
    <t>Desmar</t>
  </si>
  <si>
    <t>+62 813-9843-6021</t>
  </si>
  <si>
    <t>A 1790 VLA</t>
  </si>
  <si>
    <t>J250097</t>
  </si>
  <si>
    <t>Bonike</t>
  </si>
  <si>
    <t>+62 811-9307-793</t>
  </si>
  <si>
    <t>T 1371 LN</t>
  </si>
  <si>
    <t>J250098</t>
  </si>
  <si>
    <t>Agusta</t>
  </si>
  <si>
    <t>+62 815-8650-8456</t>
  </si>
  <si>
    <t>B 1117 BIC</t>
  </si>
  <si>
    <t>J250099</t>
  </si>
  <si>
    <t>+62 878-7776-4922</t>
  </si>
  <si>
    <t>B 1114 TYP</t>
  </si>
  <si>
    <t>J250100</t>
  </si>
  <si>
    <t>RDR-INNOVA15AGC</t>
  </si>
  <si>
    <t>Alfin</t>
  </si>
  <si>
    <t>+62 812-8046-2064</t>
  </si>
  <si>
    <t>BE 1832 CP</t>
  </si>
  <si>
    <t>J250101</t>
  </si>
  <si>
    <t>+62 812-9277-0797</t>
  </si>
  <si>
    <t>B 1370 BOD</t>
  </si>
  <si>
    <t>J250102</t>
  </si>
  <si>
    <t>LFW-CIVIC22RSXYG</t>
  </si>
  <si>
    <t>Linea</t>
  </si>
  <si>
    <t>+62 822-1012-7222</t>
  </si>
  <si>
    <t>B 1184 FAC</t>
  </si>
  <si>
    <t>Sunter</t>
  </si>
  <si>
    <t>J250103</t>
  </si>
  <si>
    <t>+62 878-8048-8422</t>
  </si>
  <si>
    <t>B 1026 EZC</t>
  </si>
  <si>
    <t>J250104</t>
  </si>
  <si>
    <t>Fras</t>
  </si>
  <si>
    <t>+62 812-1385-3187</t>
  </si>
  <si>
    <t>B 9492 UCB</t>
  </si>
  <si>
    <t>Kapuk Kamal</t>
  </si>
  <si>
    <t>J250105</t>
  </si>
  <si>
    <t>Kemuning Plastik</t>
  </si>
  <si>
    <t>+62 812-1844-8180</t>
  </si>
  <si>
    <t>B 9361 EAH</t>
  </si>
  <si>
    <t>J250106</t>
  </si>
  <si>
    <t>Ibu Linda</t>
  </si>
  <si>
    <t>+62 878-8364-4998</t>
  </si>
  <si>
    <t>B 1632 WFY</t>
  </si>
  <si>
    <t>J250107</t>
  </si>
  <si>
    <t>FDL-GRANMAXASH</t>
  </si>
  <si>
    <t>Ahmad sugiapto</t>
  </si>
  <si>
    <t>‪+62 812‑1941‑3693‬</t>
  </si>
  <si>
    <t>B 9723 TCK</t>
  </si>
  <si>
    <t>Taman Royal</t>
  </si>
  <si>
    <t>FDL-ELFNKRASH</t>
  </si>
  <si>
    <t>B 9073 CRO</t>
  </si>
  <si>
    <t>B 9723 TCK / B 9073 CRO</t>
  </si>
  <si>
    <t>J250108</t>
  </si>
  <si>
    <t>Edy Purwanto</t>
  </si>
  <si>
    <t>‪+62 812‑8179‑722‬</t>
  </si>
  <si>
    <t>B 1285 EMD</t>
  </si>
  <si>
    <t>J250109</t>
  </si>
  <si>
    <t>Ulum</t>
  </si>
  <si>
    <t>‪+62 889‑0601‑6161‬</t>
  </si>
  <si>
    <t>B 1568 EIA</t>
  </si>
  <si>
    <t>J250110</t>
  </si>
  <si>
    <t>TRW-BRIO10HOLEAGC</t>
  </si>
  <si>
    <t>+62 812-1148-3553</t>
  </si>
  <si>
    <t>B 1029 UMF</t>
  </si>
  <si>
    <t>J250111</t>
  </si>
  <si>
    <t>LFW-VIOS13AGC</t>
  </si>
  <si>
    <t>Sunyoto</t>
  </si>
  <si>
    <t>+62 819-3233-2281</t>
  </si>
  <si>
    <t>B 1608 WKV</t>
  </si>
  <si>
    <t>J250112</t>
  </si>
  <si>
    <t>Karya majujaya perkasa</t>
  </si>
  <si>
    <t>+62 878-8801-6200</t>
  </si>
  <si>
    <t>J250113</t>
  </si>
  <si>
    <t>TRW-FORTUNER15BLACKAGC</t>
  </si>
  <si>
    <t>Alipudin</t>
  </si>
  <si>
    <t>+62 812-1222-2414</t>
  </si>
  <si>
    <t>B 1093 TJS</t>
  </si>
  <si>
    <t>J250114</t>
  </si>
  <si>
    <t xml:space="preserve"> PT Utama Rackindo Semesta</t>
  </si>
  <si>
    <t>+62 812-8355-5132</t>
  </si>
  <si>
    <t>B 9359 PXT</t>
  </si>
  <si>
    <t xml:space="preserve">Jakarta utara </t>
  </si>
  <si>
    <t>J250115</t>
  </si>
  <si>
    <t>Syaepul</t>
  </si>
  <si>
    <t>+62 897-1819-639</t>
  </si>
  <si>
    <t>A 1637 XK</t>
  </si>
  <si>
    <t>SJTGRJ250006</t>
  </si>
  <si>
    <t>LFW-W176FY</t>
  </si>
  <si>
    <t>J250116</t>
  </si>
  <si>
    <t>Petrick</t>
  </si>
  <si>
    <t>‪+62 858‑1163‑3391‬</t>
  </si>
  <si>
    <t>B 2415 BYH</t>
  </si>
  <si>
    <t>J250117</t>
  </si>
  <si>
    <t>Ibu Emi</t>
  </si>
  <si>
    <t>+62 857-1459-4888</t>
  </si>
  <si>
    <t>B 1946 BRN</t>
  </si>
  <si>
    <t xml:space="preserve">Tangerang </t>
  </si>
  <si>
    <t>J250118</t>
  </si>
  <si>
    <t>+62 822-4950-6685</t>
  </si>
  <si>
    <t>B 9641 BXD</t>
  </si>
  <si>
    <t>J250119</t>
  </si>
  <si>
    <t>Taufiq Ismail</t>
  </si>
  <si>
    <t>+62 812-1217-2772</t>
  </si>
  <si>
    <t>B 2159 BBC</t>
  </si>
  <si>
    <t>J250120</t>
  </si>
  <si>
    <t>Daffa</t>
  </si>
  <si>
    <t>+62 851-7122-0408</t>
  </si>
  <si>
    <t>A 1664 FV</t>
  </si>
  <si>
    <t>J250121</t>
  </si>
  <si>
    <t>LFW-FORTUNER15AGC</t>
  </si>
  <si>
    <t>Pak Erwin</t>
  </si>
  <si>
    <t>+62 859-2000-4400</t>
  </si>
  <si>
    <t>A 1582 DF</t>
  </si>
  <si>
    <t>J250122</t>
  </si>
  <si>
    <t>Destia</t>
  </si>
  <si>
    <t>+62 812-1323-4023</t>
  </si>
  <si>
    <t>J250123</t>
  </si>
  <si>
    <t>LFW-E84XYG</t>
  </si>
  <si>
    <t xml:space="preserve">Indra garage </t>
  </si>
  <si>
    <t>+62 812-4680-7978</t>
  </si>
  <si>
    <t>Bali</t>
  </si>
  <si>
    <t>+62 812-4680-7979</t>
  </si>
  <si>
    <t>Denpasar</t>
  </si>
  <si>
    <t>J250124</t>
  </si>
  <si>
    <t>Albert</t>
  </si>
  <si>
    <t>+62 811-8801-905</t>
  </si>
  <si>
    <t>B 2146 KZI</t>
  </si>
  <si>
    <t>J250125</t>
  </si>
  <si>
    <t>LFW-TERRA18RSXYG</t>
  </si>
  <si>
    <t>Sukri</t>
  </si>
  <si>
    <t>+62 812-7782-2002</t>
  </si>
  <si>
    <t>B 2982 BJB</t>
  </si>
  <si>
    <t>+62 812-7782-2003</t>
  </si>
  <si>
    <t>J250126</t>
  </si>
  <si>
    <t>LFW-ALPHARD18RS2XYG</t>
  </si>
  <si>
    <t>+62 878-8630-0189</t>
  </si>
  <si>
    <t>B 604 MAR</t>
  </si>
  <si>
    <t>J250127</t>
  </si>
  <si>
    <t>Epi</t>
  </si>
  <si>
    <t>+62 821-2371-8410</t>
  </si>
  <si>
    <t>B 2721 SFD</t>
  </si>
  <si>
    <t>J250128</t>
  </si>
  <si>
    <t>Roman</t>
  </si>
  <si>
    <t>+62 821-1177-0727</t>
  </si>
  <si>
    <t>B 1829 HFH</t>
  </si>
  <si>
    <t>+62 821-1177-0728</t>
  </si>
  <si>
    <t>J250129</t>
  </si>
  <si>
    <t>Kak Vio</t>
  </si>
  <si>
    <t>+62 851-7330-0633</t>
  </si>
  <si>
    <t>Z 1015 YH</t>
  </si>
  <si>
    <t xml:space="preserve">WA </t>
  </si>
  <si>
    <t>J250130</t>
  </si>
  <si>
    <t>LFW-PANTHER91MU</t>
  </si>
  <si>
    <t>Sugeng Sulistyo</t>
  </si>
  <si>
    <t>+62 822-6014-4118</t>
  </si>
  <si>
    <t>B 9834 AS</t>
  </si>
  <si>
    <t>D 1895 AAN</t>
  </si>
  <si>
    <t>J250131</t>
  </si>
  <si>
    <t>PT Amanullah Modis Mandiri</t>
  </si>
  <si>
    <t>+62 882-1347-8994</t>
  </si>
  <si>
    <t>B 9961 TCO</t>
  </si>
  <si>
    <t>J250132</t>
  </si>
  <si>
    <t>LFW-CORTEZRSXYG</t>
  </si>
  <si>
    <t>Samuel</t>
  </si>
  <si>
    <t>+62 812-1509-1988</t>
  </si>
  <si>
    <t>B 2250 BZQ</t>
  </si>
  <si>
    <t>J250133</t>
  </si>
  <si>
    <t>Pavel, Guntur (sentra disc 100k)</t>
  </si>
  <si>
    <t>PECAH</t>
  </si>
  <si>
    <t>K250001</t>
  </si>
  <si>
    <t>LFW-CRV07AGC</t>
  </si>
  <si>
    <t>Andrew</t>
  </si>
  <si>
    <t>+62 817-6054-631</t>
  </si>
  <si>
    <t>B 8363 JN</t>
  </si>
  <si>
    <t>K250002</t>
  </si>
  <si>
    <t>Silvester Sila</t>
  </si>
  <si>
    <t>+62 815-9235-050</t>
  </si>
  <si>
    <t>B 1124 NIP</t>
  </si>
  <si>
    <t>K250003</t>
  </si>
  <si>
    <t>Romi</t>
  </si>
  <si>
    <t>+62 788-1310-999</t>
  </si>
  <si>
    <t>B 1297 BMP</t>
  </si>
  <si>
    <t>K250004</t>
  </si>
  <si>
    <t>Iren</t>
  </si>
  <si>
    <t>+62 812-1011-9403</t>
  </si>
  <si>
    <t>B 1179 HFH</t>
  </si>
  <si>
    <t>K250005</t>
  </si>
  <si>
    <t>RDL-HIACEFFR</t>
  </si>
  <si>
    <t>Laudri Prati Wangkasa</t>
  </si>
  <si>
    <t>+62 817-6893-845</t>
  </si>
  <si>
    <t>K250006</t>
  </si>
  <si>
    <t>Pak rafli</t>
  </si>
  <si>
    <t>+62 818-0679-1441</t>
  </si>
  <si>
    <t>B 1393 PZM</t>
  </si>
  <si>
    <t>K250007</t>
  </si>
  <si>
    <t>Maman</t>
  </si>
  <si>
    <t>+62 857-7975-5571</t>
  </si>
  <si>
    <t>B 2730 BBR</t>
  </si>
  <si>
    <t>K250008</t>
  </si>
  <si>
    <t>Lucky</t>
  </si>
  <si>
    <t>+62 821-1059-5916</t>
  </si>
  <si>
    <t>B 2639 BFJ</t>
  </si>
  <si>
    <t>SJTGRH250007</t>
  </si>
  <si>
    <t>Ko Yan</t>
  </si>
  <si>
    <t>K250009</t>
  </si>
  <si>
    <t>Kak Recko</t>
  </si>
  <si>
    <t>+62 897-5742-524</t>
  </si>
  <si>
    <t>B 1345 KNO</t>
  </si>
  <si>
    <t>K250010</t>
  </si>
  <si>
    <t>Yuda</t>
  </si>
  <si>
    <t>+62 811-669-951</t>
  </si>
  <si>
    <t>BK 1942 UV</t>
  </si>
  <si>
    <t>K250011</t>
  </si>
  <si>
    <t>Vita</t>
  </si>
  <si>
    <t>+62 858-8185-2957</t>
  </si>
  <si>
    <t>B 1147 JNO</t>
  </si>
  <si>
    <t>K250012</t>
  </si>
  <si>
    <t>PT Inti Teknologi Telekomunikasi</t>
  </si>
  <si>
    <t>+62 812-9160-2878</t>
  </si>
  <si>
    <t>B 1730 TYG</t>
  </si>
  <si>
    <t>K250013</t>
  </si>
  <si>
    <t>LFW-PICANTO04HTMXYG</t>
  </si>
  <si>
    <t>Ilham</t>
  </si>
  <si>
    <t>+62 812-1136-4347</t>
  </si>
  <si>
    <t>B 2981 BD</t>
  </si>
  <si>
    <t>Green Lake City</t>
  </si>
  <si>
    <t>K250014</t>
  </si>
  <si>
    <t>Kak Fauzan</t>
  </si>
  <si>
    <t>+62 813-1606-8460</t>
  </si>
  <si>
    <t>B 1510 KYS</t>
  </si>
  <si>
    <t>K250015</t>
  </si>
  <si>
    <t>TRW-COROLLA95XYG</t>
  </si>
  <si>
    <t>Ko Gigi</t>
  </si>
  <si>
    <t>+62 813-1549-6161</t>
  </si>
  <si>
    <t>B 1754 ZEP</t>
  </si>
  <si>
    <t>K250016</t>
  </si>
  <si>
    <t>+62 812-1344-1600</t>
  </si>
  <si>
    <t>B 1327 UON</t>
  </si>
  <si>
    <t>K250017</t>
  </si>
  <si>
    <t>Akbar Ardiansyah</t>
  </si>
  <si>
    <t>+62 812-4444-6446</t>
  </si>
  <si>
    <t>H 1428 FN</t>
  </si>
  <si>
    <t>K250018</t>
  </si>
  <si>
    <t>K250019</t>
  </si>
  <si>
    <t>RDL-INNOVA04ASH</t>
  </si>
  <si>
    <t>Andy</t>
  </si>
  <si>
    <t>+62 811-1515-130</t>
  </si>
  <si>
    <t>B 2996 BBQ</t>
  </si>
  <si>
    <t>K250020</t>
  </si>
  <si>
    <t>TRW-CIVIC96XYG</t>
  </si>
  <si>
    <t>+62 853-5358-2108</t>
  </si>
  <si>
    <t>BE 1636 AI</t>
  </si>
  <si>
    <t>BIntaro</t>
  </si>
  <si>
    <t>K250021</t>
  </si>
  <si>
    <t>Devi Oktariani</t>
  </si>
  <si>
    <t>+62 856-9276-3852</t>
  </si>
  <si>
    <t>F 1332 FCA</t>
  </si>
  <si>
    <t>Cipondoh</t>
  </si>
  <si>
    <t>K250022</t>
  </si>
  <si>
    <t>Tanto</t>
  </si>
  <si>
    <t>+62 877-7782-0334</t>
  </si>
  <si>
    <t>B 1810 DKZ</t>
  </si>
  <si>
    <t>K250023</t>
  </si>
  <si>
    <t>LFW-VOXY17XYG</t>
  </si>
  <si>
    <t>+62 813-1135-3331</t>
  </si>
  <si>
    <t>B 1864 VON</t>
  </si>
  <si>
    <t>K250024</t>
  </si>
  <si>
    <t>TRW-SANTAFE19XYG</t>
  </si>
  <si>
    <t xml:space="preserve">Afif Khaeroni
</t>
  </si>
  <si>
    <t>+62 812-1203-0971</t>
  </si>
  <si>
    <t>B 1324 FJK</t>
  </si>
  <si>
    <t>K250025</t>
  </si>
  <si>
    <t>M. Asyegaf Eka Putra</t>
  </si>
  <si>
    <t>+62 812-9759-8820</t>
  </si>
  <si>
    <t>A 1130 BT</t>
  </si>
  <si>
    <t>K250026</t>
  </si>
  <si>
    <t>Dheo Nugraha</t>
  </si>
  <si>
    <t>+62 821-7091-4587</t>
  </si>
  <si>
    <t>K250027</t>
  </si>
  <si>
    <t>LFW-CRV12XYG</t>
  </si>
  <si>
    <t>Octo</t>
  </si>
  <si>
    <t>+62 813-6216-0515</t>
  </si>
  <si>
    <t>B 2784 BBE</t>
  </si>
  <si>
    <t>SJTGRK250001</t>
  </si>
  <si>
    <t>FDR-BALENO15ASH</t>
  </si>
  <si>
    <t>SJTGRK250002</t>
  </si>
  <si>
    <t>FDL-NAVARA15XYG</t>
  </si>
  <si>
    <t>SJTGRK250003</t>
  </si>
  <si>
    <t>LFW-T30XYG</t>
  </si>
  <si>
    <t>LFW-STREAM00MBXYG</t>
  </si>
  <si>
    <t>K250028</t>
  </si>
  <si>
    <t>Tatang</t>
  </si>
  <si>
    <t>+62 821-1002-0027</t>
  </si>
  <si>
    <t>B 1482 HKS</t>
  </si>
  <si>
    <t>K250029</t>
  </si>
  <si>
    <t xml:space="preserve">Firman Wahyudi </t>
  </si>
  <si>
    <t>+62 815-6163-733</t>
  </si>
  <si>
    <t>D 1605 AAI</t>
  </si>
  <si>
    <t>Tebet</t>
  </si>
  <si>
    <t>K250030</t>
  </si>
  <si>
    <t>Acu</t>
  </si>
  <si>
    <t>Toni</t>
  </si>
  <si>
    <t>E 44</t>
  </si>
  <si>
    <t>K250031</t>
  </si>
  <si>
    <t>FDL-ERTIGA18MU</t>
  </si>
  <si>
    <t>Nita</t>
  </si>
  <si>
    <t>+62 878-8919-5811</t>
  </si>
  <si>
    <t>B 1035 HOP</t>
  </si>
  <si>
    <t>Daan Mogot</t>
  </si>
  <si>
    <t>K250032</t>
  </si>
  <si>
    <t>Vidi</t>
  </si>
  <si>
    <t>+62 888-1851-417</t>
  </si>
  <si>
    <t>D 1438 DE</t>
  </si>
  <si>
    <t>K250033</t>
  </si>
  <si>
    <t>RDR-XPANDERASH</t>
  </si>
  <si>
    <t>+62 878-8457-1603</t>
  </si>
  <si>
    <t>B 1580 NUE</t>
  </si>
  <si>
    <t>K250034</t>
  </si>
  <si>
    <t>LFW-W204RSXYG</t>
  </si>
  <si>
    <t>Muhammad</t>
  </si>
  <si>
    <t>+62 812-8184-3260</t>
  </si>
  <si>
    <t>B 1303 SEE</t>
  </si>
  <si>
    <t>K250035</t>
  </si>
  <si>
    <t>Alif</t>
  </si>
  <si>
    <t>+62 857-1730-5475</t>
  </si>
  <si>
    <t>B 2108 BN</t>
  </si>
  <si>
    <t>K250036</t>
  </si>
  <si>
    <t>Ahmad</t>
  </si>
  <si>
    <t>+62 812-1026-1408</t>
  </si>
  <si>
    <t>A 1892 AX</t>
  </si>
  <si>
    <t>K250037</t>
  </si>
  <si>
    <t>Yuriko</t>
  </si>
  <si>
    <t>+62 813-4380-3480</t>
  </si>
  <si>
    <t>K250038</t>
  </si>
  <si>
    <t>LFW-CITY02MU</t>
  </si>
  <si>
    <t>Dito</t>
  </si>
  <si>
    <t>+62 878-8112-3212</t>
  </si>
  <si>
    <t>B 1647 JEO</t>
  </si>
  <si>
    <t>K250039</t>
  </si>
  <si>
    <t>Apolo trans expres</t>
  </si>
  <si>
    <t>+62 813-8647-6835</t>
  </si>
  <si>
    <t>B 9878 JCB</t>
  </si>
  <si>
    <t>K250040</t>
  </si>
  <si>
    <t>TRW-HRV22AGC</t>
  </si>
  <si>
    <t>Bagus M</t>
  </si>
  <si>
    <t>+62 813-1723-8875</t>
  </si>
  <si>
    <t>BK 1767 ADY</t>
  </si>
  <si>
    <t>K250041</t>
  </si>
  <si>
    <t>Adit</t>
  </si>
  <si>
    <t>+62 878-7870-7023</t>
  </si>
  <si>
    <t>B 1531 TZI</t>
  </si>
  <si>
    <t>K250042</t>
  </si>
  <si>
    <t>Muhammad Fikri</t>
  </si>
  <si>
    <t>+62 881-0106-02944</t>
  </si>
  <si>
    <t>B 2093 UIR</t>
  </si>
  <si>
    <t>K250043</t>
  </si>
  <si>
    <t>Ardianto PT.SDW Sarana Prima</t>
  </si>
  <si>
    <t>+62 821-9004-5779</t>
  </si>
  <si>
    <t>L 1061 BC</t>
  </si>
  <si>
    <t>K250044</t>
  </si>
  <si>
    <t>Mahrom/ akrom</t>
  </si>
  <si>
    <t>E 1346 MU</t>
  </si>
  <si>
    <t>K250045</t>
  </si>
  <si>
    <t>LFW-PAJERO08MU</t>
  </si>
  <si>
    <t>+62 813-8514-9005</t>
  </si>
  <si>
    <t>AE 1866 BE</t>
  </si>
  <si>
    <t>K250046</t>
  </si>
  <si>
    <t>Ka Firdza</t>
  </si>
  <si>
    <t>+62 812-2505-366</t>
  </si>
  <si>
    <t>B 2092 TFV</t>
  </si>
  <si>
    <t>Ciputat Timur</t>
  </si>
  <si>
    <t>K250047</t>
  </si>
  <si>
    <t>Samuri</t>
  </si>
  <si>
    <t>+62 859-5054-2286</t>
  </si>
  <si>
    <t>R 1129 MR</t>
  </si>
  <si>
    <t>K250048</t>
  </si>
  <si>
    <t>Eva orysa</t>
  </si>
  <si>
    <t>+62 811-9888-726</t>
  </si>
  <si>
    <t>B 1930 DFS</t>
  </si>
  <si>
    <t>K250049</t>
  </si>
  <si>
    <t>Gito</t>
  </si>
  <si>
    <t>+62 812-8367-721</t>
  </si>
  <si>
    <t>B 9004 JZ</t>
  </si>
  <si>
    <t>K250050</t>
  </si>
  <si>
    <t>Santos joanes</t>
  </si>
  <si>
    <t>+62 817-6585-900</t>
  </si>
  <si>
    <t>B 1395 JFQ</t>
  </si>
  <si>
    <t>SWL-SIGRA16MU</t>
  </si>
  <si>
    <t>SWR-SIGRA16MU</t>
  </si>
  <si>
    <t>K250051</t>
  </si>
  <si>
    <t>LFW-GLORY</t>
  </si>
  <si>
    <t>Tjinto Muljo</t>
  </si>
  <si>
    <t>+62 822-9999-6846</t>
  </si>
  <si>
    <t>B 2272 UKK</t>
  </si>
  <si>
    <t>Muara Karang</t>
  </si>
  <si>
    <t>SJTGRK250004</t>
  </si>
  <si>
    <t>K250052</t>
  </si>
  <si>
    <t>Tisya</t>
  </si>
  <si>
    <t>+62 813-1147-0318</t>
  </si>
  <si>
    <t>B 2881 BKA</t>
  </si>
  <si>
    <t>K250053</t>
  </si>
  <si>
    <t>+62 813-1017-1796</t>
  </si>
  <si>
    <t>A 1677 VMA</t>
  </si>
  <si>
    <t>K250054</t>
  </si>
  <si>
    <t>TRW-F30XYG</t>
  </si>
  <si>
    <t>Aming</t>
  </si>
  <si>
    <t>+62 815-8602-8328</t>
  </si>
  <si>
    <t>B 1998 ZN</t>
  </si>
  <si>
    <t>Gading Serpong</t>
  </si>
  <si>
    <t>K250055</t>
  </si>
  <si>
    <t>+62 898-8861-179</t>
  </si>
  <si>
    <t>B 9188 UCP</t>
  </si>
  <si>
    <t>K250056</t>
  </si>
  <si>
    <t>+62 813-3000-1398</t>
  </si>
  <si>
    <t>B 1997 VOA</t>
  </si>
  <si>
    <t>K250057</t>
  </si>
  <si>
    <t>Afif Fadillah</t>
  </si>
  <si>
    <t>+62 815-1037-9999</t>
  </si>
  <si>
    <t>B 9949 FAW</t>
  </si>
  <si>
    <t>K250058</t>
  </si>
  <si>
    <t>Deri</t>
  </si>
  <si>
    <t>+62 819-3279-3799</t>
  </si>
  <si>
    <t>D 1814 XHN</t>
  </si>
  <si>
    <t>Kebun Jeruk</t>
  </si>
  <si>
    <t>K250059</t>
  </si>
  <si>
    <t>K250060</t>
  </si>
  <si>
    <t>PT.Contromatic Prima Mandiri</t>
  </si>
  <si>
    <t>+62 822-1304-3003</t>
  </si>
  <si>
    <t>B 1241 BIT</t>
  </si>
  <si>
    <t>K250061</t>
  </si>
  <si>
    <t>Ferdy Vilnius / JUDITH</t>
  </si>
  <si>
    <t>+62 898-9839-788 / ' 0816341608</t>
  </si>
  <si>
    <t>B 1936 PIL</t>
  </si>
  <si>
    <t>K250062</t>
  </si>
  <si>
    <t>Sunita</t>
  </si>
  <si>
    <t>+62 812-9751-5020</t>
  </si>
  <si>
    <t>B 1624 JUR</t>
  </si>
  <si>
    <t>K250063</t>
  </si>
  <si>
    <t>TRW-INNOVA15HAGC</t>
  </si>
  <si>
    <t>Winda</t>
  </si>
  <si>
    <t>+62 813-8328-4778</t>
  </si>
  <si>
    <t>B 2138 UKZ</t>
  </si>
  <si>
    <t>K250064</t>
  </si>
  <si>
    <t>Denny / andy</t>
  </si>
  <si>
    <t>+62 877-8007-3345</t>
  </si>
  <si>
    <t>B 9957 UAU</t>
  </si>
  <si>
    <t>K250065</t>
  </si>
  <si>
    <t>Jaka</t>
  </si>
  <si>
    <t>+62 878-5685-8677</t>
  </si>
  <si>
    <t>B 1110 CYR</t>
  </si>
  <si>
    <t>Rajeg</t>
  </si>
  <si>
    <t>K250066</t>
  </si>
  <si>
    <t>Donnie</t>
  </si>
  <si>
    <t>+62 819-3928-6279</t>
  </si>
  <si>
    <t>B 9619 BR</t>
  </si>
  <si>
    <t>K250067</t>
  </si>
  <si>
    <t>B 1385 TCY</t>
  </si>
  <si>
    <t>K250068</t>
  </si>
  <si>
    <t>B 2078 UKJ</t>
  </si>
  <si>
    <t>K250069</t>
  </si>
  <si>
    <t>K250070</t>
  </si>
  <si>
    <t>Boy</t>
  </si>
  <si>
    <t>+62 813-3516-8861</t>
  </si>
  <si>
    <t>B 9941 VAH</t>
  </si>
  <si>
    <t>K250071</t>
  </si>
  <si>
    <t>Naryo</t>
  </si>
  <si>
    <t>+62 821-3982-7814</t>
  </si>
  <si>
    <t>Cisauk</t>
  </si>
  <si>
    <t>K250072</t>
  </si>
  <si>
    <t>SWL-INNOVA04ASH</t>
  </si>
  <si>
    <t>Irawan</t>
  </si>
  <si>
    <t>+62 811-8241-985</t>
  </si>
  <si>
    <t>B 1684 NYE</t>
  </si>
  <si>
    <t>K250073</t>
  </si>
  <si>
    <t>Nurkholis</t>
  </si>
  <si>
    <t>+62 857-7270-8962</t>
  </si>
  <si>
    <t>B 1353 JVC</t>
  </si>
  <si>
    <t>K250074</t>
  </si>
  <si>
    <t>Dafi Gladys</t>
  </si>
  <si>
    <t>+62 821-2121-4729</t>
  </si>
  <si>
    <t>GAK JADI PASANG</t>
  </si>
  <si>
    <t>Puri Kembangan</t>
  </si>
  <si>
    <t>K250075</t>
  </si>
  <si>
    <t>Emil Riza</t>
  </si>
  <si>
    <t>+62 811-1889-938</t>
  </si>
  <si>
    <t>B 1038 SOC</t>
  </si>
  <si>
    <t>K250076</t>
  </si>
  <si>
    <t>Rudy</t>
  </si>
  <si>
    <t>+62 838-7655-1822</t>
  </si>
  <si>
    <t>B 2965 BYS</t>
  </si>
  <si>
    <t>K250077</t>
  </si>
  <si>
    <t>Mulyano / pt indobagus</t>
  </si>
  <si>
    <t>+62 812-1837-9789</t>
  </si>
  <si>
    <t>B 2867 SRO</t>
  </si>
  <si>
    <t>Kemang</t>
  </si>
  <si>
    <t>K250078</t>
  </si>
  <si>
    <t>TRW-FREEDAGC</t>
  </si>
  <si>
    <t>Citra</t>
  </si>
  <si>
    <t>+62 817-613-530</t>
  </si>
  <si>
    <t>B 1026 SMN</t>
  </si>
  <si>
    <t>Jagakarsa</t>
  </si>
  <si>
    <t>K250079</t>
  </si>
  <si>
    <t>Indah</t>
  </si>
  <si>
    <t>+62 856-1011-940</t>
  </si>
  <si>
    <t>B 2829 DVB</t>
  </si>
  <si>
    <t>Cempaka Putih</t>
  </si>
  <si>
    <t>K250080</t>
  </si>
  <si>
    <t>Andi</t>
  </si>
  <si>
    <t>+62 812‑3442‑9148</t>
  </si>
  <si>
    <t>B 1415 NZA</t>
  </si>
  <si>
    <t>Green Garden</t>
  </si>
  <si>
    <t>K250081</t>
  </si>
  <si>
    <t>Lia</t>
  </si>
  <si>
    <t>‪+62 813‑1464‑8442‬</t>
  </si>
  <si>
    <t>AB 1639 JV</t>
  </si>
  <si>
    <t>K250082</t>
  </si>
  <si>
    <t>‪+62 859‑5993‑0029‬</t>
  </si>
  <si>
    <t>B 1114 HKQ</t>
  </si>
  <si>
    <t>K250083</t>
  </si>
  <si>
    <t>Herlina</t>
  </si>
  <si>
    <t>+62 821-2200-8039</t>
  </si>
  <si>
    <t>B 1022 WZX</t>
  </si>
  <si>
    <t>K250084</t>
  </si>
  <si>
    <t>Ainushafwah</t>
  </si>
  <si>
    <t>‪+62 815‑5305‑7835‬</t>
  </si>
  <si>
    <t>B 2008 TBR</t>
  </si>
  <si>
    <t>K250085</t>
  </si>
  <si>
    <t>Putri Al Ihsan</t>
  </si>
  <si>
    <t>+62 812-9235-2513</t>
  </si>
  <si>
    <t>B 7259 JN</t>
  </si>
  <si>
    <t>K250086</t>
  </si>
  <si>
    <t>Febi Gunawan</t>
  </si>
  <si>
    <t>+62 816-1826-622</t>
  </si>
  <si>
    <t>B 1854 WZI</t>
  </si>
  <si>
    <t>K250087</t>
  </si>
  <si>
    <t>Keke</t>
  </si>
  <si>
    <t>+62 812-8553-053</t>
  </si>
  <si>
    <t>A 1218 JG</t>
  </si>
  <si>
    <t>K250088</t>
  </si>
  <si>
    <t>FDL-FE700ASH</t>
  </si>
  <si>
    <t>PT squar jaya , olif</t>
  </si>
  <si>
    <t>+62 813-1159-4579</t>
  </si>
  <si>
    <t>B 9057 JRU</t>
  </si>
  <si>
    <t>SJTGRK250005</t>
  </si>
  <si>
    <t>TRW-CX3XYG</t>
  </si>
  <si>
    <t>SJTGRK250006</t>
  </si>
  <si>
    <t>LFW-QUESTERXYG</t>
  </si>
  <si>
    <t>LFW-AUDIQ706XYG</t>
  </si>
  <si>
    <t>K250089</t>
  </si>
  <si>
    <t>Dendy Den's Auto</t>
  </si>
  <si>
    <t>+62 813-1455-5055</t>
  </si>
  <si>
    <t>B 2974 UBH</t>
  </si>
  <si>
    <t>K250090</t>
  </si>
  <si>
    <t>SWL-BRV16AGC</t>
  </si>
  <si>
    <t>Patar</t>
  </si>
  <si>
    <t>+62 812-8050-3805</t>
  </si>
  <si>
    <t>B 2616 BKF</t>
  </si>
  <si>
    <t>K250091</t>
  </si>
  <si>
    <t>RDL-PAJERO08ASH</t>
  </si>
  <si>
    <t>+62 812-2844-035</t>
  </si>
  <si>
    <t>B 1500 ELR</t>
  </si>
  <si>
    <t>K250092</t>
  </si>
  <si>
    <t>TRW-TERIOS06HOLEXYG</t>
  </si>
  <si>
    <t>Ibu Dewi</t>
  </si>
  <si>
    <t>+62 812-9932-2550</t>
  </si>
  <si>
    <t>B 1459 VKA</t>
  </si>
  <si>
    <t>K250093</t>
  </si>
  <si>
    <t>Freddy</t>
  </si>
  <si>
    <t>+62 812-8310-2802</t>
  </si>
  <si>
    <t>B 1538 TJJ</t>
  </si>
  <si>
    <t>K250094</t>
  </si>
  <si>
    <t>LFW-E71SG</t>
  </si>
  <si>
    <t>Galuh</t>
  </si>
  <si>
    <t>+62 813-8571-9198</t>
  </si>
  <si>
    <t>B 8900 LL</t>
  </si>
  <si>
    <t>K250095</t>
  </si>
  <si>
    <t>Bapak santiko</t>
  </si>
  <si>
    <t>+62 858-6649-2990</t>
  </si>
  <si>
    <t>B 2513 BKP</t>
  </si>
  <si>
    <t>K250096</t>
  </si>
  <si>
    <t>LFW-HILUX15MU</t>
  </si>
  <si>
    <t>PT Fudong Rental Indonesia</t>
  </si>
  <si>
    <t>+62 822-5621-8130</t>
  </si>
  <si>
    <t>K250097</t>
  </si>
  <si>
    <t xml:space="preserve">PT CLASSIC PRIMA CARPET INDUSTRIES 
</t>
  </si>
  <si>
    <t>+62 822-6033-3988</t>
  </si>
  <si>
    <t>B 2509 UFP</t>
  </si>
  <si>
    <t>K250098</t>
  </si>
  <si>
    <t>Dana</t>
  </si>
  <si>
    <t>+62 811-9625-809</t>
  </si>
  <si>
    <t>B 1175 NCT</t>
  </si>
  <si>
    <t>K250099</t>
  </si>
  <si>
    <t>RDL-RUSH17AGC</t>
  </si>
  <si>
    <t>Bpk. Gemma</t>
  </si>
  <si>
    <t>+62 813-9894-733</t>
  </si>
  <si>
    <t>B 1108 VOU</t>
  </si>
  <si>
    <t>K250100</t>
  </si>
  <si>
    <t>Rainon</t>
  </si>
  <si>
    <t>+62 878‑0805‑9901</t>
  </si>
  <si>
    <t>B 1693 WKV</t>
  </si>
  <si>
    <t>K250101</t>
  </si>
  <si>
    <t>Nur ali</t>
  </si>
  <si>
    <t>‪+62 851‑0013‑2784‬</t>
  </si>
  <si>
    <t>B 2229 BIE</t>
  </si>
  <si>
    <t>K250102</t>
  </si>
  <si>
    <t>+62 856-6498-3604</t>
  </si>
  <si>
    <t>B 1472 VUH</t>
  </si>
  <si>
    <t>K250103</t>
  </si>
  <si>
    <t>LFW-LOUHANXYG</t>
  </si>
  <si>
    <t>Jelion</t>
  </si>
  <si>
    <t>+62 813‑9333‑9611</t>
  </si>
  <si>
    <t>K250104</t>
  </si>
  <si>
    <t>Jean</t>
  </si>
  <si>
    <t>+62 812-9588-9894</t>
  </si>
  <si>
    <t>F 1060 NJ</t>
  </si>
  <si>
    <t>SJTGRK250007</t>
  </si>
  <si>
    <t>TRW-RIO11FY</t>
  </si>
  <si>
    <t>LFW-FIESTARSBULATXYG</t>
  </si>
  <si>
    <t>SJTGRK250008</t>
  </si>
  <si>
    <t>K250105</t>
  </si>
  <si>
    <t>LFW-PAJERO24RSAGC</t>
  </si>
  <si>
    <t>Rahmat Hidayat</t>
  </si>
  <si>
    <t>+62 821-1013-6046</t>
  </si>
  <si>
    <t>A 875 NUR</t>
  </si>
  <si>
    <t>K250106</t>
  </si>
  <si>
    <t>RDR-CX5GEN1XYG</t>
  </si>
  <si>
    <t>Nana Teknisi</t>
  </si>
  <si>
    <t>+62 813-1920-9806</t>
  </si>
  <si>
    <t>Pal Merah</t>
  </si>
  <si>
    <t>K250107</t>
  </si>
  <si>
    <t>Andi Wijaya</t>
  </si>
  <si>
    <t>+62 818-185-942</t>
  </si>
  <si>
    <t>B 9018 IC</t>
  </si>
  <si>
    <t>K250108</t>
  </si>
  <si>
    <t>Wahyu rental</t>
  </si>
  <si>
    <t>+62 813-1741-5853</t>
  </si>
  <si>
    <t>F 1023 DL</t>
  </si>
  <si>
    <t>K250109</t>
  </si>
  <si>
    <t>prajitno</t>
  </si>
  <si>
    <t xml:space="preserve">+62 811-9003-109
</t>
  </si>
  <si>
    <t>B 1033 KNQ</t>
  </si>
  <si>
    <t>Cibubur</t>
  </si>
  <si>
    <t>SJTGRK250009</t>
  </si>
  <si>
    <t>K250110</t>
  </si>
  <si>
    <t>LFW-FJ100FR</t>
  </si>
  <si>
    <t>Pak Zakir</t>
  </si>
  <si>
    <t>+62878-8449-2002 / +62 813-1165-0999</t>
  </si>
  <si>
    <t>K250111</t>
  </si>
  <si>
    <t>+62 812-8112-9090</t>
  </si>
  <si>
    <t>B 1873 CGY</t>
  </si>
  <si>
    <t>K250112</t>
  </si>
  <si>
    <t>Neddie</t>
  </si>
  <si>
    <t>+62 838-0527-2065</t>
  </si>
  <si>
    <t>A 1626 ZV</t>
  </si>
  <si>
    <t>K250113</t>
  </si>
  <si>
    <t xml:space="preserve">Budi
</t>
  </si>
  <si>
    <t>+62 878-8460-5115</t>
  </si>
  <si>
    <t>B 1062 NRT</t>
  </si>
  <si>
    <t>K250114</t>
  </si>
  <si>
    <t>Trian</t>
  </si>
  <si>
    <t>+62 858-9122-9892</t>
  </si>
  <si>
    <t>B 1542 ZOA</t>
  </si>
  <si>
    <t>K250115</t>
  </si>
  <si>
    <t>Pram</t>
  </si>
  <si>
    <t>+62 813-1416-3973</t>
  </si>
  <si>
    <t>B 1100 VMR</t>
  </si>
  <si>
    <t>K250116</t>
  </si>
  <si>
    <t>Angga Dwi Putra</t>
  </si>
  <si>
    <t>‪+62 812‑1142‑8780‬</t>
  </si>
  <si>
    <t>B 1158 CYP</t>
  </si>
  <si>
    <t>K250117</t>
  </si>
  <si>
    <t>LFW-W204RS1MU</t>
  </si>
  <si>
    <t>Hendro</t>
  </si>
  <si>
    <t>+62 813-3397-1992</t>
  </si>
  <si>
    <t>B 2630 SMA</t>
  </si>
  <si>
    <t>Darmawangsah</t>
  </si>
  <si>
    <t>K250118</t>
  </si>
  <si>
    <t>RDL-CIVIC22AGC</t>
  </si>
  <si>
    <t>Nugroho Valentino / Tias Chen</t>
  </si>
  <si>
    <t>+62 859-6717-4055 / +62 812-9022-033</t>
  </si>
  <si>
    <t>B 108 CAA</t>
  </si>
  <si>
    <t>K250119</t>
  </si>
  <si>
    <t>LFW-ACCORD08XYG</t>
  </si>
  <si>
    <t>Chudax Bikers Shop</t>
  </si>
  <si>
    <t>+62 895-3921-79746</t>
  </si>
  <si>
    <t>B 1872 CZH</t>
  </si>
  <si>
    <t>K250120</t>
  </si>
  <si>
    <t>Erdi Riyanto</t>
  </si>
  <si>
    <t>‪+62 812‑9044‑3399‬</t>
  </si>
  <si>
    <t>B 738 DRG</t>
  </si>
  <si>
    <t>K250121</t>
  </si>
  <si>
    <t>+62 815-7469-1508</t>
  </si>
  <si>
    <t>B 2745 SMI</t>
  </si>
  <si>
    <t>K250122</t>
  </si>
  <si>
    <t>Rendi</t>
  </si>
  <si>
    <t>+62 812-1917-5297</t>
  </si>
  <si>
    <t>F 1746 EX</t>
  </si>
  <si>
    <t>K250123</t>
  </si>
  <si>
    <t>Tomang</t>
  </si>
  <si>
    <t>K250124</t>
  </si>
  <si>
    <t>Toko Mega The</t>
  </si>
  <si>
    <t>+62 813-8980-9858</t>
  </si>
  <si>
    <t>B 9983 JQO</t>
  </si>
  <si>
    <t>K250125</t>
  </si>
  <si>
    <t xml:space="preserve">Morry
</t>
  </si>
  <si>
    <t>+62 812-3445-5057</t>
  </si>
  <si>
    <t>B 2558 KZV</t>
  </si>
  <si>
    <t>K250126</t>
  </si>
  <si>
    <t>Sean Yordan</t>
  </si>
  <si>
    <t>+62 821-2277-5146</t>
  </si>
  <si>
    <t>B 1371 TAF</t>
  </si>
  <si>
    <t>K250127</t>
  </si>
  <si>
    <t>Rini</t>
  </si>
  <si>
    <t>+62 812-9762-206</t>
  </si>
  <si>
    <t>B 1120 JRA</t>
  </si>
  <si>
    <t>K250128</t>
  </si>
  <si>
    <t>FDR-CARRYFUTURAMU</t>
  </si>
  <si>
    <t>Persada</t>
  </si>
  <si>
    <t>+62 822-9996-8310</t>
  </si>
  <si>
    <t>B 9949 QK</t>
  </si>
  <si>
    <t>K250129</t>
  </si>
  <si>
    <t>LFW-CRV17RSXYG</t>
  </si>
  <si>
    <t>Reena</t>
  </si>
  <si>
    <t>+62 815-1514-2582</t>
  </si>
  <si>
    <t>B 2528 BP</t>
  </si>
  <si>
    <t>K250130</t>
  </si>
  <si>
    <t>Rahmat</t>
  </si>
  <si>
    <t>+62 813-8260-9494</t>
  </si>
  <si>
    <t>B 1811 CZT</t>
  </si>
  <si>
    <t>K250131</t>
  </si>
  <si>
    <t>Prass</t>
  </si>
  <si>
    <t>+62 812‑1287‑1973</t>
  </si>
  <si>
    <t>W 1063 CR</t>
  </si>
  <si>
    <t>K250132</t>
  </si>
  <si>
    <t>LFW-JAZZ13XYG</t>
  </si>
  <si>
    <t>Dhika</t>
  </si>
  <si>
    <t>+62 857-7401-8685</t>
  </si>
  <si>
    <t>B 1847 WYO</t>
  </si>
  <si>
    <t>SJTGRK250010</t>
  </si>
  <si>
    <t>SJTGRK250011</t>
  </si>
  <si>
    <t>LFW-KATANAG84MU</t>
  </si>
  <si>
    <t>K250133</t>
  </si>
  <si>
    <t>TRW-HILUX15HFY</t>
  </si>
  <si>
    <t>Bambang</t>
  </si>
  <si>
    <t>+62 878-8220-0754</t>
  </si>
  <si>
    <t>K250134</t>
  </si>
  <si>
    <t>TRW-W213XYG</t>
  </si>
  <si>
    <t>Jantrakakikaki</t>
  </si>
  <si>
    <t>+62 812-8890-5312</t>
  </si>
  <si>
    <t>B 112 VAL</t>
  </si>
  <si>
    <t>K250135</t>
  </si>
  <si>
    <t>AB 1490 OU</t>
  </si>
  <si>
    <t>K250136</t>
  </si>
  <si>
    <t>Pt. Bangsawan cyberindo indonesia</t>
  </si>
  <si>
    <t>+62 812-8788-049</t>
  </si>
  <si>
    <t>SJTGRK250012</t>
  </si>
  <si>
    <t>LFW-CAMRY18RSXYG</t>
  </si>
  <si>
    <t>K250137</t>
  </si>
  <si>
    <t>LFW-PALISADEXYG</t>
  </si>
  <si>
    <t>Reyhan</t>
  </si>
  <si>
    <t>+62 813-1345-9144</t>
  </si>
  <si>
    <t>B 99 LPT</t>
  </si>
  <si>
    <t>Sawah Besar</t>
  </si>
  <si>
    <t>K250138</t>
  </si>
  <si>
    <t>Ka Pangki</t>
  </si>
  <si>
    <t>+62 816-1329-667</t>
  </si>
  <si>
    <t>B 1304 CVE</t>
  </si>
  <si>
    <t>K250139</t>
  </si>
  <si>
    <t>Catur</t>
  </si>
  <si>
    <t>+62 895-3304-20043</t>
  </si>
  <si>
    <t>B 1297 JCW</t>
  </si>
  <si>
    <t>K250140</t>
  </si>
  <si>
    <t>Candra</t>
  </si>
  <si>
    <t>+62 813-7711-1772</t>
  </si>
  <si>
    <t>B 1585 SJR</t>
  </si>
  <si>
    <t>K250141</t>
  </si>
  <si>
    <t>Mama Fani</t>
  </si>
  <si>
    <t>+62 819-0544-4001</t>
  </si>
  <si>
    <t>B 1826 CKU</t>
  </si>
  <si>
    <t>K250142</t>
  </si>
  <si>
    <t>+62 858-5456-3879</t>
  </si>
  <si>
    <t>A 1837 XLA</t>
  </si>
  <si>
    <t>K250143</t>
  </si>
  <si>
    <t>Kak Githa</t>
  </si>
  <si>
    <t>+62 821-1019-1419</t>
  </si>
  <si>
    <t>B 1832 PIA</t>
  </si>
  <si>
    <t>K250144</t>
  </si>
  <si>
    <t>Ahmad paweto</t>
  </si>
  <si>
    <t>+6285810502588</t>
  </si>
  <si>
    <t>B 1436 WOZ</t>
  </si>
  <si>
    <t>SJTGRK250013</t>
  </si>
  <si>
    <t>RDR-MOBILIOAGC</t>
  </si>
  <si>
    <t>L250001</t>
  </si>
  <si>
    <t>LFW-GLORY580FY</t>
  </si>
  <si>
    <t>L250002</t>
  </si>
  <si>
    <t>Owi</t>
  </si>
  <si>
    <t>+62 895-0908-8667</t>
  </si>
  <si>
    <t>B 2395 BYL</t>
  </si>
  <si>
    <t>L250003</t>
  </si>
  <si>
    <t>Pajar</t>
  </si>
  <si>
    <t>+62 812-1434-0043</t>
  </si>
  <si>
    <t>B 2042 BZX</t>
  </si>
  <si>
    <t>L250004</t>
  </si>
  <si>
    <t>LFW-MIRAGEMU</t>
  </si>
  <si>
    <t>Perry ODe</t>
  </si>
  <si>
    <t>+62 878-8788-6676</t>
  </si>
  <si>
    <t>B 1176 TRO</t>
  </si>
  <si>
    <t>Kalibata</t>
  </si>
  <si>
    <t>L250005</t>
  </si>
  <si>
    <t>Christofer</t>
  </si>
  <si>
    <t>+62 821-1100-5331 / +62 878-8000-6231</t>
  </si>
  <si>
    <t>B 2579 XAQ</t>
  </si>
  <si>
    <t>L250006</t>
  </si>
  <si>
    <t>+62 821-2225-5591</t>
  </si>
  <si>
    <t>B 8711</t>
  </si>
  <si>
    <t>L250007</t>
  </si>
  <si>
    <t>LFW-SANTAFE19XYG</t>
  </si>
  <si>
    <t>+62 813-8145-6851</t>
  </si>
  <si>
    <t>B 1895 WJI</t>
  </si>
  <si>
    <t>L250008</t>
  </si>
  <si>
    <t>LFW-MAZDA209FY</t>
  </si>
  <si>
    <t>+62 818-1881-1128</t>
  </si>
  <si>
    <t>A 1193 WP</t>
  </si>
  <si>
    <t>SJTGRL250001</t>
  </si>
  <si>
    <t>SJTGRL250002</t>
  </si>
  <si>
    <t>FDR-OUTLANDERASH</t>
  </si>
  <si>
    <t>L250009</t>
  </si>
  <si>
    <t>Kresna</t>
  </si>
  <si>
    <t>+62 878-8102-0531</t>
  </si>
  <si>
    <t>B 1406 UVL</t>
  </si>
  <si>
    <t>L250010</t>
  </si>
  <si>
    <t>LFW-W221RS2XYG</t>
  </si>
  <si>
    <t>Holy Ban Cengkareng</t>
  </si>
  <si>
    <t>+62 896-5160-6091</t>
  </si>
  <si>
    <t>B 1020 UET</t>
  </si>
  <si>
    <t>L250011</t>
  </si>
  <si>
    <t>Hengky</t>
  </si>
  <si>
    <t>+62 813-8523-5418</t>
  </si>
  <si>
    <t>B 2553 KZY</t>
  </si>
  <si>
    <t>L250012</t>
  </si>
  <si>
    <t>+62 812-9317-5130</t>
  </si>
  <si>
    <t>A 1496 YV</t>
  </si>
  <si>
    <t>+62 812-9317-5131</t>
  </si>
  <si>
    <t>L250013</t>
  </si>
  <si>
    <t>Kiki</t>
  </si>
  <si>
    <t>+62 812-8266-9915</t>
  </si>
  <si>
    <t>A 1431 VMC</t>
  </si>
  <si>
    <t>L250014</t>
  </si>
  <si>
    <t xml:space="preserve">Sutrisno
</t>
  </si>
  <si>
    <t>+62 822-5847-9017</t>
  </si>
  <si>
    <t>B 1155 DZO</t>
  </si>
  <si>
    <t>L250015</t>
  </si>
  <si>
    <t>+62 812-9140-9142</t>
  </si>
  <si>
    <t>B 9882 PXR</t>
  </si>
  <si>
    <t>SJTGRL250003</t>
  </si>
  <si>
    <t>LFW-W140XYG</t>
  </si>
  <si>
    <t>SJTGRL250004</t>
  </si>
  <si>
    <t>TRW-STARGAZERFY</t>
  </si>
  <si>
    <t>L250016</t>
  </si>
  <si>
    <t>Herman</t>
  </si>
  <si>
    <t>+62 811-979-852</t>
  </si>
  <si>
    <t>B 1622 WYL</t>
  </si>
  <si>
    <t>Shinta</t>
  </si>
  <si>
    <t>L250017</t>
  </si>
  <si>
    <t>+62 812-9556-7892</t>
  </si>
  <si>
    <t>F 1371 VB</t>
  </si>
  <si>
    <t>L250018</t>
  </si>
  <si>
    <t>RDR-YARIS05ASH</t>
  </si>
  <si>
    <t>Roby</t>
  </si>
  <si>
    <t>+62 888-0803-9561</t>
  </si>
  <si>
    <t>BE 1632 AMJ</t>
  </si>
  <si>
    <t>Curug</t>
  </si>
  <si>
    <t>L250019</t>
  </si>
  <si>
    <t>Ariiq</t>
  </si>
  <si>
    <t>+62 821-7851-8747</t>
  </si>
  <si>
    <t>B 1850 WCY</t>
  </si>
  <si>
    <t>Pondok Ranji</t>
  </si>
  <si>
    <t>L250020</t>
  </si>
  <si>
    <t>LFW-FK40XYG</t>
  </si>
  <si>
    <t>BM 9092 EU</t>
  </si>
  <si>
    <t>L250021</t>
  </si>
  <si>
    <t>L250022</t>
  </si>
  <si>
    <t>LFW-MAZDA618RSXYG</t>
  </si>
  <si>
    <t>A 1615 FZ</t>
  </si>
  <si>
    <t>L250023</t>
  </si>
  <si>
    <t>SWR-FREEDASH</t>
  </si>
  <si>
    <t>Omy</t>
  </si>
  <si>
    <t>+62 813-6441-3416</t>
  </si>
  <si>
    <t>B 1128 CYG</t>
  </si>
  <si>
    <t>L250024</t>
  </si>
  <si>
    <t>LFW-T30FY</t>
  </si>
  <si>
    <t>Danish</t>
  </si>
  <si>
    <t>+62 822-7360-7709</t>
  </si>
  <si>
    <t>B 1819 LD</t>
  </si>
  <si>
    <t>L250025</t>
  </si>
  <si>
    <t>Pak Asen</t>
  </si>
  <si>
    <t>+62 818-0720-3908</t>
  </si>
  <si>
    <t>B 2212 VVH</t>
  </si>
  <si>
    <t>Karang Mulya</t>
  </si>
  <si>
    <t>L250026</t>
  </si>
  <si>
    <t>LFW-RANGER04MU</t>
  </si>
  <si>
    <t>Andrey</t>
  </si>
  <si>
    <t>+62 812-9936-358</t>
  </si>
  <si>
    <t>B 8519 IE</t>
  </si>
  <si>
    <t>L250027</t>
  </si>
  <si>
    <t>Zulfahmi akmalliki</t>
  </si>
  <si>
    <t>+62 812-1844-5448</t>
  </si>
  <si>
    <t>B 2278 VVC</t>
  </si>
  <si>
    <t>L250028</t>
  </si>
  <si>
    <t>LFW-LEXUSGS350</t>
  </si>
  <si>
    <t>Muhammad Rusli</t>
  </si>
  <si>
    <t>+62 812-8483-1180</t>
  </si>
  <si>
    <t>L250029</t>
  </si>
  <si>
    <t>RVL-SIGRA16ASH</t>
  </si>
  <si>
    <t>+62 858-8851-4035</t>
  </si>
  <si>
    <t>F 1183 FBS</t>
  </si>
  <si>
    <t>Kebayoran baru</t>
  </si>
  <si>
    <t>L250030</t>
  </si>
  <si>
    <t>TRW-APVVANMU</t>
  </si>
  <si>
    <t>Putra Ambulance</t>
  </si>
  <si>
    <t>+62 859-3227-1469</t>
  </si>
  <si>
    <t>B 2357 SIY</t>
  </si>
  <si>
    <t>L250031</t>
  </si>
  <si>
    <t>FDR-OMODAXYG</t>
  </si>
  <si>
    <t>Adam</t>
  </si>
  <si>
    <t>+62 895-3369-08105</t>
  </si>
  <si>
    <t>RDR-OMODAXYG</t>
  </si>
  <si>
    <t>FVR-OMODAXYG</t>
  </si>
  <si>
    <t>Tidak jadi diorder yang ini</t>
  </si>
  <si>
    <t>L250032</t>
  </si>
  <si>
    <t>Sutisna</t>
  </si>
  <si>
    <t>+62 815-8546-6668</t>
  </si>
  <si>
    <t>B 1709 NZR</t>
  </si>
  <si>
    <t>L250033</t>
  </si>
  <si>
    <t>+62 858-8008-3644</t>
  </si>
  <si>
    <t>B 1970 HKR</t>
  </si>
  <si>
    <t>L250034</t>
  </si>
  <si>
    <t>Adimas</t>
  </si>
  <si>
    <t>+6282216769231</t>
  </si>
  <si>
    <t>B 1014 KNO</t>
  </si>
  <si>
    <t>Sepatan</t>
  </si>
  <si>
    <t>L250035</t>
  </si>
  <si>
    <t>Ara</t>
  </si>
  <si>
    <t>+62 896-1552-4926</t>
  </si>
  <si>
    <t>B 1525 CCV</t>
  </si>
  <si>
    <t>L250036</t>
  </si>
  <si>
    <t>LFW-OMODARSXYG</t>
  </si>
  <si>
    <t>L250037</t>
  </si>
  <si>
    <t>RDL-CIVIC16AGC</t>
  </si>
  <si>
    <t>Fadli</t>
  </si>
  <si>
    <t>+62 812-8941-3950</t>
  </si>
  <si>
    <t>F 1516 RK</t>
  </si>
  <si>
    <t>L250038</t>
  </si>
  <si>
    <t>TRW-HRV14FR</t>
  </si>
  <si>
    <t>Wempy</t>
  </si>
  <si>
    <t>+62 852-8862-3873</t>
  </si>
  <si>
    <t>DD 1678 XAN</t>
  </si>
  <si>
    <t>Greenlake</t>
  </si>
  <si>
    <t>L250039</t>
  </si>
  <si>
    <t>P. Irfan</t>
  </si>
  <si>
    <t>+62 813-9815-1155</t>
  </si>
  <si>
    <t>B 2644 BZK</t>
  </si>
  <si>
    <t>L250040</t>
  </si>
  <si>
    <t>LFW-CRV12AGC</t>
  </si>
  <si>
    <t>Pak Rahmat</t>
  </si>
  <si>
    <t>+62 817-748-603</t>
  </si>
  <si>
    <t>D 1103 SHL</t>
  </si>
  <si>
    <t>L250041</t>
  </si>
  <si>
    <t>Joni</t>
  </si>
  <si>
    <t>+62 821-2125-3576</t>
  </si>
  <si>
    <t>L 1230 DAC</t>
  </si>
  <si>
    <t>L250042</t>
  </si>
  <si>
    <t>PT. Aura Unggul</t>
  </si>
  <si>
    <t>+62 815-1942-1778</t>
  </si>
  <si>
    <t>B 2828 CD</t>
  </si>
  <si>
    <t>Duta Garden</t>
  </si>
  <si>
    <t>L250043</t>
  </si>
  <si>
    <t>LFW-JAZZ13FY</t>
  </si>
  <si>
    <t>Dani</t>
  </si>
  <si>
    <t>+62 857-1743-8697</t>
  </si>
  <si>
    <t>B 2231 SYE</t>
  </si>
  <si>
    <t>Tanah Abang</t>
  </si>
  <si>
    <t>L250044</t>
  </si>
  <si>
    <t>TRW-CONFEROXYG</t>
  </si>
  <si>
    <t>Ahmad Rivaldi</t>
  </si>
  <si>
    <t>+62 856-9232-6125</t>
  </si>
  <si>
    <t>A 9913 OA</t>
  </si>
  <si>
    <t>L250045</t>
  </si>
  <si>
    <t>+62 896-0824-8570</t>
  </si>
  <si>
    <t>B 2083 BZA</t>
  </si>
  <si>
    <t>L250046</t>
  </si>
  <si>
    <t>LFW-RAIZERSAGC</t>
  </si>
  <si>
    <t>Calvin</t>
  </si>
  <si>
    <t>+62 853-1188-8189</t>
  </si>
  <si>
    <t>B 1986 HFF</t>
  </si>
  <si>
    <t>Pluit</t>
  </si>
  <si>
    <t>L250047</t>
  </si>
  <si>
    <t>LFW-ESCAPEXYG</t>
  </si>
  <si>
    <t>Sofia</t>
  </si>
  <si>
    <t>+62 813-1851-585</t>
  </si>
  <si>
    <t>B 8404 GD</t>
  </si>
  <si>
    <t>Lebak Bulus</t>
  </si>
  <si>
    <t>L250048</t>
  </si>
  <si>
    <t>Bpk. Alpi</t>
  </si>
  <si>
    <t>+62 897-6178-527</t>
  </si>
  <si>
    <t>B 1356 JFO</t>
  </si>
  <si>
    <t>L250049</t>
  </si>
  <si>
    <t>TRW-PAJERO16XYG</t>
  </si>
  <si>
    <t>Raju</t>
  </si>
  <si>
    <t>+62 851-5889-9628</t>
  </si>
  <si>
    <t>D 1010 DR</t>
  </si>
  <si>
    <t>Kedoya</t>
  </si>
  <si>
    <t>L250050</t>
  </si>
  <si>
    <t>LFW-G05FY</t>
  </si>
  <si>
    <t>PT Bintang Baru Mega Raya</t>
  </si>
  <si>
    <t>+62 857-7488-7332</t>
  </si>
  <si>
    <t>Kemanggisan</t>
  </si>
  <si>
    <t>L250051</t>
  </si>
  <si>
    <t>Azka</t>
  </si>
  <si>
    <t>+62 877-7552-4458</t>
  </si>
  <si>
    <t>B 2735 SMF</t>
  </si>
  <si>
    <t>L250052</t>
  </si>
  <si>
    <t>RDR-RUSH17ASH</t>
  </si>
  <si>
    <t>Alfa</t>
  </si>
  <si>
    <t>+62 812-8328-2350</t>
  </si>
  <si>
    <t>B 1580 BMY</t>
  </si>
  <si>
    <t>L250053</t>
  </si>
  <si>
    <t>Rizky</t>
  </si>
  <si>
    <t>+62 822-8022-1509</t>
  </si>
  <si>
    <t>B 1705 WIC</t>
  </si>
  <si>
    <t>L250054</t>
  </si>
  <si>
    <t>Pebru Setyanto</t>
  </si>
  <si>
    <t>+62 818-0650-2583</t>
  </si>
  <si>
    <t>B 9558 SRU</t>
  </si>
  <si>
    <t>L250055</t>
  </si>
  <si>
    <t>Ricky Hasudungan</t>
  </si>
  <si>
    <t>+62 877-8001-4381</t>
  </si>
  <si>
    <t>B 1177 DFI</t>
  </si>
  <si>
    <t>L250056</t>
  </si>
  <si>
    <t>LFW-H1XYG</t>
  </si>
  <si>
    <t>H Pujiyono</t>
  </si>
  <si>
    <t>+62 813-1465-1281</t>
  </si>
  <si>
    <t>B 1578 VMU</t>
  </si>
  <si>
    <t>L250057</t>
  </si>
  <si>
    <t>LFW-GLORY560FY</t>
  </si>
  <si>
    <t>Hansel</t>
  </si>
  <si>
    <t>+62 858-6374-2834</t>
  </si>
  <si>
    <t>L250058</t>
  </si>
  <si>
    <t>Dede</t>
  </si>
  <si>
    <t>F 8880 HR</t>
  </si>
  <si>
    <t>L250059</t>
  </si>
  <si>
    <t>Atalla</t>
  </si>
  <si>
    <t>+62 822-8999-7031</t>
  </si>
  <si>
    <t>B 8507 ZZH</t>
  </si>
  <si>
    <t>L250060</t>
  </si>
  <si>
    <t>LFW-CAMRY06RSFY</t>
  </si>
  <si>
    <t>Faris</t>
  </si>
  <si>
    <t>+62 821-2488-1210</t>
  </si>
  <si>
    <t>B 1138 KDY</t>
  </si>
  <si>
    <t>L250061</t>
  </si>
  <si>
    <t>Ko hadi</t>
  </si>
  <si>
    <t>+62 812-9594-3521</t>
  </si>
  <si>
    <t>L250062</t>
  </si>
  <si>
    <t xml:space="preserve">Rino Nicholas
</t>
  </si>
  <si>
    <t>+62 857-1514-5433</t>
  </si>
  <si>
    <t>D 1694 AKC</t>
  </si>
  <si>
    <t>SJTGRL250007</t>
  </si>
  <si>
    <t>LFW-ODYSSEY99XYG</t>
  </si>
  <si>
    <t>LFW-IGNISMU</t>
  </si>
  <si>
    <t>LFW-TEANA08XYG</t>
  </si>
  <si>
    <t>LFW-CRV17RSAGC</t>
  </si>
  <si>
    <t>L250063</t>
  </si>
  <si>
    <t>LFW-CIVICESTFY</t>
  </si>
  <si>
    <t>Albert William</t>
  </si>
  <si>
    <t>L250064</t>
  </si>
  <si>
    <t>LFW-CAMRY11RSFY</t>
  </si>
  <si>
    <t>+62 821-4577-7168</t>
  </si>
  <si>
    <t>B 1244 BAG</t>
  </si>
  <si>
    <t>L250065</t>
  </si>
  <si>
    <t>LFW-ALTIS06RSXYG</t>
  </si>
  <si>
    <t>+62 821-1255-0011</t>
  </si>
  <si>
    <t>B 1448 SES</t>
  </si>
  <si>
    <t>L250066</t>
  </si>
  <si>
    <t>LFW-MARCHFY</t>
  </si>
  <si>
    <t>+62 896-7680-0800</t>
  </si>
  <si>
    <t>B 2721 STI</t>
  </si>
  <si>
    <t>L250067</t>
  </si>
  <si>
    <t>Hari/Wilda</t>
  </si>
  <si>
    <t>+62 851-5852-2932</t>
  </si>
  <si>
    <t>B 1853 NFS</t>
  </si>
  <si>
    <t>Pinang, Tangerang</t>
  </si>
  <si>
    <t>Wa</t>
  </si>
  <si>
    <t>L250068</t>
  </si>
  <si>
    <t>LFW-CAMRY11RSMU</t>
  </si>
  <si>
    <t>Fatah</t>
  </si>
  <si>
    <t>+62 813-1631-5587</t>
  </si>
  <si>
    <t>B 1068 SAK</t>
  </si>
  <si>
    <t>L250069</t>
  </si>
  <si>
    <t>+62 898-7517-688</t>
  </si>
  <si>
    <t>B 2570 FOI</t>
  </si>
  <si>
    <t>L250070</t>
  </si>
  <si>
    <t>Trendy</t>
  </si>
  <si>
    <t>+62 882-1168-6460</t>
  </si>
  <si>
    <t>B 1118 OA</t>
  </si>
  <si>
    <t>L250071</t>
  </si>
  <si>
    <t>+62 812-1029-1201</t>
  </si>
  <si>
    <t>B 2585 BBL</t>
  </si>
  <si>
    <t>L250072</t>
  </si>
  <si>
    <t>PT. Altindo Mulia/ Wahyu</t>
  </si>
  <si>
    <t>+62 896-5297-9365</t>
  </si>
  <si>
    <t>B 2834 SYT</t>
  </si>
  <si>
    <t>L250073</t>
  </si>
  <si>
    <t>Iskandar</t>
  </si>
  <si>
    <t>+62 813-6655-1219</t>
  </si>
  <si>
    <t>A 1714 XS</t>
  </si>
  <si>
    <t>L250074</t>
  </si>
  <si>
    <t>Natan</t>
  </si>
  <si>
    <t>+62 821-1067-5060</t>
  </si>
  <si>
    <t>B 1020 VKX</t>
  </si>
  <si>
    <t>L250075</t>
  </si>
  <si>
    <t>Pak. Baron / Berkah</t>
  </si>
  <si>
    <t>B 1706 VFY</t>
  </si>
  <si>
    <t>L250076</t>
  </si>
  <si>
    <t>LFW-HRV14FY</t>
  </si>
  <si>
    <t>Sani</t>
  </si>
  <si>
    <t>‪+62 852‑2547‑9885‬</t>
  </si>
  <si>
    <t>AB 1257 MH</t>
  </si>
  <si>
    <t>L250077</t>
  </si>
  <si>
    <t>Panca</t>
  </si>
  <si>
    <t>‪+62 811‑1000‑1393‬</t>
  </si>
  <si>
    <t>F 1642 ZE</t>
  </si>
  <si>
    <t>L250078</t>
  </si>
  <si>
    <t>RDR-ERTIGA18MU</t>
  </si>
  <si>
    <t>Angger</t>
  </si>
  <si>
    <t>‪+62 817‑897‑733‬</t>
  </si>
  <si>
    <t>Cipadu</t>
  </si>
  <si>
    <t>L250079</t>
  </si>
  <si>
    <t>TRW-BRIO10NOLBGAGC</t>
  </si>
  <si>
    <t>Pak Baron / Berkah</t>
  </si>
  <si>
    <t>B 1109 CYR</t>
  </si>
  <si>
    <t>L250080</t>
  </si>
  <si>
    <t>Fahrul Romadhon</t>
  </si>
  <si>
    <t>+62 896-1922-9199</t>
  </si>
  <si>
    <t>Kebon Jeruk</t>
  </si>
  <si>
    <t>L250081</t>
  </si>
  <si>
    <t>PT. Sukses Gemilang Bersama</t>
  </si>
  <si>
    <t>+62 813-1770-5511</t>
  </si>
  <si>
    <t>B 9969 PCH</t>
  </si>
  <si>
    <t>L250082</t>
  </si>
  <si>
    <t>R Sagala</t>
  </si>
  <si>
    <t>+62 813-1013-1109</t>
  </si>
  <si>
    <t>B 2409 TFZ</t>
  </si>
  <si>
    <t>Pulo Gebang</t>
  </si>
  <si>
    <t>L250083</t>
  </si>
  <si>
    <t>Fitri</t>
  </si>
  <si>
    <t>+62 813-8624-7663</t>
  </si>
  <si>
    <t>B 1570 WMN</t>
  </si>
  <si>
    <t>Gambir</t>
  </si>
  <si>
    <t>L250084</t>
  </si>
  <si>
    <t>FDR-ELFNMRASH</t>
  </si>
  <si>
    <t>Unggul Body Repair</t>
  </si>
  <si>
    <t>+62 822-6000-5395</t>
  </si>
  <si>
    <t>FDL-ELFNMRASH</t>
  </si>
  <si>
    <t>L250085</t>
  </si>
  <si>
    <t>F 8891 HR</t>
  </si>
  <si>
    <t>L250086</t>
  </si>
  <si>
    <t>+62 857-1782-6790</t>
  </si>
  <si>
    <t>B 1640 KBE</t>
  </si>
  <si>
    <t>L250087</t>
  </si>
  <si>
    <t>Jamalulel</t>
  </si>
  <si>
    <t>+62 853-1013-3393</t>
  </si>
  <si>
    <t>B 1280 DFI</t>
  </si>
  <si>
    <t>SJTGRL250009</t>
  </si>
  <si>
    <t>LFW-FJ80MU</t>
  </si>
  <si>
    <t>L250088</t>
  </si>
  <si>
    <t>TRW-ALPHARD15BLACKXYG</t>
  </si>
  <si>
    <t>Satria Purnomo</t>
  </si>
  <si>
    <t>+62 877-1623-8712</t>
  </si>
  <si>
    <t>E 1064 CH</t>
  </si>
  <si>
    <t>L250089</t>
  </si>
  <si>
    <t>LFW-INNOVA22RSXYG</t>
  </si>
  <si>
    <t>Heru</t>
  </si>
  <si>
    <t>+62 812-1118-818</t>
  </si>
  <si>
    <t>B 8055 PSR</t>
  </si>
  <si>
    <t>L250090</t>
  </si>
  <si>
    <t>Rizky Fall</t>
  </si>
  <si>
    <t>+62 821-6994-0993</t>
  </si>
  <si>
    <t>B 2156 TJ</t>
  </si>
  <si>
    <t>L250091</t>
  </si>
  <si>
    <t>+62 878-0878-6801</t>
  </si>
  <si>
    <t>B 9218 PO</t>
  </si>
  <si>
    <t>L250092</t>
  </si>
  <si>
    <t>TRW-XPANDER22HXYG</t>
  </si>
  <si>
    <t>Ritchie Armando Yudianto</t>
  </si>
  <si>
    <t>+62 812-1947-5924</t>
  </si>
  <si>
    <t>B 1907 RKM</t>
  </si>
  <si>
    <t>L250093</t>
  </si>
  <si>
    <t>Agus Salam</t>
  </si>
  <si>
    <t>+62 812-2185-7918</t>
  </si>
  <si>
    <t>B 1191 WFW</t>
  </si>
  <si>
    <t>L250094</t>
  </si>
  <si>
    <t>FDL-AVANZA11ASH</t>
  </si>
  <si>
    <t>Alwan</t>
  </si>
  <si>
    <t>+62 815-7231-1146</t>
  </si>
  <si>
    <t>B 2801 UFO</t>
  </si>
  <si>
    <t>SJTGRL250010</t>
  </si>
  <si>
    <t>SWR-AVANZA11MU</t>
  </si>
  <si>
    <t>L250095</t>
  </si>
  <si>
    <t>Danis</t>
  </si>
  <si>
    <t>+62 811-6321-414</t>
  </si>
  <si>
    <t>L250096</t>
  </si>
  <si>
    <t>Ridwan</t>
  </si>
  <si>
    <t>+62 816-890-420</t>
  </si>
  <si>
    <t>B 2412 BKS</t>
  </si>
  <si>
    <t>L250097</t>
  </si>
  <si>
    <t>Nasrul</t>
  </si>
  <si>
    <t>+62 812-9697-6992</t>
  </si>
  <si>
    <t>Ciledug</t>
  </si>
  <si>
    <t>L250098</t>
  </si>
  <si>
    <t>RDR-H1FRAMEXYG</t>
  </si>
  <si>
    <t>B 1156 SZF</t>
  </si>
  <si>
    <t>FDR-XPANDERASH</t>
  </si>
  <si>
    <t>B 1317 VOT</t>
  </si>
  <si>
    <t>L250099</t>
  </si>
  <si>
    <t>SJTGRL250011</t>
  </si>
  <si>
    <t>L250100</t>
  </si>
  <si>
    <t>Guntur, Dimas, Agung, Pavel, Yansyah</t>
  </si>
  <si>
    <t>pecah tangerang</t>
  </si>
  <si>
    <t>L250101</t>
  </si>
  <si>
    <t>Rio</t>
  </si>
  <si>
    <t>+62 831-5173-1839</t>
  </si>
  <si>
    <t>B 2063 TIS</t>
  </si>
  <si>
    <t>L250102</t>
  </si>
  <si>
    <t>Azizul akbar</t>
  </si>
  <si>
    <t>+62 878-5131-4715</t>
  </si>
  <si>
    <t>B 2899 BFA</t>
  </si>
  <si>
    <t>L250103</t>
  </si>
  <si>
    <t>Zuhri</t>
  </si>
  <si>
    <t>+62 812-1579-5707</t>
  </si>
  <si>
    <t>132127-05</t>
  </si>
  <si>
    <t>L250104</t>
  </si>
  <si>
    <t>Panji</t>
  </si>
  <si>
    <t>+62 812-1923-3990</t>
  </si>
  <si>
    <t>B 2178 KMT</t>
  </si>
  <si>
    <t>L250105</t>
  </si>
  <si>
    <t>TRW-YARIS17XYG</t>
  </si>
  <si>
    <t>Irfan fauzi</t>
  </si>
  <si>
    <t>+62 852-8030-2404</t>
  </si>
  <si>
    <t>B 2873 PFY</t>
  </si>
  <si>
    <t xml:space="preserve">Grogol </t>
  </si>
  <si>
    <t>L250106</t>
  </si>
  <si>
    <t>+62 812-2163-2985</t>
  </si>
  <si>
    <t>B 2949 PBT</t>
  </si>
  <si>
    <t>L250107</t>
  </si>
  <si>
    <t>Yongki</t>
  </si>
  <si>
    <t>+62 812-9608-8666</t>
  </si>
  <si>
    <t>B 17 KA</t>
  </si>
  <si>
    <t>L250108</t>
  </si>
  <si>
    <t>LFW-CITY14FY</t>
  </si>
  <si>
    <t>Novan</t>
  </si>
  <si>
    <t>+62 813-8560-9440</t>
  </si>
  <si>
    <t>B 1237 SAN</t>
  </si>
  <si>
    <t>Sawah Lama, Tangsel</t>
  </si>
  <si>
    <t>L250109</t>
  </si>
  <si>
    <t>Adi Rahadian</t>
  </si>
  <si>
    <t>‪+62 812‑8447‑5501‬</t>
  </si>
  <si>
    <t>B 1046 NIN</t>
  </si>
  <si>
    <t>L250110</t>
  </si>
  <si>
    <t>Kemo Deep</t>
  </si>
  <si>
    <t>+62 857-7343-5238</t>
  </si>
  <si>
    <t>B 1348 CMV</t>
  </si>
  <si>
    <t>Buaran Indah</t>
  </si>
  <si>
    <t>L250111</t>
  </si>
  <si>
    <t>Iskandar Syah</t>
  </si>
  <si>
    <t>+62 813-1647-4252</t>
  </si>
  <si>
    <t>B 1663 VKV</t>
  </si>
  <si>
    <t>L250112</t>
  </si>
  <si>
    <t>Martin</t>
  </si>
  <si>
    <t>+62 851-3214-8209</t>
  </si>
  <si>
    <t>B 2134 SFI</t>
  </si>
  <si>
    <t>L250113</t>
  </si>
  <si>
    <t>+62 821-2203-7162</t>
  </si>
  <si>
    <t>B 2559 UZY</t>
  </si>
  <si>
    <t>L250114</t>
  </si>
  <si>
    <t>Reski</t>
  </si>
  <si>
    <t>+62 856-9936-860</t>
  </si>
  <si>
    <t>F 1243 IE</t>
  </si>
  <si>
    <t>L250115</t>
  </si>
  <si>
    <t>+62 856-9366-8058</t>
  </si>
  <si>
    <t>B 1678 JVC</t>
  </si>
  <si>
    <t>L250116</t>
  </si>
  <si>
    <t>B 1500 NIR</t>
  </si>
  <si>
    <t>L250117</t>
  </si>
  <si>
    <t>Martinus</t>
  </si>
  <si>
    <t>+62 813-1498-7818</t>
  </si>
  <si>
    <t>B 1506 JFA</t>
  </si>
  <si>
    <t>L250118</t>
  </si>
  <si>
    <t>L250119</t>
  </si>
  <si>
    <t>Rivaldo</t>
  </si>
  <si>
    <t>+62 812-1959-4144</t>
  </si>
  <si>
    <t>L 1066 DB</t>
  </si>
  <si>
    <t>L250120</t>
  </si>
  <si>
    <t>Suprapto (Ketok Magic Barokah)</t>
  </si>
  <si>
    <t>L250121</t>
  </si>
  <si>
    <t>Haposan</t>
  </si>
  <si>
    <t>+62 812-8336-448</t>
  </si>
  <si>
    <t>B 2503 UZX</t>
  </si>
  <si>
    <t>L250122</t>
  </si>
  <si>
    <t>LFW-AUDIQ312XYG</t>
  </si>
  <si>
    <t xml:space="preserve">Nael </t>
  </si>
  <si>
    <t>+62 811-826-987</t>
  </si>
  <si>
    <t>B 2062 SXS</t>
  </si>
  <si>
    <t>L250123</t>
  </si>
  <si>
    <t>Suparman</t>
  </si>
  <si>
    <t>+62 812-9999-923</t>
  </si>
  <si>
    <t>B 9141 UWM</t>
  </si>
  <si>
    <t>L250124</t>
  </si>
  <si>
    <t>Hendrikus Yongki</t>
  </si>
  <si>
    <t>+62 895-4027-44119</t>
  </si>
  <si>
    <t>B 2870 UZT</t>
  </si>
  <si>
    <t>FILM-40STD</t>
  </si>
  <si>
    <t>L250125</t>
  </si>
  <si>
    <t>Gugun</t>
  </si>
  <si>
    <t>+62 819-5888-8895</t>
  </si>
  <si>
    <t>L250126</t>
  </si>
  <si>
    <t>Syamsul</t>
  </si>
  <si>
    <t>+62 856-9772-1066</t>
  </si>
  <si>
    <t>B 2535 SIM</t>
  </si>
  <si>
    <t>L250127</t>
  </si>
  <si>
    <t>SWL-FORTUNER15ASH</t>
  </si>
  <si>
    <t>Novi</t>
  </si>
  <si>
    <t>+62 812-9852-8732</t>
  </si>
  <si>
    <t>B 1529 BIZ</t>
  </si>
  <si>
    <t>L250128</t>
  </si>
  <si>
    <t>LFW-CRETARSXYG</t>
  </si>
  <si>
    <t>Hasri Zulkarnain</t>
  </si>
  <si>
    <t>+62 819-3144-6258</t>
  </si>
  <si>
    <t>B 1561 DZE</t>
  </si>
  <si>
    <t>L250129</t>
  </si>
  <si>
    <t>Muhamad Fahreza</t>
  </si>
  <si>
    <t>+62 857-1634-4113</t>
  </si>
  <si>
    <t>L250130</t>
  </si>
  <si>
    <t>Heru Munel</t>
  </si>
  <si>
    <t>+62 858-1093-1667</t>
  </si>
  <si>
    <t>A 1841 XE</t>
  </si>
  <si>
    <t>L250131</t>
  </si>
  <si>
    <t>Pak Agung</t>
  </si>
  <si>
    <t>+62 821-1256-5248</t>
  </si>
  <si>
    <t>B 1442 SDZ</t>
  </si>
  <si>
    <t>L250132</t>
  </si>
  <si>
    <t>Cynthia</t>
  </si>
  <si>
    <t>+62 813-8986-0000</t>
  </si>
  <si>
    <t>B 2855 UOC</t>
  </si>
  <si>
    <t>Kelapa Gading</t>
  </si>
  <si>
    <t>SJH2025122300005</t>
  </si>
  <si>
    <t>L250133</t>
  </si>
  <si>
    <t>LFW-FOCUS04FY</t>
  </si>
  <si>
    <t>Gideon</t>
  </si>
  <si>
    <t>+62 856-9715-9971</t>
  </si>
  <si>
    <t>Z 1093 KC</t>
  </si>
  <si>
    <t>L250134</t>
  </si>
  <si>
    <t>FDR-LIVINA07ASH</t>
  </si>
  <si>
    <t>Dini</t>
  </si>
  <si>
    <t>‪+62 812‑8881‑1710‬</t>
  </si>
  <si>
    <t>B 1144 ZFM</t>
  </si>
  <si>
    <t>Ciganjur</t>
  </si>
  <si>
    <t>L250135</t>
  </si>
  <si>
    <t>+62 857-4785-8162</t>
  </si>
  <si>
    <t>B 1317 JVG</t>
  </si>
  <si>
    <t>L250136</t>
  </si>
  <si>
    <t>Septian</t>
  </si>
  <si>
    <t>+62 858-7921-6945</t>
  </si>
  <si>
    <t>B 1557 FBD</t>
  </si>
  <si>
    <t>Tharr</t>
  </si>
  <si>
    <t>L250137</t>
  </si>
  <si>
    <t>Arta</t>
  </si>
  <si>
    <t>+62 812-1235-4070</t>
  </si>
  <si>
    <t>B 2260 SYT</t>
  </si>
  <si>
    <t>L250138</t>
  </si>
  <si>
    <t>TRW-TUCSON10XYG</t>
  </si>
  <si>
    <t xml:space="preserve">Bakhrum </t>
  </si>
  <si>
    <t>+62 817-387-855</t>
  </si>
  <si>
    <t>A 1693 OS</t>
  </si>
  <si>
    <t>L250139</t>
  </si>
  <si>
    <t>SWL-MOBILIOAGC</t>
  </si>
  <si>
    <t>Amir</t>
  </si>
  <si>
    <t>+62 857-1984-5278</t>
  </si>
  <si>
    <t>B 1149 COO</t>
  </si>
  <si>
    <t>SJ2512941</t>
  </si>
  <si>
    <t>LFW-I1013XYG</t>
  </si>
  <si>
    <t>L250140</t>
  </si>
  <si>
    <t>Okman Nurijal</t>
  </si>
  <si>
    <t>+62 819-5281-6794</t>
  </si>
  <si>
    <t>B 2139 UZW</t>
  </si>
  <si>
    <t>Dukuh, Tangerang</t>
  </si>
  <si>
    <t>L250141</t>
  </si>
  <si>
    <t>Beni</t>
  </si>
  <si>
    <t>+62 896-3124-6222</t>
  </si>
  <si>
    <t>B 1829 JUT</t>
  </si>
  <si>
    <t>L250142</t>
  </si>
  <si>
    <t>Teddy</t>
  </si>
  <si>
    <t>+62 878-2888-0222</t>
  </si>
  <si>
    <t>B 1453 WJB</t>
  </si>
  <si>
    <t>L250143</t>
  </si>
  <si>
    <t>LFW-KARIMUN99XYG</t>
  </si>
  <si>
    <t>Bank Dana</t>
  </si>
  <si>
    <t>+62 822-5888-5817</t>
  </si>
  <si>
    <t>D 1338 BE</t>
  </si>
  <si>
    <t>Graha Bintaro</t>
  </si>
  <si>
    <t>L250144</t>
  </si>
  <si>
    <t>+62 852-8282-2003</t>
  </si>
  <si>
    <t>B 1246 BJS</t>
  </si>
  <si>
    <t>L250145</t>
  </si>
  <si>
    <t>Oming</t>
  </si>
  <si>
    <t>+62 821‑1464‑6455</t>
  </si>
  <si>
    <t>L250146</t>
  </si>
  <si>
    <t>LFW-ALPHARD08RSFY</t>
  </si>
  <si>
    <t xml:space="preserve">P. Arif </t>
  </si>
  <si>
    <t>+62 817-6906-208</t>
  </si>
  <si>
    <t>B 2875 TJ</t>
  </si>
  <si>
    <t>L250147</t>
  </si>
  <si>
    <t>Susanto</t>
  </si>
  <si>
    <t>+62 877-8162-6222</t>
  </si>
  <si>
    <t>B 1537 BCY</t>
  </si>
  <si>
    <t>L250148</t>
  </si>
  <si>
    <t>Brandon</t>
  </si>
  <si>
    <t>+62 877-7272-9779</t>
  </si>
  <si>
    <t>B 8999 AD</t>
  </si>
  <si>
    <t>L250149</t>
  </si>
  <si>
    <t>LFW-TUCSON16XYG</t>
  </si>
  <si>
    <t>Erwin</t>
  </si>
  <si>
    <t>+62 815-1119-9725</t>
  </si>
  <si>
    <t>B 1413 WLT</t>
  </si>
  <si>
    <t>L250150</t>
  </si>
  <si>
    <t>Ika Apriliyana</t>
  </si>
  <si>
    <t>+62 812-9691-9636</t>
  </si>
  <si>
    <t>B 2054 BOA</t>
  </si>
  <si>
    <t>L250151</t>
  </si>
  <si>
    <t>+62 818-808-626</t>
  </si>
  <si>
    <t>B 2160 SJD</t>
  </si>
  <si>
    <t>L250152</t>
  </si>
  <si>
    <t>L250153</t>
  </si>
  <si>
    <t>Eli</t>
  </si>
  <si>
    <t>+62 856-9160-7585</t>
  </si>
  <si>
    <t>B 1728 CZJ</t>
  </si>
  <si>
    <t>L250154</t>
  </si>
  <si>
    <t>SWL-BIANTEHITAMXYG</t>
  </si>
  <si>
    <t>+62 838-7571-6589</t>
  </si>
  <si>
    <t>L250155</t>
  </si>
  <si>
    <t>LFW-CAPTIVAXYG</t>
  </si>
  <si>
    <t>+62 812-8878-714</t>
  </si>
  <si>
    <t>B 2269 UBG</t>
  </si>
  <si>
    <t>A260001</t>
  </si>
  <si>
    <t>Damar</t>
  </si>
  <si>
    <t>+62 812-9764-7779</t>
  </si>
  <si>
    <t>AD 1475 DD</t>
  </si>
  <si>
    <t>masuk ke alvin</t>
  </si>
  <si>
    <t>A260002</t>
  </si>
  <si>
    <t>LFW-DYNAXYG</t>
  </si>
  <si>
    <t>Lifky</t>
  </si>
  <si>
    <t>+62 819-0826-8666</t>
  </si>
  <si>
    <t>B 9354 VDA</t>
  </si>
  <si>
    <t>A260003</t>
  </si>
  <si>
    <t>FDR-AVANZA03ASH</t>
  </si>
  <si>
    <t>Lily</t>
  </si>
  <si>
    <t>+62 895-3953-20512</t>
  </si>
  <si>
    <t>A260004</t>
  </si>
  <si>
    <t>+62 882-1159-8237</t>
  </si>
  <si>
    <t>SJTGRA260001</t>
  </si>
  <si>
    <t>LFW-AVANZA11XYG</t>
  </si>
  <si>
    <t>LFW-BRIOXYG</t>
  </si>
  <si>
    <t>LFW-INNOVA04XYG</t>
  </si>
  <si>
    <t>LFW-INNOVA15XYG</t>
  </si>
  <si>
    <t>LFW-RANGER04XYG</t>
  </si>
  <si>
    <t>SJTGRA260002</t>
  </si>
  <si>
    <t>A260005</t>
  </si>
  <si>
    <t>Teguh Raharjo</t>
  </si>
  <si>
    <t>+62 811-918-597</t>
  </si>
  <si>
    <t>B 1733 WMX</t>
  </si>
  <si>
    <t>A260006</t>
  </si>
  <si>
    <t xml:space="preserve">      </t>
  </si>
  <si>
    <t>Moses</t>
  </si>
  <si>
    <t>+62 823-1023-8573</t>
  </si>
  <si>
    <t>B 2549 SGY</t>
  </si>
  <si>
    <t>A260007</t>
  </si>
  <si>
    <t xml:space="preserve">Andiansyah </t>
  </si>
  <si>
    <t>+62 878-7033-8381</t>
  </si>
  <si>
    <t>Serang</t>
  </si>
  <si>
    <t>A260008</t>
  </si>
  <si>
    <t>Jimmy</t>
  </si>
  <si>
    <t>081311007531</t>
  </si>
  <si>
    <t>B 2615 TBR</t>
  </si>
  <si>
    <t>A260009</t>
  </si>
  <si>
    <t>RDL-RUSH17ASH</t>
  </si>
  <si>
    <t>Rahmi G</t>
  </si>
  <si>
    <t>+62 858-8134-7099</t>
  </si>
  <si>
    <t>B 2601 SIH</t>
  </si>
  <si>
    <t>A260010</t>
  </si>
  <si>
    <t>Ika</t>
  </si>
  <si>
    <t>+62 831-4208-6807</t>
  </si>
  <si>
    <t>B 1147 VFC</t>
  </si>
  <si>
    <t>A260011</t>
  </si>
  <si>
    <t>B 8603 GK</t>
  </si>
  <si>
    <t>A260012</t>
  </si>
  <si>
    <t>Janedi</t>
  </si>
  <si>
    <t>0811806178</t>
  </si>
  <si>
    <t>B 1950 CYP</t>
  </si>
  <si>
    <t>A260013</t>
  </si>
  <si>
    <t>LFW-GRANMAXXYG</t>
  </si>
  <si>
    <t>Stifen</t>
  </si>
  <si>
    <t>+62 822-1899-8210</t>
  </si>
  <si>
    <t>A260014</t>
  </si>
  <si>
    <t>Otniel</t>
  </si>
  <si>
    <t>+66 94 584 1516</t>
  </si>
  <si>
    <t>A260015</t>
  </si>
  <si>
    <t>+62 856-1269-696</t>
  </si>
  <si>
    <t>B 2720 NFF</t>
  </si>
  <si>
    <t xml:space="preserve">+62 856-1269-696
</t>
  </si>
  <si>
    <t>A260016</t>
  </si>
  <si>
    <t>Arman</t>
  </si>
  <si>
    <t>081314424274</t>
  </si>
  <si>
    <t>B 2598 SIK</t>
  </si>
  <si>
    <t>A260017</t>
  </si>
  <si>
    <t>LFW-ALPHARD08XYG</t>
  </si>
  <si>
    <t>Pius</t>
  </si>
  <si>
    <t>+62 811-9786-728</t>
  </si>
  <si>
    <t>B 2096 SXZ</t>
  </si>
  <si>
    <t>SJTGRA260003</t>
  </si>
  <si>
    <t>Lakban Bersih Orange</t>
  </si>
  <si>
    <t>LFW-TERIOS06XYG</t>
  </si>
  <si>
    <t>LFW-ERTIGA12XYG</t>
  </si>
  <si>
    <t>LFW-RUBICON07MU</t>
  </si>
  <si>
    <t>CORONG SOSIS</t>
  </si>
  <si>
    <t>LAKBAN KUNING</t>
  </si>
  <si>
    <t>A260018</t>
  </si>
  <si>
    <t>08128754595</t>
  </si>
  <si>
    <t>R 1171 FAJ</t>
  </si>
  <si>
    <t>Perum</t>
  </si>
  <si>
    <t>A260019</t>
  </si>
  <si>
    <t>+62 813-8101-3630</t>
  </si>
  <si>
    <t>Regency</t>
  </si>
  <si>
    <t>A260020</t>
  </si>
  <si>
    <t>LFW-VITARA23SUZ</t>
  </si>
  <si>
    <t>Bpk. Fahru / Utama Motor BSD</t>
  </si>
  <si>
    <t>+62 812-8584-880</t>
  </si>
  <si>
    <t>B 1552 EID</t>
  </si>
  <si>
    <t>DP 1,600,000</t>
  </si>
  <si>
    <t>A260021</t>
  </si>
  <si>
    <t>Fudji</t>
  </si>
  <si>
    <t>+62 822-9969-5646</t>
  </si>
  <si>
    <t>fujiagus.66@gmail.com</t>
  </si>
  <si>
    <t>B 1024 DKG</t>
  </si>
  <si>
    <t>A260022</t>
  </si>
  <si>
    <t>Niko</t>
  </si>
  <si>
    <t>+62 859-2161-3500</t>
  </si>
  <si>
    <t>B 8737 DV</t>
  </si>
  <si>
    <t>A260023</t>
  </si>
  <si>
    <t>Anggara</t>
  </si>
  <si>
    <t>+62 818-913-064</t>
  </si>
  <si>
    <t>syailendraangara@gmail.com</t>
  </si>
  <si>
    <t>B 1785 DOI</t>
  </si>
  <si>
    <t>A260024</t>
  </si>
  <si>
    <t>Tami</t>
  </si>
  <si>
    <t>+62 821-1354-2964</t>
  </si>
  <si>
    <t>B 1926 ZMG</t>
  </si>
  <si>
    <t>A260025</t>
  </si>
  <si>
    <t>LFW-ACCORD08FY</t>
  </si>
  <si>
    <t>Adi</t>
  </si>
  <si>
    <t>A260026</t>
  </si>
  <si>
    <t>Hadi</t>
  </si>
  <si>
    <t>+62 819-5343-6757</t>
  </si>
  <si>
    <t>B 2022 BBL</t>
  </si>
  <si>
    <t>630000+2520000</t>
  </si>
  <si>
    <t>A260027</t>
  </si>
  <si>
    <t>LFW-LOUHANFY</t>
  </si>
  <si>
    <t>Dedi Kurniawan</t>
  </si>
  <si>
    <t>+62 857-8382-2519</t>
  </si>
  <si>
    <t>DD 8710 XB</t>
  </si>
  <si>
    <t>A260028</t>
  </si>
  <si>
    <t>LFW-FORTUNER05XYG</t>
  </si>
  <si>
    <t>Hendra</t>
  </si>
  <si>
    <t>+62 811-102-852</t>
  </si>
  <si>
    <t>B 1840 WLP</t>
  </si>
  <si>
    <t>A260029</t>
  </si>
  <si>
    <t>LFW-MAZDA214RS1XYG</t>
  </si>
  <si>
    <t>Yohanes</t>
  </si>
  <si>
    <t>+62 811-1905-103</t>
  </si>
  <si>
    <t>B 2583 BZF</t>
  </si>
  <si>
    <t>100000+2908000</t>
  </si>
  <si>
    <t>A260030</t>
  </si>
  <si>
    <t>TRW-KAPSUL02ASH</t>
  </si>
  <si>
    <t>Maria</t>
  </si>
  <si>
    <t>+62 816-1967-276</t>
  </si>
  <si>
    <t>B 1928 TB</t>
  </si>
  <si>
    <t>A260031</t>
  </si>
  <si>
    <t>RDL-HRV14ASH</t>
  </si>
  <si>
    <t>Nopri</t>
  </si>
  <si>
    <t>+62 811-1441-187</t>
  </si>
  <si>
    <t>D 1426 ADQ</t>
  </si>
  <si>
    <t>A260032</t>
  </si>
  <si>
    <t>Ibnu</t>
  </si>
  <si>
    <t>+62 856-5830-4600</t>
  </si>
  <si>
    <t>A 1856 VUA</t>
  </si>
  <si>
    <t>Balaraja</t>
  </si>
  <si>
    <t>A260033</t>
  </si>
  <si>
    <t>Raka Motor Body Repair</t>
  </si>
  <si>
    <t>+62 812-9480-0600</t>
  </si>
  <si>
    <t>B 1408 TKD</t>
  </si>
  <si>
    <t>Kunciran</t>
  </si>
  <si>
    <t>A260034</t>
  </si>
  <si>
    <t>RDR-AVANZA21AGC</t>
  </si>
  <si>
    <t>Wirda</t>
  </si>
  <si>
    <t>+62 812-9938-770</t>
  </si>
  <si>
    <t>B 2535 POP</t>
  </si>
  <si>
    <t>750000 - 25000</t>
  </si>
  <si>
    <t>A260035</t>
  </si>
  <si>
    <t>LFW-APVAGC</t>
  </si>
  <si>
    <t>PT Crevon Indonesia</t>
  </si>
  <si>
    <t>+62 852-9686-2714</t>
  </si>
  <si>
    <t>B 9992 BCE</t>
  </si>
  <si>
    <t>A260036</t>
  </si>
  <si>
    <t>RDL-CAMRY11AGC</t>
  </si>
  <si>
    <t>Muhammad Ali</t>
  </si>
  <si>
    <t>+62 813-8969-2411</t>
  </si>
  <si>
    <t>1847000+1847000</t>
  </si>
  <si>
    <t>SJTGRA260004</t>
  </si>
  <si>
    <t>LFW-XPANDERXYG</t>
  </si>
  <si>
    <t>LFW-AVANZA16XYG</t>
  </si>
  <si>
    <t>LFW-CRV07XYG</t>
  </si>
  <si>
    <t>LFW-CONFEROXYG</t>
  </si>
  <si>
    <t>RDR-HRV14AGC</t>
  </si>
  <si>
    <t>A260037</t>
  </si>
  <si>
    <t>henry setia budi</t>
  </si>
  <si>
    <t>582013384980596189</t>
  </si>
  <si>
    <t>Banyumas</t>
  </si>
  <si>
    <t>A260038</t>
  </si>
  <si>
    <t>PT Warnindo Digital Indonesia</t>
  </si>
  <si>
    <t>+62 811-1797-777</t>
  </si>
  <si>
    <t>B 9814 BXB</t>
  </si>
  <si>
    <t>A260039</t>
  </si>
  <si>
    <t>+62 856-9733-5563</t>
  </si>
  <si>
    <t>B 9834 BAH</t>
  </si>
  <si>
    <t>A260040</t>
  </si>
  <si>
    <t>A260041</t>
  </si>
  <si>
    <t>RDL-MARCHFY</t>
  </si>
  <si>
    <t>Marcello</t>
  </si>
  <si>
    <t>+62 812-9933-718</t>
  </si>
  <si>
    <t>B 1348 SIZ</t>
  </si>
  <si>
    <t>A260042</t>
  </si>
  <si>
    <t>AW Auto Cars</t>
  </si>
  <si>
    <t>+62 851-0192-2322</t>
  </si>
  <si>
    <t>B 2194 SML</t>
  </si>
  <si>
    <t>Mangga Dua</t>
  </si>
  <si>
    <t>A260043</t>
  </si>
  <si>
    <t>FILM-VIPVK</t>
  </si>
  <si>
    <t>Tiwi</t>
  </si>
  <si>
    <t>+62 812-8466-8306</t>
  </si>
  <si>
    <t>100000+9250000</t>
  </si>
  <si>
    <t>A260044</t>
  </si>
  <si>
    <t>FDL-MAZDA209XYG</t>
  </si>
  <si>
    <t>Fadhil</t>
  </si>
  <si>
    <t xml:space="preserve">+62 851-3333-6743
</t>
  </si>
  <si>
    <t>A260045</t>
  </si>
  <si>
    <t>Anton</t>
  </si>
  <si>
    <t>+62 812-1177-1991</t>
  </si>
  <si>
    <t>B 2940 SJB</t>
  </si>
  <si>
    <t>A260046</t>
  </si>
  <si>
    <t>Gunawan</t>
  </si>
  <si>
    <t>+62 813-8038-1308</t>
  </si>
  <si>
    <t>B 1975 BJV</t>
  </si>
  <si>
    <t>Pinang</t>
  </si>
  <si>
    <t>A260047</t>
  </si>
  <si>
    <t>+62 818-660-413</t>
  </si>
  <si>
    <t>B 1744 BRQ</t>
  </si>
  <si>
    <t>A260048</t>
  </si>
  <si>
    <t>Shobirin</t>
  </si>
  <si>
    <t>+62 812-8325-0530</t>
  </si>
  <si>
    <t>B 1020 BYU</t>
  </si>
  <si>
    <t>A260049</t>
  </si>
  <si>
    <t>LFW-CITY02XYG</t>
  </si>
  <si>
    <t>Rey</t>
  </si>
  <si>
    <t>+62 822-9801-5958</t>
  </si>
  <si>
    <t>B 1402 QG</t>
  </si>
  <si>
    <t>A260050</t>
  </si>
  <si>
    <t>Fahmy</t>
  </si>
  <si>
    <t>+62 877-8722-1179</t>
  </si>
  <si>
    <t>B 1821 FZT</t>
  </si>
  <si>
    <t>A260051</t>
  </si>
  <si>
    <t>RDR-T31XYG</t>
  </si>
  <si>
    <t>Heribertus Setyo</t>
  </si>
  <si>
    <t>+62 812-8254-927</t>
  </si>
  <si>
    <t>H 1342 HS</t>
  </si>
  <si>
    <t>A260052</t>
  </si>
  <si>
    <t>Jonathan</t>
  </si>
  <si>
    <t>+62 851-2102-9832</t>
  </si>
  <si>
    <t>A260053</t>
  </si>
  <si>
    <t>TRW-TERRAXYG</t>
  </si>
  <si>
    <t>B. Marissa</t>
  </si>
  <si>
    <t>+62 821-1358-0939</t>
  </si>
  <si>
    <t>Jakut</t>
  </si>
  <si>
    <t>A260054</t>
  </si>
  <si>
    <t>Amirrudin</t>
  </si>
  <si>
    <t>+62 812-9332-3161</t>
  </si>
  <si>
    <t>B 1403 BMK</t>
  </si>
  <si>
    <t>A260055</t>
  </si>
  <si>
    <t>Billy</t>
  </si>
  <si>
    <t>+62 812 93678589</t>
  </si>
  <si>
    <t>B 1673 NYE</t>
  </si>
  <si>
    <t>A260056</t>
  </si>
  <si>
    <t>LFW-AVEGA01XYG</t>
  </si>
  <si>
    <t>Ka Clara</t>
  </si>
  <si>
    <t>+62 819-2796-9888</t>
  </si>
  <si>
    <t>A260057</t>
  </si>
  <si>
    <t>+62 817-0017-926</t>
  </si>
  <si>
    <t>DB 1804 MF</t>
  </si>
  <si>
    <t>A260058</t>
  </si>
  <si>
    <t>Sudirman</t>
  </si>
  <si>
    <t>+62 858‑8822‑2221</t>
  </si>
  <si>
    <t>B 9934 BAE</t>
  </si>
  <si>
    <t>A260059</t>
  </si>
  <si>
    <t>CV. Mady Auto Repair</t>
  </si>
  <si>
    <t xml:space="preserve">+62 812-8107-2223 </t>
  </si>
  <si>
    <t>A260060</t>
  </si>
  <si>
    <t>Wandi</t>
  </si>
  <si>
    <t>+62 813-1513-3006</t>
  </si>
  <si>
    <t>SJTGRA260005</t>
  </si>
  <si>
    <t>TRW-ALTIS00XYG</t>
  </si>
  <si>
    <t>A260061</t>
  </si>
  <si>
    <t>LFW-FE800XYG</t>
  </si>
  <si>
    <t>CV. Makmurjaya Distribusindo</t>
  </si>
  <si>
    <t>LFW-GETZXYG</t>
  </si>
  <si>
    <t>PECAH XYG</t>
  </si>
  <si>
    <t>PECAH XYG - agung dimas</t>
  </si>
  <si>
    <t>LFW-AVANZA03XYG</t>
  </si>
  <si>
    <t>LFW-JAZZ01XYG</t>
  </si>
  <si>
    <t>A260062</t>
  </si>
  <si>
    <t>LFW-LIVINA07XYG</t>
  </si>
  <si>
    <t>+62 817-0000-152</t>
  </si>
  <si>
    <t>B 2211 CBA</t>
  </si>
  <si>
    <t>Sangiang</t>
  </si>
  <si>
    <t>A260063</t>
  </si>
  <si>
    <t>RDR-C24ASH</t>
  </si>
  <si>
    <t>+62 858-8209-8313</t>
  </si>
  <si>
    <t>D 1259 YVK</t>
  </si>
  <si>
    <t>50000+745000</t>
  </si>
  <si>
    <t>A260064</t>
  </si>
  <si>
    <t>Rudi Joseph</t>
  </si>
  <si>
    <t>+62 811-862-895</t>
  </si>
  <si>
    <t>B 2615 BYK</t>
  </si>
  <si>
    <t>A260065</t>
  </si>
  <si>
    <t>+62 816-1641-874</t>
  </si>
  <si>
    <t>B 1868 VFI</t>
  </si>
  <si>
    <t>A260066</t>
  </si>
  <si>
    <t>Akiun</t>
  </si>
  <si>
    <t>+62 811-113-500</t>
  </si>
  <si>
    <t>B 38 BB</t>
  </si>
  <si>
    <t>A260067</t>
  </si>
  <si>
    <t>PT.Gunung Inti Gemilang</t>
  </si>
  <si>
    <t xml:space="preserve">+62857-7077-7509 </t>
  </si>
  <si>
    <t>A260068</t>
  </si>
  <si>
    <t>FDL-INNOVA04ASH</t>
  </si>
  <si>
    <t>Ime</t>
  </si>
  <si>
    <t>+62 813-5577-5588</t>
  </si>
  <si>
    <t>A260069</t>
  </si>
  <si>
    <t>+6281231889934</t>
  </si>
  <si>
    <t>A260070</t>
  </si>
  <si>
    <t>RDR-SPINSG</t>
  </si>
  <si>
    <t>Agus</t>
  </si>
  <si>
    <t>+62 812-9547-4383</t>
  </si>
  <si>
    <t>D 1463 XGP</t>
  </si>
  <si>
    <t>A260071</t>
  </si>
  <si>
    <t>Jajang</t>
  </si>
  <si>
    <t>+62 896-3737-8273</t>
  </si>
  <si>
    <t>B 9043 EO</t>
  </si>
  <si>
    <t>A260072</t>
  </si>
  <si>
    <t>PECAH TGR, Guntur 1 kaca + agung bantu 100k, sisanya Yayan, Dimas</t>
  </si>
  <si>
    <t>A260073</t>
  </si>
  <si>
    <t>David</t>
  </si>
  <si>
    <t>+62 813-8647-9177</t>
  </si>
  <si>
    <t>F 1381 PO</t>
  </si>
  <si>
    <t>A260074</t>
  </si>
  <si>
    <t>Yuli</t>
  </si>
  <si>
    <t>+62 812-8121-126</t>
  </si>
  <si>
    <t>B 1824 BYQ</t>
  </si>
  <si>
    <t>A260075</t>
  </si>
  <si>
    <t>LFW-APVMU</t>
  </si>
  <si>
    <t>Mahfan</t>
  </si>
  <si>
    <t>+62 813-8029-9976</t>
  </si>
  <si>
    <t>A260076</t>
  </si>
  <si>
    <t>LFW-SWIFT04XYG</t>
  </si>
  <si>
    <t>I Made Sukrawan</t>
  </si>
  <si>
    <t>+62 813-3851-6661</t>
  </si>
  <si>
    <t>B 1407 BOZ</t>
  </si>
  <si>
    <t>A260077</t>
  </si>
  <si>
    <t>+62 813-8468-3730</t>
  </si>
  <si>
    <t>B 1518 EOV</t>
  </si>
  <si>
    <t>A260078</t>
  </si>
  <si>
    <t>FDR-KUDAASH</t>
  </si>
  <si>
    <t>Muhammad Andika Satjaprawira</t>
  </si>
  <si>
    <t>+62 851-6133-862</t>
  </si>
  <si>
    <t>SJTGRA260006</t>
  </si>
  <si>
    <t>LFW-GRANDISXYG</t>
  </si>
  <si>
    <t>TRW-E84FY</t>
  </si>
  <si>
    <t>A260079</t>
  </si>
  <si>
    <t>LFW-TRITON23XYG</t>
  </si>
  <si>
    <t>PT Piala Mas Industri</t>
  </si>
  <si>
    <t>03411 3041200/+62 812-3067-9672</t>
  </si>
  <si>
    <t>Malang</t>
  </si>
  <si>
    <t>SJTGRA260007</t>
  </si>
  <si>
    <t>LFW-FIESTAXYG</t>
  </si>
  <si>
    <t>A260080</t>
  </si>
  <si>
    <t>FDL-AVANZA03ASH</t>
  </si>
  <si>
    <t>Hendry</t>
  </si>
  <si>
    <t>+62 811-1182-1863</t>
  </si>
  <si>
    <t>B 1425 CMZ</t>
  </si>
  <si>
    <t>A260081</t>
  </si>
  <si>
    <t>Michael Fanny Pangkey</t>
  </si>
  <si>
    <t>+62 811-380-888</t>
  </si>
  <si>
    <t>Manado</t>
  </si>
  <si>
    <t>1320000 ALVIN</t>
  </si>
  <si>
    <t>A260082</t>
  </si>
  <si>
    <t>TRW-MK6XYG</t>
  </si>
  <si>
    <t>Artie</t>
  </si>
  <si>
    <t>+62 813-8029-1848</t>
  </si>
  <si>
    <t>AB 310 RT</t>
  </si>
  <si>
    <t>A260083</t>
  </si>
  <si>
    <t>TRW-XPANDERHXYG</t>
  </si>
  <si>
    <t>Yanda</t>
  </si>
  <si>
    <t>+62 859-6025-5350</t>
  </si>
  <si>
    <t>B 1576 RKL</t>
  </si>
  <si>
    <t>Kutabumi</t>
  </si>
  <si>
    <t>A260084</t>
  </si>
  <si>
    <t>FDL-FV100PG</t>
  </si>
  <si>
    <t>A260085</t>
  </si>
  <si>
    <t>P. Drajat</t>
  </si>
  <si>
    <t>+62 812-5011-1996</t>
  </si>
  <si>
    <t>B 1609 EGZ</t>
  </si>
  <si>
    <t>A260086</t>
  </si>
  <si>
    <t>Victor</t>
  </si>
  <si>
    <t>+62 812-9240-0693</t>
  </si>
  <si>
    <t>B 1031 SZU</t>
  </si>
  <si>
    <t>A260087</t>
  </si>
  <si>
    <t>Jossy</t>
  </si>
  <si>
    <t>+62 822-1112-0388</t>
  </si>
  <si>
    <t>B 1106 NZD</t>
  </si>
  <si>
    <t>SJTGRA260008</t>
  </si>
  <si>
    <t>RVL-XU30FY</t>
  </si>
  <si>
    <t>A260088</t>
  </si>
  <si>
    <t>PT Triadhipa Logistics / Bpk. Arif</t>
  </si>
  <si>
    <t>+62 812-1935-3722</t>
  </si>
  <si>
    <t>A260089</t>
  </si>
  <si>
    <t>Mario Erol Wetik</t>
  </si>
  <si>
    <t>+62 811-8822-520</t>
  </si>
  <si>
    <t>B 1640 RZV</t>
  </si>
  <si>
    <t>jl mejangan 1 ciputat</t>
  </si>
  <si>
    <t>A260090</t>
  </si>
  <si>
    <t>LFW-TRAXXYG</t>
  </si>
  <si>
    <t>Iman</t>
  </si>
  <si>
    <t>+62 857-1624-4000</t>
  </si>
  <si>
    <t>SJTGRA260009</t>
  </si>
  <si>
    <t>LFW-L300XYG</t>
  </si>
  <si>
    <t>A260091</t>
  </si>
  <si>
    <t>RDR-YARIS13ASH</t>
  </si>
  <si>
    <t>Bpk Adi</t>
  </si>
  <si>
    <t>+62 813-7798-2161</t>
  </si>
  <si>
    <t>B 2764 TRM</t>
  </si>
  <si>
    <t>A260092</t>
  </si>
  <si>
    <t>Jamal/Angga Kusuma</t>
  </si>
  <si>
    <t>+62 817-6884-105</t>
  </si>
  <si>
    <t>A260093</t>
  </si>
  <si>
    <t>Imanuel</t>
  </si>
  <si>
    <t>+62 821-1434-1729</t>
  </si>
  <si>
    <t>A260094</t>
  </si>
  <si>
    <t>Marshali</t>
  </si>
  <si>
    <t>+62 877-8147-9342</t>
  </si>
  <si>
    <t>B 1794 CZT</t>
  </si>
  <si>
    <t>Jl KH. Agus Salim no 87 Tanah Tinggi</t>
  </si>
  <si>
    <t>A260095</t>
  </si>
  <si>
    <t>Bpk Agus Rizal</t>
  </si>
  <si>
    <t>+62 812-9614-5207</t>
  </si>
  <si>
    <t>B 2144 TIF</t>
  </si>
  <si>
    <t>A260096</t>
  </si>
  <si>
    <t>A260097</t>
  </si>
  <si>
    <t>Bpk Tanto</t>
  </si>
  <si>
    <t>+62 812-8103-3993</t>
  </si>
  <si>
    <t>B 1022 DFD</t>
  </si>
  <si>
    <t>A260098</t>
  </si>
  <si>
    <t>Bpk Hendra</t>
  </si>
  <si>
    <t>+62 813-1018-6787</t>
  </si>
  <si>
    <t>B 2622 JUS</t>
  </si>
  <si>
    <t>A260099</t>
  </si>
  <si>
    <t>Ka syifa</t>
  </si>
  <si>
    <t>+62 895-3418-61271</t>
  </si>
  <si>
    <t>B 2106 TVA</t>
  </si>
  <si>
    <t>SJTGRA260010</t>
  </si>
  <si>
    <t>SJTGRA260011</t>
  </si>
  <si>
    <t>Senta Bekasi</t>
  </si>
  <si>
    <t>TRW-SPLASHXYG</t>
  </si>
  <si>
    <t>LFW-JAZZ07XYG</t>
  </si>
  <si>
    <t>LFW-TERRANOXYG</t>
  </si>
  <si>
    <t>LFW-CORTEZXYG</t>
  </si>
  <si>
    <t>RDL-AVANZA21AGC</t>
  </si>
  <si>
    <t>`</t>
  </si>
  <si>
    <t>LFW-INNOVA22KTAGC</t>
  </si>
  <si>
    <t>A260100</t>
  </si>
  <si>
    <t>P. Ari Junaedi</t>
  </si>
  <si>
    <t>+62 812-8920-4308</t>
  </si>
  <si>
    <t>B 1147 EKQ</t>
  </si>
  <si>
    <t>A260101</t>
  </si>
  <si>
    <t>Tyo</t>
  </si>
  <si>
    <t>+62 896-6570-8361</t>
  </si>
  <si>
    <t>A260102</t>
  </si>
  <si>
    <t>Intan V. A</t>
  </si>
  <si>
    <t>+62 896-0983-0301</t>
  </si>
  <si>
    <t>B 2446 SEC</t>
  </si>
  <si>
    <t xml:space="preserve">ciledug indah jl. pelangi 1 blok B 11 no 132 </t>
  </si>
  <si>
    <t>A260103</t>
  </si>
  <si>
    <t>Hermanto</t>
  </si>
  <si>
    <t>+62 812-1989-6744</t>
  </si>
  <si>
    <t>A260104</t>
  </si>
  <si>
    <t>Fani Arifiyanto</t>
  </si>
  <si>
    <t>+62 895-3582-86534</t>
  </si>
  <si>
    <t>B 7790 BDB</t>
  </si>
  <si>
    <t>wa</t>
  </si>
  <si>
    <t>A260105</t>
  </si>
  <si>
    <t>Zainal</t>
  </si>
  <si>
    <t>+62 813-1880-9576</t>
  </si>
  <si>
    <t>A260106</t>
  </si>
  <si>
    <t>LFW-HIACE19AGC</t>
  </si>
  <si>
    <t>Miftahul H</t>
  </si>
  <si>
    <t>+62 812-8989-8485</t>
  </si>
  <si>
    <t>B 7233 JDA</t>
  </si>
  <si>
    <t>A260107</t>
  </si>
  <si>
    <t>FDR-GRANMAXASH</t>
  </si>
  <si>
    <t>PT.Bejo Tunggal Putera</t>
  </si>
  <si>
    <t>+628157671975</t>
  </si>
  <si>
    <t>B 9436 VAC</t>
  </si>
  <si>
    <t>A260108</t>
  </si>
  <si>
    <t>TRW-INNOVA22HAGC</t>
  </si>
  <si>
    <t>Vincent</t>
  </si>
  <si>
    <t>+62 821-1502-1987</t>
  </si>
  <si>
    <t>A260109</t>
  </si>
  <si>
    <t>sidik</t>
  </si>
  <si>
    <t>+62 895-2307-2231</t>
  </si>
  <si>
    <t>A260110</t>
  </si>
  <si>
    <t>LFW-CROWN08XYG</t>
  </si>
  <si>
    <t>Rusdi</t>
  </si>
  <si>
    <t>+62 821-7530-8076</t>
  </si>
  <si>
    <t>B 1205 TBK</t>
  </si>
  <si>
    <t>A260111</t>
  </si>
  <si>
    <t>+62 877-8130-2407</t>
  </si>
  <si>
    <t>A260112</t>
  </si>
  <si>
    <t>LFW-ACCORD13RSFY</t>
  </si>
  <si>
    <t>CV.Mady Auto Repair</t>
  </si>
  <si>
    <t>+62 812-8107-2223</t>
  </si>
  <si>
    <t>A260113</t>
  </si>
  <si>
    <t>Kevin</t>
  </si>
  <si>
    <t>Dp Rp 100.000</t>
  </si>
  <si>
    <t>A260114</t>
  </si>
  <si>
    <t>Dwi Santosa</t>
  </si>
  <si>
    <t>+62 856-2432-1139</t>
  </si>
  <si>
    <t>A260115</t>
  </si>
  <si>
    <t>LFW-F90XYG</t>
  </si>
  <si>
    <t>Sandhi Arie</t>
  </si>
  <si>
    <t>+62 815-8421-4609</t>
  </si>
  <si>
    <t>A260116</t>
  </si>
  <si>
    <t>FDR-JAZZ01ASH</t>
  </si>
  <si>
    <t>PT.THE WAYS INDONESIA</t>
  </si>
  <si>
    <t>+62 852-1172-5848</t>
  </si>
  <si>
    <t>B 8796 DE</t>
  </si>
  <si>
    <t>Ragunan</t>
  </si>
  <si>
    <t>A260117</t>
  </si>
  <si>
    <t>LFW-CARRYFUTURAMU</t>
  </si>
  <si>
    <t>PT. Aba Mandiri</t>
  </si>
  <si>
    <t>+62 813-8563-3117</t>
  </si>
  <si>
    <t>A260118</t>
  </si>
  <si>
    <t>LFW-E38XYG</t>
  </si>
  <si>
    <t>Harun</t>
  </si>
  <si>
    <t>+62 818‑982‑299</t>
  </si>
  <si>
    <t>A260119</t>
  </si>
  <si>
    <t>TRW-EVALIAXYG</t>
  </si>
  <si>
    <t>Korie Himawan S</t>
  </si>
  <si>
    <t>+62 812-8747-6360</t>
  </si>
  <si>
    <t>A260120</t>
  </si>
  <si>
    <t>Alvin</t>
  </si>
  <si>
    <t>A260121</t>
  </si>
  <si>
    <t>FDR-YARIS05ASH</t>
  </si>
  <si>
    <t>+62 878-7081-0658</t>
  </si>
  <si>
    <t>B 2412 KGW</t>
  </si>
  <si>
    <t>100000+900000</t>
  </si>
  <si>
    <t>A260122</t>
  </si>
  <si>
    <t>Henny</t>
  </si>
  <si>
    <t>+62 878-7720-3745</t>
  </si>
  <si>
    <t>B 1178 BZS</t>
  </si>
  <si>
    <t>A260123</t>
  </si>
  <si>
    <t>PT SYN TOBA GRAFIKA</t>
  </si>
  <si>
    <t>+62 838-7136-2095</t>
  </si>
  <si>
    <t>B 9202 JQO</t>
  </si>
  <si>
    <t>A260124</t>
  </si>
  <si>
    <t>Zulfakhri</t>
  </si>
  <si>
    <t>+62 822-7131-6012</t>
  </si>
  <si>
    <t>B 2507 UBM</t>
  </si>
  <si>
    <t>A260125</t>
  </si>
  <si>
    <t>FDR-KAPSUL97ASH</t>
  </si>
  <si>
    <t>Helena</t>
  </si>
  <si>
    <t xml:space="preserve"> '+62 812-9527-370</t>
  </si>
  <si>
    <t>Dadap</t>
  </si>
  <si>
    <t>A260126</t>
  </si>
  <si>
    <t>+62 881-0250-20555</t>
  </si>
  <si>
    <t>B 2898 BYY</t>
  </si>
  <si>
    <t>A260127</t>
  </si>
  <si>
    <t>B 1283 VFQ</t>
  </si>
  <si>
    <t>A260128</t>
  </si>
  <si>
    <t>Engky</t>
  </si>
  <si>
    <t>+62 818-626-808</t>
  </si>
  <si>
    <t>D 1022 ABA</t>
  </si>
  <si>
    <t>Cilegon</t>
  </si>
  <si>
    <t>A260129</t>
  </si>
  <si>
    <t>PT FORTUNA GEMILANG</t>
  </si>
  <si>
    <t>garan</t>
  </si>
  <si>
    <t>B 2226 FC</t>
  </si>
  <si>
    <t>A260130</t>
  </si>
  <si>
    <t>Ama</t>
  </si>
  <si>
    <t>+62 813-8751-7967</t>
  </si>
  <si>
    <t>A260131</t>
  </si>
  <si>
    <t>PECAH Guntur Pavel</t>
  </si>
  <si>
    <t>A260132</t>
  </si>
  <si>
    <t>+62 896-0290-8466</t>
  </si>
  <si>
    <t>B 1361 WKK</t>
  </si>
  <si>
    <t>A260133</t>
  </si>
  <si>
    <t>Dodo</t>
  </si>
  <si>
    <t>+62 877-7044-2427</t>
  </si>
  <si>
    <t>B 1509 JUF</t>
  </si>
  <si>
    <t>A260134</t>
  </si>
  <si>
    <t>Mulyono</t>
  </si>
  <si>
    <t>+62 818-702-181</t>
  </si>
  <si>
    <t>B 1838 DKW</t>
  </si>
  <si>
    <t>A260135</t>
  </si>
  <si>
    <t>SWL-ALPHARD02RATAFR</t>
  </si>
  <si>
    <t>Yasmid</t>
  </si>
  <si>
    <t>+62 812-8672-3249</t>
  </si>
  <si>
    <t>Kemayoran</t>
  </si>
  <si>
    <t>A260136</t>
  </si>
  <si>
    <t>TRW-H1XYG</t>
  </si>
  <si>
    <t>Sugiyanto</t>
  </si>
  <si>
    <t>+62 818-0820-2878</t>
  </si>
  <si>
    <t>A260137</t>
  </si>
  <si>
    <t>TRW-AVEO11XYG</t>
  </si>
  <si>
    <t>Bagas</t>
  </si>
  <si>
    <t>B260001</t>
  </si>
  <si>
    <t>RDR-F30FY</t>
  </si>
  <si>
    <t>Rieco</t>
  </si>
  <si>
    <t>+62 895-3655-30347</t>
  </si>
  <si>
    <t>B 2099 STZ</t>
  </si>
  <si>
    <t>B260002</t>
  </si>
  <si>
    <t>+62 812-9426-3593</t>
  </si>
  <si>
    <t>B 1316 CKS</t>
  </si>
  <si>
    <t>B260003</t>
  </si>
  <si>
    <t>Taufiq</t>
  </si>
  <si>
    <t>+62 812-8858-5855</t>
  </si>
  <si>
    <t>B 1942 VFV</t>
  </si>
  <si>
    <t>Tanah Kusir</t>
  </si>
  <si>
    <t>100000 + 3400000</t>
  </si>
  <si>
    <t>B260004</t>
  </si>
  <si>
    <t>TRW-T32XYG</t>
  </si>
  <si>
    <t>Anita</t>
  </si>
  <si>
    <t>+62 878-7722-6398</t>
  </si>
  <si>
    <t>B 2957 TZA</t>
  </si>
  <si>
    <t>Pondok cabe, sawangan depok</t>
  </si>
  <si>
    <t>B260005</t>
  </si>
  <si>
    <t>Hendi</t>
  </si>
  <si>
    <t>+62 813-1093-4088</t>
  </si>
  <si>
    <t>B 1549 CYF</t>
  </si>
  <si>
    <t>B260006</t>
  </si>
  <si>
    <t>Raffa</t>
  </si>
  <si>
    <t>+62 813-8280-8925</t>
  </si>
  <si>
    <t>BE 1726 AAC</t>
  </si>
  <si>
    <t>SJH2026013000009</t>
  </si>
  <si>
    <t>B260007</t>
  </si>
  <si>
    <t>RDL-XPANDERASH</t>
  </si>
  <si>
    <t>+62 812-9016-3443</t>
  </si>
  <si>
    <t>B260008</t>
  </si>
  <si>
    <t>Artha</t>
  </si>
  <si>
    <t>+62 821-1434-5008</t>
  </si>
  <si>
    <t>B 2993 UOM</t>
  </si>
  <si>
    <t>B260009</t>
  </si>
  <si>
    <t>Ryo</t>
  </si>
  <si>
    <t>+62 815-8135-333</t>
  </si>
  <si>
    <t>SJTGRB260001</t>
  </si>
  <si>
    <t>FDR-INNOVA15AGC</t>
  </si>
  <si>
    <t>FDL-INNOVA15AGC</t>
  </si>
  <si>
    <t>LFW-INNOVA22RSAGC</t>
  </si>
  <si>
    <t>B260010</t>
  </si>
  <si>
    <t>LFW-PAJERO16XYG</t>
  </si>
  <si>
    <t>Evendy</t>
  </si>
  <si>
    <t>B260011</t>
  </si>
  <si>
    <t>Adi Nur Akbar</t>
  </si>
  <si>
    <t>+62 877-0448-8802</t>
  </si>
  <si>
    <t>B 1499 VZJ</t>
  </si>
  <si>
    <t>B260012</t>
  </si>
  <si>
    <t>Juanda</t>
  </si>
  <si>
    <t>+62 821-1096-3434</t>
  </si>
  <si>
    <t>B260013</t>
  </si>
  <si>
    <t>LFW-FORESTER22RS3XYG</t>
  </si>
  <si>
    <t>Suryanto</t>
  </si>
  <si>
    <t>+62 811-811-427</t>
  </si>
  <si>
    <t>B 1990 NJJ</t>
  </si>
  <si>
    <t>B260014</t>
  </si>
  <si>
    <t>Sahrudin</t>
  </si>
  <si>
    <t>+62 856-0189-0912</t>
  </si>
  <si>
    <t>B260015</t>
  </si>
  <si>
    <t>Tommy Gunawan</t>
  </si>
  <si>
    <t>+62 818-477-789</t>
  </si>
  <si>
    <t>B 9866 UUA</t>
  </si>
  <si>
    <t>B260016</t>
  </si>
  <si>
    <t>Mikdat Ady</t>
  </si>
  <si>
    <t>+62 812-9674-1059</t>
  </si>
  <si>
    <t>B260017</t>
  </si>
  <si>
    <t>Heny</t>
  </si>
  <si>
    <t>+62 858-9498-5068</t>
  </si>
  <si>
    <t>B 1075 UIU</t>
  </si>
  <si>
    <t>B260018</t>
  </si>
  <si>
    <t>LFW-FK40FY</t>
  </si>
  <si>
    <t>Hartono</t>
  </si>
  <si>
    <t>+62 813-8339-1082</t>
  </si>
  <si>
    <t>A 8445 ZM</t>
  </si>
  <si>
    <t>Bitung</t>
  </si>
  <si>
    <t>B260019</t>
  </si>
  <si>
    <t>+62 817-9080-332</t>
  </si>
  <si>
    <t>B260020</t>
  </si>
  <si>
    <t>+62 857-2716-9024</t>
  </si>
  <si>
    <t>B 1374 NON</t>
  </si>
  <si>
    <t>B260021</t>
  </si>
  <si>
    <t>Oktan</t>
  </si>
  <si>
    <t>+62 895-3582-38779</t>
  </si>
  <si>
    <t>B 2927 TIQ</t>
  </si>
  <si>
    <t>B260022</t>
  </si>
  <si>
    <t>+62 853-2817-2277</t>
  </si>
  <si>
    <t>B 2038 PFH</t>
  </si>
  <si>
    <t>B260023</t>
  </si>
  <si>
    <t>+62 821-2386-9735</t>
  </si>
  <si>
    <t>B 1310 VJB</t>
  </si>
  <si>
    <t>B260024</t>
  </si>
  <si>
    <t>Bpk Sobhan</t>
  </si>
  <si>
    <t>+62 813-1565-1497</t>
  </si>
  <si>
    <t>B 2051 TRM</t>
  </si>
  <si>
    <t>B260025</t>
  </si>
  <si>
    <t>Ka Sultan</t>
  </si>
  <si>
    <t>+62 822-9931-2373</t>
  </si>
  <si>
    <t>A 8006 VA</t>
  </si>
  <si>
    <t>SJTGRB260006</t>
  </si>
  <si>
    <t>Sentra bekasi</t>
  </si>
  <si>
    <t>B260026</t>
  </si>
  <si>
    <t>Pramesti</t>
  </si>
  <si>
    <t>+62 819-0216-0834</t>
  </si>
  <si>
    <t>B 1152 VMJ</t>
  </si>
  <si>
    <t>ody</t>
  </si>
  <si>
    <t>B260027</t>
  </si>
  <si>
    <t>SWR-CRV07ASH</t>
  </si>
  <si>
    <t>PT.Bagus Jaya Abadi</t>
  </si>
  <si>
    <t>+62 812-8125-588</t>
  </si>
  <si>
    <t>JakUt</t>
  </si>
  <si>
    <t>B260028</t>
  </si>
  <si>
    <t>Fatih</t>
  </si>
  <si>
    <t>+62 895-3156-1528</t>
  </si>
  <si>
    <t>B 1091 JFS</t>
  </si>
  <si>
    <t>B260029</t>
  </si>
  <si>
    <t>B 1211 CCQ</t>
  </si>
  <si>
    <t>B260030</t>
  </si>
  <si>
    <t>FDR-BRV22AGC</t>
  </si>
  <si>
    <t>Ben</t>
  </si>
  <si>
    <t>+62 819-2700-7001</t>
  </si>
  <si>
    <t>B 1636 DFO</t>
  </si>
  <si>
    <t>B260031</t>
  </si>
  <si>
    <t>LFW-CRESTA96XYG</t>
  </si>
  <si>
    <t>Taufik</t>
  </si>
  <si>
    <t>+62 812-3000-5526</t>
  </si>
  <si>
    <t>B260032</t>
  </si>
  <si>
    <t>Phing</t>
  </si>
  <si>
    <t>+62 813-1667-6089</t>
  </si>
  <si>
    <t>B 2834 BFN</t>
  </si>
  <si>
    <t>B260033</t>
  </si>
  <si>
    <t>Darno</t>
  </si>
  <si>
    <t>081316266456</t>
  </si>
  <si>
    <t>A 1865 VBA</t>
  </si>
  <si>
    <t>B260034</t>
  </si>
  <si>
    <t>Zaenal</t>
  </si>
  <si>
    <t>+62 857-1719-0884</t>
  </si>
  <si>
    <t>B 1387 NZR</t>
  </si>
  <si>
    <t>Setu</t>
  </si>
  <si>
    <t>B260035</t>
  </si>
  <si>
    <t>Darus</t>
  </si>
  <si>
    <t>+62 857-7711-1400</t>
  </si>
  <si>
    <t>Rawamekar</t>
  </si>
  <si>
    <t>B260036</t>
  </si>
  <si>
    <t>Munir</t>
  </si>
  <si>
    <t xml:space="preserve">+62 81346203599 </t>
  </si>
  <si>
    <t>AA 1509 QN</t>
  </si>
  <si>
    <t>B260037</t>
  </si>
  <si>
    <t>Affit</t>
  </si>
  <si>
    <t>+62 813-1636-3645</t>
  </si>
  <si>
    <t>B 2830 STW</t>
  </si>
  <si>
    <t>B260038</t>
  </si>
  <si>
    <t>+62 812-8507-6125</t>
  </si>
  <si>
    <t>B 1918 TCZ</t>
  </si>
  <si>
    <t>B260039</t>
  </si>
  <si>
    <t>+62 812-9519-1757</t>
  </si>
  <si>
    <t>B260040</t>
  </si>
  <si>
    <t>TRW-SPORTAGE10SXYG</t>
  </si>
  <si>
    <t>Puspa</t>
  </si>
  <si>
    <t>+62 813-5622-9611</t>
  </si>
  <si>
    <t>B260041</t>
  </si>
  <si>
    <t>Rifqi</t>
  </si>
  <si>
    <t>+62 812-5644-4509</t>
  </si>
  <si>
    <t>B 2681 BYS</t>
  </si>
  <si>
    <t>B260042</t>
  </si>
  <si>
    <t>Eko Mundandar</t>
  </si>
  <si>
    <t>+62 877-8041-1410</t>
  </si>
  <si>
    <t>B 9788 SCD</t>
  </si>
  <si>
    <t>B260043</t>
  </si>
  <si>
    <t>.+62 838-7658-0059</t>
  </si>
  <si>
    <t>B 1428 VFR</t>
  </si>
  <si>
    <t>B260044</t>
  </si>
  <si>
    <t>+62 811-2596-097</t>
  </si>
  <si>
    <t>B 1854 CBC</t>
  </si>
  <si>
    <t>B260045</t>
  </si>
  <si>
    <t>+62 811-8123-120</t>
  </si>
  <si>
    <t>B 1629 VOK</t>
  </si>
  <si>
    <t>B260046</t>
  </si>
  <si>
    <t>Yeni</t>
  </si>
  <si>
    <t>+62 812-9197-3312</t>
  </si>
  <si>
    <t>B 9414 JQQ</t>
  </si>
  <si>
    <t>100000+1250000 (lebih 450k tf 8832010951 agusman)</t>
  </si>
  <si>
    <t>B260047</t>
  </si>
  <si>
    <t>Ade Syafei</t>
  </si>
  <si>
    <t>+62 896-7516-6565</t>
  </si>
  <si>
    <t>B 2262 JZ</t>
  </si>
  <si>
    <t>B260048</t>
  </si>
  <si>
    <t>John</t>
  </si>
  <si>
    <t>+62 819-0879-7399</t>
  </si>
  <si>
    <t>B 1858 HFV</t>
  </si>
  <si>
    <t>B260049</t>
  </si>
  <si>
    <t>LFW-FORTUNER05MSG</t>
  </si>
  <si>
    <t>Yose</t>
  </si>
  <si>
    <t>+62 813-1800-6558</t>
  </si>
  <si>
    <t>SJTGRB260002</t>
  </si>
  <si>
    <t>B260050</t>
  </si>
  <si>
    <t>+62 821-1188-6090</t>
  </si>
  <si>
    <t>B260051</t>
  </si>
  <si>
    <t>LFW-GIGASHORTXYG</t>
  </si>
  <si>
    <t>PT. Berkat lancar +62 811-103-968</t>
  </si>
  <si>
    <t>A 9012 ZA</t>
  </si>
  <si>
    <t>B260052</t>
  </si>
  <si>
    <t>LIST-LANDCRUISER76TOY</t>
  </si>
  <si>
    <t>B260053</t>
  </si>
  <si>
    <t>B260054</t>
  </si>
  <si>
    <t>Syamil</t>
  </si>
  <si>
    <t>+62 813-8337-0306</t>
  </si>
  <si>
    <t>B260055</t>
  </si>
  <si>
    <t>B260056</t>
  </si>
  <si>
    <t>B260057</t>
  </si>
  <si>
    <t>Ishaad Saputra +62 852-9115-9589</t>
  </si>
  <si>
    <t>B 9151 FXV</t>
  </si>
  <si>
    <t>B260058</t>
  </si>
  <si>
    <t>B260059</t>
  </si>
  <si>
    <t>B260060</t>
  </si>
  <si>
    <t xml:space="preserve">Kak Irin </t>
  </si>
  <si>
    <t>+62 821-1378-9688</t>
  </si>
  <si>
    <t xml:space="preserve">B 9356 BAO </t>
  </si>
  <si>
    <t>B260061</t>
  </si>
  <si>
    <t>B260062</t>
  </si>
  <si>
    <t xml:space="preserve">Galih </t>
  </si>
  <si>
    <t>+62 898-1717-084</t>
  </si>
  <si>
    <t>B 1557 PRD</t>
  </si>
  <si>
    <t>SJTGRB260003</t>
  </si>
  <si>
    <t>B260063</t>
  </si>
  <si>
    <t>Karyanto</t>
  </si>
  <si>
    <t>+62 812-8945-0639</t>
  </si>
  <si>
    <t xml:space="preserve">B 2388 MJ </t>
  </si>
  <si>
    <t>B260064</t>
  </si>
  <si>
    <t>LFW-VOXY22RSFR</t>
  </si>
  <si>
    <t>CarHome</t>
  </si>
  <si>
    <t>+62 857-2251-6666</t>
  </si>
  <si>
    <t>B 2939 SXZ</t>
  </si>
  <si>
    <t>Dp Rp.500000</t>
  </si>
  <si>
    <t>PUTRI</t>
  </si>
  <si>
    <t>B260065</t>
  </si>
  <si>
    <t>LFW-POLO09XYG</t>
  </si>
  <si>
    <t xml:space="preserve">Aufar </t>
  </si>
  <si>
    <t>+62 882-9370-3857</t>
  </si>
  <si>
    <t>B 2687 SKH</t>
  </si>
  <si>
    <t>B260066</t>
  </si>
  <si>
    <t>FVL-ALPHARD02XYG</t>
  </si>
  <si>
    <t xml:space="preserve">Bu Fifi </t>
  </si>
  <si>
    <t>+62 878-8822-1440</t>
  </si>
  <si>
    <t>B260067</t>
  </si>
  <si>
    <t>Sendy</t>
  </si>
  <si>
    <t>+62 816-910-555</t>
  </si>
  <si>
    <t xml:space="preserve">B 1462 URV </t>
  </si>
  <si>
    <t>Dp 100000</t>
  </si>
  <si>
    <t>B260068</t>
  </si>
  <si>
    <t xml:space="preserve">Saldi </t>
  </si>
  <si>
    <t>+62 813-1078-3792</t>
  </si>
  <si>
    <t>B 1158 NOG</t>
  </si>
  <si>
    <t>SJTGRB260004</t>
  </si>
  <si>
    <t>B260069</t>
  </si>
  <si>
    <t xml:space="preserve">Ali </t>
  </si>
  <si>
    <t>MLDG-LFWFE700MIT</t>
  </si>
  <si>
    <t>B260070</t>
  </si>
  <si>
    <t xml:space="preserve">Naryo </t>
  </si>
  <si>
    <t>B 9495 UCD</t>
  </si>
  <si>
    <t>B260071</t>
  </si>
  <si>
    <t>TRW-CRV07XYG</t>
  </si>
  <si>
    <t xml:space="preserve">Saleh </t>
  </si>
  <si>
    <t>+62 812-8793-2547</t>
  </si>
  <si>
    <t>B 2151 PBN</t>
  </si>
  <si>
    <t>B260072</t>
  </si>
  <si>
    <t>Iman Permana</t>
  </si>
  <si>
    <t>+62 857-7777-7003</t>
  </si>
  <si>
    <t>B 2636 KFR</t>
  </si>
  <si>
    <t>B260073</t>
  </si>
  <si>
    <t xml:space="preserve">Ahmad </t>
  </si>
  <si>
    <t>+62 813-8388-1040</t>
  </si>
  <si>
    <t>B260074</t>
  </si>
  <si>
    <t xml:space="preserve">Pak Manto </t>
  </si>
  <si>
    <t>+62 812-8192-2665</t>
  </si>
  <si>
    <t xml:space="preserve">A 1324 YK </t>
  </si>
  <si>
    <t>B260075</t>
  </si>
  <si>
    <t xml:space="preserve">Welly </t>
  </si>
  <si>
    <t>+62 877-4579-5416</t>
  </si>
  <si>
    <t>Well</t>
  </si>
  <si>
    <t>B260076</t>
  </si>
  <si>
    <t>Arief Edy Kurniawan  +62 813-9833-9925</t>
  </si>
  <si>
    <t>B260077</t>
  </si>
  <si>
    <t>Arif Munandar  +62 812-9922-1970</t>
  </si>
  <si>
    <t>B 1090 CYR</t>
  </si>
  <si>
    <t>B260078</t>
  </si>
  <si>
    <t>LFW-BINGUOXYG</t>
  </si>
  <si>
    <t xml:space="preserve">Sendy </t>
  </si>
  <si>
    <t>+62 838-7336-0783</t>
  </si>
  <si>
    <t>B260079</t>
  </si>
  <si>
    <t>B260080</t>
  </si>
  <si>
    <t xml:space="preserve">Andi </t>
  </si>
  <si>
    <t>+62 811-111-130</t>
  </si>
  <si>
    <t>B260081</t>
  </si>
  <si>
    <t>Aswin</t>
  </si>
  <si>
    <t xml:space="preserve"> +62 812-3579-3474</t>
  </si>
  <si>
    <t>BK 1132 IV</t>
  </si>
  <si>
    <t>B260082</t>
  </si>
  <si>
    <t>Sutrisno</t>
  </si>
  <si>
    <t>+62 821-1366-1709</t>
  </si>
  <si>
    <t>B 1484 VLP</t>
  </si>
  <si>
    <t>B260083</t>
  </si>
  <si>
    <t xml:space="preserve">Moch Iqbal </t>
  </si>
  <si>
    <t>+62 817 773 447</t>
  </si>
  <si>
    <t>B260084</t>
  </si>
  <si>
    <t>Lianto</t>
  </si>
  <si>
    <t>+62 812-7517-527</t>
  </si>
  <si>
    <t xml:space="preserve">B 2633 UIP </t>
  </si>
  <si>
    <t>B260085</t>
  </si>
  <si>
    <t>FVR-YARIS05TSG</t>
  </si>
  <si>
    <t>Fauzi</t>
  </si>
  <si>
    <t>+62 812-6331-8850</t>
  </si>
  <si>
    <t>B260086</t>
  </si>
  <si>
    <t>FDL-CRETAASH</t>
  </si>
  <si>
    <t>B 2053 WFB</t>
  </si>
  <si>
    <t>B260087</t>
  </si>
  <si>
    <t>RDR-STARGAZERASH</t>
  </si>
  <si>
    <t xml:space="preserve">P. Nana </t>
  </si>
  <si>
    <t>+62 816-1892-564</t>
  </si>
  <si>
    <t>B 1143 WIQ</t>
  </si>
  <si>
    <t>B260088</t>
  </si>
  <si>
    <t>SWR-FORTUNER05BLACKXYG</t>
  </si>
  <si>
    <t>Lingga</t>
  </si>
  <si>
    <t>B260089</t>
  </si>
  <si>
    <t>Eddy Darmawan Tambun +62 813-1545-3477</t>
  </si>
  <si>
    <t>B260090</t>
  </si>
  <si>
    <t xml:space="preserve">Marvel </t>
  </si>
  <si>
    <t>+62 838-7281-6166</t>
  </si>
  <si>
    <t>B 1988 JVF</t>
  </si>
  <si>
    <t>B260091</t>
  </si>
  <si>
    <t xml:space="preserve">An. Ari / valen </t>
  </si>
  <si>
    <t>+62 812-1842-4672</t>
  </si>
  <si>
    <t>B 1560 PH</t>
  </si>
  <si>
    <t>An. Ari / valen +62 812-1842-4673</t>
  </si>
  <si>
    <t>SJTGRB260005</t>
  </si>
  <si>
    <t>B260092</t>
  </si>
  <si>
    <t xml:space="preserve">Isa Perdaana  </t>
  </si>
  <si>
    <t>+62 858-8820-1209</t>
  </si>
  <si>
    <t>B 2140 UZX</t>
  </si>
  <si>
    <t>B260093</t>
  </si>
  <si>
    <t>Dodi Haryanto</t>
  </si>
  <si>
    <t>+62 851-1717-0660</t>
  </si>
  <si>
    <t xml:space="preserve">A 1895 ZMA </t>
  </si>
  <si>
    <t>B260094</t>
  </si>
  <si>
    <t>TRW-STARGAZERNHFY</t>
  </si>
  <si>
    <t xml:space="preserve">Ivana </t>
  </si>
  <si>
    <t>+62 821-2292-7627</t>
  </si>
  <si>
    <t>B 2108 NFA</t>
  </si>
  <si>
    <t>B260095</t>
  </si>
  <si>
    <t xml:space="preserve">Hansen </t>
  </si>
  <si>
    <t>+62 812-8005-759</t>
  </si>
  <si>
    <t>B260096</t>
  </si>
  <si>
    <t>Azka Lazuardi Rahman</t>
  </si>
  <si>
    <t>+62 815-2345-766</t>
  </si>
  <si>
    <t>B260097</t>
  </si>
  <si>
    <t xml:space="preserve"> Sindy Alfiyanih </t>
  </si>
  <si>
    <t>+62 815-7470-1720</t>
  </si>
  <si>
    <t>B 2379 BRF</t>
  </si>
  <si>
    <t>B260098</t>
  </si>
  <si>
    <t>Heriyanto</t>
  </si>
  <si>
    <t>+62 895-3607-53001</t>
  </si>
  <si>
    <t>B 9309 JZA</t>
  </si>
  <si>
    <t>B260099</t>
  </si>
  <si>
    <t xml:space="preserve">Eddy </t>
  </si>
  <si>
    <t>+62 857-9942-5090</t>
  </si>
  <si>
    <t>B 9949 ZAD</t>
  </si>
  <si>
    <t>B260100</t>
  </si>
  <si>
    <t xml:space="preserve">Kezia </t>
  </si>
  <si>
    <t>+62 819-877-783</t>
  </si>
  <si>
    <t>B 1144 UID</t>
  </si>
  <si>
    <t xml:space="preserve">Tokopedia </t>
  </si>
  <si>
    <t>B260101</t>
  </si>
  <si>
    <t>RDL-HIACEFXYG</t>
  </si>
  <si>
    <t>Aulia</t>
  </si>
  <si>
    <t>B260102</t>
  </si>
  <si>
    <t xml:space="preserve">Iyan </t>
  </si>
  <si>
    <t>+62 812-1314-7406</t>
  </si>
  <si>
    <t>B 9703 YW</t>
  </si>
  <si>
    <t>B260103</t>
  </si>
  <si>
    <t>FDR-SWIFT04ASH</t>
  </si>
  <si>
    <t>+62 896-5277-7535</t>
  </si>
  <si>
    <t>B260104</t>
  </si>
  <si>
    <t>Faisal</t>
  </si>
  <si>
    <t>+62 877-3403-5746</t>
  </si>
  <si>
    <t>B260105</t>
  </si>
  <si>
    <t>LFW-CIVIC96XYG</t>
  </si>
  <si>
    <t>Putra</t>
  </si>
  <si>
    <t xml:space="preserve"> +62 878-9276-5091</t>
  </si>
  <si>
    <t>B260106</t>
  </si>
  <si>
    <t>Djoni</t>
  </si>
  <si>
    <t>+62 811-872-923</t>
  </si>
  <si>
    <t>B 9124 BAX</t>
  </si>
  <si>
    <t>B260107</t>
  </si>
  <si>
    <t>Darman</t>
  </si>
  <si>
    <t>+62 851-7415-2986</t>
  </si>
  <si>
    <t>B 1906 COE</t>
  </si>
  <si>
    <t>B260108</t>
  </si>
  <si>
    <t xml:space="preserve">Fauzy </t>
  </si>
  <si>
    <t>+62 878-2084-1802</t>
  </si>
  <si>
    <t>B 1305 WYX</t>
  </si>
  <si>
    <t>B260109</t>
  </si>
  <si>
    <t>MJ Rino</t>
  </si>
  <si>
    <t>+62 896-1883-9462</t>
  </si>
  <si>
    <t>B 1590 JFI</t>
  </si>
  <si>
    <t>B260110</t>
  </si>
  <si>
    <t>TRW-FIESTAXYG</t>
  </si>
  <si>
    <t>Donna</t>
  </si>
  <si>
    <t>+62 811-1778-665</t>
  </si>
  <si>
    <t>B 2774 JUM</t>
  </si>
  <si>
    <t>B260111</t>
  </si>
  <si>
    <t>Juhendy</t>
  </si>
  <si>
    <t>+62 813-9982-9515</t>
  </si>
  <si>
    <t xml:space="preserve">B 9840 IH </t>
  </si>
  <si>
    <t>B260112</t>
  </si>
  <si>
    <t xml:space="preserve">Kiky Maulana </t>
  </si>
  <si>
    <t>+62 815-9942-192</t>
  </si>
  <si>
    <t>B260113</t>
  </si>
  <si>
    <t>Egi</t>
  </si>
  <si>
    <t>+62 898-4597-243</t>
  </si>
  <si>
    <t>F 1076 NX</t>
  </si>
  <si>
    <t>B260114</t>
  </si>
  <si>
    <t>Topan</t>
  </si>
  <si>
    <t xml:space="preserve"> +62 877-8648-3007</t>
  </si>
  <si>
    <t>B260115</t>
  </si>
  <si>
    <t>A.N Chandra</t>
  </si>
  <si>
    <t>'+62 812-9951-313</t>
  </si>
  <si>
    <t>B 2291 JUN</t>
  </si>
  <si>
    <t>B260116</t>
  </si>
  <si>
    <t xml:space="preserve">Bily </t>
  </si>
  <si>
    <t>+62 858-8206-5881</t>
  </si>
  <si>
    <t>B260117</t>
  </si>
  <si>
    <t>Bpk Noce Wenno.</t>
  </si>
  <si>
    <t>+62 811-9008-140</t>
  </si>
  <si>
    <t>B 2001 SBL</t>
  </si>
  <si>
    <t>B260118</t>
  </si>
  <si>
    <t xml:space="preserve">Hendra </t>
  </si>
  <si>
    <t>+62 817-9898-108</t>
  </si>
  <si>
    <t>B 2789 UBV</t>
  </si>
  <si>
    <t>B260119</t>
  </si>
  <si>
    <t>RDR-JAZZ13ASH</t>
  </si>
  <si>
    <t>Kemal</t>
  </si>
  <si>
    <t>+62 812-8161-1688</t>
  </si>
  <si>
    <t>B 1589 EYU</t>
  </si>
  <si>
    <t>B260120</t>
  </si>
  <si>
    <t>'+62 859-6644-6054</t>
  </si>
  <si>
    <t xml:space="preserve">B 2358 SMA </t>
  </si>
  <si>
    <t>B260121</t>
  </si>
  <si>
    <t>Saipul Basri</t>
  </si>
  <si>
    <t>+62 815-8401-0000</t>
  </si>
  <si>
    <t>B 1989 VOI</t>
  </si>
  <si>
    <t>B260122</t>
  </si>
  <si>
    <t>Sugeng</t>
  </si>
  <si>
    <t>+62 852-1855-5855</t>
  </si>
  <si>
    <t>B 2312 POY</t>
  </si>
  <si>
    <t>B260123</t>
  </si>
  <si>
    <t>Pak Tajudin</t>
  </si>
  <si>
    <t>+62 815-8631-2454</t>
  </si>
  <si>
    <t>B 1129 VMH</t>
  </si>
  <si>
    <t>B260124</t>
  </si>
  <si>
    <t>+62 878-6322-8252</t>
  </si>
  <si>
    <t>DK 744</t>
  </si>
  <si>
    <t>B260125</t>
  </si>
  <si>
    <t>LFW-E8187MU</t>
  </si>
  <si>
    <t>EKO SUTJIPTO</t>
  </si>
  <si>
    <t>+62 811-985-135</t>
  </si>
  <si>
    <t xml:space="preserve">B 1813 KB </t>
  </si>
  <si>
    <t>B260126</t>
  </si>
  <si>
    <t xml:space="preserve">Dikki </t>
  </si>
  <si>
    <t>+62 819-3813-7889</t>
  </si>
  <si>
    <t>B 2750 BYO</t>
  </si>
  <si>
    <t>+62 819-3813-7890</t>
  </si>
  <si>
    <t>SJTGRB260007</t>
  </si>
  <si>
    <t>B260127</t>
  </si>
  <si>
    <t>LFW-JUKEXYG</t>
  </si>
  <si>
    <t>Biyan</t>
  </si>
  <si>
    <t>+62 813-8443-9023</t>
  </si>
  <si>
    <t>B 2209 SMJ</t>
  </si>
  <si>
    <t>AMEL</t>
  </si>
  <si>
    <t>B260128</t>
  </si>
  <si>
    <t>B260129</t>
  </si>
  <si>
    <t>Ichsan maulana</t>
  </si>
  <si>
    <t>62 812-1250-9180</t>
  </si>
  <si>
    <t>B 1399 KLT</t>
  </si>
  <si>
    <t>SJTGRB260008</t>
  </si>
  <si>
    <t>FDR-CARRYMU</t>
  </si>
  <si>
    <t>B260130</t>
  </si>
  <si>
    <t>LFW-CAPTIVAFY</t>
  </si>
  <si>
    <t xml:space="preserve">Kardi </t>
  </si>
  <si>
    <t>+62 812-8788-5885</t>
  </si>
  <si>
    <t>D 1874 SHH</t>
  </si>
  <si>
    <t>VISCA</t>
  </si>
  <si>
    <t>B260131</t>
  </si>
  <si>
    <t>B 1686 ZKE</t>
  </si>
  <si>
    <t>B260132</t>
  </si>
  <si>
    <t xml:space="preserve">Nanda </t>
  </si>
  <si>
    <t>+62 856-1543-000</t>
  </si>
  <si>
    <t>B 1301 CIG</t>
  </si>
  <si>
    <t>B260133</t>
  </si>
  <si>
    <t>pecah GUNTUR, YAYAN, AGUNG, KO RIAN</t>
  </si>
  <si>
    <t>B260134</t>
  </si>
  <si>
    <t xml:space="preserve">Hafizh
</t>
  </si>
  <si>
    <t>+62 812-8066-7341</t>
  </si>
  <si>
    <t>B260135</t>
  </si>
  <si>
    <t>LFW-FORTUNER15XYG</t>
  </si>
  <si>
    <t>Ardhi</t>
  </si>
  <si>
    <t>+62 821 2410 1116</t>
  </si>
  <si>
    <t>B 1405 CJG</t>
  </si>
  <si>
    <t>B260136</t>
  </si>
  <si>
    <t>P. Andhika</t>
  </si>
  <si>
    <t>+62 811-9252-208</t>
  </si>
  <si>
    <t>B 1544 BOS</t>
  </si>
  <si>
    <t>B260137</t>
  </si>
  <si>
    <t>Rizal Hermansyah</t>
  </si>
  <si>
    <t>+62 856-9189-7498</t>
  </si>
  <si>
    <t>B 2883 UYP</t>
  </si>
  <si>
    <t>TRW-HRV14XYG</t>
  </si>
  <si>
    <t>B260138</t>
  </si>
  <si>
    <t>TRW-NAV07FR</t>
  </si>
  <si>
    <t>B 2329 BBQ</t>
  </si>
  <si>
    <t>B260139</t>
  </si>
  <si>
    <t>+62 812-8810-6455</t>
  </si>
  <si>
    <t>B 2088 SYX</t>
  </si>
  <si>
    <t>B260140</t>
  </si>
  <si>
    <t>A.n Teguh Wieyana</t>
  </si>
  <si>
    <t>+62 821-1802-4065</t>
  </si>
  <si>
    <t>B 2358 FVK</t>
  </si>
  <si>
    <t>B260141</t>
  </si>
  <si>
    <t>+62 812-9044-8018</t>
  </si>
  <si>
    <t>B 1564 UVL</t>
  </si>
  <si>
    <t>B260142</t>
  </si>
  <si>
    <t>Rosid</t>
  </si>
  <si>
    <t>+62 813-6832-9359</t>
  </si>
  <si>
    <t>A 1071 XO</t>
  </si>
  <si>
    <t>B260143</t>
  </si>
  <si>
    <t xml:space="preserve"> Gloss Patrol</t>
  </si>
  <si>
    <t>+62 821-1878-3582</t>
  </si>
  <si>
    <t>A 1426 VQA</t>
  </si>
  <si>
    <t>B260144</t>
  </si>
  <si>
    <t>LFW-ESTILOXYG</t>
  </si>
  <si>
    <t>STEVEN</t>
  </si>
  <si>
    <t>+62 813-5679-8688</t>
  </si>
  <si>
    <t xml:space="preserve">AMEL </t>
  </si>
  <si>
    <t>B260145</t>
  </si>
  <si>
    <t xml:space="preserve">Rudi </t>
  </si>
  <si>
    <t>+62 817-878-667</t>
  </si>
  <si>
    <t>B 1654 BYX</t>
  </si>
  <si>
    <t>B260146</t>
  </si>
  <si>
    <t>Lazrydha</t>
  </si>
  <si>
    <t>+62 817777002</t>
  </si>
  <si>
    <t>A 1493 XLA</t>
  </si>
  <si>
    <t>B260147</t>
  </si>
  <si>
    <t>TRW-ELGRAND10XYG</t>
  </si>
  <si>
    <t>Bari</t>
  </si>
  <si>
    <t>+62 857-8274-1783</t>
  </si>
  <si>
    <t>B 2522 STG</t>
  </si>
  <si>
    <t>B260148</t>
  </si>
  <si>
    <t>LFW-CIVIC16RSSG</t>
  </si>
  <si>
    <t>ahmad zaidi</t>
  </si>
  <si>
    <t>+62 813-1900-2221</t>
  </si>
  <si>
    <t>AB 3 DY</t>
  </si>
  <si>
    <t>B260150</t>
  </si>
  <si>
    <t xml:space="preserve">Inayah </t>
  </si>
  <si>
    <t>+62 819-1918-1009</t>
  </si>
  <si>
    <t xml:space="preserve">B 2945 VBA </t>
  </si>
  <si>
    <t>B260151</t>
  </si>
  <si>
    <t>TRW-ERTIGA18ASH</t>
  </si>
  <si>
    <t>+62 823-9323-7048</t>
  </si>
  <si>
    <t>B 2595 KMW</t>
  </si>
  <si>
    <t>B260152</t>
  </si>
  <si>
    <t>Bpk. Karyanto</t>
  </si>
  <si>
    <t>B 2224 PKU</t>
  </si>
  <si>
    <t>B260149</t>
  </si>
  <si>
    <t>LFW-CROSSTREK23XYG</t>
  </si>
  <si>
    <t xml:space="preserve">Pak aka </t>
  </si>
  <si>
    <t>+62 812-8048-6047</t>
  </si>
  <si>
    <t>100000+4399500</t>
  </si>
  <si>
    <t>B260153</t>
  </si>
  <si>
    <t xml:space="preserve">Kelvin </t>
  </si>
  <si>
    <t>+62 821-1450-7722</t>
  </si>
  <si>
    <t>B 1607 PVM</t>
  </si>
  <si>
    <t>B260154</t>
  </si>
  <si>
    <t>+62 819-4738-8759</t>
  </si>
  <si>
    <t>B 1900 CYJ</t>
  </si>
  <si>
    <t>B260155</t>
  </si>
  <si>
    <t>Dahu</t>
  </si>
  <si>
    <t>62 877-8079-0683</t>
  </si>
  <si>
    <t>B 9566 CXR</t>
  </si>
  <si>
    <t>63 877-8079-0683</t>
  </si>
  <si>
    <t>B260156</t>
  </si>
  <si>
    <t xml:space="preserve">Lena </t>
  </si>
  <si>
    <t>+62 859-2000-1456</t>
  </si>
  <si>
    <t>B 1076 VNO</t>
  </si>
  <si>
    <t xml:space="preserve">VISCA </t>
  </si>
  <si>
    <t>B260157</t>
  </si>
  <si>
    <t>+62 878-8445-4071</t>
  </si>
  <si>
    <t>B260158</t>
  </si>
  <si>
    <t>+62 811-957-783</t>
  </si>
  <si>
    <t>B 1688 WX</t>
  </si>
  <si>
    <t>MLDG-LFWFORTUNER05TOY</t>
  </si>
  <si>
    <t>B260159</t>
  </si>
  <si>
    <t>IKSAN</t>
  </si>
  <si>
    <t>SJTGRB260009</t>
  </si>
  <si>
    <t>B260160</t>
  </si>
  <si>
    <t>Mario</t>
  </si>
  <si>
    <t>62 857-1118-0909</t>
  </si>
  <si>
    <t>B 2201 UBP</t>
  </si>
  <si>
    <t>B260161</t>
  </si>
  <si>
    <t>Wastyo Wiarawan</t>
  </si>
  <si>
    <t>+62 812-8130-917</t>
  </si>
  <si>
    <t xml:space="preserve">B 2464 SZC </t>
  </si>
  <si>
    <t>B260162</t>
  </si>
  <si>
    <t>Winanga Putra Mandala</t>
  </si>
  <si>
    <t>B 2928 SIW</t>
  </si>
  <si>
    <t>B260163</t>
  </si>
  <si>
    <t xml:space="preserve">Pupuh </t>
  </si>
  <si>
    <t>+62 812-8492-6676</t>
  </si>
  <si>
    <t>B 1741 CKL</t>
  </si>
  <si>
    <t>B260164</t>
  </si>
  <si>
    <t>Vigil</t>
  </si>
  <si>
    <t>+62 813-1679-3509</t>
  </si>
  <si>
    <t xml:space="preserve">B 1624 WFO </t>
  </si>
  <si>
    <t>B260165</t>
  </si>
  <si>
    <t>PECAH DIMAS</t>
  </si>
  <si>
    <t>B260166</t>
  </si>
  <si>
    <t>Rova</t>
  </si>
  <si>
    <t>+62 877-8780-1366</t>
  </si>
  <si>
    <t>B 1506 DV</t>
  </si>
  <si>
    <t>B260167</t>
  </si>
  <si>
    <t xml:space="preserve"> Yoga Maulana</t>
  </si>
  <si>
    <t>+62 859-4635-5271</t>
  </si>
  <si>
    <t>B 9575 JZN</t>
  </si>
  <si>
    <t>B260168</t>
  </si>
  <si>
    <t>LFW-AXORXYG</t>
  </si>
  <si>
    <t>+62 822-2937-5656</t>
  </si>
  <si>
    <t>B 9103 SEI</t>
  </si>
  <si>
    <t>B260169</t>
  </si>
  <si>
    <t>ika</t>
  </si>
  <si>
    <t>0859 2168 1535</t>
  </si>
  <si>
    <t>B 1898 JUP</t>
  </si>
  <si>
    <t>28/02/0202</t>
  </si>
  <si>
    <t>SJTGRB260010</t>
  </si>
  <si>
    <t>C260001</t>
  </si>
  <si>
    <t>ALFAN</t>
  </si>
  <si>
    <t>+62 857-0454-7144</t>
  </si>
  <si>
    <t>B 2243 XS</t>
  </si>
  <si>
    <t>+62 857-0454-7145</t>
  </si>
  <si>
    <t>amel</t>
  </si>
  <si>
    <t>C260002</t>
  </si>
  <si>
    <t>Aghil</t>
  </si>
  <si>
    <t>+62 812-1200-8269</t>
  </si>
  <si>
    <t>B 2227 FMX</t>
  </si>
  <si>
    <t>C260003</t>
  </si>
  <si>
    <t xml:space="preserve">Mikhudin </t>
  </si>
  <si>
    <t>+62 812-9773-6226</t>
  </si>
  <si>
    <t>A 1779 ZS</t>
  </si>
  <si>
    <t>C260004</t>
  </si>
  <si>
    <t>LFW-TERIOS06AGC</t>
  </si>
  <si>
    <t>A 1200 XLD</t>
  </si>
  <si>
    <t>C260005</t>
  </si>
  <si>
    <t>LFW-FORESTER22RS3AGC</t>
  </si>
  <si>
    <t>Plaza Subaru Kebon Jeruk</t>
  </si>
  <si>
    <t>C260006</t>
  </si>
  <si>
    <t>Darto</t>
  </si>
  <si>
    <t>+62 812-8064-6363</t>
  </si>
  <si>
    <t>B 9421 SCI</t>
  </si>
  <si>
    <t>C260007</t>
  </si>
  <si>
    <t>RVR-APVASH</t>
  </si>
  <si>
    <t>Putu Ary S</t>
  </si>
  <si>
    <t>+62 811-8414-456</t>
  </si>
  <si>
    <t>FILM-80STD</t>
  </si>
  <si>
    <t>C260008</t>
  </si>
  <si>
    <t>MAHMUDI</t>
  </si>
  <si>
    <t>+62 812-9856-5218</t>
  </si>
  <si>
    <t>B 1831 BIG</t>
  </si>
  <si>
    <t>SJTGRC260001</t>
  </si>
  <si>
    <t>FDL-F30XYG</t>
  </si>
  <si>
    <t>C260009</t>
  </si>
  <si>
    <t>Shella</t>
  </si>
  <si>
    <t>+62 877-6007-0093</t>
  </si>
  <si>
    <t>B 555 ELA</t>
  </si>
  <si>
    <t>C260010</t>
  </si>
  <si>
    <t>+62 899-0905-394</t>
  </si>
  <si>
    <t>B 2808 VVF</t>
  </si>
  <si>
    <t>C260011</t>
  </si>
  <si>
    <t>LFW-ALPHARD02XYG</t>
  </si>
  <si>
    <t>Jumadi</t>
  </si>
  <si>
    <t>+62 813-8437-7352</t>
  </si>
  <si>
    <t>B 2181 FYI</t>
  </si>
  <si>
    <t>C260012</t>
  </si>
  <si>
    <t>Bpk jelion</t>
  </si>
  <si>
    <t>C260013</t>
  </si>
  <si>
    <t>Agung Fauzi Osama</t>
  </si>
  <si>
    <t>C260014</t>
  </si>
  <si>
    <t>LFW-VITARA88MU</t>
  </si>
  <si>
    <t>Bengkel Body Repair Authorized</t>
  </si>
  <si>
    <t>+62 857-1135-8703</t>
  </si>
  <si>
    <t>C260015</t>
  </si>
  <si>
    <t xml:space="preserve">+62 81327044318 </t>
  </si>
  <si>
    <t>B 1576 VCV</t>
  </si>
  <si>
    <t>C260016</t>
  </si>
  <si>
    <t>Didy</t>
  </si>
  <si>
    <t>+62 812-8818-0506</t>
  </si>
  <si>
    <t>B 1729 U0H</t>
  </si>
  <si>
    <t>C260017</t>
  </si>
  <si>
    <t>B 2028 VVI</t>
  </si>
  <si>
    <t>C260018</t>
  </si>
  <si>
    <t>latif</t>
  </si>
  <si>
    <t>+62 896-1856-6649</t>
  </si>
  <si>
    <t>B 1757 BMN</t>
  </si>
  <si>
    <t>C260019</t>
  </si>
  <si>
    <t>TRW-CX5GEN1XYG</t>
  </si>
  <si>
    <t xml:space="preserve">Ressa </t>
  </si>
  <si>
    <t>+62 813-4559-9001</t>
  </si>
  <si>
    <t>B 1946 TIN</t>
  </si>
  <si>
    <t>C260020</t>
  </si>
  <si>
    <t>dave</t>
  </si>
  <si>
    <t>+62 813-1813-9198</t>
  </si>
  <si>
    <t>B 1453 JEN</t>
  </si>
  <si>
    <t>C260021</t>
  </si>
  <si>
    <t>Septian Hadi</t>
  </si>
  <si>
    <t>+62 858-9428-1159</t>
  </si>
  <si>
    <t>B 1083 CYK</t>
  </si>
  <si>
    <t>C260022</t>
  </si>
  <si>
    <t>LFW-JIMNY19XYG</t>
  </si>
  <si>
    <t>Seno</t>
  </si>
  <si>
    <t>+62 812-8898-9059</t>
  </si>
  <si>
    <t>B 1571 PJW</t>
  </si>
  <si>
    <t>C260023</t>
  </si>
  <si>
    <t xml:space="preserve">Reni </t>
  </si>
  <si>
    <t>+62 812-8236-0904</t>
  </si>
  <si>
    <t>B 1513 JFL</t>
  </si>
  <si>
    <t>C260024</t>
  </si>
  <si>
    <t>Imam Cahya</t>
  </si>
  <si>
    <t>+62 856-6970-0058</t>
  </si>
  <si>
    <t>A 1389 BR</t>
  </si>
  <si>
    <t>C260025</t>
  </si>
  <si>
    <t xml:space="preserve"> IRWAN</t>
  </si>
  <si>
    <t>+62 813-1641-2643</t>
  </si>
  <si>
    <t>B 2668 UOW</t>
  </si>
  <si>
    <t>C260026</t>
  </si>
  <si>
    <t>LFW-F15FY</t>
  </si>
  <si>
    <t>+62 878-0856-1468</t>
  </si>
  <si>
    <t>B 2067 STG</t>
  </si>
  <si>
    <t>chandra</t>
  </si>
  <si>
    <t>SJTGRC260003</t>
  </si>
  <si>
    <t>SENTRA BEKASI</t>
  </si>
  <si>
    <t>TRW-TIGGO5XFY</t>
  </si>
  <si>
    <t>RDL-ALPHARD15FY</t>
  </si>
  <si>
    <t>C260027</t>
  </si>
  <si>
    <t>Richard</t>
  </si>
  <si>
    <t>+62 811-418-999</t>
  </si>
  <si>
    <t>B 1587 PYH</t>
  </si>
  <si>
    <t>C260028</t>
  </si>
  <si>
    <t>Aditya</t>
  </si>
  <si>
    <t>+62 852-1549-9693</t>
  </si>
  <si>
    <t>b 1941 VRD</t>
  </si>
  <si>
    <t>C260029</t>
  </si>
  <si>
    <t>Imam Ardiansyah</t>
  </si>
  <si>
    <t>+62 878-7077-7919</t>
  </si>
  <si>
    <t>B 2521 KIS</t>
  </si>
  <si>
    <t>C260030</t>
  </si>
  <si>
    <t>RDR-CONFEROASH</t>
  </si>
  <si>
    <t>+62 812-1387-898</t>
  </si>
  <si>
    <t>B 1359 JFP</t>
  </si>
  <si>
    <t>C260031</t>
  </si>
  <si>
    <t>Bpk Siahaan</t>
  </si>
  <si>
    <t>+62 813-8004-6214</t>
  </si>
  <si>
    <t>M 8534 UG</t>
  </si>
  <si>
    <t>C260032</t>
  </si>
  <si>
    <t xml:space="preserve">Bpk. Oking </t>
  </si>
  <si>
    <t>+62 812-9065-4614</t>
  </si>
  <si>
    <t>C260033</t>
  </si>
  <si>
    <t>+62 878-7596-6228</t>
  </si>
  <si>
    <t>B 9587 VAG</t>
  </si>
  <si>
    <t>C260034</t>
  </si>
  <si>
    <t>DIDIK</t>
  </si>
  <si>
    <t>+62 811-966-674</t>
  </si>
  <si>
    <t>C260035</t>
  </si>
  <si>
    <t>+62 831-6753-0792</t>
  </si>
  <si>
    <t>F 1610 RG</t>
  </si>
  <si>
    <t>C260036</t>
  </si>
  <si>
    <t>Meta Tiar</t>
  </si>
  <si>
    <t>+62 882-9115-9157</t>
  </si>
  <si>
    <t>F 8184 HU</t>
  </si>
  <si>
    <t>C260037</t>
  </si>
  <si>
    <t>Laura</t>
  </si>
  <si>
    <t>+62 815-1174-6621</t>
  </si>
  <si>
    <t>B 2771 FM0</t>
  </si>
  <si>
    <t>C260038</t>
  </si>
  <si>
    <t>+62 812-9592-4008</t>
  </si>
  <si>
    <t>B 1164 JFR</t>
  </si>
  <si>
    <t>C260039</t>
  </si>
  <si>
    <t xml:space="preserve">TOKPED </t>
  </si>
  <si>
    <t>SJTGRC260004</t>
  </si>
  <si>
    <t>TRW-VOXY22XYG</t>
  </si>
  <si>
    <t>LFW-WAGONRMU</t>
  </si>
  <si>
    <t xml:space="preserve">ALKOHOL </t>
  </si>
  <si>
    <t>OTH-TOOLS</t>
  </si>
  <si>
    <t>C260040</t>
  </si>
  <si>
    <t>Arifin</t>
  </si>
  <si>
    <t xml:space="preserve"> +62 8119194971</t>
  </si>
  <si>
    <t>A 1751 XLA</t>
  </si>
  <si>
    <t>07/03/0226</t>
  </si>
  <si>
    <t>C260041</t>
  </si>
  <si>
    <t>Suhardi - Tanjung Barat</t>
  </si>
  <si>
    <t xml:space="preserve"> +62 859-4664-2726</t>
  </si>
  <si>
    <t>B 1011 UYE</t>
  </si>
  <si>
    <t>C260042</t>
  </si>
  <si>
    <t xml:space="preserve">layli </t>
  </si>
  <si>
    <t>+62 857-8217-0072</t>
  </si>
  <si>
    <t>B 2839 KIE</t>
  </si>
  <si>
    <t>C260043</t>
  </si>
  <si>
    <t>timmy</t>
  </si>
  <si>
    <t>+62 838-8510-075</t>
  </si>
  <si>
    <t>B 2472 MN</t>
  </si>
  <si>
    <t>C260044</t>
  </si>
  <si>
    <t>pak indra</t>
  </si>
  <si>
    <t>62 856-9306-6244</t>
  </si>
  <si>
    <t>B 1745 WOD</t>
  </si>
  <si>
    <t>C260045</t>
  </si>
  <si>
    <t>Sri Mulyani</t>
  </si>
  <si>
    <t>+62 815-3437-3648</t>
  </si>
  <si>
    <t>B 1289 EIA</t>
  </si>
  <si>
    <t>C260046</t>
  </si>
  <si>
    <t>+62 896-4386-6602</t>
  </si>
  <si>
    <t>B 1267 CKZ</t>
  </si>
  <si>
    <t>C260047</t>
  </si>
  <si>
    <t>LFW-ELGRAND02XYG</t>
  </si>
  <si>
    <t>Abi faruq</t>
  </si>
  <si>
    <t>+62 852-1590-7773</t>
  </si>
  <si>
    <t>B 8586 EE</t>
  </si>
  <si>
    <t>C260048</t>
  </si>
  <si>
    <t xml:space="preserve">B 1561 NIK </t>
  </si>
  <si>
    <t>C260049</t>
  </si>
  <si>
    <t>HILANGGG</t>
  </si>
  <si>
    <t>C260050</t>
  </si>
  <si>
    <t>TRW-CAMRY02XYG</t>
  </si>
  <si>
    <t>bu lily/ sundoro</t>
  </si>
  <si>
    <t>+62 812-8289-895</t>
  </si>
  <si>
    <t xml:space="preserve">B 8002 KD </t>
  </si>
  <si>
    <t>C260051</t>
  </si>
  <si>
    <t xml:space="preserve">KASAN </t>
  </si>
  <si>
    <t>+62 877-3180-1618</t>
  </si>
  <si>
    <t>B1727 PVB</t>
  </si>
  <si>
    <t>+62 877-3180-1619</t>
  </si>
  <si>
    <t>C260052</t>
  </si>
  <si>
    <t xml:space="preserve">Niki </t>
  </si>
  <si>
    <t>+62 838-4354-9278</t>
  </si>
  <si>
    <t xml:space="preserve">B 9049 PB </t>
  </si>
  <si>
    <t>C260053</t>
  </si>
  <si>
    <t>niko</t>
  </si>
  <si>
    <t>+62 888-1486-430</t>
  </si>
  <si>
    <t>C260054</t>
  </si>
  <si>
    <t>mardon</t>
  </si>
  <si>
    <t>+62 818-0701-1119</t>
  </si>
  <si>
    <t>C260055</t>
  </si>
  <si>
    <t>Abrar</t>
  </si>
  <si>
    <t>+62 811-9303-001</t>
  </si>
  <si>
    <t>C260056</t>
  </si>
  <si>
    <t>pak Agus Romadona Imam Raharjo</t>
  </si>
  <si>
    <t>+62 821-2389-1559</t>
  </si>
  <si>
    <t>SJTGRC260005</t>
  </si>
  <si>
    <t>C260057</t>
  </si>
  <si>
    <t>C260058</t>
  </si>
  <si>
    <t>TRW-W117XYG</t>
  </si>
  <si>
    <t>Nindhy</t>
  </si>
  <si>
    <t>+62 813-4138-6258</t>
  </si>
  <si>
    <t>C260059</t>
  </si>
  <si>
    <t>Agus Rohandi</t>
  </si>
  <si>
    <t>+62 858-1972-1014</t>
  </si>
  <si>
    <t>B 9984 SAI</t>
  </si>
  <si>
    <t>c260059</t>
  </si>
  <si>
    <t>C260060</t>
  </si>
  <si>
    <t xml:space="preserve">Andrew </t>
  </si>
  <si>
    <t>+62 811-1313-930</t>
  </si>
  <si>
    <t>C260061</t>
  </si>
  <si>
    <t>sumber part otomotif</t>
  </si>
  <si>
    <t>+62 878-5558-0888</t>
  </si>
  <si>
    <t>+62 878-5558-0889</t>
  </si>
  <si>
    <t>+62 878-5558-0890</t>
  </si>
  <si>
    <t>C260062</t>
  </si>
  <si>
    <t xml:space="preserve"> Andre Rais.</t>
  </si>
  <si>
    <t>+62 813-6405-0736</t>
  </si>
  <si>
    <t>B 2625 SRR</t>
  </si>
  <si>
    <t>C260063</t>
  </si>
  <si>
    <t>Wiliam</t>
  </si>
  <si>
    <t>62 812-1999-648</t>
  </si>
  <si>
    <t>C260064</t>
  </si>
  <si>
    <t>Putut</t>
  </si>
  <si>
    <t>+62 812-1222-6096</t>
  </si>
  <si>
    <t>B 1719 NCS</t>
  </si>
  <si>
    <t>C260065</t>
  </si>
  <si>
    <t>TRW-PANTHER00SEALASH</t>
  </si>
  <si>
    <t>Bpk Ng</t>
  </si>
  <si>
    <t>+62 811-800-385</t>
  </si>
  <si>
    <t>C260066</t>
  </si>
  <si>
    <t xml:space="preserve">Bpk. Marxell </t>
  </si>
  <si>
    <t>+62 819-9600-2525</t>
  </si>
  <si>
    <t>A 1814 VSA</t>
  </si>
  <si>
    <t>C260067</t>
  </si>
  <si>
    <t>CV Sarana Estate Makmur</t>
  </si>
  <si>
    <t>+62 811-8000-988</t>
  </si>
  <si>
    <t>+62 811-8000-989</t>
  </si>
  <si>
    <t>+62 811-8000-990</t>
  </si>
  <si>
    <t>C260068</t>
  </si>
  <si>
    <t>FDR-E46FY</t>
  </si>
  <si>
    <t>Muslimin</t>
  </si>
  <si>
    <t>+62 812-9854-9600</t>
  </si>
  <si>
    <t>C260069</t>
  </si>
  <si>
    <t>Efendi</t>
  </si>
  <si>
    <t>+62 818-0319-7663</t>
  </si>
  <si>
    <t>B 1256 KJC</t>
  </si>
  <si>
    <t>SJTGRC260006</t>
  </si>
  <si>
    <t>SWR-BALENOSX408XYG</t>
  </si>
  <si>
    <t>C260070</t>
  </si>
  <si>
    <t>Arkaan Izhraqi</t>
  </si>
  <si>
    <t>+62 838-9772-8283</t>
  </si>
  <si>
    <t>B 2371 ZGY</t>
  </si>
  <si>
    <t>C260071</t>
  </si>
  <si>
    <t xml:space="preserve"> Ibu Desy</t>
  </si>
  <si>
    <t>+62 823-2500-5000</t>
  </si>
  <si>
    <t>C260072</t>
  </si>
  <si>
    <t xml:space="preserve">Muri </t>
  </si>
  <si>
    <t>+62 852-8336-3315</t>
  </si>
  <si>
    <t>C260073</t>
  </si>
  <si>
    <t>TRW-ERTIGA18AGC</t>
  </si>
  <si>
    <t>michael</t>
  </si>
  <si>
    <t>+62 878-8484-7446</t>
  </si>
  <si>
    <t>B 1663 JFX</t>
  </si>
  <si>
    <t>C260074</t>
  </si>
  <si>
    <t>abdulah/uwo</t>
  </si>
  <si>
    <t>+62 812-9500-0948</t>
  </si>
  <si>
    <t>FDR-APVASH</t>
  </si>
  <si>
    <t>SJTGRC260007</t>
  </si>
  <si>
    <t>C260075</t>
  </si>
  <si>
    <t>DAMIAN</t>
  </si>
  <si>
    <t>62 812-1138-8877</t>
  </si>
  <si>
    <t>B 9011 KIT</t>
  </si>
  <si>
    <t>C260076</t>
  </si>
  <si>
    <t>TRW-I1008XYG</t>
  </si>
  <si>
    <t>Hanif</t>
  </si>
  <si>
    <t>+62 812-3274-7757</t>
  </si>
  <si>
    <t>D 1621 LM</t>
  </si>
  <si>
    <t>C260077</t>
  </si>
  <si>
    <t xml:space="preserve">Pak Rara		</t>
  </si>
  <si>
    <t>+62 812-9838-1037</t>
  </si>
  <si>
    <t>C260078</t>
  </si>
  <si>
    <t>LFW-MINIF60RS2XYG</t>
  </si>
  <si>
    <t>IVAN</t>
  </si>
  <si>
    <t>+62 818-555-777</t>
  </si>
  <si>
    <t>C260079</t>
  </si>
  <si>
    <t>LFW-W176XYG</t>
  </si>
  <si>
    <t>Ricky C Pratama</t>
  </si>
  <si>
    <t>+62 821-1345-1945</t>
  </si>
  <si>
    <t>C260080</t>
  </si>
  <si>
    <t>Heri Kurniawan</t>
  </si>
  <si>
    <t>+62 821-2201-9476</t>
  </si>
  <si>
    <t>B 1773 CIS</t>
  </si>
  <si>
    <t>C260081</t>
  </si>
  <si>
    <t xml:space="preserve">Rama </t>
  </si>
  <si>
    <t>+62 877-1717-2001</t>
  </si>
  <si>
    <t>B 2865 SYR</t>
  </si>
  <si>
    <t>C260082</t>
  </si>
  <si>
    <t>Safrizal Hidayat</t>
  </si>
  <si>
    <t>+62 822-2088-8993</t>
  </si>
  <si>
    <t>BD 1385 CO</t>
  </si>
  <si>
    <t>C260083</t>
  </si>
  <si>
    <t>RONI SETIAWAN</t>
  </si>
  <si>
    <t>+62 822-8534-0000</t>
  </si>
  <si>
    <t>C260084</t>
  </si>
  <si>
    <t>Ahmad Mustafa</t>
  </si>
  <si>
    <t xml:space="preserve">+62 822-1840-6801 </t>
  </si>
  <si>
    <t>C260085</t>
  </si>
  <si>
    <t>LFW-KIJANGK125MU</t>
  </si>
  <si>
    <t>ismawan saputra</t>
  </si>
  <si>
    <t>62 812-1319-9492</t>
  </si>
  <si>
    <t>C260086</t>
  </si>
  <si>
    <t>JOHN</t>
  </si>
  <si>
    <t>+62 855-7778-000</t>
  </si>
  <si>
    <t>C260087</t>
  </si>
  <si>
    <t>C260088</t>
  </si>
  <si>
    <t>LFW-SPARK10XYG</t>
  </si>
  <si>
    <t>C260089</t>
  </si>
  <si>
    <t xml:space="preserve">Ichsan Arshady		</t>
  </si>
  <si>
    <t>+62 856-2444-2442</t>
  </si>
  <si>
    <t>C260090</t>
  </si>
  <si>
    <t>C260091</t>
  </si>
  <si>
    <t>indra</t>
  </si>
  <si>
    <t>C260092</t>
  </si>
  <si>
    <t>henry candra</t>
  </si>
  <si>
    <t>+62 812-4731-0046</t>
  </si>
  <si>
    <t>B 2026 JUZ</t>
  </si>
  <si>
    <t>C260093</t>
  </si>
  <si>
    <t>rully</t>
  </si>
  <si>
    <t>+62 818-360-072</t>
  </si>
  <si>
    <t>B 1262 BH</t>
  </si>
  <si>
    <t>C260094</t>
  </si>
  <si>
    <t xml:space="preserve">Ramang </t>
  </si>
  <si>
    <t>+62 852-1871-8068</t>
  </si>
  <si>
    <t>B 1378 CKG</t>
  </si>
  <si>
    <t>C260095</t>
  </si>
  <si>
    <t xml:space="preserve">Ihsan </t>
  </si>
  <si>
    <t>+62 895-3216-21983</t>
  </si>
  <si>
    <t xml:space="preserve">B 1403 HOH </t>
  </si>
  <si>
    <t>C260096</t>
  </si>
  <si>
    <t xml:space="preserve">Bpk Agus </t>
  </si>
  <si>
    <t>+62 813-1732-404</t>
  </si>
  <si>
    <t xml:space="preserve">E 8369 CA </t>
  </si>
  <si>
    <t>C260097</t>
  </si>
  <si>
    <t>C260098</t>
  </si>
  <si>
    <t>Ricky Yeremia Sitinjak</t>
  </si>
  <si>
    <t>+62 822-8718-8122</t>
  </si>
  <si>
    <t>B 1062 RKP</t>
  </si>
  <si>
    <t>C260099</t>
  </si>
  <si>
    <t>Rohim</t>
  </si>
  <si>
    <t>085716667094</t>
  </si>
  <si>
    <t>B 1408 KRX</t>
  </si>
  <si>
    <t>C260100</t>
  </si>
  <si>
    <t>Ariq</t>
  </si>
  <si>
    <t>+62 813-1551-1422</t>
  </si>
  <si>
    <t>B 1008 NOR</t>
  </si>
  <si>
    <t>C260101</t>
  </si>
  <si>
    <t>C260102</t>
  </si>
  <si>
    <t>C260103</t>
  </si>
  <si>
    <t>+62 81992375035</t>
  </si>
  <si>
    <t>B 9222 TC</t>
  </si>
  <si>
    <t>C260104</t>
  </si>
  <si>
    <t xml:space="preserve">Oky </t>
  </si>
  <si>
    <t>+62 813-1113-3865</t>
  </si>
  <si>
    <t>A 1238 ZS</t>
  </si>
  <si>
    <t>C260105</t>
  </si>
  <si>
    <t>+62 812-1281-2968</t>
  </si>
  <si>
    <t>C260106</t>
  </si>
  <si>
    <t>Syaiful Barir</t>
  </si>
  <si>
    <t>+62 858-5047-0599</t>
  </si>
  <si>
    <t>C260107</t>
  </si>
  <si>
    <t xml:space="preserve">Klemens </t>
  </si>
  <si>
    <t>+62 811-9800-890</t>
  </si>
  <si>
    <t>B 1376 BNO</t>
  </si>
  <si>
    <t>C260108</t>
  </si>
  <si>
    <t>gatot</t>
  </si>
  <si>
    <t>+62 812-7832-302</t>
  </si>
  <si>
    <t>BC 1587NL</t>
  </si>
  <si>
    <t>C260109</t>
  </si>
  <si>
    <t>nurkholik34210</t>
  </si>
  <si>
    <t>+62 822-4494-9277</t>
  </si>
  <si>
    <t>B 2371 TYA</t>
  </si>
  <si>
    <t>C260110</t>
  </si>
  <si>
    <t>Az Zubair</t>
  </si>
  <si>
    <t>+62 812-8848-8413</t>
  </si>
  <si>
    <t>B 2165 TVD</t>
  </si>
  <si>
    <t>C260111</t>
  </si>
  <si>
    <t>C260112</t>
  </si>
  <si>
    <t xml:space="preserve"> Pak Sartin</t>
  </si>
  <si>
    <t>+62 852-1542-5820</t>
  </si>
  <si>
    <t>A 1181 WQ</t>
  </si>
  <si>
    <t>C260113</t>
  </si>
  <si>
    <t>P. Taupik</t>
  </si>
  <si>
    <t>+62 813-1518-5625</t>
  </si>
  <si>
    <t xml:space="preserve"> B 1419 CMM</t>
  </si>
  <si>
    <t>C260114</t>
  </si>
  <si>
    <t>LFW-ACCORD03XYG</t>
  </si>
  <si>
    <t>Sohibul gufron</t>
  </si>
  <si>
    <t>+62 878-8511-4757</t>
  </si>
  <si>
    <t>B 1897 UEP</t>
  </si>
  <si>
    <t>C260115</t>
  </si>
  <si>
    <t>LFW-E90RSFY</t>
  </si>
  <si>
    <t>Andhika</t>
  </si>
  <si>
    <t>+62 812-9404-8356</t>
  </si>
  <si>
    <t>D 1580 AA</t>
  </si>
  <si>
    <t>c260116</t>
  </si>
  <si>
    <t>USMAN</t>
  </si>
  <si>
    <t>B 9721 VCF</t>
  </si>
  <si>
    <t>C260117</t>
  </si>
  <si>
    <t>LFW-C27XYG</t>
  </si>
  <si>
    <t xml:space="preserve">JEFRI </t>
  </si>
  <si>
    <t>62 816 1822 322</t>
  </si>
  <si>
    <t>B 2305 PVA</t>
  </si>
  <si>
    <t>C260118</t>
  </si>
  <si>
    <t xml:space="preserve">Dita </t>
  </si>
  <si>
    <t>+62 896-9431-2586</t>
  </si>
  <si>
    <t>B 1784 VVE</t>
  </si>
  <si>
    <t>C260119</t>
  </si>
  <si>
    <t xml:space="preserve">Ocy </t>
  </si>
  <si>
    <t xml:space="preserve">'+62 813-1562-2801 </t>
  </si>
  <si>
    <t>C260120</t>
  </si>
  <si>
    <t>Joshua</t>
  </si>
  <si>
    <t>+62 877-7610-2610</t>
  </si>
  <si>
    <t>B 1336 CYD</t>
  </si>
  <si>
    <t>C260121</t>
  </si>
  <si>
    <t>robert pattinson</t>
  </si>
  <si>
    <t>+62 852-1880-0083</t>
  </si>
  <si>
    <t>B 2894 SKW</t>
  </si>
  <si>
    <t>C260122</t>
  </si>
  <si>
    <t>FDL-DYNAASH</t>
  </si>
  <si>
    <t>FERDIANUS GUAL</t>
  </si>
  <si>
    <t>+62 812-8720-3522</t>
  </si>
  <si>
    <t>C260123</t>
  </si>
  <si>
    <t>RDR-SIRION18AGC</t>
  </si>
  <si>
    <t>C260124</t>
  </si>
  <si>
    <t>Freddy Siregar</t>
  </si>
  <si>
    <t>+62 813-1010-4437</t>
  </si>
  <si>
    <t>B 2840 FKA</t>
  </si>
  <si>
    <t>C260125</t>
  </si>
  <si>
    <t>Djoko Maryono</t>
  </si>
  <si>
    <t>+62 812-9550-9563</t>
  </si>
  <si>
    <t>c260126</t>
  </si>
  <si>
    <t xml:space="preserve">Irpan </t>
  </si>
  <si>
    <t>62 877-8719-7008</t>
  </si>
  <si>
    <t>F 1226 FBZ</t>
  </si>
  <si>
    <t>C260127</t>
  </si>
  <si>
    <t>Laila</t>
  </si>
  <si>
    <t>+62 896-5479-1552</t>
  </si>
  <si>
    <t>A 1853 FZ</t>
  </si>
  <si>
    <t>1,089,000</t>
  </si>
  <si>
    <t>C260128</t>
  </si>
  <si>
    <t>Yus</t>
  </si>
  <si>
    <t xml:space="preserve">+62 857-7964-4870  +62 822-3179-2781  </t>
  </si>
  <si>
    <t>B 1430 JFP</t>
  </si>
  <si>
    <t>C260129</t>
  </si>
  <si>
    <t>;62 852-1999-1231 +62 822-3179-2781</t>
  </si>
  <si>
    <t>B 2179 BKP</t>
  </si>
  <si>
    <t>C260130</t>
  </si>
  <si>
    <t>SJTGRC260008</t>
  </si>
  <si>
    <t>TRW-ALPHARD02BLACKXYG</t>
  </si>
  <si>
    <t xml:space="preserve">SENTRA BEKASI </t>
  </si>
  <si>
    <t>C260131</t>
  </si>
  <si>
    <t xml:space="preserve">Eko </t>
  </si>
  <si>
    <t>+62 856-9272-4665</t>
  </si>
  <si>
    <t>S 1895 BA</t>
  </si>
  <si>
    <t>C260132</t>
  </si>
  <si>
    <t xml:space="preserve">Pak Agus </t>
  </si>
  <si>
    <t>+62 823-0666-6668</t>
  </si>
  <si>
    <t>B 1400 NZV</t>
  </si>
  <si>
    <t>C260133</t>
  </si>
  <si>
    <t>Juned</t>
  </si>
  <si>
    <t>+62 831-6232-4993</t>
  </si>
  <si>
    <t>B 1257 WZZ</t>
  </si>
  <si>
    <t>C260134</t>
  </si>
  <si>
    <t>LFW-DATSUNGOMU</t>
  </si>
  <si>
    <t xml:space="preserve">Salim </t>
  </si>
  <si>
    <t>B 2554 BKN</t>
  </si>
  <si>
    <t>C260135</t>
  </si>
  <si>
    <t>BUDY</t>
  </si>
  <si>
    <t>+62 812-9129-0888</t>
  </si>
  <si>
    <t>C260136</t>
  </si>
  <si>
    <t xml:space="preserve">Rizka </t>
  </si>
  <si>
    <t>+62 878-7066-3653</t>
  </si>
  <si>
    <t>B 1727 KML</t>
  </si>
  <si>
    <t>C260137</t>
  </si>
  <si>
    <t>PT AKS ( Tresna )</t>
  </si>
  <si>
    <t>+62 821-1090-1222</t>
  </si>
  <si>
    <t>B  2655 TYY</t>
  </si>
  <si>
    <t>C260138</t>
  </si>
  <si>
    <t>Pak Ridwan</t>
  </si>
  <si>
    <t>+62 851-0047-7551</t>
  </si>
  <si>
    <t>MLDG-LFWCROSSTREK23SUB</t>
  </si>
  <si>
    <t>C260139</t>
  </si>
  <si>
    <t>Ali Adnan</t>
  </si>
  <si>
    <t>+62 821-2120-2053</t>
  </si>
  <si>
    <t>C260140</t>
  </si>
  <si>
    <t>TRW-AVANZA21AGC</t>
  </si>
  <si>
    <t>Wildan</t>
  </si>
  <si>
    <t>+62 857-1845-4851</t>
  </si>
  <si>
    <t>B 1583 HOD</t>
  </si>
  <si>
    <t>C260141</t>
  </si>
  <si>
    <t>LFW-W204RSFY</t>
  </si>
  <si>
    <t>AZIS</t>
  </si>
  <si>
    <t>+62 812-7837-0340</t>
  </si>
  <si>
    <t>C260142</t>
  </si>
  <si>
    <t>Alpha Benedict</t>
  </si>
  <si>
    <t>C260143</t>
  </si>
  <si>
    <t>LFW-SPRESSOXYG</t>
  </si>
  <si>
    <t>+62 813-1154-5395</t>
  </si>
  <si>
    <t>C260144</t>
  </si>
  <si>
    <t>Intan</t>
  </si>
  <si>
    <t>62 858-8283-5367</t>
  </si>
  <si>
    <t>B 1688 UIO</t>
  </si>
  <si>
    <t>C260145</t>
  </si>
  <si>
    <t>Reymond</t>
  </si>
  <si>
    <t>+62 821-3035-4700</t>
  </si>
  <si>
    <t>C260146</t>
  </si>
  <si>
    <t xml:space="preserve">Seleman simanjuntak </t>
  </si>
  <si>
    <t>+62 823-1540-0091</t>
  </si>
  <si>
    <t>D 1521 ALU</t>
  </si>
  <si>
    <t>C260147</t>
  </si>
  <si>
    <t>62 815-1441-6387</t>
  </si>
  <si>
    <t>17/03/0202</t>
  </si>
  <si>
    <t>C260148</t>
  </si>
  <si>
    <t>+62 812-1256-3837</t>
  </si>
  <si>
    <t>A 1302 VAA</t>
  </si>
  <si>
    <t>SJTGRC260009</t>
  </si>
  <si>
    <t>FDL-STARGAZERASH</t>
  </si>
  <si>
    <t>SJTGRC260010</t>
  </si>
  <si>
    <t>RDR-VIOS13ASH</t>
  </si>
  <si>
    <t>C260149</t>
  </si>
  <si>
    <t>sisil</t>
  </si>
  <si>
    <t>+62 878-8071-9000</t>
  </si>
  <si>
    <t>B 1572 CKE</t>
  </si>
  <si>
    <t>C260150</t>
  </si>
  <si>
    <t>Alfredo</t>
  </si>
  <si>
    <t>+62 896-1790-5226</t>
  </si>
  <si>
    <t>B 1127 JEO</t>
  </si>
  <si>
    <t>C260151</t>
  </si>
  <si>
    <t>RDR-CITY14TSG</t>
  </si>
  <si>
    <t>Bapak Slamet</t>
  </si>
  <si>
    <t>+62 813-1607-5898</t>
  </si>
  <si>
    <t>B 1866 BAF</t>
  </si>
  <si>
    <t>C260152</t>
  </si>
  <si>
    <t>LFW-BRV22ASH</t>
  </si>
  <si>
    <t>sansan</t>
  </si>
  <si>
    <t>+62 812-1991-0888</t>
  </si>
  <si>
    <t>C260153</t>
  </si>
  <si>
    <t>C260155</t>
  </si>
  <si>
    <t>LFW-PAJERO20RSAGC</t>
  </si>
  <si>
    <t>Ahap</t>
  </si>
  <si>
    <t>+62 821-3426-6370</t>
  </si>
  <si>
    <t>B 807 TAK</t>
  </si>
  <si>
    <t>C260154</t>
  </si>
  <si>
    <t>Tony</t>
  </si>
  <si>
    <t>+62 818-0681-8666</t>
  </si>
  <si>
    <t>B 1924 CJF</t>
  </si>
  <si>
    <t>C260156</t>
  </si>
  <si>
    <t>Bisri Mustofa</t>
  </si>
  <si>
    <t>+62 878-2171-5876</t>
  </si>
  <si>
    <t>B 2928 BON</t>
  </si>
  <si>
    <t>C260157</t>
  </si>
  <si>
    <t>Willy Marpaung</t>
  </si>
  <si>
    <t>+62 813-8196-5436</t>
  </si>
  <si>
    <t>B 1820 CZI</t>
  </si>
  <si>
    <t>C260158</t>
  </si>
  <si>
    <t>Mikhael</t>
  </si>
  <si>
    <t>+62 813-2056-279</t>
  </si>
  <si>
    <t>C260159</t>
  </si>
  <si>
    <t>+62 81806701731</t>
  </si>
  <si>
    <t>B 1242 WD</t>
  </si>
  <si>
    <t>C260160</t>
  </si>
  <si>
    <t>hasan</t>
  </si>
  <si>
    <t>+62 878-7503-1110</t>
  </si>
  <si>
    <t>C260161</t>
  </si>
  <si>
    <t>Moises Bakara</t>
  </si>
  <si>
    <t>+62 821-1691-0934</t>
  </si>
  <si>
    <t>B 1343 DFM</t>
  </si>
  <si>
    <t>C260162</t>
  </si>
  <si>
    <t>LFW-HILUX05XYG</t>
  </si>
  <si>
    <t xml:space="preserve">Bpk Ahmad Rosyid Chieng </t>
  </si>
  <si>
    <t>+62 821-1197-3966</t>
  </si>
  <si>
    <t>C260163</t>
  </si>
  <si>
    <t>Lusi</t>
  </si>
  <si>
    <t>+62 895-3370-77744</t>
  </si>
  <si>
    <t>B 1366 VVK</t>
  </si>
  <si>
    <t>SJTGRC260011</t>
  </si>
  <si>
    <t>C260164</t>
  </si>
  <si>
    <t>LFW-EVALIAFR</t>
  </si>
  <si>
    <t>Al Basith</t>
  </si>
  <si>
    <t>+62 857-7390-7709</t>
  </si>
  <si>
    <t>B 8385 PW</t>
  </si>
  <si>
    <t>C260165</t>
  </si>
  <si>
    <t xml:space="preserve">Arif </t>
  </si>
  <si>
    <t>62 811-1091-315</t>
  </si>
  <si>
    <t>B 1867 DOV</t>
  </si>
  <si>
    <t>C260166</t>
  </si>
  <si>
    <t xml:space="preserve">Bayu </t>
  </si>
  <si>
    <t>+62 878-5516-5965</t>
  </si>
  <si>
    <t>B 8385 UG</t>
  </si>
  <si>
    <t>C260167</t>
  </si>
  <si>
    <t>iky</t>
  </si>
  <si>
    <t>62 811-1971-5166</t>
  </si>
  <si>
    <t>C260168</t>
  </si>
  <si>
    <t>TRW-EVERESTXYG</t>
  </si>
  <si>
    <t>C260169</t>
  </si>
  <si>
    <t>GEMA</t>
  </si>
  <si>
    <t>62 812-8608-4958</t>
  </si>
  <si>
    <t>C260170</t>
  </si>
  <si>
    <t>IRGI</t>
  </si>
  <si>
    <t>+62 857-7737-3884</t>
  </si>
  <si>
    <t>B 2494 BYY</t>
  </si>
  <si>
    <t>C260171</t>
  </si>
  <si>
    <t xml:space="preserve">Rafi </t>
  </si>
  <si>
    <t>+62 813-2048-2320</t>
  </si>
  <si>
    <t>N 1335 WZ</t>
  </si>
  <si>
    <t>C260172</t>
  </si>
  <si>
    <t xml:space="preserve">Budi </t>
  </si>
  <si>
    <t>+62 878-8467-0320</t>
  </si>
  <si>
    <t>B 2960 SRV</t>
  </si>
  <si>
    <t>C260173</t>
  </si>
  <si>
    <t>TRW-W204XYG</t>
  </si>
  <si>
    <t>Erlangga</t>
  </si>
  <si>
    <t>+62 821-2682-5060</t>
  </si>
  <si>
    <t>D 1216 HQ</t>
  </si>
  <si>
    <t>C260174</t>
  </si>
  <si>
    <t>C260175</t>
  </si>
  <si>
    <t>+62 878-7287-9195</t>
  </si>
  <si>
    <t>B 1117 JVJ</t>
  </si>
  <si>
    <t>C260176</t>
  </si>
  <si>
    <t>Steve</t>
  </si>
  <si>
    <t>+62 813-7835-0707</t>
  </si>
  <si>
    <t>B 1114 TNR</t>
  </si>
  <si>
    <t>C260177</t>
  </si>
  <si>
    <t>+62 811-1717-848</t>
  </si>
  <si>
    <t>B 1411 EBI</t>
  </si>
  <si>
    <t>C260178</t>
  </si>
  <si>
    <t>RDR-RUSH17AGC</t>
  </si>
  <si>
    <t>Dayat</t>
  </si>
  <si>
    <t>+62 812-9862-408</t>
  </si>
  <si>
    <t>C260179</t>
  </si>
  <si>
    <t>yabez</t>
  </si>
  <si>
    <t>C260180</t>
  </si>
  <si>
    <t>FDL-FE700MU</t>
  </si>
  <si>
    <t>+62 857-7759-9389</t>
  </si>
  <si>
    <t>SJTGRC260012</t>
  </si>
  <si>
    <t>C260181</t>
  </si>
  <si>
    <t>AHOK. KASSADA MOBILLINDO</t>
  </si>
  <si>
    <t>+62 811-943-169</t>
  </si>
  <si>
    <t>C260182</t>
  </si>
  <si>
    <t>David Kusumo</t>
  </si>
  <si>
    <t>+62 811-9718-228</t>
  </si>
  <si>
    <t>B 1270 SJR</t>
  </si>
  <si>
    <t>C260183</t>
  </si>
  <si>
    <t>zakaria</t>
  </si>
  <si>
    <t>+62 819-9483-1408</t>
  </si>
  <si>
    <t>B 1521 NZV</t>
  </si>
  <si>
    <t>C260184</t>
  </si>
  <si>
    <t>LFW-C26XYG</t>
  </si>
  <si>
    <t>+62 855-9929-110</t>
  </si>
  <si>
    <t>B 2287 WVU</t>
  </si>
  <si>
    <t>C260185</t>
  </si>
  <si>
    <t>+62 815-8660-3499</t>
  </si>
  <si>
    <t>C260186</t>
  </si>
  <si>
    <t>UKI MAHARENI</t>
  </si>
  <si>
    <t>+62 813-1716-8993</t>
  </si>
  <si>
    <t>B 1796 JUR</t>
  </si>
  <si>
    <t>C260187</t>
  </si>
  <si>
    <t>SWL-FREEDASH</t>
  </si>
  <si>
    <t>Ka Vendy</t>
  </si>
  <si>
    <t>+62 811-8888-1101</t>
  </si>
  <si>
    <t>C260188</t>
  </si>
  <si>
    <t>LFW-CX5GEN2RS3XYG</t>
  </si>
  <si>
    <t>Kak Niko</t>
  </si>
  <si>
    <t>+62 823-2222-1133</t>
  </si>
  <si>
    <t>C260189</t>
  </si>
  <si>
    <t>Geogre</t>
  </si>
  <si>
    <t>+62 812-8820-9142</t>
  </si>
  <si>
    <t>B1652 V0P</t>
  </si>
  <si>
    <t>C260190</t>
  </si>
  <si>
    <t>SWL-AVANZA03MU</t>
  </si>
  <si>
    <t>NURDIN</t>
  </si>
  <si>
    <t>+62 812-1018-6998</t>
  </si>
  <si>
    <t xml:space="preserve"> B 1858 CMJ</t>
  </si>
  <si>
    <t>C260191</t>
  </si>
  <si>
    <t>Nuy Body Repair/Mas nuy</t>
  </si>
  <si>
    <t>+62 897-8645-717</t>
  </si>
  <si>
    <t>C260192</t>
  </si>
  <si>
    <t>Pak John</t>
  </si>
  <si>
    <t>+62 813-1117-8768</t>
  </si>
  <si>
    <t>B 9014 VAG</t>
  </si>
  <si>
    <t>C260193</t>
  </si>
  <si>
    <t>Pak Jack</t>
  </si>
  <si>
    <t>+62 815-1483-3000</t>
  </si>
  <si>
    <t>B 9185 EDB</t>
  </si>
  <si>
    <t>C260194</t>
  </si>
  <si>
    <t>JONATHAN</t>
  </si>
  <si>
    <t>+62 812-8388-7938</t>
  </si>
  <si>
    <t>C260195</t>
  </si>
  <si>
    <t xml:space="preserve">PECAH ALONG </t>
  </si>
  <si>
    <t>C260196</t>
  </si>
  <si>
    <t xml:space="preserve">RIVO </t>
  </si>
  <si>
    <t>+62 821-2395-5030</t>
  </si>
  <si>
    <t>B 9842 BXA</t>
  </si>
  <si>
    <t>C260197</t>
  </si>
  <si>
    <t>TRW-VOXY17XYG</t>
  </si>
  <si>
    <t>P. LEO</t>
  </si>
  <si>
    <t>i+62 856-9542-7122</t>
  </si>
  <si>
    <t>C260198</t>
  </si>
  <si>
    <t xml:space="preserve">Rizki </t>
  </si>
  <si>
    <t>+62 811-1004-4050</t>
  </si>
  <si>
    <t>B 1264 JFC</t>
  </si>
  <si>
    <t>RDL-ALTIS06XYG</t>
  </si>
  <si>
    <t>FDL-MAZDA214XYG</t>
  </si>
  <si>
    <t>C260199</t>
  </si>
  <si>
    <t>LFW-PANTHER00XYG</t>
  </si>
  <si>
    <t>+62 878-3222-5822</t>
  </si>
  <si>
    <t>B 1294 EKN</t>
  </si>
  <si>
    <t>C260200</t>
  </si>
  <si>
    <t>Asrori</t>
  </si>
  <si>
    <t>62 858-1722-4442</t>
  </si>
  <si>
    <t>B 1969 BYR</t>
  </si>
  <si>
    <t>C260201</t>
  </si>
  <si>
    <t>Sopiih</t>
  </si>
  <si>
    <t>+62 813-1039-9544</t>
  </si>
  <si>
    <t xml:space="preserve">B 9915 BAU </t>
  </si>
  <si>
    <t>C260202</t>
  </si>
  <si>
    <t>pak yanto</t>
  </si>
  <si>
    <t>+62 812-1991-9713</t>
  </si>
  <si>
    <t>C260203</t>
  </si>
  <si>
    <t>Diva Brain</t>
  </si>
  <si>
    <t>+62 878-0994-3000</t>
  </si>
  <si>
    <t xml:space="preserve">B 2245 VVA </t>
  </si>
  <si>
    <t>C260204</t>
  </si>
  <si>
    <t>pak apang</t>
  </si>
  <si>
    <t>+62 817-0076-276</t>
  </si>
  <si>
    <t>C260205</t>
  </si>
  <si>
    <t>C260206</t>
  </si>
  <si>
    <t>PT. TRI HASTA PERKASA</t>
  </si>
  <si>
    <t>+62 857-1761-4813</t>
  </si>
  <si>
    <t>B 9444 NCF</t>
  </si>
  <si>
    <t>C260207</t>
  </si>
  <si>
    <t>KANTOR PECAH</t>
  </si>
  <si>
    <t>C260208</t>
  </si>
  <si>
    <t>+62 813-8950-1374</t>
  </si>
  <si>
    <t>C260209</t>
  </si>
  <si>
    <t>+62 822-3311-1611</t>
  </si>
  <si>
    <t>C260210</t>
  </si>
  <si>
    <t>febrian</t>
  </si>
  <si>
    <t>+62 812-9174-8884</t>
  </si>
  <si>
    <t>D 1178 KB</t>
  </si>
  <si>
    <t>C260211</t>
  </si>
  <si>
    <t>LFW-SPORTAGE04MU</t>
  </si>
  <si>
    <t>+62 812-1896-3696</t>
  </si>
  <si>
    <t>B 1640 WCO</t>
  </si>
  <si>
    <t>C260212</t>
  </si>
  <si>
    <t xml:space="preserve">TRW-FORTUNER05BLACKFY </t>
  </si>
  <si>
    <t>Toyota Fortuner 05-15  1st Gen (Hitam</t>
  </si>
  <si>
    <t>Djm Bodywork</t>
  </si>
  <si>
    <t>B 8899 GZ</t>
  </si>
  <si>
    <t>SWR-FORTUNER05XYG</t>
  </si>
  <si>
    <t>C260213</t>
  </si>
  <si>
    <t>Indra</t>
  </si>
  <si>
    <t>+62 812-9369-3016</t>
  </si>
  <si>
    <t>A 1196 RQ</t>
  </si>
  <si>
    <t>C260214</t>
  </si>
  <si>
    <t>D260001</t>
  </si>
  <si>
    <t>Putra pamungkas</t>
  </si>
  <si>
    <t>+62 851-2138-3867</t>
  </si>
  <si>
    <t>B 2282 URC</t>
  </si>
  <si>
    <t>D260002</t>
  </si>
  <si>
    <t>SMKN 2 kota Tangerang</t>
  </si>
  <si>
    <t>+62 896-4361-6171</t>
  </si>
  <si>
    <t>B 9218 VCA</t>
  </si>
  <si>
    <t>D260003</t>
  </si>
  <si>
    <t>Pak Agus</t>
  </si>
  <si>
    <t>+62 852-1793-9749</t>
  </si>
  <si>
    <t>D260004</t>
  </si>
  <si>
    <t>62 856-9497-1058</t>
  </si>
  <si>
    <t xml:space="preserve">B 2290 KMS </t>
  </si>
  <si>
    <t>D260005</t>
  </si>
  <si>
    <t>D260006</t>
  </si>
  <si>
    <t>Yonas</t>
  </si>
  <si>
    <t>+62 822-3299-2222</t>
  </si>
  <si>
    <t>B 1563 HKM</t>
  </si>
  <si>
    <t>D260007</t>
  </si>
  <si>
    <t>+62 857-9630-2659</t>
  </si>
  <si>
    <t xml:space="preserve">B 1026 NIL </t>
  </si>
  <si>
    <t>D260008</t>
  </si>
  <si>
    <t>+62 813-1683-2247</t>
  </si>
  <si>
    <t xml:space="preserve">B 2089 UOO </t>
  </si>
  <si>
    <t>D260009</t>
  </si>
  <si>
    <t>FDR-PICANTO04XYG</t>
  </si>
  <si>
    <t>purwanto</t>
  </si>
  <si>
    <t>+62 821-1627-3846</t>
  </si>
  <si>
    <t>D260010</t>
  </si>
  <si>
    <t>TRW-SIRION2XYG</t>
  </si>
  <si>
    <t>Oni Roni</t>
  </si>
  <si>
    <t>+62 811-1844-529</t>
  </si>
  <si>
    <t>D260011</t>
  </si>
  <si>
    <t>arif nisa</t>
  </si>
  <si>
    <t>+62 896-0836-4546</t>
  </si>
  <si>
    <t>D260012</t>
  </si>
  <si>
    <t>adit</t>
  </si>
  <si>
    <t>+62 877-7183-1710</t>
  </si>
  <si>
    <t>B 9071 PCP</t>
  </si>
  <si>
    <t>amele</t>
  </si>
  <si>
    <t>D260013</t>
  </si>
  <si>
    <t>LFW-RUSH17XYG</t>
  </si>
  <si>
    <t>Muchamad Putra Mahesa</t>
  </si>
  <si>
    <t>+62 895-1299-4993</t>
  </si>
  <si>
    <t>B 1316 EZH</t>
  </si>
  <si>
    <t>PUTRI, Leni</t>
  </si>
  <si>
    <t>D260014</t>
  </si>
  <si>
    <t>Pak Agusdiyanto</t>
  </si>
  <si>
    <t>+62 857-7910-0555</t>
  </si>
  <si>
    <t>A 1325 VAA</t>
  </si>
  <si>
    <t>D260015</t>
  </si>
  <si>
    <t>SWL-CX3NSG</t>
  </si>
  <si>
    <t>Eko purwidianto</t>
  </si>
  <si>
    <t>+62 852-1515-9214</t>
  </si>
  <si>
    <t>B 8698 ZD</t>
  </si>
  <si>
    <t>D260016</t>
  </si>
  <si>
    <t>TRW-ALPHARD18XYG</t>
  </si>
  <si>
    <t xml:space="preserve">Awaludin </t>
  </si>
  <si>
    <t>+62 813-9806-6973</t>
  </si>
  <si>
    <t>B 2636 FYJ</t>
  </si>
  <si>
    <t>AMLE</t>
  </si>
  <si>
    <t>D260017</t>
  </si>
  <si>
    <t>Anggara putra</t>
  </si>
  <si>
    <t xml:space="preserve">B 1626 T </t>
  </si>
  <si>
    <t>D260018</t>
  </si>
  <si>
    <t>Rdl-trailblazerfy</t>
  </si>
  <si>
    <t>vincent</t>
  </si>
  <si>
    <t>SJTGRC260013</t>
  </si>
  <si>
    <t>D260019</t>
  </si>
  <si>
    <t>62 817-7498-9777</t>
  </si>
  <si>
    <t>B 2645 VVH</t>
  </si>
  <si>
    <t>D260020</t>
  </si>
  <si>
    <t xml:space="preserve">Herman </t>
  </si>
  <si>
    <t>+62 811-9997-164</t>
  </si>
  <si>
    <t>B 2786 UGY</t>
  </si>
  <si>
    <t>D260021</t>
  </si>
  <si>
    <t>+62 812-9714-2434</t>
  </si>
  <si>
    <t xml:space="preserve">B 1969 ERO </t>
  </si>
  <si>
    <t>D260022</t>
  </si>
  <si>
    <t>Barmas Cipari Dka Garage</t>
  </si>
  <si>
    <t>D260023</t>
  </si>
  <si>
    <t>Janoe Widyopramomo</t>
  </si>
  <si>
    <t>+62 856-4716-2369</t>
  </si>
  <si>
    <t>amelele</t>
  </si>
  <si>
    <t>D260024</t>
  </si>
  <si>
    <t>LFW-SPARK16XYG</t>
  </si>
  <si>
    <t>Vinca</t>
  </si>
  <si>
    <t>+62 818-1873-4244</t>
  </si>
  <si>
    <t xml:space="preserve">W 1885 WL </t>
  </si>
  <si>
    <t>D260025</t>
  </si>
  <si>
    <t>+62 857-8135-8175</t>
  </si>
  <si>
    <t>B 1643 UOT</t>
  </si>
  <si>
    <t>D260026</t>
  </si>
  <si>
    <t>LFW-ALPHARD15FY</t>
  </si>
  <si>
    <t>62 811-666-292</t>
  </si>
  <si>
    <t>BA 548 AA</t>
  </si>
  <si>
    <t>D260027</t>
  </si>
  <si>
    <t>Roni Setiawan</t>
  </si>
  <si>
    <t>B 1393 NZY</t>
  </si>
  <si>
    <t>D260028</t>
  </si>
  <si>
    <t>dani</t>
  </si>
  <si>
    <t>D260029</t>
  </si>
  <si>
    <t>adang</t>
  </si>
  <si>
    <t>D260030</t>
  </si>
  <si>
    <t>Aren</t>
  </si>
  <si>
    <t>+62 895-0393-3848</t>
  </si>
  <si>
    <t>B 2294 TIS</t>
  </si>
  <si>
    <t>D260031</t>
  </si>
  <si>
    <t xml:space="preserve"> Yuris</t>
  </si>
  <si>
    <t>+62 818-0856-1188</t>
  </si>
  <si>
    <t>B 1072 VOD</t>
  </si>
  <si>
    <t>D260032</t>
  </si>
  <si>
    <t>LFW-CIVIC00XYG</t>
  </si>
  <si>
    <t>Adji</t>
  </si>
  <si>
    <t>+62 851-0146-7567</t>
  </si>
  <si>
    <t>B 1704 FBM</t>
  </si>
  <si>
    <t>D260033</t>
  </si>
  <si>
    <t>wahyu</t>
  </si>
  <si>
    <t>+62 882-9373-8419</t>
  </si>
  <si>
    <t>D260034</t>
  </si>
  <si>
    <t>Reggi</t>
  </si>
  <si>
    <t>+62 838-4392-4380</t>
  </si>
  <si>
    <t>D260035</t>
  </si>
  <si>
    <t>ARKA</t>
  </si>
  <si>
    <t>+62 812-8570-9069</t>
  </si>
  <si>
    <t>D260036</t>
  </si>
  <si>
    <t xml:space="preserve">Ibu HIlda </t>
  </si>
  <si>
    <t>+62 811-817-859</t>
  </si>
  <si>
    <t>B 1351 NOQ</t>
  </si>
  <si>
    <t>D260037</t>
  </si>
  <si>
    <t>rizcky bardian</t>
  </si>
  <si>
    <t>+62 821-3138-0099</t>
  </si>
  <si>
    <t>L 1767 KT</t>
  </si>
  <si>
    <t>D260038</t>
  </si>
  <si>
    <t>Soleh</t>
  </si>
  <si>
    <t xml:space="preserve">+62 815-1624-795 </t>
  </si>
  <si>
    <t>B 1522 EYF</t>
  </si>
  <si>
    <t>D260039</t>
  </si>
  <si>
    <t>D260040</t>
  </si>
  <si>
    <t>kak toms</t>
  </si>
  <si>
    <t>+62 852-2775-0090</t>
  </si>
  <si>
    <t>B 2538 TOH</t>
  </si>
  <si>
    <t>D260041</t>
  </si>
  <si>
    <t>Resi</t>
  </si>
  <si>
    <t>+62 811-9799-967</t>
  </si>
  <si>
    <t>F 1481 MN</t>
  </si>
  <si>
    <t>D260042</t>
  </si>
  <si>
    <t>BAYU DIAN</t>
  </si>
  <si>
    <t>+62 812-9466-4949</t>
  </si>
  <si>
    <t>H 1035 WK</t>
  </si>
  <si>
    <t>+62 812-9466-4950</t>
  </si>
  <si>
    <t>D260043</t>
  </si>
  <si>
    <t>LFW-CAMRY02FY</t>
  </si>
  <si>
    <t>Kantor Badan Penghubung Maluku</t>
  </si>
  <si>
    <t xml:space="preserve">+62 811-4700-0880 </t>
  </si>
  <si>
    <t>D260044</t>
  </si>
  <si>
    <t xml:space="preserve">PECAH </t>
  </si>
  <si>
    <t>D260045</t>
  </si>
  <si>
    <t>LFW-W166RS2XYG</t>
  </si>
  <si>
    <t>D260046</t>
  </si>
  <si>
    <t>Anjar</t>
  </si>
  <si>
    <t>+62 857-1019-7201</t>
  </si>
  <si>
    <t>B 1017 JUT</t>
  </si>
  <si>
    <t>piskah</t>
  </si>
  <si>
    <t>D260047</t>
  </si>
  <si>
    <t>dedi</t>
  </si>
  <si>
    <t>62 821-2392-5174</t>
  </si>
  <si>
    <t>D260048</t>
  </si>
  <si>
    <t>damser ambarita</t>
  </si>
  <si>
    <t>+62 851-9959-1955</t>
  </si>
  <si>
    <t>D260049</t>
  </si>
  <si>
    <t>Annaz</t>
  </si>
  <si>
    <t>+62 811-161-351</t>
  </si>
  <si>
    <t>D260050</t>
  </si>
  <si>
    <t>Tommy</t>
  </si>
  <si>
    <t>+62 877-8200-7613</t>
  </si>
  <si>
    <t>D260051</t>
  </si>
  <si>
    <t>Didi Butik Showroom Gs</t>
  </si>
  <si>
    <t>D260052</t>
  </si>
  <si>
    <t>FDR-DYNAMU</t>
  </si>
  <si>
    <t>Satrya</t>
  </si>
  <si>
    <t>+62 858-9120-4494</t>
  </si>
  <si>
    <t>D260053</t>
  </si>
  <si>
    <t>AMELE</t>
  </si>
  <si>
    <t>D260054</t>
  </si>
  <si>
    <t>frans</t>
  </si>
  <si>
    <t>+62 812-8114-0069</t>
  </si>
  <si>
    <t>D260055</t>
  </si>
  <si>
    <t>+62 821-1351-8641</t>
  </si>
  <si>
    <t>B 1702 VFU</t>
  </si>
  <si>
    <t>putra</t>
  </si>
  <si>
    <t>B 9647 KYW</t>
  </si>
  <si>
    <t>D260056</t>
  </si>
  <si>
    <t>Pak ade</t>
  </si>
  <si>
    <t>visca</t>
  </si>
  <si>
    <t>D260057</t>
  </si>
  <si>
    <t xml:space="preserve">Yoga anjar fadillah </t>
  </si>
  <si>
    <t>+62 812-2566-6163</t>
  </si>
  <si>
    <t>A 1478 XLH</t>
  </si>
  <si>
    <t>D260058</t>
  </si>
  <si>
    <t>TRW-SPRESSOXYG</t>
  </si>
  <si>
    <t>VERONICA</t>
  </si>
  <si>
    <t>+62 896-0509-0908</t>
  </si>
  <si>
    <t>D260059</t>
  </si>
  <si>
    <t>RDL-BRIO18AGC</t>
  </si>
  <si>
    <t>Raysha</t>
  </si>
  <si>
    <t>D260060</t>
  </si>
  <si>
    <t>Mulia</t>
  </si>
  <si>
    <t>+62 851-5626-4657</t>
  </si>
  <si>
    <t>D260061</t>
  </si>
  <si>
    <t xml:space="preserve">Aan </t>
  </si>
  <si>
    <t>+62 821-4386-7995</t>
  </si>
  <si>
    <t xml:space="preserve">B 9404 BWM </t>
  </si>
  <si>
    <t>D260062</t>
  </si>
  <si>
    <t>SJTGRC260014</t>
  </si>
  <si>
    <t>SJTGRC260015</t>
  </si>
  <si>
    <t>LFW-SANTAFE21RS2XYG</t>
  </si>
  <si>
    <t>SENTRA SURABAYA</t>
  </si>
  <si>
    <t>LFW-W205RS3XYG</t>
  </si>
  <si>
    <t>SJTGRC260016</t>
  </si>
  <si>
    <t>D260063</t>
  </si>
  <si>
    <t>Machly</t>
  </si>
  <si>
    <t>+62 811-985-570</t>
  </si>
  <si>
    <t>D260064</t>
  </si>
  <si>
    <t>Gerry</t>
  </si>
  <si>
    <t>62 812-8390-2260</t>
  </si>
  <si>
    <t>D260065</t>
  </si>
  <si>
    <t>Indria</t>
  </si>
  <si>
    <t>+62 895-3841-15137</t>
  </si>
  <si>
    <t xml:space="preserve">B 1615 BYH </t>
  </si>
  <si>
    <t>B 1615 BYH</t>
  </si>
  <si>
    <t>D260066</t>
  </si>
  <si>
    <t>LFW-SIENTAXYG</t>
  </si>
  <si>
    <t>Geo</t>
  </si>
  <si>
    <t>+62 813-5750-5077</t>
  </si>
  <si>
    <t>L 1640 ABX</t>
  </si>
  <si>
    <t>D260067</t>
  </si>
  <si>
    <t>+62 812-8476-3699</t>
  </si>
  <si>
    <t>A 1342 VFA</t>
  </si>
  <si>
    <t>LFW-VIOS23XYG</t>
  </si>
  <si>
    <t>D260076</t>
  </si>
  <si>
    <t>linda</t>
  </si>
  <si>
    <t>+62 821-2306-6024</t>
  </si>
  <si>
    <t>B 8810 WI</t>
  </si>
  <si>
    <t>D260068</t>
  </si>
  <si>
    <t>Bagaskara</t>
  </si>
  <si>
    <t>+62 813-3965-4824</t>
  </si>
  <si>
    <t xml:space="preserve">B 1791 EEG </t>
  </si>
  <si>
    <t>D260069</t>
  </si>
  <si>
    <t>+62 822-7517-0160</t>
  </si>
  <si>
    <t>D260070</t>
  </si>
  <si>
    <t>reza</t>
  </si>
  <si>
    <t>D260071</t>
  </si>
  <si>
    <t>Sanggar</t>
  </si>
  <si>
    <t>+62 855-1152-735</t>
  </si>
  <si>
    <t xml:space="preserve">A 1752 PU </t>
  </si>
  <si>
    <t>D260072</t>
  </si>
  <si>
    <t>Bu Dwi</t>
  </si>
  <si>
    <t>+62 852-8557-7233</t>
  </si>
  <si>
    <t>B 1116 NKU</t>
  </si>
  <si>
    <t>D260073</t>
  </si>
  <si>
    <t>cheni</t>
  </si>
  <si>
    <t>62 896-8559-9996</t>
  </si>
  <si>
    <t>D260074</t>
  </si>
  <si>
    <t>yam farizal</t>
  </si>
  <si>
    <t>+62 878-7888-9545</t>
  </si>
  <si>
    <t>D260075</t>
  </si>
  <si>
    <t>+62 851-7782-6181</t>
  </si>
  <si>
    <t>B 1645 COT</t>
  </si>
  <si>
    <t>Supri</t>
  </si>
  <si>
    <t>+62 851-5096-0345</t>
  </si>
  <si>
    <t>D260077</t>
  </si>
  <si>
    <t xml:space="preserve">Pak Wanto </t>
  </si>
  <si>
    <t>+62 813-4142-7333</t>
  </si>
  <si>
    <t>2003-37</t>
  </si>
  <si>
    <t>D260078</t>
  </si>
  <si>
    <t>Carhome</t>
  </si>
  <si>
    <t>D260079</t>
  </si>
  <si>
    <t>Aditya Pratama</t>
  </si>
  <si>
    <t>+62 813-9459-8833</t>
  </si>
  <si>
    <t>ameel</t>
  </si>
  <si>
    <t>D260080</t>
  </si>
  <si>
    <t>Agussolihin</t>
  </si>
  <si>
    <t>+62 813-1351-416</t>
  </si>
  <si>
    <t>D260081</t>
  </si>
  <si>
    <t xml:space="preserve">Krisna </t>
  </si>
  <si>
    <t xml:space="preserve">+62 878-7757-1697 </t>
  </si>
  <si>
    <t>BN 1688 AX</t>
  </si>
  <si>
    <t>D260082</t>
  </si>
  <si>
    <t>Yusuf</t>
  </si>
  <si>
    <t>+62 817-220-785</t>
  </si>
  <si>
    <t xml:space="preserve">B 1071 WIR </t>
  </si>
  <si>
    <t>D260083</t>
  </si>
  <si>
    <t>TRW-ALTIS18XYG</t>
  </si>
  <si>
    <t>Pak Vinay</t>
  </si>
  <si>
    <t>+62 818-115-381</t>
  </si>
  <si>
    <t xml:space="preserve">B 1120 VE </t>
  </si>
  <si>
    <t>D260084</t>
  </si>
  <si>
    <t>RDR-FORTUNER05XYG</t>
  </si>
  <si>
    <t xml:space="preserve">Arvian </t>
  </si>
  <si>
    <t xml:space="preserve">+62 822-8888-2119 </t>
  </si>
  <si>
    <t>D260085</t>
  </si>
  <si>
    <t>LFW-F25XYG</t>
  </si>
  <si>
    <t>Susilo</t>
  </si>
  <si>
    <t>+62 818-122-481</t>
  </si>
  <si>
    <t>B 2855 STL</t>
  </si>
  <si>
    <t>D260086</t>
  </si>
  <si>
    <t>Jou</t>
  </si>
  <si>
    <t>+62 896-0687-8199</t>
  </si>
  <si>
    <t>B 1537 TYG</t>
  </si>
  <si>
    <t>D260087</t>
  </si>
  <si>
    <t xml:space="preserve">Bacthiar </t>
  </si>
  <si>
    <t>+62 815-1155-7835</t>
  </si>
  <si>
    <t>B 1958 JUO</t>
  </si>
  <si>
    <t>D260088</t>
  </si>
  <si>
    <t>yatno</t>
  </si>
  <si>
    <t>+62 812-9956-6247</t>
  </si>
  <si>
    <t>B 9514 RY</t>
  </si>
  <si>
    <t>D260089</t>
  </si>
  <si>
    <t>+62 895-3850-04838</t>
  </si>
  <si>
    <t>D260090</t>
  </si>
  <si>
    <t>D260091</t>
  </si>
  <si>
    <t>ade humaidi</t>
  </si>
  <si>
    <t>+62 895-3349-35119</t>
  </si>
  <si>
    <t>D260092</t>
  </si>
  <si>
    <t xml:space="preserve">Opan </t>
  </si>
  <si>
    <t>+62 878-8040-0027</t>
  </si>
  <si>
    <t>B 2639 TQ</t>
  </si>
  <si>
    <t>D260093</t>
  </si>
  <si>
    <t>Prawira</t>
  </si>
  <si>
    <t>+62 838-9422-8593</t>
  </si>
  <si>
    <t>B 2217 VVI</t>
  </si>
  <si>
    <t>D260094</t>
  </si>
  <si>
    <t>Yatno</t>
  </si>
  <si>
    <t>D260095</t>
  </si>
  <si>
    <t>Dona puteri</t>
  </si>
  <si>
    <t>+62 812-8846-8854</t>
  </si>
  <si>
    <t>B 1627 JFF</t>
  </si>
  <si>
    <t>D260096</t>
  </si>
  <si>
    <t>hengky</t>
  </si>
  <si>
    <t>+62 818-915-250</t>
  </si>
  <si>
    <t xml:space="preserve">AD 1267 JK </t>
  </si>
  <si>
    <t>D260097</t>
  </si>
  <si>
    <t>Harry Nugroho</t>
  </si>
  <si>
    <t>+62 811-220-189</t>
  </si>
  <si>
    <t xml:space="preserve">B 2243 EJ </t>
  </si>
  <si>
    <t>D260098</t>
  </si>
  <si>
    <t xml:space="preserve">Bu Vivi </t>
  </si>
  <si>
    <t>+62 817-168-875</t>
  </si>
  <si>
    <t xml:space="preserve">B 1690 CFV </t>
  </si>
  <si>
    <t>D260099</t>
  </si>
  <si>
    <t>LFW-VOXY22RSXYG</t>
  </si>
  <si>
    <t xml:space="preserve"> Alfian Suprihatin</t>
  </si>
  <si>
    <t>+62 823-1027-2629</t>
  </si>
  <si>
    <t xml:space="preserve">B 1040 DFY </t>
  </si>
  <si>
    <t>D260100</t>
  </si>
  <si>
    <t>TRW-FORTUNER05XYG</t>
  </si>
  <si>
    <t>SJTGRC260017</t>
  </si>
  <si>
    <t>TRW-ALTIS06XYG</t>
  </si>
  <si>
    <t>RDL-FORTUNER15XYG</t>
  </si>
  <si>
    <t>LFW-EVO4FY</t>
  </si>
  <si>
    <t>D260101</t>
  </si>
  <si>
    <t>+62 811-8476-480</t>
  </si>
  <si>
    <t xml:space="preserve">B 2800 KZN </t>
  </si>
  <si>
    <t>D260102</t>
  </si>
  <si>
    <t>Juan</t>
  </si>
  <si>
    <t>D260103</t>
  </si>
  <si>
    <t>Paul Patty</t>
  </si>
  <si>
    <t>62 812-1296-9184</t>
  </si>
  <si>
    <t>B 1938 WFD</t>
  </si>
  <si>
    <t>D260104</t>
  </si>
  <si>
    <t>Mahva Clinic</t>
  </si>
  <si>
    <t>0821 3699 2299</t>
  </si>
  <si>
    <t>D260105</t>
  </si>
  <si>
    <t>FDR-ERTIGA18MU</t>
  </si>
  <si>
    <t xml:space="preserve">Raymond </t>
  </si>
  <si>
    <t>+62 896-8899-8928</t>
  </si>
  <si>
    <t>D260106</t>
  </si>
  <si>
    <t>+62 858-8139-3963</t>
  </si>
  <si>
    <t xml:space="preserve">A 1709 AG </t>
  </si>
  <si>
    <t>D260107</t>
  </si>
  <si>
    <t>TRW-AL10XYG</t>
  </si>
  <si>
    <t>Jusuf Wibisana</t>
  </si>
  <si>
    <t>+62 811-958-590</t>
  </si>
  <si>
    <t>D260108</t>
  </si>
  <si>
    <t>+62 895-4055-82491</t>
  </si>
  <si>
    <t>B260170</t>
  </si>
  <si>
    <t>LFW-W202XYG</t>
  </si>
  <si>
    <t>D260109</t>
  </si>
  <si>
    <t>LFW-E46XYG</t>
  </si>
  <si>
    <t>Habiby</t>
  </si>
  <si>
    <t>+62 813-1688-9158</t>
  </si>
  <si>
    <t>B 2478 DK</t>
  </si>
  <si>
    <t>D260110</t>
  </si>
  <si>
    <t>Trw-terios06hholexyg</t>
  </si>
  <si>
    <t>Any</t>
  </si>
  <si>
    <t>0821 2499 5661</t>
  </si>
  <si>
    <t>D260111</t>
  </si>
  <si>
    <t>Arfan</t>
  </si>
  <si>
    <t>+62 813-1424-2002</t>
  </si>
  <si>
    <t>D260112</t>
  </si>
  <si>
    <t>Usup</t>
  </si>
  <si>
    <t>+62 817-7669-6286</t>
  </si>
  <si>
    <t>D260113</t>
  </si>
  <si>
    <t>TRW-VIOS02XYG</t>
  </si>
  <si>
    <t xml:space="preserve">UDIN </t>
  </si>
  <si>
    <t>62 877-7179-4489</t>
  </si>
  <si>
    <t xml:space="preserve">B  1207 WBH </t>
  </si>
  <si>
    <t>D260114</t>
  </si>
  <si>
    <t>+62 877-8813-4288</t>
  </si>
  <si>
    <t>B 2880 TYA</t>
  </si>
  <si>
    <t>D260115</t>
  </si>
  <si>
    <t xml:space="preserve">Reza </t>
  </si>
  <si>
    <t>D260116</t>
  </si>
  <si>
    <t>Sugiarto</t>
  </si>
  <si>
    <t>+62 851-0120-3020</t>
  </si>
  <si>
    <t>B 1185 AR</t>
  </si>
  <si>
    <t>D260117</t>
  </si>
  <si>
    <t>+62 812-8278-6940</t>
  </si>
  <si>
    <t>B 2181 VVO</t>
  </si>
  <si>
    <t>D260118</t>
  </si>
  <si>
    <t>Robertus mulyadi</t>
  </si>
  <si>
    <t>+62 811-956-998</t>
  </si>
  <si>
    <t>B 1688 PW</t>
  </si>
  <si>
    <t>D260119</t>
  </si>
  <si>
    <t>RDR-ALPHARD15BLACKFR</t>
  </si>
  <si>
    <t>Basar</t>
  </si>
  <si>
    <t>+62 813-1237-0033</t>
  </si>
  <si>
    <t>F 1368 CB</t>
  </si>
  <si>
    <t>D260120</t>
  </si>
  <si>
    <t>Jack</t>
  </si>
  <si>
    <t>+62 813-1621-1688</t>
  </si>
  <si>
    <t>B 1108 JVF</t>
  </si>
  <si>
    <t>D260121</t>
  </si>
  <si>
    <t>Abe</t>
  </si>
  <si>
    <t>+62 821-1945-329</t>
  </si>
  <si>
    <t>B 1747 COG</t>
  </si>
  <si>
    <t>D260122</t>
  </si>
  <si>
    <t>+62 812-9035-4795</t>
  </si>
  <si>
    <t>B 1421 JVA</t>
  </si>
  <si>
    <t>D260123</t>
  </si>
  <si>
    <t>Inge</t>
  </si>
  <si>
    <t>+62 817-732-818</t>
  </si>
  <si>
    <t>B 2413 STF</t>
  </si>
  <si>
    <t>D260124</t>
  </si>
  <si>
    <t>cipta ismaya kusumah</t>
  </si>
  <si>
    <t>+62 813-1720-8167</t>
  </si>
  <si>
    <t>D260125</t>
  </si>
  <si>
    <t>Pak kodim</t>
  </si>
  <si>
    <t>+62 821-1179-7177</t>
  </si>
  <si>
    <t>D260126</t>
  </si>
  <si>
    <t>LFD-ESCALADE07XYG</t>
  </si>
  <si>
    <t>D260127</t>
  </si>
  <si>
    <t>Bapak Rizal</t>
  </si>
  <si>
    <t>+62 895-2011-8899</t>
  </si>
  <si>
    <t>B 1851 CZE</t>
  </si>
  <si>
    <t>D260128</t>
  </si>
  <si>
    <t>TRW-ATTO1XYG</t>
  </si>
  <si>
    <t>YOGA</t>
  </si>
  <si>
    <t>+62 857-7702-0055</t>
  </si>
  <si>
    <t>D260129</t>
  </si>
  <si>
    <t>+62 858-1000-8154</t>
  </si>
  <si>
    <t>FDL-VOXY17NSG</t>
  </si>
  <si>
    <t>D260130</t>
  </si>
  <si>
    <t>Pak Budi</t>
  </si>
  <si>
    <t>+62 812-8012-312</t>
  </si>
  <si>
    <t>B 2993 SYE</t>
  </si>
  <si>
    <t>D260131</t>
  </si>
  <si>
    <t>LFW-RAIZERSXYG</t>
  </si>
  <si>
    <t>Doni</t>
  </si>
  <si>
    <t>+62 877-0550-9139</t>
  </si>
  <si>
    <t>B 1796 WID</t>
  </si>
  <si>
    <t>D260132</t>
  </si>
  <si>
    <t>Yanto</t>
  </si>
  <si>
    <t>+62 859-5992-2494</t>
  </si>
  <si>
    <t>A 9905 VA</t>
  </si>
  <si>
    <t>D260133</t>
  </si>
  <si>
    <t>Vito</t>
  </si>
  <si>
    <t>B 1962 JYE</t>
  </si>
  <si>
    <t>D260134</t>
  </si>
  <si>
    <t>D 1853 AK</t>
  </si>
  <si>
    <t>D260135</t>
  </si>
  <si>
    <t>+62 811-872-432</t>
  </si>
  <si>
    <t>B 1709 NOF</t>
  </si>
  <si>
    <t>D260136</t>
  </si>
  <si>
    <t>FDR-XU30XYG</t>
  </si>
  <si>
    <t>+62 851-8307-1624</t>
  </si>
  <si>
    <t>B 2936 SXL</t>
  </si>
  <si>
    <t>D260137</t>
  </si>
  <si>
    <t>Pak Adi</t>
  </si>
  <si>
    <t>+62 813-8019-8784</t>
  </si>
  <si>
    <t>D260138</t>
  </si>
  <si>
    <t>D260139</t>
  </si>
  <si>
    <t>+62 877-7421-8973</t>
  </si>
  <si>
    <t>B 1294 HFZ</t>
  </si>
  <si>
    <t>D260140</t>
  </si>
  <si>
    <t>Buntian</t>
  </si>
  <si>
    <t>+62 877-7392-5569</t>
  </si>
  <si>
    <t xml:space="preserve">B 8158 EL </t>
  </si>
  <si>
    <t>D260141</t>
  </si>
  <si>
    <t>LFW-MUXXYG</t>
  </si>
  <si>
    <t>Aulia Mandiri Otopartsjember</t>
  </si>
  <si>
    <t xml:space="preserve">+62 852-0387-7196 </t>
  </si>
  <si>
    <t>D260142</t>
  </si>
  <si>
    <t>TRW-MAZDA209XYG</t>
  </si>
  <si>
    <t>Hervina</t>
  </si>
  <si>
    <t>+62 838-0470-5858</t>
  </si>
  <si>
    <t xml:space="preserve">B 1954 BYU </t>
  </si>
  <si>
    <t>D260143</t>
  </si>
  <si>
    <t>SWR-EVEREST06XYG</t>
  </si>
  <si>
    <t>tommy</t>
  </si>
  <si>
    <t>D260144</t>
  </si>
  <si>
    <t>Alfian</t>
  </si>
  <si>
    <t>62 896-5497-0699</t>
  </si>
  <si>
    <t xml:space="preserve">B 1237 SME </t>
  </si>
  <si>
    <t>D260145</t>
  </si>
  <si>
    <t>LFW-SEALIONXYG</t>
  </si>
  <si>
    <t>D260146</t>
  </si>
  <si>
    <t>Yudi</t>
  </si>
  <si>
    <t>+62 812-2199-5659</t>
  </si>
  <si>
    <t>B 1006 PJB</t>
  </si>
  <si>
    <t>D260147</t>
  </si>
  <si>
    <t>LFW-GELORAXYG</t>
  </si>
  <si>
    <t>Eko</t>
  </si>
  <si>
    <t>+62 811-8383-881</t>
  </si>
  <si>
    <t xml:space="preserve">B 1485 PNO </t>
  </si>
  <si>
    <t>D260148</t>
  </si>
  <si>
    <t>yoga</t>
  </si>
  <si>
    <t>+62 857-1536-2263</t>
  </si>
  <si>
    <t xml:space="preserve">B 2127 TJB </t>
  </si>
  <si>
    <t>D260149</t>
  </si>
  <si>
    <t xml:space="preserve">Pak Arief </t>
  </si>
  <si>
    <t xml:space="preserve"> +62 812-8278-6940</t>
  </si>
  <si>
    <t>D260150</t>
  </si>
  <si>
    <t>Andriyeza</t>
  </si>
  <si>
    <t>+62 895-4026-28662</t>
  </si>
  <si>
    <t>B 2643 CD</t>
  </si>
  <si>
    <t>D260151</t>
  </si>
  <si>
    <t>Pak Warpi</t>
  </si>
  <si>
    <t>+62 858-1305-6757</t>
  </si>
  <si>
    <t>B 9199 BAY</t>
  </si>
  <si>
    <t>D260152</t>
  </si>
  <si>
    <t>+62 812-2216-6985</t>
  </si>
  <si>
    <t>B 9029 BAU</t>
  </si>
  <si>
    <t>D260153</t>
  </si>
  <si>
    <t>D260154</t>
  </si>
  <si>
    <t>Leo</t>
  </si>
  <si>
    <t>+62 851-9551-0888</t>
  </si>
  <si>
    <t>D260155</t>
  </si>
  <si>
    <t>+62 896-6473-2162</t>
  </si>
  <si>
    <t>B 9413 NRU</t>
  </si>
  <si>
    <t>D260156</t>
  </si>
  <si>
    <t>MUhammad Nur Al Hadi</t>
  </si>
  <si>
    <t>+62 822-3088-1428</t>
  </si>
  <si>
    <t>B 1315 SJL</t>
  </si>
  <si>
    <t>D260157</t>
  </si>
  <si>
    <t>Ragum</t>
  </si>
  <si>
    <t>+62 811-9956-809</t>
  </si>
  <si>
    <t>B 9268 NCE</t>
  </si>
  <si>
    <t xml:space="preserve">                </t>
  </si>
  <si>
    <t>SJTGRC260018</t>
  </si>
  <si>
    <t>D260158</t>
  </si>
  <si>
    <t>D260159</t>
  </si>
  <si>
    <t>RDL-SIENTAAGC</t>
  </si>
  <si>
    <t>Mulya</t>
  </si>
  <si>
    <t>+62 858-1004-5727</t>
  </si>
  <si>
    <t>D260160</t>
  </si>
  <si>
    <t>Edwin Siregar</t>
  </si>
  <si>
    <t>+62 813-2997-2889</t>
  </si>
  <si>
    <t>B 1107 WZF</t>
  </si>
  <si>
    <t>D260161</t>
  </si>
  <si>
    <t>Redy Setyo Hariyatmoko</t>
  </si>
  <si>
    <t>+62 811-7177-625</t>
  </si>
  <si>
    <t>BN 1332 VA</t>
  </si>
  <si>
    <t>D260162</t>
  </si>
  <si>
    <t>+62 882-1189-4966</t>
  </si>
  <si>
    <t>B 9043 PDF</t>
  </si>
  <si>
    <t>D260163</t>
  </si>
  <si>
    <t>LFW-C28XYG</t>
  </si>
  <si>
    <t>Eko Hardiyanto</t>
  </si>
  <si>
    <t>+62 815-7416-5160</t>
  </si>
  <si>
    <t>B 1808 DZL</t>
  </si>
  <si>
    <t>D260164</t>
  </si>
  <si>
    <t>RDL-BRV22ASH</t>
  </si>
  <si>
    <t>Satria Dwi Kusuma</t>
  </si>
  <si>
    <t>62 812-8771-8773</t>
  </si>
  <si>
    <t>B 1189 JFW</t>
  </si>
  <si>
    <t>D260165</t>
  </si>
  <si>
    <t>LFW-L200DOUBLEXYG</t>
  </si>
  <si>
    <t>Nirmandez</t>
  </si>
  <si>
    <t>+62 811-860-981</t>
  </si>
  <si>
    <t>BG 9252 AH</t>
  </si>
  <si>
    <t>D260166</t>
  </si>
  <si>
    <t>Dhea Trisnaya</t>
  </si>
  <si>
    <t>+62 813-8678-1425</t>
  </si>
  <si>
    <t>D260167</t>
  </si>
  <si>
    <t>Melissa</t>
  </si>
  <si>
    <t>+62 813-8605-9107</t>
  </si>
  <si>
    <t>SENTRA AUTOGLASS TANGERANG</t>
  </si>
  <si>
    <t>Tanggal</t>
  </si>
  <si>
    <t>Ruko Permata Niaga II No. 17, Taman Royal I, Tanah Tinggi, Kota Tangerang 15119</t>
  </si>
  <si>
    <t>Kepada Yth.</t>
  </si>
  <si>
    <t>(+62) 81288009878 |  (+62) 81281161200</t>
  </si>
  <si>
    <t>NOTA PENJUALAN</t>
  </si>
  <si>
    <t>NO POL</t>
  </si>
  <si>
    <t>No</t>
  </si>
  <si>
    <t>Nama Barang</t>
  </si>
  <si>
    <t>Qty</t>
  </si>
  <si>
    <t>Harga Satuan</t>
  </si>
  <si>
    <t>FDL-VOXY17AGC</t>
  </si>
  <si>
    <t>x</t>
  </si>
  <si>
    <t>BCA 5781177611 an Adrian Kurniawan</t>
  </si>
  <si>
    <t>TOTAL</t>
  </si>
  <si>
    <t>DP</t>
  </si>
  <si>
    <t>Kaca yang sudah dipesan/dipasang
tidak dapat dibatalkan/dikembalikan. Tidak ada garansi kaca.</t>
  </si>
  <si>
    <t>DISKON</t>
  </si>
  <si>
    <t>NETTO</t>
  </si>
  <si>
    <t>Ket</t>
  </si>
  <si>
    <t>Trust the Experts, Drive Safer and Clearer</t>
  </si>
  <si>
    <t>Tanda Terima Pembayaran</t>
  </si>
  <si>
    <t>NO</t>
  </si>
  <si>
    <t>PENJUALAN</t>
  </si>
  <si>
    <t>NOMINAL</t>
  </si>
  <si>
    <t>Tanda Jadi D260113 TRW-VIOS02XYG</t>
  </si>
  <si>
    <t>Tangerang, 18 April 2026</t>
  </si>
  <si>
    <t>Iko/Reza</t>
  </si>
  <si>
    <t>Honda BR-V 22- 2nd Gen</t>
  </si>
  <si>
    <t>Automotive Film Standard - Black 60%</t>
  </si>
  <si>
    <t>Hormat Kami,</t>
  </si>
  <si>
    <t>Visca</t>
  </si>
  <si>
    <t xml:space="preserve">Toyota Sienta 15- </t>
  </si>
  <si>
    <t xml:space="preserve">DP 50% </t>
  </si>
  <si>
    <t>Hyundai santa Fe 18-23 (thn 21-23) (2 Sensor / /\ O)</t>
  </si>
  <si>
    <t>dikki</t>
  </si>
  <si>
    <t>+62 819-3813-788;</t>
  </si>
  <si>
    <t>INVOICE PENJUALAN</t>
  </si>
  <si>
    <t>Kaca yang sudah dipesan/dipasang
tidak dapat dibatalkan/dikembalikan.</t>
  </si>
  <si>
    <t>SISA</t>
  </si>
  <si>
    <t xml:space="preserve">Tangerang                </t>
  </si>
  <si>
    <t>(Plaza Auto Cipta)</t>
  </si>
  <si>
    <t>PROFORMA INVOICE</t>
  </si>
  <si>
    <t>PI</t>
  </si>
  <si>
    <t>TGRB01888</t>
  </si>
  <si>
    <t>Windshield / Kaca Depan
Subaru Forester 2.0i-S EyeSight AWD CVT 2024
JF1SK7KL5RG212291</t>
  </si>
  <si>
    <t>Pembayaran : BCA 5781177611 an Adrian Kurniawan</t>
  </si>
  <si>
    <t>Keterangan</t>
  </si>
  <si>
    <t>- Produk yang ditawarkan merupakan Genuine / Original Automotive Glass berlogo resmi, disesuaikan berdasarkan VIN kendaraan untuk memastikan kesesuaian part.
- Validitas penawaran berlaku selama 7 (tujuh) hari sejak tanggal surat ini diterbitkan.
- Metode Pembayaran : Tunai</t>
  </si>
  <si>
    <t>Periode 1–7 Maret</t>
  </si>
  <si>
    <t>Fokus Mingguan</t>
  </si>
  <si>
    <t>Tanggung Jawab Utama</t>
  </si>
  <si>
    <t>🟢 Finance &amp; Reporting</t>
  </si>
  <si>
    <t>Cash, petty cash, laporan</t>
  </si>
  <si>
    <t>🔵 Marketing &amp; Customer</t>
  </si>
  <si>
    <t>Konten, follow up, review</t>
  </si>
  <si>
    <t>Amel</t>
  </si>
  <si>
    <t>🟡 Operasional &amp; Inventory</t>
  </si>
  <si>
    <t>Toolbox, stok, koordinasi teknisi</t>
  </si>
  <si>
    <t>Periode 8–14 Maret</t>
  </si>
  <si>
    <t>Periode 15–21 Maret</t>
  </si>
  <si>
    <t>Periode 25-31 Maret</t>
  </si>
  <si>
    <t>Job Desc Tiap Role</t>
  </si>
  <si>
    <t>Tanggung Jawab</t>
  </si>
  <si>
    <t>Laporan</t>
  </si>
  <si>
    <t>Kontrol</t>
  </si>
  <si>
    <t xml:space="preserve">🟢 Finance </t>
  </si>
  <si>
    <t>💰 Cash &amp; Keuangan
- Terima uang cash dari customer
- Input petty cash
- Cocokkan total nota vs uang masuk
- Simpan uang di dompet kas dengan rapi</t>
  </si>
  <si>
    <t>- Buat laporan penjualan harian
- Buat laporan pembelian barang
- Kirim laporan ke atasan sebelum tutup
- Setor uang kasir</t>
  </si>
  <si>
    <t>- Pastikan tidak ada nota yang belum masuk sistem
- Pastikan selisih kas = 0</t>
  </si>
  <si>
    <t>📦 Inventory
- Cek toolbox dengan teknisi setiap pagi/sore
- Catat pengambilan inventory
- Pastikan stok fast moving aman
- Laporkan jika ada stok menipis
- Selalu paling update posisi tim dan kondisi tim
- Membuat SJ dan input barang datang/keluar
- Pengecekan barang masuk/keluar
- Pastikan barang pembelian sesuai fisik
- Cek dokumentasi pemasangan (before-after)
- Pengecekan SPK</t>
  </si>
  <si>
    <t xml:space="preserve">🔧 Koordinasi Teknis
- Update kebutuhan teknisi
- Update tugas teknisi
</t>
  </si>
  <si>
    <t>📱 Konten &amp; Sosial Media
- Upload story WA status setiap hari
- Upload story Instagram setiap hari
- Posting kegiatan cabang
💬 Customer
- Follow up customer pending
- Balas DM dan chat (PIC Utama)
- Ingatkan customer untuk kasih review</t>
  </si>
  <si>
    <t>⭐ Review Target
Rekap review harian
Pastikan tidak ada hari kosong tanpa review</t>
  </si>
  <si>
    <t>POS KAS</t>
  </si>
  <si>
    <t>Debit</t>
  </si>
  <si>
    <t>Kredit</t>
  </si>
  <si>
    <t>Sisa</t>
  </si>
  <si>
    <t>Input by</t>
  </si>
  <si>
    <t>Terima uang</t>
  </si>
  <si>
    <t>Cek</t>
  </si>
  <si>
    <t>Transportasi</t>
  </si>
  <si>
    <t>Perlengkapan Workshop</t>
  </si>
  <si>
    <t>Administrasi &amp; Kantor , Inventory</t>
  </si>
  <si>
    <t>Konsumsi</t>
  </si>
  <si>
    <t>Perawatan Fasilitas</t>
  </si>
  <si>
    <t>Biaya Tak terduga</t>
  </si>
  <si>
    <t xml:space="preserve">Uang Masuk </t>
  </si>
  <si>
    <t>THARINA</t>
  </si>
  <si>
    <t>Perlengkapan Workshop - TB SURYA</t>
  </si>
  <si>
    <t>Paku 3kg</t>
  </si>
  <si>
    <t>Tharina</t>
  </si>
  <si>
    <t>ko Rian</t>
  </si>
  <si>
    <t>Perlengkapan Workshop - Lucky Seven</t>
  </si>
  <si>
    <t>Galon atas</t>
  </si>
  <si>
    <t>Guntur</t>
  </si>
  <si>
    <t>Perlengkapan Workshop - Yupiter</t>
  </si>
  <si>
    <t>Galon bawah</t>
  </si>
  <si>
    <t>Parkir saat home service</t>
  </si>
  <si>
    <t>2 lokasi (Rp 5.000 dan Rp 4.000)</t>
  </si>
  <si>
    <t>Pavel</t>
  </si>
  <si>
    <t>Perlengkapan workshop - Indomaret</t>
  </si>
  <si>
    <t>Shampoo</t>
  </si>
  <si>
    <t>Sabun</t>
  </si>
  <si>
    <t>Perlengkapan workshop - Mobil</t>
  </si>
  <si>
    <t>Bensin</t>
  </si>
  <si>
    <t>Uang masuk</t>
  </si>
  <si>
    <t>Gojek send</t>
  </si>
  <si>
    <t>LMB ke TGR</t>
  </si>
  <si>
    <t>Gojek</t>
  </si>
  <si>
    <t>Gocar send</t>
  </si>
  <si>
    <t>BGI ke TGR</t>
  </si>
  <si>
    <t>Gocar</t>
  </si>
  <si>
    <t>Perlengkapan workshop - Talago</t>
  </si>
  <si>
    <t>HVS 1 rim</t>
  </si>
  <si>
    <t>Yansyah</t>
  </si>
  <si>
    <t>Perlengkapan workshop - Motor</t>
  </si>
  <si>
    <t>Benerin rante</t>
  </si>
  <si>
    <t>Perlengkapan Workshop - Indomaret</t>
  </si>
  <si>
    <t>Prostek</t>
  </si>
  <si>
    <t>MOS ke TGR</t>
  </si>
  <si>
    <t>Galon</t>
  </si>
  <si>
    <t>TGR ke BKS</t>
  </si>
  <si>
    <t>Perlengkapan workshop - Epoxy</t>
  </si>
  <si>
    <t>TB Surya</t>
  </si>
  <si>
    <t>Lalamove Van Kaca Evalia</t>
  </si>
  <si>
    <t>Uang Masuk</t>
  </si>
  <si>
    <t>E-toll</t>
  </si>
  <si>
    <t>Ko rian</t>
  </si>
  <si>
    <t>ko rian</t>
  </si>
  <si>
    <t>Teknisi hari minggu</t>
  </si>
  <si>
    <t>Teknisi</t>
  </si>
  <si>
    <t>Perlengkapan workshop - kebersihan</t>
  </si>
  <si>
    <t>Super Pel</t>
  </si>
  <si>
    <t>Perlengkapan Workshop - Wellpack Tangerang</t>
  </si>
  <si>
    <t>Bubble wrap</t>
  </si>
  <si>
    <t>Uang Tips Teknisi</t>
  </si>
  <si>
    <t xml:space="preserve">Cs Kasih Uang Tips Ke teknisi </t>
  </si>
  <si>
    <t>Refund uang customer</t>
  </si>
  <si>
    <t>RDR-ALTIS</t>
  </si>
  <si>
    <t>Tarina</t>
  </si>
  <si>
    <t xml:space="preserve">Refund </t>
  </si>
  <si>
    <t xml:space="preserve">MOS KE TGR </t>
  </si>
  <si>
    <t xml:space="preserve">Uang masuk </t>
  </si>
  <si>
    <t>mery</t>
  </si>
  <si>
    <t>Ganti uang kasir</t>
  </si>
  <si>
    <t>Terpakai untuk gojek</t>
  </si>
  <si>
    <t>Perlengkapan Workshop - Biru</t>
  </si>
  <si>
    <t>yayan</t>
  </si>
  <si>
    <t>Lmb-tgr</t>
  </si>
  <si>
    <t>Ganti Ban Motor</t>
  </si>
  <si>
    <t>Ban motor 2pcs, depan dan belakang</t>
  </si>
  <si>
    <t>Gosend</t>
  </si>
  <si>
    <t>Jankrik alphard agung sm dimas</t>
  </si>
  <si>
    <t xml:space="preserve">Galon atas, 2 </t>
  </si>
  <si>
    <t>bensin motor thar</t>
  </si>
  <si>
    <t>bensin motor bekasi</t>
  </si>
  <si>
    <t>Uang masuk : ini uang dari tgl 30/10. dimasukin 300k spya gk minus nnti. tapi uang yg ada sesuai</t>
  </si>
  <si>
    <t>gosend mobil</t>
  </si>
  <si>
    <t>pavel</t>
  </si>
  <si>
    <t>e-toll</t>
  </si>
  <si>
    <t>Bensin Mobil</t>
  </si>
  <si>
    <t>Ganti cash uang di bank ko rian</t>
  </si>
  <si>
    <t>guntur</t>
  </si>
  <si>
    <t>Sunligt untuk cuci mobil</t>
  </si>
  <si>
    <t>Bensin Motor</t>
  </si>
  <si>
    <t>etoll</t>
  </si>
  <si>
    <t>Perlengkapan workshop</t>
  </si>
  <si>
    <t>jas ujan</t>
  </si>
  <si>
    <t>dimas</t>
  </si>
  <si>
    <t>Jankrik</t>
  </si>
  <si>
    <t>Jangkrik</t>
  </si>
  <si>
    <t xml:space="preserve">toll </t>
  </si>
  <si>
    <t>toll gocar kirim nano</t>
  </si>
  <si>
    <t>Perlengkapan Workshop - Motor</t>
  </si>
  <si>
    <t>Perlengkapan Workshop-Mobil</t>
  </si>
  <si>
    <t>Etoll</t>
  </si>
  <si>
    <t>Bensin Motor thari</t>
  </si>
  <si>
    <t>tharina</t>
  </si>
  <si>
    <t>Kembalikan uang kasir</t>
  </si>
  <si>
    <t>Gojek kirim kaca</t>
  </si>
  <si>
    <t>mose ke tgr</t>
  </si>
  <si>
    <t>gojek</t>
  </si>
  <si>
    <t>galon atas</t>
  </si>
  <si>
    <t>bensin</t>
  </si>
  <si>
    <t>Kirim part elgrand</t>
  </si>
  <si>
    <t>JNE YES</t>
  </si>
  <si>
    <t>yansyah</t>
  </si>
  <si>
    <t>gosend mose ke tgr</t>
  </si>
  <si>
    <t>Perlengkapan Workshop-Motor</t>
  </si>
  <si>
    <t>Cash Masuk</t>
  </si>
  <si>
    <t>Bensin Mobil pick up</t>
  </si>
  <si>
    <t>Beli fischer 1 pak</t>
  </si>
  <si>
    <t>linggis</t>
  </si>
  <si>
    <t>agung</t>
  </si>
  <si>
    <t>galon bawah</t>
  </si>
  <si>
    <t>uang masuk</t>
  </si>
  <si>
    <t>ke TB</t>
  </si>
  <si>
    <t>talago beli hvs</t>
  </si>
  <si>
    <t>Perlengkapan Workshop - mobil</t>
  </si>
  <si>
    <t>Perlengkapan Workshop - motor</t>
  </si>
  <si>
    <t>karung</t>
  </si>
  <si>
    <t>Perlengkapan Workshop - p3k</t>
  </si>
  <si>
    <t>green medica royal</t>
  </si>
  <si>
    <t>bubble warp</t>
  </si>
  <si>
    <t>Gosend kirim kaca</t>
  </si>
  <si>
    <t>bgi ke tgr</t>
  </si>
  <si>
    <t>gosend</t>
  </si>
  <si>
    <t>lmb ke tgrr</t>
  </si>
  <si>
    <t>duplikat kunci ruko along</t>
  </si>
  <si>
    <t>bensin motor</t>
  </si>
  <si>
    <t>bensin mobil</t>
  </si>
  <si>
    <t>Perlengkapan Workshop - TB surya</t>
  </si>
  <si>
    <t>paku 5kg</t>
  </si>
  <si>
    <t>isi angin bks</t>
  </si>
  <si>
    <t>bensin thar</t>
  </si>
  <si>
    <t>Retinol</t>
  </si>
  <si>
    <t>Masker</t>
  </si>
  <si>
    <t>shinta</t>
  </si>
  <si>
    <t>Aqua galon</t>
  </si>
  <si>
    <t>Bensin mobil</t>
  </si>
  <si>
    <t>dila</t>
  </si>
  <si>
    <t>vixion</t>
  </si>
  <si>
    <t>beli makan</t>
  </si>
  <si>
    <t>anak" pas turunin kaca</t>
  </si>
  <si>
    <t>Beli minum</t>
  </si>
  <si>
    <t>bumbu shabu-shabu</t>
  </si>
  <si>
    <t>beli bumbu</t>
  </si>
  <si>
    <t>beli indomaret</t>
  </si>
  <si>
    <t>boncabe</t>
  </si>
  <si>
    <t>spirte, coco cola, bumbu bbq</t>
  </si>
  <si>
    <t>beli piring plastik</t>
  </si>
  <si>
    <t>gelas sm mangkok plastik</t>
  </si>
  <si>
    <t>bahan makanan lainnya</t>
  </si>
  <si>
    <t>sambel, garem, sayuran, dll</t>
  </si>
  <si>
    <t>TB Sinar Bangunan</t>
  </si>
  <si>
    <t>kikir</t>
  </si>
  <si>
    <t>TB SURYA</t>
  </si>
  <si>
    <t>tali rafia</t>
  </si>
  <si>
    <t>air putih teknisi</t>
  </si>
  <si>
    <t>air galon</t>
  </si>
  <si>
    <t>jen kirim invoice ke pt gunung inti gemilang</t>
  </si>
  <si>
    <t>Yayan</t>
  </si>
  <si>
    <t>Februari 2026</t>
  </si>
  <si>
    <t>setor</t>
  </si>
  <si>
    <t>putri</t>
  </si>
  <si>
    <t>ok</t>
  </si>
  <si>
    <t>Parkir (apartetemen teluk intan)</t>
  </si>
  <si>
    <t>Perlengkapan</t>
  </si>
  <si>
    <t>Meteran (MR. D.I.Y)</t>
  </si>
  <si>
    <t xml:space="preserve">Gosen </t>
  </si>
  <si>
    <t>Bensin Mobil (SPBU taman royal)</t>
  </si>
  <si>
    <t>Indomaret</t>
  </si>
  <si>
    <t>P3K (gedung indomaret)</t>
  </si>
  <si>
    <t>Kantor</t>
  </si>
  <si>
    <t>Materai</t>
  </si>
  <si>
    <t>Amplop Paperline 90</t>
  </si>
  <si>
    <t>kantor</t>
  </si>
  <si>
    <t xml:space="preserve">kantor </t>
  </si>
  <si>
    <t>Kape dodot</t>
  </si>
  <si>
    <t>Mata Gerinda (TB.Sinar Bangunan)</t>
  </si>
  <si>
    <t>jangkrik</t>
  </si>
  <si>
    <t>lfw brio</t>
  </si>
  <si>
    <t>agung dkk</t>
  </si>
  <si>
    <t>stempel lunas + tgl</t>
  </si>
  <si>
    <t>JNE</t>
  </si>
  <si>
    <t>gojek dr jkt</t>
  </si>
  <si>
    <t>konsumsi</t>
  </si>
  <si>
    <t>perlengkapan workshop</t>
  </si>
  <si>
    <t>kape dodot</t>
  </si>
  <si>
    <t>ka agug</t>
  </si>
  <si>
    <t>lakban bening</t>
  </si>
  <si>
    <t>ka agung</t>
  </si>
  <si>
    <t>transportasi</t>
  </si>
  <si>
    <t>gosend trw-ertiga18agc</t>
  </si>
  <si>
    <t>ka guntur</t>
  </si>
  <si>
    <t xml:space="preserve">bensin mobil </t>
  </si>
  <si>
    <t xml:space="preserve">ka dimas </t>
  </si>
  <si>
    <t xml:space="preserve">jangkrik </t>
  </si>
  <si>
    <t>ambil kaca fdr-e46</t>
  </si>
  <si>
    <t>ka agung &amp; ka guntur</t>
  </si>
  <si>
    <t>ka agung &amp; ka yayan</t>
  </si>
  <si>
    <t>perawatan fasilitas</t>
  </si>
  <si>
    <t xml:space="preserve">benerin rantai </t>
  </si>
  <si>
    <t xml:space="preserve">ko rian </t>
  </si>
  <si>
    <t>swl-ertiga18agc &amp; rvl-sigra16ash</t>
  </si>
  <si>
    <t>abang gojek</t>
  </si>
  <si>
    <t xml:space="preserve">kertas A4 1rim </t>
  </si>
  <si>
    <t xml:space="preserve">bayar parkir </t>
  </si>
  <si>
    <t xml:space="preserve">kembalian </t>
  </si>
  <si>
    <t>BENSIN</t>
  </si>
  <si>
    <t>ambil dari setoran</t>
  </si>
  <si>
    <t>tol</t>
  </si>
  <si>
    <t xml:space="preserve">visca </t>
  </si>
  <si>
    <t xml:space="preserve">ka agung </t>
  </si>
  <si>
    <t xml:space="preserve">air galon </t>
  </si>
  <si>
    <t>KO rian</t>
  </si>
  <si>
    <t xml:space="preserve">lakban kertas </t>
  </si>
  <si>
    <t xml:space="preserve">bensin motor </t>
  </si>
  <si>
    <t xml:space="preserve">air minum </t>
  </si>
  <si>
    <t xml:space="preserve">gojek </t>
  </si>
  <si>
    <t>lfw-mazda214rs1xyg</t>
  </si>
  <si>
    <t>ka dimas</t>
  </si>
  <si>
    <t>kembalian</t>
  </si>
  <si>
    <t xml:space="preserve">lfw-apvmu </t>
  </si>
  <si>
    <t>kak guntur</t>
  </si>
  <si>
    <t>beli bubble wrap</t>
  </si>
  <si>
    <t>lfw-crv05xyg, trw-ignisxyg</t>
  </si>
  <si>
    <t>lfw-pajero16</t>
  </si>
  <si>
    <t xml:space="preserve">biaya tak terduga </t>
  </si>
  <si>
    <t>surprise karyawan</t>
  </si>
  <si>
    <t>baterai</t>
  </si>
  <si>
    <t>perlngkapan workshop</t>
  </si>
  <si>
    <t>paku</t>
  </si>
  <si>
    <t>ka ian</t>
  </si>
  <si>
    <t>kir</t>
  </si>
  <si>
    <t>tarik tunai</t>
  </si>
  <si>
    <t xml:space="preserve">transportasi </t>
  </si>
  <si>
    <t>air cleo</t>
  </si>
  <si>
    <t>kembali uang sentra biaya admin topup bank etol</t>
  </si>
  <si>
    <t>tali tambang</t>
  </si>
  <si>
    <t>Uang kembali</t>
  </si>
  <si>
    <t>lfw-apvxyg</t>
  </si>
  <si>
    <t xml:space="preserve">uang masuk </t>
  </si>
  <si>
    <t>lalamove</t>
  </si>
  <si>
    <t>list city, dan vios</t>
  </si>
  <si>
    <t>parkir samsat</t>
  </si>
  <si>
    <t xml:space="preserve">ka yayan </t>
  </si>
  <si>
    <t>materai</t>
  </si>
  <si>
    <t xml:space="preserve">kir </t>
  </si>
  <si>
    <t>Cuci 2 unit ac</t>
  </si>
  <si>
    <t xml:space="preserve">Ko rian </t>
  </si>
  <si>
    <t>Ko alvin</t>
  </si>
  <si>
    <t>Tips teknisi AC</t>
  </si>
  <si>
    <t>trw-innova04hxyg</t>
  </si>
  <si>
    <t>vicsa</t>
  </si>
  <si>
    <t>uang kembali</t>
  </si>
  <si>
    <t>pembelian uang es</t>
  </si>
  <si>
    <t>poh mata pisau kayu</t>
  </si>
  <si>
    <t>transoportasi</t>
  </si>
  <si>
    <t xml:space="preserve">ka guntur </t>
  </si>
  <si>
    <t>perlengkepan workshop</t>
  </si>
  <si>
    <t>TRW-jukefur</t>
  </si>
  <si>
    <t>LAPORAN KAS TUNAI CABANG TANGERANG</t>
  </si>
  <si>
    <t>Saldo Awal</t>
  </si>
  <si>
    <t>Cash Keluar</t>
  </si>
  <si>
    <t>Setoran</t>
  </si>
  <si>
    <t>Saldo Akhir</t>
  </si>
  <si>
    <t>Selisih</t>
  </si>
  <si>
    <t>Setor ke</t>
  </si>
  <si>
    <t>Diterima oleh</t>
  </si>
  <si>
    <t>Done setor bank</t>
  </si>
  <si>
    <t>rian</t>
  </si>
  <si>
    <t>sudah trf</t>
  </si>
  <si>
    <t xml:space="preserve">sudah trf </t>
  </si>
  <si>
    <t>Sudah TRF</t>
  </si>
  <si>
    <t>Petty Cash</t>
  </si>
  <si>
    <t>SUP</t>
  </si>
  <si>
    <t>Harga</t>
  </si>
  <si>
    <t>Total Harga</t>
  </si>
  <si>
    <t>Hutang</t>
  </si>
  <si>
    <t>Jatuh Tempo</t>
  </si>
  <si>
    <t>Bayar?</t>
  </si>
  <si>
    <t>Kode Sistem</t>
  </si>
  <si>
    <t>BGI</t>
  </si>
  <si>
    <t>OK</t>
  </si>
  <si>
    <t>BCP2025C000019</t>
  </si>
  <si>
    <t>MJD</t>
  </si>
  <si>
    <t>FDR-INNOVA15ASH</t>
  </si>
  <si>
    <t>BCP2025C000026</t>
  </si>
  <si>
    <t>BCP2025C000027</t>
  </si>
  <si>
    <t>BCP2025C000031</t>
  </si>
  <si>
    <t>BCP2025C000034</t>
  </si>
  <si>
    <t>AG-R2503000072</t>
  </si>
  <si>
    <t>AG</t>
  </si>
  <si>
    <t>SI2025C000114</t>
  </si>
  <si>
    <t>BKS</t>
  </si>
  <si>
    <t>BCP2025C000047</t>
  </si>
  <si>
    <t>BCP2025C000054</t>
  </si>
  <si>
    <t>DA250301510</t>
  </si>
  <si>
    <t>OCS</t>
  </si>
  <si>
    <t>BCP2025C000065</t>
  </si>
  <si>
    <t>ALG</t>
  </si>
  <si>
    <t>MOS-200325</t>
  </si>
  <si>
    <t>MOS</t>
  </si>
  <si>
    <t>BCP2025C000072</t>
  </si>
  <si>
    <t>BCP2025C000077</t>
  </si>
  <si>
    <t>MOS-220325</t>
  </si>
  <si>
    <t>BCP2025C000094</t>
  </si>
  <si>
    <t>BY-240325</t>
  </si>
  <si>
    <t>PEGANGAN SLING</t>
  </si>
  <si>
    <t>TUSUKAN SLING</t>
  </si>
  <si>
    <t>SLING BY</t>
  </si>
  <si>
    <t>MEJA KACA</t>
  </si>
  <si>
    <t>DA250302182</t>
  </si>
  <si>
    <t>BCP2025D000023</t>
  </si>
  <si>
    <t>BCP2025D000028</t>
  </si>
  <si>
    <t>BY-030325</t>
  </si>
  <si>
    <t>PRIMER 10ML</t>
  </si>
  <si>
    <t>REFILL KAPE BY</t>
  </si>
  <si>
    <t>KAPE KAYU</t>
  </si>
  <si>
    <t>BCP2025D000038</t>
  </si>
  <si>
    <t>BCP2025D000041</t>
  </si>
  <si>
    <t>BCP2025C000110</t>
  </si>
  <si>
    <t>BCP2025D000057</t>
  </si>
  <si>
    <t>BCP2025D000085</t>
  </si>
  <si>
    <t>MOS-170425</t>
  </si>
  <si>
    <t>MOS-190425</t>
  </si>
  <si>
    <t>BCP2025D000073</t>
  </si>
  <si>
    <t>BCP2025D000080</t>
  </si>
  <si>
    <t>BCP2025D000089</t>
  </si>
  <si>
    <t>BCP2025D000112</t>
  </si>
  <si>
    <t>BCP2025E000007</t>
  </si>
  <si>
    <t>BCP2025E000019</t>
  </si>
  <si>
    <t>SJBKS250013</t>
  </si>
  <si>
    <t>SJBKS250012</t>
  </si>
  <si>
    <t>SJBKS250009</t>
  </si>
  <si>
    <t>SJBKS250008</t>
  </si>
  <si>
    <t>BY-300425</t>
  </si>
  <si>
    <t>LAKBAN KUNING KECIL</t>
  </si>
  <si>
    <t>BCP2025E000038</t>
  </si>
  <si>
    <t>FDR-JAZZ07ASH</t>
  </si>
  <si>
    <t>BCP2025E000043</t>
  </si>
  <si>
    <t>BCP2025E000050</t>
  </si>
  <si>
    <t>MOS-140525</t>
  </si>
  <si>
    <t>BCP2025E000058</t>
  </si>
  <si>
    <t>Ko iyan</t>
  </si>
  <si>
    <t>BCP2025E000060</t>
  </si>
  <si>
    <t>BCP2025E000069</t>
  </si>
  <si>
    <t>BCP2025E000071</t>
  </si>
  <si>
    <t>BCP2025E000074</t>
  </si>
  <si>
    <t>SJBKS250018</t>
  </si>
  <si>
    <t>BCP2025E000098</t>
  </si>
  <si>
    <t>TF BCA 388</t>
  </si>
  <si>
    <t>BCP2025E000122</t>
  </si>
  <si>
    <t>SJBKS250019</t>
  </si>
  <si>
    <t>SJBKS250020</t>
  </si>
  <si>
    <t>SJBKS250021</t>
  </si>
  <si>
    <t>SJBKS250022</t>
  </si>
  <si>
    <t>SI2025F000006</t>
  </si>
  <si>
    <t>OTH-PACKINGDUS</t>
  </si>
  <si>
    <t>BCP2025E000120</t>
  </si>
  <si>
    <t>BCP2025F000010</t>
  </si>
  <si>
    <t>SJBKS250023</t>
  </si>
  <si>
    <t>BCP2025F000021</t>
  </si>
  <si>
    <t>SJBKS250024</t>
  </si>
  <si>
    <t>BCP2025F000024</t>
  </si>
  <si>
    <t>SI2024L000118</t>
  </si>
  <si>
    <t>07/06/25 - 148.280</t>
  </si>
  <si>
    <t>SO-ALG</t>
  </si>
  <si>
    <t>BCP2025F000033</t>
  </si>
  <si>
    <t>BCP2025F000038</t>
  </si>
  <si>
    <t>SJBKS250026</t>
  </si>
  <si>
    <t>BCP2025F000045</t>
  </si>
  <si>
    <t>BCP2025F000049</t>
  </si>
  <si>
    <t>BCP2025F000055</t>
  </si>
  <si>
    <t>DA250600589/SO250503479</t>
  </si>
  <si>
    <t>BCP2025F000059</t>
  </si>
  <si>
    <t>BCP2025F000067</t>
  </si>
  <si>
    <t>BCP2025F000070</t>
  </si>
  <si>
    <t>SJBKS250030</t>
  </si>
  <si>
    <t>BCP2025F000087</t>
  </si>
  <si>
    <t>BCP2025F000089</t>
  </si>
  <si>
    <t>BCP2025F000097</t>
  </si>
  <si>
    <t>BCP2025F000111</t>
  </si>
  <si>
    <t>SJBKS250031</t>
  </si>
  <si>
    <t>SJBKS250033</t>
  </si>
  <si>
    <t>BCP2025F000115</t>
  </si>
  <si>
    <t>SJBKS250034</t>
  </si>
  <si>
    <t>BCP2025F000117</t>
  </si>
  <si>
    <t>KO RIAN</t>
  </si>
  <si>
    <t>BCP2025G00005</t>
  </si>
  <si>
    <t>BCP2025G00013</t>
  </si>
  <si>
    <t>SJBKS250037</t>
  </si>
  <si>
    <t>BCP2025G000018</t>
  </si>
  <si>
    <t>BCP2025G000023</t>
  </si>
  <si>
    <t>BCP2025G000028</t>
  </si>
  <si>
    <t>BCP2025G000035</t>
  </si>
  <si>
    <t>BCP2025G000040</t>
  </si>
  <si>
    <t>BCP2025G000054</t>
  </si>
  <si>
    <t>SI2025G000093</t>
  </si>
  <si>
    <t>SI2025G000077</t>
  </si>
  <si>
    <t>BCP2025G000061</t>
  </si>
  <si>
    <t>BCP2025G000066</t>
  </si>
  <si>
    <t>BCP2025G000074</t>
  </si>
  <si>
    <t>LFW-AUDIB808XYG</t>
  </si>
  <si>
    <t>LFW-ACCORD13RSXYG</t>
  </si>
  <si>
    <t>LMB-170725</t>
  </si>
  <si>
    <t>H2025071800031</t>
  </si>
  <si>
    <t>H2025071800032</t>
  </si>
  <si>
    <t>BCP2025G000089</t>
  </si>
  <si>
    <t>LMB-190725</t>
  </si>
  <si>
    <t>H2025071900001</t>
  </si>
  <si>
    <t>INSGR2501327</t>
  </si>
  <si>
    <t>BCP2025G000094</t>
  </si>
  <si>
    <t>H2025072200004</t>
  </si>
  <si>
    <t>FDR-BRIO10AGC</t>
  </si>
  <si>
    <t>SJBKS250038</t>
  </si>
  <si>
    <t>INSGR2501329</t>
  </si>
  <si>
    <t>BCP2025G000107</t>
  </si>
  <si>
    <t>H2025072300016</t>
  </si>
  <si>
    <t>INSGR2501344</t>
  </si>
  <si>
    <t>H2025072400009</t>
  </si>
  <si>
    <t>H2025072400028</t>
  </si>
  <si>
    <t>BCP2025G000115</t>
  </si>
  <si>
    <t>TRW-FORTUNER15BLACKXYG</t>
  </si>
  <si>
    <t>BCP2025G000118</t>
  </si>
  <si>
    <t>BCP2025G000119</t>
  </si>
  <si>
    <t>BCP2025G000127</t>
  </si>
  <si>
    <t>BCP2025G000123</t>
  </si>
  <si>
    <t>SJBKS250040</t>
  </si>
  <si>
    <t>FKM-260725</t>
  </si>
  <si>
    <t>FKM</t>
  </si>
  <si>
    <t xml:space="preserve">BCP2025G000130 </t>
  </si>
  <si>
    <t>BY-280725</t>
  </si>
  <si>
    <t>LAKBAN KUNING BESAR</t>
  </si>
  <si>
    <t>LMB-280725</t>
  </si>
  <si>
    <t>BCP2025G0000141</t>
  </si>
  <si>
    <t>LMB-290725</t>
  </si>
  <si>
    <t>TRW-CONFEROHHOLEXYG</t>
  </si>
  <si>
    <t>SO250703472/DA250701800</t>
  </si>
  <si>
    <t>LIST PLASTIK KANAN SANTA FE</t>
  </si>
  <si>
    <t>05/08/25 LUNAS 745,000</t>
  </si>
  <si>
    <t>TRW-PICANTO11XYG</t>
  </si>
  <si>
    <t>LFW-CIVIC16RSXYG</t>
  </si>
  <si>
    <t>H202507300001</t>
  </si>
  <si>
    <t>MOS-31072025</t>
  </si>
  <si>
    <t>NP-250824279</t>
  </si>
  <si>
    <t>PJM</t>
  </si>
  <si>
    <t>H2025073100014</t>
  </si>
  <si>
    <t>H2025080100002</t>
  </si>
  <si>
    <t>TRW-CITY19AGC</t>
  </si>
  <si>
    <t>H2025080100014</t>
  </si>
  <si>
    <t>BCP2025H000002</t>
  </si>
  <si>
    <t>BCP2025H000010</t>
  </si>
  <si>
    <t>H2025080400004</t>
  </si>
  <si>
    <t>H2025080400019</t>
  </si>
  <si>
    <t>BCP2025H000014</t>
  </si>
  <si>
    <t>H2025080500001</t>
  </si>
  <si>
    <t>AG-R2508000033</t>
  </si>
  <si>
    <t>BCP2025H000019</t>
  </si>
  <si>
    <t>LMB-060825</t>
  </si>
  <si>
    <t>SJBKS250042</t>
  </si>
  <si>
    <t>H2025080600005</t>
  </si>
  <si>
    <t>H2025080600015</t>
  </si>
  <si>
    <t>RDR-CITY02TSG</t>
  </si>
  <si>
    <t>RDL-CITY02TSG</t>
  </si>
  <si>
    <t>BCP2025H000024</t>
  </si>
  <si>
    <t>H2025080700001</t>
  </si>
  <si>
    <t>TRW-WRV23AGC</t>
  </si>
  <si>
    <t>H2025080800015</t>
  </si>
  <si>
    <t>BCP2025H000028</t>
  </si>
  <si>
    <t>BCP2025H000049</t>
  </si>
  <si>
    <t>H2025080900022</t>
  </si>
  <si>
    <t>SJBKS250043</t>
  </si>
  <si>
    <t>H2025081100003</t>
  </si>
  <si>
    <t>KO IYAN</t>
  </si>
  <si>
    <t>BCP2025H000055</t>
  </si>
  <si>
    <t>H2025081200007</t>
  </si>
  <si>
    <t>H2025081200013</t>
  </si>
  <si>
    <t>BCP2025H000060</t>
  </si>
  <si>
    <t>BCP2025H000061</t>
  </si>
  <si>
    <t>H2025081300007</t>
  </si>
  <si>
    <t>617/08</t>
  </si>
  <si>
    <t>MBO</t>
  </si>
  <si>
    <t>BCP2025H000068</t>
  </si>
  <si>
    <t>ko IYAN</t>
  </si>
  <si>
    <t>H2025081400008</t>
  </si>
  <si>
    <t>JLRS2025084072</t>
  </si>
  <si>
    <t>RES</t>
  </si>
  <si>
    <t>ACTIVATOR</t>
  </si>
  <si>
    <t>H2025081500008</t>
  </si>
  <si>
    <t>H2025081600001</t>
  </si>
  <si>
    <t>SJBKS250044</t>
  </si>
  <si>
    <t>H2025081600008</t>
  </si>
  <si>
    <t>BCP2025H000076</t>
  </si>
  <si>
    <t>FKM-160825</t>
  </si>
  <si>
    <t>H2025081800015</t>
  </si>
  <si>
    <t>BCP2025H000086</t>
  </si>
  <si>
    <t>H2025082000007</t>
  </si>
  <si>
    <t>H2025082100003</t>
  </si>
  <si>
    <t>H2025082200004</t>
  </si>
  <si>
    <t>H2025082200001</t>
  </si>
  <si>
    <t>0014</t>
  </si>
  <si>
    <t>AG-R2508000206</t>
  </si>
  <si>
    <t>MOS-260825</t>
  </si>
  <si>
    <t>H2025082600013</t>
  </si>
  <si>
    <t>SJH250003</t>
  </si>
  <si>
    <t>SJH250004</t>
  </si>
  <si>
    <t>SJH250006</t>
  </si>
  <si>
    <t>FDR-FE700ASH</t>
  </si>
  <si>
    <t>SJH250007</t>
  </si>
  <si>
    <t>RDR-ERTIGA12ASH</t>
  </si>
  <si>
    <t>RDL-GRANMAXASH</t>
  </si>
  <si>
    <t>FDR-RUSH17ASH</t>
  </si>
  <si>
    <t>RVL-AGYA13ASH</t>
  </si>
  <si>
    <t>FDL-KUDAASH</t>
  </si>
  <si>
    <t>FDL-CARRYASH</t>
  </si>
  <si>
    <t>0006</t>
  </si>
  <si>
    <t xml:space="preserve">TF 388 </t>
  </si>
  <si>
    <t>LMB-220825</t>
  </si>
  <si>
    <t>LMB-250825</t>
  </si>
  <si>
    <t>INSGR2501696</t>
  </si>
  <si>
    <t>H2025082800004</t>
  </si>
  <si>
    <t>H2025082800009</t>
  </si>
  <si>
    <t>MOS-290825</t>
  </si>
  <si>
    <t>LMB-280825</t>
  </si>
  <si>
    <t>0030</t>
  </si>
  <si>
    <t>LMB-300825</t>
  </si>
  <si>
    <t>0035</t>
  </si>
  <si>
    <t>SJBKS250046</t>
  </si>
  <si>
    <t>NP-250928068</t>
  </si>
  <si>
    <t>H2025090100006</t>
  </si>
  <si>
    <t>H2025090200003</t>
  </si>
  <si>
    <t>H2025090200011</t>
  </si>
  <si>
    <t>H2025090300003</t>
  </si>
  <si>
    <t>H2025090300004</t>
  </si>
  <si>
    <t>H2025090200004</t>
  </si>
  <si>
    <t>H2025090300005</t>
  </si>
  <si>
    <t>MOS-020925</t>
  </si>
  <si>
    <t>LMB-040925</t>
  </si>
  <si>
    <t>H2025090400009</t>
  </si>
  <si>
    <t>RDR-FREEDAGC</t>
  </si>
  <si>
    <t>NP-250929225</t>
  </si>
  <si>
    <t>0065</t>
  </si>
  <si>
    <t>580277590301312277</t>
  </si>
  <si>
    <t>SBJ</t>
  </si>
  <si>
    <t>BY-090925</t>
  </si>
  <si>
    <t xml:space="preserve">KOP POMPA HIJAU </t>
  </si>
  <si>
    <t>KOP TELEPON</t>
  </si>
  <si>
    <t>GUN ELECTRIC 600ML</t>
  </si>
  <si>
    <t>NP-250928964</t>
  </si>
  <si>
    <t>SWR-INNOVA15HTMAGC</t>
  </si>
  <si>
    <t>H2025090800001</t>
  </si>
  <si>
    <t>H2025090800003</t>
  </si>
  <si>
    <t>H2025090900010</t>
  </si>
  <si>
    <t>H2025090900003</t>
  </si>
  <si>
    <t>H2025091000014</t>
  </si>
  <si>
    <t>H2025091000013</t>
  </si>
  <si>
    <t>LMB-110925</t>
  </si>
  <si>
    <t>H2025091100004</t>
  </si>
  <si>
    <t>01812</t>
  </si>
  <si>
    <t>0076</t>
  </si>
  <si>
    <t>INSGR2501533</t>
  </si>
  <si>
    <t>FILM-SGBP</t>
  </si>
  <si>
    <t>SJBKS250048</t>
  </si>
  <si>
    <t>0084</t>
  </si>
  <si>
    <t>H2025091300014</t>
  </si>
  <si>
    <t>TRW-YARIS23AGC</t>
  </si>
  <si>
    <t>15/11/25</t>
  </si>
  <si>
    <t>BY-150925</t>
  </si>
  <si>
    <t>OTH-SERSSGBY</t>
  </si>
  <si>
    <t>H2025091500015</t>
  </si>
  <si>
    <t>RDL-MOBILIOAGC</t>
  </si>
  <si>
    <t>0091</t>
  </si>
  <si>
    <t>0095</t>
  </si>
  <si>
    <t>0100</t>
  </si>
  <si>
    <t>H2025091800015</t>
  </si>
  <si>
    <t>FDL-AVANZA21AGC</t>
  </si>
  <si>
    <t>FDR-AVANZA21AGC</t>
  </si>
  <si>
    <t>RDR-YARIS13AGC</t>
  </si>
  <si>
    <t>RDL-YARIS13AGC</t>
  </si>
  <si>
    <t>LMB-200925</t>
  </si>
  <si>
    <t>SJBKS250050</t>
  </si>
  <si>
    <t>0120</t>
  </si>
  <si>
    <t>BY-230925</t>
  </si>
  <si>
    <t>PRIMER</t>
  </si>
  <si>
    <t>H2025092300019</t>
  </si>
  <si>
    <t>H2025092400015</t>
  </si>
  <si>
    <t>LMB-240925</t>
  </si>
  <si>
    <t>0125</t>
  </si>
  <si>
    <t>LMB-250925</t>
  </si>
  <si>
    <t>H2025092500014</t>
  </si>
  <si>
    <t>TRW-INNOVA22AGC</t>
  </si>
  <si>
    <t>INSGR2502019</t>
  </si>
  <si>
    <t>BY-260925</t>
  </si>
  <si>
    <t>0139</t>
  </si>
  <si>
    <t>0142</t>
  </si>
  <si>
    <t>SJBKS250051</t>
  </si>
  <si>
    <t>KOIYAN</t>
  </si>
  <si>
    <t>SWL-INNOVA15ASH</t>
  </si>
  <si>
    <t>MOS-011025</t>
  </si>
  <si>
    <t>LMB-011025</t>
  </si>
  <si>
    <t>0152</t>
  </si>
  <si>
    <t>BY-031025</t>
  </si>
  <si>
    <t>CUP SOSIS</t>
  </si>
  <si>
    <t>LFW-CX5GEN1XYG</t>
  </si>
  <si>
    <t>LMB-031025</t>
  </si>
  <si>
    <t>RDR-LIVINA07ASH</t>
  </si>
  <si>
    <t>MOS-061025</t>
  </si>
  <si>
    <t>thar</t>
  </si>
  <si>
    <t>0182</t>
  </si>
  <si>
    <t>SJBKS250053</t>
  </si>
  <si>
    <t>H2025101000023</t>
  </si>
  <si>
    <t>SJBKS250054</t>
  </si>
  <si>
    <t>MOS-131025</t>
  </si>
  <si>
    <t>0207</t>
  </si>
  <si>
    <t>H2025101500008</t>
  </si>
  <si>
    <t>H2025101600001</t>
  </si>
  <si>
    <t>01806</t>
  </si>
  <si>
    <t>LMB-171025</t>
  </si>
  <si>
    <t>01811</t>
  </si>
  <si>
    <t>01816</t>
  </si>
  <si>
    <t>LFW-CRV02FY</t>
  </si>
  <si>
    <t>01819</t>
  </si>
  <si>
    <t>H2025102100006</t>
  </si>
  <si>
    <t>H2025102100002</t>
  </si>
  <si>
    <t>01820</t>
  </si>
  <si>
    <t>LMB-231025</t>
  </si>
  <si>
    <t>01826</t>
  </si>
  <si>
    <t>01831</t>
  </si>
  <si>
    <t>H2025102400002</t>
  </si>
  <si>
    <t>01832</t>
  </si>
  <si>
    <t>01837</t>
  </si>
  <si>
    <t>01850</t>
  </si>
  <si>
    <t>01905</t>
  </si>
  <si>
    <t>??</t>
  </si>
  <si>
    <t>01906</t>
  </si>
  <si>
    <t>01911</t>
  </si>
  <si>
    <t>01908</t>
  </si>
  <si>
    <t>SJBKS250059</t>
  </si>
  <si>
    <t>01918</t>
  </si>
  <si>
    <t>SJBKS250060</t>
  </si>
  <si>
    <t>01919</t>
  </si>
  <si>
    <t>01927</t>
  </si>
  <si>
    <t>H2025110300009</t>
  </si>
  <si>
    <t>BY-041125</t>
  </si>
  <si>
    <t>INSGR2502347</t>
  </si>
  <si>
    <t>01937</t>
  </si>
  <si>
    <t>01940</t>
  </si>
  <si>
    <t>TF 611</t>
  </si>
  <si>
    <t>01942</t>
  </si>
  <si>
    <t>01945</t>
  </si>
  <si>
    <t>SJH250001</t>
  </si>
  <si>
    <t>002559</t>
  </si>
  <si>
    <t>002563</t>
  </si>
  <si>
    <t>INSGR2502405</t>
  </si>
  <si>
    <t>01932</t>
  </si>
  <si>
    <t>002567</t>
  </si>
  <si>
    <t>002571</t>
  </si>
  <si>
    <t>H2025111300010</t>
  </si>
  <si>
    <t>002576</t>
  </si>
  <si>
    <t>002577</t>
  </si>
  <si>
    <t>H2025111400015</t>
  </si>
  <si>
    <t>H2025111400006</t>
  </si>
  <si>
    <t>SJBKS250061</t>
  </si>
  <si>
    <t>MOS-181125</t>
  </si>
  <si>
    <t>TF 7611</t>
  </si>
  <si>
    <t>002585</t>
  </si>
  <si>
    <t>NP-251138139</t>
  </si>
  <si>
    <t>TF 321 4,500,000 23/10/25
TF 611 4,500,000 19/11/25</t>
  </si>
  <si>
    <t>002590</t>
  </si>
  <si>
    <t>002589</t>
  </si>
  <si>
    <t>LFW-PAJERO16RS1XYG</t>
  </si>
  <si>
    <t>MOS-21112025</t>
  </si>
  <si>
    <t>BY-211125</t>
  </si>
  <si>
    <t>002594</t>
  </si>
  <si>
    <t>INSGR2502237</t>
  </si>
  <si>
    <t>JLRS2025115882</t>
  </si>
  <si>
    <t>H2025112400003</t>
  </si>
  <si>
    <t>ko RIAN</t>
  </si>
  <si>
    <t>SI2025K000111</t>
  </si>
  <si>
    <t>Ko RIAN</t>
  </si>
  <si>
    <t>BY-281025</t>
  </si>
  <si>
    <t>ALAT TARUH KACA</t>
  </si>
  <si>
    <t>PRIMER 250ML</t>
  </si>
  <si>
    <t>BY-261125</t>
  </si>
  <si>
    <t>SELING</t>
  </si>
  <si>
    <t>H2025112900010</t>
  </si>
  <si>
    <t>H2025112900001</t>
  </si>
  <si>
    <t>MOS-01122025</t>
  </si>
  <si>
    <t>H2025120200004</t>
  </si>
  <si>
    <t>SI2025L000008</t>
  </si>
  <si>
    <t>JLRS2025126101</t>
  </si>
  <si>
    <t>SIKA SOSIS</t>
  </si>
  <si>
    <t>SI2025L000013</t>
  </si>
  <si>
    <t>H2025120500006</t>
  </si>
  <si>
    <t>SI2025L000020</t>
  </si>
  <si>
    <t>SI2025L000028</t>
  </si>
  <si>
    <t>MOS-06122025</t>
  </si>
  <si>
    <t>SI2025L000031</t>
  </si>
  <si>
    <t>SI2025L000044</t>
  </si>
  <si>
    <t>LMB-09122025</t>
  </si>
  <si>
    <t>H2025120900018</t>
  </si>
  <si>
    <t>H2025121200013</t>
  </si>
  <si>
    <t>H2025121300005</t>
  </si>
  <si>
    <t>SI2025L000073</t>
  </si>
  <si>
    <t>SI2025L000072</t>
  </si>
  <si>
    <t>SI2025L000067</t>
  </si>
  <si>
    <t>SI2025L0000077/002603</t>
  </si>
  <si>
    <t>SI2025L000085</t>
  </si>
  <si>
    <t>SI2025L000082</t>
  </si>
  <si>
    <t>BY-151225</t>
  </si>
  <si>
    <t>SJBKS250063</t>
  </si>
  <si>
    <t>SI2025L000093</t>
  </si>
  <si>
    <t>H2025121600013</t>
  </si>
  <si>
    <t>SWL-PAJERO16AGC</t>
  </si>
  <si>
    <t>SWR-PAJERO16AGC</t>
  </si>
  <si>
    <t>H2025121700006</t>
  </si>
  <si>
    <t>SI2025L000088</t>
  </si>
  <si>
    <t>PI.POP.2512.000453</t>
  </si>
  <si>
    <t>DFSK</t>
  </si>
  <si>
    <t>SI2025L000109</t>
  </si>
  <si>
    <t>H2025121900010</t>
  </si>
  <si>
    <t>H2025122000003</t>
  </si>
  <si>
    <t>SI2025L000138</t>
  </si>
  <si>
    <t>H2025122300005</t>
  </si>
  <si>
    <t>02/03/26
10/04/26 - 2,378,508 kurang bayar</t>
  </si>
  <si>
    <t>SI2025L000142</t>
  </si>
  <si>
    <t>SI2025L000150</t>
  </si>
  <si>
    <t>H2025122600003</t>
  </si>
  <si>
    <t>SJBKS250065</t>
  </si>
  <si>
    <t>SJ2512981</t>
  </si>
  <si>
    <t>BGI/BKS</t>
  </si>
  <si>
    <t>LFW-PALISADE23XYG</t>
  </si>
  <si>
    <t>H2025122900003</t>
  </si>
  <si>
    <t>NP-251242951</t>
  </si>
  <si>
    <t>NP-251242949</t>
  </si>
  <si>
    <t>TRW-E46FY</t>
  </si>
  <si>
    <t>SI2026A000007</t>
  </si>
  <si>
    <t>MOS-03012026</t>
  </si>
  <si>
    <t>CHE</t>
  </si>
  <si>
    <t>SI2026A000024</t>
  </si>
  <si>
    <t>BY-050126</t>
  </si>
  <si>
    <t>SOSIS BY</t>
  </si>
  <si>
    <t>SI2026A000023</t>
  </si>
  <si>
    <t>H2026010300010</t>
  </si>
  <si>
    <t>SPIV-TBS/N/11/25/00009</t>
  </si>
  <si>
    <t>WWI</t>
  </si>
  <si>
    <t>CAP ELGRAND DAHSBOARD BAGASI</t>
  </si>
  <si>
    <t>SJBKSA250001</t>
  </si>
  <si>
    <t>INSGR2502852</t>
  </si>
  <si>
    <t>INSGR2502922</t>
  </si>
  <si>
    <t>SI2026A000034</t>
  </si>
  <si>
    <t>SI2026A000036</t>
  </si>
  <si>
    <t>SI2026A000045</t>
  </si>
  <si>
    <t>PI.POP.2512.000475</t>
  </si>
  <si>
    <t>SI2026A000047</t>
  </si>
  <si>
    <t>SJBKSA260002</t>
  </si>
  <si>
    <t>SI2026A000051</t>
  </si>
  <si>
    <t>H2026011200001</t>
  </si>
  <si>
    <t>NP-260100786</t>
  </si>
  <si>
    <t>SI2026A000057</t>
  </si>
  <si>
    <t>SI2026A000060</t>
  </si>
  <si>
    <t>SI2026A000065</t>
  </si>
  <si>
    <t>SJBKSA260003</t>
  </si>
  <si>
    <t>H2026011400002</t>
  </si>
  <si>
    <t>SI2026A000071</t>
  </si>
  <si>
    <t>SI2026A000074</t>
  </si>
  <si>
    <t>SI2026A000077</t>
  </si>
  <si>
    <t>SI2026A000084</t>
  </si>
  <si>
    <t>SI2026A000079</t>
  </si>
  <si>
    <t>SI2026A000092</t>
  </si>
  <si>
    <t>SI2026A000098</t>
  </si>
  <si>
    <t>LFW-EVO3MU</t>
  </si>
  <si>
    <t>SI2026A000111</t>
  </si>
  <si>
    <t>INVKR2600031</t>
  </si>
  <si>
    <t>SI2026A000115</t>
  </si>
  <si>
    <t>H2026012300010</t>
  </si>
  <si>
    <t>NP-260101950</t>
  </si>
  <si>
    <t>TRW-INNOVA04HAGC</t>
  </si>
  <si>
    <t>NP-260102255</t>
  </si>
  <si>
    <t>MJD26A180</t>
  </si>
  <si>
    <t>MJD26A189</t>
  </si>
  <si>
    <t>MJD26A196</t>
  </si>
  <si>
    <t>MJD26A206</t>
  </si>
  <si>
    <t>MJD26A211</t>
  </si>
  <si>
    <t>SJBKSA260004</t>
  </si>
  <si>
    <t>MJD26A217</t>
  </si>
  <si>
    <t>MJD26A219</t>
  </si>
  <si>
    <t>NP-260102976</t>
  </si>
  <si>
    <t>NP-260102782</t>
  </si>
  <si>
    <t>H2026013000009</t>
  </si>
  <si>
    <t>TRW-JAZZ13AGC</t>
  </si>
  <si>
    <t>MOS-30012026</t>
  </si>
  <si>
    <t>MJD26A235</t>
  </si>
  <si>
    <t>MJD26B002</t>
  </si>
  <si>
    <t>MJD26B011</t>
  </si>
  <si>
    <t>LMB-02022026</t>
  </si>
  <si>
    <t>NP-260203723</t>
  </si>
  <si>
    <t>SWR-INNOVA22AGC</t>
  </si>
  <si>
    <t>SWL-INNOVA22AGC</t>
  </si>
  <si>
    <t>KO Rian</t>
  </si>
  <si>
    <t>SJBKS260001</t>
  </si>
  <si>
    <t>SWR-INNOVA04ASH</t>
  </si>
  <si>
    <t>MJD26B015</t>
  </si>
  <si>
    <t>SKBB014</t>
  </si>
  <si>
    <t>LFW-PAJERO08XYG</t>
  </si>
  <si>
    <t>H2026020400004</t>
  </si>
  <si>
    <t>LMB-050226</t>
  </si>
  <si>
    <t>MJD26B031</t>
  </si>
  <si>
    <t>H2026020600002</t>
  </si>
  <si>
    <t>H2026020600003</t>
  </si>
  <si>
    <t>MJD26B036</t>
  </si>
  <si>
    <t>LMB-070226</t>
  </si>
  <si>
    <t>MJD26B023</t>
  </si>
  <si>
    <t>BY-090226</t>
  </si>
  <si>
    <t>GUN ELECTRIC</t>
  </si>
  <si>
    <t>AKTIVATOR  250ML</t>
  </si>
  <si>
    <t>DA260200450</t>
  </si>
  <si>
    <t>NP-260204024</t>
  </si>
  <si>
    <t>DA260200569</t>
  </si>
  <si>
    <t>RDR-C26XYG</t>
  </si>
  <si>
    <t>MJD26B059</t>
  </si>
  <si>
    <t>DA260200545</t>
  </si>
  <si>
    <t>TRW-CORTEZXYG</t>
  </si>
  <si>
    <t>MJD26B071</t>
  </si>
  <si>
    <t>H2026021300005</t>
  </si>
  <si>
    <t>RDR-CITY19AGC</t>
  </si>
  <si>
    <t>RDL-CITY19AGC</t>
  </si>
  <si>
    <t>H2026021300018</t>
  </si>
  <si>
    <t>MOS-14022026</t>
  </si>
  <si>
    <t>MJD26B053</t>
  </si>
  <si>
    <t>MJD26B072</t>
  </si>
  <si>
    <t>BY-140226</t>
  </si>
  <si>
    <t>SOSIS</t>
  </si>
  <si>
    <t>KAPE TUSUK</t>
  </si>
  <si>
    <t>LFW-SPLASHXYG</t>
  </si>
  <si>
    <t>H2026021600003</t>
  </si>
  <si>
    <t>MJD26B096</t>
  </si>
  <si>
    <t>NP-260204956</t>
  </si>
  <si>
    <t>FDL-RUSH17AGC</t>
  </si>
  <si>
    <t>MJD26B098</t>
  </si>
  <si>
    <t>NP-260205347</t>
  </si>
  <si>
    <t>FDR-RAIZEAGC</t>
  </si>
  <si>
    <t>FDL-RAIZEAGC</t>
  </si>
  <si>
    <t>RDR-RAIZEAGC</t>
  </si>
  <si>
    <t>RDL-RAIZEAGC</t>
  </si>
  <si>
    <t>MJD26B104</t>
  </si>
  <si>
    <t>INSGR2600254</t>
  </si>
  <si>
    <t>H2026022000019</t>
  </si>
  <si>
    <t>TRW-HRV14AGC</t>
  </si>
  <si>
    <t>FDR-HRV22AGC</t>
  </si>
  <si>
    <t>FDL-HRV22AGC</t>
  </si>
  <si>
    <t>RDR-HRV22AGC</t>
  </si>
  <si>
    <t>H2026022000018</t>
  </si>
  <si>
    <t>FDR-MOBILIOAGC</t>
  </si>
  <si>
    <t>RDR-BRV22AGC</t>
  </si>
  <si>
    <t>MJD26B115</t>
  </si>
  <si>
    <t>MJD26B124</t>
  </si>
  <si>
    <t>H2026022300012</t>
  </si>
  <si>
    <t>TRW-BRV16AGC</t>
  </si>
  <si>
    <t>FDL-MOBILIOAGC</t>
  </si>
  <si>
    <t>MJD26B130</t>
  </si>
  <si>
    <t>NP-260205934</t>
  </si>
  <si>
    <t>SWR-FORTUNER15AGC</t>
  </si>
  <si>
    <t>SWL-FORTUNER15AGC</t>
  </si>
  <si>
    <t>RVR-FORTUNER15AGC</t>
  </si>
  <si>
    <t>RVL-FORTUNER15AGC</t>
  </si>
  <si>
    <t>SJBKSB260006</t>
  </si>
  <si>
    <t>FDR-FUSOPGS</t>
  </si>
  <si>
    <t>INSGR2600275</t>
  </si>
  <si>
    <t>DA260201164</t>
  </si>
  <si>
    <t>SWL-XPANDERCHAGC</t>
  </si>
  <si>
    <t>SWR-XPANDERCHAGC</t>
  </si>
  <si>
    <t>LFW-XFORCERSADMU</t>
  </si>
  <si>
    <t>H2026022400015</t>
  </si>
  <si>
    <t>FKM-25022026</t>
  </si>
  <si>
    <t>MJD26B136</t>
  </si>
  <si>
    <t>MJD26B141</t>
  </si>
  <si>
    <t>H2026022600003</t>
  </si>
  <si>
    <t>H2026022600007</t>
  </si>
  <si>
    <t>MJD26B149</t>
  </si>
  <si>
    <t>MJD26B153</t>
  </si>
  <si>
    <t>MJD26B163</t>
  </si>
  <si>
    <t>LMB-27022026</t>
  </si>
  <si>
    <t>MJD26B158</t>
  </si>
  <si>
    <t>MJD26B160</t>
  </si>
  <si>
    <t>MJD26B162</t>
  </si>
  <si>
    <t>H2026022800003</t>
  </si>
  <si>
    <t>NP-260206531</t>
  </si>
  <si>
    <t>SWL-INNOVA15HTMAGC</t>
  </si>
  <si>
    <t xml:space="preserve">BGI </t>
  </si>
  <si>
    <t>MJD26C009</t>
  </si>
  <si>
    <t>MJD26C015</t>
  </si>
  <si>
    <t>BY-030326</t>
  </si>
  <si>
    <t>BENANG AUTO</t>
  </si>
  <si>
    <t>SJBKSC260001</t>
  </si>
  <si>
    <t>NP-260307073</t>
  </si>
  <si>
    <t>MJD26C013</t>
  </si>
  <si>
    <t>MJD26C014</t>
  </si>
  <si>
    <t>SJBKSD260002</t>
  </si>
  <si>
    <t>MOS-05032026</t>
  </si>
  <si>
    <t>NP-260307201</t>
  </si>
  <si>
    <t>NP-260307345</t>
  </si>
  <si>
    <t>LFW-FORTUNER05AGC</t>
  </si>
  <si>
    <t>H2026030500002</t>
  </si>
  <si>
    <t>SWL-BRV22AGC</t>
  </si>
  <si>
    <t>H2026030500019</t>
  </si>
  <si>
    <t>MJD26C035</t>
  </si>
  <si>
    <t>ONGKIR BUS</t>
  </si>
  <si>
    <t>MJD26C036</t>
  </si>
  <si>
    <t>FDL-T31XYG</t>
  </si>
  <si>
    <t>JLR52026031439</t>
  </si>
  <si>
    <t>SJBKSC260002</t>
  </si>
  <si>
    <t>MJD26C042</t>
  </si>
  <si>
    <t>MJD26C041</t>
  </si>
  <si>
    <t>MJD26C050</t>
  </si>
  <si>
    <t>MJD26C055</t>
  </si>
  <si>
    <t>MJD26C057</t>
  </si>
  <si>
    <t>MJD26C061</t>
  </si>
  <si>
    <t>MJD26C063</t>
  </si>
  <si>
    <t>MJD26C056</t>
  </si>
  <si>
    <t>H2026030900007</t>
  </si>
  <si>
    <t>M202603006</t>
  </si>
  <si>
    <t>OTH-SEROTO</t>
  </si>
  <si>
    <t>MJD26C076</t>
  </si>
  <si>
    <t>KLIK-11032026</t>
  </si>
  <si>
    <t>KLIK</t>
  </si>
  <si>
    <t>MJD26C067</t>
  </si>
  <si>
    <t>INSGR2600392</t>
  </si>
  <si>
    <t>MJD26C068</t>
  </si>
  <si>
    <t>MOS-12032026</t>
  </si>
  <si>
    <t>H2026031200017</t>
  </si>
  <si>
    <t>FDL-BRV22AGC</t>
  </si>
  <si>
    <t>DA260300865 / SO260301504</t>
  </si>
  <si>
    <t>MJD26C090</t>
  </si>
  <si>
    <t>FDL-LOUHANMU</t>
  </si>
  <si>
    <t>FDR-LOUHANMU</t>
  </si>
  <si>
    <t>MJD26C100</t>
  </si>
  <si>
    <t>MJD26C107</t>
  </si>
  <si>
    <t>MOS-16032026</t>
  </si>
  <si>
    <t>H2026031600002</t>
  </si>
  <si>
    <t>SWR-BRV16AGC</t>
  </si>
  <si>
    <t>MOS-17032026</t>
  </si>
  <si>
    <t>BY-170326</t>
  </si>
  <si>
    <t>MJD26C117</t>
  </si>
  <si>
    <t>MJD26C118</t>
  </si>
  <si>
    <t>MJD26C126</t>
  </si>
  <si>
    <t>MJD26C131</t>
  </si>
  <si>
    <t>MJD26C127</t>
  </si>
  <si>
    <t>MJD26C133</t>
  </si>
  <si>
    <t>26 /03/2026</t>
  </si>
  <si>
    <t>MJD26C138</t>
  </si>
  <si>
    <t xml:space="preserve">MJD </t>
  </si>
  <si>
    <t>MJD26C1237</t>
  </si>
  <si>
    <t>MJD26C151</t>
  </si>
  <si>
    <t>MJD26C149</t>
  </si>
  <si>
    <t>MJD26C160</t>
  </si>
  <si>
    <t>MJD26C159</t>
  </si>
  <si>
    <t>BY-300326</t>
  </si>
  <si>
    <t>H2026033000002</t>
  </si>
  <si>
    <t>H2026033000004</t>
  </si>
  <si>
    <t>MJD26D001</t>
  </si>
  <si>
    <t>MOS-02042026</t>
  </si>
  <si>
    <t>RDL-TRAILBLAZERFY</t>
  </si>
  <si>
    <t>SJBKSD260003</t>
  </si>
  <si>
    <t>MJD26D040</t>
  </si>
  <si>
    <t>MJD26D045</t>
  </si>
  <si>
    <t>BY-070426</t>
  </si>
  <si>
    <t>SEALANT BY SOSIS</t>
  </si>
  <si>
    <t>SELING BY</t>
  </si>
  <si>
    <t>NP-260409856</t>
  </si>
  <si>
    <t>MJD26D056</t>
  </si>
  <si>
    <t>LFW-CRV05XYG</t>
  </si>
  <si>
    <t>INSGR2600581</t>
  </si>
  <si>
    <t>H2026040900012</t>
  </si>
  <si>
    <t>LFW-FE700XYG</t>
  </si>
  <si>
    <t>H2026040900007</t>
  </si>
  <si>
    <t>H2026040900010</t>
  </si>
  <si>
    <t>NP-260410759</t>
  </si>
  <si>
    <t>NP-260410810</t>
  </si>
  <si>
    <t>MJD26D068</t>
  </si>
  <si>
    <t>MJD26D081</t>
  </si>
  <si>
    <t>MJD26D087</t>
  </si>
  <si>
    <t>MJD26D089</t>
  </si>
  <si>
    <t>MJD26D092</t>
  </si>
  <si>
    <t>H2026041700004</t>
  </si>
  <si>
    <t>H2026041700020</t>
  </si>
  <si>
    <t>MJD26D110</t>
  </si>
  <si>
    <t>BY-200426</t>
  </si>
  <si>
    <t>MJD26D100</t>
  </si>
  <si>
    <t>LFW-W202MU</t>
  </si>
  <si>
    <t>MJD26D104</t>
  </si>
  <si>
    <t>INSGR2600480</t>
  </si>
  <si>
    <t>INVKR2600764</t>
  </si>
  <si>
    <t>MJD26D115</t>
  </si>
  <si>
    <t>LFW-ODYSSEY03XYG</t>
  </si>
  <si>
    <t>Salsa</t>
  </si>
  <si>
    <t>SJBKSD260006</t>
  </si>
  <si>
    <t>NP-260411900</t>
  </si>
  <si>
    <t>FVL-VOXY17AGC</t>
  </si>
  <si>
    <t>NP-260411880</t>
  </si>
  <si>
    <t>list karet kijang</t>
  </si>
  <si>
    <t>H2026042200016</t>
  </si>
  <si>
    <t>H2026042100014</t>
  </si>
  <si>
    <t>SJBKSD260005</t>
  </si>
  <si>
    <t>RDR-AVANZA03ASH</t>
  </si>
  <si>
    <t>RDL-AVANZA03ASH</t>
  </si>
  <si>
    <t>SWR-AVANZA03MU</t>
  </si>
  <si>
    <t>SWR-AVANZA21ASH</t>
  </si>
  <si>
    <t>SWL-AVANZA21ASH</t>
  </si>
  <si>
    <t>FDR-AGYA13ASH</t>
  </si>
  <si>
    <t>FDL-AGYA13ASH</t>
  </si>
  <si>
    <t>RDR-AGYA13ASH</t>
  </si>
  <si>
    <t>RDL-AGYA13ASH</t>
  </si>
  <si>
    <t>RDL-ERTIGA18MU</t>
  </si>
  <si>
    <t>MJD26D140</t>
  </si>
  <si>
    <t>MJD26D141</t>
  </si>
  <si>
    <t>MJD26D143</t>
  </si>
  <si>
    <t>Taman Royal, Ruko Permata Niaga 2. 17, Jl. Permata Raya Perumahan No.1</t>
  </si>
  <si>
    <t>(+62) 812-8116-1200 | sentraautomotif@gmail.com</t>
  </si>
  <si>
    <t>SURAT JALAN</t>
  </si>
  <si>
    <t>QTY</t>
  </si>
  <si>
    <t>Total</t>
  </si>
  <si>
    <t>Penerima</t>
  </si>
  <si>
    <t>....................</t>
  </si>
  <si>
    <t xml:space="preserve"> Andrean Ganie Hendranata</t>
  </si>
  <si>
    <t>Kantor Pusat</t>
  </si>
  <si>
    <t xml:space="preserve">Tangerang   </t>
  </si>
  <si>
    <t>B 1928 VO</t>
  </si>
  <si>
    <t>Nomor Inovice</t>
  </si>
  <si>
    <t>Total Cash</t>
  </si>
  <si>
    <t>Total Cash di Setor</t>
  </si>
  <si>
    <t>Sisa Uang Setor</t>
  </si>
  <si>
    <t>Total Semua Uang Setoran</t>
  </si>
  <si>
    <t>SETOR by RIAN</t>
  </si>
  <si>
    <t>SETOR by MICEL</t>
  </si>
  <si>
    <t>Kembalian kasir</t>
  </si>
  <si>
    <t>J250101 / Rp 100,000</t>
  </si>
  <si>
    <t>Rp 15,000 dari uang kasir untuk kembalian belum kembali</t>
  </si>
  <si>
    <t>Sudah</t>
  </si>
  <si>
    <t>J250117 / Rp 1,185,000</t>
  </si>
  <si>
    <t>K250015 / Rp 2,650,000</t>
  </si>
  <si>
    <t>Rp 15,000 diambil untuk balikin uang kasir</t>
  </si>
  <si>
    <t>K250019 / Rp 515,000</t>
  </si>
  <si>
    <t>K250029 / Rp 1,070,000</t>
  </si>
  <si>
    <t>Rp 20,000 diambil untuk balikin uang Guntur (dipakai untuk kembalian)</t>
  </si>
  <si>
    <t>K250032 / Rp 2,129,000</t>
  </si>
  <si>
    <t>Rp 30,000 belum balik dari kembalian</t>
  </si>
  <si>
    <t>K250047 / Rp 1,000,000</t>
  </si>
  <si>
    <t>Rp 25,000 diambil untuk balikin uang Guntur (dipakai untuk kembalian)</t>
  </si>
  <si>
    <t>K250048 / Rp 1,275,000</t>
  </si>
  <si>
    <t>Rp 25,000 balikin uang kasir (-Rp 5,000 uang kasir)</t>
  </si>
  <si>
    <t>K250055 / Rp 1,000,000</t>
  </si>
  <si>
    <t>Rp 5,000 uang kasir belum balik</t>
  </si>
  <si>
    <t>K250063 / Rp 2,697,000</t>
  </si>
  <si>
    <t>Rp 3,000 uang kasir belum balik
Rp 500,000 utk petty cash, gak bisa masuk ko rian jadikan Perry cash</t>
  </si>
  <si>
    <t>K250070 / TF</t>
  </si>
  <si>
    <t>kelebihan TF Rp 10,000</t>
  </si>
  <si>
    <t>Rp 10,000 diambil dari kasir untuk kembalian (kelebihan tf)</t>
  </si>
  <si>
    <t>K250076 / Rp 1,000,000</t>
  </si>
  <si>
    <t>Total uang kasir belum balik Rp 18,000</t>
  </si>
  <si>
    <t>K250085 / Rp 1,327,000</t>
  </si>
  <si>
    <t>Rp 18,000 sudah balik dari petty cash</t>
  </si>
  <si>
    <t>K250087 / Rp 1950,000</t>
  </si>
  <si>
    <t xml:space="preserve">Rp.497,000 gak bisa ke setor </t>
  </si>
  <si>
    <t>K250088 / Rp 620,000</t>
  </si>
  <si>
    <t>K250093 / Rp 1,400,000</t>
  </si>
  <si>
    <t>sudah ke setor semua</t>
  </si>
  <si>
    <t>K250095 / Rp 1,000,000</t>
  </si>
  <si>
    <t>K250097 / Rp 575,000</t>
  </si>
  <si>
    <t>Rp 500,000 untuk petty cash
Rp 25,000 pakai uang kasir kembalian</t>
  </si>
  <si>
    <t>K250101 / Rp 839,000</t>
  </si>
  <si>
    <t>Rp 11,000 pakai uang kasir kembalian</t>
  </si>
  <si>
    <t>K250102 / Rp 995,000</t>
  </si>
  <si>
    <t>Rp 5,000 pakai uang kasir kembalian</t>
  </si>
  <si>
    <t>K250107/ Rp.1.244.000</t>
  </si>
  <si>
    <t>Rp 500.000 Untuk Petty Cash</t>
  </si>
  <si>
    <t>Tidak pakai kembali</t>
  </si>
  <si>
    <t>K250112 / Rp 1,260,000</t>
  </si>
  <si>
    <t>Rp 800.000 Untuk Petty Cash</t>
  </si>
  <si>
    <t>K250139 / Rp 1.705.000</t>
  </si>
  <si>
    <t>K250141 / Rp 900.000</t>
  </si>
  <si>
    <t>L2500007 / Rp 100.000</t>
  </si>
  <si>
    <t>L2500015 / Rp 450,000</t>
  </si>
  <si>
    <t>L2500019 / Rp 3,750,000</t>
  </si>
  <si>
    <t>L2500027 / Rp 1,000,000</t>
  </si>
  <si>
    <t>Rp 800,000 masuk ke pettycash</t>
  </si>
  <si>
    <t>L2500029 / Rp 470,000</t>
  </si>
  <si>
    <t>Rp 30,000 pakai uang kasir</t>
  </si>
  <si>
    <t>L250045 / Rp 500,000</t>
  </si>
  <si>
    <t>L250048 / 1,289,000</t>
  </si>
  <si>
    <t>Rp 11,000 pakai uang kasir</t>
  </si>
  <si>
    <t>L250061 / 100,000</t>
  </si>
  <si>
    <t>Belum</t>
  </si>
  <si>
    <t>L250071 / Rp 1,300,000</t>
  </si>
  <si>
    <t>Rp 500,000 utk petty cash</t>
  </si>
  <si>
    <t>L250082 / Rp 1,4080,000</t>
  </si>
  <si>
    <t>Udah di alvin uangnya</t>
  </si>
  <si>
    <t>L250084 / Rp 330,000</t>
  </si>
  <si>
    <t>cash utk di misel, Rp 300,000 utk petty cash</t>
  </si>
  <si>
    <t>L250107 /Rp 4,802,000</t>
  </si>
  <si>
    <t>Udah di alvin uangnya / 20 des</t>
  </si>
  <si>
    <t>L250126 / 1,800,000</t>
  </si>
  <si>
    <t>500rb utk petty cash</t>
  </si>
  <si>
    <t>L250139 / Rp 750,000</t>
  </si>
  <si>
    <t>udah di alvin / 26 des</t>
  </si>
  <si>
    <t>K250094 / Rp 5.000.000</t>
  </si>
  <si>
    <t>udah di misel</t>
  </si>
  <si>
    <t xml:space="preserve">SENTRA AUTOGLASS </t>
  </si>
  <si>
    <t>Cabang : Tangerang - Bekasi- Surabaya</t>
  </si>
  <si>
    <t>Putra Jaya Motor</t>
  </si>
  <si>
    <t>081299380016</t>
  </si>
  <si>
    <t>PURCHASE ORDER</t>
  </si>
  <si>
    <t>PO</t>
  </si>
  <si>
    <t>PJMTGRD00004</t>
  </si>
  <si>
    <t>Disc (%)</t>
  </si>
  <si>
    <t>56101VT070</t>
  </si>
  <si>
    <t>kaca depan innova 2023</t>
  </si>
  <si>
    <t xml:space="preserve">56101-VT914 </t>
  </si>
  <si>
    <t>68103-BZ411</t>
  </si>
  <si>
    <t>kaca pintu tengah kanan toyota rush 2019</t>
  </si>
  <si>
    <t>68104-BZ411</t>
  </si>
  <si>
    <t>kaca pintu tengah kiri toyota rush 2019</t>
  </si>
  <si>
    <t>68114-0D341</t>
  </si>
  <si>
    <t>kaca pintu tengah kiri toyota sienta</t>
  </si>
  <si>
    <t>68113-0D341</t>
  </si>
  <si>
    <t>kaca pintu tengah kanan toyota sienta</t>
  </si>
  <si>
    <t>Note : Kirim Tangerang</t>
  </si>
  <si>
    <t>SUB TOTAL</t>
  </si>
  <si>
    <t>Tempo 30 hari</t>
  </si>
  <si>
    <t>Panen Autopart</t>
  </si>
  <si>
    <t>081374748818</t>
  </si>
  <si>
    <t>BKSD00001</t>
  </si>
  <si>
    <t>73111-TVL T31</t>
  </si>
  <si>
    <t>Kaca depan accord</t>
  </si>
  <si>
    <t>Note : Kaca di ambil langsung</t>
  </si>
  <si>
    <t>Tempo 60 hari</t>
  </si>
  <si>
    <t>BKSA00002</t>
  </si>
  <si>
    <t>561010K090</t>
  </si>
  <si>
    <t>Kaca depan innova 2004</t>
  </si>
  <si>
    <t>Note : Kirim BEKASI</t>
  </si>
  <si>
    <t>Oto Citra Lestari</t>
  </si>
  <si>
    <t>OCSTGRD00002</t>
  </si>
  <si>
    <t>72700A140P</t>
  </si>
  <si>
    <t>Kaca depan triton 2024</t>
  </si>
  <si>
    <t>Note : Kaca di ambil sendiri</t>
  </si>
  <si>
    <t>Periode Bulan</t>
  </si>
  <si>
    <t>Form Pengambilan Barang</t>
  </si>
  <si>
    <t>Untuk</t>
  </si>
  <si>
    <t>Tanggal Pengambilan</t>
  </si>
  <si>
    <t>Jam Pengambilan</t>
  </si>
  <si>
    <t>Parah (Diberikan)</t>
  </si>
  <si>
    <t>Paraf (Diambil)</t>
  </si>
  <si>
    <t>Home service / Ruko</t>
  </si>
  <si>
    <t>TGRA00006</t>
  </si>
  <si>
    <t>68103-VT010</t>
  </si>
  <si>
    <t>KACA PINTU TENGAH KIRI INNOVA 2023</t>
  </si>
  <si>
    <t>68103-BZ460</t>
  </si>
  <si>
    <t>KACA PINTU TENGAH KIRI AVANZA 2022</t>
  </si>
  <si>
    <t>Note : Kirim TANGERANG</t>
  </si>
  <si>
    <t>TGRD00004</t>
  </si>
  <si>
    <t>73111-T0N-T01</t>
  </si>
  <si>
    <t>73450-SZY-T10</t>
  </si>
  <si>
    <t>73111-SWK-T20</t>
  </si>
  <si>
    <t>73450-TG4-T01</t>
  </si>
  <si>
    <t>IN</t>
  </si>
  <si>
    <t>OUT</t>
  </si>
  <si>
    <t>ORDER</t>
  </si>
  <si>
    <t>ket</t>
  </si>
  <si>
    <t>URGENSI</t>
  </si>
  <si>
    <t>PL 30%</t>
  </si>
  <si>
    <t>B8T3</t>
  </si>
  <si>
    <t>LFW-CX5GEN1RS3XYG</t>
  </si>
  <si>
    <t>TRW-HIUFY</t>
  </si>
  <si>
    <t>LFW-ALPHARD02PIL</t>
  </si>
  <si>
    <t>LFW-AUDIQ508XYG</t>
  </si>
  <si>
    <t>LFW-OPTRAXYG</t>
  </si>
  <si>
    <t>TRW-SIRION1XYG</t>
  </si>
  <si>
    <t>B7T3</t>
  </si>
  <si>
    <t>LFW-PANDAXYG</t>
  </si>
  <si>
    <t>A4T3</t>
  </si>
  <si>
    <t>TRW-BRIOXYG</t>
  </si>
  <si>
    <t>A5T3</t>
  </si>
  <si>
    <t>TRW-STREAM00XYG</t>
  </si>
  <si>
    <t>TRW-AVEGA99XYG</t>
  </si>
  <si>
    <t>LFW-RUBICON18XYG</t>
  </si>
  <si>
    <t>B9T4</t>
  </si>
  <si>
    <t>LFW-RIO11XYG</t>
  </si>
  <si>
    <t>A6T1</t>
  </si>
  <si>
    <t>LFW-SORENTOXYG</t>
  </si>
  <si>
    <t>B9T3</t>
  </si>
  <si>
    <t>LFW-CX5GEN1RSFY</t>
  </si>
  <si>
    <t>LFW-CX9GEN1XYG</t>
  </si>
  <si>
    <t>LFW-W169XYG</t>
  </si>
  <si>
    <t>B14T3</t>
  </si>
  <si>
    <t>B10T3</t>
  </si>
  <si>
    <t>LFW-TEANAXYG</t>
  </si>
  <si>
    <t>B11T2</t>
  </si>
  <si>
    <t>SWL-ALPHARD08HITAMXYG</t>
  </si>
  <si>
    <t>LFW-COROLLA95XYG</t>
  </si>
  <si>
    <t>TRW-HIACE19XYG</t>
  </si>
  <si>
    <t>RVL-HILUX15XYG</t>
  </si>
  <si>
    <t>TRW-NAV07XYG</t>
  </si>
  <si>
    <t>TRW-YARIS13XYG</t>
  </si>
  <si>
    <t>B13T3</t>
  </si>
  <si>
    <t>PETI</t>
  </si>
  <si>
    <t>LFW-E36MU</t>
  </si>
  <si>
    <t>A6T2</t>
  </si>
  <si>
    <t>LFW-AVEO08MU</t>
  </si>
  <si>
    <t>A9T2</t>
  </si>
  <si>
    <t>LFW-SPINMU</t>
  </si>
  <si>
    <t>B8T1</t>
  </si>
  <si>
    <t>LFW-SIRION1MU</t>
  </si>
  <si>
    <t xml:space="preserve"> B8T2</t>
  </si>
  <si>
    <t>B8T2</t>
  </si>
  <si>
    <t>LFW-RANGER11MU</t>
  </si>
  <si>
    <t>LFW-BRV16MU</t>
  </si>
  <si>
    <t>LFW-CIVIC96MU</t>
  </si>
  <si>
    <t>B7T2</t>
  </si>
  <si>
    <t>LFW-EXCEL94MU</t>
  </si>
  <si>
    <t>A10T2</t>
  </si>
  <si>
    <t>LFW-ATOZMU</t>
  </si>
  <si>
    <t>LFW-CHEROKEEMU</t>
  </si>
  <si>
    <t>A7T2</t>
  </si>
  <si>
    <t>LFW-GCHEROKEEMU</t>
  </si>
  <si>
    <t>LFW-CAREN99MU</t>
  </si>
  <si>
    <t>A7T1</t>
  </si>
  <si>
    <t>LFW-PREGIOMU</t>
  </si>
  <si>
    <t>LFW-RIO00MU</t>
  </si>
  <si>
    <t>A4T1</t>
  </si>
  <si>
    <t>LFW-INTERPLAYMU</t>
  </si>
  <si>
    <t>Mazda INTERPLAY 1992-97 FHG</t>
  </si>
  <si>
    <t>A4T2</t>
  </si>
  <si>
    <t>LFW-LANTISMU</t>
  </si>
  <si>
    <t>LFW-KUDAMU</t>
  </si>
  <si>
    <t>B13T2</t>
  </si>
  <si>
    <t>LFW-TRITON05MU</t>
  </si>
  <si>
    <t>B14T1</t>
  </si>
  <si>
    <t>B12T1</t>
  </si>
  <si>
    <t>LFW-NAVARA97MU</t>
  </si>
  <si>
    <t>LFW-JUKEMU</t>
  </si>
  <si>
    <t>B9T2</t>
  </si>
  <si>
    <t>B10T2</t>
  </si>
  <si>
    <t>ada XYG 1</t>
  </si>
  <si>
    <t>B9T1</t>
  </si>
  <si>
    <t>LFW-T31MU</t>
  </si>
  <si>
    <t>B10T1</t>
  </si>
  <si>
    <t>B11T1</t>
  </si>
  <si>
    <t>LFW-ESTEEMMU</t>
  </si>
  <si>
    <t>B12T3</t>
  </si>
  <si>
    <t>LFW-SPLASHMU</t>
  </si>
  <si>
    <t>B5T4</t>
  </si>
  <si>
    <t>LFW-COROLLA87MU</t>
  </si>
  <si>
    <t>A5T2</t>
  </si>
  <si>
    <t>LFW-KAPSUL02MU</t>
  </si>
  <si>
    <t>LFW-FJ40MU</t>
  </si>
  <si>
    <t>B2T4</t>
  </si>
  <si>
    <t>LFW-SOLUNAMU</t>
  </si>
  <si>
    <t>A8T1</t>
  </si>
  <si>
    <t>A14T1</t>
  </si>
  <si>
    <t>LFW-L300MU</t>
  </si>
  <si>
    <t>A14T2</t>
  </si>
  <si>
    <t>TRW-TAFTGTASH</t>
  </si>
  <si>
    <t>TRW-FUTURAMBASH</t>
  </si>
  <si>
    <t>LFW-KATANAC84MU</t>
  </si>
  <si>
    <t>LFW-INNOVA04MSG</t>
  </si>
  <si>
    <t>LFW-W212RS2FR</t>
  </si>
  <si>
    <t>A8T2</t>
  </si>
  <si>
    <t>LFW-JUKEFR</t>
  </si>
  <si>
    <t>TRW-YARIS05FR</t>
  </si>
  <si>
    <t>TRW-T30FR</t>
  </si>
  <si>
    <t>LFW-INNOVA15PIL</t>
  </si>
  <si>
    <t>TRW-DATSUN3AGC</t>
  </si>
  <si>
    <t>FDR-HRV14PIL</t>
  </si>
  <si>
    <t>A10T4</t>
  </si>
  <si>
    <t>FDR-DATSUNASH</t>
  </si>
  <si>
    <t>A9T3</t>
  </si>
  <si>
    <t>RDL-CRV02ASH</t>
  </si>
  <si>
    <t>B11T4</t>
  </si>
  <si>
    <t>TRW-CARRY19AGC</t>
  </si>
  <si>
    <t>B6T4</t>
  </si>
  <si>
    <t>RDR-CRV12ASH</t>
  </si>
  <si>
    <t>A6T3</t>
  </si>
  <si>
    <t>TRW-KIJANGK125PUASH</t>
  </si>
  <si>
    <t>B8T4</t>
  </si>
  <si>
    <t>FDR-VIOS07ASH</t>
  </si>
  <si>
    <t>A11T4</t>
  </si>
  <si>
    <t>FDL-VIOS13ASH</t>
  </si>
  <si>
    <t>FDR-VIOS13ASH</t>
  </si>
  <si>
    <t>LFW-PICANTO11PIL</t>
  </si>
  <si>
    <t>LFW-TELSTAR93MU</t>
  </si>
  <si>
    <t>FDL-QUESTERASH</t>
  </si>
  <si>
    <t>Hyundai Palisade 20- 1st Gen (tahun 23-)</t>
  </si>
  <si>
    <t>FDR-LOUHANASH</t>
  </si>
  <si>
    <t>FDR-SWIFT04AGC</t>
  </si>
  <si>
    <t>TRW-RANGER02ASH</t>
  </si>
  <si>
    <t>LFW-FJ78MU</t>
  </si>
  <si>
    <t>TRW-ESTILOAIS</t>
  </si>
  <si>
    <t>B11T3</t>
  </si>
  <si>
    <t>FDR-DMAX1MSG</t>
  </si>
  <si>
    <t>SWR-LUXIOAGC</t>
  </si>
  <si>
    <t>SWR-AVANZA21AGC</t>
  </si>
  <si>
    <t>LFW-GRANMAXAGC</t>
  </si>
  <si>
    <t>LFW-FORESTERMU</t>
  </si>
  <si>
    <t>TRW-OUTLANDERFR</t>
  </si>
  <si>
    <t>SWL-TAFTGTASH</t>
  </si>
  <si>
    <t>SWR-TAFTGTASH</t>
  </si>
  <si>
    <t>TRW-RUSH17XYG</t>
  </si>
  <si>
    <t>+62 857-1705-0327</t>
  </si>
  <si>
    <t>H250120</t>
  </si>
  <si>
    <t xml:space="preserve">BCA 6041794388 an Alvin Wijaya                                        </t>
  </si>
  <si>
    <t>Kaca yang sudah dipesan/dipasang 
tidak dapat dibatalkan/dikembalikan.</t>
  </si>
  <si>
    <t>DEPOSIT</t>
  </si>
  <si>
    <t>LUNAS</t>
  </si>
  <si>
    <t>SENTRA AUTOGLASS SURABAYA</t>
  </si>
  <si>
    <t>Jalan Simo Jawar No. 108, Simomulyo Baru, Sukomanunggal, Surabaya</t>
  </si>
  <si>
    <t xml:space="preserve">  (+62) 81288009878 | sentraautoglass.sby@gmail.com</t>
  </si>
  <si>
    <t>P. Yazid</t>
  </si>
  <si>
    <t>+62 823-3491-8186</t>
  </si>
  <si>
    <t>Madura</t>
  </si>
  <si>
    <t>A250013</t>
  </si>
  <si>
    <t>W 1310 CL</t>
  </si>
  <si>
    <t>BCA 6041794388 an Alvin Wijaya</t>
  </si>
  <si>
    <t>SENTRA</t>
  </si>
  <si>
    <t xml:space="preserve">+62 812-8800-9878		</t>
  </si>
  <si>
    <t>SENTRA AUTOGLASS BEKASI</t>
  </si>
  <si>
    <t xml:space="preserve">Jalan Chairil Anwar Ruko Kalimas Blok A No. 18, Margahayu, Bekasi Timur </t>
  </si>
  <si>
    <t>(+62) 81281161200 | sentrakacamobil@gmail.com</t>
  </si>
  <si>
    <t>Ka Robbi</t>
  </si>
  <si>
    <t>+62 858-9479-9402</t>
  </si>
  <si>
    <t>TRW-AGYA23ASH</t>
  </si>
  <si>
    <t>SJ</t>
  </si>
  <si>
    <t>Kaca yang sudah dipesan tidak dapat dibatalkan/dikembalikan.</t>
  </si>
  <si>
    <t>PT. Tirta Jaya Trapac</t>
  </si>
  <si>
    <t>+62 859-4120-4572</t>
  </si>
  <si>
    <t>RETUR PENJUALAN</t>
  </si>
  <si>
    <t>INV :</t>
  </si>
  <si>
    <t>E240063</t>
  </si>
  <si>
    <t>RETUR NO : RTN-F240001</t>
  </si>
  <si>
    <t>TRW-HIACEBLACKXYG</t>
  </si>
  <si>
    <t>Rear Window Toyota Hi-Ace 04-20 Tempered</t>
  </si>
  <si>
    <t>Return to</t>
  </si>
  <si>
    <t>BCA 4480245542 an Tirtahamidjaja Rahardja</t>
  </si>
  <si>
    <t>Kaca yang sudah dipesan/dipasang tidak dapat dibatalkan/dikembalikan.</t>
  </si>
  <si>
    <t xml:space="preserve">                                                                                                                               ,</t>
  </si>
  <si>
    <t>SENTRA AUTOGLASS</t>
  </si>
  <si>
    <t>07/02/2025</t>
  </si>
  <si>
    <t>PT. BGI</t>
  </si>
  <si>
    <t>TANDA TERIMA BARANG</t>
  </si>
  <si>
    <t>SJB250004</t>
  </si>
  <si>
    <t>total</t>
  </si>
  <si>
    <t>No.</t>
  </si>
  <si>
    <t>Nama Toolkit</t>
  </si>
  <si>
    <t>1.</t>
  </si>
  <si>
    <t>Obeng Kancing</t>
  </si>
  <si>
    <t>4 PC</t>
  </si>
  <si>
    <t>2.</t>
  </si>
  <si>
    <t>Kape Plastik Doortrim</t>
  </si>
  <si>
    <t>3 Set (12 PC)</t>
  </si>
  <si>
    <t>3.</t>
  </si>
  <si>
    <t>Seling</t>
  </si>
  <si>
    <t>13 PC</t>
  </si>
  <si>
    <t>4.</t>
  </si>
  <si>
    <t>Lem G / Lem Korea</t>
  </si>
  <si>
    <t>12 PC</t>
  </si>
  <si>
    <t>5.</t>
  </si>
  <si>
    <t>Lakban Fragile</t>
  </si>
  <si>
    <t>8 PC</t>
  </si>
  <si>
    <t>6.</t>
  </si>
  <si>
    <t>Gel Sensor Besar</t>
  </si>
  <si>
    <t>2 PC</t>
  </si>
  <si>
    <t>7.</t>
  </si>
  <si>
    <t>Gel Sensor Kecil</t>
  </si>
  <si>
    <t>3 PC</t>
  </si>
  <si>
    <t>8.</t>
  </si>
  <si>
    <t>Lakban Kertas</t>
  </si>
  <si>
    <t>5 PC</t>
  </si>
  <si>
    <t>9.</t>
  </si>
  <si>
    <t>Lakban Bening</t>
  </si>
  <si>
    <t>10.</t>
  </si>
  <si>
    <t>Double Tape Foam Kecil</t>
  </si>
  <si>
    <t>11.</t>
  </si>
  <si>
    <t>Double Tape Foam Besar</t>
  </si>
  <si>
    <t>1 PC</t>
  </si>
  <si>
    <t>12.</t>
  </si>
  <si>
    <t>Isi Cutter</t>
  </si>
  <si>
    <t>4 Pack</t>
  </si>
  <si>
    <t>13.</t>
  </si>
  <si>
    <t>Tape Bening Kecil</t>
  </si>
  <si>
    <t>11 PC</t>
  </si>
  <si>
    <t>14.</t>
  </si>
  <si>
    <t>Isi Staples</t>
  </si>
  <si>
    <t>3 Pack</t>
  </si>
  <si>
    <t>15.</t>
  </si>
  <si>
    <t>Sarung Tangan</t>
  </si>
  <si>
    <t>2 Pack</t>
  </si>
  <si>
    <t>16.</t>
  </si>
  <si>
    <t>Lem Epoxy Dextone</t>
  </si>
  <si>
    <t>6 Pack/Set</t>
  </si>
  <si>
    <t>17.</t>
  </si>
  <si>
    <t>Kacamata</t>
  </si>
  <si>
    <t>18.</t>
  </si>
  <si>
    <t>Seling Bawaan dodotan</t>
  </si>
  <si>
    <t>19.</t>
  </si>
  <si>
    <t>Kape Tusuk</t>
  </si>
  <si>
    <t>20.</t>
  </si>
  <si>
    <t>Lakban Merah/ Safety Tape</t>
  </si>
  <si>
    <t>32 1/2 Roll</t>
  </si>
  <si>
    <t>21.</t>
  </si>
  <si>
    <t>List TA 04</t>
  </si>
  <si>
    <t>24 PC</t>
  </si>
  <si>
    <t>22.</t>
  </si>
  <si>
    <t>List TA 11</t>
  </si>
  <si>
    <t>9 PC</t>
  </si>
  <si>
    <t>23.</t>
  </si>
  <si>
    <t xml:space="preserve">List Innova </t>
  </si>
  <si>
    <t>24.</t>
  </si>
  <si>
    <t>List Ertiga</t>
  </si>
  <si>
    <t>25.</t>
  </si>
  <si>
    <t>Sealant Teroson</t>
  </si>
  <si>
    <t>11 1/2 Tube</t>
  </si>
  <si>
    <t>26.</t>
  </si>
  <si>
    <t>Sealant XYG</t>
  </si>
  <si>
    <t>62 Tube</t>
  </si>
  <si>
    <t>27.</t>
  </si>
  <si>
    <t>Sarung Tangan Merah</t>
  </si>
  <si>
    <t>2 Pasang</t>
  </si>
  <si>
    <t>28.</t>
  </si>
  <si>
    <t>Bor</t>
  </si>
  <si>
    <t>29.</t>
  </si>
  <si>
    <t>Tali Rafia</t>
  </si>
  <si>
    <t>30.</t>
  </si>
  <si>
    <t>Kape Pahat</t>
  </si>
  <si>
    <t>31.</t>
  </si>
  <si>
    <t>Kape Dodot</t>
  </si>
  <si>
    <t>32.</t>
  </si>
  <si>
    <t>Kape Doortrim Besar</t>
  </si>
  <si>
    <t>33.</t>
  </si>
  <si>
    <t>Tape Listrik</t>
  </si>
  <si>
    <t>34.</t>
  </si>
  <si>
    <t>Kunci Y S 17,12,14</t>
  </si>
  <si>
    <t>35.</t>
  </si>
  <si>
    <t>Tang Buaya</t>
  </si>
  <si>
    <t>36.</t>
  </si>
  <si>
    <t>Amplas</t>
  </si>
  <si>
    <t>37.</t>
  </si>
  <si>
    <t>Lap Bersih</t>
  </si>
  <si>
    <t>16 PC</t>
  </si>
  <si>
    <t>38.</t>
  </si>
  <si>
    <t>Kunci Y 10,12,14</t>
  </si>
  <si>
    <t>39.</t>
  </si>
  <si>
    <t>Kunci L Bintang-9Pcs</t>
  </si>
  <si>
    <t>40.</t>
  </si>
  <si>
    <t>Kunci sock set - 46 Pcs</t>
  </si>
  <si>
    <t>41.</t>
  </si>
  <si>
    <t>Kunci T 10mm</t>
  </si>
  <si>
    <t>42.</t>
  </si>
  <si>
    <t>Kunci T 12mm</t>
  </si>
  <si>
    <t>43.</t>
  </si>
  <si>
    <t>Kunci T 8mm</t>
  </si>
  <si>
    <t>Kanebo</t>
  </si>
  <si>
    <t>20 PC</t>
  </si>
  <si>
    <t>Cutter</t>
  </si>
  <si>
    <t>Solder Tembak</t>
  </si>
  <si>
    <t>1 Bungkus</t>
  </si>
  <si>
    <t>Sealant Boyou B501</t>
  </si>
  <si>
    <t>20 Tube</t>
  </si>
  <si>
    <t>Sealant R 68</t>
  </si>
  <si>
    <t>1 Tube</t>
  </si>
  <si>
    <t>Seling Boyou</t>
  </si>
  <si>
    <t>1 Roll</t>
  </si>
  <si>
    <t>No Adhesiv Tape</t>
  </si>
  <si>
    <t>Kop Kaca 2 kaki</t>
  </si>
  <si>
    <t>1 Set</t>
  </si>
  <si>
    <t>Fender Cover Mobil</t>
  </si>
  <si>
    <t>2 Set</t>
  </si>
  <si>
    <t>Kuas</t>
  </si>
  <si>
    <t>Tinta Spidol Permanent</t>
  </si>
  <si>
    <t>Tinta Printer Hitam</t>
  </si>
  <si>
    <t>BOX 1</t>
  </si>
  <si>
    <t>BOX 2</t>
  </si>
  <si>
    <t>Lakban Merah</t>
  </si>
  <si>
    <t>Lakban Foam Hijau</t>
  </si>
  <si>
    <t>1 Set (4 PC)</t>
  </si>
  <si>
    <t>Asahan</t>
  </si>
  <si>
    <t>Obeng +- Pendek</t>
  </si>
  <si>
    <t>Set Kunci Bintang</t>
  </si>
  <si>
    <t xml:space="preserve">Dodotan </t>
  </si>
  <si>
    <t>Kape tusuk</t>
  </si>
  <si>
    <t>Craker</t>
  </si>
  <si>
    <t>Lem Epoxy</t>
  </si>
  <si>
    <t xml:space="preserve">Kacamata </t>
  </si>
  <si>
    <t>Dumpkin</t>
  </si>
  <si>
    <t>Tang Potong</t>
  </si>
  <si>
    <t>Tang Heco BMW</t>
  </si>
  <si>
    <t>Lem G Korea</t>
  </si>
  <si>
    <t>Lap Kotor</t>
  </si>
  <si>
    <t>Cat Mp Kecil</t>
  </si>
  <si>
    <t>SURAT PERINTAH KERJA</t>
  </si>
  <si>
    <t>PASANG KACA / JASA PASANG / BONGKAR POLA</t>
  </si>
  <si>
    <r>
      <rPr>
        <rFont val="Calibri"/>
        <color theme="1"/>
        <sz val="9.0"/>
      </rPr>
      <t xml:space="preserve">NO SPK </t>
    </r>
    <r>
      <rPr>
        <rFont val="Calibri"/>
        <color theme="1"/>
        <sz val="9.0"/>
      </rPr>
      <t>1</t>
    </r>
  </si>
  <si>
    <t xml:space="preserve">: </t>
  </si>
  <si>
    <t>TGL 1 :</t>
  </si>
  <si>
    <t xml:space="preserve">(1=admin) (2=teknisi) (3=konsumen)                                </t>
  </si>
  <si>
    <r>
      <rPr>
        <rFont val="Calibri"/>
        <color theme="1"/>
        <sz val="9.0"/>
      </rPr>
      <t xml:space="preserve">NAMA KONSUMEN </t>
    </r>
    <r>
      <rPr>
        <rFont val="Calibri"/>
        <color theme="1"/>
        <sz val="9.0"/>
      </rPr>
      <t>3</t>
    </r>
  </si>
  <si>
    <r>
      <rPr>
        <rFont val="Calibri"/>
        <color theme="1"/>
        <sz val="9.0"/>
      </rPr>
      <t xml:space="preserve">ALAMAT </t>
    </r>
    <r>
      <rPr>
        <rFont val="Calibri"/>
        <color theme="1"/>
        <sz val="9.0"/>
      </rPr>
      <t>3</t>
    </r>
  </si>
  <si>
    <r>
      <rPr>
        <rFont val="Calibri"/>
        <b/>
        <color theme="1"/>
        <sz val="9.0"/>
      </rPr>
      <t>CATATAN</t>
    </r>
    <r>
      <rPr>
        <rFont val="Calibri"/>
        <color theme="1"/>
        <sz val="9.0"/>
      </rPr>
      <t>:</t>
    </r>
  </si>
  <si>
    <r>
      <rPr>
        <rFont val="Calibri"/>
        <color theme="1"/>
        <sz val="9.0"/>
      </rPr>
      <t xml:space="preserve">NO TELP/WA </t>
    </r>
    <r>
      <rPr>
        <rFont val="Calibri"/>
        <color theme="1"/>
        <sz val="9.0"/>
      </rPr>
      <t>3</t>
    </r>
  </si>
  <si>
    <t>- SPK wajib diisi sebelum dan sesudah pemasangan kaca mobil</t>
  </si>
  <si>
    <r>
      <rPr>
        <rFont val="Calibri"/>
        <color theme="1"/>
        <sz val="9.0"/>
      </rPr>
      <t xml:space="preserve">EMAIL </t>
    </r>
    <r>
      <rPr>
        <rFont val="Calibri"/>
        <color theme="1"/>
        <sz val="9.0"/>
      </rPr>
      <t>3</t>
    </r>
  </si>
  <si>
    <t>- SPK diisi dengan kondisi sebenar-benarnya dan disaksikan oleh pihak konsumen</t>
  </si>
  <si>
    <t>BARANG BERHARGA 3</t>
  </si>
  <si>
    <t>ADA  / TIDAK ADA</t>
  </si>
  <si>
    <t>- Dokumentasikan bila perlu dan infokan ke kantor</t>
  </si>
  <si>
    <r>
      <rPr>
        <rFont val="Calibri"/>
        <color theme="1"/>
        <sz val="9.0"/>
      </rPr>
      <t xml:space="preserve">MERK &amp; TYPE MOBIL </t>
    </r>
    <r>
      <rPr>
        <rFont val="Calibri"/>
        <color theme="1"/>
        <sz val="9.0"/>
      </rPr>
      <t>1</t>
    </r>
  </si>
  <si>
    <t xml:space="preserve">- SPK ini ditanda-tangani oleh pihak Kaca Mobil dan Konsumen agar menjadi </t>
  </si>
  <si>
    <r>
      <rPr>
        <rFont val="Calibri"/>
        <color theme="1"/>
        <sz val="9.0"/>
      </rPr>
      <t xml:space="preserve">NO POLISI </t>
    </r>
    <r>
      <rPr>
        <rFont val="Calibri"/>
        <color theme="1"/>
        <sz val="9.0"/>
      </rPr>
      <t>2</t>
    </r>
  </si>
  <si>
    <t>bukti sah dari segala kondisi yang ada pada mobil</t>
  </si>
  <si>
    <r>
      <rPr>
        <rFont val="Calibri"/>
        <color theme="1"/>
        <sz val="9.0"/>
      </rPr>
      <t xml:space="preserve">PART, MERK, JENIS KACA </t>
    </r>
    <r>
      <rPr>
        <rFont val="Calibri"/>
        <color theme="1"/>
        <sz val="9.0"/>
      </rPr>
      <t>1</t>
    </r>
  </si>
  <si>
    <t>- contoh kondisi = baik / patah / retak / regas / baret / tidak ada / dll</t>
  </si>
  <si>
    <r>
      <rPr>
        <rFont val="Calibri"/>
        <color theme="1"/>
        <sz val="9.0"/>
      </rPr>
      <t xml:space="preserve">SEALANT </t>
    </r>
    <r>
      <rPr>
        <rFont val="Calibri"/>
        <color theme="1"/>
        <sz val="9.0"/>
      </rPr>
      <t>1</t>
    </r>
  </si>
  <si>
    <r>
      <rPr>
        <rFont val="Calibri"/>
        <color theme="1"/>
        <sz val="9.0"/>
      </rPr>
      <t xml:space="preserve">LIST KARET </t>
    </r>
    <r>
      <rPr>
        <rFont val="Calibri"/>
        <color theme="1"/>
        <sz val="9.0"/>
      </rPr>
      <t>2</t>
    </r>
  </si>
  <si>
    <t>GANTI / TIDAK</t>
  </si>
  <si>
    <r>
      <rPr>
        <rFont val="Calibri"/>
        <color theme="1"/>
        <sz val="9.0"/>
      </rPr>
      <t xml:space="preserve">NAMA TEKSINI </t>
    </r>
    <r>
      <rPr>
        <rFont val="Calibri"/>
        <color theme="1"/>
        <sz val="9.0"/>
      </rPr>
      <t>2</t>
    </r>
  </si>
  <si>
    <t>&amp;</t>
  </si>
  <si>
    <t>KETERANGAN</t>
  </si>
  <si>
    <t>SEBELUM</t>
  </si>
  <si>
    <t>SESUDAH</t>
  </si>
  <si>
    <t>DEPAN/BELAKANG</t>
  </si>
  <si>
    <t>KONDISI</t>
  </si>
  <si>
    <t>TECH</t>
  </si>
  <si>
    <t>CUST</t>
  </si>
  <si>
    <t>KACA SAMPING</t>
  </si>
  <si>
    <t>KACA YG AKAN DIPASANG</t>
  </si>
  <si>
    <t>SPION DALAM</t>
  </si>
  <si>
    <t>BAUT BAUT</t>
  </si>
  <si>
    <t>TUTUP TULANG KI/KA</t>
  </si>
  <si>
    <t>POWER WINDOW</t>
  </si>
  <si>
    <t>AKSESORIS LAIN</t>
  </si>
  <si>
    <t>REGULATOR</t>
  </si>
  <si>
    <t>WIPER KANAN/KIRI</t>
  </si>
  <si>
    <t>DUDUKAN KACA</t>
  </si>
  <si>
    <t>TUTUP WIPER KA/KI</t>
  </si>
  <si>
    <t>KARET RUN CHANNEL</t>
  </si>
  <si>
    <t>TALANG/PANGGANGAN</t>
  </si>
  <si>
    <t>TEST TURUN NAIK PW</t>
  </si>
  <si>
    <t>LIST/KARET</t>
  </si>
  <si>
    <t>TURUN NAIK KACA</t>
  </si>
  <si>
    <t>BODY ATAS &amp; SAMPING</t>
  </si>
  <si>
    <t>BODY DISEKITAR</t>
  </si>
  <si>
    <t>KAP MOBIL</t>
  </si>
  <si>
    <t>LAIN LAIN/KM</t>
  </si>
  <si>
    <t>LIST SAMPING</t>
  </si>
  <si>
    <t>JAM PENGERJAAN</t>
  </si>
  <si>
    <t>SENSOR KACA</t>
  </si>
  <si>
    <t>Keterangan kondisi lain :</t>
  </si>
  <si>
    <t>ADMIN</t>
  </si>
  <si>
    <t>TEKNISI</t>
  </si>
  <si>
    <t>CUSTOMER</t>
  </si>
  <si>
    <t>LAIN-LAIN/KM</t>
  </si>
  <si>
    <r>
      <rPr>
        <rFont val="Calibri"/>
        <color theme="1"/>
        <sz val="9.0"/>
      </rPr>
      <t xml:space="preserve">NO SPK </t>
    </r>
    <r>
      <rPr>
        <rFont val="Calibri"/>
        <color theme="1"/>
        <sz val="9.0"/>
      </rPr>
      <t>1</t>
    </r>
  </si>
  <si>
    <r>
      <rPr>
        <rFont val="Calibri"/>
        <color theme="1"/>
        <sz val="9.0"/>
      </rPr>
      <t xml:space="preserve">NAMA KONSUMEN </t>
    </r>
    <r>
      <rPr>
        <rFont val="Calibri"/>
        <color theme="1"/>
        <sz val="9.0"/>
      </rPr>
      <t>3</t>
    </r>
  </si>
  <si>
    <r>
      <rPr>
        <rFont val="Calibri"/>
        <color theme="1"/>
        <sz val="9.0"/>
      </rPr>
      <t xml:space="preserve">ALAMAT </t>
    </r>
    <r>
      <rPr>
        <rFont val="Calibri"/>
        <color theme="1"/>
        <sz val="9.0"/>
      </rPr>
      <t>3</t>
    </r>
  </si>
  <si>
    <r>
      <rPr>
        <rFont val="Calibri"/>
        <b/>
        <color theme="1"/>
        <sz val="9.0"/>
      </rPr>
      <t>CATATAN</t>
    </r>
    <r>
      <rPr>
        <rFont val="Calibri"/>
        <color theme="1"/>
        <sz val="9.0"/>
      </rPr>
      <t>:</t>
    </r>
  </si>
  <si>
    <r>
      <rPr>
        <rFont val="Calibri"/>
        <color theme="1"/>
        <sz val="9.0"/>
      </rPr>
      <t xml:space="preserve">NO TELP/WA </t>
    </r>
    <r>
      <rPr>
        <rFont val="Calibri"/>
        <color theme="1"/>
        <sz val="9.0"/>
      </rPr>
      <t>3</t>
    </r>
  </si>
  <si>
    <r>
      <rPr>
        <rFont val="Calibri"/>
        <color theme="1"/>
        <sz val="9.0"/>
      </rPr>
      <t xml:space="preserve">EMAIL </t>
    </r>
    <r>
      <rPr>
        <rFont val="Calibri"/>
        <color theme="1"/>
        <sz val="9.0"/>
      </rPr>
      <t>3</t>
    </r>
  </si>
  <si>
    <r>
      <rPr>
        <rFont val="Calibri"/>
        <color theme="1"/>
        <sz val="9.0"/>
      </rPr>
      <t xml:space="preserve">MERK &amp; TYPE MOBIL </t>
    </r>
    <r>
      <rPr>
        <rFont val="Calibri"/>
        <color theme="1"/>
        <sz val="9.0"/>
      </rPr>
      <t>1</t>
    </r>
  </si>
  <si>
    <r>
      <rPr>
        <rFont val="Calibri"/>
        <color theme="1"/>
        <sz val="9.0"/>
      </rPr>
      <t xml:space="preserve">NO POLISI </t>
    </r>
    <r>
      <rPr>
        <rFont val="Calibri"/>
        <color theme="1"/>
        <sz val="9.0"/>
      </rPr>
      <t>2</t>
    </r>
  </si>
  <si>
    <r>
      <rPr>
        <rFont val="Calibri"/>
        <color theme="1"/>
        <sz val="9.0"/>
      </rPr>
      <t xml:space="preserve">PART, MERK, JENIS KACA </t>
    </r>
    <r>
      <rPr>
        <rFont val="Calibri"/>
        <color theme="1"/>
        <sz val="9.0"/>
      </rPr>
      <t>1</t>
    </r>
  </si>
  <si>
    <r>
      <rPr>
        <rFont val="Calibri"/>
        <color theme="1"/>
        <sz val="9.0"/>
      </rPr>
      <t xml:space="preserve">SEALANT </t>
    </r>
    <r>
      <rPr>
        <rFont val="Calibri"/>
        <color theme="1"/>
        <sz val="9.0"/>
      </rPr>
      <t>1</t>
    </r>
  </si>
  <si>
    <r>
      <rPr>
        <rFont val="Calibri"/>
        <color theme="1"/>
        <sz val="9.0"/>
      </rPr>
      <t xml:space="preserve">LIST KARET </t>
    </r>
    <r>
      <rPr>
        <rFont val="Calibri"/>
        <color theme="1"/>
        <sz val="9.0"/>
      </rPr>
      <t>2</t>
    </r>
  </si>
  <si>
    <t>contoh kondisi = baik / patah / retak / regas / baret / tidak ada / dll</t>
  </si>
  <si>
    <r>
      <rPr>
        <rFont val="Calibri"/>
        <color theme="1"/>
        <sz val="9.0"/>
      </rPr>
      <t xml:space="preserve">NAMA TEKSINI </t>
    </r>
    <r>
      <rPr>
        <rFont val="Calibri"/>
        <color theme="1"/>
        <sz val="9.0"/>
      </rPr>
      <t>2</t>
    </r>
  </si>
  <si>
    <t xml:space="preserve">Aulia Mandiri Otopart jember                                                    (+62 823-3968-0618)                                                         JL LETJEND SUPRAPTO XVIII/4B KEBONSARI JEMBER                                                    </t>
  </si>
  <si>
    <t>DIKIRIM OLEH :
SENTRA AUTOGLASS
+62 812-8116-1200</t>
  </si>
  <si>
    <t>DIKIRIM OLEH :
TRUMP
0812 9262 2276</t>
  </si>
  <si>
    <t>Juni 2024</t>
  </si>
  <si>
    <t>Uang Kasir</t>
  </si>
  <si>
    <t>Via &amp; Lia</t>
  </si>
  <si>
    <t>Tambahan Uang Kasir</t>
  </si>
  <si>
    <t>Sisa penjualan</t>
  </si>
  <si>
    <t>Sisa kurang tf penjualan cash</t>
  </si>
  <si>
    <t>Hilang</t>
  </si>
  <si>
    <t>Uang kasir hilang</t>
  </si>
  <si>
    <t>Maling</t>
  </si>
  <si>
    <t>PT Karunia Jaya Distribusindo</t>
  </si>
  <si>
    <t xml:space="preserve"> (+62) 81288009878 </t>
  </si>
  <si>
    <t>MEMO PENGAMBILAN BARANG</t>
  </si>
  <si>
    <t xml:space="preserve">PD Jaya Baru </t>
  </si>
  <si>
    <t>Di- Tempat</t>
  </si>
  <si>
    <t>Salam Hormat,</t>
  </si>
  <si>
    <t>Melalui memo ini mohon untuk diberikan 3TA21M-3RWS1B0 2pc dan 3TA21M-3RWSXT0 3pc</t>
  </si>
  <si>
    <t>Kepada tim kami atas nama Ade</t>
  </si>
  <si>
    <t>Mohon untuk memberikan Nota dalam amplop kepada tim kami.</t>
  </si>
  <si>
    <t>Terima kasih atas perhatian dan kerjasamanya.</t>
  </si>
  <si>
    <t>Hormat Kami</t>
  </si>
  <si>
    <t>JANGAN DIBALIK - PETI HADAP ATAS</t>
  </si>
  <si>
    <t>BARANG PECAH BELAH !!</t>
  </si>
  <si>
    <t>JANGAN BANTING</t>
  </si>
  <si>
    <t>PROMO MULIA OKT 2022</t>
  </si>
  <si>
    <t>MERK</t>
  </si>
  <si>
    <t>KATASIKI</t>
  </si>
  <si>
    <t>TYPE MOBIL</t>
  </si>
  <si>
    <t>&lt;--COD+UT-LO%</t>
  </si>
  <si>
    <t>&lt;--COD+IT-NT%</t>
  </si>
  <si>
    <t>&lt;--COD+NT-DT%</t>
  </si>
  <si>
    <t>&lt;--COD+DT-UTT%</t>
  </si>
  <si>
    <t>ORI OKT22</t>
  </si>
  <si>
    <t>PPN 11%</t>
  </si>
  <si>
    <t>COD OKT22+ 15RB</t>
  </si>
  <si>
    <t>COD+20-39%</t>
  </si>
  <si>
    <t>RU</t>
  </si>
  <si>
    <t>PRM MIN.10</t>
  </si>
  <si>
    <t>COD+40-60%</t>
  </si>
  <si>
    <t>PRM MIN. 5</t>
  </si>
  <si>
    <r>
      <rPr>
        <rFont val="Calibri"/>
        <b/>
        <color theme="1"/>
        <sz val="10.0"/>
      </rPr>
      <t>COD+</t>
    </r>
    <r>
      <rPr>
        <rFont val="Calibri"/>
        <b/>
        <color rgb="FFFF0000"/>
        <sz val="10.0"/>
      </rPr>
      <t>60</t>
    </r>
    <r>
      <rPr>
        <rFont val="Calibri"/>
        <b/>
        <color theme="1"/>
        <sz val="10.0"/>
      </rPr>
      <t>-80%</t>
    </r>
  </si>
  <si>
    <t>PRM MIN.3</t>
  </si>
  <si>
    <t>COD+80-200%</t>
  </si>
  <si>
    <t>PRM 1PC</t>
  </si>
  <si>
    <t>PEMBULATAN</t>
  </si>
  <si>
    <t>BGI GROSS</t>
  </si>
  <si>
    <t>SELISIH</t>
  </si>
  <si>
    <t>GM</t>
  </si>
  <si>
    <t>GRANDMAX 2008-</t>
  </si>
  <si>
    <t>DAI/TOY</t>
  </si>
  <si>
    <t>AX020</t>
  </si>
  <si>
    <t>AVANZA1/XENIA1 2003-11/TA04</t>
  </si>
  <si>
    <t>AX311</t>
  </si>
  <si>
    <t>AVANZA2/XENIA2 2011-15/TA11</t>
  </si>
  <si>
    <t>AG40</t>
  </si>
  <si>
    <t>AVANZA3/XENIA3 2015-20/TA15</t>
  </si>
  <si>
    <t>AX60</t>
  </si>
  <si>
    <t>AVANZA4/XENIA4 2021-/TA21 NONRS</t>
  </si>
  <si>
    <t>AY50</t>
  </si>
  <si>
    <t>AGYA/AYLA 2013-</t>
  </si>
  <si>
    <t>CS80</t>
  </si>
  <si>
    <t>CALYA/SIGRA 2016-</t>
  </si>
  <si>
    <t>D99</t>
  </si>
  <si>
    <t>RUSH1/TERIOS1 2006-17</t>
  </si>
  <si>
    <t>RUSH</t>
  </si>
  <si>
    <t>RUSH2/TERIOS2 2018-</t>
  </si>
  <si>
    <t>HONDA</t>
  </si>
  <si>
    <t>MBLO</t>
  </si>
  <si>
    <t>MOBILIO 2014-</t>
  </si>
  <si>
    <t>HA2708(0)</t>
  </si>
  <si>
    <t>JAZZ1 2001-07</t>
  </si>
  <si>
    <t>JAZZ</t>
  </si>
  <si>
    <t>JAZZ2 2008-12</t>
  </si>
  <si>
    <t>HJAZZ</t>
  </si>
  <si>
    <t>JAZZ3 2013-</t>
  </si>
  <si>
    <t>MITSUBISHI</t>
  </si>
  <si>
    <t>MS146(2)</t>
  </si>
  <si>
    <t>PAJEROSPORT1 2006-15</t>
  </si>
  <si>
    <t>MS146(0)</t>
  </si>
  <si>
    <t>TRITON 2006-15</t>
  </si>
  <si>
    <t>NTRI</t>
  </si>
  <si>
    <t>PAJEROSPORT2 2015-</t>
  </si>
  <si>
    <t>NTRI(0)</t>
  </si>
  <si>
    <t>TRITON2 2015-</t>
  </si>
  <si>
    <t>XPAND</t>
  </si>
  <si>
    <t>XPANDER 2018-</t>
  </si>
  <si>
    <t>NISSAN</t>
  </si>
  <si>
    <t>LVN</t>
  </si>
  <si>
    <t>LIVINA 2007-18</t>
  </si>
  <si>
    <t>LIVINA 2018-</t>
  </si>
  <si>
    <t>SUZUKI</t>
  </si>
  <si>
    <t>FTR</t>
  </si>
  <si>
    <t>FUTURA/T120SS 1991-18</t>
  </si>
  <si>
    <t>SUFTR</t>
  </si>
  <si>
    <t>FUTURANEW/CARRYNEW 2019-</t>
  </si>
  <si>
    <t>SUWAG</t>
  </si>
  <si>
    <t>KARIMUNWAGONR</t>
  </si>
  <si>
    <t>APV</t>
  </si>
  <si>
    <t>APV 2004-</t>
  </si>
  <si>
    <t>ERTG</t>
  </si>
  <si>
    <t>ERTIGA1 2013-17</t>
  </si>
  <si>
    <t>NERTG</t>
  </si>
  <si>
    <t>ERTIGA2 2018-</t>
  </si>
  <si>
    <t>TOYOTA</t>
  </si>
  <si>
    <t>TT738</t>
  </si>
  <si>
    <t>FORTUNER1/HILUX2 2005-15</t>
  </si>
  <si>
    <t>TT739</t>
  </si>
  <si>
    <t>FORTUNER2/HILUX3 2015-</t>
  </si>
  <si>
    <t>TOVIM</t>
  </si>
  <si>
    <t>VIOS1 2002-07</t>
  </si>
  <si>
    <t>NVIOS</t>
  </si>
  <si>
    <t>VIOS2 2007-13</t>
  </si>
  <si>
    <t>NLIMO</t>
  </si>
  <si>
    <t>VIOS3 2013-</t>
  </si>
  <si>
    <t>YARIS</t>
  </si>
  <si>
    <t>YARIS1 2005-13</t>
  </si>
  <si>
    <t>YARIS2 2013-17</t>
  </si>
  <si>
    <t>YARIS3 2018-</t>
  </si>
  <si>
    <t>IMV</t>
  </si>
  <si>
    <t>INNOVA1 2005-14</t>
  </si>
  <si>
    <t>INVN</t>
  </si>
  <si>
    <t>INNOVA2 2015-</t>
  </si>
  <si>
    <t>HINO</t>
  </si>
  <si>
    <t>HSL</t>
  </si>
  <si>
    <t>TRUCK LOUHAN</t>
  </si>
  <si>
    <t>HINO/TOY</t>
  </si>
  <si>
    <t>NDYNA</t>
  </si>
  <si>
    <t>TRUCK DUTRO/ NEWDYNA2004-</t>
  </si>
  <si>
    <t>FK40</t>
  </si>
  <si>
    <t>TRUCK FIGTHER/FK40</t>
  </si>
  <si>
    <t>MS700</t>
  </si>
  <si>
    <t>TRUCK FE700</t>
  </si>
  <si>
    <t>FE300</t>
  </si>
  <si>
    <t>TRUCK FE300 1994</t>
  </si>
  <si>
    <t>PROMO SM NOV22</t>
  </si>
  <si>
    <t>KATASHIKI</t>
  </si>
  <si>
    <t>TIPE &amp; PART</t>
  </si>
  <si>
    <t>&lt;--COD ST-UT</t>
  </si>
  <si>
    <t>&lt;--COD LT-IT</t>
  </si>
  <si>
    <t>&lt;--COD AT-DT</t>
  </si>
  <si>
    <t>&lt;--COD+DS-STT</t>
  </si>
  <si>
    <t>PPN OKT22</t>
  </si>
  <si>
    <t>COD+10-20%</t>
  </si>
  <si>
    <t>MIN.10PCS</t>
  </si>
  <si>
    <t>COD+30-50%</t>
  </si>
  <si>
    <t>MIN.5 PCS</t>
  </si>
  <si>
    <t>COD+51-80%</t>
  </si>
  <si>
    <t>MIN.3PCS</t>
  </si>
  <si>
    <t>COD+81-100%</t>
  </si>
  <si>
    <t>1PCS</t>
  </si>
  <si>
    <t>BMW</t>
  </si>
  <si>
    <t>E46</t>
  </si>
  <si>
    <t>E46 FHG</t>
  </si>
  <si>
    <t>E87</t>
  </si>
  <si>
    <t>E87 FHG</t>
  </si>
  <si>
    <t>CHEVROLET</t>
  </si>
  <si>
    <t>HB09</t>
  </si>
  <si>
    <t>AVEOT250/LOVA/KALOS FHN</t>
  </si>
  <si>
    <t>CHERRY</t>
  </si>
  <si>
    <t>QQ</t>
  </si>
  <si>
    <t>QQ FHC</t>
  </si>
  <si>
    <t>FORD</t>
  </si>
  <si>
    <t>FDRG</t>
  </si>
  <si>
    <t>RANGER1 2002-11 FHN</t>
  </si>
  <si>
    <t>FD2501</t>
  </si>
  <si>
    <t>FOCUS 2004-11 FHN</t>
  </si>
  <si>
    <t>FORD/MAZDA</t>
  </si>
  <si>
    <t>BC1</t>
  </si>
  <si>
    <t>LIATA/LANTIS/FAMILIA FHN</t>
  </si>
  <si>
    <t>HNCRV</t>
  </si>
  <si>
    <t>CRV4 2013-17 FHN</t>
  </si>
  <si>
    <t>AE4</t>
  </si>
  <si>
    <t>CRV3 ADA CAT RS FHN</t>
  </si>
  <si>
    <t>SX8</t>
  </si>
  <si>
    <t>CITYZ 1996-02 FHG</t>
  </si>
  <si>
    <t>HYUNDAI</t>
  </si>
  <si>
    <t>MX</t>
  </si>
  <si>
    <t>ATOZ FHN</t>
  </si>
  <si>
    <t>ISUZU</t>
  </si>
  <si>
    <t>AUV</t>
  </si>
  <si>
    <t>PANTHER1 1990- FHN</t>
  </si>
  <si>
    <t>JEEP</t>
  </si>
  <si>
    <t>WS268</t>
  </si>
  <si>
    <t>GRANDCHEROOKE 1196- FHC</t>
  </si>
  <si>
    <t>KIA</t>
  </si>
  <si>
    <t>KIARIO</t>
  </si>
  <si>
    <t>RIO TAXI 2000-05 FHN</t>
  </si>
  <si>
    <t>MERCY</t>
  </si>
  <si>
    <t>C180</t>
  </si>
  <si>
    <t>W202 C180 FHC</t>
  </si>
  <si>
    <t>L300</t>
  </si>
  <si>
    <t>L300 FHC</t>
  </si>
  <si>
    <t>C24</t>
  </si>
  <si>
    <t>SERENA2/C24 FHN</t>
  </si>
  <si>
    <t>SZ114</t>
  </si>
  <si>
    <t>JIMNYKATANA FHG/C</t>
  </si>
  <si>
    <t>FJ70</t>
  </si>
  <si>
    <t>LC FJ70 1984 FHC</t>
  </si>
  <si>
    <t>TT166</t>
  </si>
  <si>
    <t>LC FJ40 FHC</t>
  </si>
  <si>
    <t>NL</t>
  </si>
  <si>
    <t>ALTIS1 2000-07 FHG</t>
  </si>
  <si>
    <t>TTCAM</t>
  </si>
  <si>
    <t>CAMRY4 2011-17 FHC</t>
  </si>
  <si>
    <t>908T</t>
  </si>
  <si>
    <t>SOLUNA FHN</t>
  </si>
  <si>
    <t>SLOW        MOVING       NOVEMBER    2022</t>
  </si>
  <si>
    <t>&lt;--COD+UA-DT%</t>
  </si>
  <si>
    <t>&lt;--COD LA-DT%</t>
  </si>
  <si>
    <t>&lt;--COD LA-STT%</t>
  </si>
  <si>
    <t>&lt;--COD+AT-UTT&amp;</t>
  </si>
  <si>
    <t>KATASHIKI KUNING TDK ADA DI BGI, ANGKA DIMERAHIN HARGA MEPET</t>
  </si>
  <si>
    <t>OKT22</t>
  </si>
  <si>
    <t>+PPN 11%</t>
  </si>
  <si>
    <t>COD+25-60%</t>
  </si>
  <si>
    <r>
      <rPr>
        <rFont val="Times New Roman"/>
        <b/>
        <color rgb="FF000000"/>
        <sz val="8.0"/>
      </rPr>
      <t>COD+</t>
    </r>
    <r>
      <rPr>
        <rFont val="Times New Roman"/>
        <b/>
        <color rgb="FFFF0000"/>
        <sz val="8.0"/>
      </rPr>
      <t>35</t>
    </r>
    <r>
      <rPr>
        <rFont val="Times New Roman"/>
        <b/>
        <color rgb="FF000000"/>
        <sz val="8.0"/>
      </rPr>
      <t>-80%</t>
    </r>
  </si>
  <si>
    <t>MIN.5PCS</t>
  </si>
  <si>
    <r>
      <rPr>
        <rFont val="Times New Roman"/>
        <b/>
        <color rgb="FF000000"/>
        <sz val="8.0"/>
      </rPr>
      <t>COD+</t>
    </r>
    <r>
      <rPr>
        <rFont val="Times New Roman"/>
        <b/>
        <color rgb="FFFF0000"/>
        <sz val="8.0"/>
      </rPr>
      <t>35</t>
    </r>
    <r>
      <rPr>
        <rFont val="Times New Roman"/>
        <b/>
        <color rgb="FF000000"/>
        <sz val="8.0"/>
      </rPr>
      <t>-100%</t>
    </r>
  </si>
  <si>
    <t>COD+50-200%</t>
  </si>
  <si>
    <t>1PC</t>
  </si>
  <si>
    <t>JASA</t>
  </si>
  <si>
    <t>AUDI</t>
  </si>
  <si>
    <t>A4</t>
  </si>
  <si>
    <t>A4 SEDAN 1994-01 FHG</t>
  </si>
  <si>
    <t>PS PU 450,STP 675 BYR</t>
  </si>
  <si>
    <t>E34</t>
  </si>
  <si>
    <t>E34 1987-96 FHG</t>
  </si>
  <si>
    <t>BM519</t>
  </si>
  <si>
    <t>E36 1990 - 2000 FHG</t>
  </si>
  <si>
    <t>E46 1997-06 FHG</t>
  </si>
  <si>
    <t>E87 2004-13 FHG</t>
  </si>
  <si>
    <t>QQ 2007- FHC</t>
  </si>
  <si>
    <t>CHEV/HOLDEN</t>
  </si>
  <si>
    <t>AVEOT250/BARINA 2005-11 FHN</t>
  </si>
  <si>
    <t>TRO</t>
  </si>
  <si>
    <t>TROOPER 1990 FH0</t>
  </si>
  <si>
    <t>KARET PAKAI YANG LAMA</t>
  </si>
  <si>
    <t>SPIN</t>
  </si>
  <si>
    <t>SPIN 2012 FHN</t>
  </si>
  <si>
    <t>GRANDMAX 2008 - FHN</t>
  </si>
  <si>
    <t>GMD</t>
  </si>
  <si>
    <t>GRANDMAX 2008- AR</t>
  </si>
  <si>
    <t>PS PU 250 STP 475 BYR</t>
  </si>
  <si>
    <t>SIRION</t>
  </si>
  <si>
    <t>SIRION1 2007-11 FHN</t>
  </si>
  <si>
    <t>NSRN</t>
  </si>
  <si>
    <t>SIRION2 2011-18 FHN</t>
  </si>
  <si>
    <t>X626</t>
  </si>
  <si>
    <t>TARUNA 1999-07 FHN</t>
  </si>
  <si>
    <t>LIATA/LANTIS/FAMILIA 1995 FHN</t>
  </si>
  <si>
    <t>RANGER/EVEREST 2002-06 FHN</t>
  </si>
  <si>
    <t>F2398</t>
  </si>
  <si>
    <t>RANGER 2012- FHN</t>
  </si>
  <si>
    <t>FOCUSPOLISI 2004-11 FHN</t>
  </si>
  <si>
    <t>FIEST</t>
  </si>
  <si>
    <t>FIESTA 2008- FHN</t>
  </si>
  <si>
    <t>GTO</t>
  </si>
  <si>
    <t>TELSTAR 1992- FHC</t>
  </si>
  <si>
    <t>MA009</t>
  </si>
  <si>
    <t>TELSTAR TX5 1990-92 FHC</t>
  </si>
  <si>
    <t>HINO LOUHAN FH0</t>
  </si>
  <si>
    <t>Y078</t>
  </si>
  <si>
    <t>LOUHAN FDL/R</t>
  </si>
  <si>
    <t>HINO-DYNA DUTRO 2004- FH0</t>
  </si>
  <si>
    <t>SV4</t>
  </si>
  <si>
    <t>ACCORDCIELO 1993-97 FHC</t>
  </si>
  <si>
    <t>BRIO1/BRIO2/MOBILIO 2014- FHN</t>
  </si>
  <si>
    <t>BRV</t>
  </si>
  <si>
    <t>BRV 2015 FHN</t>
  </si>
  <si>
    <t>NCITY</t>
  </si>
  <si>
    <t>NEWCITY 2002-08 FHN</t>
  </si>
  <si>
    <t>SO4</t>
  </si>
  <si>
    <t>CIVICFERIO 1996-00 FHC</t>
  </si>
  <si>
    <t>SH4</t>
  </si>
  <si>
    <t>CIVICGRAND 4D 1987-91 FHG</t>
  </si>
  <si>
    <t>SH3</t>
  </si>
  <si>
    <t>CIVICGRAND 2D/NOUVA 1998-FHC</t>
  </si>
  <si>
    <t>P/PS</t>
  </si>
  <si>
    <t>CRV3 2007 - 2011 FHC</t>
  </si>
  <si>
    <t>CRV4 2012-16 FHC</t>
  </si>
  <si>
    <t>HRV</t>
  </si>
  <si>
    <t>HRV 2015- FHC</t>
  </si>
  <si>
    <t>HA2708</t>
  </si>
  <si>
    <t>JAZZ1 2001-07 FHN</t>
  </si>
  <si>
    <t>JAZZ2 2008-13 FHN</t>
  </si>
  <si>
    <t>JAZZ3 2014- FHN</t>
  </si>
  <si>
    <t>AC5</t>
  </si>
  <si>
    <t>ACCENT/EXCEL 1994-00 FHN</t>
  </si>
  <si>
    <t>ATOZ 1997-14 FHN</t>
  </si>
  <si>
    <t>GETZ</t>
  </si>
  <si>
    <t>GETZ 2002-11 FHC</t>
  </si>
  <si>
    <t>X4</t>
  </si>
  <si>
    <t>VERNA/AVEGA FHC</t>
  </si>
  <si>
    <t>HDMT</t>
  </si>
  <si>
    <t>MIGHTY TRUCK FH0</t>
  </si>
  <si>
    <t>DMAX</t>
  </si>
  <si>
    <t>D-MAX1 2003-14 FHN</t>
  </si>
  <si>
    <t>NKR58</t>
  </si>
  <si>
    <t>ELF/NKR 1993-17 FH0</t>
  </si>
  <si>
    <t>NLR55</t>
  </si>
  <si>
    <t>ELFNEW/ELF NLR558 2017- FHN</t>
  </si>
  <si>
    <t>GM588</t>
  </si>
  <si>
    <t>NPR SERIES 1994 FHN</t>
  </si>
  <si>
    <t>PANTHER1 1991-00 FH0</t>
  </si>
  <si>
    <t>NPANT</t>
  </si>
  <si>
    <t>PANTHER2 2000-FHN</t>
  </si>
  <si>
    <t>WS266</t>
  </si>
  <si>
    <t>CHEROKEE 1994-96 FHC</t>
  </si>
  <si>
    <t>GRAND CHEROKEE 1996 FHC</t>
  </si>
  <si>
    <t>KCRT</t>
  </si>
  <si>
    <t>CERATO 2004-09 FHN</t>
  </si>
  <si>
    <t>CRS</t>
  </si>
  <si>
    <t>CARENS1/CARENS2 2000-07 FHC</t>
  </si>
  <si>
    <t>KIAPIC</t>
  </si>
  <si>
    <t>PICANTO1 2004-10 FHC</t>
  </si>
  <si>
    <t>NKPC</t>
  </si>
  <si>
    <t>PICANTO2 2012-17 FHN</t>
  </si>
  <si>
    <t>PREGIO</t>
  </si>
  <si>
    <t>PREGIO 2004- FHN</t>
  </si>
  <si>
    <t>RIOTAXI 2000-05 FHN</t>
  </si>
  <si>
    <t>NKRIO</t>
  </si>
  <si>
    <t>RIOUB 2012-17 FHN</t>
  </si>
  <si>
    <t>KI804</t>
  </si>
  <si>
    <t>SPORTAGE1 1993-05 FHC</t>
  </si>
  <si>
    <t>K2539</t>
  </si>
  <si>
    <t>SPORTAGE2 2004-10 FHC</t>
  </si>
  <si>
    <t>K27</t>
  </si>
  <si>
    <t>TRAVELLO 2004- FHN</t>
  </si>
  <si>
    <t>S515I</t>
  </si>
  <si>
    <t>TIMOR 1992- FHN</t>
  </si>
  <si>
    <t>SANT</t>
  </si>
  <si>
    <t>VISTO 2001- FHG</t>
  </si>
  <si>
    <t>MAZDA</t>
  </si>
  <si>
    <t>MA323</t>
  </si>
  <si>
    <t>INTERPLAY 1992-97 FHG</t>
  </si>
  <si>
    <t>B457</t>
  </si>
  <si>
    <t>LASER 323 1989-94 FHC</t>
  </si>
  <si>
    <t>MA706</t>
  </si>
  <si>
    <t>MX6 1987-92 COUPE/HB FHG</t>
  </si>
  <si>
    <t>W202 1993- FHC</t>
  </si>
  <si>
    <t>C230</t>
  </si>
  <si>
    <t>W203 1997-FHC</t>
  </si>
  <si>
    <t>MB305</t>
  </si>
  <si>
    <t>W210 1995-03 RSFHC</t>
  </si>
  <si>
    <t>MB361</t>
  </si>
  <si>
    <t>W123 1976-86 FHC</t>
  </si>
  <si>
    <t>KARET PAKAI YANG LAMA, LIST CHROME BISA BENGKOK</t>
  </si>
  <si>
    <t>W211</t>
  </si>
  <si>
    <t>W211 2002-09 FHG</t>
  </si>
  <si>
    <t>FRE</t>
  </si>
  <si>
    <t>KUDA 1998 FHC0</t>
  </si>
  <si>
    <t>E41</t>
  </si>
  <si>
    <t>LANCEREVO3 1993- FHG</t>
  </si>
  <si>
    <t>L300 1980- FH0</t>
  </si>
  <si>
    <t>MMIRA</t>
  </si>
  <si>
    <t>MIRAGE 2014- FHN</t>
  </si>
  <si>
    <t>PJR</t>
  </si>
  <si>
    <t>PAJEROSPORT1 2006-15 FHN</t>
  </si>
  <si>
    <t>PAJEROSPORT2 2015- FHN</t>
  </si>
  <si>
    <t>TRUCK FK40 FH0</t>
  </si>
  <si>
    <t xml:space="preserve"> FE300/RAGASA 1994 FH0</t>
  </si>
  <si>
    <t xml:space="preserve"> F700/CANTER 2007- FH0</t>
  </si>
  <si>
    <t>XPANDER 2018- FHN</t>
  </si>
  <si>
    <t>MORRIS</t>
  </si>
  <si>
    <t>LY001</t>
  </si>
  <si>
    <t>MINI SEDAN 1961-66 FHC0</t>
  </si>
  <si>
    <t>KARET PAKAI YG LAMA</t>
  </si>
  <si>
    <t>B13</t>
  </si>
  <si>
    <t>SENTRA/SUNNY 1991- FHC</t>
  </si>
  <si>
    <t>Y31</t>
  </si>
  <si>
    <t>CEDRIC 1987-04FHN</t>
  </si>
  <si>
    <t>NICEF</t>
  </si>
  <si>
    <t>CEFIRO 1988-FHG</t>
  </si>
  <si>
    <t>D22</t>
  </si>
  <si>
    <t>FRONTIERD22 1997-04 FHN</t>
  </si>
  <si>
    <t>N2510</t>
  </si>
  <si>
    <t>NAVARAD40 2005-2010 FHN</t>
  </si>
  <si>
    <t>NSOB</t>
  </si>
  <si>
    <t>NAVARAD23 2015-FHC</t>
  </si>
  <si>
    <t>SERENA2C24 1999-12 FHN</t>
  </si>
  <si>
    <t>GRANDLIVINA FHN</t>
  </si>
  <si>
    <t>MAXI/A32</t>
  </si>
  <si>
    <t>INFINITY/MAXIMA 1996- FHG</t>
  </si>
  <si>
    <t>NJUKE</t>
  </si>
  <si>
    <t>JUKE 2010-19 FHN</t>
  </si>
  <si>
    <t>C11</t>
  </si>
  <si>
    <t>LATIO 2015- FHC</t>
  </si>
  <si>
    <t>MARCH</t>
  </si>
  <si>
    <t>MARCH 2011- FHN</t>
  </si>
  <si>
    <t>Y60</t>
  </si>
  <si>
    <t>PATROL 1980  FHC0</t>
  </si>
  <si>
    <t>WD21</t>
  </si>
  <si>
    <t>TERRANO 1986-95 FHC</t>
  </si>
  <si>
    <t>ZR30</t>
  </si>
  <si>
    <t>XTRAIL1T30 2004-08 FHC</t>
  </si>
  <si>
    <t>XT07</t>
  </si>
  <si>
    <t>XTRAIL2T31 2007-13FHC</t>
  </si>
  <si>
    <t>UD NISSAN</t>
  </si>
  <si>
    <t>UDQST</t>
  </si>
  <si>
    <t>UD QUESTER FHN</t>
  </si>
  <si>
    <t>APV 2004- FHN</t>
  </si>
  <si>
    <t>S1AP</t>
  </si>
  <si>
    <t>APV 2004- AR</t>
  </si>
  <si>
    <t>SZ687</t>
  </si>
  <si>
    <t>BALENO1 1995-01 FHG</t>
  </si>
  <si>
    <t>SL410</t>
  </si>
  <si>
    <t>CARRY 1991-17 FDL/R</t>
  </si>
  <si>
    <t>ERTIGA1 2013-17 FHN</t>
  </si>
  <si>
    <t>ERTIGA2 2018- FHN</t>
  </si>
  <si>
    <t>ERTIGA2 2018- FDL/R</t>
  </si>
  <si>
    <t>ASH IKUT R31</t>
  </si>
  <si>
    <t>ERTIGA2 2018- RDL/R</t>
  </si>
  <si>
    <t>YOG</t>
  </si>
  <si>
    <t>ESTEEM 1989-90 FHG</t>
  </si>
  <si>
    <t>FUTURA/SS 1991-2018 FH0</t>
  </si>
  <si>
    <t>Y9B</t>
  </si>
  <si>
    <t>FUTURA 1991-18 FDL/R</t>
  </si>
  <si>
    <t>FUTURANEWCARRYNEW 2019- FHN</t>
  </si>
  <si>
    <t>SUESC</t>
  </si>
  <si>
    <t>GRANDESCUDO 2001 FHN</t>
  </si>
  <si>
    <t>JIMNYKATANA 1986-91 FH0</t>
  </si>
  <si>
    <t>KARIMUNWAGONR 2014- FHN</t>
  </si>
  <si>
    <t>SUSPL</t>
  </si>
  <si>
    <t>SPLASH 2010- FHN</t>
  </si>
  <si>
    <t>SWIFT</t>
  </si>
  <si>
    <t>SWIFT2 2011- FHN</t>
  </si>
  <si>
    <t>YA7</t>
  </si>
  <si>
    <t>VITARA/ESCUDOYA7 1988-98 FHN</t>
  </si>
  <si>
    <t>TOY/DAI</t>
  </si>
  <si>
    <t>AGYA/AYLA 2013- FHN</t>
  </si>
  <si>
    <t>AY80</t>
  </si>
  <si>
    <t>AGYA/AYLA 2013- AR</t>
  </si>
  <si>
    <t>AVANZA1/XENIA1/TA04 2003-11 FHN</t>
  </si>
  <si>
    <t>AVANZA2/XENIA2/TA11 2011-15 FHN</t>
  </si>
  <si>
    <t>AX210</t>
  </si>
  <si>
    <t>AVANZA2/XENIA2/TA11 2011-20 SWL</t>
  </si>
  <si>
    <t>AX220</t>
  </si>
  <si>
    <t>AVANZA2/XENIA2/TA11 2011-20 SWR</t>
  </si>
  <si>
    <t>BZ420</t>
  </si>
  <si>
    <t>AVANZA2/XENIA2/TA11 2011-20 AR</t>
  </si>
  <si>
    <t>AVANZA3/XENIA3/TA15 2015-20 FHN</t>
  </si>
  <si>
    <r>
      <rPr>
        <rFont val="Calibri"/>
        <color theme="1"/>
        <sz val="6.0"/>
      </rPr>
      <t>AX60</t>
    </r>
  </si>
  <si>
    <t>AVANZA4/XENIA4/TA21 FHN</t>
  </si>
  <si>
    <t>CALYA/SIGRA 2016- FHN</t>
  </si>
  <si>
    <t>CAS20</t>
  </si>
  <si>
    <t>CALYA/SIGRA 2016- AR</t>
  </si>
  <si>
    <t>CS330</t>
  </si>
  <si>
    <t>CALYA/SIGRA 2016- FDL/R</t>
  </si>
  <si>
    <t>CS300</t>
  </si>
  <si>
    <t>CALYA/SIGRA 2016- SWL/R</t>
  </si>
  <si>
    <t>RUSH1/TERIOS1 2007-18 FHN</t>
  </si>
  <si>
    <t>RUSH2/TERIOS2 2018- FHN</t>
  </si>
  <si>
    <t>TR31 RMCB</t>
  </si>
  <si>
    <t>RUSH2/TERIOS2 2018- AR</t>
  </si>
  <si>
    <t>ALTIS 2000-06 FHG</t>
  </si>
  <si>
    <t>CAMRY4 2011-16 FHC</t>
  </si>
  <si>
    <t>KE70</t>
  </si>
  <si>
    <t>COROLLA KE70 1983-87/DX FHC0</t>
  </si>
  <si>
    <t>KE92</t>
  </si>
  <si>
    <t>COROLLATWINCAMKE92 1988 FHC</t>
  </si>
  <si>
    <t>KE100</t>
  </si>
  <si>
    <t>COROLLAGREAT 1988-94 FHC</t>
  </si>
  <si>
    <t>KE120</t>
  </si>
  <si>
    <t>COROLLAALLNEW 1996- FHC</t>
  </si>
  <si>
    <t>TCS</t>
  </si>
  <si>
    <t>CRESSIDA 1976-92 FHG</t>
  </si>
  <si>
    <t>AT170</t>
  </si>
  <si>
    <t>CORONA AT17 1988 FHC</t>
  </si>
  <si>
    <t>AT190</t>
  </si>
  <si>
    <t>CORONA AT19 1993-94 FHC</t>
  </si>
  <si>
    <t>LC FJ40/45 1976-84 FHC0</t>
  </si>
  <si>
    <t>FJ79</t>
  </si>
  <si>
    <t>HZJ78/79 2002-07 FHN</t>
  </si>
  <si>
    <t>LC FJ70 1984- FHC0</t>
  </si>
  <si>
    <t>FORTUNER1/HILUX2 2005-15 FHG</t>
  </si>
  <si>
    <t>FORTUNER2/HILUX3 2015- FHG</t>
  </si>
  <si>
    <t>INNOVA1 2005-14 FHN</t>
  </si>
  <si>
    <t>INNOVA2 2015- FHN</t>
  </si>
  <si>
    <t>K125</t>
  </si>
  <si>
    <t>KIJANGSUPER/GRAND K125 FHN</t>
  </si>
  <si>
    <t>510T</t>
  </si>
  <si>
    <t>KIJANGKAPSUL 510T FHN</t>
  </si>
  <si>
    <t>KIKAP</t>
  </si>
  <si>
    <t>KIJANGKAPSULEFI 2002-04 FHN</t>
  </si>
  <si>
    <t>SOLUNA 1997-03 FHN</t>
  </si>
  <si>
    <t>VIOS1 2002-07 FHN</t>
  </si>
  <si>
    <t>VIOS2 2007-13 FHN</t>
  </si>
  <si>
    <t>VIOS3 2013-/YARIS2 2013-/YARIS3 2018- FHN</t>
  </si>
  <si>
    <t>YARIS 2006-12 FHN</t>
  </si>
  <si>
    <t>WULING</t>
  </si>
  <si>
    <t>WCON</t>
  </si>
  <si>
    <t>CONFERO 2016- FHC</t>
  </si>
  <si>
    <t>FYG Code</t>
  </si>
  <si>
    <t>BGI Code</t>
  </si>
  <si>
    <t>MULIA Code</t>
  </si>
  <si>
    <t>SBY Code</t>
  </si>
  <si>
    <t>Posisi</t>
  </si>
  <si>
    <t>Pos</t>
  </si>
  <si>
    <t>PL KHUSUS* QTY</t>
  </si>
  <si>
    <t>PL</t>
  </si>
  <si>
    <t>A3-96-LFW-GTN/M</t>
  </si>
  <si>
    <t>- X -</t>
  </si>
  <si>
    <t>Depan</t>
  </si>
  <si>
    <t>A07-A303-8P-LFW-GTY/M</t>
  </si>
  <si>
    <t>AUDIA4-2001 LFW/X-GTN/M</t>
  </si>
  <si>
    <t>AUDIA4-B7-LFWRS-GTY/R</t>
  </si>
  <si>
    <t>Audi A4 06-08 B7</t>
  </si>
  <si>
    <t>A4B8-LFWRS2-GTY/R</t>
  </si>
  <si>
    <t>Audi A4 08-15 B8 (08-11 RS Bulat Air Hujan)</t>
  </si>
  <si>
    <t>5601ELFWGBN</t>
  </si>
  <si>
    <t>A05-A408 -B8-LFWRS-GTY/R</t>
  </si>
  <si>
    <t>F X -</t>
  </si>
  <si>
    <t>Audi A4 08-15 B8 (11-15 RS Bulat Sempurna)</t>
  </si>
  <si>
    <t>75200TRWGTN</t>
  </si>
  <si>
    <t>F - -</t>
  </si>
  <si>
    <t>Bagasi</t>
  </si>
  <si>
    <t>A02-A604-C6-LFWRS-GTN/R</t>
  </si>
  <si>
    <t>A604-TRWH-GTN</t>
  </si>
  <si>
    <t>TRW-AUDIC6</t>
  </si>
  <si>
    <t>59110LFWCGN</t>
  </si>
  <si>
    <t>A04-A611-C7-LFWRS-GTY/R</t>
  </si>
  <si>
    <t>7586ATRWGTY</t>
  </si>
  <si>
    <t>X/Heater/List</t>
  </si>
  <si>
    <t>Q3-LFWRS-GTY/R</t>
  </si>
  <si>
    <t>Audi Q3 12-17</t>
  </si>
  <si>
    <t>A03-Q508-LFWRS-GTY/R</t>
  </si>
  <si>
    <t>A02-Q508-TRWH-YPN</t>
  </si>
  <si>
    <t>A01-Q706-LFW/RS-GTY/R</t>
  </si>
  <si>
    <t>Q719-LFWRS-GTY/RK</t>
  </si>
  <si>
    <t>Audi Q7 15-</t>
  </si>
  <si>
    <t>03640LFWCGN</t>
  </si>
  <si>
    <t>E30-LFW-GGN</t>
  </si>
  <si>
    <t>03620TRWGTN</t>
  </si>
  <si>
    <t>Heater</t>
  </si>
  <si>
    <t>03780LFWGTN</t>
  </si>
  <si>
    <t>E36-LFW-GTN/M</t>
  </si>
  <si>
    <t>1318BTRWGTN</t>
  </si>
  <si>
    <t>E36-TRWH-GTN</t>
  </si>
  <si>
    <t>13180TDR1CLN</t>
  </si>
  <si>
    <t>E36-FDL-GTN/W</t>
  </si>
  <si>
    <t>Smpg</t>
  </si>
  <si>
    <t>13180TDR2CLN</t>
  </si>
  <si>
    <t>E36-FDR-GTN/W</t>
  </si>
  <si>
    <t>13180TDR3CLN</t>
  </si>
  <si>
    <t>13180TDR4GTN</t>
  </si>
  <si>
    <t>24530LFWGTN</t>
  </si>
  <si>
    <t>5057DLFWGTN</t>
  </si>
  <si>
    <t>E46-LFW-GTN/M</t>
  </si>
  <si>
    <t>2453ATRWGTN</t>
  </si>
  <si>
    <t>FD20440CLN</t>
  </si>
  <si>
    <t>FD20439CLN</t>
  </si>
  <si>
    <t>FD20442CLN</t>
  </si>
  <si>
    <t>FD20441CLN</t>
  </si>
  <si>
    <t>30910LFWGBN</t>
  </si>
  <si>
    <t>E46-LFWCOUPE-GBN</t>
  </si>
  <si>
    <t>BMW 3 Series 98-06 E46 (2-Door Coupe / Cabrio)</t>
  </si>
  <si>
    <t>5291DLFWGTN</t>
  </si>
  <si>
    <t>E90-LFWRS-GTY/R</t>
  </si>
  <si>
    <t>BMW 3 Series 05-12 E90 / E91</t>
  </si>
  <si>
    <t>5291ALFWGTN</t>
  </si>
  <si>
    <t>E90-LFW-GTY/M</t>
  </si>
  <si>
    <t>52910TRWGTN</t>
  </si>
  <si>
    <t>FD22617CLN</t>
  </si>
  <si>
    <t>FD22616CLN</t>
  </si>
  <si>
    <t>FD22619CLN</t>
  </si>
  <si>
    <t>FD22618CLN</t>
  </si>
  <si>
    <t>E90-TRWHA-GTN</t>
  </si>
  <si>
    <t>5934GLFWGTY</t>
  </si>
  <si>
    <t>F30-LFWRS-GTY/R</t>
  </si>
  <si>
    <t>59340TRWGTN</t>
  </si>
  <si>
    <t>59340TDR1CLN</t>
  </si>
  <si>
    <t>F30-FDL-GTN</t>
  </si>
  <si>
    <t>59340TDR2CLN</t>
  </si>
  <si>
    <t>59340TDR3CLN</t>
  </si>
  <si>
    <t>FD25624CLN</t>
  </si>
  <si>
    <t>E39-LFW-GTN/M</t>
  </si>
  <si>
    <t>5088CLFWGBN</t>
  </si>
  <si>
    <t>5088ALFWGBN</t>
  </si>
  <si>
    <t>E560-LFWRSO-GBY/MR</t>
  </si>
  <si>
    <t>50880TRWFGTN</t>
  </si>
  <si>
    <t>E60-TRWH-GTN</t>
  </si>
  <si>
    <t>FD22191CLN</t>
  </si>
  <si>
    <t>FD22190CLN</t>
  </si>
  <si>
    <t>FD22197CLN</t>
  </si>
  <si>
    <t>FD22196CLN</t>
  </si>
  <si>
    <t>5831FLFWGTN</t>
  </si>
  <si>
    <t>F10-LFWRS-GTY/MR</t>
  </si>
  <si>
    <t>BMW-F10-13-LFWRSK-GTY/R</t>
  </si>
  <si>
    <t>BMW-F10-TRWH-GTY</t>
  </si>
  <si>
    <t>FD24760CLN</t>
  </si>
  <si>
    <t>FD24759CLN</t>
  </si>
  <si>
    <t>FDR-F10</t>
  </si>
  <si>
    <t>FD24762CLN</t>
  </si>
  <si>
    <t>FD24761CLN</t>
  </si>
  <si>
    <t>BMW7-F02-LFWRS-GTY/MR</t>
  </si>
  <si>
    <t>5810BLFWGTN</t>
  </si>
  <si>
    <t>E84-LFWRS-GTN/MR</t>
  </si>
  <si>
    <t>FB24634GTN</t>
  </si>
  <si>
    <t>X1-E84-TRWH-GTN</t>
  </si>
  <si>
    <t>A116ALFWGTN</t>
  </si>
  <si>
    <t>F48-LFWRS1-GTY/R</t>
  </si>
  <si>
    <t>BMW X1 Series 15-22 F48</t>
  </si>
  <si>
    <t>F48-TRWH-YPN</t>
  </si>
  <si>
    <t>TRW-F48</t>
  </si>
  <si>
    <t>BMW X1 Series 15-22 F48 (Hitam)</t>
  </si>
  <si>
    <t>X3-F25-LFWRS-GTY/R</t>
  </si>
  <si>
    <t>X3-F25-TRWH-YPN</t>
  </si>
  <si>
    <t>TRW-F25</t>
  </si>
  <si>
    <t>BMW X3 Series 11-17 F25 (Hitam)</t>
  </si>
  <si>
    <t>28860LFWGBN</t>
  </si>
  <si>
    <t>X5-E53-LFWRS-GBY/MR</t>
  </si>
  <si>
    <t>FB20928FYPN</t>
  </si>
  <si>
    <t>E53-TRWH-YPN/K</t>
  </si>
  <si>
    <t>X/Heater/A/1hole</t>
  </si>
  <si>
    <t>5573ELFWGTN</t>
  </si>
  <si>
    <t>X5-E70-LFW-RS1-GTY/MR</t>
  </si>
  <si>
    <t>55730TRWGTN</t>
  </si>
  <si>
    <t>E70-TRWH-GTY/K</t>
  </si>
  <si>
    <t>X/Heater/A/3Hole</t>
  </si>
  <si>
    <t>55730TDR3CLN</t>
  </si>
  <si>
    <t>55730TDR7GTN</t>
  </si>
  <si>
    <t>A031DLFWGTN</t>
  </si>
  <si>
    <t>X5-F15-LFWRS-GTY/R</t>
  </si>
  <si>
    <t>A0310TDR3CLN</t>
  </si>
  <si>
    <t>A0310TDR4CLN</t>
  </si>
  <si>
    <t>E89-CAB-LFW/RS-GTN/MR</t>
  </si>
  <si>
    <t>Z4-E89-TRWH-GTN</t>
  </si>
  <si>
    <t>TRW-Z4</t>
  </si>
  <si>
    <t>CHERY</t>
  </si>
  <si>
    <t>7000BLFWGGN</t>
  </si>
  <si>
    <t>SPARK98-LFW-GBN/M</t>
  </si>
  <si>
    <t>QQFWCD</t>
  </si>
  <si>
    <t>F X M</t>
  </si>
  <si>
    <t>7000CTRWGTN</t>
  </si>
  <si>
    <t>QQ-S11-TRW-GTN</t>
  </si>
  <si>
    <t>28170LFWGBN</t>
  </si>
  <si>
    <t>AVEOT200-LFW-GBN/M</t>
  </si>
  <si>
    <t>28170TDR1CLN</t>
  </si>
  <si>
    <t>AVEO-T250-FDL-GTN/K</t>
  </si>
  <si>
    <t>28170TDR2CLN</t>
  </si>
  <si>
    <t>AVEO-T250-FDR-GTN/K</t>
  </si>
  <si>
    <t>2817ATRWGTN</t>
  </si>
  <si>
    <t>AVEO-T250-TRW/H-GTN</t>
  </si>
  <si>
    <t>KALOS4D-TRWH-GTN</t>
  </si>
  <si>
    <t>TRW-KALOS</t>
  </si>
  <si>
    <t>Chevrolet Aveo 99-11 T200 Sedan (Kalos) (Lampu [] )</t>
  </si>
  <si>
    <t>DW1695GBN</t>
  </si>
  <si>
    <t>T250-LFW-GBN/M</t>
  </si>
  <si>
    <t>Chevrolet Aveo 08-11 T250 Hatch. / (Kalos/Lova) (Pendek)</t>
  </si>
  <si>
    <t>LOVA-TRWH-GTN</t>
  </si>
  <si>
    <t>TRW-LOVA</t>
  </si>
  <si>
    <t>Chevrolet Aveo 08-11 T250 Sedan (Lova) (Lampu /\ )</t>
  </si>
  <si>
    <t>8717ALFWGTN</t>
  </si>
  <si>
    <t>AVEO-T300-LFW-GTN/M</t>
  </si>
  <si>
    <t>87170TRWGTN</t>
  </si>
  <si>
    <t>AVEO-T300-TRWH-GTN</t>
  </si>
  <si>
    <t>54960LFWGBN</t>
  </si>
  <si>
    <t>CAPTIVA06-LFW-GBN/M</t>
  </si>
  <si>
    <t>5496ALFWGBN</t>
  </si>
  <si>
    <t>CAPTIVA06-LFW/RS-GBN/MR</t>
  </si>
  <si>
    <t>5496CTRWGTN</t>
  </si>
  <si>
    <t>CAPTIVA06-TRW/H/6-GTN</t>
  </si>
  <si>
    <t>X/Heater/6Hole</t>
  </si>
  <si>
    <t>5496DTRWGTN</t>
  </si>
  <si>
    <t>54960TDR1CLN</t>
  </si>
  <si>
    <t>C01-CAPTIVA06-FDL-GTN/K</t>
  </si>
  <si>
    <t>54960TDR2CLN</t>
  </si>
  <si>
    <t>C04-CAPTIVA06-FD/R-GTN/K</t>
  </si>
  <si>
    <t>54960TDR3CLY</t>
  </si>
  <si>
    <t>C03-CAPTIVA06-RDL-GTN/K</t>
  </si>
  <si>
    <t>54960TDR4CLY</t>
  </si>
  <si>
    <t>CAPTIVA-RDR-GTN/K</t>
  </si>
  <si>
    <t>54960TDR5CLN</t>
  </si>
  <si>
    <t>54960TDR6CLN</t>
  </si>
  <si>
    <t>COLORADO12-LFW-GBN/M</t>
  </si>
  <si>
    <t>LFW-COLORADORS</t>
  </si>
  <si>
    <t>Chevrolet Colorado 12-16</t>
  </si>
  <si>
    <t>50500LFWCGN</t>
  </si>
  <si>
    <t>OPTRA-LFW-GGN/M</t>
  </si>
  <si>
    <t>5856ALFWGBN</t>
  </si>
  <si>
    <t>ORLANDO12-LFWRS-GBN/MRK</t>
  </si>
  <si>
    <t>58560LFWGTN</t>
  </si>
  <si>
    <t>58560TDR4CLN</t>
  </si>
  <si>
    <t>58560TDR5CLN</t>
  </si>
  <si>
    <t>20820LFWAGBN</t>
  </si>
  <si>
    <t>Chevrolet Spark 98-05 M100 1stGen (800cc) / QQ</t>
  </si>
  <si>
    <t>20820TRWGTN</t>
  </si>
  <si>
    <t>SPARK98-TRWH-GTN</t>
  </si>
  <si>
    <t>57240LFWGBN</t>
  </si>
  <si>
    <t>57240TRWGTN</t>
  </si>
  <si>
    <t>57240TDR3CLN</t>
  </si>
  <si>
    <t>57240TDR4CLN</t>
  </si>
  <si>
    <t>57240TDR6CLN</t>
  </si>
  <si>
    <t>5837BLFWGBN</t>
  </si>
  <si>
    <t>SPARK10-LFW-GBN/M</t>
  </si>
  <si>
    <t>58370TRWGTN</t>
  </si>
  <si>
    <t>58370TDR3CLN</t>
  </si>
  <si>
    <t>58370TDR4CLN</t>
  </si>
  <si>
    <t>58370TDR5CLN</t>
  </si>
  <si>
    <t>C02-SPARK10-RDL-GTN/K</t>
  </si>
  <si>
    <t>58370TDR6CLN</t>
  </si>
  <si>
    <t>SPARKM400-LFW-GTN/M</t>
  </si>
  <si>
    <t>SPARKM400-TRWH-GTN</t>
  </si>
  <si>
    <t>46510LFWGTN</t>
  </si>
  <si>
    <t>SPIN13-LFW-GTN/M</t>
  </si>
  <si>
    <t>SPINFWCD</t>
  </si>
  <si>
    <t>SPIN13-TRW/H/1-GTN</t>
  </si>
  <si>
    <t>TRALBLAZER-LFW-GBN/RW</t>
  </si>
  <si>
    <t>45940TRWGTN</t>
  </si>
  <si>
    <t>TRAILBLAZER-TRW-GTN</t>
  </si>
  <si>
    <t>45940TDR3CLN</t>
  </si>
  <si>
    <t>TRAILBLAZER-RDL-GTN</t>
  </si>
  <si>
    <t>45940TDR4CLN</t>
  </si>
  <si>
    <t>TRAILBLAZER-RDR-GTN</t>
  </si>
  <si>
    <t>4683DLFWGBN</t>
  </si>
  <si>
    <t>TRAX-LFW-GBN/M</t>
  </si>
  <si>
    <t>TRAX17-LFWRS-GBN/M</t>
  </si>
  <si>
    <t>46830TRWGTN</t>
  </si>
  <si>
    <t>TRAX-TRWH-GTN</t>
  </si>
  <si>
    <t>2700CLFWGTN</t>
  </si>
  <si>
    <t>ZAFIRA-LFW-GTN/M</t>
  </si>
  <si>
    <t>27000TRWGTN</t>
  </si>
  <si>
    <t>58810LFWGTN</t>
  </si>
  <si>
    <t>D04-GMAX-LFW-GTN</t>
  </si>
  <si>
    <t>GMFWCB</t>
  </si>
  <si>
    <t>GMDRCB</t>
  </si>
  <si>
    <t>- - M</t>
  </si>
  <si>
    <t>D06-SIRION-LFW-GTN/M</t>
  </si>
  <si>
    <t>SIRIONFWCB</t>
  </si>
  <si>
    <t>- X M</t>
  </si>
  <si>
    <t>51430TRWGTN</t>
  </si>
  <si>
    <t>D06-SIRION07-TRWH-GTN</t>
  </si>
  <si>
    <t>NSRNFWCB</t>
  </si>
  <si>
    <t>D02-SIRION2-TRWH-GTY</t>
  </si>
  <si>
    <t>SIRION3-LFW-GTN</t>
  </si>
  <si>
    <t>LFW-SIRION3</t>
  </si>
  <si>
    <t>X626FWCB</t>
  </si>
  <si>
    <t>D05-TARUNA-TRW-GTN</t>
  </si>
  <si>
    <t>27220LFWGTN</t>
  </si>
  <si>
    <t>YRV-LFW-GTN</t>
  </si>
  <si>
    <t>DODGE</t>
  </si>
  <si>
    <t>59920LFWGTN</t>
  </si>
  <si>
    <t>DB11559GTN</t>
  </si>
  <si>
    <t>DODGEJOURNEY-TRW-GTN</t>
  </si>
  <si>
    <t>DODGEJOURNEY-FDL-GTN</t>
  </si>
  <si>
    <t>FDL-DODGE</t>
  </si>
  <si>
    <t>DODGEJOURNEY-RDR-GTN</t>
  </si>
  <si>
    <t>RDR-DODGE</t>
  </si>
  <si>
    <t>FIAT</t>
  </si>
  <si>
    <t>FIAT500-LFW-GTY/M</t>
  </si>
  <si>
    <t>LFW-FIAT500</t>
  </si>
  <si>
    <t>Fiat 500 Hatchback 07- (3 Door)</t>
  </si>
  <si>
    <t>4684ALFWGTN</t>
  </si>
  <si>
    <t>ECOSPORT-LFW-GTN/M</t>
  </si>
  <si>
    <t>4684BLFWGTN</t>
  </si>
  <si>
    <t>ECOSPORT15-LFW/RS-GTN/MR</t>
  </si>
  <si>
    <t>9245ATRWGTN</t>
  </si>
  <si>
    <t>ECOSPORT15-TRW-GTN</t>
  </si>
  <si>
    <t>92450TDR3CLN</t>
  </si>
  <si>
    <t>ECOSPORT13-FDL-GTN</t>
  </si>
  <si>
    <t>92450TDR4CLN</t>
  </si>
  <si>
    <t>ECOSPORT13-FDR-GTN</t>
  </si>
  <si>
    <t>92450TDR5GTY</t>
  </si>
  <si>
    <t>ECOSPORT-RDL-GTN</t>
  </si>
  <si>
    <t>92450TDR6CLN</t>
  </si>
  <si>
    <t>ECOSPORT13-RDR-GTN</t>
  </si>
  <si>
    <t>DW1397AGBN</t>
  </si>
  <si>
    <t>ESCAPE01-LFW-GBN/M</t>
  </si>
  <si>
    <t>Ford Escape 00-12 / Mazda Tribute</t>
  </si>
  <si>
    <t>5239ATRWGTN</t>
  </si>
  <si>
    <t>ESCAPE01-TRWH-GTN</t>
  </si>
  <si>
    <t>EVEREST04-LFW-GTN</t>
  </si>
  <si>
    <t>FDRGFWCD</t>
  </si>
  <si>
    <t>3074BTRWGTN</t>
  </si>
  <si>
    <t>F01-EVEREST04-TRW/H-GTN</t>
  </si>
  <si>
    <t>Ford Everest 04-15</t>
  </si>
  <si>
    <t>EVEREST15-LFWRS-GTY/R</t>
  </si>
  <si>
    <t>LFW-EVEREST15</t>
  </si>
  <si>
    <t>Ford Everest 15-21</t>
  </si>
  <si>
    <t>6326NLFWGTN</t>
  </si>
  <si>
    <t>FIESTA08-LFW-GTN/M</t>
  </si>
  <si>
    <t>FIESTFWCB</t>
  </si>
  <si>
    <t>DB11812GTN</t>
  </si>
  <si>
    <t>F06-FIESTA08-TRWH-GTN</t>
  </si>
  <si>
    <t>63260TDR3CLN</t>
  </si>
  <si>
    <t>F04-FIESTA08-FDL-GTN</t>
  </si>
  <si>
    <t>63260TDR4CLN</t>
  </si>
  <si>
    <t>F05-FIESTA08-FDR-GTN</t>
  </si>
  <si>
    <t>DD11807CLN</t>
  </si>
  <si>
    <t>FIESTA08-RD/L-GTN</t>
  </si>
  <si>
    <t>DD11806CLN</t>
  </si>
  <si>
    <t>FIESTA08-RD/R-GTN</t>
  </si>
  <si>
    <t>6326HLFWGTN</t>
  </si>
  <si>
    <t>F02-FIESTA13-LFWRSO-GTY/MR</t>
  </si>
  <si>
    <t>95610LFWGTN</t>
  </si>
  <si>
    <t>F03-FIESTA08-LFWRS[]-GTY/MR</t>
  </si>
  <si>
    <t>53380LFWGTN</t>
  </si>
  <si>
    <t>F08-FOCUS04-LFW-GTN/M</t>
  </si>
  <si>
    <t>2560ATRWGTN</t>
  </si>
  <si>
    <t>DW02206GTY</t>
  </si>
  <si>
    <t>F07-FOCUS11-LFWRS-GTY/MK</t>
  </si>
  <si>
    <t>DB11879GTY</t>
  </si>
  <si>
    <t>MUSTANG-LFWRS-GTN/MR</t>
  </si>
  <si>
    <t>Ford Mustang 2D Coupe 15-23</t>
  </si>
  <si>
    <t>59500LFWGTN</t>
  </si>
  <si>
    <t>RANGERT6-LFWRS-GTN/MR</t>
  </si>
  <si>
    <t>RANGER-T6-LFW-GTN/M</t>
  </si>
  <si>
    <t>F2398FWCD0</t>
  </si>
  <si>
    <t>F02-RANGER11-TRW/H-GTN</t>
  </si>
  <si>
    <t>GEELY</t>
  </si>
  <si>
    <t>8410ALFWGTN</t>
  </si>
  <si>
    <t>GEELYMK-LFW-GTN/M</t>
  </si>
  <si>
    <t>83640LFWGTN</t>
  </si>
  <si>
    <t>PANDA-LFW-GTN/M</t>
  </si>
  <si>
    <t>G01-PANDA-LC-TRWH6-GTN</t>
  </si>
  <si>
    <t>FW520GTN</t>
  </si>
  <si>
    <t>ACCORD86-LFW-GTN</t>
  </si>
  <si>
    <t>02880TRWGTN</t>
  </si>
  <si>
    <t>02880TDR1CLN</t>
  </si>
  <si>
    <t>02880TDR2CLN</t>
  </si>
  <si>
    <t>ACCORD86-FD/R-GTN</t>
  </si>
  <si>
    <t>02880TDR3CLN</t>
  </si>
  <si>
    <t>02880TDR4CLN</t>
  </si>
  <si>
    <t>02840LFWGTN</t>
  </si>
  <si>
    <t>H03-MAESTRO-LFW-GTN</t>
  </si>
  <si>
    <t>02840TRWGTN</t>
  </si>
  <si>
    <t>MAESTRO-TRW/H-GTN</t>
  </si>
  <si>
    <t>03110LFWGBN</t>
  </si>
  <si>
    <t>CIELO-LFW-GBN</t>
  </si>
  <si>
    <t>03110TRWGTN</t>
  </si>
  <si>
    <t>CIELO-TRW-GTN</t>
  </si>
  <si>
    <t>CIELO2-TRW-GTN</t>
  </si>
  <si>
    <t>1644ALFWGBN</t>
  </si>
  <si>
    <t>H14-ACCORD98-S84-LFW-GBN/M</t>
  </si>
  <si>
    <t>3056ATRWGTN</t>
  </si>
  <si>
    <t>H16-ACCORD98-S84-TRWH-GTN</t>
  </si>
  <si>
    <t>FD20318CLN</t>
  </si>
  <si>
    <t>FD20317CLN</t>
  </si>
  <si>
    <t>H15-ACCORD98-S84-RDR-GTN/K</t>
  </si>
  <si>
    <t>50630LFWGTN</t>
  </si>
  <si>
    <t>ACCORD03-LFW-GTN/M</t>
  </si>
  <si>
    <t>50630TRWGTN</t>
  </si>
  <si>
    <t>ACCORD03-TRW-GTN</t>
  </si>
  <si>
    <t>5572CLFWGBN</t>
  </si>
  <si>
    <t>ACCORD08-LFW-GBN/M</t>
  </si>
  <si>
    <t>H17-ACCORD08-LFWRS-GBY/MR</t>
  </si>
  <si>
    <t>55720TRWGTN</t>
  </si>
  <si>
    <t>ACCORD08-TRW-GTN</t>
  </si>
  <si>
    <t>4629GLFWGBN</t>
  </si>
  <si>
    <t>ACCORD13-LFWRS-GBN/MRK</t>
  </si>
  <si>
    <t>46290LFWCGN</t>
  </si>
  <si>
    <t>46290TRWGTN</t>
  </si>
  <si>
    <t>ACCORD13-TRWH-GTY/K</t>
  </si>
  <si>
    <t>46290TDR2CLN</t>
  </si>
  <si>
    <t>46290TDR3CLN</t>
  </si>
  <si>
    <t>H04-BRV-LFW-GTN</t>
  </si>
  <si>
    <t>LFW-BRV</t>
  </si>
  <si>
    <t>Honda BR-V 16-21</t>
  </si>
  <si>
    <t>BRV-TRW/1-GTN</t>
  </si>
  <si>
    <t>TRW-BRV</t>
  </si>
  <si>
    <t>BRV22-LFWRS-GTN/K</t>
  </si>
  <si>
    <t>Honda BR-V 22- 2nd Gen (1 Sensor / /\ )</t>
  </si>
  <si>
    <t>46910LFWGTN</t>
  </si>
  <si>
    <t>BRIO12-LFW-GTN</t>
  </si>
  <si>
    <t>MBLOFWCB</t>
  </si>
  <si>
    <t>BRIO12-TRWN-GTN</t>
  </si>
  <si>
    <t>H09-BRIO1-TRW9-GTN</t>
  </si>
  <si>
    <t>BRIO19-TRW-GTN</t>
  </si>
  <si>
    <t>12490LFWGTN</t>
  </si>
  <si>
    <t>CITYZ-LFW-GTN</t>
  </si>
  <si>
    <t>SX8FWCD</t>
  </si>
  <si>
    <t>1249ATRWGTN</t>
  </si>
  <si>
    <t>CITYZ-TRW/H-GTN</t>
  </si>
  <si>
    <t>50510LFWGTN</t>
  </si>
  <si>
    <t>CITY02-LFW-GTN</t>
  </si>
  <si>
    <t>NCITYFWCB</t>
  </si>
  <si>
    <t>50510TRWGTN</t>
  </si>
  <si>
    <t>CITY02-TRW/H-GTN</t>
  </si>
  <si>
    <t>5706ALFWGTN</t>
  </si>
  <si>
    <t>CITY08-LFW-GTN</t>
  </si>
  <si>
    <t>57060TRWGTN</t>
  </si>
  <si>
    <t>CITY08-TRWH-GTN</t>
  </si>
  <si>
    <t>A017BLFWGTN</t>
  </si>
  <si>
    <t>H18-CITY14-LFW-GTN/M</t>
  </si>
  <si>
    <t>CITY14-TRWH-GTN</t>
  </si>
  <si>
    <t>CITY20-LFW-GTN/M</t>
  </si>
  <si>
    <t>SH4FWCB</t>
  </si>
  <si>
    <t>FW732GTN</t>
  </si>
  <si>
    <t>H19-ESTILO-LFW-GTN/M</t>
  </si>
  <si>
    <t>02920TRWGTN</t>
  </si>
  <si>
    <t>ESTILO-TRWH-GTN</t>
  </si>
  <si>
    <t>X/Heater/10Hole</t>
  </si>
  <si>
    <t>02920TDR1CLN</t>
  </si>
  <si>
    <t>ESTILO-FDL-GTN/K</t>
  </si>
  <si>
    <t>02920TDR2CLN</t>
  </si>
  <si>
    <t>H20-ESTILO-FDR-GTN</t>
  </si>
  <si>
    <t>02920TDR3CLN</t>
  </si>
  <si>
    <t>02920TDR4CLN</t>
  </si>
  <si>
    <t>FW709GTN</t>
  </si>
  <si>
    <t>GENIO-LFW-GTN/M</t>
  </si>
  <si>
    <t>FD4597CLN</t>
  </si>
  <si>
    <t>0318ATRWGTN</t>
  </si>
  <si>
    <t>GENIO-TRW/H-GTN</t>
  </si>
  <si>
    <t>1067ALFWGGN</t>
  </si>
  <si>
    <t>FERIO-LFW-GGN</t>
  </si>
  <si>
    <t>10670TRWGTN</t>
  </si>
  <si>
    <t>H05-CIVIC96-TRWH-GTN</t>
  </si>
  <si>
    <t>10670TDR4CLN</t>
  </si>
  <si>
    <t>10670TDR5CLN</t>
  </si>
  <si>
    <t>10670TDR6CLN</t>
  </si>
  <si>
    <t>2616ALFWGBY</t>
  </si>
  <si>
    <t>CIVIC00-LFW-GBN</t>
  </si>
  <si>
    <t>FB21072GTN</t>
  </si>
  <si>
    <t>H06-CIVIC00-TRWHA-GTN</t>
  </si>
  <si>
    <t>CIVIC05-HB-TRW-GTN</t>
  </si>
  <si>
    <t>5373CLFWGBN</t>
  </si>
  <si>
    <t>CIVIC05-LFW-GBN/M</t>
  </si>
  <si>
    <t>53730TRWGTN</t>
  </si>
  <si>
    <t>CIVIC05-TRW/H/A-GTN</t>
  </si>
  <si>
    <t>FD22694CLY</t>
  </si>
  <si>
    <t>CIVIC05-FD/L-GTN/K</t>
  </si>
  <si>
    <t>FD22693CLY</t>
  </si>
  <si>
    <t>CIVIC05-FD/R-GTN/K</t>
  </si>
  <si>
    <t>53730TDR1CLN</t>
  </si>
  <si>
    <t>53730TDR2CLN</t>
  </si>
  <si>
    <t>FV22698CLN</t>
  </si>
  <si>
    <t>FV22697CLN</t>
  </si>
  <si>
    <t>8713ALFWGBN</t>
  </si>
  <si>
    <t>CIVIC11-LFW-GBN/M</t>
  </si>
  <si>
    <t>8713ATRWGTN</t>
  </si>
  <si>
    <t>CIVIC11-TRWH-GTN</t>
  </si>
  <si>
    <t>CIVIC16-LFW/RS-GBN/MR</t>
  </si>
  <si>
    <t>Honda Civic 16-21 10th Gen</t>
  </si>
  <si>
    <t>H07-CIVIC16HB-TRWH-YPN</t>
  </si>
  <si>
    <t>Honda Civic 16-21 10th Gen Hatchback (Hitam)</t>
  </si>
  <si>
    <t>8912JTRWGTN</t>
  </si>
  <si>
    <t>Honda Civic 16-21 10th Gen Sedan</t>
  </si>
  <si>
    <t>17860LFWGTN</t>
  </si>
  <si>
    <t>CRV95-LFW-GTN</t>
  </si>
  <si>
    <t>17860TRWGTN</t>
  </si>
  <si>
    <t>CRV95-TRWH-GTN</t>
  </si>
  <si>
    <t>17860TDR1CLN</t>
  </si>
  <si>
    <t>17860TDR2CLN</t>
  </si>
  <si>
    <t>17860TDR5CLN</t>
  </si>
  <si>
    <t>17860TDR6CLN</t>
  </si>
  <si>
    <t>17860TDR7CLN</t>
  </si>
  <si>
    <t>CRV95-SWL-GTN</t>
  </si>
  <si>
    <t>17860TDR8CLN</t>
  </si>
  <si>
    <t>CRV95-SWR-GTN</t>
  </si>
  <si>
    <t>2809FLFWGTN</t>
  </si>
  <si>
    <t>CRV02-LFW-GTN/M</t>
  </si>
  <si>
    <t>2809ELFWGTN</t>
  </si>
  <si>
    <t>CRV-04-LFW-GTN/M</t>
  </si>
  <si>
    <t>28090TRWGTY</t>
  </si>
  <si>
    <t>CRV02-TRW/H/6-GTN</t>
  </si>
  <si>
    <t>28090TDR3CLY</t>
  </si>
  <si>
    <t>28090TDR4CLY</t>
  </si>
  <si>
    <t>28090TDR7CLN</t>
  </si>
  <si>
    <t>CRV02-SW/L-GTN</t>
  </si>
  <si>
    <t>28090TDR8CLN</t>
  </si>
  <si>
    <t>CRV02-SW/R-GTN</t>
  </si>
  <si>
    <t>5459ALFWGBN</t>
  </si>
  <si>
    <t>CRV07-LFW-GBN/M</t>
  </si>
  <si>
    <t>AE4FWCD2</t>
  </si>
  <si>
    <t>54590TRWGTN</t>
  </si>
  <si>
    <t>CRV07-TRWH-GTN</t>
  </si>
  <si>
    <t>X/Heater/2Hole</t>
  </si>
  <si>
    <t>54590TDR5CLN</t>
  </si>
  <si>
    <t>CRV07-SWL-GTN</t>
  </si>
  <si>
    <t>54590TDR6CLN</t>
  </si>
  <si>
    <t>CRV07-SWR-GTN</t>
  </si>
  <si>
    <t>4578CLFWGBN</t>
  </si>
  <si>
    <t>CRV12-LFW-GBN/M</t>
  </si>
  <si>
    <t>HNCRVFWCD</t>
  </si>
  <si>
    <t>45780TRWGTN</t>
  </si>
  <si>
    <t>CRV12-TRWH-FLAT-GTN</t>
  </si>
  <si>
    <t>4578ATRWGTN</t>
  </si>
  <si>
    <t>CRV12-TRWH-CURVE-GTN</t>
  </si>
  <si>
    <t>45780TDR1CLY</t>
  </si>
  <si>
    <t>45780TDR2CLY</t>
  </si>
  <si>
    <t>45780TDR3CLY</t>
  </si>
  <si>
    <t>45780TDR4CLY</t>
  </si>
  <si>
    <t>CRV-18-LFWRS-GBN/MRKW</t>
  </si>
  <si>
    <t>FW04534GBN</t>
  </si>
  <si>
    <t>H21-CRV17-LFW-GBN/M</t>
  </si>
  <si>
    <t>FB27125GTN</t>
  </si>
  <si>
    <t>CRV17-TRWH-GTN</t>
  </si>
  <si>
    <t>CRV23-LFWRS-GTN/MRK</t>
  </si>
  <si>
    <t>LFW-CRV23</t>
  </si>
  <si>
    <t>Honda CR-V 23- 6th Gen (2 Sensor / O /\ )</t>
  </si>
  <si>
    <t>5825ALFWGBN</t>
  </si>
  <si>
    <t>CR-Z-R-VCPS LFW/X-GTN</t>
  </si>
  <si>
    <t>51050LFWGBN</t>
  </si>
  <si>
    <t>ELYSION04-LFW-GTN/M</t>
  </si>
  <si>
    <t>51050TRWGTN</t>
  </si>
  <si>
    <t>ELYSION04-TRW/H/1-GTN</t>
  </si>
  <si>
    <t>5105ATRWGTN</t>
  </si>
  <si>
    <t>H24-ELYSION07-TRW/H1-GTN</t>
  </si>
  <si>
    <t>56240LFWGTN</t>
  </si>
  <si>
    <t>FREED-LFW-GTN/M</t>
  </si>
  <si>
    <t>FREEDFWCB</t>
  </si>
  <si>
    <t>56240TRWGTN</t>
  </si>
  <si>
    <t>FREED-TRW-GTN</t>
  </si>
  <si>
    <t>56240TDR7CLN</t>
  </si>
  <si>
    <t>56240TDR8CLN</t>
  </si>
  <si>
    <t>4672CLFWGBN</t>
  </si>
  <si>
    <t>H02-HRV-LFW-GBN/M</t>
  </si>
  <si>
    <t>LFW-HRV</t>
  </si>
  <si>
    <t>46720TRWGTN</t>
  </si>
  <si>
    <t>H22-HRV-TRWH-GTN</t>
  </si>
  <si>
    <t>TRW-HRV</t>
  </si>
  <si>
    <t>HRV22-LFWRS-GTN/MRK</t>
  </si>
  <si>
    <t>27080LFWGTN</t>
  </si>
  <si>
    <t>JAZZ-1-LFW-GTN</t>
  </si>
  <si>
    <t>HA2708FWCB</t>
  </si>
  <si>
    <t>27080TRWGTN</t>
  </si>
  <si>
    <t>JAZZ-1-TRW/H-GTY</t>
  </si>
  <si>
    <t>27080TDR3CLY</t>
  </si>
  <si>
    <t>27080TDR1CLN</t>
  </si>
  <si>
    <t>27080TDR5CLY</t>
  </si>
  <si>
    <t>27080TDR6CLY</t>
  </si>
  <si>
    <t>55670LFWGTN</t>
  </si>
  <si>
    <t>JAZZ-2-LFW-GTN/M</t>
  </si>
  <si>
    <t>JAZZFW</t>
  </si>
  <si>
    <t>55670TRWGTN</t>
  </si>
  <si>
    <t>JAZZ2-TRW/H-GTN</t>
  </si>
  <si>
    <t>55670TDR3CLY</t>
  </si>
  <si>
    <t>55670TDR7CLN</t>
  </si>
  <si>
    <t>55670TDR8CLN</t>
  </si>
  <si>
    <t>46620LFWGTN</t>
  </si>
  <si>
    <t>JAZZ3-LFW-GTN/M</t>
  </si>
  <si>
    <t>46620TRWGTN</t>
  </si>
  <si>
    <t>H08-JAZZ3-TRW/H-GTN</t>
  </si>
  <si>
    <t>51940LFWCGN</t>
  </si>
  <si>
    <t>MOBILIO-TRW-GTN</t>
  </si>
  <si>
    <t>ODYSSEY94-TRWH-GTN</t>
  </si>
  <si>
    <t>TRW-ODYSSEY94</t>
  </si>
  <si>
    <t>Honda Odyssey 94-99 1st Gen RA1-RA5</t>
  </si>
  <si>
    <t>22930LFWGBN</t>
  </si>
  <si>
    <t>ODYSSEY99-LFW-GBN/M</t>
  </si>
  <si>
    <t>22930TRWGTN</t>
  </si>
  <si>
    <t>ODYSSEY99-TRWH-GTN</t>
  </si>
  <si>
    <t>50760LFWGBN</t>
  </si>
  <si>
    <t>ODYSSEY03-LFW-GBN/M</t>
  </si>
  <si>
    <t>50760TRWGTN</t>
  </si>
  <si>
    <t>ODYSSEY03-TRWH-GTN</t>
  </si>
  <si>
    <t>50760TDR3CLN</t>
  </si>
  <si>
    <t>50760TDR4CLN</t>
  </si>
  <si>
    <t>50760TDR5CLN</t>
  </si>
  <si>
    <t>50760TDR6CLN</t>
  </si>
  <si>
    <t>50760TDR7CLN</t>
  </si>
  <si>
    <t>50760TDR8CLN</t>
  </si>
  <si>
    <t>57020LFWGBN</t>
  </si>
  <si>
    <t>ODYSSEY09-LFW-GTN/M</t>
  </si>
  <si>
    <t>RB3-R RW/H/X-GTN</t>
  </si>
  <si>
    <t>57020TDR3CLN</t>
  </si>
  <si>
    <t>57020TDR4CLN</t>
  </si>
  <si>
    <t>57020TDR5CLN</t>
  </si>
  <si>
    <t>57020TDR6CLN</t>
  </si>
  <si>
    <t>57020TDR7CLN</t>
  </si>
  <si>
    <t>57020TDR8CLN</t>
  </si>
  <si>
    <t>46630LFWGBN</t>
  </si>
  <si>
    <t>ODYSSEY13-LFW-GBN/M</t>
  </si>
  <si>
    <t>46630TRWGTN</t>
  </si>
  <si>
    <t>ODYSSEY13-TRWH-GTN</t>
  </si>
  <si>
    <t>46630TDR5CLN</t>
  </si>
  <si>
    <t>46630TDR6CLN</t>
  </si>
  <si>
    <t>46630TDR7CLN</t>
  </si>
  <si>
    <t>26900TRWGTN</t>
  </si>
  <si>
    <t>STREAM00-TRW/H-GTN</t>
  </si>
  <si>
    <t>26900TDR4CLN</t>
  </si>
  <si>
    <t>STREAMNOMB-LFW-GTN</t>
  </si>
  <si>
    <t>2690CLFWGTN</t>
  </si>
  <si>
    <t>STREAM00-LFW-GTN/M</t>
  </si>
  <si>
    <t>AC5FWCD4</t>
  </si>
  <si>
    <t>Hyundai Accent / Excel 1/ Cakra 94-01 Sedan</t>
  </si>
  <si>
    <t>ACCENT95-TRWH-GTN</t>
  </si>
  <si>
    <t>AVEGA03-LFW-GTN/M</t>
  </si>
  <si>
    <t>Hyundai Accent Verna / Excel 2 / Avega 01-12 Sedan</t>
  </si>
  <si>
    <t>26530TRWGTN</t>
  </si>
  <si>
    <t>VERNA-TRW-GTN</t>
  </si>
  <si>
    <t>H25-AVEGA03-TRWH-GTN</t>
  </si>
  <si>
    <t>MXFWCD</t>
  </si>
  <si>
    <t>CRETA21-LFWRS-GTN/MK</t>
  </si>
  <si>
    <t>CRETA-LFW-GTN/M</t>
  </si>
  <si>
    <t>CRETA-TRW-GTN</t>
  </si>
  <si>
    <t>5878BLFWGTN</t>
  </si>
  <si>
    <t>ELANTRA11-LFW-GTN/M</t>
  </si>
  <si>
    <t>50690LFWGTN</t>
  </si>
  <si>
    <t>GETZ LFW/X-GTN/M</t>
  </si>
  <si>
    <t>GETZFWCB0</t>
  </si>
  <si>
    <t>50690TRWGTN</t>
  </si>
  <si>
    <t>GETZ-TRW/H-GTN</t>
  </si>
  <si>
    <t>H10-GETZ-FDL-GTN/K</t>
  </si>
  <si>
    <t>H11-GETZ-FDR-GTN/K</t>
  </si>
  <si>
    <t>25180TDR3CLN</t>
  </si>
  <si>
    <t>25180TDR4CLN</t>
  </si>
  <si>
    <t>H12-GETZ-RDR-GTN</t>
  </si>
  <si>
    <t>8651ALFWGTN</t>
  </si>
  <si>
    <t>AVEGA11-RB-LFW-GTN/M</t>
  </si>
  <si>
    <t>Hyundai Grand Avega 11-16 RB / Excel 3</t>
  </si>
  <si>
    <t>8651ATRWGTN</t>
  </si>
  <si>
    <t>AVEGA11-RB-TRWH-GTN</t>
  </si>
  <si>
    <t>8651ATDR3CLN</t>
  </si>
  <si>
    <t>AVEGA11-RB-RDL-GTN/K</t>
  </si>
  <si>
    <t>8651ATDR4GTY</t>
  </si>
  <si>
    <t>5598ALFWGBN</t>
  </si>
  <si>
    <t>H13-STAREXH108-LFW-GBN/M</t>
  </si>
  <si>
    <t>5598BTRWGTN</t>
  </si>
  <si>
    <t>H26-H1-TRWH-GTN</t>
  </si>
  <si>
    <t>H1-NH-TRWH-GTN</t>
  </si>
  <si>
    <t>55980TDR5CLN</t>
  </si>
  <si>
    <t>H1-SFL-FZ-GTN</t>
  </si>
  <si>
    <t>H1-SFR-FZ-GTN</t>
  </si>
  <si>
    <t>55980TDR7CLN</t>
  </si>
  <si>
    <t>5694ALFWGTN</t>
  </si>
  <si>
    <t>H27-i10-08-LFW-GTN/M</t>
  </si>
  <si>
    <t>56940TRWGTN</t>
  </si>
  <si>
    <t>HYU-I10-08-TRWH-GTN</t>
  </si>
  <si>
    <t>56940TDR1CLN</t>
  </si>
  <si>
    <t>56940TDR2CLN</t>
  </si>
  <si>
    <t>56940TDR3CLN</t>
  </si>
  <si>
    <t>56940TDR4CLN</t>
  </si>
  <si>
    <t>BLR4976ALFWGTN</t>
  </si>
  <si>
    <t>HYUNDAI-I10-LFW-GTN/M</t>
  </si>
  <si>
    <t>49760TRWGTN</t>
  </si>
  <si>
    <t>I10-13-TRWH-GTN</t>
  </si>
  <si>
    <t>49760TDR3GTN</t>
  </si>
  <si>
    <t>I10-08-RDL-GTN/W</t>
  </si>
  <si>
    <t>49760TDR4CLN</t>
  </si>
  <si>
    <t>I10-08-RDR-GTN/W</t>
  </si>
  <si>
    <t>49760TDR5CLN</t>
  </si>
  <si>
    <t>49760TDR6CLN</t>
  </si>
  <si>
    <t>I20-08PB-LFW-GTN/M</t>
  </si>
  <si>
    <t>Hyundai i20 09-14 Hatchback</t>
  </si>
  <si>
    <t>I20-15V2-LFW-GTY/M</t>
  </si>
  <si>
    <t>LFW-I2015</t>
  </si>
  <si>
    <t>Hyundai i20 15-20 Hatchback</t>
  </si>
  <si>
    <t>IONIQ5-LFWRS-GTN/MRQKG</t>
  </si>
  <si>
    <t>LFW-IONIQ5RS</t>
  </si>
  <si>
    <t>IONIQ5-TRWH-YPN</t>
  </si>
  <si>
    <t>TRW-IONIQ5</t>
  </si>
  <si>
    <t>Hyundai Ioniq 5 SUV 22- (Hitam)</t>
  </si>
  <si>
    <t>28470LFWGTN</t>
  </si>
  <si>
    <t>MATRIX01-LFW-GTN/M</t>
  </si>
  <si>
    <t>2847ATRWGTN</t>
  </si>
  <si>
    <t>28470TRWGTN</t>
  </si>
  <si>
    <t>PALISADE-LFW-GTN/M</t>
  </si>
  <si>
    <t>Hyundai Palisade 20- 1st Gen</t>
  </si>
  <si>
    <t>PALISADE-LFWRS-GTN/M</t>
  </si>
  <si>
    <t>LFW-PALISADERS</t>
  </si>
  <si>
    <t>Hyundai Palisade 20- 1st Gen (tahun 20-22)</t>
  </si>
  <si>
    <t>PALISADE23-LFWRS-GTN/MGK</t>
  </si>
  <si>
    <t>LFW-PALISADERS23</t>
  </si>
  <si>
    <t>PALISADE-TRWH-GTN</t>
  </si>
  <si>
    <t>55090LFWGTN</t>
  </si>
  <si>
    <t>SANTAFE07-LFW-GTN/M</t>
  </si>
  <si>
    <t>FB23086GTN</t>
  </si>
  <si>
    <t>FD23071CLN</t>
  </si>
  <si>
    <t>FD23074CLN</t>
  </si>
  <si>
    <t>FQ23082CLN</t>
  </si>
  <si>
    <t>8786MLFWGBN</t>
  </si>
  <si>
    <t>SANTAFE12-LFW-GTN/M</t>
  </si>
  <si>
    <t>FB25743GTN</t>
  </si>
  <si>
    <t>SANTAFE13-TRWH-GTN</t>
  </si>
  <si>
    <t>87860TDR2CLN</t>
  </si>
  <si>
    <t>87860TDR3CLN</t>
  </si>
  <si>
    <t>87860TDR4CLN</t>
  </si>
  <si>
    <t>SANTAFE12-RDR-GTN/K</t>
  </si>
  <si>
    <t>SANTAFE19-LFWRS-GTN/MRQKG</t>
  </si>
  <si>
    <t>LFW-SANTAFE19RS</t>
  </si>
  <si>
    <t>Hyundai Santa Fe 18- (2 Sensor / O /\ )</t>
  </si>
  <si>
    <t>SANTAFE19-LFW-GBN/M</t>
  </si>
  <si>
    <t>SANTAFE19-TRWH-GTN/O</t>
  </si>
  <si>
    <t>STARGAZER-LFW-GTN/M</t>
  </si>
  <si>
    <t>STARGAZER-LFWRS-GTN/MK</t>
  </si>
  <si>
    <t>STARGAZER-TRW-GTN</t>
  </si>
  <si>
    <t>TRAJET-TRWH-GTN</t>
  </si>
  <si>
    <t>TRW-TRAJET</t>
  </si>
  <si>
    <t>Hyundai Trajet 00-08</t>
  </si>
  <si>
    <t>5137ALFWGBN</t>
  </si>
  <si>
    <t>TUCSON05-LFW-GBN/M</t>
  </si>
  <si>
    <t>5789FLFWGBN</t>
  </si>
  <si>
    <t>TUCSON10-LFW-GBN/M</t>
  </si>
  <si>
    <t>57890TRWGTN</t>
  </si>
  <si>
    <t>TUCSON10-TRWH-GTN</t>
  </si>
  <si>
    <t>A087ELFWGBN</t>
  </si>
  <si>
    <t>TUCSON16-LFW-GBN/MG</t>
  </si>
  <si>
    <t>A0870TRWGTN</t>
  </si>
  <si>
    <t>DMAXFWCB</t>
  </si>
  <si>
    <t>DMAX12-LFW-GBN/M</t>
  </si>
  <si>
    <t>DMAX3-LFW-GBN/M</t>
  </si>
  <si>
    <t>LFW-DMAX3</t>
  </si>
  <si>
    <t>Isuzu D-Max 19- 3rd Gen</t>
  </si>
  <si>
    <t>5936CLFWGBN</t>
  </si>
  <si>
    <t>I02-DMAX2-LFW-GBN/M</t>
  </si>
  <si>
    <t>Isuzu MUX 13-19</t>
  </si>
  <si>
    <t>AUVFW</t>
  </si>
  <si>
    <t>I04-PANTHER00-LFW-GGN</t>
  </si>
  <si>
    <t>JAGUAR</t>
  </si>
  <si>
    <t>JAGUARXF11-LFWRS-GTY/MRW</t>
  </si>
  <si>
    <t>Jaguar XF 07-15</t>
  </si>
  <si>
    <t>WS266FWCB</t>
  </si>
  <si>
    <t>WS268FWCB</t>
  </si>
  <si>
    <t>COMPASS-17-LFWRSGTY/MRK</t>
  </si>
  <si>
    <t>LFW-COMPASS17</t>
  </si>
  <si>
    <t>Jeep Compass 17-</t>
  </si>
  <si>
    <t>JEEP-TJ-TRWH-YPN/K</t>
  </si>
  <si>
    <t>46120LFWGTN</t>
  </si>
  <si>
    <t>WRANGLER-JK-LFW-GTN/M</t>
  </si>
  <si>
    <t>RUBICON07JK-TRW-YPY/K</t>
  </si>
  <si>
    <t>RUBICON11JK-TRW-YPY/K</t>
  </si>
  <si>
    <t>X/Heater/8Hole</t>
  </si>
  <si>
    <t>RUBICON18JL-LFW-GTN</t>
  </si>
  <si>
    <t>RUBICON18JL-TRW-YPY/KW</t>
  </si>
  <si>
    <t>2465ATRWGTN</t>
  </si>
  <si>
    <t>CAREN99-TRWH-GTN</t>
  </si>
  <si>
    <t>55130LFWGBN</t>
  </si>
  <si>
    <t>CARENS03-LFW-GBN/M</t>
  </si>
  <si>
    <t>5513ATRWGTN</t>
  </si>
  <si>
    <t>46530TRWGTN</t>
  </si>
  <si>
    <t>SEDONA15-LFW-GBN/M</t>
  </si>
  <si>
    <t>K06-CARNIVAL15-TRWH1-GTN</t>
  </si>
  <si>
    <t>K01-CERATO09-LFW-GTN/M</t>
  </si>
  <si>
    <t>KCRTFWCB2</t>
  </si>
  <si>
    <t>K10-CERATO09-TRWH-GTN</t>
  </si>
  <si>
    <t>5138ALFWGBN</t>
  </si>
  <si>
    <t>K08-PICANTO04-LFW-GBN/M</t>
  </si>
  <si>
    <t>51380TRWGTN</t>
  </si>
  <si>
    <t>PICANTO04-TRW/H-GTN</t>
  </si>
  <si>
    <t>51380TDR1CLN</t>
  </si>
  <si>
    <t>K11-PICANTO04-FDL-GTN/K</t>
  </si>
  <si>
    <t>51380TDR2CLN</t>
  </si>
  <si>
    <t>K12-PICANTO04-FDR-GTN/K</t>
  </si>
  <si>
    <t>51380TDR3CLN</t>
  </si>
  <si>
    <t>51380TDR4CLN</t>
  </si>
  <si>
    <t>PICANTO04-RDR-GTN</t>
  </si>
  <si>
    <t>58970LFWGBN</t>
  </si>
  <si>
    <t>PICANTO11-LFW-GTN/M</t>
  </si>
  <si>
    <t>58970TRWGTN</t>
  </si>
  <si>
    <t>PICANTO11-TRW/H-GTN</t>
  </si>
  <si>
    <t>58970TDR1CLY</t>
  </si>
  <si>
    <t>PICANTO11-FD/L-GTN/K</t>
  </si>
  <si>
    <t>58970TDR2CLY</t>
  </si>
  <si>
    <t>PICANTO11-FD/R-GTN/K</t>
  </si>
  <si>
    <t>58970TDR3CLY</t>
  </si>
  <si>
    <t>PICANTO11-RD/L-GTN/W</t>
  </si>
  <si>
    <t>58970TDR4GTY</t>
  </si>
  <si>
    <t>PREGIOFWCB</t>
  </si>
  <si>
    <t>12980TDR1CLN</t>
  </si>
  <si>
    <t>12980TDR2CLN</t>
  </si>
  <si>
    <t>PREGIO95-FDR-GTN/K</t>
  </si>
  <si>
    <t>12980TRWGTN</t>
  </si>
  <si>
    <t>PREGIO96-TRWH-GTN</t>
  </si>
  <si>
    <t>24660LFWGGN</t>
  </si>
  <si>
    <t>RIO-00-LFW-GGN/M</t>
  </si>
  <si>
    <t>24660TRWGTN</t>
  </si>
  <si>
    <t>FW3226GTN</t>
  </si>
  <si>
    <t>RIO-05-VCP LFW/X-GTN/M</t>
  </si>
  <si>
    <t>5398ATRWGTN</t>
  </si>
  <si>
    <t>RIOPRIDE-TRWH-GTN</t>
  </si>
  <si>
    <t>5966CLFWGTN</t>
  </si>
  <si>
    <t>RIO11-LFW-GTN/M</t>
  </si>
  <si>
    <t>5966BTRWGTY</t>
  </si>
  <si>
    <t>RIO11-TRW-GTN/O</t>
  </si>
  <si>
    <t>59660TDR3GTN</t>
  </si>
  <si>
    <t>RIO11-FDL-GTN/K</t>
  </si>
  <si>
    <t>59660TDR4GTN</t>
  </si>
  <si>
    <t>RIO11-FDR-GTN/K</t>
  </si>
  <si>
    <t>5966BTDR5CLN</t>
  </si>
  <si>
    <t>RIO11-RDL-GTN/K</t>
  </si>
  <si>
    <t>5966BTDR6CLN</t>
  </si>
  <si>
    <t>RIO11-RDR-GTN/K</t>
  </si>
  <si>
    <t>K09-RIO17-YB-LFW-GTY/M</t>
  </si>
  <si>
    <t>K13-RIO17-YB-TRWH1-GTN/0</t>
  </si>
  <si>
    <t>23720LFWGBN</t>
  </si>
  <si>
    <t>K07-CARNIVAL98-LFW-GBN/M</t>
  </si>
  <si>
    <t>FB21440GTN</t>
  </si>
  <si>
    <t>SELTOS20-LFW-GTN/M</t>
  </si>
  <si>
    <t>SELTOS20-TRWH-GTN</t>
  </si>
  <si>
    <t>SONET21-LFW-GBN/M</t>
  </si>
  <si>
    <t>SONET21-TRW-GTN</t>
  </si>
  <si>
    <t>5941DLFWGBN</t>
  </si>
  <si>
    <t>SORENTO09-LFW-GBN/M</t>
  </si>
  <si>
    <t>FB25774GTN</t>
  </si>
  <si>
    <t>SPORTAGE04-LFW-GBN/M</t>
  </si>
  <si>
    <t>LFW-SPORTAGE05</t>
  </si>
  <si>
    <t>58290LFWGBN</t>
  </si>
  <si>
    <t>SPORTAGE10-LFW-GBY/M</t>
  </si>
  <si>
    <t>5829ATDR1CLN</t>
  </si>
  <si>
    <t>K14-SPORTAGE10-FDL-GTN/K</t>
  </si>
  <si>
    <t>5829ATDR2CLN</t>
  </si>
  <si>
    <t>58290TDR3CLN</t>
  </si>
  <si>
    <t>58290TDR4CLN</t>
  </si>
  <si>
    <t>K03-SPORTAGE10-RDR-GTN/K</t>
  </si>
  <si>
    <t>FB24834GTN</t>
  </si>
  <si>
    <t>SPORTAGE11-TRWH-GTN</t>
  </si>
  <si>
    <t>K05-SPORTAGE10-TRWH-GTN</t>
  </si>
  <si>
    <t>A122PLFWGBN</t>
  </si>
  <si>
    <t>A1220TRWGTN</t>
  </si>
  <si>
    <t>A1220TDR2CLN</t>
  </si>
  <si>
    <t>A1220TDR3CLN</t>
  </si>
  <si>
    <t>A1220TDR4CLN</t>
  </si>
  <si>
    <t>S515IFWCD3</t>
  </si>
  <si>
    <t>08740TRWGTN</t>
  </si>
  <si>
    <t>K27FWCD</t>
  </si>
  <si>
    <t>2724ALFWGBN</t>
  </si>
  <si>
    <t>VISTO99-LFW-GGN</t>
  </si>
  <si>
    <t>2011ATRWGTN</t>
  </si>
  <si>
    <t>VISTO-TRW-GTN</t>
  </si>
  <si>
    <t>LEXUS</t>
  </si>
  <si>
    <t>NX-LFWRS1-GBY/MR</t>
  </si>
  <si>
    <t>Lexus NX 200T 15-20 AG10</t>
  </si>
  <si>
    <t>23730LFWGBN</t>
  </si>
  <si>
    <t>XU10-LFW-GBN/M</t>
  </si>
  <si>
    <t>23730TRWYPN</t>
  </si>
  <si>
    <t>2990ALFWGBN</t>
  </si>
  <si>
    <t>XU30-LFWRS-GBN/MR</t>
  </si>
  <si>
    <t>2990BLFWGBN</t>
  </si>
  <si>
    <t>HARRIERXU30-LFW-GBN/M</t>
  </si>
  <si>
    <t>L01-HARRIERXU30-TRWH-YPN</t>
  </si>
  <si>
    <t>Lexus RX (Harrier) 03-08 XU30 (Spoiler atas) (Hitam)</t>
  </si>
  <si>
    <t>X/Heater/A/1Hole</t>
  </si>
  <si>
    <t>2990ATRWFGTY</t>
  </si>
  <si>
    <t>29900TDR1CLY</t>
  </si>
  <si>
    <t>HARRIERXU30-FD/L-GTN</t>
  </si>
  <si>
    <t>29900TDR2CLN</t>
  </si>
  <si>
    <t>HARRIERXU30-FD/R-GTN</t>
  </si>
  <si>
    <t>29900TDR3CLY</t>
  </si>
  <si>
    <t>29900TDR4CLY</t>
  </si>
  <si>
    <t>HARRIERXU30-RD/R-GTN/W</t>
  </si>
  <si>
    <t>29900TDR5CLN</t>
  </si>
  <si>
    <t>29900TDR6CLN</t>
  </si>
  <si>
    <t>29900TDR7CLN</t>
  </si>
  <si>
    <t>29900TDR8CLN</t>
  </si>
  <si>
    <t>57010LFWGBN</t>
  </si>
  <si>
    <t>LEXUS-RX-AL10-LFWRS-GBN/MR</t>
  </si>
  <si>
    <t>57010TRWYPN</t>
  </si>
  <si>
    <t>LEXUS-RX-AL10-TRWH-YPN</t>
  </si>
  <si>
    <t>4660CLFWGBN</t>
  </si>
  <si>
    <t>HARRIER-CU6-LFWRS-GBN/MRW</t>
  </si>
  <si>
    <t>Lexus RX (Harrier) 13-20 CU6 [2 Sensor / /\ [] ]</t>
  </si>
  <si>
    <t>46600TRWGTN</t>
  </si>
  <si>
    <t>HARRIER-CU6-TRW-YPN</t>
  </si>
  <si>
    <t>Lexus RX (Harrier) 13-20 CU6</t>
  </si>
  <si>
    <t>HARRIER-CU6-FDL-GTN/K</t>
  </si>
  <si>
    <t>FDL-CU6</t>
  </si>
  <si>
    <t>HARRIER-CU6-FDR-GTN/K</t>
  </si>
  <si>
    <t>FDR-CU6</t>
  </si>
  <si>
    <t>46600TDR3CLN</t>
  </si>
  <si>
    <t>46600TDR4CLN</t>
  </si>
  <si>
    <t>46600TDR5CLN</t>
  </si>
  <si>
    <t>46600TDR6CLN</t>
  </si>
  <si>
    <t>46600TDR7CLN</t>
  </si>
  <si>
    <t>46600TDR8CLN</t>
  </si>
  <si>
    <t>L02-RX-AL20-LFWRSH-GTN/MR</t>
  </si>
  <si>
    <t>Lexus RX (Harrier) 15-21 AL20</t>
  </si>
  <si>
    <t>AL20-TRWH-YPN</t>
  </si>
  <si>
    <t>TRW-AL20</t>
  </si>
  <si>
    <t>5560ALFWGTN</t>
  </si>
  <si>
    <t>MAZ2-07-LFW-GTN/M</t>
  </si>
  <si>
    <t>MAZ2FWCD</t>
  </si>
  <si>
    <t>MAZDA2-4D-TRWH-GTN</t>
  </si>
  <si>
    <t>55600TRWGTN</t>
  </si>
  <si>
    <t>D651 RW/H/X-GTN</t>
  </si>
  <si>
    <t>55600TDR1CLN</t>
  </si>
  <si>
    <t>M33-MAZ209-FDL-GTN/K</t>
  </si>
  <si>
    <t>55600TDR2CLN</t>
  </si>
  <si>
    <t>M34-MAZ209-FDR-GTN/K</t>
  </si>
  <si>
    <t>55600TDR3CLN</t>
  </si>
  <si>
    <t>M50-MAZ09-RDL-GTN/K</t>
  </si>
  <si>
    <t>55600TDR4CLN</t>
  </si>
  <si>
    <t>M35-MAZ209-RDR-GTN/K</t>
  </si>
  <si>
    <t>A014DLFWGTN</t>
  </si>
  <si>
    <t>M18-MAZ2-15-LFW-GTN/M</t>
  </si>
  <si>
    <t>MAZ214-LFWRS1-GTN/MR</t>
  </si>
  <si>
    <t>A014JLFWGTY</t>
  </si>
  <si>
    <t>MAZ14-LFWRS3-GTY/MRK</t>
  </si>
  <si>
    <t>M37-MAZ214-LFWRS3-GTY/MRK</t>
  </si>
  <si>
    <t>A0140TRWGTN</t>
  </si>
  <si>
    <t>M36-MAZ214-TRWH1-GTN</t>
  </si>
  <si>
    <t>A0140TDR1CLN</t>
  </si>
  <si>
    <t>MAZDA2-15-FD/L-GTN/K</t>
  </si>
  <si>
    <t>A0140TDR2CLN</t>
  </si>
  <si>
    <t>MAZDA2-15-FD/R-GTN/K</t>
  </si>
  <si>
    <t>A0140TDR3CLN</t>
  </si>
  <si>
    <t>MAZ2-14-RDL-GTN/K</t>
  </si>
  <si>
    <t>A0140TDR4CLN</t>
  </si>
  <si>
    <t>MAZ2-14-RDR-GTN/K</t>
  </si>
  <si>
    <t>MAZDA3-19-LFWRS-GTY/MRK</t>
  </si>
  <si>
    <t>LFW-MAZDA3-19RS</t>
  </si>
  <si>
    <t>MAZDA3-19-TRWH1-GTN</t>
  </si>
  <si>
    <t>TRW-MAZDA3-19</t>
  </si>
  <si>
    <t>323FWCB1</t>
  </si>
  <si>
    <t>Mazda 323 / Ford Laser 88-94</t>
  </si>
  <si>
    <t>29170LFWGTN</t>
  </si>
  <si>
    <t>29170TRWGTN</t>
  </si>
  <si>
    <t>56200LFWCLY</t>
  </si>
  <si>
    <t>75260TRWGTN</t>
  </si>
  <si>
    <t>75260TDR1CLN</t>
  </si>
  <si>
    <t>75260TDR2CLN</t>
  </si>
  <si>
    <t>5620CLFWGTY</t>
  </si>
  <si>
    <t>45920LFWGTN</t>
  </si>
  <si>
    <t>MAZ6-13-LFW-GTN/M</t>
  </si>
  <si>
    <t>4592GLFWGTN</t>
  </si>
  <si>
    <t>MAZ6-13-LFWRS-GTY/MR</t>
  </si>
  <si>
    <t>45920TRWGTN</t>
  </si>
  <si>
    <t>45920TDR1CLN</t>
  </si>
  <si>
    <t>45920TDR2CLN</t>
  </si>
  <si>
    <t>54130LFWCLN</t>
  </si>
  <si>
    <t>MAZDA8-LFWRS-GTN/MR</t>
  </si>
  <si>
    <t>54130TRWGTN</t>
  </si>
  <si>
    <t>MAZDA8-06-TRWH-GTN</t>
  </si>
  <si>
    <t>5627ALFWGTY</t>
  </si>
  <si>
    <t>BIANTE08-LFWRS-GTY/MR</t>
  </si>
  <si>
    <t>56270LFWGTY</t>
  </si>
  <si>
    <t>BIANTE08-LFW-GTN/M</t>
  </si>
  <si>
    <t>A1730TRWGTN</t>
  </si>
  <si>
    <t>Mazda Biante 08- (Bening)</t>
  </si>
  <si>
    <t>A1730TRWYPN</t>
  </si>
  <si>
    <t>BIANTE08-TRW/H-YPN</t>
  </si>
  <si>
    <t>A1730TDR5CLY</t>
  </si>
  <si>
    <t>A1730TDR6CLY</t>
  </si>
  <si>
    <t>A1730TDR7CLN</t>
  </si>
  <si>
    <t>A173ATDR8CLN</t>
  </si>
  <si>
    <t>M38-BIANTE08-SWL-YPN</t>
  </si>
  <si>
    <t>M39-BIANTE08-SWR-YPN</t>
  </si>
  <si>
    <t>CX3-15-LFW/X/RS-GTY/MR</t>
  </si>
  <si>
    <t>CX3-15-TRWH-GTN</t>
  </si>
  <si>
    <t>5968ALFWGTY</t>
  </si>
  <si>
    <t>CX5-LFW-GTN/M</t>
  </si>
  <si>
    <t>5968BLFWGTY</t>
  </si>
  <si>
    <t>M19-CX5-12-LFWRS1-GTY/MR</t>
  </si>
  <si>
    <t>5968PLFWGTY</t>
  </si>
  <si>
    <t>CX5-12-LFWRS3-GTY/MRKW</t>
  </si>
  <si>
    <t>Mazda CX-5 12-17 1st Gen KE Facelift - (3 Sensor/ /\8 )</t>
  </si>
  <si>
    <t>59680TRWGTN</t>
  </si>
  <si>
    <t>CX5-12-TRWH-GTN</t>
  </si>
  <si>
    <t>59680TDR1CLY</t>
  </si>
  <si>
    <t>CX5-12-FDL-GTN/K</t>
  </si>
  <si>
    <t>59680TDR2CLY</t>
  </si>
  <si>
    <t>CX5-12-FDR-GTN/K</t>
  </si>
  <si>
    <t>59680TDR3GTY</t>
  </si>
  <si>
    <t>CX5-12-RDL-GTN/K</t>
  </si>
  <si>
    <t>59680TDR4CLY</t>
  </si>
  <si>
    <t>CX5-12-RDR-GTN/K</t>
  </si>
  <si>
    <t>59680TDR5CLN</t>
  </si>
  <si>
    <t>59680TDR6CLN</t>
  </si>
  <si>
    <t>CX517-LFWRS1-GTY/MR</t>
  </si>
  <si>
    <t>M01-CX5-17-LFW/RS2-GTY/MRK</t>
  </si>
  <si>
    <t>M09-CX517-TRWH-GTN</t>
  </si>
  <si>
    <t>CX517-FDL-GTN/K</t>
  </si>
  <si>
    <t>CX517-FDR-GTN/K</t>
  </si>
  <si>
    <t>CX517-RDL-GTN/K</t>
  </si>
  <si>
    <t>CX517-RDR-GTN/K</t>
  </si>
  <si>
    <t>CX517-SWL-GTN</t>
  </si>
  <si>
    <t>CX517-SWR-GTN</t>
  </si>
  <si>
    <t>5478CLFWGTN</t>
  </si>
  <si>
    <t>CX707-LFWRS-GTN/MR</t>
  </si>
  <si>
    <t>54780LFWGTY</t>
  </si>
  <si>
    <t>CX07-LFW-GTN/M</t>
  </si>
  <si>
    <t>54780TRWGTN</t>
  </si>
  <si>
    <t>CX7-07-TRWH-GTN</t>
  </si>
  <si>
    <t>54780TDR4CLN</t>
  </si>
  <si>
    <t>54780TDR5CLN</t>
  </si>
  <si>
    <t>54780TDR6CLN</t>
  </si>
  <si>
    <t>54780TDR7CLN</t>
  </si>
  <si>
    <t>54780TDR8CLN</t>
  </si>
  <si>
    <t>57960LFWGTN</t>
  </si>
  <si>
    <t>M40-CX907-LFWRS-GTN/MR</t>
  </si>
  <si>
    <t>FB23457GTN</t>
  </si>
  <si>
    <t>CX908-TRWH-GTN/O</t>
  </si>
  <si>
    <t>CX918-LFWRS2-GTY/MRK</t>
  </si>
  <si>
    <t>LFW-CX9GEN2</t>
  </si>
  <si>
    <t>Mazda CX-9 16- 2nd Gen (2 Sensor / [] /\ )</t>
  </si>
  <si>
    <t>M41-CX918-TRWH-GTN</t>
  </si>
  <si>
    <t>MAZDA323-89-LFW-GTN</t>
  </si>
  <si>
    <t>MA323FWCB</t>
  </si>
  <si>
    <t>Mazda Interplay 92-97</t>
  </si>
  <si>
    <t>53690LFWGTN</t>
  </si>
  <si>
    <t>MX5-05-LFW-GTN/M</t>
  </si>
  <si>
    <t>MERCEDES</t>
  </si>
  <si>
    <t>23010LFWACLN</t>
  </si>
  <si>
    <t>W168-LFW-GTN/M</t>
  </si>
  <si>
    <t>Mers-Benz A-Class 97-04 W168</t>
  </si>
  <si>
    <t>23010TRWGTN</t>
  </si>
  <si>
    <t>W169-LFW-GTY/M</t>
  </si>
  <si>
    <t>LFW-W169NRS</t>
  </si>
  <si>
    <t>M22-W169-LFWRS-GTY/R</t>
  </si>
  <si>
    <t>FW4039GTY</t>
  </si>
  <si>
    <t>W176-LFWRS-GTY/MRK</t>
  </si>
  <si>
    <t>Mers-Benz A-Class 13-18 W176 / W156 / W117 (Sensor [] )</t>
  </si>
  <si>
    <t>W177118-LFWRS-GTY/MR</t>
  </si>
  <si>
    <t>LFW-W177</t>
  </si>
  <si>
    <t>Mers-Benz A-Class 18- W177 / CLA 19- W118 (1 Sensor / O)</t>
  </si>
  <si>
    <t>W246-LFWRS-GTY/MRK</t>
  </si>
  <si>
    <t>W202-LFW-GTN</t>
  </si>
  <si>
    <t>C203-LFWRS-GTY/R</t>
  </si>
  <si>
    <t>2666DLFWGBY</t>
  </si>
  <si>
    <t>W203-LFWRS2-GBY/R</t>
  </si>
  <si>
    <t>W203-RS1-LFW-GTY/R</t>
  </si>
  <si>
    <t>FB20935GTN</t>
  </si>
  <si>
    <t>W203-TRWHA-GTN</t>
  </si>
  <si>
    <t>55740LFWGTY</t>
  </si>
  <si>
    <t>W204-LFW/RS-GTY/R</t>
  </si>
  <si>
    <t>Mers-Benz C-Class 07-14 W204 4D (1 Sensor/ □)</t>
  </si>
  <si>
    <t>W204-LFW/H/RS2-GTY/R</t>
  </si>
  <si>
    <t>Mers-Benz C-Class 07-14 W204 4D (2 Sensor/ □Δ)</t>
  </si>
  <si>
    <t>W204-CPE-VCSA-1ZLFW/R/W/X-GTY</t>
  </si>
  <si>
    <t>LFW-W204RS22D</t>
  </si>
  <si>
    <t>Mers-Benz C-Class 07-14 W204 2D Coupe (2 Sensor/ □Δ)</t>
  </si>
  <si>
    <t>75350TRWGTN</t>
  </si>
  <si>
    <t>W204-TRWH-GTN</t>
  </si>
  <si>
    <t>FW4365GTY</t>
  </si>
  <si>
    <t>M51-W205-LFWRS1-GTY/R</t>
  </si>
  <si>
    <t>Mers-Benz C-Class 14-21 W205 (1 Sensor/ □)</t>
  </si>
  <si>
    <t>4981JLFWGTY</t>
  </si>
  <si>
    <t>M52-W205-LFWRS2-GTY/K</t>
  </si>
  <si>
    <t>Mers-Benz C-Class 14-21 W205 (2 Sensor/ □Δ)</t>
  </si>
  <si>
    <t>X/RS/List/Cam.</t>
  </si>
  <si>
    <t>4981HLFWGTY</t>
  </si>
  <si>
    <t>M53-W205-LFWRS3-GTY/R</t>
  </si>
  <si>
    <t>Mers-Benz C-Class 14-21 W205 (3 Sensor/ Δ□Δ)</t>
  </si>
  <si>
    <t>W205-TRWH-GTY</t>
  </si>
  <si>
    <t>Mers-Benz C-Class 14-21 W205</t>
  </si>
  <si>
    <t>4620CLFWGTY</t>
  </si>
  <si>
    <t>C117-LFWRS-GTY/RK</t>
  </si>
  <si>
    <t>Mers-Benz CLA-Class 13-19 W117 / W156 / W176 (Sensor /=\ )</t>
  </si>
  <si>
    <t>W117 RW/H/X-GTY</t>
  </si>
  <si>
    <t>Mers-Benz CLA-Class 13-19 W117</t>
  </si>
  <si>
    <t>W124-2D LFW/X-GTY</t>
  </si>
  <si>
    <t>Mers-Benz E-Class 88-95 W124 2Door Coupe</t>
  </si>
  <si>
    <t>E300 LFW/X-GTY</t>
  </si>
  <si>
    <t>Mers-Benz E-Class 88-95 W124 4Door</t>
  </si>
  <si>
    <t>03520LRWGTN</t>
  </si>
  <si>
    <t>W124-2D-LRWH-GTN</t>
  </si>
  <si>
    <t>Mers-Benz E-Class 88-95 W124 2Door Coupe (Lami)</t>
  </si>
  <si>
    <t>W124-4D-LRWH-GTN</t>
  </si>
  <si>
    <t>TRW-W1244DOOR</t>
  </si>
  <si>
    <t>Mers-Benz E-Class 88-95 W124 4Door (Lami)</t>
  </si>
  <si>
    <t>11870LFWGTN</t>
  </si>
  <si>
    <t>W210-LFWRS-GTN/R</t>
  </si>
  <si>
    <t>W210-LFW-GTN</t>
  </si>
  <si>
    <t>LFW-W210-NONRS</t>
  </si>
  <si>
    <t>11870TRWGTN</t>
  </si>
  <si>
    <t>W211-ROOF-LFWRS-GTN/R</t>
  </si>
  <si>
    <t>LFW-W211ROOF</t>
  </si>
  <si>
    <t>Mers-Benz E-Class 02-09 W211 (Model Sunroof)</t>
  </si>
  <si>
    <t>28850LFWGTN</t>
  </si>
  <si>
    <t>W211-LFWRS1-GTY/R</t>
  </si>
  <si>
    <t>Mers-Benz E-Class 02-09 W211 (Tanpa Sunroof)</t>
  </si>
  <si>
    <t>W211-TRWH-GTY</t>
  </si>
  <si>
    <t>X/Heater/A/List</t>
  </si>
  <si>
    <t>5766BLFWGTY</t>
  </si>
  <si>
    <t>W212-LFWRS1-GTY/R</t>
  </si>
  <si>
    <t>5766HLFWGTY</t>
  </si>
  <si>
    <t>W212-LFWRS2-GTY/RK</t>
  </si>
  <si>
    <t>Mers-Benz E-Class 09-16 W212 (2 Sensor/ □Δ) Trapes.</t>
  </si>
  <si>
    <t>W212-LFW2RS2-V2-GTY/RK</t>
  </si>
  <si>
    <t>LFW-W212RS2LANCIP</t>
  </si>
  <si>
    <t>Mers-Benz E-Class 09-16 W212 (2 Sensor/ □Δ) Lancip</t>
  </si>
  <si>
    <t>57660TRWGTN</t>
  </si>
  <si>
    <t>W213-TRW-GTN</t>
  </si>
  <si>
    <t>W213-LFWRS-GTY/R</t>
  </si>
  <si>
    <t>M17-W156-TRWH-YPY</t>
  </si>
  <si>
    <t>TRW-W156</t>
  </si>
  <si>
    <t>FW04473GTY</t>
  </si>
  <si>
    <t>W253-LFWRS1-GTY/R</t>
  </si>
  <si>
    <t>Mers-Benz GLC-Class SUV 16-22 W253</t>
  </si>
  <si>
    <t>4886BTRWGTN</t>
  </si>
  <si>
    <t>W166-LFWRSH-GTY/MRK</t>
  </si>
  <si>
    <t>Mers-Benz GLE-Class SUV 11-18 W166 (1 Sensor/ □ )</t>
  </si>
  <si>
    <t>W166-LFWRS2H-GTY/MRK</t>
  </si>
  <si>
    <t>Mers-Benz GLE-Class SUV 11-18 W166 (2 Sensor / □Δ)</t>
  </si>
  <si>
    <t>W166-GLE-TRWH-YPN</t>
  </si>
  <si>
    <t>TRW-W166</t>
  </si>
  <si>
    <t>Mers-Benz GLE SUV 11-18 W166 (Hitam) (Lampu Segi 4)</t>
  </si>
  <si>
    <t>W166-TRWH-YPN</t>
  </si>
  <si>
    <t>TRW-X166</t>
  </si>
  <si>
    <t>Mers-Benz GLS SUV 13-19 W166 (Hitam) (Lampu Segi 5)</t>
  </si>
  <si>
    <t>03710LFWGTN</t>
  </si>
  <si>
    <t>M12-W140-LFW-GTN</t>
  </si>
  <si>
    <t>W140-LFWRS2-GTN</t>
  </si>
  <si>
    <t>Mers-Benz S-Class 91-98 W140 4D (1 Sensor/ □ )</t>
  </si>
  <si>
    <t>03710LRWBGTN</t>
  </si>
  <si>
    <t>W140-1-LRW/W/X-GTN</t>
  </si>
  <si>
    <t>W220-LFW/H/RS-GTY/R</t>
  </si>
  <si>
    <t>Mers-Benz S-Class 98-05 W220 4D (1 Sensor / 2 O)</t>
  </si>
  <si>
    <t>W220-LFWRS1-GTY/R</t>
  </si>
  <si>
    <t>LFW-W220RS1</t>
  </si>
  <si>
    <t>Mers-Benz S-Class 98-05 W220 4D (1 Sensor / □ )</t>
  </si>
  <si>
    <t>33620LRWAGTN</t>
  </si>
  <si>
    <t>W221-LFWRSH-GTY/R</t>
  </si>
  <si>
    <t>W221-LFWRS2-GTY/RK</t>
  </si>
  <si>
    <t>Mers-Benz S-Class 06-13 W221 4D [2 Sensor/ □ /\ ]</t>
  </si>
  <si>
    <t>M23-W222-LFWRS3HA-GTY/K</t>
  </si>
  <si>
    <t>X/RS3/H/A/List</t>
  </si>
  <si>
    <t>M16-SLKR171-LFWRS-GTY/MR</t>
  </si>
  <si>
    <t>MG</t>
  </si>
  <si>
    <t>MG-ZS-17-VCP LFW/X-GTN/M</t>
  </si>
  <si>
    <t>MINI COOPER</t>
  </si>
  <si>
    <t>MINI-F57-LFWRS2-GTY/RK</t>
  </si>
  <si>
    <t>Mini Cooper 14- F55/F56/F57 3D/5D/Cab. RS2 ( O /\ ) HBK</t>
  </si>
  <si>
    <t>MINI-F55-LFWRS-GTY/RK</t>
  </si>
  <si>
    <t>Mini Cooper 14- F55/F56/F57 3D/5D/Cab. RS1 ( O ) HBK</t>
  </si>
  <si>
    <t>MINI-R60-LFWRS-GTY/R</t>
  </si>
  <si>
    <t>LFW-MINIR60</t>
  </si>
  <si>
    <t>Mini Countryman 10-16 R60- 5D HBK</t>
  </si>
  <si>
    <t>54990LFWCBN</t>
  </si>
  <si>
    <t>DELICA-LFW-GBN/M</t>
  </si>
  <si>
    <t>M14-DELICA-TRWH-GTN</t>
  </si>
  <si>
    <t>Mitsubishi Delica 07- 5th Gen (Bening)</t>
  </si>
  <si>
    <t>M14-DELICA-TRWH-YPN</t>
  </si>
  <si>
    <t>ETERNA-LFW-GTN</t>
  </si>
  <si>
    <t>12440TRWGTN</t>
  </si>
  <si>
    <t>09440TDR1CLN</t>
  </si>
  <si>
    <t>09440TDR2CLN</t>
  </si>
  <si>
    <t>GALANT92-LFW-GTN/M</t>
  </si>
  <si>
    <t>GAL98FWCD</t>
  </si>
  <si>
    <t>08970TRWGTN</t>
  </si>
  <si>
    <t>GALANT92-TRWH-GTN</t>
  </si>
  <si>
    <t>08970TDR1CLN</t>
  </si>
  <si>
    <t>08970TDR2CLN</t>
  </si>
  <si>
    <t>08970TDR3CLN</t>
  </si>
  <si>
    <t>08970TDR4CLN</t>
  </si>
  <si>
    <t>M42-GALANT92-RDR-GTN</t>
  </si>
  <si>
    <t>22150LFWGTN</t>
  </si>
  <si>
    <t>GALANT96-LFW-GTN/M</t>
  </si>
  <si>
    <t>22150TRWGTN</t>
  </si>
  <si>
    <t>GALANT96-TRWH-GTN</t>
  </si>
  <si>
    <t>22150TDR1CLN</t>
  </si>
  <si>
    <t>22150TDR2CLN</t>
  </si>
  <si>
    <t>22150TDR3CLN</t>
  </si>
  <si>
    <t>22150TDR4CLN</t>
  </si>
  <si>
    <t>M43-GRANDIS97-LFW-GTN/M</t>
  </si>
  <si>
    <t>M44-GRANDIS97-TRWH-GTN</t>
  </si>
  <si>
    <t>50110LFWAGTN</t>
  </si>
  <si>
    <t>GRANDIS03-LFW-GTN/M</t>
  </si>
  <si>
    <t>50110TRWGTN</t>
  </si>
  <si>
    <t>GRANDIS-TRWH-GTN</t>
  </si>
  <si>
    <t>50110TDR3CLN</t>
  </si>
  <si>
    <t>50110TDR4CLN</t>
  </si>
  <si>
    <t>50110TDR5CLN</t>
  </si>
  <si>
    <t>50110TDR6CLN</t>
  </si>
  <si>
    <t>50110TDR7CLN</t>
  </si>
  <si>
    <t>50110TDR8CLN</t>
  </si>
  <si>
    <t>GRANDIS03-SW/R-GTN</t>
  </si>
  <si>
    <t>FREFW</t>
  </si>
  <si>
    <t>L200-97-LFW-GTN</t>
  </si>
  <si>
    <t>L200-03-LFW-GGN/M</t>
  </si>
  <si>
    <t>02060LFWGTN</t>
  </si>
  <si>
    <t>EVO3-LFW-GTN</t>
  </si>
  <si>
    <t>02060TRWGTN</t>
  </si>
  <si>
    <t>EVO3-TRWH-GTN</t>
  </si>
  <si>
    <t>02130TDR1CLN</t>
  </si>
  <si>
    <t>EVO3-FD/L-GTN</t>
  </si>
  <si>
    <t>02130TDR2CLN</t>
  </si>
  <si>
    <t>EVO3-FD/R-GTN</t>
  </si>
  <si>
    <t>02130TDR3CLN</t>
  </si>
  <si>
    <t>EVO3-RDL-GTN/K</t>
  </si>
  <si>
    <t>02130TDR4CLN</t>
  </si>
  <si>
    <t>EVO3-RD/R-GTN</t>
  </si>
  <si>
    <t>02130TDR5CLN</t>
  </si>
  <si>
    <t>02130TDR6CLN</t>
  </si>
  <si>
    <t>16940LFWGTN</t>
  </si>
  <si>
    <t>EVO4-LFW-GTN/M</t>
  </si>
  <si>
    <t>12750TRWGTN</t>
  </si>
  <si>
    <t>EVO4-TRWH-GTN</t>
  </si>
  <si>
    <t>12750TDR1CLN</t>
  </si>
  <si>
    <t>12750TDR2CLN</t>
  </si>
  <si>
    <t>2617BLFWGTN</t>
  </si>
  <si>
    <t>LANCER00-LFW-GTN/M</t>
  </si>
  <si>
    <t>FB21447GTN</t>
  </si>
  <si>
    <t>LANCER00-TRWH-GTN</t>
  </si>
  <si>
    <t>26170TDR1CLN</t>
  </si>
  <si>
    <t>EVO5-FD/L-GTN/K</t>
  </si>
  <si>
    <t>26170TDR2CLN</t>
  </si>
  <si>
    <t>EVO5-FD/R-GTN/K</t>
  </si>
  <si>
    <t>26170TDR3CLN</t>
  </si>
  <si>
    <t>26170TDR4CLN</t>
  </si>
  <si>
    <t>5566BLFWGTN</t>
  </si>
  <si>
    <t>LANCER07-LFW-GTN/M</t>
  </si>
  <si>
    <t>5566GLFWGTN</t>
  </si>
  <si>
    <t>55660TRWGTN</t>
  </si>
  <si>
    <t>LANCER07-TRWH-GTN</t>
  </si>
  <si>
    <t>55660TDR1CLN</t>
  </si>
  <si>
    <t>55660TDR2CLN</t>
  </si>
  <si>
    <t>55660TDR3CLN</t>
  </si>
  <si>
    <t>55660TDR4CLN</t>
  </si>
  <si>
    <t>46090LFWGTN</t>
  </si>
  <si>
    <t>MIRAGE12-LFW-GTN/M</t>
  </si>
  <si>
    <t>46090TRWGTN</t>
  </si>
  <si>
    <t>MIRAGE-TRW/H-GTN</t>
  </si>
  <si>
    <t>58240LFWGTN</t>
  </si>
  <si>
    <t>OUTLANDER-LFW-GTN/M</t>
  </si>
  <si>
    <t>FB25085GTN</t>
  </si>
  <si>
    <t>OUTLANDER-TRW-GTN</t>
  </si>
  <si>
    <t>V40-LFW-GBN</t>
  </si>
  <si>
    <t>M30-PAJERO-V80-LFW-GBN/M</t>
  </si>
  <si>
    <t>V90-LFW-GBN/M</t>
  </si>
  <si>
    <t>54270LFWGTN</t>
  </si>
  <si>
    <t>M45-PAJERO08-LFW-GTN/M</t>
  </si>
  <si>
    <t>PJRFWCB</t>
  </si>
  <si>
    <t>5427CTRWGTN</t>
  </si>
  <si>
    <t>PAJERO08-TRW/H-GTN</t>
  </si>
  <si>
    <t>M46-PAJERO08-SWL-GTN</t>
  </si>
  <si>
    <t>M47-PAJERO08-SWR-GTN</t>
  </si>
  <si>
    <t>A0760LFWGTN</t>
  </si>
  <si>
    <t>M15-PAJERO16-LFW-GTN/M</t>
  </si>
  <si>
    <t>NTRIFWCB</t>
  </si>
  <si>
    <t>A1820TRWGTN</t>
  </si>
  <si>
    <t>M48-PAJERO16-TRWH-GTN</t>
  </si>
  <si>
    <t>PAJERO16-RDR-GTN/K</t>
  </si>
  <si>
    <t>PAJERO16-RDL-GTN/K</t>
  </si>
  <si>
    <t>PAJERO16-LFWRS1-GTN/MR</t>
  </si>
  <si>
    <t>Mitsubishi Pajero 20- (1 Sensor / □ ) (sama dgn 16-)</t>
  </si>
  <si>
    <t>PAJERO16-LFWRS2-GTN/MRK</t>
  </si>
  <si>
    <t>Mitsubishi Pajero 20- (2 Sensor / □ [] ) (sama dgn 16-)</t>
  </si>
  <si>
    <t>54270LFWGGN</t>
  </si>
  <si>
    <t>TRITON06-LFW-GGN/M</t>
  </si>
  <si>
    <t>MS146FWCB0</t>
  </si>
  <si>
    <t>54270TRWGTN</t>
  </si>
  <si>
    <t>TRITON06-TRW/H-GTN</t>
  </si>
  <si>
    <t>A0760LFWGGN</t>
  </si>
  <si>
    <t>TRITON16-LFW-GGN/M</t>
  </si>
  <si>
    <t>NTRIFWCBSHD</t>
  </si>
  <si>
    <t>A0760TRWGTN</t>
  </si>
  <si>
    <t>M07-TRITON16-TRW/H-GTN</t>
  </si>
  <si>
    <t>M06-TRITON16-TRW-GTN</t>
  </si>
  <si>
    <t>A0760TDR3CLY</t>
  </si>
  <si>
    <t>TRITON16-RD/L-GTN/K</t>
  </si>
  <si>
    <t>A0760TDR4CLY</t>
  </si>
  <si>
    <t>TRITON16-RD/R-GTN/K</t>
  </si>
  <si>
    <t>M31-XPD17-LFW-GTN/M</t>
  </si>
  <si>
    <t>XPANDFWCB</t>
  </si>
  <si>
    <t>M08-XPD17-TRW-GTN</t>
  </si>
  <si>
    <t>XPANDER17-TRWH-GTN</t>
  </si>
  <si>
    <t>N03-ALMERA11-LFW-GTN/M</t>
  </si>
  <si>
    <t>NSDATFWCD</t>
  </si>
  <si>
    <t>LFW-DATSUN</t>
  </si>
  <si>
    <t>A0080TDR1CLY</t>
  </si>
  <si>
    <t>A0080TDR3CLY</t>
  </si>
  <si>
    <t>A0080TDR4CLY</t>
  </si>
  <si>
    <t>28260LFWCLN</t>
  </si>
  <si>
    <t>E51-LFW-GTN</t>
  </si>
  <si>
    <t>28260TRWGTN</t>
  </si>
  <si>
    <t>E51-TRWH-GTN</t>
  </si>
  <si>
    <t>28260TDR1CLY</t>
  </si>
  <si>
    <t>28260TDR2CLY</t>
  </si>
  <si>
    <t>28260TDR3CLN</t>
  </si>
  <si>
    <t>28260TDR4CLN</t>
  </si>
  <si>
    <t>2826ATDR5CLN</t>
  </si>
  <si>
    <t>2826ATDR6CLN</t>
  </si>
  <si>
    <t>58260LFWGTN</t>
  </si>
  <si>
    <t>E52-LFW-GTN/M</t>
  </si>
  <si>
    <t>58260TRWGTN</t>
  </si>
  <si>
    <t>E52-TRWH-GTN</t>
  </si>
  <si>
    <t>58260TDR5CLY</t>
  </si>
  <si>
    <t>58260TDR6CLY</t>
  </si>
  <si>
    <t>58260TDR7CLN</t>
  </si>
  <si>
    <t>58260TDR8CLN</t>
  </si>
  <si>
    <t>57230LFWGTN</t>
  </si>
  <si>
    <t>EVALIA10-LFW-GTN</t>
  </si>
  <si>
    <t>N08-EVALIA10-TRWH-GTN</t>
  </si>
  <si>
    <t>EVALIA-RDR-GTN/F</t>
  </si>
  <si>
    <t>Nissan Evalia 10- X11M (Frame)</t>
  </si>
  <si>
    <t>X/Frame</t>
  </si>
  <si>
    <t>EVALIA-RDL-GTN/F</t>
  </si>
  <si>
    <t>RDR-EVALIAFRAME</t>
  </si>
  <si>
    <t>57230TDR7CLN</t>
  </si>
  <si>
    <t>D22FWCB</t>
  </si>
  <si>
    <t>20690TRWGTN</t>
  </si>
  <si>
    <t>53770LFWGTN</t>
  </si>
  <si>
    <t>N05-NAVARA04-LFW-GTN/M</t>
  </si>
  <si>
    <t>FB22478GTN</t>
  </si>
  <si>
    <t>N01-NAVARA04-TRW/H-GTN</t>
  </si>
  <si>
    <t>5844BLFWGTN</t>
  </si>
  <si>
    <t>JUKE-LFW-GTN/M</t>
  </si>
  <si>
    <t>FB24810GTN</t>
  </si>
  <si>
    <t>JUKE-TRWH-GTN</t>
  </si>
  <si>
    <t>FD24807CLY</t>
  </si>
  <si>
    <t>FD24806CLY</t>
  </si>
  <si>
    <t>FD24809CLY</t>
  </si>
  <si>
    <t>FD24808CLY</t>
  </si>
  <si>
    <t>C11FWCD</t>
  </si>
  <si>
    <t>52770LFWGTN</t>
  </si>
  <si>
    <t>LIVINA07-LFW-GTN/M</t>
  </si>
  <si>
    <t>LVNFWCD2</t>
  </si>
  <si>
    <t>5277DTRWGTN</t>
  </si>
  <si>
    <t>LIVINA07-TRW/H-GTN</t>
  </si>
  <si>
    <t>N02-LIVINAL11-TRW/H/1-GTN</t>
  </si>
  <si>
    <t>52770TDR1CLN</t>
  </si>
  <si>
    <t>LIVINA07-SW/L-GTN</t>
  </si>
  <si>
    <t>RQL-LIVINA</t>
  </si>
  <si>
    <t>LIVINA07-SW/R-GTN</t>
  </si>
  <si>
    <t>RQR-LIVINA</t>
  </si>
  <si>
    <t>5815ALFWGTN</t>
  </si>
  <si>
    <t>MARCH10-LFW/X-GTN/M</t>
  </si>
  <si>
    <t>MARCHFW</t>
  </si>
  <si>
    <t>58150TRWGTN</t>
  </si>
  <si>
    <t>MARCH10-TRW/H-GTN</t>
  </si>
  <si>
    <t>58150TDR1CLY</t>
  </si>
  <si>
    <t>58150TDR2CLY</t>
  </si>
  <si>
    <t>MARCH10-FDR-GTN/K</t>
  </si>
  <si>
    <t>58150TDR3CLY</t>
  </si>
  <si>
    <t>58150TDR4CLY</t>
  </si>
  <si>
    <t>52760LFWCGN</t>
  </si>
  <si>
    <t>MURANO03-LFW-GGN/M</t>
  </si>
  <si>
    <t>FB21914GTN</t>
  </si>
  <si>
    <t>5680BLFWCGN</t>
  </si>
  <si>
    <t>MURANO08-LFW-GGN/M</t>
  </si>
  <si>
    <t>5680ATRWGTN</t>
  </si>
  <si>
    <t>FD23779CLN</t>
  </si>
  <si>
    <t>FD23778CLN</t>
  </si>
  <si>
    <t>A108ALFWGTN</t>
  </si>
  <si>
    <t>NAVARA15-LFW-GTN/M</t>
  </si>
  <si>
    <t>A1080TRWGTN</t>
  </si>
  <si>
    <t>N09-NAVARA15-D23-TRWH-GTN</t>
  </si>
  <si>
    <t>A1080TDR1CLN</t>
  </si>
  <si>
    <t>N16-NAVARAD15-FDL-GTN/K</t>
  </si>
  <si>
    <t>A1080TDR2CLN</t>
  </si>
  <si>
    <t>N11-NAVARAD15-FDR-GTN/K</t>
  </si>
  <si>
    <t>A1080TDR3GTN</t>
  </si>
  <si>
    <t>A1080TDR4GTN</t>
  </si>
  <si>
    <t>13510TRWGTN</t>
  </si>
  <si>
    <t>22880LFWGTN</t>
  </si>
  <si>
    <t>C24-LFW/X-GTN</t>
  </si>
  <si>
    <t>C24FWCD</t>
  </si>
  <si>
    <t>2288ATRWGTN</t>
  </si>
  <si>
    <t>C24-TRW/H-GTN</t>
  </si>
  <si>
    <t>N12-C24-SWL-GTN</t>
  </si>
  <si>
    <t>N13-C24-SWR-GTN</t>
  </si>
  <si>
    <t>53890LFWGTY</t>
  </si>
  <si>
    <t>C25-LFW-GTN/M</t>
  </si>
  <si>
    <t>53890TRWGTN</t>
  </si>
  <si>
    <t>C25-TRWH-GTN</t>
  </si>
  <si>
    <t>53890TDR5CLY</t>
  </si>
  <si>
    <t>53890TDR6CLY</t>
  </si>
  <si>
    <t>53890TDR7CLN</t>
  </si>
  <si>
    <t>53890TDR8CLN</t>
  </si>
  <si>
    <t>58690LFWGTN</t>
  </si>
  <si>
    <t>C26-LFW-GTN/M</t>
  </si>
  <si>
    <t>58690TRWGTN</t>
  </si>
  <si>
    <t>C26-TRWH-GTN</t>
  </si>
  <si>
    <t>58690TDR3CLN</t>
  </si>
  <si>
    <t>C26-FDL-GTN/K</t>
  </si>
  <si>
    <t>58690TDR4CLN</t>
  </si>
  <si>
    <t>C26-FDR-GTN/K</t>
  </si>
  <si>
    <t>58690TDR5CLY</t>
  </si>
  <si>
    <t>C26-RDL-GTN/K</t>
  </si>
  <si>
    <t>58690TDR6CLY</t>
  </si>
  <si>
    <t>C26-RDR-GTN/K</t>
  </si>
  <si>
    <t>58690TDR7CLN</t>
  </si>
  <si>
    <t>C26-SWL-GTN</t>
  </si>
  <si>
    <t>58690TDR8CLN</t>
  </si>
  <si>
    <t>C26-SWR-GTN</t>
  </si>
  <si>
    <t>C27-LFW-GTN/M</t>
  </si>
  <si>
    <t>C27-TRW-GTN</t>
  </si>
  <si>
    <t>TEANA03-J31-LFW-GTN/M</t>
  </si>
  <si>
    <t>LFW-TEANA03</t>
  </si>
  <si>
    <t>Nissan Teana 03-08 J31</t>
  </si>
  <si>
    <t>N10-TEANA08-J32-LFW-GBN/M</t>
  </si>
  <si>
    <t>TERRA18-LFWRS-GTN/M</t>
  </si>
  <si>
    <t>WD21FWCB2</t>
  </si>
  <si>
    <t>TERRANO85-TRWH8-GTN</t>
  </si>
  <si>
    <t>TRW-TERRANOLBG</t>
  </si>
  <si>
    <t>28270LFWGTN</t>
  </si>
  <si>
    <t>T30-LFW-GTN</t>
  </si>
  <si>
    <t>ZR30FWCD1</t>
  </si>
  <si>
    <t>28270TRWGTN</t>
  </si>
  <si>
    <t>T30-TRW/H-GTN</t>
  </si>
  <si>
    <t>28270TDR1CLY</t>
  </si>
  <si>
    <t>T30-FDL-GTN/K</t>
  </si>
  <si>
    <t>T30-FDR-GTN/K</t>
  </si>
  <si>
    <t>28270TDR3CLN</t>
  </si>
  <si>
    <t>T30-RDL-GTN/K</t>
  </si>
  <si>
    <t>28270TDR4CLN</t>
  </si>
  <si>
    <t>T30-RDR-GTN/K</t>
  </si>
  <si>
    <t>28270TDR5CLN</t>
  </si>
  <si>
    <t>T30-SWL-GTN</t>
  </si>
  <si>
    <t>28270TDR6CLN</t>
  </si>
  <si>
    <t>T30-SWR-GTN</t>
  </si>
  <si>
    <t>55750LFWGTN</t>
  </si>
  <si>
    <t>N06-T31-LFW-GTN/M</t>
  </si>
  <si>
    <t>XT07FWCD</t>
  </si>
  <si>
    <t>5575ATRWGTN</t>
  </si>
  <si>
    <t>N07-T31-TRWH-GTN</t>
  </si>
  <si>
    <t>5575ATDR1CLY</t>
  </si>
  <si>
    <t>N14-T31-FDL-GTN/K</t>
  </si>
  <si>
    <t>5575ATDR2CLY</t>
  </si>
  <si>
    <t>T31-FDR-GTN/K</t>
  </si>
  <si>
    <t>5575ATDR3CLN</t>
  </si>
  <si>
    <t>T31-RDL-GTN/K</t>
  </si>
  <si>
    <t>5575ATDR4CLN</t>
  </si>
  <si>
    <t>N15-T31-RDR-GTN/K</t>
  </si>
  <si>
    <t>46970LFWGTN</t>
  </si>
  <si>
    <t>T32-LFWRS-GTN/MR</t>
  </si>
  <si>
    <t>T32-LFWRS2-GTN/MR</t>
  </si>
  <si>
    <t>T32-LFW-GTN/M</t>
  </si>
  <si>
    <t>46970TRWGTN</t>
  </si>
  <si>
    <t>T32-TRWH1-GTN</t>
  </si>
  <si>
    <t>46970TDR1CLY</t>
  </si>
  <si>
    <t>T32-FDL-GTN/K</t>
  </si>
  <si>
    <t>46970TDR2CLY</t>
  </si>
  <si>
    <t>T32-FDR-GTN/K</t>
  </si>
  <si>
    <t>46970TDR3CLY</t>
  </si>
  <si>
    <t>T32-RDL-GTN/K</t>
  </si>
  <si>
    <t>46970TDR4CLY</t>
  </si>
  <si>
    <t>T32-RDR-GTN/K</t>
  </si>
  <si>
    <t>OPEL</t>
  </si>
  <si>
    <t>1123BLFWGGN</t>
  </si>
  <si>
    <t>O1-BLAZERS10-LFW-GBN/M</t>
  </si>
  <si>
    <t>PEUGEUOT</t>
  </si>
  <si>
    <t>PEUGEOT</t>
  </si>
  <si>
    <t>P206-LFW-GTN/M</t>
  </si>
  <si>
    <t>LFW-P206</t>
  </si>
  <si>
    <t>P03-2065D-TRWH1-GTN</t>
  </si>
  <si>
    <t>27710LFWGTY</t>
  </si>
  <si>
    <t>P04-307-LFWRS-GTY/MR</t>
  </si>
  <si>
    <t>2771GLFWGTY</t>
  </si>
  <si>
    <t>P05-307-LFWRSK-GTY/MRK</t>
  </si>
  <si>
    <t>2771ATRWGTN</t>
  </si>
  <si>
    <t>27710TRWGTN</t>
  </si>
  <si>
    <t>PROTON</t>
  </si>
  <si>
    <t>P01-EXORA-LFW-GTN/M</t>
  </si>
  <si>
    <t>EXORAFWCD</t>
  </si>
  <si>
    <t>P02-EXORA-TRWH-GTN</t>
  </si>
  <si>
    <t>PGEN-LFW-GTN/M</t>
  </si>
  <si>
    <t>SAGA08-LFW-GTN/M</t>
  </si>
  <si>
    <t>SAVVY-LFW-GTN/M</t>
  </si>
  <si>
    <t>RANGE ROVER</t>
  </si>
  <si>
    <t>RANGEROVER94-LFWH-GTY/MR</t>
  </si>
  <si>
    <t>LFW-ROVER94</t>
  </si>
  <si>
    <t>Range Rover 95-00 SALLPA 5D</t>
  </si>
  <si>
    <t>R01-EVOQUE112D-LFWRS-GTY/MRK</t>
  </si>
  <si>
    <t>Range Rover Evoque 11-18 SALVA 2D (1 Sensor / [] )</t>
  </si>
  <si>
    <t>EVOQUE3D-TRW-YPN</t>
  </si>
  <si>
    <t>Range Rover Evoque 11-18 SALVA (2Door) (Hitam)</t>
  </si>
  <si>
    <t>R10-EVOQUE112D-FDL-GTN</t>
  </si>
  <si>
    <t>Range Rover Evoque 11-18 SALVA (2Door)</t>
  </si>
  <si>
    <t>R11-EVOQUE112D-FDR-GTN</t>
  </si>
  <si>
    <t>R12-EVOQUE112D-SWL-YPY</t>
  </si>
  <si>
    <t>R13-EVOQUE112D-SWR-YPY</t>
  </si>
  <si>
    <t>FW03689GTY</t>
  </si>
  <si>
    <t>R20-EVOQUE114D-LFWRS-GTY/MRW</t>
  </si>
  <si>
    <t>R15-EVOQUE114D-LFWRS-GTY/MRW</t>
  </si>
  <si>
    <t>LFW-RANGEROVER4DTPS</t>
  </si>
  <si>
    <t>Range Rover Evoque 11-18 SALVA 4Door (1 Sensor / /=\)</t>
  </si>
  <si>
    <t>R16-EVOQUE144D-LFWRS3-GTY/RK</t>
  </si>
  <si>
    <t>5884ATRWYPN</t>
  </si>
  <si>
    <t>RANGEL320-TRWH-GTN</t>
  </si>
  <si>
    <t>TRW-SALSA</t>
  </si>
  <si>
    <t>Range Rover Sport 05-13 L320 SALSA 5D</t>
  </si>
  <si>
    <t>VOGUE02-LFWRS-GTY/MR</t>
  </si>
  <si>
    <t>LFW-SALMA</t>
  </si>
  <si>
    <t>Range Rover Vogue 02-07 L322 SALMA 4D</t>
  </si>
  <si>
    <t>RENAULT</t>
  </si>
  <si>
    <t>DUSTER18-LFW-GTN/M</t>
  </si>
  <si>
    <t>LFW-DUSTER18</t>
  </si>
  <si>
    <t>Renault Duster 18- SUV</t>
  </si>
  <si>
    <t>SUBARU</t>
  </si>
  <si>
    <t>S1512FWCD</t>
  </si>
  <si>
    <t>S07-SUBARUXV-LFW-GTY/M</t>
  </si>
  <si>
    <t>S08-AERIO01-LFW-GTN/M</t>
  </si>
  <si>
    <t>29010TRWGTN</t>
  </si>
  <si>
    <t>S01-AERIO01-TRW/H-GTN</t>
  </si>
  <si>
    <t>54260LFWGTN</t>
  </si>
  <si>
    <t>APV-LFW-GTN</t>
  </si>
  <si>
    <t>S1APRCB</t>
  </si>
  <si>
    <t>S09-BALENO96-LFW-GTN/M</t>
  </si>
  <si>
    <t>SZ687FWCD0</t>
  </si>
  <si>
    <t>BALENO96-TRWH-GTN</t>
  </si>
  <si>
    <t>BALENO02-TRW-GTN</t>
  </si>
  <si>
    <t>SX4-LFW-GTN/M</t>
  </si>
  <si>
    <t>Suzuki Baleno 08-15 SX4 / X-Over / Neo Baleno</t>
  </si>
  <si>
    <t>SX4-TRW-GTN</t>
  </si>
  <si>
    <t>Suzuki Baleno 08-15 SX4 / X-Over Hatchback</t>
  </si>
  <si>
    <t>SX4-SWR-GTN</t>
  </si>
  <si>
    <t>SX4-SWL-GTN</t>
  </si>
  <si>
    <t>NEOBALENO08-TRW-GTN</t>
  </si>
  <si>
    <t>BALENO16-LFW-GTN/M</t>
  </si>
  <si>
    <t>Suzuki Baleno 15-21 Hatchback</t>
  </si>
  <si>
    <t>BALENO16-TRWH-GTN</t>
  </si>
  <si>
    <t>SCROSS14-LFW-GTN/M</t>
  </si>
  <si>
    <t>LFW-SCROSS16</t>
  </si>
  <si>
    <t>SCROSS14-LFWRS-GTN/MR</t>
  </si>
  <si>
    <t>S05-CFUTURA-LFW-GTN</t>
  </si>
  <si>
    <t>FTRFW</t>
  </si>
  <si>
    <t>Suzuki Carry Futura 91-98 (1300cc) / Mitsubishi Colt T120</t>
  </si>
  <si>
    <t>S06-NEWCARRY-LFW-GTN</t>
  </si>
  <si>
    <t>A2560LFWGTN</t>
  </si>
  <si>
    <t>S04-ERTIGA12-LFW-GTN</t>
  </si>
  <si>
    <t>ERTGFWCB</t>
  </si>
  <si>
    <t>S02-ERTIGA12-TRW-GTN</t>
  </si>
  <si>
    <t>ERTGFDL</t>
  </si>
  <si>
    <t>ERTGFDR</t>
  </si>
  <si>
    <t>ERTGRDL</t>
  </si>
  <si>
    <t>ERTGRDR</t>
  </si>
  <si>
    <t>S03-ERTIGA17-LFW-GTN</t>
  </si>
  <si>
    <t>NERTGFW</t>
  </si>
  <si>
    <t>ERTIGA17-TRWH-GTN</t>
  </si>
  <si>
    <t>YOGFWCD</t>
  </si>
  <si>
    <t>Suzuki Esteem / Amenity</t>
  </si>
  <si>
    <t>S10-GESCUDO-LFW-GBN/M</t>
  </si>
  <si>
    <t>SUESCFWCD</t>
  </si>
  <si>
    <t>GESCUDO-TRWH-GTN</t>
  </si>
  <si>
    <t>GVITARA05-LFW-GTN/M</t>
  </si>
  <si>
    <t>GVITARA05-TRWH-GTN</t>
  </si>
  <si>
    <t>IGNIS17-LFW-GTN</t>
  </si>
  <si>
    <t>IGNISFWCB</t>
  </si>
  <si>
    <t>IGNIS17-TRWH-GTN</t>
  </si>
  <si>
    <t>JIMNY19-LFW-GTN</t>
  </si>
  <si>
    <t>JIMNY19-TRW-GTN</t>
  </si>
  <si>
    <t>KARIMUN99-LFW-GTN</t>
  </si>
  <si>
    <t>KARIMUN99-TRWH-GTN</t>
  </si>
  <si>
    <t>S02-KARESTIL06-LFW-GTN</t>
  </si>
  <si>
    <t>KARESTILO-TRW-GTN</t>
  </si>
  <si>
    <t>SZ114FW</t>
  </si>
  <si>
    <t>LFW-KATANA84</t>
  </si>
  <si>
    <t>S03-SPLASH-LFW-GTN</t>
  </si>
  <si>
    <t>SUSPLFW</t>
  </si>
  <si>
    <t>SWIFT04-LFW-GTN</t>
  </si>
  <si>
    <t>SWIFT04-TRWH-GTN/O</t>
  </si>
  <si>
    <t>SWIFTFWCB0</t>
  </si>
  <si>
    <t>SWIFT11-TRWH-GTN</t>
  </si>
  <si>
    <t>YA7FWCB0</t>
  </si>
  <si>
    <t>WAGONR-TRW-GTN</t>
  </si>
  <si>
    <t>TATA</t>
  </si>
  <si>
    <t>TATAACE-LFW-GTN/M</t>
  </si>
  <si>
    <t>Tata Superace 11-</t>
  </si>
  <si>
    <t>AY50FWCB</t>
  </si>
  <si>
    <t>LFW-AGYA</t>
  </si>
  <si>
    <t>AIOAY5FWCB</t>
  </si>
  <si>
    <t>2825ALFWGTN</t>
  </si>
  <si>
    <t>ALPHARD02-LFW-GTN/M</t>
  </si>
  <si>
    <t>28250TRWFGTN</t>
  </si>
  <si>
    <t>Toyota Alphard 02-08 ANH10 1st Gen (Bening)</t>
  </si>
  <si>
    <t>28250TRWFYPN</t>
  </si>
  <si>
    <t>ALPHARD1-TRW/H-YPN</t>
  </si>
  <si>
    <t>ALPHARD1-FVL-GTN</t>
  </si>
  <si>
    <t>ALPHARD1-FVR-GTN</t>
  </si>
  <si>
    <t>28250TDR3CLY</t>
  </si>
  <si>
    <t>ALPHARD02-FDL-GTN/K</t>
  </si>
  <si>
    <t>28250TDR4CLY</t>
  </si>
  <si>
    <t>T39-ALPHARD02-FDR-GTN/K</t>
  </si>
  <si>
    <t>28250TDR5CLY</t>
  </si>
  <si>
    <t>28250TDR6CLY</t>
  </si>
  <si>
    <t>28250TDR7CLN</t>
  </si>
  <si>
    <t>28250TDR8CLN</t>
  </si>
  <si>
    <t>28250TDR7YPN</t>
  </si>
  <si>
    <t>28250TDR8YPN</t>
  </si>
  <si>
    <t>28250TDR5YPY</t>
  </si>
  <si>
    <t>28250TDR6YPY</t>
  </si>
  <si>
    <t>ALPHARD1-SWL-YPN</t>
  </si>
  <si>
    <t>ALPHARD1-SWR-YPN</t>
  </si>
  <si>
    <t>SWR-ALPHARD02RATAHITAM</t>
  </si>
  <si>
    <t>55940LFWGGN</t>
  </si>
  <si>
    <t>ALPHARD2-LFWRS-GGN/MR</t>
  </si>
  <si>
    <t>5594ALFWGGN</t>
  </si>
  <si>
    <t>ALPHARD2-LFW-GGN/M</t>
  </si>
  <si>
    <t>55940TRWFYPN</t>
  </si>
  <si>
    <t>ALPHARD2-TRW/H-YPN</t>
  </si>
  <si>
    <t>55940TDR3CLN</t>
  </si>
  <si>
    <t>ALPHARD08-FDL-GTN/K</t>
  </si>
  <si>
    <t>55940TDR4CLN</t>
  </si>
  <si>
    <t>ALPHARD2-FVL-GTN</t>
  </si>
  <si>
    <t>ALPHARD2-FVR-GTN</t>
  </si>
  <si>
    <t>55940TDR7CLN</t>
  </si>
  <si>
    <t>55940TDR8CLN</t>
  </si>
  <si>
    <t>55940TDR5CLY</t>
  </si>
  <si>
    <t>T21-ALPHARD2-RDL-GTN/K</t>
  </si>
  <si>
    <t>55940TDR6CLY</t>
  </si>
  <si>
    <t>T22-ALPHARD2-RDR-GTN/K</t>
  </si>
  <si>
    <t>55940TDR7YPN</t>
  </si>
  <si>
    <t>ALPHARD08-SWL-YPN</t>
  </si>
  <si>
    <t>55940TDR8YPN</t>
  </si>
  <si>
    <t>ALPHARD08-SWR-YPN</t>
  </si>
  <si>
    <t>A0240LFWGBN</t>
  </si>
  <si>
    <t>ALPHARD15-LFWRS-GBN/MR</t>
  </si>
  <si>
    <t>A0240TRWYPN</t>
  </si>
  <si>
    <t>ALPHARD15-TRW-YPN</t>
  </si>
  <si>
    <t>A0240TRWGTN</t>
  </si>
  <si>
    <t>Toyota Alphard 15-17 ANH30 3rd Gen (Bening)</t>
  </si>
  <si>
    <t>A0240TDR3CLY</t>
  </si>
  <si>
    <t>ALPHARD3-FDL-GTNK</t>
  </si>
  <si>
    <t>A0240TDR4CLY</t>
  </si>
  <si>
    <t>ALPHARD3-FDR-GTNK</t>
  </si>
  <si>
    <t>A0240TDR5CLY</t>
  </si>
  <si>
    <t>ALPHARD3-RDL-GTNK</t>
  </si>
  <si>
    <t>A0240TDR6CLY</t>
  </si>
  <si>
    <t>ALPHARD3-RDR-GTNK</t>
  </si>
  <si>
    <t>A0240TDR7CLN</t>
  </si>
  <si>
    <t>A0240TDR8CLN</t>
  </si>
  <si>
    <t>A0240TDR5YPY</t>
  </si>
  <si>
    <t>A0240TDR6YPY</t>
  </si>
  <si>
    <t>ALPHARD3-SWL-YPY</t>
  </si>
  <si>
    <t>ALPHARD3-SWR-YPY</t>
  </si>
  <si>
    <t>ALPHARD18-LFW-GBN/M</t>
  </si>
  <si>
    <t>ALPHARD18-LFWRS1-GBN/MR</t>
  </si>
  <si>
    <t>ALPHARD18-LFWRS2-GBN/MRK</t>
  </si>
  <si>
    <t>ALPHARD3-18-TRWH-YPN</t>
  </si>
  <si>
    <t>2673CLFWGTN</t>
  </si>
  <si>
    <t>ALTIS00-LFW-GTN</t>
  </si>
  <si>
    <t>Toyota Altis 00-07 E120/130 9th Gen</t>
  </si>
  <si>
    <t>1176ATRWGTN</t>
  </si>
  <si>
    <t>ALTIS00-TRW/H-GTN</t>
  </si>
  <si>
    <t>55490LFWGBN</t>
  </si>
  <si>
    <t>ALTIS06-LFW-GBN/M</t>
  </si>
  <si>
    <t>5549ALFWGBY</t>
  </si>
  <si>
    <t>ALTIS06-LFW/RS-GBN/MR</t>
  </si>
  <si>
    <t>55490TRWGTY</t>
  </si>
  <si>
    <t>T40-ALTIS06-TRWH-GTN</t>
  </si>
  <si>
    <t>55490TDR1CLY</t>
  </si>
  <si>
    <t>ALTIS06-FD/L-GTN/K</t>
  </si>
  <si>
    <t>55490TDR2CLY</t>
  </si>
  <si>
    <t>ALTIS06-FD/R-GTN/K</t>
  </si>
  <si>
    <t>55490TDR3GTY</t>
  </si>
  <si>
    <t>ALTIS06-RD/L-GTN/W</t>
  </si>
  <si>
    <t>55490TDR4CLN</t>
  </si>
  <si>
    <t>ALTIS06-RD/R-GTN/W</t>
  </si>
  <si>
    <t>55490TDR5CLN</t>
  </si>
  <si>
    <t>55490TDR6CLN</t>
  </si>
  <si>
    <t>4965BLFWGTY</t>
  </si>
  <si>
    <t>T41-ALTIS13-LFWRS-GTN/MR</t>
  </si>
  <si>
    <t>49650TRWGTN</t>
  </si>
  <si>
    <t>T42-ALTIS13-TRWH-GTN</t>
  </si>
  <si>
    <t>49650TDR1CLY</t>
  </si>
  <si>
    <t>49650TDR2CLY</t>
  </si>
  <si>
    <t>ALTIS13-FDR-GTN/K</t>
  </si>
  <si>
    <t>49650TDR3CLY</t>
  </si>
  <si>
    <t>ALTIS13-RDL-GTN/W</t>
  </si>
  <si>
    <t>49650TDR4CLY</t>
  </si>
  <si>
    <t>ALTIS13-RDR-GTN/W</t>
  </si>
  <si>
    <t>49650TDR5CLN</t>
  </si>
  <si>
    <t>49650TDR6CLN</t>
  </si>
  <si>
    <t>ALTIS18-LFWRS-GTY/MR</t>
  </si>
  <si>
    <t>ALTIS18-TRWH-GTN</t>
  </si>
  <si>
    <t>53930LFWGTN</t>
  </si>
  <si>
    <t>T01-AVANZA03-LFW-GTN</t>
  </si>
  <si>
    <t>AX020FWCB</t>
  </si>
  <si>
    <t>5393ATRWGTN</t>
  </si>
  <si>
    <t>T02-AVANZA03-TRW-GTN</t>
  </si>
  <si>
    <t>53930TRWGTN</t>
  </si>
  <si>
    <t>T23-AVANZA03-TRWH-GTN</t>
  </si>
  <si>
    <t>45980LFWGTN</t>
  </si>
  <si>
    <t>T03-AVANZA12-LFW-GTN</t>
  </si>
  <si>
    <t>AX311FWCB0</t>
  </si>
  <si>
    <t>4598ATRWGTN</t>
  </si>
  <si>
    <t>AVANZA2-TRW-GTN</t>
  </si>
  <si>
    <t>264rb (100)</t>
  </si>
  <si>
    <t>45980TRWGTN</t>
  </si>
  <si>
    <t>T04-AVANZA12-TRW/H-GTN</t>
  </si>
  <si>
    <t>TRW-AVANZA11-H</t>
  </si>
  <si>
    <t>A1840LFWGTN</t>
  </si>
  <si>
    <t>T05-AVANZA16-LFW-GTN</t>
  </si>
  <si>
    <t>AG40FWCB0</t>
  </si>
  <si>
    <t>AX60FWCB</t>
  </si>
  <si>
    <t>CS80FWCB</t>
  </si>
  <si>
    <t>LFW-SIGRA</t>
  </si>
  <si>
    <t>CAS20RCB</t>
  </si>
  <si>
    <t>TRW-SIGRA</t>
  </si>
  <si>
    <t>CS300RQ/L</t>
  </si>
  <si>
    <t>SWL-SIGRA</t>
  </si>
  <si>
    <t>CS300RQ/R</t>
  </si>
  <si>
    <t>SWR-SIGRA</t>
  </si>
  <si>
    <t>11330LFWGBN</t>
  </si>
  <si>
    <t>CAMRY96-LFW-GBN/M</t>
  </si>
  <si>
    <t>11330TRWGTN</t>
  </si>
  <si>
    <t>3320FLFWGBN</t>
  </si>
  <si>
    <t>CAMRY02-LFW-GBN/M</t>
  </si>
  <si>
    <t>33200TRWGTN</t>
  </si>
  <si>
    <t>CAMRY02-TRWHA-GTN</t>
  </si>
  <si>
    <t>33200TDR1CLN</t>
  </si>
  <si>
    <t>33200TDR2CLN</t>
  </si>
  <si>
    <t>CAMRY02-FDR-GTN/K</t>
  </si>
  <si>
    <t>54120LFWGTY</t>
  </si>
  <si>
    <t>CAMRY06-LFW-GBN/M</t>
  </si>
  <si>
    <t>5412BLFWGBN</t>
  </si>
  <si>
    <t>CAMRY06-LFW/RS-GBN/MR</t>
  </si>
  <si>
    <t>54120TRWGTN</t>
  </si>
  <si>
    <t>CAMRY06-TRWH-GTN</t>
  </si>
  <si>
    <t>5921FLFWGBN</t>
  </si>
  <si>
    <t>T06-CAMRY11-LFW/RS-GBN/MR</t>
  </si>
  <si>
    <t>CAMRY11-LFW-GBN/M</t>
  </si>
  <si>
    <t>FB25221GTN</t>
  </si>
  <si>
    <t>CAMRY11-TRWH-GTN</t>
  </si>
  <si>
    <t>47440TDR1CLN</t>
  </si>
  <si>
    <t>47440TDR2CLN</t>
  </si>
  <si>
    <t>CAMRY11-FDR-GTN/K</t>
  </si>
  <si>
    <t>T49-CAMRY18-LFWRS-GBN/MR</t>
  </si>
  <si>
    <t>T44-CHR-LFW-GTY/M</t>
  </si>
  <si>
    <t>TWINCAM-LFW-GTN</t>
  </si>
  <si>
    <t>KE92FWCB</t>
  </si>
  <si>
    <t>00680TRWGTN</t>
  </si>
  <si>
    <t>TWINCAM-TRWH-GTN</t>
  </si>
  <si>
    <t>00170LFWGTN</t>
  </si>
  <si>
    <t>CGREAT91-LFW-GTN</t>
  </si>
  <si>
    <t>00170TRWGTN</t>
  </si>
  <si>
    <t>CGREAT91-TRWH-GTN</t>
  </si>
  <si>
    <t>CGREAT91-FDL-GTN/K</t>
  </si>
  <si>
    <t>CGREAT91-FDR-GTN/K</t>
  </si>
  <si>
    <t>CGREAT91-RDL-GTN/W</t>
  </si>
  <si>
    <t>CGREAT91-RDR-GTN/W</t>
  </si>
  <si>
    <t>T43-NEWCOROLLA-LFW-GTN</t>
  </si>
  <si>
    <t>KE120FWCB4</t>
  </si>
  <si>
    <t>T42-NEWCOROLLA-TRW/H-GTN</t>
  </si>
  <si>
    <t>CROSS21-LFWRS-GTN/MR</t>
  </si>
  <si>
    <t>5947BTRWGTN</t>
  </si>
  <si>
    <t>59470TRWGTN</t>
  </si>
  <si>
    <t>52420LFWGGN</t>
  </si>
  <si>
    <t>T43-FORTUNER05-LFW-GGN/M</t>
  </si>
  <si>
    <t>TT738FWCD</t>
  </si>
  <si>
    <t>5242BTRWGTN</t>
  </si>
  <si>
    <t>FORTUNER05-TRWH-GTN</t>
  </si>
  <si>
    <t>5242CTRWYPN</t>
  </si>
  <si>
    <t>FORTUNER05-TRWH-YPN</t>
  </si>
  <si>
    <t>5242ETDR3CLN</t>
  </si>
  <si>
    <t>FORTUNER05-RD/L-GTN</t>
  </si>
  <si>
    <t>5242ETDR4CLN</t>
  </si>
  <si>
    <t>FORTUNER05-RD/R-GTN</t>
  </si>
  <si>
    <t>5242ETDR7YPN</t>
  </si>
  <si>
    <t>FORTUNER05-SW/L-YPN</t>
  </si>
  <si>
    <t>5242ETDR8YPN</t>
  </si>
  <si>
    <t>FORTUNER05-SW/R/A-YPN</t>
  </si>
  <si>
    <t>A077ALFWGGN</t>
  </si>
  <si>
    <t>T44-FORTUNER15-LFW-GGN/M</t>
  </si>
  <si>
    <t>TT739FWCB</t>
  </si>
  <si>
    <t>A1060TRWGTN</t>
  </si>
  <si>
    <t>FORTUNER2-TRW-GTN</t>
  </si>
  <si>
    <t>A1060TRWYPN</t>
  </si>
  <si>
    <t>T45-FORTUNER15-TRWH-YPN</t>
  </si>
  <si>
    <t>A1060TDR3CLN</t>
  </si>
  <si>
    <t>T26-FORTUNER15-RDL-GTN</t>
  </si>
  <si>
    <t>A1060TDR4CLN</t>
  </si>
  <si>
    <t>T27-FORTUNER15-RDR-GTN</t>
  </si>
  <si>
    <t>T24-FT86-LFW-GTY/M</t>
  </si>
  <si>
    <t>Toyota FT86 / Subaru BRZ 13-21</t>
  </si>
  <si>
    <t>T25-FT86-TRW-GTN</t>
  </si>
  <si>
    <t>5176CLFWGTN</t>
  </si>
  <si>
    <t>HIACE05-LFW-GTN/M</t>
  </si>
  <si>
    <t>HIACEFWCB</t>
  </si>
  <si>
    <t>5176ATRWGTN</t>
  </si>
  <si>
    <t>T10-HIACE05-TRW/H/1-GTN</t>
  </si>
  <si>
    <t>Toyota Hi-Ace 04-20 Commuter (Bening)</t>
  </si>
  <si>
    <t>5176ATRWYPN</t>
  </si>
  <si>
    <t>HIACE05-TRW/H/1-YPN</t>
  </si>
  <si>
    <t>HIACE20TYPE2-TRW-GTN</t>
  </si>
  <si>
    <t>51760TDR1GTY</t>
  </si>
  <si>
    <t>HIACE05-FD/L-GTN/K</t>
  </si>
  <si>
    <t>F X</t>
  </si>
  <si>
    <t>51760TDR2CLY</t>
  </si>
  <si>
    <t>HIACE05-FD/R-GTN/K</t>
  </si>
  <si>
    <t>T07-HIACE05-RD/L/F-GTN</t>
  </si>
  <si>
    <t>RDL-HIACEFRAME</t>
  </si>
  <si>
    <t>T08-HIACE05-RD/R-GTN</t>
  </si>
  <si>
    <t>HIACE05-SF/L-GTN</t>
  </si>
  <si>
    <t>HIACE05-SF/R-GTN</t>
  </si>
  <si>
    <t>5176NTDR5CLN</t>
  </si>
  <si>
    <t>HIACE05-SR/L-GTN</t>
  </si>
  <si>
    <t>5176NTDR6CLN</t>
  </si>
  <si>
    <t>HIACE05-SR/R-GTN</t>
  </si>
  <si>
    <t>T09-HIACE05-SR/R/F-GTN</t>
  </si>
  <si>
    <t>T11-HIACE19-LFW-GTN/M</t>
  </si>
  <si>
    <t>T28-HIACE19-TRWH1-YPN</t>
  </si>
  <si>
    <t>Toyota Hi-Ace 19- Premio (Hitam) (Tinggi 59.5cm)</t>
  </si>
  <si>
    <t>HIACE19-TRWH-GTN</t>
  </si>
  <si>
    <t>Toyota Hi-Ace 19- Premio (Bening) (Tinggi 59.5cm)</t>
  </si>
  <si>
    <t>T45-HIACE19-FDL-GTN/K</t>
  </si>
  <si>
    <t>T46-HIACE19-FDR-GTN/K</t>
  </si>
  <si>
    <t>HIACE19-RDL-F-GTN/F</t>
  </si>
  <si>
    <t>HIACE19-RDR-GTN</t>
  </si>
  <si>
    <t>HIACE19-SRL-GTN</t>
  </si>
  <si>
    <t>HIACE19-SRR-F-GTN/F</t>
  </si>
  <si>
    <t>HILUX97-LFW-GTN</t>
  </si>
  <si>
    <t>LFW-HILUX97</t>
  </si>
  <si>
    <t>Toyota Hilux Pickup 97-04</t>
  </si>
  <si>
    <t>HILUX05-LFW-GTN/M</t>
  </si>
  <si>
    <t>TT738FWCD2</t>
  </si>
  <si>
    <t>52420TRWGTN</t>
  </si>
  <si>
    <t>T12-HILUX05-TRW/H-GTY</t>
  </si>
  <si>
    <t>A077ALFWGTN</t>
  </si>
  <si>
    <t>HILUX15-LFW-GTN/M</t>
  </si>
  <si>
    <t>TT739FWCB1</t>
  </si>
  <si>
    <t>F - M</t>
  </si>
  <si>
    <t>A0770TRWGTN</t>
  </si>
  <si>
    <t>HILUX15-TRW/H-GTN</t>
  </si>
  <si>
    <t>A077ATRWGTN</t>
  </si>
  <si>
    <t>HILUX15-TRW/N-GTN</t>
  </si>
  <si>
    <t>HILUX15-RDL-GTN/W</t>
  </si>
  <si>
    <t>HILUX15-RDR-GTN/W</t>
  </si>
  <si>
    <t>HILUX15-RQL-GTN</t>
  </si>
  <si>
    <t>HILUX15-RQR-GTN</t>
  </si>
  <si>
    <t>5286ALFWGTN</t>
  </si>
  <si>
    <t>INNOVA1-LFW-GTN/M</t>
  </si>
  <si>
    <t>IMVFWCB</t>
  </si>
  <si>
    <t>52860TRWGTN</t>
  </si>
  <si>
    <t>T46-INNOVA04-TRWH-GTY</t>
  </si>
  <si>
    <t>52860TRWCGTN</t>
  </si>
  <si>
    <t>T13-INNOVA1-TRW-GTY</t>
  </si>
  <si>
    <t>52860TDR7CLN</t>
  </si>
  <si>
    <t>52860TDR8CLN</t>
  </si>
  <si>
    <t>52860TDR10CLN</t>
  </si>
  <si>
    <t>A2580LFWGTN</t>
  </si>
  <si>
    <t>T34-INNOVA2-LFW-GTN/M</t>
  </si>
  <si>
    <t>INVNFWCB</t>
  </si>
  <si>
    <t>T35-INNOVA2-TRW-GTN</t>
  </si>
  <si>
    <t>AN140 RW/H/X-GTN</t>
  </si>
  <si>
    <t>INNOVA23-LFWRS-GTN/M</t>
  </si>
  <si>
    <t>INNOVA23-LFW-GTN/M</t>
  </si>
  <si>
    <t>2878BLFWGTN</t>
  </si>
  <si>
    <t>IST-LFW-GTN/M</t>
  </si>
  <si>
    <t>28780TRWGTN</t>
  </si>
  <si>
    <t>T14-KIJANG97-LFW-GTN</t>
  </si>
  <si>
    <t>510TFW</t>
  </si>
  <si>
    <t>Toyota Kijang 98- Kapsul Karet (7K)</t>
  </si>
  <si>
    <t>T15-KIJANGEFI-LFW-GTN</t>
  </si>
  <si>
    <t>TKKAPFWCB</t>
  </si>
  <si>
    <t>Toyota Kijang 02-04 Kapsul Lem Efi (7K)</t>
  </si>
  <si>
    <t>FJ40-LFW-GTN</t>
  </si>
  <si>
    <t>0069ALFWGGN</t>
  </si>
  <si>
    <t>FJ80-LFW-GGN</t>
  </si>
  <si>
    <t>00690TRWGTN</t>
  </si>
  <si>
    <t>FJ80-TRW-GTN</t>
  </si>
  <si>
    <t>00690TDR3CLN</t>
  </si>
  <si>
    <t>00690TDR4CLN</t>
  </si>
  <si>
    <t>00690TDR7CLN</t>
  </si>
  <si>
    <t>FJ80-SFL-GTN</t>
  </si>
  <si>
    <t>0069ATDR8CLN</t>
  </si>
  <si>
    <t>00690TDR9CLN</t>
  </si>
  <si>
    <t>FJ80-SRL-GTN</t>
  </si>
  <si>
    <t>00690TDR10CLN</t>
  </si>
  <si>
    <t>FJ80-SRR-GTN</t>
  </si>
  <si>
    <t>FJ100-LFWRS-GTN/MR</t>
  </si>
  <si>
    <t>17130LFWGBN</t>
  </si>
  <si>
    <t>17130TRWGTN</t>
  </si>
  <si>
    <t>17130TDR3CLN</t>
  </si>
  <si>
    <t>FJ100-RDL-GTN/W</t>
  </si>
  <si>
    <t>17130TDR4CLN</t>
  </si>
  <si>
    <t>FJ100-RDR-GTN/W</t>
  </si>
  <si>
    <t>17130TDR7CLN</t>
  </si>
  <si>
    <t>17130TDR8CLN</t>
  </si>
  <si>
    <t>5569DLFWGBN</t>
  </si>
  <si>
    <t>FJ200-LFW-GBN/MR</t>
  </si>
  <si>
    <t>Toyota LandCruiser 07-21 FJ200 (1 Sensor / u ) Tipe 1 / Lxs</t>
  </si>
  <si>
    <t>FJ200-16-LFWRSV2-GBN/MR</t>
  </si>
  <si>
    <t>LFW-FJ200RS1PSH</t>
  </si>
  <si>
    <t>Toyota LandCruiser 07-21 FJ200 (1 Sensor / I I ) Tipe 2 / Lxs</t>
  </si>
  <si>
    <t>5569ALFWGGN</t>
  </si>
  <si>
    <t>FJ200-LFW-GGN/M</t>
  </si>
  <si>
    <t>55690TRWGTN</t>
  </si>
  <si>
    <t>FJ200-TRWH1-GTN</t>
  </si>
  <si>
    <t>55690TDR1CLN</t>
  </si>
  <si>
    <t>55690TDR2CLN</t>
  </si>
  <si>
    <t>55690TDR3CLN</t>
  </si>
  <si>
    <t>Toyota LandCruiser 07-21 FJ200 / Lexus</t>
  </si>
  <si>
    <t>55690TDR4CLN</t>
  </si>
  <si>
    <t>55690TDR5CLN</t>
  </si>
  <si>
    <t>55690TDR6CLN</t>
  </si>
  <si>
    <t>FJ70FW3</t>
  </si>
  <si>
    <t>Toyota LandCruiser 84- FJ70 / LC Bundera</t>
  </si>
  <si>
    <t>T54-FJ90-LFW-GTY</t>
  </si>
  <si>
    <t>28220LFWGTN</t>
  </si>
  <si>
    <t>FJ120-LFW-GTY/M</t>
  </si>
  <si>
    <t>FJ120-FDL-GTN/K</t>
  </si>
  <si>
    <t>FDR-FJ120</t>
  </si>
  <si>
    <t>FJ120-FDR-GTN/K</t>
  </si>
  <si>
    <t>FDL-FJ120</t>
  </si>
  <si>
    <t>28220TDR3CLN</t>
  </si>
  <si>
    <t>28220TDR4CLN</t>
  </si>
  <si>
    <t>2822BTDR7CLN</t>
  </si>
  <si>
    <t>28220TDR8CLN</t>
  </si>
  <si>
    <t>2822ATRWGTN</t>
  </si>
  <si>
    <t>T55-FJ120-TRWH1-GTN</t>
  </si>
  <si>
    <t>T53-FJ120-TRWH-GTN</t>
  </si>
  <si>
    <t>5769ALFWGGY</t>
  </si>
  <si>
    <t>FJ150-LFWRS-GGY/MR</t>
  </si>
  <si>
    <t>57690TRWGTN</t>
  </si>
  <si>
    <t>X/Heater/17hole</t>
  </si>
  <si>
    <t>57690TDR3CLN</t>
  </si>
  <si>
    <t>57690TDR4CLN</t>
  </si>
  <si>
    <t>55460LFWGTN</t>
  </si>
  <si>
    <t>NAV107-LFW-GTN/M</t>
  </si>
  <si>
    <t>55460TRWGTN</t>
  </si>
  <si>
    <t>NAV107-TRW-GTN</t>
  </si>
  <si>
    <t>55460TDR5CLN</t>
  </si>
  <si>
    <t>55460TDR6CLN</t>
  </si>
  <si>
    <t>2756ALFWCLN</t>
  </si>
  <si>
    <t>NOAH01-LFW-GTN/M</t>
  </si>
  <si>
    <t>2756ATRWGTN</t>
  </si>
  <si>
    <t>NOAH01-TRWH-GTN</t>
  </si>
  <si>
    <t>2756ATDR5CLN</t>
  </si>
  <si>
    <t>2756ATDR6CLN</t>
  </si>
  <si>
    <t>2756ATDR7CLN</t>
  </si>
  <si>
    <t>22890LFWCLN</t>
  </si>
  <si>
    <t>T47-PREVIA00-LFW-GTN</t>
  </si>
  <si>
    <t>2289ATRWGTN</t>
  </si>
  <si>
    <t>53910LFWCGY</t>
  </si>
  <si>
    <t>T48-PREVIA06-LFW-GTN</t>
  </si>
  <si>
    <t>53910TRWFGTN</t>
  </si>
  <si>
    <t>PRIUS09-LFWRS-GTY/MR</t>
  </si>
  <si>
    <t>LFW-PRIUS09</t>
  </si>
  <si>
    <t>Toyota Prius 09-15 XW30</t>
  </si>
  <si>
    <t>RR73FWCB</t>
  </si>
  <si>
    <t>RAIZE-LFWRS-GTN/K</t>
  </si>
  <si>
    <t>26260TRWGTN</t>
  </si>
  <si>
    <t>RAV4-XA20-TRWH-GTN</t>
  </si>
  <si>
    <t>26260LFWGTN</t>
  </si>
  <si>
    <t>T47-RAV00-LFW-GTY/M</t>
  </si>
  <si>
    <t>Toyota RAV4 00-05 XA20 2th Gen / Chery Tiggo 05-10</t>
  </si>
  <si>
    <t>5382ALFWCLY</t>
  </si>
  <si>
    <t>53820TRWGTN</t>
  </si>
  <si>
    <t>53820TDR1CLY</t>
  </si>
  <si>
    <t>53820TDR2CLY</t>
  </si>
  <si>
    <t>53820TDR3CLY</t>
  </si>
  <si>
    <t>53820TDR4CLY</t>
  </si>
  <si>
    <t>53820TDR7CLN</t>
  </si>
  <si>
    <t>53820TDR8CLN</t>
  </si>
  <si>
    <t>5411CLFWGTN</t>
  </si>
  <si>
    <t>TERIOS-1-LFW-GTN</t>
  </si>
  <si>
    <t>D99FWCB</t>
  </si>
  <si>
    <t>5411CTRWGTN</t>
  </si>
  <si>
    <t>D01-TERIOS1-TRW/1-GTN</t>
  </si>
  <si>
    <t>54110TRWGTN</t>
  </si>
  <si>
    <t>D03-TERIOS1-TRWH1-GTN</t>
  </si>
  <si>
    <t>5411BTRWGTN</t>
  </si>
  <si>
    <t>D04-TERIOS1-TRW-GTN</t>
  </si>
  <si>
    <t>TERIOS1-SWL-GTN</t>
  </si>
  <si>
    <t>TERIOS1-SWR-GTN</t>
  </si>
  <si>
    <t>T48-TERIOS18-LFW-GTN</t>
  </si>
  <si>
    <t>RUSHFWCB</t>
  </si>
  <si>
    <t>TY-F800 RW/H/X-GTN</t>
  </si>
  <si>
    <t>TR31RMCB</t>
  </si>
  <si>
    <t>T36-TERIOS18-TRW-GTN</t>
  </si>
  <si>
    <t>A1440LFWCLN</t>
  </si>
  <si>
    <t>T49-SIENTA-LFW-GTN/M</t>
  </si>
  <si>
    <t>A1440TRWGTN</t>
  </si>
  <si>
    <t>T50-SIENTA-TRWH-GTN</t>
  </si>
  <si>
    <t>24210LFWGTN</t>
  </si>
  <si>
    <t>SOLUNA-LFW/X-GTN</t>
  </si>
  <si>
    <t>908TFWCB</t>
  </si>
  <si>
    <t>T16-SOLUNA-TRW/H-GTN</t>
  </si>
  <si>
    <t>06300LFWGGN</t>
  </si>
  <si>
    <t>STARLET-EP80-LFW-GGN</t>
  </si>
  <si>
    <t>06300TRWHGTN</t>
  </si>
  <si>
    <t>STARLET-EP80-TRW/H-GTN</t>
  </si>
  <si>
    <t>06300TDR3CLN</t>
  </si>
  <si>
    <t>STARLET-RDL-GTN</t>
  </si>
  <si>
    <t>06300TDR4CLN</t>
  </si>
  <si>
    <t>STARLET-RDR-GTN</t>
  </si>
  <si>
    <t>T17-VIOS02-LFW-GTN/M</t>
  </si>
  <si>
    <t>TOVIMFWCB</t>
  </si>
  <si>
    <t>34920TRWGTN</t>
  </si>
  <si>
    <t>T18-VIOS02-TRW/H-GTN</t>
  </si>
  <si>
    <t>T37-VIOS02-FDL-GTN</t>
  </si>
  <si>
    <t>T38-VIOS02-FDR-GTN</t>
  </si>
  <si>
    <t>34920TDR3GTY</t>
  </si>
  <si>
    <t>VIOS02-RDL-GTN/W</t>
  </si>
  <si>
    <t>34920TDR4GTY</t>
  </si>
  <si>
    <t>VIOS02-RDR-GTN/W</t>
  </si>
  <si>
    <t>53870LFWGTN</t>
  </si>
  <si>
    <t>VIOS2-LFW-GTN/M</t>
  </si>
  <si>
    <t>NVIOSFWCD</t>
  </si>
  <si>
    <t>53870TRWGTN</t>
  </si>
  <si>
    <t>5387ATRWGTN</t>
  </si>
  <si>
    <t>T19-VIOS07-TRW/H-GTN</t>
  </si>
  <si>
    <t>53870TDR3GTY</t>
  </si>
  <si>
    <t>VIOS2-RDL-GTN/W</t>
  </si>
  <si>
    <t>53870TDR4GTY</t>
  </si>
  <si>
    <t>VIOS2-RDR-GTN/W</t>
  </si>
  <si>
    <t>53870TDR5CLN</t>
  </si>
  <si>
    <t>VIOS2-RV/L-GTN</t>
  </si>
  <si>
    <t>VIOS2-RV/R-GTN</t>
  </si>
  <si>
    <t>T51-VIOS07-TRW-GTN</t>
  </si>
  <si>
    <t>VIOS3-TRW-GTN</t>
  </si>
  <si>
    <t>46760LFWGTN</t>
  </si>
  <si>
    <t>VOXY17-LFW-GTN/M</t>
  </si>
  <si>
    <t>Toyota Voxy 17-21 1st Gen</t>
  </si>
  <si>
    <t>46760TRWGTN</t>
  </si>
  <si>
    <t>T41-VOXY17-TRWH-YPN</t>
  </si>
  <si>
    <t>VOXY22-LFW-GTN/MK</t>
  </si>
  <si>
    <t>VOXY22-TRWH-YPN</t>
  </si>
  <si>
    <t>28190LFWAGTN</t>
  </si>
  <si>
    <t>WISH03-LFW-GTN/M</t>
  </si>
  <si>
    <t>28190TRWGTN</t>
  </si>
  <si>
    <t>WISH03-TRW-GTN</t>
  </si>
  <si>
    <t>52810LFWGTN</t>
  </si>
  <si>
    <t>YARIS-LFW-GTN/M</t>
  </si>
  <si>
    <t>YARRISFWCD</t>
  </si>
  <si>
    <t>52810TRWGTN</t>
  </si>
  <si>
    <t>YARIS-TRW/H-GTY</t>
  </si>
  <si>
    <t>8796BLFWGTN</t>
  </si>
  <si>
    <t>VIOS3-LFW-GTN/M</t>
  </si>
  <si>
    <t>NLIMOFWCB</t>
  </si>
  <si>
    <t>T52-YARIS13-TRWH-GTY</t>
  </si>
  <si>
    <t>T20-YARIS17-TRW/H-GTN</t>
  </si>
  <si>
    <t>VW</t>
  </si>
  <si>
    <t>VW-T4-LFW-GTN/M</t>
  </si>
  <si>
    <t>LFW-T4</t>
  </si>
  <si>
    <t>VW Caravelle T4 90-03</t>
  </si>
  <si>
    <t>5101CLFWGTN</t>
  </si>
  <si>
    <t>VW-T5-LFW-GTN/M</t>
  </si>
  <si>
    <t>5101BTRWYPN</t>
  </si>
  <si>
    <t>CARAVELLE03-TRW-GTN</t>
  </si>
  <si>
    <t>T6-TRWH-GTN/O</t>
  </si>
  <si>
    <t>TRW-T6</t>
  </si>
  <si>
    <t>VW Caravelle T6 17-</t>
  </si>
  <si>
    <t>51610TRWGTN</t>
  </si>
  <si>
    <t>5788ALFWGTY</t>
  </si>
  <si>
    <t>V03-GOLFMK6-LFWRS-GTY/R</t>
  </si>
  <si>
    <t>VW Golf MK6 Hatchback 08-12 / MK5 03-08</t>
  </si>
  <si>
    <t>57880TRWGTN</t>
  </si>
  <si>
    <t>GOLFMK6-TRWH-GTN</t>
  </si>
  <si>
    <t>46170LFWGTY</t>
  </si>
  <si>
    <t>GOLF-MK7-LFRS-GTY/R</t>
  </si>
  <si>
    <t>59800LFWGTY</t>
  </si>
  <si>
    <t>VW New Beetle 2D Hatchback A5 11-19</t>
  </si>
  <si>
    <t>5787GLFWGTY</t>
  </si>
  <si>
    <t>POLO15-LFWRS-GTY/R</t>
  </si>
  <si>
    <t>57870LFWGTY</t>
  </si>
  <si>
    <t>POLO15-LFW-GTY/M</t>
  </si>
  <si>
    <t>5787CTRWGTN</t>
  </si>
  <si>
    <t>57860LFWGTN</t>
  </si>
  <si>
    <t>SCIROCCO-LFWRS-GTN/R</t>
  </si>
  <si>
    <t>V04-SCIROCCO08-TRWH-GTN</t>
  </si>
  <si>
    <t>57200LFWGTY</t>
  </si>
  <si>
    <t>V01-TIGUAN17-LFW/RS-GTY/R</t>
  </si>
  <si>
    <t>TIGUAN07-TRW-GTN</t>
  </si>
  <si>
    <t>TIGUAN-17-LFWRS-GTY/R</t>
  </si>
  <si>
    <t>TIGUAN-17 RW/H/X-GTN</t>
  </si>
  <si>
    <t>ALMAZ-LFWRS-GTN/M</t>
  </si>
  <si>
    <t>ALMAZ-19-VC LFW/X-GTN/M</t>
  </si>
  <si>
    <t>ALMAZ-TRWH-GTN</t>
  </si>
  <si>
    <t>8455BLFWGTN</t>
  </si>
  <si>
    <t>W01-CONFERO-LFW-GBN/M</t>
  </si>
  <si>
    <t>WCONFWCD</t>
  </si>
  <si>
    <t>W04-CONFERO-TRW-GTN</t>
  </si>
  <si>
    <t>W02-CONFERO-TRW-GTN</t>
  </si>
  <si>
    <t>W03-CONFERO-TRWN-GTN</t>
  </si>
  <si>
    <t>SWR-CONFEROKARET</t>
  </si>
  <si>
    <t>Wuling Confero [Karet]</t>
  </si>
  <si>
    <t>X/List Karet</t>
  </si>
  <si>
    <t>SWL-CONFEROKARET</t>
  </si>
  <si>
    <t>SWR-CONFEROCHROME</t>
  </si>
  <si>
    <t>Wuling Confero [Chrome]</t>
  </si>
  <si>
    <t>X/List Chrome</t>
  </si>
  <si>
    <t>SWL-CONFEROCHROME</t>
  </si>
  <si>
    <t>CORTEZ-VCPS LFW/X-GBN</t>
  </si>
  <si>
    <t>CORTEZ-TRW-GTN</t>
  </si>
  <si>
    <t>SWR-CORTEZKARET</t>
  </si>
  <si>
    <t>Wuling Cortez [Karet]</t>
  </si>
  <si>
    <t>SWL-CORTEZKARET</t>
  </si>
  <si>
    <t>SWR-CORTEZCHROME</t>
  </si>
  <si>
    <t>Wuling Cortez [Chrome]</t>
  </si>
  <si>
    <t>SWL-CORTEZCHROME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</si>
</sst>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d/m/yyyy"/>
    <numFmt numFmtId="165" formatCode="dd/mm/yy"/>
    <numFmt numFmtId="166" formatCode="d/m/yy"/>
    <numFmt numFmtId="167" formatCode="dd/MM/yyyy"/>
    <numFmt numFmtId="168" formatCode="_(* #,##0_);_(* \(#,##0\);_(* &quot;-&quot;??_);_(@_)"/>
    <numFmt numFmtId="169" formatCode="&quot;Rp&quot;#,##0"/>
    <numFmt numFmtId="170" formatCode="dd/mm/yyyy"/>
    <numFmt numFmtId="171" formatCode="_([$Rp-421]* #,##0_);_([$Rp-421]* \(#,##0\);_([$Rp-421]* &quot;-&quot;??_);_(@_)"/>
    <numFmt numFmtId="172" formatCode="[$Rp]#,##0"/>
    <numFmt numFmtId="173" formatCode="[$-409]d\-mmm\-yy"/>
    <numFmt numFmtId="174" formatCode="mm/dd/yy"/>
    <numFmt numFmtId="175" formatCode="_([$Rp-421]* #,##0.00_);_([$Rp-421]* \(#,##0.00\);_([$Rp-421]* &quot;-&quot;??_);_(@_)"/>
    <numFmt numFmtId="176" formatCode="d&quot;-&quot;mmm&quot;-&quot;yyyy"/>
    <numFmt numFmtId="177" formatCode="0.0%"/>
    <numFmt numFmtId="178" formatCode="mmmm yyyy"/>
    <numFmt numFmtId="179" formatCode="[$Rp-421]#,##0.00"/>
    <numFmt numFmtId="180" formatCode="_(* #,##0.00_);_(* \(#,##0.00\);_(* &quot;-&quot;??_);_(@_)"/>
  </numFmts>
  <fonts count="125">
    <font>
      <sz val="11.0"/>
      <color theme="1"/>
      <name val="Calibri"/>
      <scheme val="minor"/>
    </font>
    <font>
      <b/>
      <i/>
      <sz val="10.0"/>
      <color rgb="FFFFFFFF"/>
      <name val="Calibri"/>
    </font>
    <font>
      <b/>
      <i/>
      <sz val="10.0"/>
      <color theme="0"/>
      <name val="Calibri"/>
    </font>
    <font>
      <sz val="10.0"/>
      <color theme="1"/>
      <name val="Calibri"/>
    </font>
    <font>
      <sz val="10.0"/>
      <color theme="1"/>
      <name val="Calibri"/>
      <scheme val="minor"/>
    </font>
    <font>
      <sz val="10.0"/>
      <color rgb="FF000000"/>
      <name val="Arial"/>
    </font>
    <font>
      <b/>
      <sz val="10.0"/>
      <color theme="1"/>
      <name val="Calibri"/>
    </font>
    <font>
      <sz val="10.0"/>
      <color rgb="FF000000"/>
      <name val="Calibri"/>
    </font>
    <font>
      <sz val="10.0"/>
      <color rgb="FF000000"/>
      <name val="Docs-Calibri"/>
    </font>
    <font>
      <sz val="11.0"/>
      <color theme="1"/>
      <name val="Calibri"/>
    </font>
    <font>
      <b/>
      <sz val="10.0"/>
      <color rgb="FFFFFFFF"/>
      <name val="Calibri"/>
      <scheme val="minor"/>
    </font>
    <font/>
    <font>
      <b/>
      <sz val="10.0"/>
      <color theme="1"/>
      <name val="Calibri"/>
      <scheme val="minor"/>
    </font>
    <font>
      <sz val="10.0"/>
      <color rgb="FF000000"/>
      <name val="Calibri"/>
      <scheme val="minor"/>
    </font>
    <font>
      <sz val="10.0"/>
      <color rgb="FF1F1F1F"/>
      <name val="Calibri"/>
      <scheme val="minor"/>
    </font>
    <font>
      <sz val="10.0"/>
      <color rgb="FF171718"/>
      <name val="Calibri"/>
      <scheme val="minor"/>
    </font>
    <font>
      <color theme="1"/>
      <name val="Calibri"/>
      <scheme val="minor"/>
    </font>
    <font>
      <sz val="10.0"/>
      <color rgb="FF000000"/>
      <name val="'Calibri'"/>
    </font>
    <font>
      <b/>
      <sz val="12.0"/>
      <color theme="1"/>
      <name val="Calibri"/>
    </font>
    <font>
      <sz val="8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rgb="FF1F1F1F"/>
      <name val="Calibri"/>
    </font>
    <font>
      <b/>
      <i/>
      <sz val="10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sz val="7.0"/>
      <color theme="1"/>
      <name val="Calibri"/>
    </font>
    <font>
      <i/>
      <sz val="10.0"/>
      <color theme="1"/>
      <name val="Calibri"/>
    </font>
    <font>
      <b/>
      <i/>
      <sz val="9.0"/>
      <color theme="1"/>
      <name val="Calibri"/>
    </font>
    <font>
      <b/>
      <sz val="8.0"/>
      <color theme="1"/>
      <name val="Calibri"/>
    </font>
    <font>
      <b/>
      <i/>
      <sz val="10.0"/>
      <color theme="1"/>
      <name val="Calibri"/>
      <scheme val="minor"/>
    </font>
    <font>
      <b/>
      <color theme="1"/>
      <name val="Calibri"/>
      <scheme val="minor"/>
    </font>
    <font>
      <color rgb="FF000000"/>
      <name val="'Calibri'"/>
    </font>
    <font>
      <sz val="10.0"/>
      <color rgb="FF1F1F1F"/>
      <name val="Calibri"/>
    </font>
    <font>
      <sz val="13.0"/>
      <color theme="1"/>
      <name val="Times New Roman"/>
    </font>
    <font>
      <color theme="1"/>
      <name val="Calibri"/>
    </font>
    <font>
      <sz val="6.0"/>
      <color theme="1"/>
      <name val="Calibri"/>
    </font>
    <font>
      <b/>
      <sz val="11.0"/>
      <color rgb="FFFFFFFF"/>
      <name val="Arial"/>
    </font>
    <font>
      <b/>
      <sz val="11.0"/>
      <color theme="1"/>
      <name val="Arial"/>
    </font>
    <font>
      <sz val="11.0"/>
      <color rgb="FF000000"/>
      <name val="'Calibri'"/>
    </font>
    <font>
      <b/>
      <color rgb="FF000000"/>
      <name val="Arial"/>
    </font>
    <font>
      <color rgb="FF000000"/>
      <name val="Calibri"/>
      <scheme val="minor"/>
    </font>
    <font>
      <b/>
      <color rgb="FF000000"/>
      <name val="'Calibri-Bold'"/>
    </font>
    <font>
      <b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  <font>
      <b/>
      <sz val="11.0"/>
      <color rgb="FF9900FF"/>
      <name val="Calibri"/>
    </font>
    <font>
      <b/>
      <i/>
      <sz val="14.0"/>
      <color theme="1"/>
      <name val="Calibri"/>
    </font>
    <font>
      <b/>
      <sz val="14.0"/>
      <color theme="1"/>
      <name val="Calibri"/>
    </font>
    <font>
      <b/>
      <sz val="10.0"/>
      <color rgb="FF000000"/>
      <name val="Calibri"/>
    </font>
    <font>
      <b/>
      <color rgb="FFFFFFFF"/>
      <name val="Calibri"/>
      <scheme val="minor"/>
    </font>
    <font>
      <color theme="1"/>
      <name val="Arial"/>
    </font>
    <font>
      <sz val="11.0"/>
      <color rgb="FF000000"/>
      <name val="Docs-Calibri"/>
    </font>
    <font>
      <b/>
      <i/>
      <sz val="8.0"/>
      <color theme="1"/>
      <name val="Calibri"/>
    </font>
    <font>
      <b/>
      <sz val="11.0"/>
      <color theme="1"/>
      <name val="Calibri"/>
      <scheme val="minor"/>
    </font>
    <font>
      <sz val="9.0"/>
      <color theme="1"/>
      <name val="Calibri"/>
      <scheme val="minor"/>
    </font>
    <font>
      <u/>
      <sz val="9.0"/>
      <color theme="1"/>
      <name val="Calibri"/>
      <scheme val="minor"/>
    </font>
    <font>
      <b/>
      <i/>
      <sz val="9.0"/>
      <color theme="1"/>
      <name val="Calibri"/>
      <scheme val="minor"/>
    </font>
    <font>
      <u/>
      <sz val="9.0"/>
      <color theme="1"/>
      <name val="Calibri"/>
      <scheme val="minor"/>
    </font>
    <font>
      <i/>
      <sz val="9.0"/>
      <color theme="1"/>
      <name val="Calibri"/>
      <scheme val="minor"/>
    </font>
    <font>
      <b/>
      <sz val="9.0"/>
      <color theme="1"/>
      <name val="Calibri"/>
      <scheme val="minor"/>
    </font>
    <font>
      <b/>
      <sz val="25.0"/>
      <color theme="1"/>
      <name val="Calibri"/>
    </font>
    <font>
      <b/>
      <sz val="17.0"/>
      <color theme="1"/>
      <name val="Calibri"/>
    </font>
    <font>
      <sz val="18.0"/>
      <color theme="1"/>
      <name val="Calibri"/>
    </font>
    <font>
      <sz val="26.0"/>
      <color theme="1"/>
      <name val="Arial"/>
    </font>
    <font>
      <b/>
      <sz val="15.0"/>
      <color theme="1"/>
      <name val="Calibri"/>
    </font>
    <font>
      <b/>
      <color theme="1"/>
      <name val="Arial"/>
    </font>
    <font>
      <b/>
      <i/>
      <sz val="14.0"/>
      <color rgb="FF000000"/>
      <name val="Docs-Calibri"/>
    </font>
    <font>
      <b/>
      <i/>
      <sz val="14.0"/>
      <color rgb="FF000000"/>
      <name val="Calibri"/>
    </font>
    <font>
      <b/>
      <sz val="17.0"/>
      <color rgb="FFFF0000"/>
      <name val="Arial"/>
    </font>
    <font>
      <b/>
      <sz val="28.0"/>
      <color theme="1"/>
      <name val="Arial"/>
    </font>
    <font>
      <b/>
      <sz val="17.0"/>
      <color theme="1"/>
      <name val="Arial"/>
    </font>
    <font>
      <b/>
      <sz val="17.0"/>
      <color rgb="FF000000"/>
      <name val="Arial"/>
    </font>
    <font>
      <b/>
      <sz val="22.0"/>
      <color theme="0"/>
      <name val="Calibri"/>
    </font>
    <font>
      <b/>
      <sz val="12.0"/>
      <color theme="0"/>
      <name val="Calibri"/>
    </font>
    <font>
      <b/>
      <sz val="10.0"/>
      <color theme="0"/>
      <name val="Calibri"/>
    </font>
    <font>
      <b/>
      <sz val="8.0"/>
      <color rgb="FF7030A0"/>
      <name val="Calibri"/>
    </font>
    <font>
      <sz val="9.0"/>
      <color theme="0"/>
      <name val="Arial"/>
    </font>
    <font>
      <sz val="8.0"/>
      <color theme="0"/>
      <name val="Calibri"/>
    </font>
    <font>
      <sz val="9.0"/>
      <color theme="1"/>
      <name val="Arial"/>
    </font>
    <font>
      <sz val="9.0"/>
      <color theme="0"/>
      <name val="Calibri"/>
    </font>
    <font>
      <sz val="9.0"/>
      <color rgb="FFFF0000"/>
      <name val="Arial"/>
    </font>
    <font>
      <b/>
      <sz val="18.0"/>
      <color theme="0"/>
      <name val="Calibri"/>
    </font>
    <font>
      <b/>
      <sz val="11.0"/>
      <color theme="0"/>
      <name val="Calibri"/>
    </font>
    <font>
      <b/>
      <sz val="9.0"/>
      <color theme="0"/>
      <name val="Calibri"/>
    </font>
    <font>
      <sz val="14.0"/>
      <color theme="1"/>
      <name val="Calibri"/>
    </font>
    <font>
      <sz val="11.0"/>
      <color rgb="FF632423"/>
      <name val="Calibri"/>
    </font>
    <font>
      <sz val="9.0"/>
      <color rgb="FF632423"/>
      <name val="Calibri"/>
    </font>
    <font>
      <sz val="10.0"/>
      <color theme="0"/>
      <name val="Calibri"/>
    </font>
    <font>
      <sz val="11.0"/>
      <color theme="0"/>
      <name val="Calibri"/>
    </font>
    <font>
      <sz val="6.0"/>
      <color theme="0"/>
      <name val="Carlito"/>
    </font>
    <font>
      <sz val="11.0"/>
      <color rgb="FF000000"/>
      <name val="Times New Roman"/>
    </font>
    <font>
      <sz val="10.0"/>
      <color theme="1"/>
      <name val="Times New Roman"/>
    </font>
    <font>
      <sz val="11.0"/>
      <color rgb="FFFF0000"/>
      <name val="Times New Roman"/>
    </font>
    <font>
      <sz val="11.0"/>
      <color rgb="FFFF0000"/>
      <name val="Calibri"/>
    </font>
    <font>
      <sz val="6.0"/>
      <color theme="0"/>
      <name val="Arial"/>
    </font>
    <font>
      <sz val="11.0"/>
      <color theme="1"/>
      <name val="Times New Roman"/>
    </font>
    <font>
      <b/>
      <sz val="28.0"/>
      <color theme="1"/>
      <name val="Calibri"/>
    </font>
    <font>
      <b/>
      <sz val="6.0"/>
      <color theme="1"/>
      <name val="Arial"/>
    </font>
    <font>
      <b/>
      <sz val="8.0"/>
      <color theme="1"/>
      <name val="Arial"/>
    </font>
    <font>
      <sz val="8.0"/>
      <color rgb="FFFF0000"/>
      <name val="Calibri"/>
    </font>
    <font>
      <b/>
      <sz val="8.0"/>
      <color rgb="FFFFFF00"/>
      <name val="Times New Roman"/>
    </font>
    <font>
      <b/>
      <sz val="8.0"/>
      <color rgb="FF00B050"/>
      <name val="Times New Roman"/>
    </font>
    <font>
      <sz val="8.0"/>
      <color rgb="FF00B0F0"/>
      <name val="Calibri"/>
    </font>
    <font>
      <b/>
      <sz val="11.0"/>
      <color rgb="FF000000"/>
      <name val="Times New Roman"/>
    </font>
    <font>
      <b/>
      <sz val="8.0"/>
      <color rgb="FF000000"/>
      <name val="Times New Roman"/>
    </font>
    <font>
      <sz val="6.0"/>
      <color theme="1"/>
      <name val="Carlito"/>
    </font>
    <font>
      <sz val="8.0"/>
      <color theme="1"/>
      <name val="Carlito"/>
    </font>
    <font>
      <sz val="6.0"/>
      <color theme="1"/>
      <name val="Arial"/>
    </font>
    <font>
      <sz val="8.0"/>
      <color theme="1"/>
      <name val="Arial"/>
    </font>
    <font>
      <sz val="6.0"/>
      <color rgb="FFFF0000"/>
      <name val="Arial"/>
    </font>
    <font>
      <sz val="8.0"/>
      <color rgb="FFFF0000"/>
      <name val="Arial"/>
    </font>
    <font>
      <sz val="6.0"/>
      <color rgb="FF000000"/>
      <name val="Arial"/>
    </font>
    <font>
      <sz val="6.0"/>
      <color rgb="FFFF0000"/>
      <name val="Carlito"/>
    </font>
    <font>
      <sz val="8.0"/>
      <color rgb="FFFF0000"/>
      <name val="Carlito"/>
    </font>
    <font>
      <sz val="10.0"/>
      <color rgb="FFFF0000"/>
      <name val="Times New Roman"/>
    </font>
    <font>
      <sz val="6.0"/>
      <color rgb="FF000000"/>
      <name val="Calibri"/>
    </font>
    <font>
      <sz val="10.0"/>
      <color rgb="FF000000"/>
      <name val="Times New Roman"/>
    </font>
    <font>
      <sz val="6.0"/>
      <color rgb="FFFF0000"/>
      <name val="Times New Roman"/>
    </font>
    <font>
      <sz val="8.0"/>
      <color rgb="FFFF0000"/>
      <name val="Times New Roman"/>
    </font>
    <font>
      <sz val="6.0"/>
      <color theme="1"/>
      <name val="Times New Roman"/>
    </font>
    <font>
      <sz val="8.0"/>
      <color theme="1"/>
      <name val="Times New Roman"/>
    </font>
    <font>
      <b/>
      <color rgb="FFFFFFFF"/>
      <name val="Arial"/>
    </font>
    <font>
      <color rgb="FF000000"/>
      <name val="Arial"/>
    </font>
    <font>
      <sz val="11.0"/>
      <color rgb="FF000000"/>
      <name val="Arial"/>
    </font>
  </fonts>
  <fills count="53">
    <fill>
      <patternFill patternType="none"/>
    </fill>
    <fill>
      <patternFill patternType="lightGray"/>
    </fill>
    <fill>
      <patternFill patternType="solid">
        <fgColor rgb="FF990033"/>
        <bgColor rgb="FF990033"/>
      </patternFill>
    </fill>
    <fill>
      <patternFill patternType="solid">
        <fgColor rgb="FFFF00FF"/>
        <bgColor rgb="FFFF00FF"/>
      </patternFill>
    </fill>
    <fill>
      <patternFill patternType="solid">
        <fgColor rgb="FFA8D08D"/>
        <bgColor rgb="FFA8D08D"/>
      </patternFill>
    </fill>
    <fill>
      <patternFill patternType="solid">
        <fgColor rgb="FF4A86E8"/>
        <bgColor rgb="FF4A86E8"/>
      </patternFill>
    </fill>
    <fill>
      <patternFill patternType="solid">
        <fgColor rgb="FF8EAADB"/>
        <bgColor rgb="FF8EAADB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D9EAD3"/>
        <bgColor rgb="FFD9EAD3"/>
      </patternFill>
    </fill>
    <fill>
      <patternFill patternType="solid">
        <fgColor rgb="FF548135"/>
        <bgColor rgb="FF548135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FF6D01"/>
        <bgColor rgb="FFFF6D01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6FA8DC"/>
        <bgColor rgb="FF6FA8DC"/>
      </patternFill>
    </fill>
    <fill>
      <patternFill patternType="solid">
        <fgColor rgb="FFDD7E6B"/>
        <bgColor rgb="FFDD7E6B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76A5AF"/>
        <bgColor rgb="FF76A5AF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CC4125"/>
        <bgColor rgb="FFCC4125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72319F"/>
        <bgColor rgb="FF72319F"/>
      </patternFill>
    </fill>
    <fill>
      <patternFill patternType="solid">
        <fgColor rgb="FF7030A0"/>
        <bgColor rgb="FF7030A0"/>
      </patternFill>
    </fill>
    <fill>
      <patternFill patternType="solid">
        <fgColor rgb="FFE5B8B7"/>
        <bgColor rgb="FFE5B8B7"/>
      </patternFill>
    </fill>
    <fill>
      <patternFill patternType="solid">
        <fgColor rgb="FF632423"/>
        <bgColor rgb="FF632423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readingOrder="0" shrinkToFit="0" vertical="center" wrapText="1"/>
    </xf>
    <xf borderId="1" fillId="4" fontId="2" numFmtId="0" xfId="0" applyAlignment="1" applyBorder="1" applyFill="1" applyFont="1">
      <alignment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1" fillId="5" fontId="2" numFmtId="0" xfId="0" applyAlignment="1" applyBorder="1" applyFill="1" applyFont="1">
      <alignment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shrinkToFit="0" wrapText="1"/>
    </xf>
    <xf borderId="1" fillId="8" fontId="3" numFmtId="0" xfId="0" applyAlignment="1" applyBorder="1" applyFill="1" applyFont="1">
      <alignment readingOrder="0" shrinkToFit="0" wrapText="1"/>
    </xf>
    <xf borderId="0" fillId="8" fontId="3" numFmtId="0" xfId="0" applyAlignment="1" applyFont="1">
      <alignment readingOrder="0" shrinkToFit="0" wrapText="1"/>
    </xf>
    <xf borderId="1" fillId="0" fontId="3" numFmtId="0" xfId="0" applyBorder="1" applyFont="1"/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1" fillId="9" fontId="3" numFmtId="0" xfId="0" applyBorder="1" applyFill="1" applyFont="1"/>
    <xf borderId="1" fillId="0" fontId="3" numFmtId="0" xfId="0" applyAlignment="1" applyBorder="1" applyFont="1">
      <alignment horizontal="center"/>
    </xf>
    <xf borderId="0" fillId="0" fontId="3" numFmtId="0" xfId="0" applyFont="1"/>
    <xf borderId="1" fillId="0" fontId="3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10" fontId="3" numFmtId="0" xfId="0" applyBorder="1" applyFill="1" applyFont="1"/>
    <xf borderId="1" fillId="10" fontId="3" numFmtId="0" xfId="0" applyAlignment="1" applyBorder="1" applyFont="1">
      <alignment horizontal="left"/>
    </xf>
    <xf borderId="1" fillId="10" fontId="3" numFmtId="0" xfId="0" applyAlignment="1" applyBorder="1" applyFont="1">
      <alignment readingOrder="0"/>
    </xf>
    <xf borderId="1" fillId="10" fontId="3" numFmtId="0" xfId="0" applyAlignment="1" applyBorder="1" applyFont="1">
      <alignment horizontal="center"/>
    </xf>
    <xf borderId="0" fillId="10" fontId="3" numFmtId="0" xfId="0" applyFont="1"/>
    <xf borderId="1" fillId="10" fontId="3" numFmtId="164" xfId="0" applyAlignment="1" applyBorder="1" applyFont="1" applyNumberFormat="1">
      <alignment readingOrder="0"/>
    </xf>
    <xf borderId="1" fillId="10" fontId="3" numFmtId="0" xfId="0" applyAlignment="1" applyBorder="1" applyFont="1">
      <alignment horizontal="left" readingOrder="0"/>
    </xf>
    <xf borderId="2" fillId="0" fontId="5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shrinkToFit="0" wrapText="1"/>
    </xf>
    <xf borderId="1" fillId="0" fontId="3" numFmtId="165" xfId="0" applyAlignment="1" applyBorder="1" applyFont="1" applyNumberFormat="1">
      <alignment readingOrder="0"/>
    </xf>
    <xf borderId="1" fillId="11" fontId="3" numFmtId="0" xfId="0" applyAlignment="1" applyBorder="1" applyFill="1" applyFont="1">
      <alignment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3" numFmtId="166" xfId="0" applyAlignment="1" applyBorder="1" applyFont="1" applyNumberFormat="1">
      <alignment readingOrder="0"/>
    </xf>
    <xf borderId="1" fillId="0" fontId="4" numFmtId="0" xfId="0" applyAlignment="1" applyBorder="1" applyFont="1">
      <alignment horizontal="left"/>
    </xf>
    <xf borderId="1" fillId="0" fontId="4" numFmtId="0" xfId="0" applyBorder="1" applyFont="1"/>
    <xf borderId="1" fillId="11" fontId="4" numFmtId="0" xfId="0" applyBorder="1" applyFont="1"/>
    <xf borderId="1" fillId="11" fontId="3" numFmtId="0" xfId="0" applyAlignment="1" applyBorder="1" applyFont="1">
      <alignment readingOrder="0" shrinkToFit="0" wrapText="1"/>
    </xf>
    <xf borderId="1" fillId="11" fontId="3" numFmtId="0" xfId="0" applyAlignment="1" applyBorder="1" applyFont="1">
      <alignment shrinkToFit="0" vertical="top" wrapText="1"/>
    </xf>
    <xf borderId="1" fillId="11" fontId="3" numFmtId="0" xfId="0" applyAlignment="1" applyBorder="1" applyFont="1">
      <alignment horizontal="left"/>
    </xf>
    <xf borderId="1" fillId="0" fontId="3" numFmtId="0" xfId="0" applyBorder="1" applyFont="1"/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shrinkToFit="0" wrapText="1"/>
    </xf>
    <xf borderId="1" fillId="11" fontId="3" numFmtId="0" xfId="0" applyAlignment="1" applyBorder="1" applyFont="1">
      <alignment horizontal="left" shrinkToFit="0" wrapText="1"/>
    </xf>
    <xf borderId="1" fillId="11" fontId="3" numFmtId="0" xfId="0" applyAlignment="1" applyBorder="1" applyFont="1">
      <alignment horizontal="left" readingOrder="0" shrinkToFit="0" wrapText="1"/>
    </xf>
    <xf borderId="1" fillId="11" fontId="4" numFmtId="0" xfId="0" applyAlignment="1" applyBorder="1" applyFont="1">
      <alignment shrinkToFit="0" vertical="top" wrapText="1"/>
    </xf>
    <xf borderId="1" fillId="11" fontId="4" numFmtId="0" xfId="0" applyAlignment="1" applyBorder="1" applyFont="1">
      <alignment shrinkToFit="0" wrapText="1"/>
    </xf>
    <xf borderId="2" fillId="11" fontId="4" numFmtId="0" xfId="0" applyAlignment="1" applyBorder="1" applyFont="1">
      <alignment horizontal="left"/>
    </xf>
    <xf borderId="2" fillId="11" fontId="4" numFmtId="0" xfId="0" applyBorder="1" applyFont="1"/>
    <xf borderId="2" fillId="0" fontId="3" numFmtId="0" xfId="0" applyBorder="1" applyFont="1"/>
    <xf borderId="2" fillId="0" fontId="3" numFmtId="0" xfId="0" applyAlignment="1" applyBorder="1" applyFont="1">
      <alignment horizontal="left" shrinkToFit="0" wrapText="1"/>
    </xf>
    <xf borderId="2" fillId="0" fontId="3" numFmtId="0" xfId="0" applyAlignment="1" applyBorder="1" applyFont="1">
      <alignment shrinkToFit="0" wrapText="1"/>
    </xf>
    <xf borderId="2" fillId="0" fontId="4" numFmtId="0" xfId="0" applyAlignment="1" applyBorder="1" applyFont="1">
      <alignment horizontal="left"/>
    </xf>
    <xf borderId="2" fillId="0" fontId="4" numFmtId="0" xfId="0" applyBorder="1" applyFont="1"/>
    <xf borderId="2" fillId="0" fontId="3" numFmtId="0" xfId="0" applyAlignment="1" applyBorder="1" applyFont="1">
      <alignment horizontal="left" readingOrder="0" shrinkToFit="0" wrapText="1"/>
    </xf>
    <xf borderId="2" fillId="11" fontId="3" numFmtId="0" xfId="0" applyAlignment="1" applyBorder="1" applyFont="1">
      <alignment readingOrder="0" shrinkToFit="0" wrapText="1"/>
    </xf>
    <xf borderId="2" fillId="11" fontId="3" numFmtId="0" xfId="0" applyAlignment="1" applyBorder="1" applyFont="1">
      <alignment readingOrder="0" shrinkToFit="0" vertical="top" wrapText="1"/>
    </xf>
    <xf borderId="2" fillId="11" fontId="3" numFmtId="0" xfId="0" applyAlignment="1" applyBorder="1" applyFont="1">
      <alignment horizontal="left"/>
    </xf>
    <xf borderId="2" fillId="0" fontId="3" numFmtId="164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1" fillId="11" fontId="3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/>
    </xf>
    <xf borderId="1" fillId="0" fontId="3" numFmtId="0" xfId="0" applyAlignment="1" applyBorder="1" applyFont="1">
      <alignment horizontal="left" shrinkToFit="0" vertical="top" wrapText="1"/>
    </xf>
    <xf borderId="0" fillId="0" fontId="4" numFmtId="0" xfId="0" applyFont="1"/>
    <xf borderId="1" fillId="12" fontId="3" numFmtId="0" xfId="0" applyAlignment="1" applyBorder="1" applyFill="1" applyFont="1">
      <alignment readingOrder="0"/>
    </xf>
    <xf borderId="1" fillId="13" fontId="3" numFmtId="0" xfId="0" applyAlignment="1" applyBorder="1" applyFill="1" applyFont="1">
      <alignment vertical="bottom"/>
    </xf>
    <xf borderId="1" fillId="0" fontId="3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center" vertical="top"/>
    </xf>
    <xf borderId="0" fillId="0" fontId="3" numFmtId="0" xfId="0" applyAlignment="1" applyFont="1">
      <alignment horizontal="left" vertical="top"/>
    </xf>
    <xf borderId="1" fillId="12" fontId="3" numFmtId="0" xfId="0" applyBorder="1" applyFont="1"/>
    <xf borderId="1" fillId="0" fontId="4" numFmtId="0" xfId="0" applyBorder="1" applyFont="1"/>
    <xf borderId="1" fillId="0" fontId="3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readingOrder="0"/>
    </xf>
    <xf borderId="1" fillId="11" fontId="3" numFmtId="0" xfId="0" applyBorder="1" applyFont="1"/>
    <xf borderId="1" fillId="10" fontId="3" numFmtId="0" xfId="0" applyAlignment="1" applyBorder="1" applyFont="1">
      <alignment shrinkToFit="0" wrapText="1"/>
    </xf>
    <xf borderId="1" fillId="10" fontId="3" numFmtId="165" xfId="0" applyAlignment="1" applyBorder="1" applyFont="1" applyNumberFormat="1">
      <alignment readingOrder="0"/>
    </xf>
    <xf borderId="1" fillId="0" fontId="7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1" fillId="11" fontId="7" numFmtId="0" xfId="0" applyAlignment="1" applyBorder="1" applyFont="1">
      <alignment horizontal="left" readingOrder="0"/>
    </xf>
    <xf borderId="0" fillId="10" fontId="3" numFmtId="0" xfId="0" applyAlignment="1" applyFont="1">
      <alignment readingOrder="0"/>
    </xf>
    <xf borderId="1" fillId="10" fontId="7" numFmtId="0" xfId="0" applyAlignment="1" applyBorder="1" applyFont="1">
      <alignment readingOrder="0" vertical="bottom"/>
    </xf>
    <xf borderId="1" fillId="10" fontId="3" numFmtId="0" xfId="0" applyBorder="1" applyFont="1"/>
    <xf borderId="0" fillId="0" fontId="3" numFmtId="0" xfId="0" applyFont="1"/>
    <xf borderId="1" fillId="10" fontId="3" numFmtId="0" xfId="0" applyAlignment="1" applyBorder="1" applyFont="1">
      <alignment horizontal="left" readingOrder="0" shrinkToFit="0" wrapText="1"/>
    </xf>
    <xf borderId="1" fillId="10" fontId="3" numFmtId="0" xfId="0" applyAlignment="1" applyBorder="1" applyFont="1">
      <alignment readingOrder="0" shrinkToFit="0" wrapText="1"/>
    </xf>
    <xf borderId="0" fillId="10" fontId="3" numFmtId="0" xfId="0" applyFont="1"/>
    <xf borderId="1" fillId="11" fontId="7" numFmtId="0" xfId="0" applyAlignment="1" applyBorder="1" applyFont="1">
      <alignment vertical="center"/>
    </xf>
    <xf borderId="1" fillId="0" fontId="7" numFmtId="0" xfId="0" applyAlignment="1" applyBorder="1" applyFont="1">
      <alignment vertical="center"/>
    </xf>
    <xf borderId="1" fillId="11" fontId="7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left" readingOrder="0"/>
    </xf>
    <xf borderId="1" fillId="0" fontId="7" numFmtId="0" xfId="0" applyAlignment="1" applyBorder="1" applyFont="1">
      <alignment readingOrder="0" vertical="center"/>
    </xf>
    <xf borderId="1" fillId="11" fontId="8" numFmtId="0" xfId="0" applyAlignment="1" applyBorder="1" applyFont="1">
      <alignment horizontal="left" readingOrder="0"/>
    </xf>
    <xf borderId="1" fillId="10" fontId="3" numFmtId="166" xfId="0" applyAlignment="1" applyBorder="1" applyFont="1" applyNumberFormat="1">
      <alignment readingOrder="0"/>
    </xf>
    <xf borderId="3" fillId="0" fontId="3" numFmtId="0" xfId="0" applyBorder="1" applyFont="1"/>
    <xf borderId="1" fillId="1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4" fillId="0" fontId="3" numFmtId="167" xfId="0" applyAlignment="1" applyBorder="1" applyFont="1" applyNumberFormat="1">
      <alignment readingOrder="0" vertical="bottom"/>
    </xf>
    <xf borderId="4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168" xfId="0" applyAlignment="1" applyFont="1" applyNumberFormat="1">
      <alignment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left"/>
    </xf>
    <xf borderId="1" fillId="11" fontId="3" numFmtId="0" xfId="0" applyAlignment="1" applyBorder="1" applyFont="1">
      <alignment horizontal="left"/>
    </xf>
    <xf borderId="1" fillId="0" fontId="9" numFmtId="0" xfId="0" applyAlignment="1" applyBorder="1" applyFont="1">
      <alignment readingOrder="0"/>
    </xf>
    <xf borderId="1" fillId="9" fontId="3" numFmtId="0" xfId="0" applyBorder="1" applyFont="1"/>
    <xf borderId="6" fillId="14" fontId="10" numFmtId="0" xfId="0" applyAlignment="1" applyBorder="1" applyFill="1" applyFont="1">
      <alignment horizontal="center" readingOrder="0"/>
    </xf>
    <xf borderId="7" fillId="0" fontId="11" numFmtId="0" xfId="0" applyBorder="1" applyFont="1"/>
    <xf borderId="8" fillId="15" fontId="4" numFmtId="167" xfId="0" applyAlignment="1" applyBorder="1" applyFill="1" applyFont="1" applyNumberFormat="1">
      <alignment horizontal="center" readingOrder="0" vertical="center"/>
    </xf>
    <xf borderId="8" fillId="15" fontId="4" numFmtId="0" xfId="0" applyAlignment="1" applyBorder="1" applyFont="1">
      <alignment horizontal="center" readingOrder="0" vertical="center"/>
    </xf>
    <xf borderId="9" fillId="15" fontId="4" numFmtId="0" xfId="0" applyAlignment="1" applyBorder="1" applyFont="1">
      <alignment horizontal="center" readingOrder="0"/>
    </xf>
    <xf borderId="4" fillId="0" fontId="11" numFmtId="0" xfId="0" applyBorder="1" applyFont="1"/>
    <xf borderId="9" fillId="15" fontId="4" numFmtId="3" xfId="0" applyAlignment="1" applyBorder="1" applyFont="1" applyNumberFormat="1">
      <alignment horizontal="center" readingOrder="0"/>
    </xf>
    <xf borderId="10" fillId="0" fontId="11" numFmtId="0" xfId="0" applyBorder="1" applyFont="1"/>
    <xf borderId="9" fillId="16" fontId="4" numFmtId="0" xfId="0" applyAlignment="1" applyBorder="1" applyFill="1" applyFont="1">
      <alignment horizontal="center" readingOrder="0"/>
    </xf>
    <xf borderId="8" fillId="16" fontId="4" numFmtId="0" xfId="0" applyAlignment="1" applyBorder="1" applyFont="1">
      <alignment horizontal="center" readingOrder="0" vertical="center"/>
    </xf>
    <xf borderId="0" fillId="17" fontId="12" numFmtId="3" xfId="0" applyAlignment="1" applyFill="1" applyFont="1" applyNumberFormat="1">
      <alignment horizontal="center" readingOrder="0"/>
    </xf>
    <xf borderId="11" fillId="18" fontId="12" numFmtId="0" xfId="0" applyAlignment="1" applyBorder="1" applyFill="1" applyFont="1">
      <alignment horizontal="center" vertical="center"/>
    </xf>
    <xf borderId="11" fillId="19" fontId="12" numFmtId="0" xfId="0" applyAlignment="1" applyBorder="1" applyFill="1" applyFont="1">
      <alignment horizontal="center" readingOrder="0" vertical="center"/>
    </xf>
    <xf borderId="11" fillId="20" fontId="12" numFmtId="0" xfId="0" applyAlignment="1" applyBorder="1" applyFill="1" applyFont="1">
      <alignment horizontal="center" vertical="center"/>
    </xf>
    <xf borderId="12" fillId="0" fontId="11" numFmtId="0" xfId="0" applyBorder="1" applyFont="1"/>
    <xf borderId="1" fillId="15" fontId="4" numFmtId="0" xfId="0" applyAlignment="1" applyBorder="1" applyFont="1">
      <alignment readingOrder="0"/>
    </xf>
    <xf borderId="1" fillId="15" fontId="4" numFmtId="0" xfId="0" applyBorder="1" applyFont="1"/>
    <xf borderId="1" fillId="15" fontId="4" numFmtId="3" xfId="0" applyAlignment="1" applyBorder="1" applyFont="1" applyNumberFormat="1">
      <alignment readingOrder="0"/>
    </xf>
    <xf borderId="1" fillId="15" fontId="4" numFmtId="168" xfId="0" applyAlignment="1" applyBorder="1" applyFont="1" applyNumberFormat="1">
      <alignment readingOrder="0"/>
    </xf>
    <xf borderId="1" fillId="16" fontId="4" numFmtId="0" xfId="0" applyAlignment="1" applyBorder="1" applyFont="1">
      <alignment readingOrder="0"/>
    </xf>
    <xf borderId="1" fillId="13" fontId="4" numFmtId="0" xfId="0" applyAlignment="1" applyBorder="1" applyFont="1">
      <alignment readingOrder="0"/>
    </xf>
    <xf borderId="4" fillId="17" fontId="12" numFmtId="3" xfId="0" applyAlignment="1" applyBorder="1" applyFont="1" applyNumberFormat="1">
      <alignment horizontal="center" vertical="bottom"/>
    </xf>
    <xf borderId="4" fillId="17" fontId="12" numFmtId="3" xfId="0" applyAlignment="1" applyBorder="1" applyFont="1" applyNumberFormat="1">
      <alignment horizontal="center" readingOrder="0" vertical="bottom"/>
    </xf>
    <xf borderId="2" fillId="0" fontId="11" numFmtId="0" xfId="0" applyBorder="1" applyFont="1"/>
    <xf borderId="0" fillId="0" fontId="4" numFmtId="167" xfId="0" applyAlignment="1" applyFont="1" applyNumberFormat="1">
      <alignment readingOrder="0"/>
    </xf>
    <xf borderId="0" fillId="0" fontId="4" numFmtId="0" xfId="0" applyFont="1"/>
    <xf borderId="0" fillId="0" fontId="4" numFmtId="3" xfId="0" applyAlignment="1" applyFont="1" applyNumberFormat="1">
      <alignment readingOrder="0"/>
    </xf>
    <xf borderId="0" fillId="0" fontId="4" numFmtId="168" xfId="0" applyFont="1" applyNumberFormat="1"/>
    <xf borderId="0" fillId="0" fontId="4" numFmtId="168" xfId="0" applyAlignment="1" applyFont="1" applyNumberFormat="1">
      <alignment readingOrder="0"/>
    </xf>
    <xf borderId="3" fillId="0" fontId="4" numFmtId="168" xfId="0" applyBorder="1" applyFont="1" applyNumberFormat="1"/>
    <xf borderId="5" fillId="0" fontId="4" numFmtId="0" xfId="0" applyAlignment="1" applyBorder="1" applyFont="1">
      <alignment readingOrder="0"/>
    </xf>
    <xf quotePrefix="1" borderId="0" fillId="0" fontId="4" numFmtId="0" xfId="0" applyAlignment="1" applyFont="1">
      <alignment readingOrder="0"/>
    </xf>
    <xf borderId="3" fillId="0" fontId="4" numFmtId="0" xfId="0" applyAlignment="1" applyBorder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3" xfId="0" applyFont="1" applyNumberFormat="1"/>
    <xf borderId="0" fillId="0" fontId="4" numFmtId="0" xfId="0" applyAlignment="1" applyFont="1">
      <alignment vertical="bottom"/>
    </xf>
    <xf borderId="5" fillId="11" fontId="13" numFmtId="0" xfId="0" applyAlignment="1" applyBorder="1" applyFont="1">
      <alignment horizontal="left" readingOrder="0"/>
    </xf>
    <xf borderId="5" fillId="0" fontId="13" numFmtId="0" xfId="0" applyAlignment="1" applyBorder="1" applyFont="1">
      <alignment horizontal="left"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readingOrder="0"/>
    </xf>
    <xf borderId="5" fillId="0" fontId="4" numFmtId="0" xfId="0" applyBorder="1" applyFont="1"/>
    <xf borderId="0" fillId="0" fontId="4" numFmtId="0" xfId="0" applyAlignment="1" applyFont="1">
      <alignment horizontal="left" readingOrder="0" vertical="center"/>
    </xf>
    <xf borderId="0" fillId="21" fontId="4" numFmtId="167" xfId="0" applyAlignment="1" applyFill="1" applyFont="1" applyNumberFormat="1">
      <alignment readingOrder="0"/>
    </xf>
    <xf borderId="0" fillId="21" fontId="4" numFmtId="0" xfId="0" applyAlignment="1" applyFont="1">
      <alignment horizontal="left" readingOrder="0"/>
    </xf>
    <xf borderId="0" fillId="21" fontId="4" numFmtId="0" xfId="0" applyAlignment="1" applyFont="1">
      <alignment readingOrder="0"/>
    </xf>
    <xf borderId="0" fillId="21" fontId="4" numFmtId="0" xfId="0" applyFont="1"/>
    <xf borderId="0" fillId="21" fontId="4" numFmtId="3" xfId="0" applyAlignment="1" applyFont="1" applyNumberFormat="1">
      <alignment readingOrder="0"/>
    </xf>
    <xf borderId="0" fillId="21" fontId="4" numFmtId="168" xfId="0" applyFont="1" applyNumberFormat="1"/>
    <xf borderId="0" fillId="21" fontId="4" numFmtId="168" xfId="0" applyAlignment="1" applyFont="1" applyNumberFormat="1">
      <alignment readingOrder="0"/>
    </xf>
    <xf borderId="3" fillId="21" fontId="4" numFmtId="168" xfId="0" applyBorder="1" applyFont="1" applyNumberFormat="1"/>
    <xf borderId="5" fillId="21" fontId="4" numFmtId="0" xfId="0" applyAlignment="1" applyBorder="1" applyFont="1">
      <alignment readingOrder="0"/>
    </xf>
    <xf borderId="0" fillId="21" fontId="4" numFmtId="0" xfId="0" applyFont="1"/>
    <xf borderId="3" fillId="21" fontId="4" numFmtId="0" xfId="0" applyBorder="1" applyFont="1"/>
    <xf borderId="0" fillId="21" fontId="4" numFmtId="3" xfId="0" applyFont="1" applyNumberFormat="1"/>
    <xf borderId="0" fillId="11" fontId="14" numFmtId="0" xfId="0" applyAlignment="1" applyFont="1">
      <alignment horizontal="left" readingOrder="0"/>
    </xf>
    <xf borderId="3" fillId="0" fontId="4" numFmtId="0" xfId="0" applyBorder="1" applyFont="1"/>
    <xf borderId="3" fillId="0" fontId="4" numFmtId="168" xfId="0" applyAlignment="1" applyBorder="1" applyFont="1" applyNumberFormat="1">
      <alignment readingOrder="0"/>
    </xf>
    <xf borderId="13" fillId="0" fontId="4" numFmtId="0" xfId="0" applyAlignment="1" applyBorder="1" applyFont="1">
      <alignment horizontal="center" readingOrder="0"/>
    </xf>
    <xf borderId="0" fillId="11" fontId="4" numFmtId="167" xfId="0" applyAlignment="1" applyFont="1" applyNumberFormat="1">
      <alignment readingOrder="0"/>
    </xf>
    <xf borderId="0" fillId="11" fontId="4" numFmtId="0" xfId="0" applyAlignment="1" applyFont="1">
      <alignment horizontal="left" readingOrder="0"/>
    </xf>
    <xf borderId="0" fillId="20" fontId="4" numFmtId="0" xfId="0" applyFont="1"/>
    <xf quotePrefix="1" borderId="0" fillId="0" fontId="4" numFmtId="49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10" fontId="4" numFmtId="0" xfId="0" applyFont="1"/>
    <xf borderId="0" fillId="0" fontId="4" numFmtId="0" xfId="0" applyAlignment="1" applyFont="1">
      <alignment readingOrder="0" shrinkToFit="0" wrapText="1"/>
    </xf>
    <xf borderId="0" fillId="22" fontId="4" numFmtId="167" xfId="0" applyAlignment="1" applyFill="1" applyFont="1" applyNumberFormat="1">
      <alignment readingOrder="0"/>
    </xf>
    <xf borderId="0" fillId="22" fontId="4" numFmtId="0" xfId="0" applyAlignment="1" applyFont="1">
      <alignment horizontal="left" readingOrder="0"/>
    </xf>
    <xf borderId="0" fillId="22" fontId="4" numFmtId="0" xfId="0" applyFont="1"/>
    <xf borderId="0" fillId="22" fontId="4" numFmtId="0" xfId="0" applyAlignment="1" applyFont="1">
      <alignment readingOrder="0"/>
    </xf>
    <xf borderId="0" fillId="22" fontId="4" numFmtId="3" xfId="0" applyAlignment="1" applyFont="1" applyNumberFormat="1">
      <alignment readingOrder="0"/>
    </xf>
    <xf borderId="0" fillId="22" fontId="4" numFmtId="168" xfId="0" applyFont="1" applyNumberFormat="1"/>
    <xf borderId="0" fillId="22" fontId="4" numFmtId="168" xfId="0" applyAlignment="1" applyFont="1" applyNumberFormat="1">
      <alignment readingOrder="0"/>
    </xf>
    <xf borderId="3" fillId="22" fontId="4" numFmtId="168" xfId="0" applyBorder="1" applyFont="1" applyNumberFormat="1"/>
    <xf borderId="5" fillId="22" fontId="4" numFmtId="0" xfId="0" applyAlignment="1" applyBorder="1" applyFont="1">
      <alignment readingOrder="0"/>
    </xf>
    <xf quotePrefix="1" borderId="0" fillId="22" fontId="4" numFmtId="0" xfId="0" applyAlignment="1" applyFont="1">
      <alignment readingOrder="0"/>
    </xf>
    <xf borderId="3" fillId="22" fontId="4" numFmtId="0" xfId="0" applyBorder="1" applyFont="1"/>
    <xf borderId="0" fillId="22" fontId="4" numFmtId="3" xfId="0" applyFont="1" applyNumberFormat="1"/>
    <xf borderId="0" fillId="22" fontId="4" numFmtId="0" xfId="0" applyFont="1"/>
    <xf borderId="0" fillId="0" fontId="13" numFmtId="0" xfId="0" applyAlignment="1" applyFont="1">
      <alignment horizontal="left" readingOrder="0"/>
    </xf>
    <xf borderId="0" fillId="0" fontId="4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wrapText="1"/>
    </xf>
    <xf borderId="0" fillId="0" fontId="3" numFmtId="3" xfId="0" applyAlignment="1" applyFont="1" applyNumberFormat="1">
      <alignment readingOrder="0"/>
    </xf>
    <xf quotePrefix="1" borderId="0" fillId="0" fontId="3" numFmtId="0" xfId="0" applyAlignment="1" applyFont="1">
      <alignment readingOrder="0"/>
    </xf>
    <xf borderId="5" fillId="0" fontId="3" numFmtId="0" xfId="0" applyBorder="1" applyFont="1"/>
    <xf borderId="0" fillId="0" fontId="3" numFmtId="0" xfId="0" applyAlignment="1" applyFont="1">
      <alignment horizontal="left" readingOrder="0"/>
    </xf>
    <xf borderId="0" fillId="0" fontId="3" numFmtId="3" xfId="0" applyFont="1" applyNumberFormat="1"/>
    <xf borderId="0" fillId="0" fontId="13" numFmtId="0" xfId="0" applyAlignment="1" applyFont="1">
      <alignment horizontal="left" readingOrder="0" vertical="center"/>
    </xf>
    <xf borderId="5" fillId="0" fontId="3" numFmtId="0" xfId="0" applyAlignment="1" applyBorder="1" applyFont="1">
      <alignment vertical="bottom"/>
    </xf>
    <xf quotePrefix="1" borderId="0" fillId="0" fontId="3" numFmtId="0" xfId="0" applyAlignment="1" applyFont="1">
      <alignment vertical="bottom"/>
    </xf>
    <xf borderId="0" fillId="0" fontId="3" numFmtId="167" xfId="0" applyAlignment="1" applyFont="1" applyNumberFormat="1">
      <alignment readingOrder="0"/>
    </xf>
    <xf quotePrefix="1" borderId="0" fillId="0" fontId="3" numFmtId="0" xfId="0" applyAlignment="1" applyFont="1">
      <alignment horizontal="left" readingOrder="0"/>
    </xf>
    <xf borderId="0" fillId="7" fontId="3" numFmtId="167" xfId="0" applyAlignment="1" applyFont="1" applyNumberFormat="1">
      <alignment readingOrder="0"/>
    </xf>
    <xf borderId="0" fillId="7" fontId="3" numFmtId="0" xfId="0" applyAlignment="1" applyFont="1">
      <alignment horizontal="left" readingOrder="0"/>
    </xf>
    <xf borderId="0" fillId="7" fontId="3" numFmtId="0" xfId="0" applyAlignment="1" applyFont="1">
      <alignment readingOrder="0"/>
    </xf>
    <xf borderId="0" fillId="7" fontId="4" numFmtId="0" xfId="0" applyFont="1"/>
    <xf borderId="0" fillId="7" fontId="3" numFmtId="3" xfId="0" applyAlignment="1" applyFont="1" applyNumberFormat="1">
      <alignment readingOrder="0"/>
    </xf>
    <xf borderId="0" fillId="7" fontId="4" numFmtId="168" xfId="0" applyFont="1" applyNumberFormat="1"/>
    <xf borderId="0" fillId="7" fontId="4" numFmtId="168" xfId="0" applyAlignment="1" applyFont="1" applyNumberFormat="1">
      <alignment readingOrder="0"/>
    </xf>
    <xf borderId="3" fillId="7" fontId="4" numFmtId="168" xfId="0" applyBorder="1" applyFont="1" applyNumberFormat="1"/>
    <xf borderId="5" fillId="7" fontId="3" numFmtId="0" xfId="0" applyBorder="1" applyFont="1"/>
    <xf borderId="0" fillId="7" fontId="3" numFmtId="0" xfId="0" applyFont="1"/>
    <xf borderId="0" fillId="7" fontId="4" numFmtId="0" xfId="0" applyAlignment="1" applyFont="1">
      <alignment readingOrder="0"/>
    </xf>
    <xf borderId="3" fillId="7" fontId="4" numFmtId="0" xfId="0" applyAlignment="1" applyBorder="1" applyFont="1">
      <alignment readingOrder="0"/>
    </xf>
    <xf borderId="0" fillId="7" fontId="4" numFmtId="3" xfId="0" applyFont="1" applyNumberFormat="1"/>
    <xf borderId="0" fillId="7" fontId="4" numFmtId="3" xfId="0" applyAlignment="1" applyFont="1" applyNumberFormat="1">
      <alignment readingOrder="0"/>
    </xf>
    <xf borderId="0" fillId="22" fontId="3" numFmtId="167" xfId="0" applyAlignment="1" applyFont="1" applyNumberFormat="1">
      <alignment readingOrder="0"/>
    </xf>
    <xf borderId="0" fillId="22" fontId="3" numFmtId="0" xfId="0" applyAlignment="1" applyFont="1">
      <alignment horizontal="left" readingOrder="0"/>
    </xf>
    <xf borderId="0" fillId="22" fontId="3" numFmtId="0" xfId="0" applyAlignment="1" applyFont="1">
      <alignment readingOrder="0"/>
    </xf>
    <xf borderId="0" fillId="22" fontId="3" numFmtId="3" xfId="0" applyAlignment="1" applyFont="1" applyNumberFormat="1">
      <alignment readingOrder="0"/>
    </xf>
    <xf borderId="5" fillId="22" fontId="3" numFmtId="0" xfId="0" applyAlignment="1" applyBorder="1" applyFont="1">
      <alignment readingOrder="0"/>
    </xf>
    <xf quotePrefix="1" borderId="0" fillId="22" fontId="3" numFmtId="0" xfId="0" applyAlignment="1" applyFont="1">
      <alignment readingOrder="0"/>
    </xf>
    <xf borderId="0" fillId="22" fontId="3" numFmtId="0" xfId="0" applyFont="1"/>
    <xf borderId="0" fillId="0" fontId="3" numFmtId="0" xfId="0" applyAlignment="1" applyFont="1">
      <alignment readingOrder="0" shrinkToFit="0" wrapText="1"/>
    </xf>
    <xf borderId="0" fillId="20" fontId="3" numFmtId="167" xfId="0" applyAlignment="1" applyFont="1" applyNumberFormat="1">
      <alignment readingOrder="0"/>
    </xf>
    <xf borderId="0" fillId="20" fontId="3" numFmtId="0" xfId="0" applyAlignment="1" applyFont="1">
      <alignment horizontal="left" readingOrder="0"/>
    </xf>
    <xf borderId="0" fillId="20" fontId="3" numFmtId="0" xfId="0" applyAlignment="1" applyFont="1">
      <alignment readingOrder="0"/>
    </xf>
    <xf borderId="0" fillId="20" fontId="4" numFmtId="0" xfId="0" applyFont="1"/>
    <xf borderId="0" fillId="20" fontId="3" numFmtId="3" xfId="0" applyAlignment="1" applyFont="1" applyNumberFormat="1">
      <alignment readingOrder="0"/>
    </xf>
    <xf borderId="0" fillId="20" fontId="4" numFmtId="168" xfId="0" applyFont="1" applyNumberFormat="1"/>
    <xf borderId="0" fillId="20" fontId="4" numFmtId="168" xfId="0" applyAlignment="1" applyFont="1" applyNumberFormat="1">
      <alignment readingOrder="0"/>
    </xf>
    <xf borderId="3" fillId="20" fontId="4" numFmtId="168" xfId="0" applyBorder="1" applyFont="1" applyNumberFormat="1"/>
    <xf borderId="5" fillId="20" fontId="3" numFmtId="0" xfId="0" applyAlignment="1" applyBorder="1" applyFont="1">
      <alignment readingOrder="0"/>
    </xf>
    <xf quotePrefix="1" borderId="0" fillId="20" fontId="3" numFmtId="0" xfId="0" applyAlignment="1" applyFont="1">
      <alignment readingOrder="0"/>
    </xf>
    <xf borderId="0" fillId="20" fontId="3" numFmtId="0" xfId="0" applyFont="1"/>
    <xf borderId="0" fillId="20" fontId="4" numFmtId="0" xfId="0" applyAlignment="1" applyFont="1">
      <alignment readingOrder="0"/>
    </xf>
    <xf borderId="3" fillId="20" fontId="4" numFmtId="0" xfId="0" applyBorder="1" applyFont="1"/>
    <xf borderId="0" fillId="20" fontId="4" numFmtId="3" xfId="0" applyFont="1" applyNumberFormat="1"/>
    <xf borderId="0" fillId="20" fontId="4" numFmtId="3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11" fontId="3" numFmtId="167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horizontal="right" vertical="bottom"/>
    </xf>
    <xf borderId="0" fillId="8" fontId="3" numFmtId="167" xfId="0" applyAlignment="1" applyFont="1" applyNumberFormat="1">
      <alignment readingOrder="0"/>
    </xf>
    <xf borderId="0" fillId="8" fontId="3" numFmtId="0" xfId="0" applyAlignment="1" applyFont="1">
      <alignment horizontal="left" readingOrder="0"/>
    </xf>
    <xf borderId="0" fillId="8" fontId="3" numFmtId="0" xfId="0" applyAlignment="1" applyFont="1">
      <alignment readingOrder="0"/>
    </xf>
    <xf borderId="0" fillId="8" fontId="4" numFmtId="0" xfId="0" applyFont="1"/>
    <xf borderId="0" fillId="8" fontId="3" numFmtId="3" xfId="0" applyAlignment="1" applyFont="1" applyNumberFormat="1">
      <alignment readingOrder="0"/>
    </xf>
    <xf borderId="0" fillId="8" fontId="4" numFmtId="168" xfId="0" applyFont="1" applyNumberFormat="1"/>
    <xf borderId="0" fillId="8" fontId="4" numFmtId="168" xfId="0" applyAlignment="1" applyFont="1" applyNumberFormat="1">
      <alignment readingOrder="0"/>
    </xf>
    <xf borderId="3" fillId="8" fontId="4" numFmtId="168" xfId="0" applyBorder="1" applyFont="1" applyNumberFormat="1"/>
    <xf borderId="5" fillId="8" fontId="3" numFmtId="0" xfId="0" applyAlignment="1" applyBorder="1" applyFont="1">
      <alignment readingOrder="0"/>
    </xf>
    <xf quotePrefix="1" borderId="0" fillId="8" fontId="3" numFmtId="0" xfId="0" applyAlignment="1" applyFont="1">
      <alignment readingOrder="0"/>
    </xf>
    <xf borderId="0" fillId="8" fontId="3" numFmtId="0" xfId="0" applyFont="1"/>
    <xf borderId="0" fillId="8" fontId="4" numFmtId="0" xfId="0" applyAlignment="1" applyFont="1">
      <alignment readingOrder="0"/>
    </xf>
    <xf borderId="3" fillId="8" fontId="4" numFmtId="0" xfId="0" applyBorder="1" applyFont="1"/>
    <xf borderId="0" fillId="8" fontId="4" numFmtId="3" xfId="0" applyFont="1" applyNumberFormat="1"/>
    <xf borderId="0" fillId="8" fontId="4" numFmtId="3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23" fontId="3" numFmtId="167" xfId="0" applyAlignment="1" applyFill="1" applyFont="1" applyNumberFormat="1">
      <alignment readingOrder="0"/>
    </xf>
    <xf borderId="0" fillId="23" fontId="3" numFmtId="0" xfId="0" applyAlignment="1" applyFont="1">
      <alignment horizontal="left" readingOrder="0"/>
    </xf>
    <xf borderId="5" fillId="23" fontId="3" numFmtId="0" xfId="0" applyAlignment="1" applyBorder="1" applyFont="1">
      <alignment readingOrder="0"/>
    </xf>
    <xf borderId="0" fillId="23" fontId="4" numFmtId="0" xfId="0" applyFont="1"/>
    <xf borderId="0" fillId="23" fontId="3" numFmtId="0" xfId="0" applyAlignment="1" applyFont="1">
      <alignment readingOrder="0"/>
    </xf>
    <xf borderId="0" fillId="23" fontId="3" numFmtId="3" xfId="0" applyFont="1" applyNumberFormat="1"/>
    <xf borderId="0" fillId="23" fontId="4" numFmtId="168" xfId="0" applyFont="1" applyNumberFormat="1"/>
    <xf borderId="0" fillId="23" fontId="4" numFmtId="168" xfId="0" applyAlignment="1" applyFont="1" applyNumberFormat="1">
      <alignment readingOrder="0"/>
    </xf>
    <xf borderId="3" fillId="23" fontId="4" numFmtId="168" xfId="0" applyBorder="1" applyFont="1" applyNumberFormat="1"/>
    <xf borderId="0" fillId="23" fontId="3" numFmtId="0" xfId="0" applyFont="1"/>
    <xf borderId="0" fillId="23" fontId="4" numFmtId="0" xfId="0" applyFont="1"/>
    <xf borderId="3" fillId="23" fontId="4" numFmtId="0" xfId="0" applyBorder="1" applyFont="1"/>
    <xf borderId="0" fillId="23" fontId="4" numFmtId="3" xfId="0" applyFont="1" applyNumberFormat="1"/>
    <xf borderId="0" fillId="23" fontId="4" numFmtId="0" xfId="0" applyAlignment="1" applyFont="1">
      <alignment readingOrder="0"/>
    </xf>
    <xf borderId="0" fillId="3" fontId="4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168" xfId="0" applyAlignment="1" applyFont="1" applyNumberFormat="1">
      <alignment horizontal="right" vertical="bottom"/>
    </xf>
    <xf borderId="3" fillId="0" fontId="3" numFmtId="168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quotePrefix="1" borderId="0" fillId="0" fontId="3" numFmtId="0" xfId="0" applyAlignment="1" applyFont="1">
      <alignment vertical="bottom"/>
    </xf>
    <xf borderId="0" fillId="3" fontId="4" numFmtId="0" xfId="0" applyFont="1"/>
    <xf quotePrefix="1" borderId="0" fillId="11" fontId="4" numFmtId="0" xfId="0" applyAlignment="1" applyFont="1">
      <alignment readingOrder="0" shrinkToFit="0" wrapText="1"/>
    </xf>
    <xf borderId="5" fillId="0" fontId="3" numFmtId="0" xfId="0" applyAlignment="1" applyBorder="1" applyFont="1">
      <alignment horizontal="left" readingOrder="0"/>
    </xf>
    <xf borderId="0" fillId="3" fontId="3" numFmtId="0" xfId="0" applyAlignment="1" applyFont="1">
      <alignment readingOrder="0"/>
    </xf>
    <xf borderId="0" fillId="0" fontId="4" numFmtId="169" xfId="0" applyAlignment="1" applyFont="1" applyNumberFormat="1">
      <alignment readingOrder="0"/>
    </xf>
    <xf borderId="5" fillId="0" fontId="3" numFmtId="0" xfId="0" applyAlignment="1" applyBorder="1" applyFont="1">
      <alignment vertical="bottom"/>
    </xf>
    <xf quotePrefix="1" borderId="0" fillId="0" fontId="3" numFmtId="0" xfId="0" applyAlignment="1" applyFont="1">
      <alignment readingOrder="0" vertical="bottom"/>
    </xf>
    <xf borderId="0" fillId="13" fontId="3" numFmtId="167" xfId="0" applyAlignment="1" applyFont="1" applyNumberFormat="1">
      <alignment readingOrder="0"/>
    </xf>
    <xf borderId="0" fillId="13" fontId="3" numFmtId="0" xfId="0" applyAlignment="1" applyFont="1">
      <alignment horizontal="left" readingOrder="0"/>
    </xf>
    <xf borderId="0" fillId="13" fontId="3" numFmtId="0" xfId="0" applyAlignment="1" applyFont="1">
      <alignment readingOrder="0"/>
    </xf>
    <xf borderId="0" fillId="13" fontId="4" numFmtId="0" xfId="0" applyFont="1"/>
    <xf borderId="0" fillId="13" fontId="3" numFmtId="3" xfId="0" applyFont="1" applyNumberFormat="1"/>
    <xf borderId="0" fillId="13" fontId="4" numFmtId="168" xfId="0" applyFont="1" applyNumberFormat="1"/>
    <xf borderId="0" fillId="13" fontId="4" numFmtId="168" xfId="0" applyAlignment="1" applyFont="1" applyNumberFormat="1">
      <alignment readingOrder="0"/>
    </xf>
    <xf borderId="3" fillId="13" fontId="4" numFmtId="168" xfId="0" applyBorder="1" applyFont="1" applyNumberFormat="1"/>
    <xf borderId="5" fillId="13" fontId="3" numFmtId="0" xfId="0" applyAlignment="1" applyBorder="1" applyFont="1">
      <alignment readingOrder="0"/>
    </xf>
    <xf borderId="0" fillId="13" fontId="3" numFmtId="0" xfId="0" applyFont="1"/>
    <xf borderId="0" fillId="13" fontId="4" numFmtId="0" xfId="0" applyFont="1"/>
    <xf borderId="3" fillId="13" fontId="4" numFmtId="0" xfId="0" applyBorder="1" applyFont="1"/>
    <xf borderId="0" fillId="13" fontId="4" numFmtId="3" xfId="0" applyFont="1" applyNumberFormat="1"/>
    <xf borderId="0" fillId="13" fontId="4" numFmtId="0" xfId="0" applyAlignment="1" applyFont="1">
      <alignment readingOrder="0"/>
    </xf>
    <xf quotePrefix="1" borderId="0" fillId="11" fontId="15" numFmtId="0" xfId="0" applyAlignment="1" applyFont="1">
      <alignment readingOrder="0"/>
    </xf>
    <xf borderId="0" fillId="21" fontId="3" numFmtId="167" xfId="0" applyAlignment="1" applyFont="1" applyNumberFormat="1">
      <alignment readingOrder="0"/>
    </xf>
    <xf borderId="0" fillId="21" fontId="3" numFmtId="0" xfId="0" applyAlignment="1" applyFont="1">
      <alignment horizontal="left" readingOrder="0"/>
    </xf>
    <xf borderId="0" fillId="21" fontId="3" numFmtId="0" xfId="0" applyAlignment="1" applyFont="1">
      <alignment readingOrder="0"/>
    </xf>
    <xf borderId="0" fillId="21" fontId="3" numFmtId="3" xfId="0" applyAlignment="1" applyFont="1" applyNumberFormat="1">
      <alignment readingOrder="0"/>
    </xf>
    <xf borderId="5" fillId="21" fontId="3" numFmtId="0" xfId="0" applyAlignment="1" applyBorder="1" applyFont="1">
      <alignment readingOrder="0"/>
    </xf>
    <xf borderId="0" fillId="21" fontId="3" numFmtId="0" xfId="0" applyFont="1"/>
    <xf borderId="3" fillId="21" fontId="4" numFmtId="0" xfId="0" applyAlignment="1" applyBorder="1" applyFont="1">
      <alignment readingOrder="0"/>
    </xf>
    <xf borderId="0" fillId="0" fontId="3" numFmtId="167" xfId="0" applyAlignment="1" applyFont="1" applyNumberFormat="1">
      <alignment horizontal="right" vertical="bottom"/>
    </xf>
    <xf borderId="0" fillId="11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quotePrefix="1" borderId="0" fillId="0" fontId="3" numFmtId="0" xfId="0" applyAlignment="1" applyFont="1">
      <alignment vertical="bottom"/>
    </xf>
    <xf borderId="0" fillId="24" fontId="3" numFmtId="167" xfId="0" applyAlignment="1" applyFill="1" applyFont="1" applyNumberFormat="1">
      <alignment readingOrder="0"/>
    </xf>
    <xf borderId="0" fillId="24" fontId="3" numFmtId="0" xfId="0" applyAlignment="1" applyFont="1">
      <alignment horizontal="left" readingOrder="0"/>
    </xf>
    <xf borderId="0" fillId="24" fontId="3" numFmtId="0" xfId="0" applyAlignment="1" applyFont="1">
      <alignment readingOrder="0"/>
    </xf>
    <xf borderId="0" fillId="24" fontId="4" numFmtId="0" xfId="0" applyFont="1"/>
    <xf borderId="0" fillId="24" fontId="3" numFmtId="3" xfId="0" applyFont="1" applyNumberFormat="1"/>
    <xf borderId="0" fillId="24" fontId="4" numFmtId="168" xfId="0" applyFont="1" applyNumberFormat="1"/>
    <xf borderId="0" fillId="24" fontId="4" numFmtId="168" xfId="0" applyAlignment="1" applyFont="1" applyNumberFormat="1">
      <alignment readingOrder="0"/>
    </xf>
    <xf borderId="3" fillId="24" fontId="4" numFmtId="168" xfId="0" applyBorder="1" applyFont="1" applyNumberFormat="1"/>
    <xf borderId="5" fillId="24" fontId="3" numFmtId="0" xfId="0" applyAlignment="1" applyBorder="1" applyFont="1">
      <alignment readingOrder="0"/>
    </xf>
    <xf borderId="0" fillId="24" fontId="3" numFmtId="0" xfId="0" applyFont="1"/>
    <xf borderId="0" fillId="24" fontId="4" numFmtId="0" xfId="0" applyFont="1"/>
    <xf borderId="3" fillId="24" fontId="4" numFmtId="0" xfId="0" applyBorder="1" applyFont="1"/>
    <xf borderId="0" fillId="24" fontId="4" numFmtId="3" xfId="0" applyFont="1" applyNumberFormat="1"/>
    <xf borderId="0" fillId="24" fontId="4" numFmtId="0" xfId="0" applyAlignment="1" applyFont="1">
      <alignment readingOrder="0"/>
    </xf>
    <xf borderId="0" fillId="0" fontId="3" numFmtId="167" xfId="0" applyAlignment="1" applyFont="1" applyNumberFormat="1">
      <alignment horizontal="right" readingOrder="0" vertical="bottom"/>
    </xf>
    <xf borderId="0" fillId="9" fontId="3" numFmtId="167" xfId="0" applyAlignment="1" applyFont="1" applyNumberFormat="1">
      <alignment horizontal="right" readingOrder="0" vertical="bottom"/>
    </xf>
    <xf borderId="0" fillId="9" fontId="3" numFmtId="0" xfId="0" applyAlignment="1" applyFont="1">
      <alignment readingOrder="0" vertical="bottom"/>
    </xf>
    <xf borderId="0" fillId="9" fontId="3" numFmtId="0" xfId="0" applyAlignment="1" applyFont="1">
      <alignment readingOrder="0"/>
    </xf>
    <xf borderId="0" fillId="9" fontId="4" numFmtId="0" xfId="0" applyFont="1"/>
    <xf borderId="0" fillId="9" fontId="4" numFmtId="0" xfId="0" applyAlignment="1" applyFont="1">
      <alignment readingOrder="0"/>
    </xf>
    <xf borderId="0" fillId="9" fontId="3" numFmtId="3" xfId="0" applyAlignment="1" applyFont="1" applyNumberFormat="1">
      <alignment readingOrder="0"/>
    </xf>
    <xf borderId="0" fillId="9" fontId="4" numFmtId="168" xfId="0" applyFont="1" applyNumberFormat="1"/>
    <xf borderId="0" fillId="9" fontId="4" numFmtId="168" xfId="0" applyAlignment="1" applyFont="1" applyNumberFormat="1">
      <alignment readingOrder="0"/>
    </xf>
    <xf borderId="3" fillId="9" fontId="4" numFmtId="168" xfId="0" applyBorder="1" applyFont="1" applyNumberFormat="1"/>
    <xf borderId="5" fillId="9" fontId="3" numFmtId="0" xfId="0" applyAlignment="1" applyBorder="1" applyFont="1">
      <alignment vertical="bottom"/>
    </xf>
    <xf quotePrefix="1" borderId="0" fillId="9" fontId="3" numFmtId="0" xfId="0" applyAlignment="1" applyFont="1">
      <alignment vertical="bottom"/>
    </xf>
    <xf borderId="0" fillId="9" fontId="4" numFmtId="0" xfId="0" applyFont="1"/>
    <xf borderId="0" fillId="9" fontId="3" numFmtId="0" xfId="0" applyAlignment="1" applyFont="1">
      <alignment vertical="bottom"/>
    </xf>
    <xf borderId="3" fillId="9" fontId="3" numFmtId="0" xfId="0" applyAlignment="1" applyBorder="1" applyFont="1">
      <alignment vertical="bottom"/>
    </xf>
    <xf borderId="0" fillId="9" fontId="4" numFmtId="3" xfId="0" applyAlignment="1" applyFont="1" applyNumberFormat="1">
      <alignment readingOrder="0"/>
    </xf>
    <xf borderId="0" fillId="25" fontId="3" numFmtId="167" xfId="0" applyAlignment="1" applyFill="1" applyFont="1" applyNumberFormat="1">
      <alignment horizontal="right" readingOrder="0" vertical="bottom"/>
    </xf>
    <xf borderId="0" fillId="25" fontId="3" numFmtId="0" xfId="0" applyAlignment="1" applyFont="1">
      <alignment horizontal="left" readingOrder="0"/>
    </xf>
    <xf borderId="0" fillId="25" fontId="3" numFmtId="0" xfId="0" applyAlignment="1" applyFont="1">
      <alignment readingOrder="0"/>
    </xf>
    <xf borderId="0" fillId="25" fontId="4" numFmtId="0" xfId="0" applyFont="1"/>
    <xf borderId="0" fillId="25" fontId="3" numFmtId="3" xfId="0" applyAlignment="1" applyFont="1" applyNumberFormat="1">
      <alignment readingOrder="0"/>
    </xf>
    <xf borderId="0" fillId="25" fontId="4" numFmtId="168" xfId="0" applyFont="1" applyNumberFormat="1"/>
    <xf borderId="0" fillId="25" fontId="4" numFmtId="168" xfId="0" applyAlignment="1" applyFont="1" applyNumberFormat="1">
      <alignment readingOrder="0"/>
    </xf>
    <xf borderId="3" fillId="25" fontId="4" numFmtId="168" xfId="0" applyBorder="1" applyFont="1" applyNumberFormat="1"/>
    <xf borderId="5" fillId="25" fontId="3" numFmtId="0" xfId="0" applyAlignment="1" applyBorder="1" applyFont="1">
      <alignment readingOrder="0"/>
    </xf>
    <xf quotePrefix="1" borderId="0" fillId="25" fontId="3" numFmtId="0" xfId="0" applyAlignment="1" applyFont="1">
      <alignment readingOrder="0"/>
    </xf>
    <xf borderId="0" fillId="25" fontId="3" numFmtId="0" xfId="0" applyFont="1"/>
    <xf borderId="0" fillId="25" fontId="4" numFmtId="0" xfId="0" applyAlignment="1" applyFont="1">
      <alignment readingOrder="0"/>
    </xf>
    <xf borderId="3" fillId="25" fontId="4" numFmtId="0" xfId="0" applyAlignment="1" applyBorder="1" applyFont="1">
      <alignment readingOrder="0"/>
    </xf>
    <xf borderId="0" fillId="25" fontId="4" numFmtId="3" xfId="0" applyFont="1" applyNumberFormat="1"/>
    <xf borderId="0" fillId="25" fontId="4" numFmtId="3" xfId="0" applyAlignment="1" applyFont="1" applyNumberFormat="1">
      <alignment readingOrder="0"/>
    </xf>
    <xf borderId="0" fillId="9" fontId="3" numFmtId="0" xfId="0" applyAlignment="1" applyFont="1">
      <alignment horizontal="left" readingOrder="0"/>
    </xf>
    <xf borderId="5" fillId="9" fontId="3" numFmtId="0" xfId="0" applyAlignment="1" applyBorder="1" applyFont="1">
      <alignment readingOrder="0"/>
    </xf>
    <xf quotePrefix="1" borderId="0" fillId="9" fontId="3" numFmtId="0" xfId="0" applyAlignment="1" applyFont="1">
      <alignment readingOrder="0"/>
    </xf>
    <xf borderId="0" fillId="9" fontId="3" numFmtId="0" xfId="0" applyFont="1"/>
    <xf borderId="3" fillId="9" fontId="4" numFmtId="0" xfId="0" applyAlignment="1" applyBorder="1" applyFont="1">
      <alignment readingOrder="0"/>
    </xf>
    <xf borderId="0" fillId="9" fontId="4" numFmtId="3" xfId="0" applyFont="1" applyNumberFormat="1"/>
    <xf borderId="0" fillId="11" fontId="3" numFmtId="0" xfId="0" applyAlignment="1" applyFont="1">
      <alignment horizontal="left" readingOrder="0"/>
    </xf>
    <xf borderId="0" fillId="26" fontId="3" numFmtId="0" xfId="0" applyAlignment="1" applyFill="1" applyFont="1">
      <alignment readingOrder="0"/>
    </xf>
    <xf borderId="0" fillId="8" fontId="4" numFmtId="0" xfId="0" applyFont="1"/>
    <xf borderId="3" fillId="8" fontId="4" numFmtId="0" xfId="0" applyAlignment="1" applyBorder="1" applyFont="1">
      <alignment readingOrder="0"/>
    </xf>
    <xf borderId="0" fillId="9" fontId="3" numFmtId="167" xfId="0" applyAlignment="1" applyFont="1" applyNumberFormat="1">
      <alignment readingOrder="0"/>
    </xf>
    <xf borderId="0" fillId="12" fontId="3" numFmtId="167" xfId="0" applyAlignment="1" applyFont="1" applyNumberFormat="1">
      <alignment readingOrder="0"/>
    </xf>
    <xf borderId="0" fillId="12" fontId="3" numFmtId="0" xfId="0" applyAlignment="1" applyFont="1">
      <alignment horizontal="left" readingOrder="0"/>
    </xf>
    <xf borderId="0" fillId="12" fontId="3" numFmtId="0" xfId="0" applyAlignment="1" applyFont="1">
      <alignment readingOrder="0"/>
    </xf>
    <xf borderId="0" fillId="12" fontId="4" numFmtId="0" xfId="0" applyFont="1"/>
    <xf borderId="0" fillId="12" fontId="3" numFmtId="3" xfId="0" applyAlignment="1" applyFont="1" applyNumberFormat="1">
      <alignment readingOrder="0"/>
    </xf>
    <xf borderId="0" fillId="12" fontId="4" numFmtId="168" xfId="0" applyFont="1" applyNumberFormat="1"/>
    <xf borderId="0" fillId="12" fontId="4" numFmtId="168" xfId="0" applyAlignment="1" applyFont="1" applyNumberFormat="1">
      <alignment readingOrder="0"/>
    </xf>
    <xf borderId="3" fillId="12" fontId="4" numFmtId="168" xfId="0" applyBorder="1" applyFont="1" applyNumberFormat="1"/>
    <xf borderId="5" fillId="12" fontId="3" numFmtId="0" xfId="0" applyAlignment="1" applyBorder="1" applyFont="1">
      <alignment readingOrder="0"/>
    </xf>
    <xf borderId="0" fillId="12" fontId="3" numFmtId="0" xfId="0" applyFont="1"/>
    <xf borderId="0" fillId="12" fontId="4" numFmtId="0" xfId="0" applyAlignment="1" applyFont="1">
      <alignment readingOrder="0"/>
    </xf>
    <xf borderId="3" fillId="12" fontId="4" numFmtId="0" xfId="0" applyAlignment="1" applyBorder="1" applyFont="1">
      <alignment readingOrder="0"/>
    </xf>
    <xf borderId="0" fillId="12" fontId="4" numFmtId="3" xfId="0" applyFont="1" applyNumberFormat="1"/>
    <xf borderId="0" fillId="12" fontId="4" numFmtId="3" xfId="0" applyAlignment="1" applyFont="1" applyNumberFormat="1">
      <alignment readingOrder="0"/>
    </xf>
    <xf borderId="0" fillId="26" fontId="3" numFmtId="167" xfId="0" applyAlignment="1" applyFont="1" applyNumberFormat="1">
      <alignment readingOrder="0"/>
    </xf>
    <xf borderId="0" fillId="26" fontId="3" numFmtId="0" xfId="0" applyAlignment="1" applyFont="1">
      <alignment horizontal="left" readingOrder="0"/>
    </xf>
    <xf quotePrefix="1" borderId="0" fillId="12" fontId="3" numFmtId="0" xfId="0" applyAlignment="1" applyFont="1">
      <alignment readingOrder="0"/>
    </xf>
    <xf borderId="1" fillId="23" fontId="3" numFmtId="0" xfId="0" applyAlignment="1" applyBorder="1" applyFont="1">
      <alignment vertical="bottom"/>
    </xf>
    <xf borderId="1" fillId="23" fontId="3" numFmtId="0" xfId="0" applyAlignment="1" applyBorder="1" applyFont="1">
      <alignment horizontal="right" vertical="bottom"/>
    </xf>
    <xf borderId="0" fillId="23" fontId="3" numFmtId="3" xfId="0" applyAlignment="1" applyFont="1" applyNumberFormat="1">
      <alignment readingOrder="0"/>
    </xf>
    <xf borderId="3" fillId="23" fontId="4" numFmtId="0" xfId="0" applyAlignment="1" applyBorder="1" applyFont="1">
      <alignment readingOrder="0"/>
    </xf>
    <xf borderId="1" fillId="23" fontId="3" numFmtId="0" xfId="0" applyAlignment="1" applyBorder="1" applyFont="1">
      <alignment horizontal="right" readingOrder="0" vertical="bottom"/>
    </xf>
    <xf borderId="1" fillId="23" fontId="3" numFmtId="0" xfId="0" applyAlignment="1" applyBorder="1" applyFont="1">
      <alignment readingOrder="0" vertical="bottom"/>
    </xf>
    <xf borderId="0" fillId="19" fontId="3" numFmtId="0" xfId="0" applyAlignment="1" applyFont="1">
      <alignment horizontal="left" readingOrder="0"/>
    </xf>
    <xf borderId="13" fillId="23" fontId="4" numFmtId="0" xfId="0" applyAlignment="1" applyBorder="1" applyFont="1">
      <alignment horizontal="right" readingOrder="0"/>
    </xf>
    <xf borderId="0" fillId="27" fontId="3" numFmtId="167" xfId="0" applyAlignment="1" applyFill="1" applyFont="1" applyNumberFormat="1">
      <alignment readingOrder="0"/>
    </xf>
    <xf borderId="0" fillId="27" fontId="3" numFmtId="0" xfId="0" applyAlignment="1" applyFont="1">
      <alignment horizontal="left" readingOrder="0"/>
    </xf>
    <xf borderId="0" fillId="27" fontId="3" numFmtId="0" xfId="0" applyAlignment="1" applyFont="1">
      <alignment readingOrder="0"/>
    </xf>
    <xf borderId="0" fillId="27" fontId="4" numFmtId="0" xfId="0" applyFont="1"/>
    <xf borderId="0" fillId="27" fontId="3" numFmtId="3" xfId="0" applyAlignment="1" applyFont="1" applyNumberFormat="1">
      <alignment readingOrder="0"/>
    </xf>
    <xf borderId="0" fillId="27" fontId="4" numFmtId="168" xfId="0" applyFont="1" applyNumberFormat="1"/>
    <xf borderId="0" fillId="27" fontId="4" numFmtId="168" xfId="0" applyAlignment="1" applyFont="1" applyNumberFormat="1">
      <alignment readingOrder="0"/>
    </xf>
    <xf borderId="3" fillId="27" fontId="4" numFmtId="168" xfId="0" applyBorder="1" applyFont="1" applyNumberFormat="1"/>
    <xf borderId="5" fillId="27" fontId="3" numFmtId="0" xfId="0" applyAlignment="1" applyBorder="1" applyFont="1">
      <alignment readingOrder="0"/>
    </xf>
    <xf quotePrefix="1" borderId="0" fillId="27" fontId="3" numFmtId="0" xfId="0" applyAlignment="1" applyFont="1">
      <alignment readingOrder="0"/>
    </xf>
    <xf borderId="0" fillId="27" fontId="3" numFmtId="0" xfId="0" applyFont="1"/>
    <xf borderId="0" fillId="27" fontId="4" numFmtId="0" xfId="0" applyAlignment="1" applyFont="1">
      <alignment readingOrder="0"/>
    </xf>
    <xf borderId="3" fillId="27" fontId="4" numFmtId="0" xfId="0" applyAlignment="1" applyBorder="1" applyFont="1">
      <alignment readingOrder="0"/>
    </xf>
    <xf borderId="0" fillId="27" fontId="4" numFmtId="3" xfId="0" applyFont="1" applyNumberFormat="1"/>
    <xf borderId="0" fillId="27" fontId="4" numFmtId="3" xfId="0" applyAlignment="1" applyFont="1" applyNumberFormat="1">
      <alignment readingOrder="0"/>
    </xf>
    <xf borderId="0" fillId="27" fontId="4" numFmtId="0" xfId="0" applyFont="1"/>
    <xf borderId="0" fillId="23" fontId="3" numFmtId="0" xfId="0" applyAlignment="1" applyFont="1">
      <alignment horizontal="left" readingOrder="0" shrinkToFit="0" wrapText="0"/>
    </xf>
    <xf borderId="0" fillId="13" fontId="3" numFmtId="3" xfId="0" applyAlignment="1" applyFont="1" applyNumberFormat="1">
      <alignment readingOrder="0"/>
    </xf>
    <xf borderId="3" fillId="13" fontId="4" numFmtId="0" xfId="0" applyAlignment="1" applyBorder="1" applyFont="1">
      <alignment readingOrder="0"/>
    </xf>
    <xf borderId="0" fillId="0" fontId="3" numFmtId="168" xfId="0" applyAlignment="1" applyFont="1" applyNumberFormat="1">
      <alignment readingOrder="0"/>
    </xf>
    <xf borderId="0" fillId="8" fontId="3" numFmtId="3" xfId="0" applyFont="1" applyNumberFormat="1"/>
    <xf borderId="0" fillId="0" fontId="3" numFmtId="167" xfId="0" applyFont="1" applyNumberFormat="1"/>
    <xf borderId="3" fillId="0" fontId="3" numFmtId="0" xfId="0" applyAlignment="1" applyBorder="1" applyFont="1">
      <alignment vertical="bottom"/>
    </xf>
    <xf borderId="0" fillId="23" fontId="3" numFmtId="0" xfId="0" applyAlignment="1" applyFont="1">
      <alignment readingOrder="0"/>
    </xf>
    <xf borderId="5" fillId="23" fontId="3" numFmtId="0" xfId="0" applyBorder="1" applyFont="1"/>
    <xf borderId="0" fillId="23" fontId="3" numFmtId="167" xfId="0" applyFont="1" applyNumberFormat="1"/>
    <xf borderId="0" fillId="28" fontId="3" numFmtId="167" xfId="0" applyAlignment="1" applyFill="1" applyFont="1" applyNumberFormat="1">
      <alignment readingOrder="0"/>
    </xf>
    <xf borderId="0" fillId="28" fontId="3" numFmtId="0" xfId="0" applyAlignment="1" applyFont="1">
      <alignment horizontal="left" readingOrder="0"/>
    </xf>
    <xf borderId="0" fillId="28" fontId="3" numFmtId="0" xfId="0" applyAlignment="1" applyFont="1">
      <alignment readingOrder="0"/>
    </xf>
    <xf borderId="0" fillId="28" fontId="4" numFmtId="0" xfId="0" applyFont="1"/>
    <xf borderId="0" fillId="28" fontId="3" numFmtId="3" xfId="0" applyAlignment="1" applyFont="1" applyNumberFormat="1">
      <alignment readingOrder="0"/>
    </xf>
    <xf borderId="0" fillId="28" fontId="4" numFmtId="168" xfId="0" applyFont="1" applyNumberFormat="1"/>
    <xf borderId="0" fillId="28" fontId="4" numFmtId="168" xfId="0" applyAlignment="1" applyFont="1" applyNumberFormat="1">
      <alignment readingOrder="0"/>
    </xf>
    <xf borderId="3" fillId="28" fontId="4" numFmtId="168" xfId="0" applyBorder="1" applyFont="1" applyNumberFormat="1"/>
    <xf borderId="5" fillId="28" fontId="3" numFmtId="0" xfId="0" applyAlignment="1" applyBorder="1" applyFont="1">
      <alignment readingOrder="0"/>
    </xf>
    <xf borderId="0" fillId="28" fontId="3" numFmtId="0" xfId="0" applyFont="1"/>
    <xf borderId="0" fillId="28" fontId="4" numFmtId="0" xfId="0" applyFont="1"/>
    <xf borderId="3" fillId="28" fontId="4" numFmtId="0" xfId="0" applyBorder="1" applyFont="1"/>
    <xf borderId="0" fillId="28" fontId="4" numFmtId="3" xfId="0" applyFont="1" applyNumberFormat="1"/>
    <xf borderId="3" fillId="20" fontId="4" numFmtId="0" xfId="0" applyAlignment="1" applyBorder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70" xfId="0" applyAlignment="1" applyFont="1" applyNumberFormat="1">
      <alignment readingOrder="0"/>
    </xf>
    <xf borderId="0" fillId="0" fontId="7" numFmtId="3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center" readingOrder="0"/>
    </xf>
    <xf quotePrefix="1" borderId="0" fillId="0" fontId="4" numFmtId="0" xfId="0" applyAlignment="1" applyFont="1">
      <alignment horizontal="left" readingOrder="0"/>
    </xf>
    <xf borderId="0" fillId="20" fontId="3" numFmtId="3" xfId="0" applyFont="1" applyNumberFormat="1"/>
    <xf borderId="0" fillId="11" fontId="3" numFmtId="0" xfId="0" applyAlignment="1" applyFont="1">
      <alignment readingOrder="0"/>
    </xf>
    <xf borderId="0" fillId="11" fontId="4" numFmtId="0" xfId="0" applyFont="1"/>
    <xf borderId="0" fillId="11" fontId="3" numFmtId="3" xfId="0" applyAlignment="1" applyFont="1" applyNumberFormat="1">
      <alignment readingOrder="0"/>
    </xf>
    <xf borderId="0" fillId="11" fontId="4" numFmtId="168" xfId="0" applyFont="1" applyNumberFormat="1"/>
    <xf borderId="0" fillId="11" fontId="4" numFmtId="168" xfId="0" applyAlignment="1" applyFont="1" applyNumberFormat="1">
      <alignment readingOrder="0"/>
    </xf>
    <xf borderId="3" fillId="11" fontId="4" numFmtId="168" xfId="0" applyBorder="1" applyFont="1" applyNumberFormat="1"/>
    <xf borderId="5" fillId="11" fontId="3" numFmtId="0" xfId="0" applyAlignment="1" applyBorder="1" applyFont="1">
      <alignment readingOrder="0"/>
    </xf>
    <xf quotePrefix="1" borderId="0" fillId="11" fontId="4" numFmtId="0" xfId="0" applyAlignment="1" applyFont="1">
      <alignment horizontal="left" readingOrder="0"/>
    </xf>
    <xf borderId="0" fillId="11" fontId="3" numFmtId="0" xfId="0" applyFont="1"/>
    <xf borderId="0" fillId="11" fontId="4" numFmtId="0" xfId="0" applyFont="1"/>
    <xf borderId="3" fillId="11" fontId="4" numFmtId="0" xfId="0" applyBorder="1" applyFont="1"/>
    <xf borderId="0" fillId="11" fontId="4" numFmtId="3" xfId="0" applyAlignment="1" applyFont="1" applyNumberFormat="1">
      <alignment readingOrder="0"/>
    </xf>
    <xf borderId="0" fillId="11" fontId="4" numFmtId="3" xfId="0" applyFont="1" applyNumberFormat="1"/>
    <xf borderId="0" fillId="11" fontId="3" numFmtId="170" xfId="0" applyAlignment="1" applyFont="1" applyNumberFormat="1">
      <alignment readingOrder="0"/>
    </xf>
    <xf quotePrefix="1" borderId="0" fillId="11" fontId="3" numFmtId="0" xfId="0" applyAlignment="1" applyFont="1">
      <alignment readingOrder="0"/>
    </xf>
    <xf borderId="0" fillId="11" fontId="4" numFmtId="0" xfId="0" applyAlignment="1" applyFont="1">
      <alignment readingOrder="0"/>
    </xf>
    <xf borderId="13" fillId="0" fontId="3" numFmtId="0" xfId="0" applyAlignment="1" applyBorder="1" applyFont="1">
      <alignment readingOrder="0"/>
    </xf>
    <xf borderId="0" fillId="29" fontId="3" numFmtId="167" xfId="0" applyAlignment="1" applyFill="1" applyFont="1" applyNumberFormat="1">
      <alignment readingOrder="0"/>
    </xf>
    <xf borderId="0" fillId="29" fontId="3" numFmtId="0" xfId="0" applyAlignment="1" applyFont="1">
      <alignment horizontal="left" readingOrder="0"/>
    </xf>
    <xf borderId="0" fillId="29" fontId="3" numFmtId="0" xfId="0" applyAlignment="1" applyFont="1">
      <alignment readingOrder="0"/>
    </xf>
    <xf borderId="0" fillId="29" fontId="4" numFmtId="0" xfId="0" applyFont="1"/>
    <xf borderId="0" fillId="29" fontId="3" numFmtId="3" xfId="0" applyFont="1" applyNumberFormat="1"/>
    <xf borderId="0" fillId="29" fontId="4" numFmtId="168" xfId="0" applyFont="1" applyNumberFormat="1"/>
    <xf borderId="0" fillId="29" fontId="4" numFmtId="168" xfId="0" applyAlignment="1" applyFont="1" applyNumberFormat="1">
      <alignment readingOrder="0"/>
    </xf>
    <xf borderId="3" fillId="29" fontId="4" numFmtId="168" xfId="0" applyBorder="1" applyFont="1" applyNumberFormat="1"/>
    <xf borderId="5" fillId="29" fontId="3" numFmtId="0" xfId="0" applyAlignment="1" applyBorder="1" applyFont="1">
      <alignment readingOrder="0"/>
    </xf>
    <xf borderId="0" fillId="29" fontId="3" numFmtId="0" xfId="0" applyFont="1"/>
    <xf borderId="0" fillId="29" fontId="4" numFmtId="0" xfId="0" applyFont="1"/>
    <xf borderId="3" fillId="29" fontId="4" numFmtId="0" xfId="0" applyBorder="1" applyFont="1"/>
    <xf borderId="0" fillId="29" fontId="4" numFmtId="3" xfId="0" applyFont="1" applyNumberFormat="1"/>
    <xf borderId="0" fillId="29" fontId="4" numFmtId="3" xfId="0" applyAlignment="1" applyFont="1" applyNumberFormat="1">
      <alignment readingOrder="0"/>
    </xf>
    <xf borderId="0" fillId="29" fontId="4" numFmtId="0" xfId="0" applyAlignment="1" applyFont="1">
      <alignment readingOrder="0"/>
    </xf>
    <xf borderId="0" fillId="19" fontId="3" numFmtId="0" xfId="0" applyAlignment="1" applyFont="1">
      <alignment readingOrder="0"/>
    </xf>
    <xf borderId="0" fillId="19" fontId="4" numFmtId="0" xfId="0" applyAlignment="1" applyFont="1">
      <alignment readingOrder="0"/>
    </xf>
    <xf borderId="0" fillId="30" fontId="3" numFmtId="167" xfId="0" applyAlignment="1" applyFill="1" applyFont="1" applyNumberFormat="1">
      <alignment readingOrder="0"/>
    </xf>
    <xf borderId="0" fillId="30" fontId="3" numFmtId="0" xfId="0" applyAlignment="1" applyFont="1">
      <alignment horizontal="left" readingOrder="0"/>
    </xf>
    <xf borderId="0" fillId="30" fontId="3" numFmtId="0" xfId="0" applyAlignment="1" applyFont="1">
      <alignment readingOrder="0"/>
    </xf>
    <xf borderId="0" fillId="30" fontId="4" numFmtId="0" xfId="0" applyFont="1"/>
    <xf borderId="0" fillId="30" fontId="3" numFmtId="3" xfId="0" applyAlignment="1" applyFont="1" applyNumberFormat="1">
      <alignment readingOrder="0"/>
    </xf>
    <xf borderId="0" fillId="30" fontId="4" numFmtId="168" xfId="0" applyFont="1" applyNumberFormat="1"/>
    <xf borderId="0" fillId="30" fontId="4" numFmtId="168" xfId="0" applyAlignment="1" applyFont="1" applyNumberFormat="1">
      <alignment readingOrder="0"/>
    </xf>
    <xf borderId="3" fillId="30" fontId="4" numFmtId="168" xfId="0" applyBorder="1" applyFont="1" applyNumberFormat="1"/>
    <xf borderId="5" fillId="30" fontId="3" numFmtId="0" xfId="0" applyAlignment="1" applyBorder="1" applyFont="1">
      <alignment readingOrder="0"/>
    </xf>
    <xf quotePrefix="1" borderId="0" fillId="30" fontId="3" numFmtId="0" xfId="0" applyAlignment="1" applyFont="1">
      <alignment readingOrder="0"/>
    </xf>
    <xf borderId="0" fillId="30" fontId="3" numFmtId="0" xfId="0" applyFont="1"/>
    <xf borderId="0" fillId="30" fontId="4" numFmtId="0" xfId="0" applyFont="1"/>
    <xf borderId="3" fillId="30" fontId="4" numFmtId="0" xfId="0" applyBorder="1" applyFont="1"/>
    <xf borderId="0" fillId="30" fontId="4" numFmtId="3" xfId="0" applyFont="1" applyNumberFormat="1"/>
    <xf borderId="0" fillId="30" fontId="4" numFmtId="3" xfId="0" applyAlignment="1" applyFont="1" applyNumberFormat="1">
      <alignment readingOrder="0"/>
    </xf>
    <xf borderId="0" fillId="19" fontId="3" numFmtId="0" xfId="0" applyAlignment="1" applyFont="1">
      <alignment horizontal="left" readingOrder="0" shrinkToFit="0" wrapText="1"/>
    </xf>
    <xf borderId="0" fillId="23" fontId="3" numFmtId="170" xfId="0" applyAlignment="1" applyFont="1" applyNumberFormat="1">
      <alignment readingOrder="0"/>
    </xf>
    <xf borderId="0" fillId="19" fontId="4" numFmtId="0" xfId="0" applyFont="1"/>
    <xf borderId="5" fillId="11" fontId="3" numFmtId="0" xfId="0" applyBorder="1" applyFont="1"/>
    <xf borderId="0" fillId="0" fontId="3" numFmtId="0" xfId="0" applyAlignment="1" applyFont="1">
      <alignment horizontal="left" readingOrder="0" vertical="center"/>
    </xf>
    <xf borderId="0" fillId="31" fontId="3" numFmtId="0" xfId="0" applyAlignment="1" applyFill="1" applyFont="1">
      <alignment horizontal="left" readingOrder="0"/>
    </xf>
    <xf borderId="0" fillId="31" fontId="3" numFmtId="0" xfId="0" applyAlignment="1" applyFont="1">
      <alignment readingOrder="0"/>
    </xf>
    <xf borderId="0" fillId="31" fontId="4" numFmtId="0" xfId="0" applyFont="1"/>
    <xf borderId="0" fillId="32" fontId="3" numFmtId="167" xfId="0" applyAlignment="1" applyFill="1" applyFont="1" applyNumberFormat="1">
      <alignment readingOrder="0"/>
    </xf>
    <xf borderId="0" fillId="32" fontId="3" numFmtId="0" xfId="0" applyAlignment="1" applyFont="1">
      <alignment horizontal="left" readingOrder="0"/>
    </xf>
    <xf borderId="0" fillId="32" fontId="3" numFmtId="0" xfId="0" applyAlignment="1" applyFont="1">
      <alignment readingOrder="0"/>
    </xf>
    <xf borderId="0" fillId="32" fontId="4" numFmtId="0" xfId="0" applyFont="1"/>
    <xf borderId="0" fillId="32" fontId="3" numFmtId="3" xfId="0" applyAlignment="1" applyFont="1" applyNumberFormat="1">
      <alignment readingOrder="0"/>
    </xf>
    <xf borderId="0" fillId="32" fontId="4" numFmtId="168" xfId="0" applyFont="1" applyNumberFormat="1"/>
    <xf borderId="0" fillId="32" fontId="4" numFmtId="168" xfId="0" applyAlignment="1" applyFont="1" applyNumberFormat="1">
      <alignment readingOrder="0"/>
    </xf>
    <xf borderId="3" fillId="32" fontId="4" numFmtId="168" xfId="0" applyBorder="1" applyFont="1" applyNumberFormat="1"/>
    <xf borderId="5" fillId="32" fontId="3" numFmtId="0" xfId="0" applyAlignment="1" applyBorder="1" applyFont="1">
      <alignment readingOrder="0"/>
    </xf>
    <xf quotePrefix="1" borderId="0" fillId="32" fontId="3" numFmtId="0" xfId="0" applyAlignment="1" applyFont="1">
      <alignment readingOrder="0"/>
    </xf>
    <xf borderId="0" fillId="32" fontId="3" numFmtId="0" xfId="0" applyFont="1"/>
    <xf borderId="0" fillId="32" fontId="4" numFmtId="0" xfId="0" applyFont="1"/>
    <xf borderId="3" fillId="32" fontId="4" numFmtId="0" xfId="0" applyBorder="1" applyFont="1"/>
    <xf borderId="0" fillId="32" fontId="4" numFmtId="3" xfId="0" applyFont="1" applyNumberFormat="1"/>
    <xf borderId="0" fillId="32" fontId="4" numFmtId="0" xfId="0" applyAlignment="1" applyFont="1">
      <alignment readingOrder="0"/>
    </xf>
    <xf borderId="0" fillId="19" fontId="3" numFmtId="3" xfId="0" applyAlignment="1" applyFont="1" applyNumberFormat="1">
      <alignment readingOrder="0"/>
    </xf>
    <xf borderId="0" fillId="19" fontId="4" numFmtId="168" xfId="0" applyFont="1" applyNumberFormat="1"/>
    <xf borderId="0" fillId="19" fontId="4" numFmtId="168" xfId="0" applyAlignment="1" applyFont="1" applyNumberFormat="1">
      <alignment readingOrder="0"/>
    </xf>
    <xf borderId="3" fillId="19" fontId="4" numFmtId="168" xfId="0" applyBorder="1" applyFont="1" applyNumberFormat="1"/>
    <xf quotePrefix="1" borderId="0" fillId="19" fontId="3" numFmtId="0" xfId="0" applyAlignment="1" applyFont="1">
      <alignment readingOrder="0"/>
    </xf>
    <xf borderId="5" fillId="19" fontId="3" numFmtId="0" xfId="0" applyBorder="1" applyFont="1"/>
    <xf borderId="0" fillId="19" fontId="3" numFmtId="0" xfId="0" applyFont="1"/>
    <xf borderId="0" fillId="0" fontId="4" numFmtId="3" xfId="0" applyAlignment="1" applyFont="1" applyNumberFormat="1">
      <alignment horizontal="right" readingOrder="0"/>
    </xf>
    <xf borderId="0" fillId="0" fontId="4" numFmtId="3" xfId="0" applyAlignment="1" applyFont="1" applyNumberFormat="1">
      <alignment horizontal="right"/>
    </xf>
    <xf borderId="5" fillId="20" fontId="3" numFmtId="0" xfId="0" applyBorder="1" applyFont="1"/>
    <xf borderId="0" fillId="33" fontId="4" numFmtId="3" xfId="0" applyFill="1" applyFont="1" applyNumberFormat="1"/>
    <xf borderId="0" fillId="33" fontId="4" numFmtId="3" xfId="0" applyAlignment="1" applyFont="1" applyNumberFormat="1">
      <alignment readingOrder="0"/>
    </xf>
    <xf borderId="0" fillId="33" fontId="4" numFmtId="0" xfId="0" applyAlignment="1" applyFont="1">
      <alignment readingOrder="0"/>
    </xf>
    <xf borderId="0" fillId="33" fontId="4" numFmtId="0" xfId="0" applyFont="1"/>
    <xf borderId="13" fillId="0" fontId="3" numFmtId="0" xfId="0" applyAlignment="1" applyBorder="1" applyFont="1">
      <alignment horizontal="center" readingOrder="0"/>
    </xf>
    <xf borderId="0" fillId="11" fontId="3" numFmtId="0" xfId="0" applyAlignment="1" applyFont="1">
      <alignment horizontal="left" readingOrder="0" shrinkToFit="0" wrapText="1"/>
    </xf>
    <xf borderId="0" fillId="34" fontId="3" numFmtId="167" xfId="0" applyAlignment="1" applyFill="1" applyFont="1" applyNumberFormat="1">
      <alignment readingOrder="0"/>
    </xf>
    <xf borderId="0" fillId="34" fontId="3" numFmtId="0" xfId="0" applyAlignment="1" applyFont="1">
      <alignment horizontal="left" readingOrder="0"/>
    </xf>
    <xf borderId="0" fillId="34" fontId="3" numFmtId="0" xfId="0" applyAlignment="1" applyFont="1">
      <alignment readingOrder="0"/>
    </xf>
    <xf borderId="0" fillId="34" fontId="4" numFmtId="0" xfId="0" applyFont="1"/>
    <xf borderId="0" fillId="19" fontId="3" numFmtId="167" xfId="0" applyAlignment="1" applyFont="1" applyNumberFormat="1">
      <alignment readingOrder="0"/>
    </xf>
    <xf borderId="0" fillId="19" fontId="4" numFmtId="0" xfId="0" applyFont="1"/>
    <xf borderId="0" fillId="19" fontId="4" numFmtId="3" xfId="0" applyFont="1" applyNumberFormat="1"/>
    <xf borderId="0" fillId="19" fontId="4" numFmtId="3" xfId="0" applyAlignment="1" applyFont="1" applyNumberFormat="1">
      <alignment readingOrder="0"/>
    </xf>
    <xf borderId="0" fillId="8" fontId="3" numFmtId="0" xfId="0" applyAlignment="1" applyFont="1">
      <alignment horizontal="left" readingOrder="0" vertical="center"/>
    </xf>
    <xf borderId="0" fillId="0" fontId="3" numFmtId="168" xfId="0" applyFont="1" applyNumberFormat="1"/>
    <xf borderId="0" fillId="0" fontId="4" numFmtId="170" xfId="0" applyAlignment="1" applyFont="1" applyNumberFormat="1">
      <alignment readingOrder="0"/>
    </xf>
    <xf borderId="0" fillId="19" fontId="4" numFmtId="170" xfId="0" applyAlignment="1" applyFont="1" applyNumberFormat="1">
      <alignment readingOrder="0"/>
    </xf>
    <xf quotePrefix="1" borderId="0" fillId="19" fontId="4" numFmtId="0" xfId="0" applyAlignment="1" applyFont="1">
      <alignment readingOrder="0"/>
    </xf>
    <xf borderId="0" fillId="0" fontId="16" numFmtId="0" xfId="0" applyAlignment="1" applyFont="1">
      <alignment readingOrder="0"/>
    </xf>
    <xf borderId="0" fillId="35" fontId="3" numFmtId="167" xfId="0" applyAlignment="1" applyFill="1" applyFont="1" applyNumberFormat="1">
      <alignment readingOrder="0"/>
    </xf>
    <xf borderId="0" fillId="35" fontId="3" numFmtId="0" xfId="0" applyAlignment="1" applyFont="1">
      <alignment horizontal="left" readingOrder="0"/>
    </xf>
    <xf borderId="0" fillId="35" fontId="3" numFmtId="0" xfId="0" applyAlignment="1" applyFont="1">
      <alignment readingOrder="0"/>
    </xf>
    <xf borderId="0" fillId="35" fontId="3" numFmtId="0" xfId="0" applyFont="1"/>
    <xf borderId="0" fillId="35" fontId="3" numFmtId="3" xfId="0" applyAlignment="1" applyFont="1" applyNumberFormat="1">
      <alignment readingOrder="0"/>
    </xf>
    <xf borderId="0" fillId="35" fontId="4" numFmtId="168" xfId="0" applyFont="1" applyNumberFormat="1"/>
    <xf borderId="0" fillId="35" fontId="4" numFmtId="168" xfId="0" applyAlignment="1" applyFont="1" applyNumberFormat="1">
      <alignment readingOrder="0"/>
    </xf>
    <xf quotePrefix="1" borderId="0" fillId="35" fontId="3" numFmtId="0" xfId="0" applyAlignment="1" applyFont="1">
      <alignment readingOrder="0"/>
    </xf>
    <xf borderId="0" fillId="35" fontId="4" numFmtId="0" xfId="0" applyFont="1"/>
    <xf borderId="0" fillId="35" fontId="4" numFmtId="3" xfId="0" applyFont="1" applyNumberFormat="1"/>
    <xf borderId="0" fillId="35" fontId="4" numFmtId="0" xfId="0" applyAlignment="1" applyFont="1">
      <alignment readingOrder="0"/>
    </xf>
    <xf borderId="0" fillId="3" fontId="3" numFmtId="0" xfId="0" applyFont="1"/>
    <xf borderId="0" fillId="0" fontId="6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/>
    </xf>
    <xf borderId="0" fillId="22" fontId="16" numFmtId="0" xfId="0" applyAlignment="1" applyFont="1">
      <alignment readingOrder="0"/>
    </xf>
    <xf borderId="0" fillId="36" fontId="3" numFmtId="0" xfId="0" applyAlignment="1" applyFill="1" applyFont="1">
      <alignment horizontal="left" readingOrder="0"/>
    </xf>
    <xf borderId="4" fillId="36" fontId="3" numFmtId="0" xfId="0" applyAlignment="1" applyBorder="1" applyFont="1">
      <alignment readingOrder="0" vertical="bottom"/>
    </xf>
    <xf borderId="0" fillId="36" fontId="3" numFmtId="0" xfId="0" applyFont="1"/>
    <xf quotePrefix="1" borderId="0" fillId="0" fontId="9" numFmtId="0" xfId="0" applyAlignment="1" applyFont="1">
      <alignment readingOrder="0"/>
    </xf>
    <xf borderId="0" fillId="8" fontId="16" numFmtId="0" xfId="0" applyAlignment="1" applyFont="1">
      <alignment readingOrder="0"/>
    </xf>
    <xf borderId="0" fillId="11" fontId="16" numFmtId="0" xfId="0" applyAlignment="1" applyFont="1">
      <alignment readingOrder="0"/>
    </xf>
    <xf borderId="0" fillId="11" fontId="3" numFmtId="3" xfId="0" applyFont="1" applyNumberFormat="1"/>
    <xf borderId="0" fillId="19" fontId="3" numFmtId="3" xfId="0" applyFont="1" applyNumberFormat="1"/>
    <xf borderId="0" fillId="25" fontId="16" numFmtId="0" xfId="0" applyAlignment="1" applyFont="1">
      <alignment readingOrder="0"/>
    </xf>
    <xf borderId="0" fillId="20" fontId="3" numFmtId="0" xfId="0" applyAlignment="1" applyFont="1">
      <alignment readingOrder="0" vertical="bottom"/>
    </xf>
    <xf borderId="0" fillId="37" fontId="3" numFmtId="0" xfId="0" applyAlignment="1" applyFill="1" applyFont="1">
      <alignment horizontal="left" readingOrder="0"/>
    </xf>
    <xf borderId="0" fillId="37" fontId="3" numFmtId="0" xfId="0" applyAlignment="1" applyFont="1">
      <alignment readingOrder="0"/>
    </xf>
    <xf borderId="0" fillId="37" fontId="3" numFmtId="0" xfId="0" applyFont="1"/>
    <xf borderId="0" fillId="37" fontId="3" numFmtId="3" xfId="0" applyAlignment="1" applyFont="1" applyNumberFormat="1">
      <alignment readingOrder="0"/>
    </xf>
    <xf borderId="0" fillId="37" fontId="4" numFmtId="168" xfId="0" applyFont="1" applyNumberFormat="1"/>
    <xf borderId="0" fillId="37" fontId="4" numFmtId="168" xfId="0" applyAlignment="1" applyFont="1" applyNumberFormat="1">
      <alignment readingOrder="0"/>
    </xf>
    <xf borderId="3" fillId="37" fontId="4" numFmtId="168" xfId="0" applyBorder="1" applyFont="1" applyNumberFormat="1"/>
    <xf quotePrefix="1" borderId="0" fillId="37" fontId="3" numFmtId="0" xfId="0" applyAlignment="1" applyFont="1">
      <alignment readingOrder="0"/>
    </xf>
    <xf borderId="0" fillId="38" fontId="3" numFmtId="0" xfId="0" applyAlignment="1" applyFill="1" applyFont="1">
      <alignment horizontal="left" readingOrder="0"/>
    </xf>
    <xf borderId="0" fillId="38" fontId="3" numFmtId="0" xfId="0" applyAlignment="1" applyFont="1">
      <alignment readingOrder="0"/>
    </xf>
    <xf borderId="0" fillId="38" fontId="3" numFmtId="0" xfId="0" applyFont="1"/>
    <xf borderId="0" fillId="38" fontId="3" numFmtId="3" xfId="0" applyAlignment="1" applyFont="1" applyNumberFormat="1">
      <alignment readingOrder="0"/>
    </xf>
    <xf borderId="0" fillId="38" fontId="4" numFmtId="168" xfId="0" applyFont="1" applyNumberFormat="1"/>
    <xf borderId="0" fillId="38" fontId="4" numFmtId="168" xfId="0" applyAlignment="1" applyFont="1" applyNumberFormat="1">
      <alignment readingOrder="0"/>
    </xf>
    <xf borderId="3" fillId="38" fontId="4" numFmtId="168" xfId="0" applyBorder="1" applyFont="1" applyNumberFormat="1"/>
    <xf borderId="0" fillId="8" fontId="3" numFmtId="167" xfId="0" applyFont="1" applyNumberFormat="1"/>
    <xf borderId="0" fillId="0" fontId="18" numFmtId="0" xfId="0" applyAlignment="1" applyFont="1">
      <alignment readingOrder="0"/>
    </xf>
    <xf borderId="0" fillId="0" fontId="19" numFmtId="1" xfId="0" applyFont="1" applyNumberFormat="1"/>
    <xf borderId="0" fillId="0" fontId="19" numFmtId="0" xfId="0" applyFont="1"/>
    <xf borderId="13" fillId="0" fontId="19" numFmtId="0" xfId="0" applyBorder="1" applyFont="1"/>
    <xf borderId="0" fillId="0" fontId="9" numFmtId="0" xfId="0" applyFont="1"/>
    <xf borderId="0" fillId="0" fontId="9" numFmtId="164" xfId="0" applyAlignment="1" applyFont="1" applyNumberFormat="1">
      <alignment horizontal="center" readingOrder="0"/>
    </xf>
    <xf borderId="14" fillId="0" fontId="3" numFmtId="0" xfId="0" applyAlignment="1" applyBorder="1" applyFont="1">
      <alignment readingOrder="0"/>
    </xf>
    <xf borderId="14" fillId="0" fontId="3" numFmtId="1" xfId="0" applyBorder="1" applyFont="1" applyNumberFormat="1"/>
    <xf borderId="14" fillId="0" fontId="19" numFmtId="0" xfId="0" applyBorder="1" applyFont="1"/>
    <xf borderId="0" fillId="0" fontId="3" numFmtId="1" xfId="0" applyAlignment="1" applyFont="1" applyNumberFormat="1">
      <alignment readingOrder="0"/>
    </xf>
    <xf borderId="0" fillId="0" fontId="3" numFmtId="1" xfId="0" applyFont="1" applyNumberFormat="1"/>
    <xf borderId="0" fillId="0" fontId="18" numFmtId="0" xfId="0" applyFont="1"/>
    <xf borderId="0" fillId="0" fontId="20" numFmtId="0" xfId="0" applyFont="1"/>
    <xf borderId="0" fillId="0" fontId="9" numFmtId="0" xfId="0" applyAlignment="1" applyFont="1">
      <alignment horizontal="left" readingOrder="0"/>
    </xf>
    <xf borderId="0" fillId="0" fontId="19" numFmtId="1" xfId="0" applyAlignment="1" applyFont="1" applyNumberFormat="1">
      <alignment horizontal="center"/>
    </xf>
    <xf borderId="0" fillId="0" fontId="9" numFmtId="0" xfId="0" applyFont="1"/>
    <xf borderId="0" fillId="11" fontId="21" numFmtId="0" xfId="0" applyAlignment="1" applyFont="1">
      <alignment horizontal="left" readingOrder="0"/>
    </xf>
    <xf borderId="0" fillId="11" fontId="22" numFmtId="0" xfId="0" applyAlignment="1" applyFont="1">
      <alignment horizontal="left" readingOrder="0"/>
    </xf>
    <xf borderId="0" fillId="0" fontId="23" numFmtId="0" xfId="0" applyAlignment="1" applyFont="1">
      <alignment horizontal="center"/>
    </xf>
    <xf borderId="0" fillId="0" fontId="9" numFmtId="0" xfId="0" applyAlignment="1" applyFont="1">
      <alignment shrinkToFit="0" vertical="top" wrapText="1"/>
    </xf>
    <xf borderId="0" fillId="0" fontId="6" numFmtId="1" xfId="0" applyFont="1" applyNumberFormat="1"/>
    <xf borderId="0" fillId="0" fontId="23" numFmtId="0" xfId="0" applyFont="1"/>
    <xf borderId="0" fillId="0" fontId="6" numFmtId="0" xfId="0" applyAlignment="1" applyFont="1">
      <alignment shrinkToFit="0" vertical="center" wrapText="1"/>
    </xf>
    <xf borderId="13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horizontal="left" readingOrder="0"/>
    </xf>
    <xf borderId="0" fillId="0" fontId="6" numFmtId="0" xfId="0" applyFont="1"/>
    <xf borderId="13" fillId="0" fontId="3" numFmtId="0" xfId="0" applyAlignment="1" applyBorder="1" applyFont="1">
      <alignment horizontal="center"/>
    </xf>
    <xf borderId="13" fillId="0" fontId="11" numFmtId="0" xfId="0" applyBorder="1" applyFont="1"/>
    <xf borderId="10" fillId="0" fontId="3" numFmtId="0" xfId="0" applyAlignment="1" applyBorder="1" applyFont="1">
      <alignment horizontal="center" vertical="center"/>
    </xf>
    <xf borderId="10" fillId="0" fontId="3" numFmtId="1" xfId="0" applyAlignment="1" applyBorder="1" applyFont="1" applyNumberFormat="1">
      <alignment horizontal="center" vertical="center"/>
    </xf>
    <xf borderId="14" fillId="0" fontId="3" numFmtId="0" xfId="0" applyAlignment="1" applyBorder="1" applyFont="1">
      <alignment horizontal="center" vertical="center"/>
    </xf>
    <xf borderId="14" fillId="0" fontId="11" numFmtId="0" xfId="0" applyBorder="1" applyFont="1"/>
    <xf borderId="0" fillId="0" fontId="16" numFmtId="0" xfId="0" applyAlignment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14" fillId="0" fontId="3" numFmtId="0" xfId="0" applyAlignment="1" applyBorder="1" applyFont="1">
      <alignment horizontal="center" readingOrder="0"/>
    </xf>
    <xf borderId="0" fillId="0" fontId="3" numFmtId="168" xfId="0" applyAlignment="1" applyFont="1" applyNumberFormat="1">
      <alignment horizontal="right" vertical="center"/>
    </xf>
    <xf borderId="0" fillId="0" fontId="9" numFmtId="0" xfId="0" applyAlignment="1" applyFont="1">
      <alignment horizontal="center" readingOrder="0"/>
    </xf>
    <xf borderId="0" fillId="0" fontId="3" numFmtId="168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 vertical="center"/>
    </xf>
    <xf borderId="13" fillId="0" fontId="3" numFmtId="0" xfId="0" applyAlignment="1" applyBorder="1" applyFont="1">
      <alignment horizontal="left" readingOrder="0" shrinkToFit="0" wrapText="1"/>
    </xf>
    <xf borderId="13" fillId="0" fontId="3" numFmtId="168" xfId="0" applyAlignment="1" applyBorder="1" applyFont="1" applyNumberFormat="1">
      <alignment horizontal="center"/>
    </xf>
    <xf borderId="14" fillId="0" fontId="20" numFmtId="0" xfId="0" applyAlignment="1" applyBorder="1" applyFont="1">
      <alignment horizontal="left" readingOrder="0" shrinkToFit="0" vertical="center" wrapText="1"/>
    </xf>
    <xf borderId="14" fillId="0" fontId="24" numFmtId="0" xfId="0" applyAlignment="1" applyBorder="1" applyFont="1">
      <alignment vertical="center"/>
    </xf>
    <xf borderId="14" fillId="0" fontId="25" numFmtId="0" xfId="0" applyAlignment="1" applyBorder="1" applyFont="1">
      <alignment horizontal="center" vertical="center"/>
    </xf>
    <xf borderId="14" fillId="0" fontId="25" numFmtId="0" xfId="0" applyBorder="1" applyFont="1"/>
    <xf borderId="0" fillId="0" fontId="25" numFmtId="168" xfId="0" applyFont="1" applyNumberFormat="1"/>
    <xf borderId="0" fillId="0" fontId="3" numFmtId="0" xfId="0" applyAlignment="1" applyFont="1">
      <alignment horizontal="left"/>
    </xf>
    <xf borderId="15" fillId="0" fontId="3" numFmtId="171" xfId="0" applyAlignment="1" applyBorder="1" applyFont="1" applyNumberFormat="1">
      <alignment vertical="center"/>
    </xf>
    <xf borderId="0" fillId="0" fontId="25" numFmtId="0" xfId="0" applyAlignment="1" applyFont="1">
      <alignment horizontal="left"/>
    </xf>
    <xf borderId="0" fillId="0" fontId="3" numFmtId="0" xfId="0" applyAlignment="1" applyFont="1">
      <alignment horizontal="right"/>
    </xf>
    <xf borderId="0" fillId="0" fontId="19" numFmtId="0" xfId="0" applyAlignment="1" applyFont="1">
      <alignment shrinkToFit="0" vertical="top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5" numFmtId="168" xfId="0" applyAlignment="1" applyFont="1" applyNumberFormat="1">
      <alignment vertical="center"/>
    </xf>
    <xf borderId="15" fillId="0" fontId="3" numFmtId="171" xfId="0" applyAlignment="1" applyBorder="1" applyFont="1" applyNumberFormat="1">
      <alignment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shrinkToFit="0" vertical="center" wrapText="1"/>
    </xf>
    <xf borderId="0" fillId="0" fontId="6" numFmtId="0" xfId="0" applyAlignment="1" applyFont="1">
      <alignment horizontal="left"/>
    </xf>
    <xf borderId="9" fillId="0" fontId="6" numFmtId="171" xfId="0" applyAlignment="1" applyBorder="1" applyFont="1" applyNumberFormat="1">
      <alignment horizontal="left" vertical="center"/>
    </xf>
    <xf borderId="0" fillId="0" fontId="19" numFmtId="1" xfId="0" applyAlignment="1" applyFont="1" applyNumberFormat="1">
      <alignment horizontal="right"/>
    </xf>
    <xf borderId="0" fillId="0" fontId="26" numFmtId="0" xfId="0" applyAlignment="1" applyFont="1">
      <alignment vertical="top"/>
    </xf>
    <xf borderId="0" fillId="0" fontId="3" numFmtId="171" xfId="0" applyAlignment="1" applyFont="1" applyNumberFormat="1">
      <alignment horizontal="center" vertical="center"/>
    </xf>
    <xf borderId="0" fillId="0" fontId="27" numFmtId="0" xfId="0" applyAlignment="1" applyFont="1">
      <alignment horizontal="left" readingOrder="0"/>
    </xf>
    <xf borderId="0" fillId="0" fontId="27" numFmtId="0" xfId="0" applyAlignment="1" applyFont="1">
      <alignment horizontal="left"/>
    </xf>
    <xf quotePrefix="1" borderId="0" fillId="0" fontId="19" numFmtId="1" xfId="0" applyFont="1" applyNumberFormat="1"/>
    <xf borderId="0" fillId="0" fontId="28" numFmtId="0" xfId="0" applyFont="1"/>
    <xf borderId="0" fillId="0" fontId="23" numFmtId="0" xfId="0" applyAlignment="1" applyFont="1">
      <alignment horizontal="left" readingOrder="0"/>
    </xf>
    <xf borderId="0" fillId="0" fontId="9" numFmtId="1" xfId="0" applyFont="1" applyNumberFormat="1"/>
    <xf borderId="0" fillId="0" fontId="29" numFmtId="0" xfId="0" applyAlignment="1" applyFont="1">
      <alignment horizontal="center"/>
    </xf>
    <xf borderId="0" fillId="0" fontId="30" numFmtId="0" xfId="0" applyAlignment="1" applyFont="1">
      <alignment readingOrder="0" shrinkToFit="0" vertical="center" wrapText="0"/>
    </xf>
    <xf borderId="0" fillId="0" fontId="30" numFmtId="169" xfId="0" applyAlignment="1" applyFont="1" applyNumberFormat="1">
      <alignment readingOrder="0" shrinkToFit="0" wrapText="0"/>
    </xf>
    <xf borderId="0" fillId="0" fontId="31" numFmtId="0" xfId="0" applyAlignment="1" applyFont="1">
      <alignment horizontal="center" readingOrder="0"/>
    </xf>
    <xf borderId="1" fillId="0" fontId="31" numFmtId="0" xfId="0" applyAlignment="1" applyBorder="1" applyFont="1">
      <alignment readingOrder="0"/>
    </xf>
    <xf borderId="1" fillId="0" fontId="31" numFmtId="0" xfId="0" applyAlignment="1" applyBorder="1" applyFont="1">
      <alignment horizontal="center" readingOrder="0"/>
    </xf>
    <xf borderId="16" fillId="0" fontId="16" numFmtId="0" xfId="0" applyAlignment="1" applyBorder="1" applyFont="1">
      <alignment readingOrder="0"/>
    </xf>
    <xf borderId="16" fillId="0" fontId="16" numFmtId="172" xfId="0" applyAlignment="1" applyBorder="1" applyFont="1" applyNumberFormat="1">
      <alignment horizontal="center" readingOrder="0"/>
    </xf>
    <xf borderId="16" fillId="0" fontId="16" numFmtId="0" xfId="0" applyBorder="1" applyFont="1"/>
    <xf borderId="16" fillId="0" fontId="16" numFmtId="0" xfId="0" applyAlignment="1" applyBorder="1" applyFont="1">
      <alignment horizontal="center"/>
    </xf>
    <xf borderId="12" fillId="0" fontId="16" numFmtId="0" xfId="0" applyBorder="1" applyFont="1"/>
    <xf borderId="13" fillId="0" fontId="31" numFmtId="0" xfId="0" applyAlignment="1" applyBorder="1" applyFont="1">
      <alignment horizontal="right" readingOrder="0"/>
    </xf>
    <xf borderId="1" fillId="0" fontId="31" numFmtId="169" xfId="0" applyAlignment="1" applyBorder="1" applyFont="1" applyNumberFormat="1">
      <alignment horizontal="center" readingOrder="0"/>
    </xf>
    <xf borderId="0" fillId="0" fontId="16" numFmtId="0" xfId="0" applyAlignment="1" applyFont="1">
      <alignment horizontal="right" readingOrder="0"/>
    </xf>
    <xf borderId="0" fillId="0" fontId="32" numFmtId="0" xfId="0" applyAlignment="1" applyFont="1">
      <alignment readingOrder="0"/>
    </xf>
    <xf borderId="0" fillId="0" fontId="20" numFmtId="0" xfId="0" applyAlignment="1" applyFont="1">
      <alignment horizontal="left" readingOrder="0"/>
    </xf>
    <xf borderId="0" fillId="0" fontId="0" numFmtId="0" xfId="0" applyAlignment="1" applyFont="1">
      <alignment readingOrder="0"/>
    </xf>
    <xf borderId="14" fillId="0" fontId="3" numFmtId="1" xfId="0" applyAlignment="1" applyBorder="1" applyFont="1" applyNumberFormat="1">
      <alignment horizontal="center" vertical="center"/>
    </xf>
    <xf borderId="0" fillId="0" fontId="25" numFmtId="0" xfId="0" applyFont="1"/>
    <xf borderId="0" fillId="0" fontId="16" numFmtId="0" xfId="0" applyAlignment="1" applyFont="1">
      <alignment horizontal="left" readingOrder="0"/>
    </xf>
    <xf borderId="0" fillId="0" fontId="9" numFmtId="0" xfId="0" applyAlignment="1" applyFont="1">
      <alignment readingOrder="0" shrinkToFit="0" vertical="top" wrapText="1"/>
    </xf>
    <xf borderId="0" fillId="0" fontId="6" numFmtId="0" xfId="0" applyAlignment="1" applyFont="1">
      <alignment horizontal="left" readingOrder="0" vertical="center"/>
    </xf>
    <xf borderId="13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readingOrder="0"/>
    </xf>
    <xf borderId="14" fillId="0" fontId="3" numFmtId="0" xfId="0" applyAlignment="1" applyBorder="1" applyFont="1">
      <alignment readingOrder="0" shrinkToFit="0" wrapText="1"/>
    </xf>
    <xf borderId="14" fillId="0" fontId="3" numFmtId="168" xfId="0" applyAlignment="1" applyBorder="1" applyFont="1" applyNumberFormat="1">
      <alignment horizontal="center" readingOrder="0" vertical="center"/>
    </xf>
    <xf borderId="0" fillId="0" fontId="33" numFmtId="0" xfId="0" applyAlignment="1" applyFont="1">
      <alignment horizontal="left" readingOrder="0"/>
    </xf>
    <xf borderId="14" fillId="0" fontId="6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horizontal="center" readingOrder="0" vertical="bottom"/>
    </xf>
    <xf borderId="5" fillId="0" fontId="3" numFmtId="171" xfId="0" applyAlignment="1" applyBorder="1" applyFont="1" applyNumberFormat="1">
      <alignment horizontal="center" readingOrder="0" vertical="center"/>
    </xf>
    <xf borderId="0" fillId="0" fontId="16" numFmtId="0" xfId="0" applyFont="1"/>
    <xf borderId="0" fillId="0" fontId="9" numFmtId="0" xfId="0" applyAlignment="1" applyFont="1">
      <alignment vertical="bottom"/>
    </xf>
    <xf borderId="0" fillId="0" fontId="34" numFmtId="1" xfId="0" applyFont="1" applyNumberFormat="1"/>
    <xf borderId="0" fillId="0" fontId="9" numFmtId="1" xfId="0" applyAlignment="1" applyFont="1" applyNumberFormat="1">
      <alignment vertical="bottom"/>
    </xf>
    <xf borderId="0" fillId="0" fontId="9" numFmtId="1" xfId="0" applyAlignment="1" applyFont="1" applyNumberFormat="1">
      <alignment horizontal="center" readingOrder="0" vertical="bottom"/>
    </xf>
    <xf borderId="14" fillId="0" fontId="9" numFmtId="1" xfId="0" applyAlignment="1" applyBorder="1" applyFont="1" applyNumberFormat="1">
      <alignment horizontal="center" readingOrder="0" vertical="bottom"/>
    </xf>
    <xf quotePrefix="1" borderId="0" fillId="0" fontId="16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" numFmtId="168" xfId="0" applyAlignment="1" applyFont="1" applyNumberFormat="1">
      <alignment horizontal="right" readingOrder="0" vertical="center"/>
    </xf>
    <xf quotePrefix="1" borderId="0" fillId="0" fontId="16" numFmtId="0" xfId="0" applyAlignment="1" applyFont="1">
      <alignment horizontal="left" readingOrder="0"/>
    </xf>
    <xf borderId="14" fillId="0" fontId="3" numFmtId="0" xfId="0" applyAlignment="1" applyBorder="1" applyFont="1">
      <alignment horizontal="left" readingOrder="0" shrinkToFit="0" wrapText="1"/>
    </xf>
    <xf borderId="9" fillId="0" fontId="6" numFmtId="171" xfId="0" applyAlignment="1" applyBorder="1" applyFont="1" applyNumberFormat="1">
      <alignment horizontal="left" readingOrder="0" vertical="center"/>
    </xf>
    <xf quotePrefix="1" borderId="0" fillId="0" fontId="32" numFmtId="0" xfId="0" applyAlignment="1" applyFont="1">
      <alignment readingOrder="0"/>
    </xf>
    <xf borderId="0" fillId="0" fontId="23" numFmtId="0" xfId="0" applyAlignment="1" applyFont="1">
      <alignment horizontal="center" readingOrder="0"/>
    </xf>
    <xf borderId="0" fillId="0" fontId="3" numFmtId="0" xfId="0" applyAlignment="1" applyFont="1">
      <alignment horizontal="center" vertical="center"/>
    </xf>
    <xf borderId="10" fillId="0" fontId="35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1" fillId="0" fontId="3" numFmtId="171" xfId="0" applyAlignment="1" applyBorder="1" applyFont="1" applyNumberFormat="1">
      <alignment readingOrder="0" vertical="center"/>
    </xf>
    <xf borderId="1" fillId="0" fontId="6" numFmtId="171" xfId="0" applyAlignment="1" applyBorder="1" applyFont="1" applyNumberFormat="1">
      <alignment readingOrder="0" vertical="center"/>
    </xf>
    <xf borderId="0" fillId="0" fontId="36" numFmtId="0" xfId="0" applyAlignment="1" applyFont="1">
      <alignment shrinkToFit="0" vertical="top" wrapText="1"/>
    </xf>
    <xf borderId="0" fillId="0" fontId="23" numFmtId="0" xfId="0" applyAlignment="1" applyFont="1">
      <alignment horizontal="left" readingOrder="0" shrinkToFit="0" vertical="center" wrapText="1"/>
    </xf>
    <xf borderId="0" fillId="0" fontId="35" numFmtId="0" xfId="0" applyFont="1"/>
    <xf borderId="0" fillId="0" fontId="35" numFmtId="0" xfId="0" applyAlignment="1" applyFont="1">
      <alignment readingOrder="0"/>
    </xf>
    <xf quotePrefix="1" borderId="0" fillId="11" fontId="22" numFmtId="0" xfId="0" applyAlignment="1" applyFont="1">
      <alignment horizontal="left" readingOrder="0"/>
    </xf>
    <xf borderId="0" fillId="0" fontId="33" numFmtId="0" xfId="0" applyAlignment="1" applyFont="1">
      <alignment horizontal="left"/>
    </xf>
    <xf borderId="0" fillId="0" fontId="6" numFmtId="0" xfId="0" applyAlignment="1" applyFont="1">
      <alignment horizontal="left" vertical="center"/>
    </xf>
    <xf borderId="13" fillId="0" fontId="6" numFmtId="0" xfId="0" applyAlignment="1" applyBorder="1" applyFont="1">
      <alignment readingOrder="0" shrinkToFit="0" vertical="center" wrapText="1"/>
    </xf>
    <xf borderId="14" fillId="0" fontId="3" numFmtId="0" xfId="0" applyAlignment="1" applyBorder="1" applyFont="1">
      <alignment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1" fillId="0" fontId="3" numFmtId="171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readingOrder="0" shrinkToFit="0" vertical="top" wrapText="1"/>
    </xf>
    <xf borderId="0" fillId="0" fontId="16" numFmtId="0" xfId="0" applyAlignment="1" applyFont="1">
      <alignment shrinkToFit="0" wrapText="1"/>
    </xf>
    <xf borderId="1" fillId="13" fontId="31" numFmtId="0" xfId="0" applyAlignment="1" applyBorder="1" applyFont="1">
      <alignment horizontal="center" readingOrder="0"/>
    </xf>
    <xf borderId="1" fillId="13" fontId="16" numFmtId="0" xfId="0" applyAlignment="1" applyBorder="1" applyFont="1">
      <alignment readingOrder="0" shrinkToFit="0" wrapText="1"/>
    </xf>
    <xf borderId="1" fillId="0" fontId="16" numFmtId="0" xfId="0" applyAlignment="1" applyBorder="1" applyFont="1">
      <alignment readingOrder="0"/>
    </xf>
    <xf borderId="1" fillId="0" fontId="16" numFmtId="0" xfId="0" applyAlignment="1" applyBorder="1" applyFont="1">
      <alignment shrinkToFit="0" wrapText="1"/>
    </xf>
    <xf borderId="1" fillId="0" fontId="16" numFmtId="0" xfId="0" applyAlignment="1" applyBorder="1" applyFont="1">
      <alignment readingOrder="0" shrinkToFit="0" wrapText="1"/>
    </xf>
    <xf borderId="1" fillId="9" fontId="31" numFmtId="0" xfId="0" applyAlignment="1" applyBorder="1" applyFont="1">
      <alignment horizontal="center" readingOrder="0"/>
    </xf>
    <xf borderId="1" fillId="9" fontId="16" numFmtId="0" xfId="0" applyAlignment="1" applyBorder="1" applyFont="1">
      <alignment readingOrder="0" shrinkToFit="0" wrapText="1"/>
    </xf>
    <xf borderId="1" fillId="20" fontId="31" numFmtId="0" xfId="0" applyAlignment="1" applyBorder="1" applyFont="1">
      <alignment horizontal="center" readingOrder="0"/>
    </xf>
    <xf borderId="1" fillId="20" fontId="16" numFmtId="0" xfId="0" applyAlignment="1" applyBorder="1" applyFont="1">
      <alignment readingOrder="0" shrinkToFit="0" wrapText="1"/>
    </xf>
    <xf borderId="0" fillId="0" fontId="20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1" fillId="13" fontId="20" numFmtId="0" xfId="0" applyAlignment="1" applyBorder="1" applyFont="1">
      <alignment horizontal="center" vertical="bottom"/>
    </xf>
    <xf borderId="1" fillId="13" fontId="9" numFmtId="0" xfId="0" applyAlignment="1" applyBorder="1" applyFont="1">
      <alignment horizontal="right" shrinkToFit="0" vertical="bottom" wrapText="1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1" fillId="25" fontId="31" numFmtId="0" xfId="0" applyAlignment="1" applyBorder="1" applyFont="1">
      <alignment readingOrder="0"/>
    </xf>
    <xf borderId="1" fillId="25" fontId="31" numFmtId="0" xfId="0" applyAlignment="1" applyBorder="1" applyFont="1">
      <alignment readingOrder="0" shrinkToFit="0" wrapText="1"/>
    </xf>
    <xf borderId="1" fillId="0" fontId="16" numFmtId="0" xfId="0" applyAlignment="1" applyBorder="1" applyFont="1">
      <alignment readingOrder="0" vertical="top"/>
    </xf>
    <xf borderId="1" fillId="0" fontId="16" numFmtId="0" xfId="0" applyAlignment="1" applyBorder="1" applyFont="1">
      <alignment readingOrder="0" shrinkToFit="0" vertical="top" wrapText="1"/>
    </xf>
    <xf borderId="1" fillId="0" fontId="16" numFmtId="0" xfId="0" applyAlignment="1" applyBorder="1" applyFont="1">
      <alignment shrinkToFit="0" vertical="top" wrapText="1"/>
    </xf>
    <xf borderId="0" fillId="36" fontId="37" numFmtId="0" xfId="0" applyAlignment="1" applyFont="1">
      <alignment horizontal="center" readingOrder="0" shrinkToFit="0" vertical="bottom" wrapText="1"/>
    </xf>
    <xf borderId="0" fillId="25" fontId="20" numFmtId="0" xfId="0" applyAlignment="1" applyFont="1">
      <alignment vertical="bottom"/>
    </xf>
    <xf borderId="0" fillId="10" fontId="20" numFmtId="0" xfId="0" applyAlignment="1" applyFont="1">
      <alignment vertical="bottom"/>
    </xf>
    <xf borderId="0" fillId="39" fontId="9" numFmtId="3" xfId="0" applyAlignment="1" applyFill="1" applyFont="1" applyNumberFormat="1">
      <alignment horizontal="center" vertical="bottom"/>
    </xf>
    <xf borderId="0" fillId="23" fontId="38" numFmtId="0" xfId="0" applyAlignment="1" applyFont="1">
      <alignment horizontal="center" readingOrder="0" shrinkToFit="0" vertical="center" wrapText="1"/>
    </xf>
    <xf borderId="0" fillId="23" fontId="38" numFmtId="0" xfId="0" applyAlignment="1" applyFont="1">
      <alignment horizontal="center" shrinkToFit="0" vertical="center" wrapText="1"/>
    </xf>
    <xf borderId="0" fillId="13" fontId="38" numFmtId="3" xfId="0" applyAlignment="1" applyFont="1" applyNumberFormat="1">
      <alignment horizontal="center" shrinkToFit="0" vertical="center" wrapText="1"/>
    </xf>
    <xf borderId="0" fillId="22" fontId="38" numFmtId="3" xfId="0" applyAlignment="1" applyFont="1" applyNumberFormat="1">
      <alignment horizontal="center" shrinkToFit="0" vertical="center" wrapText="1"/>
    </xf>
    <xf borderId="0" fillId="40" fontId="38" numFmtId="3" xfId="0" applyAlignment="1" applyFill="1" applyFont="1" applyNumberFormat="1">
      <alignment horizontal="center" shrinkToFit="0" vertical="center" wrapText="1"/>
    </xf>
    <xf borderId="0" fillId="25" fontId="20" numFmtId="0" xfId="0" applyAlignment="1" applyFont="1">
      <alignment horizontal="center" shrinkToFit="0" vertical="center" wrapText="1"/>
    </xf>
    <xf borderId="0" fillId="10" fontId="20" numFmtId="0" xfId="0" applyAlignment="1" applyFont="1">
      <alignment horizontal="center" shrinkToFit="0" vertical="center" wrapText="1"/>
    </xf>
    <xf borderId="0" fillId="39" fontId="9" numFmtId="3" xfId="0" applyAlignment="1" applyFont="1" applyNumberFormat="1">
      <alignment horizontal="center" shrinkToFit="0" vertical="center" wrapText="1"/>
    </xf>
    <xf borderId="0" fillId="39" fontId="9" numFmtId="3" xfId="0" applyAlignment="1" applyFont="1" applyNumberFormat="1">
      <alignment horizontal="center" readingOrder="0" shrinkToFit="0" vertical="center" wrapText="1"/>
    </xf>
    <xf borderId="0" fillId="0" fontId="16" numFmtId="165" xfId="0" applyAlignment="1" applyFont="1" applyNumberFormat="1">
      <alignment readingOrder="0"/>
    </xf>
    <xf borderId="0" fillId="0" fontId="16" numFmtId="3" xfId="0" applyAlignment="1" applyFont="1" applyNumberFormat="1">
      <alignment readingOrder="0"/>
    </xf>
    <xf borderId="0" fillId="0" fontId="16" numFmtId="3" xfId="0" applyFont="1" applyNumberFormat="1"/>
    <xf borderId="0" fillId="0" fontId="16" numFmtId="166" xfId="0" applyAlignment="1" applyFont="1" applyNumberFormat="1">
      <alignment readingOrder="0"/>
    </xf>
    <xf borderId="0" fillId="0" fontId="16" numFmtId="0" xfId="0" applyAlignment="1" applyFont="1">
      <alignment readingOrder="0" shrinkToFit="0" wrapText="1"/>
    </xf>
    <xf borderId="0" fillId="3" fontId="31" numFmtId="49" xfId="0" applyAlignment="1" applyFont="1" applyNumberFormat="1">
      <alignment horizontal="left" readingOrder="0"/>
    </xf>
    <xf borderId="0" fillId="0" fontId="16" numFmtId="170" xfId="0" applyAlignment="1" applyFont="1" applyNumberFormat="1">
      <alignment readingOrder="0"/>
    </xf>
    <xf borderId="0" fillId="0" fontId="16" numFmtId="164" xfId="0" applyAlignment="1" applyFont="1" applyNumberFormat="1">
      <alignment readingOrder="0"/>
    </xf>
    <xf borderId="0" fillId="25" fontId="31" numFmtId="0" xfId="0" applyAlignment="1" applyFont="1">
      <alignment horizontal="center" readingOrder="0"/>
    </xf>
    <xf borderId="0" fillId="25" fontId="31" numFmtId="3" xfId="0" applyAlignment="1" applyFont="1" applyNumberFormat="1">
      <alignment horizontal="center" readingOrder="0"/>
    </xf>
    <xf borderId="0" fillId="41" fontId="31" numFmtId="3" xfId="0" applyAlignment="1" applyFill="1" applyFont="1" applyNumberFormat="1">
      <alignment horizontal="center" readingOrder="0"/>
    </xf>
    <xf borderId="0" fillId="42" fontId="31" numFmtId="3" xfId="0" applyAlignment="1" applyFill="1" applyFont="1" applyNumberFormat="1">
      <alignment horizontal="center" readingOrder="0"/>
    </xf>
    <xf borderId="5" fillId="40" fontId="31" numFmtId="3" xfId="0" applyAlignment="1" applyBorder="1" applyFont="1" applyNumberFormat="1">
      <alignment horizontal="center" readingOrder="0"/>
    </xf>
    <xf borderId="0" fillId="40" fontId="31" numFmtId="3" xfId="0" applyAlignment="1" applyFont="1" applyNumberFormat="1">
      <alignment horizontal="center" readingOrder="0"/>
    </xf>
    <xf borderId="5" fillId="0" fontId="16" numFmtId="3" xfId="0" applyAlignment="1" applyBorder="1" applyFont="1" applyNumberFormat="1">
      <alignment readingOrder="0"/>
    </xf>
    <xf borderId="5" fillId="0" fontId="9" numFmtId="3" xfId="0" applyAlignment="1" applyBorder="1" applyFont="1" applyNumberFormat="1">
      <alignment vertical="bottom"/>
    </xf>
    <xf borderId="0" fillId="0" fontId="9" numFmtId="3" xfId="0" applyAlignment="1" applyFont="1" applyNumberFormat="1">
      <alignment vertical="bottom"/>
    </xf>
    <xf borderId="0" fillId="0" fontId="0" numFmtId="170" xfId="0" applyAlignment="1" applyFont="1" applyNumberFormat="1">
      <alignment readingOrder="0"/>
    </xf>
    <xf borderId="0" fillId="0" fontId="0" numFmtId="3" xfId="0" applyAlignment="1" applyFont="1" applyNumberFormat="1">
      <alignment readingOrder="0"/>
    </xf>
    <xf borderId="0" fillId="0" fontId="0" numFmtId="3" xfId="0" applyFont="1" applyNumberFormat="1"/>
    <xf borderId="5" fillId="0" fontId="16" numFmtId="3" xfId="0" applyBorder="1" applyFont="1" applyNumberFormat="1"/>
    <xf borderId="16" fillId="16" fontId="9" numFmtId="0" xfId="0" applyAlignment="1" applyBorder="1" applyFont="1">
      <alignment horizontal="left" readingOrder="0" vertical="center"/>
    </xf>
    <xf borderId="16" fillId="16" fontId="9" numFmtId="0" xfId="0" applyAlignment="1" applyBorder="1" applyFont="1">
      <alignment horizontal="center" readingOrder="0" vertical="center"/>
    </xf>
    <xf borderId="8" fillId="16" fontId="9" numFmtId="0" xfId="0" applyAlignment="1" applyBorder="1" applyFont="1">
      <alignment horizontal="center" readingOrder="0" vertical="center"/>
    </xf>
    <xf borderId="8" fillId="16" fontId="9" numFmtId="0" xfId="0" applyAlignment="1" applyBorder="1" applyFont="1">
      <alignment horizontal="center" vertical="center"/>
    </xf>
    <xf borderId="16" fillId="15" fontId="9" numFmtId="3" xfId="0" applyAlignment="1" applyBorder="1" applyFont="1" applyNumberFormat="1">
      <alignment horizontal="center" readingOrder="0" vertical="center"/>
    </xf>
    <xf borderId="16" fillId="15" fontId="9" numFmtId="168" xfId="0" applyAlignment="1" applyBorder="1" applyFont="1" applyNumberFormat="1">
      <alignment horizontal="center" vertical="center"/>
    </xf>
    <xf borderId="16" fillId="15" fontId="9" numFmtId="167" xfId="0" applyAlignment="1" applyBorder="1" applyFont="1" applyNumberFormat="1">
      <alignment horizontal="center" shrinkToFit="0" vertical="center" wrapText="1"/>
    </xf>
    <xf borderId="16" fillId="43" fontId="16" numFmtId="0" xfId="0" applyAlignment="1" applyBorder="1" applyFill="1" applyFont="1">
      <alignment horizontal="center" readingOrder="0" vertical="center"/>
    </xf>
    <xf borderId="16" fillId="9" fontId="16" numFmtId="0" xfId="0" applyAlignment="1" applyBorder="1" applyFont="1">
      <alignment horizontal="center" readingOrder="0" vertical="center"/>
    </xf>
    <xf borderId="0" fillId="9" fontId="16" numFmtId="0" xfId="0" applyAlignment="1" applyFont="1">
      <alignment horizontal="center" readingOrder="0" vertical="center"/>
    </xf>
    <xf borderId="0" fillId="13" fontId="9" numFmtId="167" xfId="0" applyAlignment="1" applyFont="1" applyNumberFormat="1">
      <alignment readingOrder="0"/>
    </xf>
    <xf borderId="0" fillId="13" fontId="9" numFmtId="0" xfId="0" applyAlignment="1" applyFont="1">
      <alignment horizontal="left" readingOrder="0"/>
    </xf>
    <xf borderId="3" fillId="13" fontId="9" numFmtId="0" xfId="0" applyAlignment="1" applyBorder="1" applyFont="1">
      <alignment readingOrder="0"/>
    </xf>
    <xf borderId="5" fillId="13" fontId="9" numFmtId="0" xfId="0" applyAlignment="1" applyBorder="1" applyFont="1">
      <alignment readingOrder="0"/>
    </xf>
    <xf borderId="0" fillId="13" fontId="9" numFmtId="0" xfId="0" applyFont="1"/>
    <xf borderId="5" fillId="13" fontId="21" numFmtId="3" xfId="0" applyAlignment="1" applyBorder="1" applyFont="1" applyNumberFormat="1">
      <alignment readingOrder="0"/>
    </xf>
    <xf borderId="0" fillId="13" fontId="21" numFmtId="168" xfId="0" applyFont="1" applyNumberFormat="1"/>
    <xf borderId="0" fillId="13" fontId="21" numFmtId="167" xfId="0" applyAlignment="1" applyFont="1" applyNumberFormat="1">
      <alignment horizontal="center" readingOrder="0"/>
    </xf>
    <xf borderId="3" fillId="13" fontId="21" numFmtId="0" xfId="0" applyAlignment="1" applyBorder="1" applyFont="1">
      <alignment readingOrder="0"/>
    </xf>
    <xf borderId="5" fillId="13" fontId="21" numFmtId="0" xfId="0" applyAlignment="1" applyBorder="1" applyFont="1">
      <alignment readingOrder="0"/>
    </xf>
    <xf borderId="0" fillId="13" fontId="21" numFmtId="0" xfId="0" applyAlignment="1" applyFont="1">
      <alignment readingOrder="0"/>
    </xf>
    <xf borderId="0" fillId="13" fontId="21" numFmtId="170" xfId="0" applyAlignment="1" applyFont="1" applyNumberFormat="1">
      <alignment readingOrder="0"/>
    </xf>
    <xf borderId="5" fillId="13" fontId="9" numFmtId="3" xfId="0" applyAlignment="1" applyBorder="1" applyFont="1" applyNumberFormat="1">
      <alignment readingOrder="0"/>
    </xf>
    <xf borderId="0" fillId="13" fontId="9" numFmtId="168" xfId="0" applyFont="1" applyNumberFormat="1"/>
    <xf borderId="0" fillId="13" fontId="9" numFmtId="168" xfId="0" applyAlignment="1" applyFont="1" applyNumberFormat="1">
      <alignment readingOrder="0"/>
    </xf>
    <xf borderId="3" fillId="13" fontId="9" numFmtId="173" xfId="0" applyAlignment="1" applyBorder="1" applyFont="1" applyNumberFormat="1">
      <alignment readingOrder="0"/>
    </xf>
    <xf borderId="5" fillId="13" fontId="16" numFmtId="0" xfId="0" applyAlignment="1" applyBorder="1" applyFont="1">
      <alignment readingOrder="0"/>
    </xf>
    <xf borderId="0" fillId="13" fontId="16" numFmtId="0" xfId="0" applyFont="1"/>
    <xf borderId="5" fillId="13" fontId="35" numFmtId="173" xfId="0" applyAlignment="1" applyBorder="1" applyFont="1" applyNumberFormat="1">
      <alignment vertical="bottom"/>
    </xf>
    <xf borderId="5" fillId="13" fontId="16" numFmtId="0" xfId="0" applyBorder="1" applyFont="1"/>
    <xf borderId="0" fillId="13" fontId="16" numFmtId="0" xfId="0" applyAlignment="1" applyFont="1">
      <alignment readingOrder="0"/>
    </xf>
    <xf borderId="0" fillId="13" fontId="16" numFmtId="170" xfId="0" applyAlignment="1" applyFont="1" applyNumberFormat="1">
      <alignment readingOrder="0"/>
    </xf>
    <xf borderId="5" fillId="13" fontId="35" numFmtId="0" xfId="0" applyAlignment="1" applyBorder="1" applyFont="1">
      <alignment readingOrder="0" vertical="bottom"/>
    </xf>
    <xf borderId="0" fillId="13" fontId="9" numFmtId="173" xfId="0" applyAlignment="1" applyFont="1" applyNumberFormat="1">
      <alignment readingOrder="0"/>
    </xf>
    <xf borderId="5" fillId="13" fontId="35" numFmtId="0" xfId="0" applyAlignment="1" applyBorder="1" applyFont="1">
      <alignment vertical="bottom"/>
    </xf>
    <xf borderId="5" fillId="13" fontId="16" numFmtId="3" xfId="0" applyAlignment="1" applyBorder="1" applyFont="1" applyNumberFormat="1">
      <alignment readingOrder="0"/>
    </xf>
    <xf borderId="0" fillId="13" fontId="16" numFmtId="167" xfId="0" applyFont="1" applyNumberFormat="1"/>
    <xf borderId="3" fillId="13" fontId="16" numFmtId="0" xfId="0" applyBorder="1" applyFont="1"/>
    <xf borderId="1" fillId="13" fontId="9" numFmtId="167" xfId="0" applyAlignment="1" applyBorder="1" applyFont="1" applyNumberFormat="1">
      <alignment horizontal="right" vertical="bottom"/>
    </xf>
    <xf borderId="1" fillId="13" fontId="9" numFmtId="0" xfId="0" applyAlignment="1" applyBorder="1" applyFont="1">
      <alignment horizontal="left" vertical="bottom"/>
    </xf>
    <xf borderId="1" fillId="13" fontId="9" numFmtId="0" xfId="0" applyAlignment="1" applyBorder="1" applyFont="1">
      <alignment vertical="bottom"/>
    </xf>
    <xf borderId="0" fillId="13" fontId="9" numFmtId="3" xfId="0" applyAlignment="1" applyFont="1" applyNumberFormat="1">
      <alignment horizontal="right" vertical="bottom"/>
    </xf>
    <xf borderId="1" fillId="13" fontId="9" numFmtId="0" xfId="0" applyAlignment="1" applyBorder="1" applyFont="1">
      <alignment horizontal="left" vertical="bottom"/>
    </xf>
    <xf borderId="1" fillId="13" fontId="9" numFmtId="0" xfId="0" applyAlignment="1" applyBorder="1" applyFont="1">
      <alignment vertical="bottom"/>
    </xf>
    <xf borderId="0" fillId="0" fontId="9" numFmtId="167" xfId="0" applyFont="1" applyNumberFormat="1"/>
    <xf borderId="0" fillId="0" fontId="9" numFmtId="0" xfId="0" applyAlignment="1" applyFont="1">
      <alignment horizontal="left"/>
    </xf>
    <xf borderId="3" fillId="0" fontId="9" numFmtId="0" xfId="0" applyAlignment="1" applyBorder="1" applyFont="1">
      <alignment readingOrder="0"/>
    </xf>
    <xf borderId="5" fillId="0" fontId="35" numFmtId="0" xfId="0" applyAlignment="1" applyBorder="1" applyFont="1">
      <alignment vertical="bottom"/>
    </xf>
    <xf borderId="0" fillId="0" fontId="9" numFmtId="168" xfId="0" applyFont="1" applyNumberFormat="1"/>
    <xf borderId="0" fillId="0" fontId="9" numFmtId="168" xfId="0" applyAlignment="1" applyFont="1" applyNumberFormat="1">
      <alignment readingOrder="0"/>
    </xf>
    <xf borderId="0" fillId="0" fontId="16" numFmtId="167" xfId="0" applyFont="1" applyNumberFormat="1"/>
    <xf borderId="3" fillId="0" fontId="16" numFmtId="0" xfId="0" applyBorder="1" applyFont="1"/>
    <xf borderId="5" fillId="0" fontId="16" numFmtId="0" xfId="0" applyBorder="1" applyFont="1"/>
    <xf borderId="1" fillId="13" fontId="9" numFmtId="0" xfId="0" applyAlignment="1" applyBorder="1" applyFont="1">
      <alignment horizontal="right" vertical="bottom"/>
    </xf>
    <xf borderId="5" fillId="13" fontId="9" numFmtId="3" xfId="0" applyAlignment="1" applyBorder="1" applyFont="1" applyNumberFormat="1">
      <alignment horizontal="right" vertical="bottom"/>
    </xf>
    <xf borderId="3" fillId="13" fontId="9" numFmtId="0" xfId="0" applyAlignment="1" applyBorder="1" applyFont="1">
      <alignment vertical="bottom"/>
    </xf>
    <xf borderId="5" fillId="13" fontId="9" numFmtId="0" xfId="0" applyAlignment="1" applyBorder="1" applyFont="1">
      <alignment vertical="bottom"/>
    </xf>
    <xf borderId="0" fillId="13" fontId="9" numFmtId="0" xfId="0" applyAlignment="1" applyFont="1">
      <alignment vertical="bottom"/>
    </xf>
    <xf borderId="0" fillId="0" fontId="9" numFmtId="167" xfId="0" applyAlignment="1" applyFont="1" applyNumberFormat="1">
      <alignment readingOrder="0"/>
    </xf>
    <xf borderId="5" fillId="0" fontId="9" numFmtId="0" xfId="0" applyAlignment="1" applyBorder="1" applyFont="1">
      <alignment readingOrder="0"/>
    </xf>
    <xf borderId="0" fillId="13" fontId="16" numFmtId="167" xfId="0" applyAlignment="1" applyFont="1" applyNumberFormat="1">
      <alignment readingOrder="0"/>
    </xf>
    <xf borderId="0" fillId="13" fontId="16" numFmtId="165" xfId="0" applyAlignment="1" applyFont="1" applyNumberFormat="1">
      <alignment readingOrder="0"/>
    </xf>
    <xf borderId="3" fillId="0" fontId="9" numFmtId="0" xfId="0" applyBorder="1" applyFont="1"/>
    <xf borderId="5" fillId="3" fontId="9" numFmtId="0" xfId="0" applyBorder="1" applyFont="1"/>
    <xf borderId="0" fillId="3" fontId="9" numFmtId="0" xfId="0" applyFont="1"/>
    <xf borderId="3" fillId="3" fontId="9" numFmtId="0" xfId="0" applyAlignment="1" applyBorder="1" applyFont="1">
      <alignment readingOrder="0"/>
    </xf>
    <xf borderId="5" fillId="0" fontId="16" numFmtId="0" xfId="0" applyAlignment="1" applyBorder="1" applyFont="1">
      <alignment readingOrder="0"/>
    </xf>
    <xf borderId="0" fillId="13" fontId="9" numFmtId="0" xfId="0" applyAlignment="1" applyFont="1">
      <alignment vertical="bottom"/>
    </xf>
    <xf borderId="1" fillId="13" fontId="3" numFmtId="0" xfId="0" applyAlignment="1" applyBorder="1" applyFont="1">
      <alignment horizontal="left" shrinkToFit="0" wrapText="1"/>
    </xf>
    <xf borderId="5" fillId="13" fontId="9" numFmtId="0" xfId="0" applyAlignment="1" applyBorder="1" applyFont="1">
      <alignment vertical="bottom"/>
    </xf>
    <xf borderId="0" fillId="13" fontId="9" numFmtId="170" xfId="0" applyAlignment="1" applyFont="1" applyNumberFormat="1">
      <alignment horizontal="right" vertical="bottom"/>
    </xf>
    <xf borderId="0" fillId="13" fontId="9" numFmtId="170" xfId="0" applyAlignment="1" applyFont="1" applyNumberFormat="1">
      <alignment horizontal="right" readingOrder="0" vertical="bottom"/>
    </xf>
    <xf borderId="3" fillId="13" fontId="16" numFmtId="0" xfId="0" applyAlignment="1" applyBorder="1" applyFont="1">
      <alignment readingOrder="0"/>
    </xf>
    <xf borderId="0" fillId="13" fontId="9" numFmtId="165" xfId="0" applyAlignment="1" applyFont="1" applyNumberFormat="1">
      <alignment horizontal="right" vertical="bottom"/>
    </xf>
    <xf borderId="3" fillId="0" fontId="16" numFmtId="0" xfId="0" applyAlignment="1" applyBorder="1" applyFont="1">
      <alignment readingOrder="0"/>
    </xf>
    <xf borderId="0" fillId="13" fontId="9" numFmtId="0" xfId="0" applyAlignment="1" applyFont="1">
      <alignment readingOrder="0"/>
    </xf>
    <xf borderId="1" fillId="13" fontId="9" numFmtId="167" xfId="0" applyAlignment="1" applyBorder="1" applyFont="1" applyNumberFormat="1">
      <alignment horizontal="right" readingOrder="0" vertical="bottom"/>
    </xf>
    <xf borderId="0" fillId="13" fontId="9" numFmtId="0" xfId="0" applyAlignment="1" applyFont="1">
      <alignment readingOrder="0" vertical="bottom"/>
    </xf>
    <xf borderId="0" fillId="13" fontId="16" numFmtId="166" xfId="0" applyAlignment="1" applyFont="1" applyNumberFormat="1">
      <alignment readingOrder="0"/>
    </xf>
    <xf borderId="0" fillId="13" fontId="9" numFmtId="166" xfId="0" applyAlignment="1" applyFont="1" applyNumberFormat="1">
      <alignment horizontal="right" vertical="bottom"/>
    </xf>
    <xf quotePrefix="1" borderId="0" fillId="13" fontId="9" numFmtId="0" xfId="0" applyAlignment="1" applyFont="1">
      <alignment horizontal="left" readingOrder="0"/>
    </xf>
    <xf borderId="0" fillId="13" fontId="9" numFmtId="167" xfId="0" applyAlignment="1" applyFont="1" applyNumberFormat="1">
      <alignment horizontal="right" vertical="bottom"/>
    </xf>
    <xf borderId="3" fillId="13" fontId="9" numFmtId="0" xfId="0" applyAlignment="1" applyBorder="1" applyFont="1">
      <alignment vertical="bottom"/>
    </xf>
    <xf borderId="0" fillId="13" fontId="16" numFmtId="174" xfId="0" applyAlignment="1" applyFont="1" applyNumberFormat="1">
      <alignment readingOrder="0"/>
    </xf>
    <xf borderId="0" fillId="13" fontId="16" numFmtId="3" xfId="0" applyAlignment="1" applyFont="1" applyNumberFormat="1">
      <alignment readingOrder="0"/>
    </xf>
    <xf borderId="1" fillId="13" fontId="9" numFmtId="0" xfId="0" applyAlignment="1" applyBorder="1" applyFont="1">
      <alignment horizontal="right" vertical="bottom"/>
    </xf>
    <xf borderId="0" fillId="13" fontId="9" numFmtId="166" xfId="0" applyAlignment="1" applyFont="1" applyNumberFormat="1">
      <alignment readingOrder="0"/>
    </xf>
    <xf borderId="0" fillId="13" fontId="9" numFmtId="49" xfId="0" applyAlignment="1" applyFont="1" applyNumberFormat="1">
      <alignment horizontal="left" readingOrder="0"/>
    </xf>
    <xf borderId="0" fillId="8" fontId="9" numFmtId="167" xfId="0" applyAlignment="1" applyFont="1" applyNumberFormat="1">
      <alignment readingOrder="0"/>
    </xf>
    <xf borderId="0" fillId="8" fontId="9" numFmtId="0" xfId="0" applyAlignment="1" applyFont="1">
      <alignment horizontal="left" readingOrder="0"/>
    </xf>
    <xf borderId="3" fillId="8" fontId="9" numFmtId="0" xfId="0" applyAlignment="1" applyBorder="1" applyFont="1">
      <alignment readingOrder="0"/>
    </xf>
    <xf borderId="0" fillId="8" fontId="9" numFmtId="0" xfId="0" applyFont="1"/>
    <xf borderId="0" fillId="8" fontId="16" numFmtId="3" xfId="0" applyAlignment="1" applyFont="1" applyNumberFormat="1">
      <alignment readingOrder="0"/>
    </xf>
    <xf borderId="0" fillId="8" fontId="9" numFmtId="168" xfId="0" applyFont="1" applyNumberFormat="1"/>
    <xf borderId="0" fillId="8" fontId="9" numFmtId="168" xfId="0" applyAlignment="1" applyFont="1" applyNumberFormat="1">
      <alignment readingOrder="0"/>
    </xf>
    <xf borderId="0" fillId="8" fontId="16" numFmtId="167" xfId="0" applyFont="1" applyNumberFormat="1"/>
    <xf borderId="3" fillId="8" fontId="16" numFmtId="0" xfId="0" applyAlignment="1" applyBorder="1" applyFont="1">
      <alignment readingOrder="0"/>
    </xf>
    <xf borderId="0" fillId="8" fontId="16" numFmtId="0" xfId="0" applyFont="1"/>
    <xf borderId="0" fillId="44" fontId="9" numFmtId="167" xfId="0" applyAlignment="1" applyFill="1" applyFont="1" applyNumberFormat="1">
      <alignment readingOrder="0"/>
    </xf>
    <xf borderId="0" fillId="44" fontId="9" numFmtId="0" xfId="0" applyAlignment="1" applyFont="1">
      <alignment horizontal="left" readingOrder="0"/>
    </xf>
    <xf borderId="3" fillId="44" fontId="9" numFmtId="0" xfId="0" applyAlignment="1" applyBorder="1" applyFont="1">
      <alignment readingOrder="0"/>
    </xf>
    <xf borderId="0" fillId="44" fontId="9" numFmtId="0" xfId="0" applyAlignment="1" applyFont="1">
      <alignment readingOrder="0"/>
    </xf>
    <xf borderId="0" fillId="44" fontId="9" numFmtId="0" xfId="0" applyFont="1"/>
    <xf borderId="0" fillId="44" fontId="16" numFmtId="3" xfId="0" applyAlignment="1" applyFont="1" applyNumberFormat="1">
      <alignment readingOrder="0"/>
    </xf>
    <xf borderId="0" fillId="44" fontId="9" numFmtId="168" xfId="0" applyFont="1" applyNumberFormat="1"/>
    <xf borderId="0" fillId="44" fontId="9" numFmtId="168" xfId="0" applyAlignment="1" applyFont="1" applyNumberFormat="1">
      <alignment readingOrder="0"/>
    </xf>
    <xf borderId="0" fillId="44" fontId="16" numFmtId="0" xfId="0" applyAlignment="1" applyFont="1">
      <alignment readingOrder="0"/>
    </xf>
    <xf borderId="3" fillId="44" fontId="16" numFmtId="0" xfId="0" applyAlignment="1" applyBorder="1" applyFont="1">
      <alignment readingOrder="0"/>
    </xf>
    <xf borderId="0" fillId="13" fontId="9" numFmtId="164" xfId="0" applyAlignment="1" applyFont="1" applyNumberFormat="1">
      <alignment readingOrder="0"/>
    </xf>
    <xf borderId="0" fillId="13" fontId="0" numFmtId="0" xfId="0" applyAlignment="1" applyFont="1">
      <alignment readingOrder="0"/>
    </xf>
    <xf borderId="0" fillId="3" fontId="9" numFmtId="167" xfId="0" applyFont="1" applyNumberFormat="1"/>
    <xf borderId="0" fillId="3" fontId="9" numFmtId="0" xfId="0" applyAlignment="1" applyFont="1">
      <alignment horizontal="left" readingOrder="0"/>
    </xf>
    <xf borderId="0" fillId="3" fontId="9" numFmtId="0" xfId="0" applyAlignment="1" applyFont="1">
      <alignment readingOrder="0"/>
    </xf>
    <xf borderId="0" fillId="3" fontId="16" numFmtId="3" xfId="0" applyAlignment="1" applyFont="1" applyNumberFormat="1">
      <alignment readingOrder="0"/>
    </xf>
    <xf borderId="0" fillId="3" fontId="9" numFmtId="168" xfId="0" applyFont="1" applyNumberFormat="1"/>
    <xf borderId="0" fillId="3" fontId="9" numFmtId="168" xfId="0" applyAlignment="1" applyFont="1" applyNumberFormat="1">
      <alignment readingOrder="0"/>
    </xf>
    <xf borderId="0" fillId="3" fontId="16" numFmtId="167" xfId="0" applyFont="1" applyNumberFormat="1"/>
    <xf borderId="3" fillId="3" fontId="16" numFmtId="0" xfId="0" applyBorder="1" applyFont="1"/>
    <xf borderId="0" fillId="3" fontId="16" numFmtId="0" xfId="0" applyFont="1"/>
    <xf borderId="0" fillId="13" fontId="9" numFmtId="167" xfId="0" applyFont="1" applyNumberFormat="1"/>
    <xf borderId="1" fillId="13" fontId="9" numFmtId="3" xfId="0" applyAlignment="1" applyBorder="1" applyFont="1" applyNumberFormat="1">
      <alignment readingOrder="0" vertical="bottom"/>
    </xf>
    <xf borderId="0" fillId="13" fontId="9" numFmtId="0" xfId="0" applyAlignment="1" applyFont="1">
      <alignment vertical="bottom"/>
    </xf>
    <xf borderId="0" fillId="0" fontId="21" numFmtId="0" xfId="0" applyAlignment="1" applyFont="1">
      <alignment readingOrder="0"/>
    </xf>
    <xf borderId="0" fillId="0" fontId="39" numFmtId="0" xfId="0" applyAlignment="1" applyFont="1">
      <alignment readingOrder="0"/>
    </xf>
    <xf borderId="0" fillId="0" fontId="40" numFmtId="0" xfId="0" applyAlignment="1" applyFont="1">
      <alignment readingOrder="0"/>
    </xf>
    <xf borderId="0" fillId="18" fontId="9" numFmtId="167" xfId="0" applyAlignment="1" applyFont="1" applyNumberFormat="1">
      <alignment readingOrder="0"/>
    </xf>
    <xf borderId="0" fillId="18" fontId="41" numFmtId="0" xfId="0" applyAlignment="1" applyFont="1">
      <alignment readingOrder="0"/>
    </xf>
    <xf borderId="3" fillId="18" fontId="9" numFmtId="0" xfId="0" applyAlignment="1" applyBorder="1" applyFont="1">
      <alignment readingOrder="0"/>
    </xf>
    <xf borderId="0" fillId="18" fontId="3" numFmtId="0" xfId="0" applyAlignment="1" applyFont="1">
      <alignment readingOrder="0"/>
    </xf>
    <xf borderId="0" fillId="18" fontId="9" numFmtId="0" xfId="0" applyFont="1"/>
    <xf borderId="0" fillId="23" fontId="9" numFmtId="167" xfId="0" applyAlignment="1" applyFont="1" applyNumberFormat="1">
      <alignment readingOrder="0"/>
    </xf>
    <xf borderId="0" fillId="23" fontId="9" numFmtId="0" xfId="0" applyAlignment="1" applyFont="1">
      <alignment horizontal="left" readingOrder="0"/>
    </xf>
    <xf borderId="3" fillId="23" fontId="9" numFmtId="0" xfId="0" applyAlignment="1" applyBorder="1" applyFont="1">
      <alignment readingOrder="0"/>
    </xf>
    <xf borderId="0" fillId="23" fontId="9" numFmtId="0" xfId="0" applyAlignment="1" applyFont="1">
      <alignment readingOrder="0"/>
    </xf>
    <xf borderId="0" fillId="23" fontId="9" numFmtId="0" xfId="0" applyFont="1"/>
    <xf borderId="0" fillId="23" fontId="16" numFmtId="3" xfId="0" applyAlignment="1" applyFont="1" applyNumberFormat="1">
      <alignment readingOrder="0"/>
    </xf>
    <xf borderId="0" fillId="23" fontId="9" numFmtId="168" xfId="0" applyFont="1" applyNumberFormat="1"/>
    <xf borderId="0" fillId="23" fontId="9" numFmtId="168" xfId="0" applyAlignment="1" applyFont="1" applyNumberFormat="1">
      <alignment readingOrder="0"/>
    </xf>
    <xf borderId="0" fillId="23" fontId="16" numFmtId="167" xfId="0" applyFont="1" applyNumberFormat="1"/>
    <xf borderId="3" fillId="23" fontId="16" numFmtId="0" xfId="0" applyAlignment="1" applyBorder="1" applyFont="1">
      <alignment readingOrder="0"/>
    </xf>
    <xf borderId="0" fillId="23" fontId="16" numFmtId="0" xfId="0" applyAlignment="1" applyFont="1">
      <alignment readingOrder="0"/>
    </xf>
    <xf borderId="0" fillId="23" fontId="16" numFmtId="0" xfId="0" applyFont="1"/>
    <xf borderId="0" fillId="0" fontId="9" numFmtId="170" xfId="0" applyAlignment="1" applyFont="1" applyNumberFormat="1">
      <alignment readingOrder="0"/>
    </xf>
    <xf borderId="5" fillId="0" fontId="3" numFmtId="0" xfId="0" applyAlignment="1" applyBorder="1" applyFont="1">
      <alignment horizontal="left" readingOrder="0" shrinkToFit="0" wrapText="1"/>
    </xf>
    <xf borderId="5" fillId="0" fontId="9" numFmtId="0" xfId="0" applyAlignment="1" applyBorder="1" applyFont="1">
      <alignment horizontal="left" readingOrder="0" shrinkToFit="0" wrapText="1"/>
    </xf>
    <xf borderId="5" fillId="11" fontId="3" numFmtId="0" xfId="0" applyAlignment="1" applyBorder="1" applyFont="1">
      <alignment horizontal="left" readingOrder="0" shrinkToFit="0" wrapText="1"/>
    </xf>
    <xf borderId="0" fillId="0" fontId="42" numFmtId="0" xfId="0" applyAlignment="1" applyFont="1">
      <alignment readingOrder="0"/>
    </xf>
    <xf borderId="0" fillId="11" fontId="9" numFmtId="0" xfId="0" applyAlignment="1" applyFont="1">
      <alignment readingOrder="0"/>
    </xf>
    <xf borderId="0" fillId="22" fontId="9" numFmtId="167" xfId="0" applyAlignment="1" applyFont="1" applyNumberFormat="1">
      <alignment readingOrder="0"/>
    </xf>
    <xf borderId="0" fillId="22" fontId="9" numFmtId="0" xfId="0" applyAlignment="1" applyFont="1">
      <alignment horizontal="left" readingOrder="0"/>
    </xf>
    <xf borderId="3" fillId="22" fontId="9" numFmtId="0" xfId="0" applyAlignment="1" applyBorder="1" applyFont="1">
      <alignment readingOrder="0"/>
    </xf>
    <xf borderId="0" fillId="22" fontId="9" numFmtId="0" xfId="0" applyAlignment="1" applyFont="1">
      <alignment readingOrder="0"/>
    </xf>
    <xf borderId="0" fillId="22" fontId="9" numFmtId="0" xfId="0" applyFont="1"/>
    <xf borderId="0" fillId="13" fontId="7" numFmtId="0" xfId="0" applyAlignment="1" applyFont="1">
      <alignment readingOrder="0"/>
    </xf>
    <xf borderId="0" fillId="13" fontId="3" numFmtId="0" xfId="0" applyAlignment="1" applyFont="1">
      <alignment readingOrder="0" vertical="bottom"/>
    </xf>
    <xf borderId="0" fillId="43" fontId="9" numFmtId="0" xfId="0" applyAlignment="1" applyFont="1">
      <alignment readingOrder="0"/>
    </xf>
    <xf borderId="0" fillId="0" fontId="43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1"/>
    </xf>
    <xf borderId="13" fillId="0" fontId="6" numFmtId="0" xfId="0" applyAlignment="1" applyBorder="1" applyFont="1">
      <alignment shrinkToFit="0" wrapText="1"/>
    </xf>
    <xf borderId="13" fillId="0" fontId="6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horizontal="center"/>
    </xf>
    <xf borderId="10" fillId="0" fontId="3" numFmtId="1" xfId="0" applyAlignment="1" applyBorder="1" applyFont="1" applyNumberFormat="1">
      <alignment horizontal="center"/>
    </xf>
    <xf borderId="10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16" fillId="0" fontId="3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16" fillId="0" fontId="3" numFmtId="0" xfId="0" applyAlignment="1" applyBorder="1" applyFont="1">
      <alignment readingOrder="0"/>
    </xf>
    <xf borderId="17" fillId="0" fontId="3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horizontal="left" shrinkToFit="0" vertical="top" wrapText="1"/>
    </xf>
    <xf borderId="13" fillId="0" fontId="3" numFmtId="0" xfId="0" applyAlignment="1" applyBorder="1" applyFont="1">
      <alignment horizontal="left" readingOrder="0" shrinkToFit="0" vertical="top" wrapText="1"/>
    </xf>
    <xf borderId="12" fillId="0" fontId="3" numFmtId="0" xfId="0" applyAlignment="1" applyBorder="1" applyFont="1">
      <alignment readingOrder="0"/>
    </xf>
    <xf borderId="0" fillId="0" fontId="24" numFmtId="0" xfId="0" applyAlignment="1" applyFont="1">
      <alignment vertical="center"/>
    </xf>
    <xf borderId="0" fillId="0" fontId="25" numFmtId="0" xfId="0" applyAlignment="1" applyFont="1">
      <alignment horizontal="center"/>
    </xf>
    <xf borderId="0" fillId="0" fontId="26" numFmtId="0" xfId="0" applyAlignment="1" applyFont="1">
      <alignment shrinkToFit="0" vertical="center" wrapText="1"/>
    </xf>
    <xf borderId="0" fillId="0" fontId="24" numFmtId="168" xfId="0" applyAlignment="1" applyFont="1" applyNumberFormat="1">
      <alignment horizontal="center" readingOrder="0" shrinkToFit="0" vertical="center" wrapText="1"/>
    </xf>
    <xf borderId="0" fillId="0" fontId="19" numFmtId="1" xfId="0" applyAlignment="1" applyFont="1" applyNumberFormat="1">
      <alignment horizontal="center" readingOrder="0"/>
    </xf>
    <xf borderId="0" fillId="0" fontId="6" numFmtId="171" xfId="0" applyAlignment="1" applyFont="1" applyNumberFormat="1">
      <alignment horizontal="left" vertical="center"/>
    </xf>
    <xf quotePrefix="1" borderId="0" fillId="0" fontId="19" numFmtId="1" xfId="0" applyAlignment="1" applyFont="1" applyNumberFormat="1">
      <alignment horizontal="left"/>
    </xf>
    <xf borderId="0" fillId="0" fontId="23" numFmtId="171" xfId="0" applyAlignment="1" applyFont="1" applyNumberFormat="1">
      <alignment horizontal="left" vertical="center"/>
    </xf>
    <xf borderId="16" fillId="0" fontId="35" numFmtId="0" xfId="0" applyAlignment="1" applyBorder="1" applyFont="1">
      <alignment horizontal="right" vertical="bottom"/>
    </xf>
    <xf borderId="0" fillId="0" fontId="9" numFmtId="0" xfId="0" applyAlignment="1" applyFont="1">
      <alignment horizontal="left" shrinkToFit="0" vertical="center" wrapText="1"/>
    </xf>
    <xf borderId="13" fillId="0" fontId="6" numFmtId="0" xfId="0" applyAlignment="1" applyBorder="1" applyFont="1">
      <alignment horizontal="left" shrinkToFit="0" vertical="center" wrapText="1"/>
    </xf>
    <xf borderId="13" fillId="0" fontId="4" numFmtId="0" xfId="0" applyAlignment="1" applyBorder="1" applyFont="1">
      <alignment readingOrder="0"/>
    </xf>
    <xf borderId="14" fillId="0" fontId="3" numFmtId="0" xfId="0" applyAlignment="1" applyBorder="1" applyFont="1">
      <alignment horizontal="center"/>
    </xf>
    <xf borderId="14" fillId="0" fontId="4" numFmtId="0" xfId="0" applyAlignment="1" applyBorder="1" applyFont="1">
      <alignment readingOrder="0" shrinkToFit="0" wrapText="1"/>
    </xf>
    <xf borderId="0" fillId="0" fontId="3" numFmtId="168" xfId="0" applyAlignment="1" applyFont="1" applyNumberFormat="1">
      <alignment horizontal="center" readingOrder="0"/>
    </xf>
    <xf borderId="0" fillId="0" fontId="3" numFmtId="0" xfId="0" applyAlignment="1" applyFont="1">
      <alignment horizontal="left" readingOrder="0" shrinkToFit="0" wrapText="0"/>
    </xf>
    <xf borderId="0" fillId="0" fontId="3" numFmtId="168" xfId="0" applyAlignment="1" applyFont="1" applyNumberFormat="1">
      <alignment horizontal="center"/>
    </xf>
    <xf borderId="13" fillId="0" fontId="3" numFmtId="168" xfId="0" applyAlignment="1" applyBorder="1" applyFont="1" applyNumberFormat="1">
      <alignment horizontal="left" readingOrder="0"/>
    </xf>
    <xf borderId="14" fillId="0" fontId="25" numFmtId="0" xfId="0" applyAlignment="1" applyBorder="1" applyFont="1">
      <alignment horizontal="center"/>
    </xf>
    <xf borderId="0" fillId="0" fontId="25" numFmtId="0" xfId="0" applyAlignment="1" applyFont="1">
      <alignment readingOrder="0"/>
    </xf>
    <xf borderId="0" fillId="0" fontId="9" numFmtId="171" xfId="0" applyFont="1" applyNumberFormat="1"/>
    <xf borderId="0" fillId="0" fontId="9" numFmtId="175" xfId="0" applyFont="1" applyNumberFormat="1"/>
    <xf borderId="0" fillId="0" fontId="20" numFmtId="176" xfId="0" applyAlignment="1" applyFont="1" applyNumberFormat="1">
      <alignment horizontal="left" shrinkToFit="0" vertical="center" wrapText="1"/>
    </xf>
    <xf borderId="0" fillId="23" fontId="44" numFmtId="3" xfId="0" applyAlignment="1" applyFont="1" applyNumberFormat="1">
      <alignment horizontal="left" readingOrder="0" shrinkToFit="0" vertical="center" wrapText="1"/>
    </xf>
    <xf borderId="0" fillId="0" fontId="45" numFmtId="3" xfId="0" applyAlignment="1" applyFont="1" applyNumberFormat="1">
      <alignment horizontal="left" readingOrder="0" shrinkToFit="0" vertical="center" wrapText="1"/>
    </xf>
    <xf borderId="0" fillId="0" fontId="46" numFmtId="3" xfId="0" applyAlignment="1" applyFont="1" applyNumberFormat="1">
      <alignment horizontal="left" readingOrder="0" shrinkToFit="0" vertical="center" wrapText="1"/>
    </xf>
    <xf borderId="0" fillId="0" fontId="20" numFmtId="3" xfId="0" applyAlignment="1" applyFont="1" applyNumberFormat="1">
      <alignment horizontal="left" shrinkToFit="0" vertical="center" wrapText="1"/>
    </xf>
    <xf borderId="0" fillId="0" fontId="20" numFmtId="3" xfId="0" applyAlignment="1" applyFont="1" applyNumberFormat="1">
      <alignment horizontal="left" shrinkToFit="0" vertical="center" wrapText="1"/>
    </xf>
    <xf borderId="0" fillId="8" fontId="20" numFmtId="3" xfId="0" applyAlignment="1" applyFont="1" applyNumberFormat="1">
      <alignment horizontal="left" readingOrder="0" shrinkToFit="0" vertical="center" wrapText="1"/>
    </xf>
    <xf borderId="0" fillId="21" fontId="20" numFmtId="3" xfId="0" applyAlignment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9" numFmtId="167" xfId="0" applyAlignment="1" applyFont="1" applyNumberFormat="1">
      <alignment horizontal="left" readingOrder="0" shrinkToFit="0" vertical="center" wrapText="1"/>
    </xf>
    <xf borderId="0" fillId="23" fontId="0" numFmtId="0" xfId="0" applyAlignment="1" applyFont="1">
      <alignment horizontal="left" readingOrder="0" shrinkToFit="0" vertical="center" wrapText="1"/>
    </xf>
    <xf borderId="0" fillId="0" fontId="0" numFmtId="172" xfId="0" applyAlignment="1" applyFont="1" applyNumberFormat="1">
      <alignment horizontal="left" readingOrder="0" shrinkToFit="0" vertical="center" wrapText="1"/>
    </xf>
    <xf borderId="0" fillId="0" fontId="0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0" fillId="23" fontId="16" numFmtId="0" xfId="0" applyAlignment="1" applyFont="1">
      <alignment horizontal="left" readingOrder="0" shrinkToFit="0" vertical="center" wrapText="1"/>
    </xf>
    <xf borderId="0" fillId="0" fontId="16" numFmtId="172" xfId="0" applyAlignment="1" applyFont="1" applyNumberFormat="1">
      <alignment horizontal="left" readingOrder="0" shrinkToFit="0" vertical="center" wrapText="1"/>
    </xf>
    <xf borderId="0" fillId="0" fontId="16" numFmtId="0" xfId="0" applyAlignment="1" applyFont="1">
      <alignment readingOrder="0" vertical="center"/>
    </xf>
    <xf borderId="0" fillId="0" fontId="16" numFmtId="164" xfId="0" applyAlignment="1" applyFont="1" applyNumberFormat="1">
      <alignment horizontal="left" readingOrder="0" shrinkToFit="0" vertical="center" wrapText="1"/>
    </xf>
    <xf borderId="0" fillId="23" fontId="16" numFmtId="0" xfId="0" applyAlignment="1" applyFont="1">
      <alignment horizontal="left" shrinkToFit="0" vertical="center" wrapText="1"/>
    </xf>
    <xf borderId="0" fillId="0" fontId="9" numFmtId="177" xfId="0" applyFont="1" applyNumberFormat="1"/>
    <xf borderId="0" fillId="11" fontId="22" numFmtId="177" xfId="0" applyAlignment="1" applyFont="1" applyNumberFormat="1">
      <alignment horizontal="left" readingOrder="0"/>
    </xf>
    <xf borderId="0" fillId="0" fontId="9" numFmtId="177" xfId="0" applyAlignment="1" applyFont="1" applyNumberFormat="1">
      <alignment shrinkToFit="0" vertical="top" wrapText="1"/>
    </xf>
    <xf borderId="0" fillId="0" fontId="6" numFmtId="177" xfId="0" applyAlignment="1" applyFont="1" applyNumberFormat="1">
      <alignment shrinkToFit="0" vertical="center" wrapText="1"/>
    </xf>
    <xf borderId="0" fillId="0" fontId="20" numFmtId="0" xfId="0" applyAlignment="1" applyFont="1">
      <alignment horizontal="left" readingOrder="0" vertical="center"/>
    </xf>
    <xf borderId="0" fillId="0" fontId="3" numFmtId="177" xfId="0" applyAlignment="1" applyFont="1" applyNumberFormat="1">
      <alignment horizontal="center"/>
    </xf>
    <xf borderId="10" fillId="0" fontId="3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center" vertical="bottom"/>
    </xf>
    <xf borderId="0" fillId="0" fontId="9" numFmtId="3" xfId="0" applyAlignment="1" applyFont="1" applyNumberFormat="1">
      <alignment horizontal="center" readingOrder="0"/>
    </xf>
    <xf borderId="0" fillId="0" fontId="9" numFmtId="0" xfId="0" applyAlignment="1" applyFont="1">
      <alignment horizontal="right" readingOrder="0" vertical="bottom"/>
    </xf>
    <xf borderId="0" fillId="0" fontId="9" numFmtId="168" xfId="0" applyAlignment="1" applyFont="1" applyNumberFormat="1">
      <alignment horizontal="right"/>
    </xf>
    <xf borderId="0" fillId="0" fontId="9" numFmtId="0" xfId="0" applyAlignment="1" applyFont="1">
      <alignment horizontal="left" readingOrder="0" shrinkToFit="0" wrapText="1"/>
    </xf>
    <xf borderId="0" fillId="0" fontId="9" numFmtId="168" xfId="0" applyAlignment="1" applyFont="1" applyNumberFormat="1">
      <alignment horizontal="right" readingOrder="0" vertical="center"/>
    </xf>
    <xf borderId="13" fillId="0" fontId="9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left" readingOrder="0" shrinkToFit="0" wrapText="1"/>
    </xf>
    <xf borderId="13" fillId="0" fontId="9" numFmtId="0" xfId="0" applyAlignment="1" applyBorder="1" applyFont="1">
      <alignment readingOrder="0"/>
    </xf>
    <xf borderId="13" fillId="0" fontId="9" numFmtId="0" xfId="0" applyAlignment="1" applyBorder="1" applyFont="1">
      <alignment horizontal="center" readingOrder="0"/>
    </xf>
    <xf borderId="13" fillId="0" fontId="9" numFmtId="0" xfId="0" applyAlignment="1" applyBorder="1" applyFont="1">
      <alignment horizontal="center" vertical="bottom"/>
    </xf>
    <xf borderId="13" fillId="0" fontId="9" numFmtId="3" xfId="0" applyAlignment="1" applyBorder="1" applyFont="1" applyNumberFormat="1">
      <alignment horizontal="center" readingOrder="0"/>
    </xf>
    <xf borderId="13" fillId="0" fontId="9" numFmtId="0" xfId="0" applyAlignment="1" applyBorder="1" applyFont="1">
      <alignment horizontal="right" readingOrder="0" vertical="bottom"/>
    </xf>
    <xf borderId="13" fillId="0" fontId="9" numFmtId="168" xfId="0" applyAlignment="1" applyBorder="1" applyFont="1" applyNumberFormat="1">
      <alignment horizontal="right" readingOrder="0" vertical="center"/>
    </xf>
    <xf borderId="0" fillId="33" fontId="47" numFmtId="0" xfId="0" applyAlignment="1" applyFont="1">
      <alignment horizontal="left" readingOrder="0" shrinkToFit="0" vertical="center" wrapText="1"/>
    </xf>
    <xf borderId="0" fillId="0" fontId="25" numFmtId="0" xfId="0" applyAlignment="1" applyFont="1">
      <alignment horizontal="center" vertical="center"/>
    </xf>
    <xf borderId="0" fillId="0" fontId="3" numFmtId="177" xfId="0" applyAlignment="1" applyFont="1" applyNumberFormat="1">
      <alignment horizontal="left"/>
    </xf>
    <xf borderId="0" fillId="0" fontId="3" numFmtId="177" xfId="0" applyAlignment="1" applyFont="1" applyNumberFormat="1">
      <alignment readingOrder="0"/>
    </xf>
    <xf borderId="17" fillId="0" fontId="3" numFmtId="171" xfId="0" applyAlignment="1" applyBorder="1" applyFont="1" applyNumberFormat="1">
      <alignment readingOrder="0" vertical="center"/>
    </xf>
    <xf borderId="0" fillId="0" fontId="6" numFmtId="177" xfId="0" applyAlignment="1" applyFont="1" applyNumberFormat="1">
      <alignment horizontal="left" readingOrder="0"/>
    </xf>
    <xf borderId="17" fillId="0" fontId="6" numFmtId="171" xfId="0" applyAlignment="1" applyBorder="1" applyFont="1" applyNumberFormat="1">
      <alignment horizontal="left" vertical="center"/>
    </xf>
    <xf borderId="0" fillId="0" fontId="16" numFmtId="177" xfId="0" applyFont="1" applyNumberFormat="1"/>
    <xf borderId="0" fillId="0" fontId="23" numFmtId="177" xfId="0" applyAlignment="1" applyFont="1" applyNumberFormat="1">
      <alignment horizontal="left"/>
    </xf>
    <xf borderId="0" fillId="0" fontId="23" numFmtId="0" xfId="0" applyAlignment="1" applyFont="1">
      <alignment horizontal="left"/>
    </xf>
    <xf borderId="0" fillId="0" fontId="27" numFmtId="177" xfId="0" applyAlignment="1" applyFont="1" applyNumberFormat="1">
      <alignment horizontal="left" readingOrder="0" shrinkToFit="0" vertical="top" wrapText="1"/>
    </xf>
    <xf borderId="0" fillId="0" fontId="27" numFmtId="0" xfId="0" applyAlignment="1" applyFont="1">
      <alignment horizontal="left" readingOrder="0" shrinkToFit="0" vertical="top" wrapText="1"/>
    </xf>
    <xf borderId="0" fillId="0" fontId="0" numFmtId="177" xfId="0" applyAlignment="1" applyFont="1" applyNumberFormat="1">
      <alignment readingOrder="0"/>
    </xf>
    <xf quotePrefix="1" borderId="0" fillId="0" fontId="9" numFmtId="177" xfId="0" applyAlignment="1" applyFont="1" applyNumberFormat="1">
      <alignment readingOrder="0"/>
    </xf>
    <xf borderId="0" fillId="0" fontId="35" numFmtId="0" xfId="0" applyAlignment="1" applyFont="1">
      <alignment readingOrder="0" vertical="bottom"/>
    </xf>
    <xf borderId="0" fillId="0" fontId="35" numFmtId="0" xfId="0" applyAlignment="1" applyFont="1">
      <alignment horizontal="center" readingOrder="0" vertical="bottom"/>
    </xf>
    <xf borderId="0" fillId="0" fontId="35" numFmtId="0" xfId="0" applyAlignment="1" applyFont="1">
      <alignment horizontal="center" vertical="bottom"/>
    </xf>
    <xf borderId="0" fillId="0" fontId="35" numFmtId="168" xfId="0" applyAlignment="1" applyFont="1" applyNumberFormat="1">
      <alignment horizontal="center" readingOrder="0"/>
    </xf>
    <xf borderId="0" fillId="0" fontId="3" numFmtId="0" xfId="0" applyAlignment="1" applyFont="1">
      <alignment horizontal="right" readingOrder="0" vertical="bottom"/>
    </xf>
    <xf borderId="0" fillId="0" fontId="3" numFmtId="168" xfId="0" applyAlignment="1" applyFont="1" applyNumberFormat="1">
      <alignment horizontal="right"/>
    </xf>
    <xf borderId="13" fillId="0" fontId="3" numFmtId="168" xfId="0" applyAlignment="1" applyBorder="1" applyFont="1" applyNumberFormat="1">
      <alignment horizontal="center" readingOrder="0"/>
    </xf>
    <xf borderId="13" fillId="0" fontId="3" numFmtId="168" xfId="0" applyAlignment="1" applyBorder="1" applyFont="1" applyNumberFormat="1">
      <alignment horizontal="right" readingOrder="0" vertical="center"/>
    </xf>
    <xf borderId="0" fillId="0" fontId="4" numFmtId="177" xfId="0" applyAlignment="1" applyFont="1" applyNumberFormat="1">
      <alignment readingOrder="0"/>
    </xf>
    <xf borderId="0" fillId="0" fontId="3" numFmtId="0" xfId="0" applyAlignment="1" applyFont="1">
      <alignment horizontal="center" vertical="bottom"/>
    </xf>
    <xf borderId="0" fillId="0" fontId="3" numFmtId="168" xfId="0" applyAlignment="1" applyFont="1" applyNumberFormat="1">
      <alignment readingOrder="0" vertical="bottom"/>
    </xf>
    <xf borderId="13" fillId="0" fontId="3" numFmtId="0" xfId="0" applyAlignment="1" applyBorder="1" applyFont="1">
      <alignment horizontal="center" readingOrder="0" vertical="center"/>
    </xf>
    <xf borderId="0" fillId="0" fontId="9" numFmtId="177" xfId="0" applyAlignment="1" applyFont="1" applyNumberFormat="1">
      <alignment readingOrder="0"/>
    </xf>
    <xf borderId="13" fillId="0" fontId="3" numFmtId="0" xfId="0" applyAlignment="1" applyBorder="1" applyFont="1">
      <alignment horizontal="center" readingOrder="0" vertical="bottom"/>
    </xf>
    <xf borderId="0" fillId="0" fontId="48" numFmtId="178" xfId="0" applyAlignment="1" applyFont="1" applyNumberForma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1" fillId="0" fontId="6" numFmtId="1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horizontal="center" readingOrder="0" shrinkToFit="0" vertical="center" wrapText="1"/>
    </xf>
    <xf borderId="9" fillId="0" fontId="49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9" fillId="0" fontId="3" numFmtId="168" xfId="0" applyAlignment="1" applyBorder="1" applyFont="1" applyNumberFormat="1">
      <alignment readingOrder="0"/>
    </xf>
    <xf borderId="9" fillId="0" fontId="3" numFmtId="168" xfId="0" applyAlignment="1" applyBorder="1" applyFont="1" applyNumberFormat="1">
      <alignment horizontal="right" readingOrder="0" vertical="bottom"/>
    </xf>
    <xf borderId="9" fillId="0" fontId="3" numFmtId="168" xfId="0" applyAlignment="1" applyBorder="1" applyFont="1" applyNumberFormat="1">
      <alignment horizontal="center"/>
    </xf>
    <xf borderId="0" fillId="0" fontId="25" numFmtId="0" xfId="0" applyAlignment="1" applyFont="1">
      <alignment readingOrder="0" vertical="bottom"/>
    </xf>
    <xf borderId="13" fillId="0" fontId="3" numFmtId="0" xfId="0" applyAlignment="1" applyBorder="1" applyFont="1">
      <alignment horizontal="left" readingOrder="0"/>
    </xf>
    <xf borderId="13" fillId="0" fontId="3" numFmtId="168" xfId="0" applyAlignment="1" applyBorder="1" applyFont="1" applyNumberFormat="1">
      <alignment horizontal="center" readingOrder="0" vertical="center"/>
    </xf>
    <xf borderId="0" fillId="0" fontId="23" numFmtId="177" xfId="0" applyAlignment="1" applyFont="1" applyNumberFormat="1">
      <alignment horizontal="left" readingOrder="0" shrinkToFit="0" vertical="center" wrapText="1"/>
    </xf>
    <xf borderId="0" fillId="0" fontId="35" numFmtId="168" xfId="0" applyAlignment="1" applyFont="1" applyNumberFormat="1">
      <alignment horizontal="right"/>
    </xf>
    <xf borderId="13" fillId="0" fontId="35" numFmtId="0" xfId="0" applyAlignment="1" applyBorder="1" applyFont="1">
      <alignment horizontal="center" readingOrder="0" vertical="bottom"/>
    </xf>
    <xf borderId="13" fillId="0" fontId="35" numFmtId="168" xfId="0" applyAlignment="1" applyBorder="1" applyFont="1" applyNumberFormat="1">
      <alignment horizontal="right"/>
    </xf>
    <xf borderId="0" fillId="45" fontId="50" numFmtId="0" xfId="0" applyFill="1" applyFont="1"/>
    <xf borderId="0" fillId="45" fontId="50" numFmtId="0" xfId="0" applyAlignment="1" applyFont="1">
      <alignment readingOrder="0"/>
    </xf>
    <xf borderId="0" fillId="45" fontId="50" numFmtId="0" xfId="0" applyAlignment="1" applyFont="1">
      <alignment horizontal="center" readingOrder="0"/>
    </xf>
    <xf borderId="0" fillId="45" fontId="50" numFmtId="179" xfId="0" applyFont="1" applyNumberFormat="1"/>
    <xf borderId="0" fillId="45" fontId="50" numFmtId="0" xfId="0" applyFont="1"/>
    <xf borderId="0" fillId="0" fontId="16" numFmtId="0" xfId="0" applyFont="1"/>
    <xf borderId="0" fillId="0" fontId="16" numFmtId="0" xfId="0" applyAlignment="1" applyFont="1">
      <alignment horizontal="center"/>
    </xf>
    <xf borderId="0" fillId="0" fontId="16" numFmtId="179" xfId="0" applyFont="1" applyNumberFormat="1"/>
    <xf borderId="0" fillId="5" fontId="16" numFmtId="0" xfId="0" applyFont="1"/>
    <xf borderId="0" fillId="0" fontId="16" numFmtId="0" xfId="0" applyAlignment="1" applyFont="1">
      <alignment horizontal="center"/>
    </xf>
    <xf borderId="1" fillId="0" fontId="51" numFmtId="0" xfId="0" applyAlignment="1" applyBorder="1" applyFont="1">
      <alignment horizontal="center"/>
    </xf>
    <xf borderId="0" fillId="11" fontId="22" numFmtId="0" xfId="0" applyAlignment="1" applyFont="1">
      <alignment readingOrder="0"/>
    </xf>
    <xf borderId="0" fillId="0" fontId="9" numFmtId="0" xfId="0" applyAlignment="1" applyFont="1">
      <alignment horizontal="left" readingOrder="0" shrinkToFit="0" vertical="top" wrapText="1"/>
    </xf>
    <xf borderId="14" fillId="0" fontId="24" numFmtId="0" xfId="0" applyAlignment="1" applyBorder="1" applyFont="1">
      <alignment horizontal="left" shrinkToFit="0" vertical="center" wrapText="1"/>
    </xf>
    <xf borderId="15" fillId="0" fontId="3" numFmtId="171" xfId="0" applyAlignment="1" applyBorder="1" applyFont="1" applyNumberFormat="1">
      <alignment horizontal="left" vertical="center"/>
    </xf>
    <xf borderId="0" fillId="0" fontId="25" numFmtId="0" xfId="0" applyAlignment="1" applyFont="1">
      <alignment horizontal="center" readingOrder="0" shrinkToFit="0" vertical="center" wrapText="1"/>
    </xf>
    <xf borderId="5" fillId="0" fontId="3" numFmtId="172" xfId="0" applyAlignment="1" applyBorder="1" applyFont="1" applyNumberFormat="1">
      <alignment horizontal="right" readingOrder="0" vertical="center"/>
    </xf>
    <xf borderId="0" fillId="0" fontId="19" numFmtId="0" xfId="0" applyAlignment="1" applyFont="1">
      <alignment readingOrder="0" shrinkToFit="0" vertical="top" wrapText="1"/>
    </xf>
    <xf borderId="1" fillId="0" fontId="6" numFmtId="171" xfId="0" applyAlignment="1" applyBorder="1" applyFont="1" applyNumberFormat="1">
      <alignment horizontal="right" readingOrder="0" vertical="center"/>
    </xf>
    <xf borderId="0" fillId="0" fontId="30" numFmtId="0" xfId="0" applyAlignment="1" applyFont="1">
      <alignment readingOrder="0"/>
    </xf>
    <xf borderId="0" fillId="0" fontId="12" numFmtId="0" xfId="0" applyAlignment="1" applyFont="1">
      <alignment horizontal="left" readingOrder="0"/>
    </xf>
    <xf borderId="0" fillId="0" fontId="19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16" numFmtId="0" xfId="0" applyAlignment="1" applyFont="1">
      <alignment horizontal="center" readingOrder="0"/>
    </xf>
    <xf borderId="15" fillId="0" fontId="3" numFmtId="171" xfId="0" applyAlignment="1" applyBorder="1" applyFont="1" applyNumberFormat="1">
      <alignment horizontal="right" vertical="center"/>
    </xf>
    <xf borderId="0" fillId="0" fontId="30" numFmtId="0" xfId="0" applyFont="1"/>
    <xf borderId="0" fillId="0" fontId="9" numFmtId="0" xfId="0" applyAlignment="1" applyFont="1">
      <alignment horizontal="left" readingOrder="0" shrinkToFit="0" vertical="center" wrapText="1"/>
    </xf>
    <xf borderId="14" fillId="0" fontId="3" numFmtId="1" xfId="0" applyAlignment="1" applyBorder="1" applyFont="1" applyNumberFormat="1">
      <alignment horizontal="center"/>
    </xf>
    <xf borderId="0" fillId="0" fontId="35" numFmtId="0" xfId="0" applyAlignment="1" applyFont="1">
      <alignment horizontal="center" readingOrder="0"/>
    </xf>
    <xf borderId="0" fillId="0" fontId="28" numFmtId="0" xfId="0" applyAlignment="1" applyFont="1">
      <alignment horizontal="left" readingOrder="0"/>
    </xf>
    <xf borderId="0" fillId="0" fontId="9" numFmtId="170" xfId="0" applyAlignment="1" applyFont="1" applyNumberFormat="1">
      <alignment horizontal="center" readingOrder="0"/>
    </xf>
    <xf quotePrefix="1" borderId="0" fillId="0" fontId="9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right" readingOrder="0"/>
    </xf>
    <xf borderId="13" fillId="0" fontId="3" numFmtId="0" xfId="0" applyAlignment="1" applyBorder="1" applyFont="1">
      <alignment horizontal="left" readingOrder="0" shrinkToFit="0" wrapText="0"/>
    </xf>
    <xf borderId="13" fillId="0" fontId="4" numFmtId="0" xfId="0" applyAlignment="1" applyBorder="1" applyFont="1">
      <alignment horizontal="right" readingOrder="0"/>
    </xf>
    <xf borderId="0" fillId="0" fontId="6" numFmtId="0" xfId="0" applyAlignment="1" applyFont="1">
      <alignment readingOrder="0" vertical="center"/>
    </xf>
    <xf borderId="15" fillId="0" fontId="19" numFmtId="168" xfId="0" applyAlignment="1" applyBorder="1" applyFont="1" applyNumberFormat="1">
      <alignment horizontal="center" readingOrder="0" shrinkToFit="0" vertical="center" wrapText="1"/>
    </xf>
    <xf borderId="11" fillId="0" fontId="11" numFmtId="0" xfId="0" applyBorder="1" applyFont="1"/>
    <xf borderId="5" fillId="0" fontId="11" numFmtId="0" xfId="0" applyBorder="1" applyFont="1"/>
    <xf borderId="3" fillId="0" fontId="11" numFmtId="0" xfId="0" applyBorder="1" applyFont="1"/>
    <xf borderId="17" fillId="0" fontId="11" numFmtId="0" xfId="0" applyBorder="1" applyFont="1"/>
    <xf borderId="15" fillId="0" fontId="19" numFmtId="168" xfId="0" applyAlignment="1" applyBorder="1" applyFont="1" applyNumberFormat="1">
      <alignment horizontal="center" shrinkToFit="0" vertical="center" wrapText="1"/>
    </xf>
    <xf borderId="0" fillId="11" fontId="7" numFmtId="0" xfId="0" applyAlignment="1" applyFont="1">
      <alignment vertical="center"/>
    </xf>
    <xf borderId="13" fillId="0" fontId="35" numFmtId="0" xfId="0" applyAlignment="1" applyBorder="1" applyFont="1">
      <alignment shrinkToFit="0" vertical="bottom" wrapText="1"/>
    </xf>
    <xf borderId="0" fillId="0" fontId="6" numFmtId="0" xfId="0" applyAlignment="1" applyFont="1">
      <alignment shrinkToFit="0" wrapText="1"/>
    </xf>
    <xf borderId="0" fillId="0" fontId="3" numFmtId="1" xfId="0" applyAlignment="1" applyFont="1" applyNumberFormat="1">
      <alignment horizontal="center"/>
    </xf>
    <xf borderId="0" fillId="0" fontId="24" numFmtId="0" xfId="0" applyAlignment="1" applyFont="1">
      <alignment horizontal="left" shrinkToFit="0" vertical="center" wrapText="1"/>
    </xf>
    <xf borderId="0" fillId="0" fontId="3" numFmtId="171" xfId="0" applyAlignment="1" applyFont="1" applyNumberFormat="1">
      <alignment horizontal="right" vertical="center"/>
    </xf>
    <xf borderId="0" fillId="0" fontId="3" numFmtId="172" xfId="0" applyAlignment="1" applyFont="1" applyNumberFormat="1">
      <alignment horizontal="right" readingOrder="0" vertical="center"/>
    </xf>
    <xf borderId="0" fillId="0" fontId="6" numFmtId="171" xfId="0" applyAlignment="1" applyFont="1" applyNumberFormat="1">
      <alignment horizontal="right" readingOrder="0" vertical="center"/>
    </xf>
    <xf borderId="0" fillId="11" fontId="52" numFmtId="0" xfId="0" applyAlignment="1" applyFont="1">
      <alignment horizontal="left" readingOrder="0"/>
    </xf>
    <xf borderId="14" fillId="0" fontId="3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wrapText="1"/>
    </xf>
    <xf borderId="14" fillId="0" fontId="3" numFmtId="0" xfId="0" applyAlignment="1" applyBorder="1" applyFont="1">
      <alignment horizontal="left"/>
    </xf>
    <xf borderId="14" fillId="0" fontId="3" numFmtId="171" xfId="0" applyAlignment="1" applyBorder="1" applyFont="1" applyNumberFormat="1">
      <alignment vertical="center"/>
    </xf>
    <xf borderId="15" fillId="0" fontId="25" numFmtId="168" xfId="0" applyAlignment="1" applyBorder="1" applyFont="1" applyNumberFormat="1">
      <alignment horizontal="center" shrinkToFit="0" vertical="center" wrapText="1"/>
    </xf>
    <xf borderId="14" fillId="0" fontId="4" numFmtId="0" xfId="0" applyAlignment="1" applyBorder="1" applyFont="1">
      <alignment readingOrder="0"/>
    </xf>
    <xf borderId="0" fillId="11" fontId="7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/>
    </xf>
    <xf borderId="0" fillId="0" fontId="26" numFmtId="0" xfId="0" applyAlignment="1" applyFont="1">
      <alignment horizontal="center" shrinkToFit="0" vertical="center" wrapText="1"/>
    </xf>
    <xf borderId="0" fillId="0" fontId="53" numFmtId="0" xfId="0" applyAlignment="1" applyFont="1">
      <alignment horizontal="left" readingOrder="0"/>
    </xf>
    <xf quotePrefix="1" borderId="0" fillId="0" fontId="9" numFmtId="0" xfId="0" applyAlignment="1" applyFont="1">
      <alignment horizontal="center" readingOrder="0"/>
    </xf>
    <xf borderId="14" fillId="0" fontId="3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13" fillId="11" fontId="3" numFmtId="168" xfId="0" applyBorder="1" applyFont="1" applyNumberFormat="1"/>
    <xf borderId="13" fillId="0" fontId="3" numFmtId="168" xfId="0" applyBorder="1" applyFont="1" applyNumberFormat="1"/>
    <xf borderId="13" fillId="0" fontId="3" numFmtId="0" xfId="0" applyAlignment="1" applyBorder="1" applyFont="1">
      <alignment horizontal="center" readingOrder="0" shrinkToFit="0" vertical="top" wrapText="1"/>
    </xf>
    <xf borderId="14" fillId="0" fontId="3" numFmtId="168" xfId="0" applyAlignment="1" applyBorder="1" applyFont="1" applyNumberFormat="1">
      <alignment readingOrder="0" vertical="center"/>
    </xf>
    <xf borderId="1" fillId="11" fontId="31" numFmtId="0" xfId="0" applyAlignment="1" applyBorder="1" applyFont="1">
      <alignment readingOrder="0"/>
    </xf>
    <xf borderId="1" fillId="11" fontId="31" numFmtId="0" xfId="0" applyAlignment="1" applyBorder="1" applyFont="1">
      <alignment horizontal="center" readingOrder="0"/>
    </xf>
    <xf borderId="1" fillId="11" fontId="31" numFmtId="166" xfId="0" applyAlignment="1" applyBorder="1" applyFont="1" applyNumberFormat="1">
      <alignment horizontal="center" readingOrder="0"/>
    </xf>
    <xf borderId="1" fillId="0" fontId="31" numFmtId="166" xfId="0" applyAlignment="1" applyBorder="1" applyFont="1" applyNumberFormat="1">
      <alignment horizontal="center" readingOrder="0"/>
    </xf>
    <xf borderId="1" fillId="0" fontId="16" numFmtId="0" xfId="0" applyBorder="1" applyFont="1"/>
    <xf borderId="1" fillId="0" fontId="16" numFmtId="0" xfId="0" applyAlignment="1" applyBorder="1" applyFont="1">
      <alignment horizontal="center" readingOrder="0"/>
    </xf>
    <xf borderId="1" fillId="11" fontId="16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/>
    </xf>
    <xf borderId="1" fillId="0" fontId="16" numFmtId="0" xfId="0" applyAlignment="1" applyBorder="1" applyFont="1">
      <alignment horizontal="left" readingOrder="0"/>
    </xf>
    <xf borderId="0" fillId="0" fontId="54" numFmtId="0" xfId="0" applyAlignment="1" applyFont="1">
      <alignment horizontal="center" readingOrder="0"/>
    </xf>
    <xf borderId="0" fillId="0" fontId="55" numFmtId="0" xfId="0" applyAlignment="1" applyFont="1">
      <alignment readingOrder="0" vertical="center"/>
    </xf>
    <xf borderId="13" fillId="0" fontId="55" numFmtId="0" xfId="0" applyAlignment="1" applyBorder="1" applyFont="1">
      <alignment vertical="center"/>
    </xf>
    <xf borderId="0" fillId="0" fontId="56" numFmtId="0" xfId="0" applyAlignment="1" applyFont="1">
      <alignment readingOrder="0" vertical="center"/>
    </xf>
    <xf borderId="0" fillId="0" fontId="55" numFmtId="0" xfId="0" applyAlignment="1" applyFont="1">
      <alignment readingOrder="0" vertical="center"/>
    </xf>
    <xf borderId="13" fillId="0" fontId="55" numFmtId="0" xfId="0" applyAlignment="1" applyBorder="1" applyFont="1">
      <alignment readingOrder="0" shrinkToFit="0" vertical="center" wrapText="1"/>
    </xf>
    <xf borderId="0" fillId="0" fontId="55" numFmtId="0" xfId="0" applyAlignment="1" applyFont="1">
      <alignment readingOrder="0" shrinkToFit="0" vertical="center" wrapText="1"/>
    </xf>
    <xf borderId="0" fillId="0" fontId="55" numFmtId="0" xfId="0" applyAlignment="1" applyFont="1">
      <alignment vertical="center"/>
    </xf>
    <xf borderId="0" fillId="0" fontId="57" numFmtId="0" xfId="0" applyAlignment="1" applyFont="1">
      <alignment horizontal="left" readingOrder="0" vertical="center"/>
    </xf>
    <xf borderId="13" fillId="0" fontId="58" numFmtId="0" xfId="0" applyAlignment="1" applyBorder="1" applyFont="1">
      <alignment readingOrder="0" vertical="center"/>
    </xf>
    <xf borderId="13" fillId="0" fontId="55" numFmtId="0" xfId="0" applyAlignment="1" applyBorder="1" applyFont="1">
      <alignment horizontal="left" readingOrder="0" vertical="center"/>
    </xf>
    <xf borderId="0" fillId="0" fontId="55" numFmtId="0" xfId="0" applyAlignment="1" applyFont="1">
      <alignment horizontal="left" readingOrder="0" vertical="center"/>
    </xf>
    <xf borderId="0" fillId="0" fontId="59" numFmtId="0" xfId="0" applyAlignment="1" applyFont="1">
      <alignment readingOrder="0" vertical="center"/>
    </xf>
    <xf borderId="13" fillId="0" fontId="55" numFmtId="0" xfId="0" applyAlignment="1" applyBorder="1" applyFont="1">
      <alignment readingOrder="0" vertical="center"/>
    </xf>
    <xf borderId="0" fillId="0" fontId="55" numFmtId="0" xfId="0" applyAlignment="1" applyFont="1">
      <alignment horizontal="center" readingOrder="0" vertical="center"/>
    </xf>
    <xf borderId="9" fillId="0" fontId="55" numFmtId="0" xfId="0" applyAlignment="1" applyBorder="1" applyFont="1">
      <alignment horizontal="left" readingOrder="0" vertical="center"/>
    </xf>
    <xf borderId="10" fillId="0" fontId="55" numFmtId="0" xfId="0" applyAlignment="1" applyBorder="1" applyFont="1">
      <alignment horizontal="center" readingOrder="0" vertical="center"/>
    </xf>
    <xf borderId="9" fillId="0" fontId="55" numFmtId="0" xfId="0" applyAlignment="1" applyBorder="1" applyFont="1">
      <alignment horizontal="center" readingOrder="0" vertical="center"/>
    </xf>
    <xf borderId="1" fillId="0" fontId="55" numFmtId="0" xfId="0" applyAlignment="1" applyBorder="1" applyFont="1">
      <alignment readingOrder="0" vertical="center"/>
    </xf>
    <xf borderId="9" fillId="46" fontId="60" numFmtId="0" xfId="0" applyAlignment="1" applyBorder="1" applyFill="1" applyFont="1">
      <alignment readingOrder="0" vertical="center"/>
    </xf>
    <xf borderId="12" fillId="0" fontId="55" numFmtId="0" xfId="0" applyAlignment="1" applyBorder="1" applyFont="1">
      <alignment horizontal="center" readingOrder="0" vertical="center"/>
    </xf>
    <xf borderId="1" fillId="0" fontId="55" numFmtId="0" xfId="0" applyAlignment="1" applyBorder="1" applyFont="1">
      <alignment horizontal="center" readingOrder="0" vertical="center"/>
    </xf>
    <xf borderId="1" fillId="46" fontId="60" numFmtId="0" xfId="0" applyAlignment="1" applyBorder="1" applyFont="1">
      <alignment readingOrder="0" vertical="center"/>
    </xf>
    <xf borderId="9" fillId="0" fontId="55" numFmtId="0" xfId="0" applyAlignment="1" applyBorder="1" applyFont="1">
      <alignment readingOrder="0" vertical="center"/>
    </xf>
    <xf borderId="1" fillId="0" fontId="55" numFmtId="0" xfId="0" applyAlignment="1" applyBorder="1" applyFont="1">
      <alignment vertical="center"/>
    </xf>
    <xf borderId="8" fillId="0" fontId="55" numFmtId="0" xfId="0" applyAlignment="1" applyBorder="1" applyFont="1">
      <alignment vertical="center"/>
    </xf>
    <xf borderId="16" fillId="0" fontId="11" numFmtId="0" xfId="0" applyBorder="1" applyFont="1"/>
    <xf borderId="1" fillId="22" fontId="55" numFmtId="0" xfId="0" applyAlignment="1" applyBorder="1" applyFont="1">
      <alignment readingOrder="0" vertical="center"/>
    </xf>
    <xf borderId="4" fillId="22" fontId="55" numFmtId="0" xfId="0" applyAlignment="1" applyBorder="1" applyFont="1">
      <alignment readingOrder="0" vertical="center"/>
    </xf>
    <xf borderId="15" fillId="0" fontId="55" numFmtId="0" xfId="0" applyAlignment="1" applyBorder="1" applyFont="1">
      <alignment horizontal="left" readingOrder="0" vertical="top"/>
    </xf>
    <xf borderId="15" fillId="0" fontId="55" numFmtId="0" xfId="0" applyAlignment="1" applyBorder="1" applyFont="1">
      <alignment horizontal="center" readingOrder="0" vertical="top"/>
    </xf>
    <xf borderId="8" fillId="0" fontId="55" numFmtId="0" xfId="0" applyAlignment="1" applyBorder="1" applyFont="1">
      <alignment horizontal="center" readingOrder="0" vertical="top"/>
    </xf>
    <xf borderId="10" fillId="0" fontId="55" numFmtId="0" xfId="0" applyAlignment="1" applyBorder="1" applyFont="1">
      <alignment vertical="center"/>
    </xf>
    <xf borderId="16" fillId="0" fontId="55" numFmtId="0" xfId="0" applyAlignment="1" applyBorder="1" applyFont="1">
      <alignment vertical="center"/>
    </xf>
    <xf borderId="9" fillId="22" fontId="55" numFmtId="0" xfId="0" applyAlignment="1" applyBorder="1" applyFont="1">
      <alignment readingOrder="0" vertical="center"/>
    </xf>
    <xf borderId="0" fillId="0" fontId="55" numFmtId="0" xfId="0" applyFont="1"/>
    <xf borderId="0" fillId="0" fontId="61" numFmtId="0" xfId="0" applyAlignment="1" applyFont="1">
      <alignment readingOrder="0" vertical="top"/>
    </xf>
    <xf borderId="0" fillId="0" fontId="62" numFmtId="0" xfId="0" applyAlignment="1" applyFont="1">
      <alignment vertical="top"/>
    </xf>
    <xf borderId="0" fillId="0" fontId="63" numFmtId="0" xfId="0" applyAlignment="1" applyFont="1">
      <alignment vertical="top"/>
    </xf>
    <xf borderId="0" fillId="0" fontId="64" numFmtId="0" xfId="0" applyAlignment="1" applyFont="1">
      <alignment horizontal="left" readingOrder="0" shrinkToFit="0" vertical="top" wrapText="1"/>
    </xf>
    <xf borderId="0" fillId="0" fontId="63" numFmtId="0" xfId="0" applyFont="1"/>
    <xf borderId="0" fillId="0" fontId="16" numFmtId="14" xfId="0" applyAlignment="1" applyFont="1" applyNumberFormat="1">
      <alignment readingOrder="0"/>
    </xf>
    <xf borderId="0" fillId="0" fontId="20" numFmtId="0" xfId="0" applyAlignment="1" applyFont="1">
      <alignment readingOrder="0"/>
    </xf>
    <xf borderId="0" fillId="0" fontId="65" numFmtId="0" xfId="0" applyAlignment="1" applyFont="1">
      <alignment horizontal="center" readingOrder="0" vertical="center"/>
    </xf>
    <xf borderId="0" fillId="23" fontId="66" numFmtId="176" xfId="0" applyAlignment="1" applyFont="1" applyNumberFormat="1">
      <alignment horizontal="center" shrinkToFit="0" wrapText="1"/>
    </xf>
    <xf borderId="0" fillId="23" fontId="66" numFmtId="0" xfId="0" applyAlignment="1" applyFont="1">
      <alignment horizontal="center" shrinkToFit="0" wrapText="1"/>
    </xf>
    <xf borderId="0" fillId="13" fontId="66" numFmtId="3" xfId="0" applyAlignment="1" applyFont="1" applyNumberFormat="1">
      <alignment horizontal="center" shrinkToFit="0" wrapText="1"/>
    </xf>
    <xf borderId="0" fillId="22" fontId="66" numFmtId="3" xfId="0" applyAlignment="1" applyFont="1" applyNumberFormat="1">
      <alignment horizontal="center" shrinkToFit="0" wrapText="1"/>
    </xf>
    <xf borderId="0" fillId="40" fontId="66" numFmtId="3" xfId="0" applyAlignment="1" applyFont="1" applyNumberFormat="1">
      <alignment horizontal="center" shrinkToFit="0" wrapText="1"/>
    </xf>
    <xf borderId="0" fillId="25" fontId="31" numFmtId="0" xfId="0" applyAlignment="1" applyFont="1">
      <alignment readingOrder="0"/>
    </xf>
    <xf borderId="0" fillId="10" fontId="31" numFmtId="0" xfId="0" applyAlignment="1" applyFont="1">
      <alignment readingOrder="0"/>
    </xf>
    <xf borderId="0" fillId="3" fontId="31" numFmtId="49" xfId="0" applyAlignment="1" applyFont="1" applyNumberFormat="1">
      <alignment readingOrder="0"/>
    </xf>
    <xf borderId="0" fillId="0" fontId="16" numFmtId="167" xfId="0" applyAlignment="1" applyFont="1" applyNumberFormat="1">
      <alignment readingOrder="0"/>
    </xf>
    <xf borderId="0" fillId="11" fontId="52" numFmtId="170" xfId="0" applyAlignment="1" applyFont="1" applyNumberFormat="1">
      <alignment horizontal="right" readingOrder="0"/>
    </xf>
    <xf borderId="0" fillId="11" fontId="21" numFmtId="170" xfId="0" applyAlignment="1" applyFont="1" applyNumberFormat="1">
      <alignment horizontal="right" readingOrder="0"/>
    </xf>
    <xf borderId="0" fillId="0" fontId="18" numFmtId="1" xfId="0" applyAlignment="1" applyFont="1" applyNumberFormat="1">
      <alignment readingOrder="0"/>
    </xf>
    <xf borderId="0" fillId="0" fontId="9" numFmtId="1" xfId="0" applyAlignment="1" applyFont="1" applyNumberFormat="1">
      <alignment readingOrder="0"/>
    </xf>
    <xf borderId="14" fillId="0" fontId="3" numFmtId="1" xfId="0" applyAlignment="1" applyBorder="1" applyFont="1" applyNumberFormat="1">
      <alignment readingOrder="0"/>
    </xf>
    <xf borderId="14" fillId="0" fontId="18" numFmtId="0" xfId="0" applyBorder="1" applyFont="1"/>
    <xf borderId="14" fillId="0" fontId="9" numFmtId="0" xfId="0" applyAlignment="1" applyBorder="1" applyFont="1">
      <alignment horizontal="left" readingOrder="0" shrinkToFit="0" vertical="center" wrapText="1"/>
    </xf>
    <xf borderId="0" fillId="11" fontId="67" numFmtId="1" xfId="0" applyAlignment="1" applyFont="1" applyNumberFormat="1">
      <alignment horizontal="right" readingOrder="0"/>
    </xf>
    <xf borderId="0" fillId="11" fontId="68" numFmtId="1" xfId="0" applyAlignment="1" applyFont="1" applyNumberFormat="1">
      <alignment horizontal="right" readingOrder="0" shrinkToFit="0" wrapText="0"/>
    </xf>
    <xf borderId="0" fillId="0" fontId="3" numFmtId="167" xfId="0" applyAlignment="1" applyFont="1" applyNumberFormat="1">
      <alignment readingOrder="0" shrinkToFit="0" vertical="center" wrapText="1"/>
    </xf>
    <xf borderId="0" fillId="0" fontId="9" numFmtId="167" xfId="0" applyAlignment="1" applyFont="1" applyNumberFormat="1">
      <alignment readingOrder="0" shrinkToFit="0" vertical="center" wrapText="1"/>
    </xf>
    <xf borderId="0" fillId="0" fontId="9" numFmtId="1" xfId="0" applyAlignment="1" applyFont="1" applyNumberFormat="1">
      <alignment horizontal="left" readingOrder="0"/>
    </xf>
    <xf borderId="0" fillId="0" fontId="3" numFmtId="1" xfId="0" applyAlignment="1" applyFont="1" applyNumberFormat="1">
      <alignment horizontal="left" readingOrder="0"/>
    </xf>
    <xf borderId="0" fillId="0" fontId="3" numFmtId="168" xfId="0" applyAlignment="1" applyFont="1" applyNumberFormat="1">
      <alignment horizontal="center" vertical="center"/>
    </xf>
    <xf borderId="0" fillId="0" fontId="25" numFmtId="0" xfId="0" applyAlignment="1" applyFont="1">
      <alignment shrinkToFit="0" vertical="center" wrapText="1"/>
    </xf>
    <xf borderId="0" fillId="0" fontId="33" numFmtId="0" xfId="0" applyAlignment="1" applyFont="1">
      <alignment horizontal="left" vertical="top"/>
    </xf>
    <xf borderId="0" fillId="0" fontId="3" numFmtId="168" xfId="0" applyAlignment="1" applyFont="1" applyNumberFormat="1">
      <alignment horizontal="left" vertical="top"/>
    </xf>
    <xf borderId="0" fillId="0" fontId="3" numFmtId="171" xfId="0" applyAlignment="1" applyFont="1" applyNumberFormat="1">
      <alignment vertical="center"/>
    </xf>
    <xf borderId="0" fillId="0" fontId="25" numFmtId="168" xfId="0" applyAlignment="1" applyFont="1" applyNumberFormat="1">
      <alignment horizontal="center" shrinkToFit="0" vertical="center" wrapText="1"/>
    </xf>
    <xf borderId="0" fillId="0" fontId="19" numFmtId="1" xfId="0" applyAlignment="1" applyFont="1" applyNumberFormat="1">
      <alignment horizontal="left"/>
    </xf>
    <xf borderId="0" fillId="0" fontId="69" numFmtId="0" xfId="0" applyAlignment="1" applyFont="1">
      <alignment horizontal="center" readingOrder="0" shrinkToFit="0" wrapText="1"/>
    </xf>
    <xf borderId="0" fillId="0" fontId="70" numFmtId="0" xfId="0" applyAlignment="1" applyFont="1">
      <alignment horizontal="center" readingOrder="0" shrinkToFit="0" wrapText="1"/>
    </xf>
    <xf borderId="0" fillId="0" fontId="71" numFmtId="0" xfId="0" applyAlignment="1" applyFont="1">
      <alignment horizontal="center" readingOrder="0" shrinkToFit="0" wrapText="1"/>
    </xf>
    <xf borderId="0" fillId="0" fontId="72" numFmtId="0" xfId="0" applyAlignment="1" applyFont="1">
      <alignment horizontal="center" readingOrder="0" shrinkToFit="0" wrapText="1"/>
    </xf>
    <xf borderId="8" fillId="47" fontId="73" numFmtId="0" xfId="0" applyAlignment="1" applyBorder="1" applyFill="1" applyFont="1">
      <alignment horizontal="center" textRotation="255" vertical="center"/>
    </xf>
    <xf borderId="8" fillId="48" fontId="74" numFmtId="168" xfId="0" applyAlignment="1" applyBorder="1" applyFill="1" applyFont="1" applyNumberFormat="1">
      <alignment horizontal="center" vertical="center"/>
    </xf>
    <xf borderId="8" fillId="48" fontId="75" numFmtId="168" xfId="0" applyAlignment="1" applyBorder="1" applyFont="1" applyNumberFormat="1">
      <alignment horizontal="center" vertical="center"/>
    </xf>
    <xf borderId="1" fillId="48" fontId="74" numFmtId="168" xfId="0" applyAlignment="1" applyBorder="1" applyFont="1" applyNumberFormat="1">
      <alignment horizontal="center" vertical="center"/>
    </xf>
    <xf borderId="1" fillId="0" fontId="20" numFmtId="0" xfId="0" applyBorder="1" applyFont="1"/>
    <xf borderId="1" fillId="26" fontId="20" numFmtId="0" xfId="0" applyBorder="1" applyFont="1"/>
    <xf borderId="1" fillId="48" fontId="76" numFmtId="168" xfId="0" applyAlignment="1" applyBorder="1" applyFont="1" applyNumberFormat="1">
      <alignment horizontal="center"/>
    </xf>
    <xf borderId="0" fillId="0" fontId="21" numFmtId="0" xfId="0" applyFont="1"/>
    <xf borderId="1" fillId="0" fontId="20" numFmtId="168" xfId="0" applyBorder="1" applyFont="1" applyNumberFormat="1"/>
    <xf borderId="1" fillId="49" fontId="20" numFmtId="168" xfId="0" applyAlignment="1" applyBorder="1" applyFill="1" applyFont="1" applyNumberFormat="1">
      <alignment readingOrder="0"/>
    </xf>
    <xf borderId="1" fillId="26" fontId="29" numFmtId="168" xfId="0" applyBorder="1" applyFont="1" applyNumberFormat="1"/>
    <xf borderId="1" fillId="26" fontId="29" numFmtId="168" xfId="0" applyAlignment="1" applyBorder="1" applyFont="1" applyNumberFormat="1">
      <alignment readingOrder="0"/>
    </xf>
    <xf borderId="1" fillId="48" fontId="75" numFmtId="0" xfId="0" applyAlignment="1" applyBorder="1" applyFont="1">
      <alignment horizontal="center" vertical="center"/>
    </xf>
    <xf borderId="1" fillId="26" fontId="6" numFmtId="168" xfId="0" applyAlignment="1" applyBorder="1" applyFont="1" applyNumberFormat="1">
      <alignment vertical="center"/>
    </xf>
    <xf borderId="1" fillId="48" fontId="75" numFmtId="0" xfId="0" applyAlignment="1" applyBorder="1" applyFont="1">
      <alignment vertical="center"/>
    </xf>
    <xf borderId="0" fillId="0" fontId="21" numFmtId="10" xfId="0" applyAlignment="1" applyFont="1" applyNumberFormat="1">
      <alignment readingOrder="0"/>
    </xf>
    <xf borderId="1" fillId="47" fontId="77" numFmtId="0" xfId="0" applyAlignment="1" applyBorder="1" applyFont="1">
      <alignment horizontal="left" shrinkToFit="0" vertical="top" wrapText="1"/>
    </xf>
    <xf borderId="1" fillId="48" fontId="78" numFmtId="0" xfId="0" applyAlignment="1" applyBorder="1" applyFont="1">
      <alignment horizontal="left" shrinkToFit="0" vertical="top" wrapText="1"/>
    </xf>
    <xf borderId="1" fillId="26" fontId="79" numFmtId="168" xfId="0" applyAlignment="1" applyBorder="1" applyFont="1" applyNumberFormat="1">
      <alignment horizontal="left" shrinkToFit="0" vertical="top" wrapText="1"/>
    </xf>
    <xf borderId="1" fillId="49" fontId="79" numFmtId="168" xfId="0" applyAlignment="1" applyBorder="1" applyFont="1" applyNumberFormat="1">
      <alignment horizontal="left" shrinkToFit="0" vertical="top" wrapText="1"/>
    </xf>
    <xf borderId="1" fillId="26" fontId="79" numFmtId="168" xfId="0" applyAlignment="1" applyBorder="1" applyFont="1" applyNumberFormat="1">
      <alignment horizontal="left" readingOrder="0" shrinkToFit="0" vertical="top" wrapText="1"/>
    </xf>
    <xf borderId="1" fillId="48" fontId="77" numFmtId="168" xfId="0" applyAlignment="1" applyBorder="1" applyFont="1" applyNumberFormat="1">
      <alignment horizontal="right" shrinkToFit="1" vertical="top" wrapText="0"/>
    </xf>
    <xf borderId="1" fillId="26" fontId="79" numFmtId="168" xfId="0" applyAlignment="1" applyBorder="1" applyFont="1" applyNumberFormat="1">
      <alignment horizontal="right" shrinkToFit="1" vertical="top" wrapText="0"/>
    </xf>
    <xf borderId="0" fillId="26" fontId="21" numFmtId="0" xfId="0" applyAlignment="1" applyFont="1">
      <alignment readingOrder="0"/>
    </xf>
    <xf borderId="18" fillId="26" fontId="21" numFmtId="0" xfId="0" applyAlignment="1" applyBorder="1" applyFont="1">
      <alignment readingOrder="0"/>
    </xf>
    <xf borderId="18" fillId="26" fontId="21" numFmtId="168" xfId="0" applyAlignment="1" applyBorder="1" applyFont="1" applyNumberFormat="1">
      <alignment horizontal="left"/>
    </xf>
    <xf borderId="18" fillId="26" fontId="21" numFmtId="0" xfId="0" applyBorder="1" applyFont="1"/>
    <xf borderId="1" fillId="48" fontId="77" numFmtId="0" xfId="0" applyAlignment="1" applyBorder="1" applyFont="1">
      <alignment horizontal="left" shrinkToFit="0" vertical="top" wrapText="1"/>
    </xf>
    <xf borderId="0" fillId="26" fontId="21" numFmtId="0" xfId="0" applyFont="1"/>
    <xf borderId="1" fillId="48" fontId="80" numFmtId="0" xfId="0" applyAlignment="1" applyBorder="1" applyFont="1">
      <alignment horizontal="left" shrinkToFit="0" vertical="top" wrapText="1"/>
    </xf>
    <xf borderId="1" fillId="26" fontId="81" numFmtId="168" xfId="0" applyAlignment="1" applyBorder="1" applyFont="1" applyNumberFormat="1">
      <alignment horizontal="right" shrinkToFit="1" vertical="top" wrapText="0"/>
    </xf>
    <xf borderId="1" fillId="48" fontId="81" numFmtId="168" xfId="0" applyAlignment="1" applyBorder="1" applyFont="1" applyNumberFormat="1">
      <alignment horizontal="right" shrinkToFit="1" vertical="top" wrapText="0"/>
    </xf>
    <xf borderId="1" fillId="26" fontId="81" numFmtId="168" xfId="0" applyAlignment="1" applyBorder="1" applyFont="1" applyNumberFormat="1">
      <alignment horizontal="left" shrinkToFit="0" vertical="top" wrapText="1"/>
    </xf>
    <xf borderId="1" fillId="26" fontId="81" numFmtId="168" xfId="0" applyAlignment="1" applyBorder="1" applyFont="1" applyNumberFormat="1">
      <alignment horizontal="left" readingOrder="0" shrinkToFit="0" vertical="top" wrapText="1"/>
    </xf>
    <xf borderId="18" fillId="26" fontId="73" numFmtId="0" xfId="0" applyAlignment="1" applyBorder="1" applyFont="1">
      <alignment horizontal="center" textRotation="255" vertical="center"/>
    </xf>
    <xf borderId="18" fillId="26" fontId="77" numFmtId="0" xfId="0" applyAlignment="1" applyBorder="1" applyFont="1">
      <alignment horizontal="left" shrinkToFit="0" vertical="top" wrapText="1"/>
    </xf>
    <xf borderId="18" fillId="26" fontId="79" numFmtId="168" xfId="0" applyAlignment="1" applyBorder="1" applyFont="1" applyNumberFormat="1">
      <alignment horizontal="left" shrinkToFit="0" vertical="top" wrapText="1"/>
    </xf>
    <xf borderId="1" fillId="0" fontId="79" numFmtId="168" xfId="0" applyAlignment="1" applyBorder="1" applyFont="1" applyNumberFormat="1">
      <alignment horizontal="left" shrinkToFit="0" vertical="top" wrapText="1"/>
    </xf>
    <xf borderId="18" fillId="26" fontId="77" numFmtId="168" xfId="0" applyAlignment="1" applyBorder="1" applyFont="1" applyNumberFormat="1">
      <alignment horizontal="right" shrinkToFit="1" vertical="top" wrapText="0"/>
    </xf>
    <xf borderId="18" fillId="26" fontId="79" numFmtId="168" xfId="0" applyAlignment="1" applyBorder="1" applyFont="1" applyNumberFormat="1">
      <alignment horizontal="right" shrinkToFit="1" vertical="top" wrapText="0"/>
    </xf>
    <xf borderId="8" fillId="50" fontId="82" numFmtId="0" xfId="0" applyAlignment="1" applyBorder="1" applyFill="1" applyFont="1">
      <alignment horizontal="center" shrinkToFit="0" textRotation="255" vertical="center" wrapText="1"/>
    </xf>
    <xf borderId="8" fillId="50" fontId="83" numFmtId="0" xfId="0" applyAlignment="1" applyBorder="1" applyFont="1">
      <alignment horizontal="center" vertical="center"/>
    </xf>
    <xf borderId="8" fillId="50" fontId="84" numFmtId="0" xfId="0" applyAlignment="1" applyBorder="1" applyFont="1">
      <alignment horizontal="center" vertical="center"/>
    </xf>
    <xf borderId="1" fillId="50" fontId="83" numFmtId="0" xfId="0" applyAlignment="1" applyBorder="1" applyFont="1">
      <alignment horizontal="center" vertical="center"/>
    </xf>
    <xf borderId="1" fillId="50" fontId="85" numFmtId="0" xfId="0" applyBorder="1" applyFont="1"/>
    <xf borderId="1" fillId="50" fontId="21" numFmtId="0" xfId="0" applyBorder="1" applyFont="1"/>
    <xf borderId="1" fillId="26" fontId="21" numFmtId="0" xfId="0" applyBorder="1" applyFont="1"/>
    <xf borderId="1" fillId="50" fontId="86" numFmtId="0" xfId="0" applyBorder="1" applyFont="1"/>
    <xf borderId="1" fillId="0" fontId="21" numFmtId="0" xfId="0" applyBorder="1" applyFont="1"/>
    <xf borderId="1" fillId="50" fontId="87" numFmtId="0" xfId="0" applyAlignment="1" applyBorder="1" applyFont="1">
      <alignment horizontal="center"/>
    </xf>
    <xf borderId="0" fillId="26" fontId="88" numFmtId="0" xfId="0" applyAlignment="1" applyFont="1">
      <alignment horizontal="center"/>
    </xf>
    <xf borderId="18" fillId="26" fontId="88" numFmtId="0" xfId="0" applyAlignment="1" applyBorder="1" applyFont="1">
      <alignment horizontal="center"/>
    </xf>
    <xf borderId="18" fillId="26" fontId="80" numFmtId="0" xfId="0" applyAlignment="1" applyBorder="1" applyFont="1">
      <alignment horizontal="center"/>
    </xf>
    <xf borderId="1" fillId="0" fontId="19" numFmtId="0" xfId="0" applyAlignment="1" applyBorder="1" applyFont="1">
      <alignment horizontal="center"/>
    </xf>
    <xf borderId="1" fillId="50" fontId="83" numFmtId="168" xfId="0" applyAlignment="1" applyBorder="1" applyFont="1" applyNumberFormat="1">
      <alignment horizontal="center"/>
    </xf>
    <xf borderId="1" fillId="50" fontId="89" numFmtId="0" xfId="0" applyBorder="1" applyFont="1"/>
    <xf borderId="1" fillId="50" fontId="90" numFmtId="0" xfId="0" applyAlignment="1" applyBorder="1" applyFont="1">
      <alignment horizontal="left" shrinkToFit="0" vertical="center" wrapText="1"/>
    </xf>
    <xf borderId="1" fillId="0" fontId="91" numFmtId="168" xfId="0" applyAlignment="1" applyBorder="1" applyFont="1" applyNumberFormat="1">
      <alignment horizontal="left" vertical="center"/>
    </xf>
    <xf borderId="1" fillId="50" fontId="89" numFmtId="168" xfId="0" applyBorder="1" applyFont="1" applyNumberFormat="1"/>
    <xf borderId="0" fillId="0" fontId="21" numFmtId="168" xfId="0" applyFont="1" applyNumberFormat="1"/>
    <xf borderId="1" fillId="0" fontId="92" numFmtId="168" xfId="0" applyAlignment="1" applyBorder="1" applyFont="1" applyNumberFormat="1">
      <alignment horizontal="right" vertical="top"/>
    </xf>
    <xf borderId="1" fillId="0" fontId="93" numFmtId="168" xfId="0" applyAlignment="1" applyBorder="1" applyFont="1" applyNumberFormat="1">
      <alignment horizontal="left" vertical="center"/>
    </xf>
    <xf borderId="1" fillId="50" fontId="94" numFmtId="168" xfId="0" applyBorder="1" applyFont="1" applyNumberFormat="1"/>
    <xf borderId="1" fillId="50" fontId="95" numFmtId="0" xfId="0" applyAlignment="1" applyBorder="1" applyFont="1">
      <alignment horizontal="left" shrinkToFit="0" vertical="center" wrapText="1"/>
    </xf>
    <xf borderId="1" fillId="0" fontId="96" numFmtId="168" xfId="0" applyAlignment="1" applyBorder="1" applyFont="1" applyNumberFormat="1">
      <alignment horizontal="left" vertical="center"/>
    </xf>
    <xf borderId="0" fillId="0" fontId="21" numFmtId="0" xfId="0" applyAlignment="1" applyFont="1">
      <alignment horizontal="left"/>
    </xf>
    <xf borderId="8" fillId="0" fontId="97" numFmtId="0" xfId="0" applyAlignment="1" applyBorder="1" applyFont="1">
      <alignment horizontal="center" shrinkToFit="0" textRotation="255" vertical="center" wrapText="1"/>
    </xf>
    <xf borderId="8" fillId="0" fontId="98" numFmtId="0" xfId="0" applyAlignment="1" applyBorder="1" applyFont="1">
      <alignment horizontal="center" shrinkToFit="0" vertical="center" wrapText="1"/>
    </xf>
    <xf borderId="1" fillId="0" fontId="99" numFmtId="0" xfId="0" applyAlignment="1" applyBorder="1" applyFont="1">
      <alignment horizontal="center" shrinkToFit="0" vertical="center" wrapText="1"/>
    </xf>
    <xf borderId="1" fillId="8" fontId="100" numFmtId="0" xfId="0" applyBorder="1" applyFont="1"/>
    <xf quotePrefix="1" borderId="1" fillId="27" fontId="101" numFmtId="168" xfId="0" applyAlignment="1" applyBorder="1" applyFont="1" applyNumberFormat="1">
      <alignment horizontal="center" vertical="center"/>
    </xf>
    <xf quotePrefix="1" borderId="1" fillId="51" fontId="102" numFmtId="168" xfId="0" applyAlignment="1" applyBorder="1" applyFill="1" applyFont="1" applyNumberFormat="1">
      <alignment horizontal="center" vertical="center"/>
    </xf>
    <xf borderId="1" fillId="52" fontId="103" numFmtId="0" xfId="0" applyBorder="1" applyFill="1" applyFont="1"/>
    <xf quotePrefix="1" borderId="1" fillId="0" fontId="104" numFmtId="168" xfId="0" applyAlignment="1" applyBorder="1" applyFont="1" applyNumberFormat="1">
      <alignment horizontal="center" vertical="center"/>
    </xf>
    <xf borderId="1" fillId="8" fontId="19" numFmtId="0" xfId="0" applyAlignment="1" applyBorder="1" applyFont="1">
      <alignment horizontal="center"/>
    </xf>
    <xf quotePrefix="1" borderId="1" fillId="8" fontId="105" numFmtId="168" xfId="0" applyAlignment="1" applyBorder="1" applyFont="1" applyNumberFormat="1">
      <alignment horizontal="center" vertical="center"/>
    </xf>
    <xf borderId="1" fillId="27" fontId="105" numFmtId="168" xfId="0" applyAlignment="1" applyBorder="1" applyFont="1" applyNumberFormat="1">
      <alignment horizontal="center" vertical="center"/>
    </xf>
    <xf quotePrefix="1" borderId="1" fillId="27" fontId="105" numFmtId="168" xfId="0" applyAlignment="1" applyBorder="1" applyFont="1" applyNumberFormat="1">
      <alignment horizontal="center" vertical="center"/>
    </xf>
    <xf quotePrefix="1" borderId="1" fillId="51" fontId="105" numFmtId="168" xfId="0" applyAlignment="1" applyBorder="1" applyFont="1" applyNumberFormat="1">
      <alignment horizontal="center" vertical="center"/>
    </xf>
    <xf quotePrefix="1" borderId="1" fillId="52" fontId="105" numFmtId="168" xfId="0" applyAlignment="1" applyBorder="1" applyFont="1" applyNumberFormat="1">
      <alignment horizontal="center" vertical="center"/>
    </xf>
    <xf borderId="1" fillId="26" fontId="105" numFmtId="168" xfId="0" applyAlignment="1" applyBorder="1" applyFont="1" applyNumberFormat="1">
      <alignment vertical="center"/>
    </xf>
    <xf quotePrefix="1" borderId="1" fillId="26" fontId="105" numFmtId="168" xfId="0" applyAlignment="1" applyBorder="1" applyFont="1" applyNumberFormat="1">
      <alignment vertical="center"/>
    </xf>
    <xf quotePrefix="1" borderId="1" fillId="26" fontId="105" numFmtId="168" xfId="0" applyAlignment="1" applyBorder="1" applyFont="1" applyNumberFormat="1">
      <alignment horizontal="center" vertical="center"/>
    </xf>
    <xf borderId="1" fillId="0" fontId="106" numFmtId="0" xfId="0" applyAlignment="1" applyBorder="1" applyFont="1">
      <alignment horizontal="left" shrinkToFit="0" vertical="center" wrapText="1"/>
    </xf>
    <xf borderId="1" fillId="27" fontId="106" numFmtId="0" xfId="0" applyAlignment="1" applyBorder="1" applyFont="1">
      <alignment horizontal="left" shrinkToFit="0" vertical="center" wrapText="1"/>
    </xf>
    <xf borderId="1" fillId="0" fontId="107" numFmtId="0" xfId="0" applyAlignment="1" applyBorder="1" applyFont="1">
      <alignment horizontal="left" shrinkToFit="0" vertical="center" wrapText="1"/>
    </xf>
    <xf borderId="1" fillId="26" fontId="91" numFmtId="168" xfId="0" applyAlignment="1" applyBorder="1" applyFont="1" applyNumberFormat="1">
      <alignment horizontal="left" vertical="center"/>
    </xf>
    <xf borderId="1" fillId="26" fontId="91" numFmtId="168" xfId="0" applyAlignment="1" applyBorder="1" applyFont="1" applyNumberFormat="1">
      <alignment vertical="center"/>
    </xf>
    <xf borderId="1" fillId="0" fontId="108" numFmtId="0" xfId="0" applyAlignment="1" applyBorder="1" applyFont="1">
      <alignment horizontal="left" shrinkToFit="0" vertical="center" wrapText="1"/>
    </xf>
    <xf borderId="1" fillId="0" fontId="109" numFmtId="0" xfId="0" applyAlignment="1" applyBorder="1" applyFont="1">
      <alignment horizontal="left" shrinkToFit="0" vertical="center" wrapText="1"/>
    </xf>
    <xf borderId="1" fillId="50" fontId="91" numFmtId="168" xfId="0" applyAlignment="1" applyBorder="1" applyFont="1" applyNumberFormat="1">
      <alignment horizontal="left" vertical="center"/>
    </xf>
    <xf borderId="1" fillId="0" fontId="110" numFmtId="0" xfId="0" applyAlignment="1" applyBorder="1" applyFont="1">
      <alignment horizontal="left" shrinkToFit="0" vertical="center" wrapText="1"/>
    </xf>
    <xf borderId="1" fillId="0" fontId="111" numFmtId="0" xfId="0" applyAlignment="1" applyBorder="1" applyFont="1">
      <alignment horizontal="left" shrinkToFit="0" vertical="center" wrapText="1"/>
    </xf>
    <xf borderId="1" fillId="8" fontId="91" numFmtId="168" xfId="0" applyAlignment="1" applyBorder="1" applyFont="1" applyNumberFormat="1">
      <alignment horizontal="left" vertical="center"/>
    </xf>
    <xf borderId="1" fillId="48" fontId="93" numFmtId="168" xfId="0" applyAlignment="1" applyBorder="1" applyFont="1" applyNumberFormat="1">
      <alignment horizontal="left" vertical="center"/>
    </xf>
    <xf borderId="1" fillId="48" fontId="91" numFmtId="168" xfId="0" applyAlignment="1" applyBorder="1" applyFont="1" applyNumberFormat="1">
      <alignment horizontal="left" vertical="center"/>
    </xf>
    <xf borderId="1" fillId="48" fontId="91" numFmtId="168" xfId="0" applyAlignment="1" applyBorder="1" applyFont="1" applyNumberFormat="1">
      <alignment vertical="center"/>
    </xf>
    <xf borderId="1" fillId="26" fontId="93" numFmtId="168" xfId="0" applyAlignment="1" applyBorder="1" applyFont="1" applyNumberFormat="1">
      <alignment horizontal="left" vertical="center"/>
    </xf>
    <xf borderId="1" fillId="0" fontId="21" numFmtId="168" xfId="0" applyAlignment="1" applyBorder="1" applyFont="1" applyNumberFormat="1">
      <alignment horizontal="right" vertical="top"/>
    </xf>
    <xf borderId="1" fillId="0" fontId="112" numFmtId="9" xfId="0" applyAlignment="1" applyBorder="1" applyFont="1" applyNumberFormat="1">
      <alignment horizontal="left" shrinkToFit="0" vertical="center" wrapText="1"/>
    </xf>
    <xf borderId="1" fillId="0" fontId="108" numFmtId="9" xfId="0" applyAlignment="1" applyBorder="1" applyFont="1" applyNumberFormat="1">
      <alignment horizontal="left" shrinkToFit="0" vertical="center" wrapText="1"/>
    </xf>
    <xf borderId="1" fillId="0" fontId="109" numFmtId="9" xfId="0" applyAlignment="1" applyBorder="1" applyFont="1" applyNumberFormat="1">
      <alignment horizontal="left" shrinkToFit="0" vertical="center" wrapText="1"/>
    </xf>
    <xf borderId="1" fillId="0" fontId="113" numFmtId="0" xfId="0" applyAlignment="1" applyBorder="1" applyFont="1">
      <alignment horizontal="left" shrinkToFit="0" vertical="center" wrapText="1"/>
    </xf>
    <xf borderId="1" fillId="0" fontId="114" numFmtId="0" xfId="0" applyAlignment="1" applyBorder="1" applyFont="1">
      <alignment horizontal="left" shrinkToFit="0" vertical="center" wrapText="1"/>
    </xf>
    <xf borderId="1" fillId="0" fontId="115" numFmtId="168" xfId="0" applyAlignment="1" applyBorder="1" applyFont="1" applyNumberFormat="1">
      <alignment horizontal="left" vertical="top"/>
    </xf>
    <xf borderId="1" fillId="0" fontId="112" numFmtId="0" xfId="0" applyAlignment="1" applyBorder="1" applyFont="1">
      <alignment horizontal="left" shrinkToFit="0" vertical="center" wrapText="1"/>
    </xf>
    <xf borderId="1" fillId="27" fontId="108" numFmtId="0" xfId="0" applyAlignment="1" applyBorder="1" applyFont="1">
      <alignment horizontal="left" shrinkToFit="0" vertical="center" wrapText="1"/>
    </xf>
    <xf borderId="1" fillId="0" fontId="112" numFmtId="1" xfId="0" applyAlignment="1" applyBorder="1" applyFont="1" applyNumberFormat="1">
      <alignment horizontal="left" shrinkToFit="1" vertical="center" wrapText="0"/>
    </xf>
    <xf borderId="1" fillId="0" fontId="21" numFmtId="168" xfId="0" applyAlignment="1" applyBorder="1" applyFont="1" applyNumberFormat="1">
      <alignment horizontal="left" vertical="top"/>
    </xf>
    <xf borderId="1" fillId="27" fontId="116" numFmtId="0" xfId="0" applyAlignment="1" applyBorder="1" applyFont="1">
      <alignment horizontal="left" vertical="top"/>
    </xf>
    <xf borderId="1" fillId="26" fontId="107" numFmtId="0" xfId="0" applyAlignment="1" applyBorder="1" applyFont="1">
      <alignment horizontal="left" shrinkToFit="0" vertical="center" wrapText="1"/>
    </xf>
    <xf borderId="1" fillId="26" fontId="96" numFmtId="168" xfId="0" applyAlignment="1" applyBorder="1" applyFont="1" applyNumberFormat="1">
      <alignment horizontal="left" vertical="center"/>
    </xf>
    <xf borderId="1" fillId="0" fontId="117" numFmtId="168" xfId="0" applyAlignment="1" applyBorder="1" applyFont="1" applyNumberFormat="1">
      <alignment horizontal="left" vertical="center"/>
    </xf>
    <xf borderId="1" fillId="0" fontId="21" numFmtId="168" xfId="0" applyAlignment="1" applyBorder="1" applyFont="1" applyNumberFormat="1">
      <alignment vertical="center"/>
    </xf>
    <xf borderId="1" fillId="0" fontId="118" numFmtId="0" xfId="0" applyAlignment="1" applyBorder="1" applyFont="1">
      <alignment horizontal="left" shrinkToFit="0" vertical="center" wrapText="1"/>
    </xf>
    <xf borderId="1" fillId="0" fontId="119" numFmtId="0" xfId="0" applyAlignment="1" applyBorder="1" applyFont="1">
      <alignment horizontal="left" shrinkToFit="0" vertical="center" wrapText="1"/>
    </xf>
    <xf borderId="1" fillId="0" fontId="36" numFmtId="0" xfId="0" applyAlignment="1" applyBorder="1" applyFont="1">
      <alignment horizontal="left" shrinkToFit="0" vertical="top" wrapText="1"/>
    </xf>
    <xf borderId="1" fillId="49" fontId="91" numFmtId="168" xfId="0" applyAlignment="1" applyBorder="1" applyFont="1" applyNumberFormat="1">
      <alignment horizontal="left" vertical="center"/>
    </xf>
    <xf borderId="1" fillId="0" fontId="120" numFmtId="0" xfId="0" applyAlignment="1" applyBorder="1" applyFont="1">
      <alignment horizontal="left" shrinkToFit="0" vertical="center" wrapText="1"/>
    </xf>
    <xf borderId="1" fillId="0" fontId="121" numFmtId="0" xfId="0" applyAlignment="1" applyBorder="1" applyFont="1">
      <alignment horizontal="left" shrinkToFit="0" vertical="center" wrapText="1"/>
    </xf>
    <xf borderId="1" fillId="50" fontId="91" numFmtId="180" xfId="0" applyAlignment="1" applyBorder="1" applyFont="1" applyNumberFormat="1">
      <alignment horizontal="left" vertical="center"/>
    </xf>
    <xf borderId="1" fillId="0" fontId="91" numFmtId="180" xfId="0" applyAlignment="1" applyBorder="1" applyFont="1" applyNumberFormat="1">
      <alignment horizontal="left" vertical="center"/>
    </xf>
    <xf borderId="1" fillId="50" fontId="93" numFmtId="168" xfId="0" applyAlignment="1" applyBorder="1" applyFont="1" applyNumberFormat="1">
      <alignment horizontal="left" vertical="center"/>
    </xf>
    <xf borderId="1" fillId="45" fontId="122" numFmtId="0" xfId="0" applyAlignment="1" applyBorder="1" applyFont="1">
      <alignment readingOrder="0" shrinkToFit="0" wrapText="0"/>
    </xf>
    <xf borderId="4" fillId="45" fontId="122" numFmtId="0" xfId="0" applyAlignment="1" applyBorder="1" applyFont="1">
      <alignment readingOrder="0" shrinkToFit="0" wrapText="0"/>
    </xf>
    <xf borderId="4" fillId="45" fontId="122" numFmtId="0" xfId="0" applyAlignment="1" applyBorder="1" applyFont="1">
      <alignment horizontal="center" readingOrder="0" shrinkToFit="0" wrapText="0"/>
    </xf>
    <xf borderId="12" fillId="46" fontId="40" numFmtId="0" xfId="0" applyAlignment="1" applyBorder="1" applyFont="1">
      <alignment readingOrder="0" shrinkToFit="0" wrapText="0"/>
    </xf>
    <xf borderId="2" fillId="46" fontId="40" numFmtId="0" xfId="0" applyAlignment="1" applyBorder="1" applyFont="1">
      <alignment readingOrder="0" shrinkToFit="0" wrapText="0"/>
    </xf>
    <xf borderId="2" fillId="46" fontId="123" numFmtId="0" xfId="0" applyAlignment="1" applyBorder="1" applyFont="1">
      <alignment shrinkToFit="0" wrapText="0"/>
    </xf>
    <xf borderId="12" fillId="0" fontId="123" numFmtId="0" xfId="0" applyAlignment="1" applyBorder="1" applyFont="1">
      <alignment readingOrder="0" shrinkToFit="0" wrapText="0"/>
    </xf>
    <xf borderId="2" fillId="11" fontId="123" numFmtId="0" xfId="0" applyAlignment="1" applyBorder="1" applyFont="1">
      <alignment readingOrder="0" shrinkToFit="0" wrapText="0"/>
    </xf>
    <xf borderId="2" fillId="0" fontId="123" numFmtId="0" xfId="0" applyAlignment="1" applyBorder="1" applyFont="1">
      <alignment horizontal="center" readingOrder="0" shrinkToFit="0" wrapText="0"/>
    </xf>
    <xf borderId="2" fillId="11" fontId="123" numFmtId="0" xfId="0" applyAlignment="1" applyBorder="1" applyFont="1">
      <alignment shrinkToFit="0" wrapText="0"/>
    </xf>
    <xf borderId="2" fillId="11" fontId="123" numFmtId="3" xfId="0" applyAlignment="1" applyBorder="1" applyFont="1" applyNumberFormat="1">
      <alignment horizontal="right" readingOrder="0" shrinkToFit="0" wrapText="0"/>
    </xf>
    <xf borderId="2" fillId="0" fontId="123" numFmtId="0" xfId="0" applyAlignment="1" applyBorder="1" applyFont="1">
      <alignment readingOrder="0" shrinkToFit="0" wrapText="0"/>
    </xf>
    <xf borderId="2" fillId="0" fontId="123" numFmtId="0" xfId="0" applyAlignment="1" applyBorder="1" applyFont="1">
      <alignment shrinkToFit="0" wrapText="0"/>
    </xf>
    <xf borderId="2" fillId="11" fontId="123" numFmtId="0" xfId="0" applyAlignment="1" applyBorder="1" applyFont="1">
      <alignment horizontal="center" readingOrder="0" shrinkToFit="0" wrapText="0"/>
    </xf>
    <xf borderId="12" fillId="0" fontId="123" numFmtId="0" xfId="0" applyAlignment="1" applyBorder="1" applyFont="1">
      <alignment horizontal="center" readingOrder="0" shrinkToFit="0" wrapText="0"/>
    </xf>
    <xf borderId="2" fillId="22" fontId="123" numFmtId="0" xfId="0" applyAlignment="1" applyBorder="1" applyFont="1">
      <alignment readingOrder="0" shrinkToFit="0" wrapText="0"/>
    </xf>
    <xf borderId="12" fillId="11" fontId="123" numFmtId="0" xfId="0" applyAlignment="1" applyBorder="1" applyFont="1">
      <alignment readingOrder="0" shrinkToFit="0" wrapText="0"/>
    </xf>
    <xf borderId="12" fillId="46" fontId="123" numFmtId="0" xfId="0" applyAlignment="1" applyBorder="1" applyFont="1">
      <alignment readingOrder="0" shrinkToFit="0" wrapText="0"/>
    </xf>
    <xf borderId="2" fillId="46" fontId="123" numFmtId="0" xfId="0" applyAlignment="1" applyBorder="1" applyFont="1">
      <alignment readingOrder="0" shrinkToFit="0" wrapText="0"/>
    </xf>
    <xf borderId="2" fillId="0" fontId="124" numFmtId="3" xfId="0" applyAlignment="1" applyBorder="1" applyFont="1" applyNumberFormat="1">
      <alignment readingOrder="0" shrinkToFit="0" vertical="top" wrapText="0"/>
    </xf>
    <xf borderId="2" fillId="0" fontId="123" numFmtId="3" xfId="0" applyAlignment="1" applyBorder="1" applyFont="1" applyNumberFormat="1">
      <alignment horizontal="right" readingOrder="0" shrinkToFit="0" wrapText="0"/>
    </xf>
    <xf borderId="2" fillId="11" fontId="123" numFmtId="3" xfId="0" applyAlignment="1" applyBorder="1" applyFont="1" applyNumberFormat="1">
      <alignment horizontal="center" readingOrder="0" shrinkToFit="0" wrapText="0"/>
    </xf>
    <xf borderId="12" fillId="0" fontId="123" numFmtId="0" xfId="0" applyAlignment="1" applyBorder="1" applyFont="1">
      <alignment shrinkToFit="0" wrapText="0"/>
    </xf>
    <xf borderId="12" fillId="46" fontId="123" numFmtId="0" xfId="0" applyAlignment="1" applyBorder="1" applyFont="1">
      <alignment shrinkToFit="0" wrapText="0"/>
    </xf>
    <xf borderId="2" fillId="0" fontId="124" numFmtId="0" xfId="0" applyAlignment="1" applyBorder="1" applyFont="1">
      <alignment readingOrder="0" shrinkToFit="0" vertical="top" wrapText="0"/>
    </xf>
    <xf borderId="2" fillId="0" fontId="124" numFmtId="0" xfId="0" applyAlignment="1" applyBorder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>
  <Task id="{d0173605-9410-4d49-891f-125c52f1702e}">
    <Anchor>
      <Comment id="{3b54c7e8-f67b-4d17-a95e-08af4b6c8747}"/>
    </Anchor>
    <History>
      <Event time="2025-08-09T08:52:58.00" id="{9cc92912-5a0e-401d-ada5-1abb05ad49a0}">
        <Attribution userId="placeholder@email.com" userName="Sentra Kaca Mobil" userProvider="google-sheets"/>
        <Anchor>
          <Comment id="{3b54c7e8-f67b-4d17-a95e-08af4b6c8747}"/>
        </Anchor>
        <Create/>
      </Event>
      <Event time="2025-08-09T08:52:58.00" id="{6aed2f72-e3cb-4425-bc41-a6545f308dd2}">
        <Attribution userId="placeholder@email.com" userName="Sentra Kaca Mobil" userProvider="google-sheets"/>
        <Anchor>
          <Comment id="{3b54c7e8-f67b-4d17-a95e-08af4b6c8747}"/>
        </Anchor>
        <Assign userId="tharinatirta.sentra@gmail.com" userName="tharinatirta.sentra@gmail.com" userProvider="google-sheets"/>
      </Event>
    </History>
  </Task>
</Tasks>
</file>

<file path=xl/documenttasks/documenttask2.xml><?xml version="1.0" encoding="utf-8"?>
<Tasks xmlns="http://schemas.microsoft.com/office/tasks/2019/documenttasks"/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20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20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9</xdr:row>
      <xdr:rowOff>180975</xdr:rowOff>
    </xdr:from>
    <xdr:ext cx="1019175" cy="3714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20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20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20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20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20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20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20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20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20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</xdr:colOff>
      <xdr:row>19</xdr:row>
      <xdr:rowOff>85725</xdr:rowOff>
    </xdr:from>
    <xdr:ext cx="1019175" cy="371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20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20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333375</xdr:colOff>
      <xdr:row>21</xdr:row>
      <xdr:rowOff>57150</xdr:rowOff>
    </xdr:from>
    <xdr:ext cx="1019175" cy="3714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24</xdr:row>
      <xdr:rowOff>47625</xdr:rowOff>
    </xdr:from>
    <xdr:ext cx="1171575" cy="4572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18</xdr:row>
      <xdr:rowOff>47625</xdr:rowOff>
    </xdr:from>
    <xdr:ext cx="1171575" cy="4572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19</xdr:row>
      <xdr:rowOff>28575</xdr:rowOff>
    </xdr:from>
    <xdr:ext cx="1019175" cy="371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21</xdr:row>
      <xdr:rowOff>57150</xdr:rowOff>
    </xdr:from>
    <xdr:ext cx="1019175" cy="371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23</xdr:row>
      <xdr:rowOff>28575</xdr:rowOff>
    </xdr:from>
    <xdr:ext cx="1019175" cy="371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23</xdr:row>
      <xdr:rowOff>123825</xdr:rowOff>
    </xdr:from>
    <xdr:ext cx="1019175" cy="371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23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23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20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20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19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49</xdr:row>
      <xdr:rowOff>142875</xdr:rowOff>
    </xdr:from>
    <xdr:ext cx="1019175" cy="371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17</xdr:row>
      <xdr:rowOff>47625</xdr:rowOff>
    </xdr:from>
    <xdr:ext cx="1171575" cy="4572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46</xdr:row>
      <xdr:rowOff>114300</xdr:rowOff>
    </xdr:from>
    <xdr:ext cx="1171575" cy="4572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20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19</xdr:row>
      <xdr:rowOff>114300</xdr:rowOff>
    </xdr:from>
    <xdr:ext cx="1019175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17</xdr:row>
      <xdr:rowOff>95250</xdr:rowOff>
    </xdr:from>
    <xdr:ext cx="11715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2</xdr:row>
      <xdr:rowOff>38100</xdr:rowOff>
    </xdr:from>
    <xdr:ext cx="1838325" cy="18383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561975</xdr:colOff>
      <xdr:row>2</xdr:row>
      <xdr:rowOff>38100</xdr:rowOff>
    </xdr:from>
    <xdr:ext cx="1838325" cy="18383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561975</xdr:colOff>
      <xdr:row>24</xdr:row>
      <xdr:rowOff>19050</xdr:rowOff>
    </xdr:from>
    <xdr:ext cx="1838325" cy="18383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24</xdr:row>
      <xdr:rowOff>19050</xdr:rowOff>
    </xdr:from>
    <xdr:ext cx="1838325" cy="18383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ntra Kaca Mobil" id="{b6079291-608b-4d87-b867-7d267d620b6f}" providerId="google-sheets"/>
  <x18tc:person displayName="Tharina Tirta" id="{5463a342-0c45-4c37-8418-88789a00c28c}" providerId="google-sheets"/>
  <x18tc:person displayName="adriankurniawan" id="{ec7ea0a5-4e32-4f0c-9b81-a32a5762c027}" providerId="google-sheets"/>
  <x18tc:person displayName="tharinatirta.sentra@gmail.com" id="{cd706f9a-53a4-423a-a22e-3da58402d2a5}" userId="tharinatirta.sentra@gmai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77" dT="2025-07-09T05:07:16.00" personId="{5463a342-0c45-4c37-8418-88789a00c28c}" id="{80264e1e-27ed-447d-8462-fa142e3b3a85}" done="1">
    <x18tc:text xml:space="preserve">udh review +6 bln garansi</x18tc:text>
  </x18tc:threadedComment>
  <x18tc:threadedComment ref="B1262" dT="2025-11-12T04:02:13.00" personId="{5463a342-0c45-4c37-8418-88789a00c28c}" id="{66baa626-7c41-4a5b-be2d-5924590900e0}" done="1">
    <x18tc:text xml:space="preserve">K250055</x18tc:text>
  </x18tc:threadedComment>
  <x18tc:threadedComment ref="B432" dT="2025-07-19T09:37:34.00" personId="{5463a342-0c45-4c37-8418-88789a00c28c}" id="{ea26039a-1888-4a6a-84d6-1a0ece794d20}" done="1">
    <x18tc:text xml:space="preserve">+6 bulan</x18tc:text>
  </x18tc:threadedComment>
  <x18tc:threadedComment ref="B1207" dT="2025-11-05T06:00:50.00" personId="{5463a342-0c45-4c37-8418-88789a00c28c}" id="{0f43cae8-7ced-42bc-8756-9deb992e6f1e}" done="1">
    <x18tc:text xml:space="preserve">1.5 tahun</x18tc:text>
  </x18tc:threadedComment>
  <x18tc:threadedComment ref="C460" dT="2025-08-09T08:52:58.00" personId="{b6079291-608b-4d87-b867-7d267d620b6f}" id="{3b54c7e8-f67b-4d17-a95e-08af4b6c8747}" done="1">
    <x18tc:text xml:space="preserve">@tharinatirta.sentra@gmail.com Ini harusnya LFW-STARGAZERRSXYG.. jangan salah input ya ,nnti stoknya ngaco :*
udh gua benerin
Ditugaskan kepada tharinatirta.sentra@gmail.com</x18tc:text>
    <x18tc:mentions>
      <x18tc:mention mentionpersonId="{cd706f9a-53a4-423a-a22e-3da58402d2a5}" mentionId="{ca56c63e-2085-4c47-81a4-cb9779e40792}" startIndex="0" length="30"/>
    </x18tc:mentions>
  </x18tc:threadedComment>
  <x18tc:threadedComment ref="B2299" dT="2026-03-02T10:28:55.00" personId="{b6079291-608b-4d87-b867-7d267d620b6f}" id="{4f01e5bc-3350-4c6c-86c6-b52f5d474945}" done="1">
    <x18tc:text xml:space="preserve">BLUM BAYAR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256" dT="2026-01-19T10:21:12.00" personId="{b6079291-608b-4d87-b867-7d267d620b6f}" id="{ff29ebd7-86f1-40c2-b104-300a4322b4cd}" done="1">
    <x18tc:text xml:space="preserve">SISA 7</x18tc:text>
  </x18tc:threadedComment>
  <x18tc:threadedComment ref="F1256" dT="2026-01-21T01:53:51.00" personId="{b6079291-608b-4d87-b867-7d267d620b6f}" id="{89907e3c-36b0-4121-8c8e-bfe713b3761c}" parentId="{ff29ebd7-86f1-40c2-b104-300a4322b4cd}">
    <x18tc:text xml:space="preserve">+3. sisa 4</x18tc:text>
  </x18tc:threadedComment>
  <x18tc:threadedComment ref="D284" dT="2025-11-26T02:45:22.00" personId="{ec7ea0a5-4e32-4f0c-9b81-a32a5762c027}" id="{1b6a60a6-e0a7-40f0-87b1-ee33b529b8cf}" done="1">
    <x18tc:text xml:space="preserve">Bantu ubah LFW-MAZDA214RS3XYG , karena fisik kaca yang di pakai juga rs3</x18tc:text>
  </x18tc:threadedComment>
  <x18tc:threadedComment ref="D791" dT="2025-10-31T10:08:27.00" personId="{b6079291-608b-4d87-b867-7d267d620b6f}" id="{c828df3a-0bfb-480f-9996-8a4eddb23574}" done="1">
    <x18tc:text xml:space="preserve">ini harus - 200k, defect kaca cacat</x18tc:text>
  </x18tc:threadedComment>
  <x18tc:threadedComment ref="B502" dT="2025-08-16T06:42:54.00" personId="{b6079291-608b-4d87-b867-7d267d620b6f}" id="{312c1c6d-0f15-4e67-abe2-a7b418033a3e}" done="1">
    <x18tc:text xml:space="preserve">Nota belum ada</x18tc:text>
  </x18tc:threadedComment>
  <x18tc:threadedComment ref="B502" dT="2025-08-21T05:25:29.00" personId="{b6079291-608b-4d87-b867-7d267d620b6f}" id="{5760ffa8-5fe5-4233-9dd6-fb5da8916018}" parentId="{312c1c6d-0f15-4e67-abe2-a7b418033a3e}">
    <x18tc:text xml:space="preserve">dikirim notanya 21/8/25
Ditandai selesai</x18tc:text>
  </x18tc:threadedComment>
  <x18tc:threadedComment ref="F1196" dT="2026-01-02T11:35:26.00" personId="{b6079291-608b-4d87-b867-7d267d620b6f}" id="{c94b33d7-616b-4150-b370-5eca27901dd9}" done="1">
    <x18tc:text xml:space="preserve">SISA 9</x18tc:text>
  </x18tc:threadedComment>
  <x18tc:threadedComment ref="F1196" dT="2026-01-05T11:40:37.00" personId="{b6079291-608b-4d87-b867-7d267d620b6f}" id="{d151793f-0d1f-47b3-a175-981681f9b2ce}" parentId="{c94b33d7-616b-4150-b370-5eca27901dd9}">
    <x18tc:text xml:space="preserve">dtg 9 hari ini</x18tc:text>
  </x18tc:threadedComment>
  <x18tc:threadedComment ref="F1253" dT="2026-01-19T10:20:46.00" personId="{b6079291-608b-4d87-b867-7d267d620b6f}" id="{44306a07-38ac-4a74-a9cc-bc949c640466}" done="1">
    <x18tc:text xml:space="preserve">SISA 9</x18tc:text>
  </x18tc:threadedComment>
  <x18tc:threadedComment ref="B415" dT="2025-08-26T09:38:24.00" personId="{b6079291-608b-4d87-b867-7d267d620b6f}" id="{0d7aefa3-a2ec-486c-9a9d-caf5b8abc7fc}" done="1">
    <x18tc:text xml:space="preserve">BLM AMBIL</x18tc:text>
  </x18tc:threadedComment>
  <x18tc:threadedComment ref="F507" dT="2025-08-19T03:28:46.00" personId="{b6079291-608b-4d87-b867-7d267d620b6f}" id="{3b8a6fc5-6a7a-4388-919c-4d789c7477be}" done="1">
    <x18tc:text xml:space="preserve">1 lg ke bekasi</x18tc:text>
  </x18tc:threadedComment>
  <x18tc:threadedComment ref="F507" dT="2025-08-19T03:28:58.00" personId="{b6079291-608b-4d87-b867-7d267d620b6f}" id="{716f2dcc-9d8c-4659-a2eb-690d79a2c1a5}" parentId="{3b8a6fc5-6a7a-4388-919c-4d789c7477be}">
    <x18tc:text xml:space="preserve">nnti klo udh ready bekasi, dibuat sj ke bekasi aja</x18tc:text>
  </x18tc:threadedComment>
  <x18tc:threadedComment ref="F1197" dT="2026-01-02T11:35:31.00" personId="{b6079291-608b-4d87-b867-7d267d620b6f}" id="{45e2b29c-4335-452f-861c-08a831b410e6}" done="1">
    <x18tc:text xml:space="preserve">SISA 7</x18tc:text>
  </x18tc:threadedComment>
  <x18tc:threadedComment ref="F1197" dT="2026-01-05T11:40:49.00" personId="{b6079291-608b-4d87-b867-7d267d620b6f}" id="{761fe9dd-b4e7-42ef-8344-33bc21d7f23b}" parentId="{45e2b29c-4335-452f-861c-08a831b410e6}">
    <x18tc:text xml:space="preserve">datang 7 hari ini</x18tc:text>
  </x18tc:threadedComment>
  <x18tc:threadedComment ref="D1426" dT="2026-03-31T02:52:28.00" personId="{b6079291-608b-4d87-b867-7d267d620b6f}" id="{86f76dce-3d35-499f-862e-8f4eb74c8d81}" done="1">
    <x18tc:text xml:space="preserve">nota swr, cek fisik</x18tc:text>
  </x18tc:threadedComment>
  <x18tc:threadedComment ref="D1426" dT="2026-03-31T03:16:13.00" personId="{b6079291-608b-4d87-b867-7d267d620b6f}" id="{6666478e-3a52-460d-b071-9a85fd74f2da}" parentId="{86f76dce-3d35-499f-862e-8f4eb74c8d81}">
    <x18tc:text xml:space="preserve">swr fisiknya</x18tc:text>
  </x18tc:threadedComment>
  <x18tc:threadedComment ref="F1254" dT="2026-01-19T10:20:54.00" personId="{b6079291-608b-4d87-b867-7d267d620b6f}" id="{754d32c2-8388-49ab-a7a0-7261215ebe11}" done="1">
    <x18tc:text xml:space="preserve">SISA 9</x18tc:text>
  </x18tc:threadedComment>
  <x18tc:threadedComment ref="G518" dT="2025-08-22T04:31:40.00" personId="{b6079291-608b-4d87-b867-7d267d620b6f}" id="{969f8356-f326-43c4-ba3c-21179cbf3c29}" done="1">
    <x18tc:text xml:space="preserve">Harganya masih salah</x18tc:text>
  </x18tc:threadedComment>
  <x18tc:threadedComment ref="F495" dT="2025-08-14T10:12:27.00" personId="{ec7ea0a5-4e32-4f0c-9b81-a32a5762c027}" id="{a8ea8b9f-1e67-4174-89b3-2a4935d31c3d}" done="1">
    <x18tc:text xml:space="preserve">MJD Kurang kirim 5</x18tc:text>
  </x18tc:threadedComment>
  <x18tc:threadedComment ref="F495" dT="2025-08-16T06:40:05.00" personId="{b6079291-608b-4d87-b867-7d267d620b6f}" id="{d247ca35-8a51-4cdf-a5da-4e087292f485}" parentId="{a8ea8b9f-1e67-4174-89b3-2a4935d31c3d}">
    <x18tc:text xml:space="preserve">minus 1 minta ganti sudah di acc</x18tc:text>
  </x18tc:threadedComment>
  <x18tc:threadedComment ref="D1460" dT="2026-03-31T03:51:55.00" personId="{b6079291-608b-4d87-b867-7d267d620b6f}" id="{f2f4292a-94e9-4627-b4b9-7d0dfdeeb85c}" done="0">
    <x18tc:text xml:space="preserve">NOTA FDR, CEK FISIK</x18tc:text>
  </x18tc:threadedComment>
  <x18tc:threadedComment ref="F1255" dT="2026-01-19T10:21:01.00" personId="{b6079291-608b-4d87-b867-7d267d620b6f}" id="{a4512524-c22f-4f1e-9ca0-b571f5846bbe}" done="1">
    <x18tc:text xml:space="preserve">SISA 9</x18tc:text>
  </x18tc:threadedComment>
  <x18tc:threadedComment ref="D380" dT="2025-07-28T10:25:23.00" personId="{b6079291-608b-4d87-b867-7d267d620b6f}" id="{3a4d40e9-4735-482b-a6e8-402aded0095a}" done="1">
    <x18tc:text xml:space="preserve">RETUR, plug heater gepeng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2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3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9.xml"/><Relationship Id="rId5" Type="http://schemas.openxmlformats.org/officeDocument/2006/relationships/vmlDrawing" Target="../drawings/vmlDrawing4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71"/>
    <col customWidth="1" min="2" max="2" width="20.71"/>
    <col customWidth="1" min="3" max="3" width="53.43"/>
    <col customWidth="1" min="4" max="4" width="6.29"/>
    <col customWidth="1" min="5" max="5" width="5.0"/>
    <col customWidth="1" min="6" max="6" width="23.57"/>
    <col customWidth="1" min="7" max="7" width="8.43"/>
    <col customWidth="1" min="8" max="8" width="6.71"/>
    <col customWidth="1" min="9" max="9" width="6.57"/>
    <col customWidth="1" min="10" max="10" width="5.71"/>
    <col customWidth="1" min="11" max="11" width="25.43"/>
    <col customWidth="1" min="12" max="12" width="3.29"/>
    <col customWidth="1" min="13" max="13" width="6.57"/>
    <col customWidth="1" min="14" max="16" width="35.14"/>
  </cols>
  <sheetData>
    <row r="1" ht="1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6</v>
      </c>
      <c r="M1" s="8" t="s">
        <v>11</v>
      </c>
      <c r="N1" s="9" t="s">
        <v>12</v>
      </c>
      <c r="O1" s="10"/>
      <c r="P1" s="10"/>
    </row>
    <row r="2" ht="13.5" customHeight="1">
      <c r="A2" s="11" t="str">
        <f t="shared" ref="A2:A1754" si="1">CONCATENATE(B2,E2)</f>
        <v>OTH-SEALANTXYG</v>
      </c>
      <c r="B2" s="12" t="s">
        <v>13</v>
      </c>
      <c r="C2" s="13" t="s">
        <v>14</v>
      </c>
      <c r="D2" s="11" t="s">
        <v>15</v>
      </c>
      <c r="E2" s="11" t="s">
        <v>16</v>
      </c>
      <c r="F2" s="11"/>
      <c r="G2" s="14"/>
      <c r="H2" s="11">
        <f>SUMIFS(X!$F$3:$F$5978,X!$D$3:$D$5978,'Current Stock'!A2)</f>
        <v>0</v>
      </c>
      <c r="I2" s="11">
        <f>SUMIFS(PENJUALAN!$E$4:$E$3651,PENJUALAN!$C$4:$C$3651,'Current Stock'!A2)</f>
        <v>0</v>
      </c>
      <c r="J2" s="15">
        <f t="shared" ref="J2:J2244" si="2">H2-I2</f>
        <v>0</v>
      </c>
      <c r="K2" s="11"/>
      <c r="L2" s="11"/>
      <c r="M2" s="16">
        <v>10.0</v>
      </c>
      <c r="N2" s="11"/>
      <c r="O2" s="17"/>
      <c r="P2" s="17"/>
    </row>
    <row r="3" ht="13.5" customHeight="1">
      <c r="A3" s="11" t="str">
        <f t="shared" si="1"/>
        <v>OTH-PETIKAYU</v>
      </c>
      <c r="B3" s="12" t="s">
        <v>17</v>
      </c>
      <c r="C3" s="11" t="s">
        <v>18</v>
      </c>
      <c r="D3" s="11" t="s">
        <v>15</v>
      </c>
      <c r="E3" s="11" t="s">
        <v>19</v>
      </c>
      <c r="F3" s="11"/>
      <c r="G3" s="14">
        <v>45988.0</v>
      </c>
      <c r="H3" s="11">
        <f>SUMIFS(X!$F$3:$F$5978,X!$D$3:$D$5978,'Current Stock'!A3)</f>
        <v>1</v>
      </c>
      <c r="I3" s="11">
        <f>SUMIFS(PENJUALAN!$E$4:$E$3651,PENJUALAN!$C$4:$C$3651,'Current Stock'!A3)</f>
        <v>27</v>
      </c>
      <c r="J3" s="15">
        <f t="shared" si="2"/>
        <v>-26</v>
      </c>
      <c r="K3" s="11"/>
      <c r="L3" s="11"/>
      <c r="M3" s="16">
        <v>10.0</v>
      </c>
      <c r="N3" s="11"/>
      <c r="O3" s="17"/>
      <c r="P3" s="17"/>
    </row>
    <row r="4" ht="13.5" customHeight="1">
      <c r="A4" s="11" t="str">
        <f t="shared" si="1"/>
        <v>OTH-SERTR</v>
      </c>
      <c r="B4" s="18" t="s">
        <v>20</v>
      </c>
      <c r="C4" s="13" t="s">
        <v>21</v>
      </c>
      <c r="D4" s="11" t="s">
        <v>15</v>
      </c>
      <c r="E4" s="13" t="s">
        <v>22</v>
      </c>
      <c r="F4" s="11"/>
      <c r="G4" s="14"/>
      <c r="H4" s="11">
        <f>SUMIFS(X!$F$3:$F$5978,X!$D$3:$D$5978,'Current Stock'!A4)</f>
        <v>0</v>
      </c>
      <c r="I4" s="11">
        <f>SUMIFS(PENJUALAN!$E$4:$E$3651,PENJUALAN!$C$4:$C$3651,'Current Stock'!A4)</f>
        <v>0</v>
      </c>
      <c r="J4" s="15">
        <f t="shared" si="2"/>
        <v>0</v>
      </c>
      <c r="K4" s="11"/>
      <c r="L4" s="11"/>
      <c r="M4" s="16"/>
      <c r="N4" s="11"/>
      <c r="O4" s="17"/>
      <c r="P4" s="17"/>
    </row>
    <row r="5" ht="13.5" customHeight="1">
      <c r="A5" s="11" t="str">
        <f t="shared" si="1"/>
        <v>OTH-SERBY</v>
      </c>
      <c r="B5" s="18" t="s">
        <v>20</v>
      </c>
      <c r="C5" s="13" t="s">
        <v>23</v>
      </c>
      <c r="D5" s="13" t="s">
        <v>15</v>
      </c>
      <c r="E5" s="13" t="s">
        <v>24</v>
      </c>
      <c r="F5" s="11"/>
      <c r="G5" s="14">
        <v>45988.0</v>
      </c>
      <c r="H5" s="11">
        <f>SUMIFS(X!$F$3:$F$5978,X!$D$3:$D$5978,'Current Stock'!A5)</f>
        <v>1540</v>
      </c>
      <c r="I5" s="11">
        <f>SUMIFS(PENJUALAN!$E$4:$E$3651,PENJUALAN!$C$4:$C$3651,'Current Stock'!A5)</f>
        <v>270</v>
      </c>
      <c r="J5" s="15">
        <f t="shared" si="2"/>
        <v>1270</v>
      </c>
      <c r="K5" s="11"/>
      <c r="L5" s="11"/>
      <c r="M5" s="16"/>
      <c r="N5" s="11"/>
      <c r="O5" s="17"/>
      <c r="P5" s="17"/>
    </row>
    <row r="6" ht="13.5" customHeight="1">
      <c r="A6" s="11" t="str">
        <f t="shared" si="1"/>
        <v>OTH-SERSK</v>
      </c>
      <c r="B6" s="18" t="s">
        <v>20</v>
      </c>
      <c r="C6" s="13" t="s">
        <v>25</v>
      </c>
      <c r="D6" s="13" t="s">
        <v>15</v>
      </c>
      <c r="E6" s="13" t="s">
        <v>26</v>
      </c>
      <c r="F6" s="11"/>
      <c r="G6" s="14">
        <v>45988.0</v>
      </c>
      <c r="H6" s="11">
        <f>SUMIFS(X!$F$3:$F$5978,X!$D$3:$D$5978,'Current Stock'!A6)</f>
        <v>90</v>
      </c>
      <c r="I6" s="11">
        <f>SUMIFS(PENJUALAN!$E$4:$E$3651,PENJUALAN!$C$4:$C$3651,'Current Stock'!A6)</f>
        <v>84</v>
      </c>
      <c r="J6" s="15">
        <f t="shared" si="2"/>
        <v>6</v>
      </c>
      <c r="K6" s="11"/>
      <c r="L6" s="11"/>
      <c r="M6" s="16"/>
      <c r="N6" s="11"/>
      <c r="O6" s="17"/>
      <c r="P6" s="17"/>
    </row>
    <row r="7" ht="13.5" customHeight="1">
      <c r="A7" s="11" t="str">
        <f t="shared" si="1"/>
        <v>OTH-SEROTO</v>
      </c>
      <c r="B7" s="18" t="s">
        <v>20</v>
      </c>
      <c r="C7" s="13" t="s">
        <v>27</v>
      </c>
      <c r="D7" s="13" t="s">
        <v>15</v>
      </c>
      <c r="E7" s="13" t="s">
        <v>28</v>
      </c>
      <c r="F7" s="11"/>
      <c r="G7" s="14"/>
      <c r="H7" s="11">
        <f>SUMIFS(X!$F$3:$F$5978,X!$D$3:$D$5978,'Current Stock'!A7)</f>
        <v>5</v>
      </c>
      <c r="I7" s="11">
        <f>SUMIFS(PENJUALAN!$E$4:$E$3651,PENJUALAN!$C$4:$C$3651,'Current Stock'!A7)</f>
        <v>0</v>
      </c>
      <c r="J7" s="15">
        <f t="shared" si="2"/>
        <v>5</v>
      </c>
      <c r="K7" s="11"/>
      <c r="L7" s="11"/>
      <c r="M7" s="16"/>
      <c r="N7" s="11"/>
      <c r="O7" s="17"/>
      <c r="P7" s="17"/>
    </row>
    <row r="8" ht="13.5" customHeight="1">
      <c r="A8" s="11" t="str">
        <f t="shared" si="1"/>
        <v>OTH-SERTRANSPORT</v>
      </c>
      <c r="B8" s="18" t="s">
        <v>20</v>
      </c>
      <c r="C8" s="13" t="s">
        <v>29</v>
      </c>
      <c r="D8" s="11" t="s">
        <v>15</v>
      </c>
      <c r="E8" s="13" t="s">
        <v>30</v>
      </c>
      <c r="F8" s="11"/>
      <c r="G8" s="14">
        <v>45988.0</v>
      </c>
      <c r="H8" s="11">
        <f>SUMIFS(X!$F$3:$F$5978,X!$D$3:$D$5978,'Current Stock'!A8)</f>
        <v>1</v>
      </c>
      <c r="I8" s="11">
        <f>SUMIFS(PENJUALAN!$E$4:$E$3651,PENJUALAN!$C$4:$C$3651,'Current Stock'!A8)</f>
        <v>479</v>
      </c>
      <c r="J8" s="15">
        <f t="shared" si="2"/>
        <v>-478</v>
      </c>
      <c r="K8" s="11"/>
      <c r="L8" s="11"/>
      <c r="M8" s="16"/>
      <c r="N8" s="11"/>
      <c r="O8" s="17"/>
      <c r="P8" s="17"/>
    </row>
    <row r="9" ht="13.5" customHeight="1">
      <c r="A9" s="11" t="str">
        <f t="shared" si="1"/>
        <v>OTH-LIST04TOYDAI</v>
      </c>
      <c r="B9" s="12" t="s">
        <v>31</v>
      </c>
      <c r="C9" s="13" t="s">
        <v>32</v>
      </c>
      <c r="D9" s="11" t="s">
        <v>15</v>
      </c>
      <c r="E9" s="11" t="s">
        <v>33</v>
      </c>
      <c r="F9" s="11"/>
      <c r="G9" s="14">
        <v>45988.0</v>
      </c>
      <c r="H9" s="11">
        <f>SUMIFS(X!$F$3:$F$5978,X!$D$3:$D$5978,'Current Stock'!A9)</f>
        <v>57</v>
      </c>
      <c r="I9" s="11">
        <f>SUMIFS(PENJUALAN!$E$4:$E$3651,PENJUALAN!$C$4:$C$3651,'Current Stock'!A9)</f>
        <v>31</v>
      </c>
      <c r="J9" s="15">
        <f t="shared" si="2"/>
        <v>26</v>
      </c>
      <c r="K9" s="11"/>
      <c r="L9" s="11"/>
      <c r="M9" s="16">
        <v>2.0</v>
      </c>
      <c r="N9" s="11"/>
      <c r="O9" s="17"/>
      <c r="P9" s="17"/>
    </row>
    <row r="10" ht="13.5" customHeight="1">
      <c r="A10" s="11" t="str">
        <f t="shared" si="1"/>
        <v>OTH-LIST11TOYDAI</v>
      </c>
      <c r="B10" s="12" t="s">
        <v>34</v>
      </c>
      <c r="C10" s="13" t="s">
        <v>35</v>
      </c>
      <c r="D10" s="11" t="s">
        <v>15</v>
      </c>
      <c r="E10" s="11" t="s">
        <v>33</v>
      </c>
      <c r="F10" s="11"/>
      <c r="G10" s="14">
        <v>45988.0</v>
      </c>
      <c r="H10" s="11">
        <f>SUMIFS(X!$F$3:$F$5978,X!$D$3:$D$5978,'Current Stock'!A10)</f>
        <v>35</v>
      </c>
      <c r="I10" s="11">
        <f>SUMIFS(PENJUALAN!$E$4:$E$3651,PENJUALAN!$C$4:$C$3651,'Current Stock'!A10)</f>
        <v>22</v>
      </c>
      <c r="J10" s="15">
        <f t="shared" si="2"/>
        <v>13</v>
      </c>
      <c r="K10" s="11"/>
      <c r="L10" s="11"/>
      <c r="M10" s="16">
        <v>2.0</v>
      </c>
      <c r="N10" s="11"/>
      <c r="O10" s="17"/>
      <c r="P10" s="17"/>
    </row>
    <row r="11" ht="13.5" customHeight="1">
      <c r="A11" s="11" t="str">
        <f t="shared" si="1"/>
        <v>OTH-LISTINVTOY</v>
      </c>
      <c r="B11" s="12" t="s">
        <v>36</v>
      </c>
      <c r="C11" s="11" t="s">
        <v>37</v>
      </c>
      <c r="D11" s="11" t="s">
        <v>15</v>
      </c>
      <c r="E11" s="11" t="s">
        <v>38</v>
      </c>
      <c r="F11" s="11"/>
      <c r="G11" s="14">
        <v>45988.0</v>
      </c>
      <c r="H11" s="11">
        <f>SUMIFS(X!$F$3:$F$5978,X!$D$3:$D$5978,'Current Stock'!A11)</f>
        <v>25</v>
      </c>
      <c r="I11" s="11">
        <f>SUMIFS(PENJUALAN!$E$4:$E$3651,PENJUALAN!$C$4:$C$3651,'Current Stock'!A11)</f>
        <v>19</v>
      </c>
      <c r="J11" s="15">
        <f t="shared" si="2"/>
        <v>6</v>
      </c>
      <c r="K11" s="11"/>
      <c r="L11" s="11"/>
      <c r="M11" s="16">
        <v>2.0</v>
      </c>
      <c r="N11" s="11"/>
      <c r="O11" s="17"/>
      <c r="P11" s="17"/>
    </row>
    <row r="12" ht="13.5" customHeight="1">
      <c r="A12" s="11" t="str">
        <f t="shared" si="1"/>
        <v>OTH-LISTWSERT12SGP</v>
      </c>
      <c r="B12" s="18" t="s">
        <v>39</v>
      </c>
      <c r="C12" s="13" t="s">
        <v>40</v>
      </c>
      <c r="D12" s="13" t="s">
        <v>15</v>
      </c>
      <c r="E12" s="13" t="s">
        <v>41</v>
      </c>
      <c r="F12" s="11"/>
      <c r="G12" s="11"/>
      <c r="H12" s="11">
        <f>SUMIFS(X!$F$3:$F$5978,X!$D$3:$D$5978,'Current Stock'!A12)</f>
        <v>0</v>
      </c>
      <c r="I12" s="11">
        <f>SUMIFS(PENJUALAN!$E$4:$E$3651,PENJUALAN!$C$4:$C$3651,'Current Stock'!A12)</f>
        <v>0</v>
      </c>
      <c r="J12" s="15">
        <f t="shared" si="2"/>
        <v>0</v>
      </c>
      <c r="K12" s="11"/>
      <c r="L12" s="11"/>
      <c r="M12" s="16"/>
      <c r="N12" s="11"/>
      <c r="O12" s="17"/>
      <c r="P12" s="17"/>
    </row>
    <row r="13" ht="13.5" customHeight="1">
      <c r="A13" s="11" t="str">
        <f t="shared" si="1"/>
        <v>MLDG-LFWHRV14UPHON</v>
      </c>
      <c r="B13" s="18" t="s">
        <v>42</v>
      </c>
      <c r="C13" s="13" t="s">
        <v>43</v>
      </c>
      <c r="D13" s="13" t="s">
        <v>44</v>
      </c>
      <c r="E13" s="13" t="s">
        <v>45</v>
      </c>
      <c r="F13" s="11"/>
      <c r="G13" s="14">
        <v>45988.0</v>
      </c>
      <c r="H13" s="11">
        <f>SUMIFS(X!$F$3:$F$5978,X!$D$3:$D$5978,'Current Stock'!A13)</f>
        <v>2</v>
      </c>
      <c r="I13" s="11">
        <f>SUMIFS(PENJUALAN!$E$4:$E$3651,PENJUALAN!$C$4:$C$3651,'Current Stock'!A13)</f>
        <v>1</v>
      </c>
      <c r="J13" s="15">
        <f t="shared" si="2"/>
        <v>1</v>
      </c>
      <c r="K13" s="11"/>
      <c r="L13" s="11"/>
      <c r="M13" s="16"/>
      <c r="N13" s="11"/>
      <c r="O13" s="17"/>
      <c r="P13" s="17"/>
    </row>
    <row r="14" ht="13.5" customHeight="1">
      <c r="A14" s="11" t="str">
        <f t="shared" si="1"/>
        <v>MLDG-LFWHRV14SIDEHON</v>
      </c>
      <c r="B14" s="18" t="s">
        <v>46</v>
      </c>
      <c r="C14" s="13" t="s">
        <v>47</v>
      </c>
      <c r="D14" s="13" t="s">
        <v>44</v>
      </c>
      <c r="E14" s="13" t="s">
        <v>45</v>
      </c>
      <c r="F14" s="11"/>
      <c r="G14" s="14">
        <v>45988.0</v>
      </c>
      <c r="H14" s="11">
        <f>SUMIFS(X!$F$3:$F$5978,X!$D$3:$D$5978,'Current Stock'!A14)</f>
        <v>4</v>
      </c>
      <c r="I14" s="11">
        <f>SUMIFS(PENJUALAN!$E$4:$E$3651,PENJUALAN!$C$4:$C$3651,'Current Stock'!A14)</f>
        <v>2</v>
      </c>
      <c r="J14" s="15">
        <f t="shared" si="2"/>
        <v>2</v>
      </c>
      <c r="K14" s="11"/>
      <c r="L14" s="11"/>
      <c r="M14" s="16"/>
      <c r="N14" s="11"/>
      <c r="O14" s="17"/>
      <c r="P14" s="17"/>
    </row>
    <row r="15" ht="13.5" customHeight="1">
      <c r="A15" s="11" t="str">
        <f t="shared" si="1"/>
        <v>MLDG-ANH20AGH30UPTOY</v>
      </c>
      <c r="B15" s="18" t="s">
        <v>48</v>
      </c>
      <c r="C15" s="13" t="s">
        <v>49</v>
      </c>
      <c r="D15" s="13" t="s">
        <v>44</v>
      </c>
      <c r="E15" s="13" t="s">
        <v>38</v>
      </c>
      <c r="F15" s="11"/>
      <c r="G15" s="11"/>
      <c r="H15" s="11">
        <f>SUMIFS(X!$F$3:$F$5978,X!$D$3:$D$5978,'Current Stock'!A15)</f>
        <v>1</v>
      </c>
      <c r="I15" s="11">
        <f>SUMIFS(PENJUALAN!$E$4:$E$3651,PENJUALAN!$C$4:$C$3651,'Current Stock'!A15)</f>
        <v>1</v>
      </c>
      <c r="J15" s="15">
        <f t="shared" si="2"/>
        <v>0</v>
      </c>
      <c r="K15" s="11"/>
      <c r="L15" s="11"/>
      <c r="M15" s="16"/>
      <c r="N15" s="11"/>
      <c r="O15" s="17"/>
      <c r="P15" s="17"/>
    </row>
    <row r="16" ht="13.5" customHeight="1">
      <c r="A16" s="11" t="str">
        <f t="shared" si="1"/>
        <v>MLDG-LFWFE700MIT</v>
      </c>
      <c r="B16" s="18" t="s">
        <v>50</v>
      </c>
      <c r="C16" s="13" t="s">
        <v>51</v>
      </c>
      <c r="D16" s="13" t="s">
        <v>44</v>
      </c>
      <c r="E16" s="13" t="s">
        <v>52</v>
      </c>
      <c r="F16" s="11"/>
      <c r="G16" s="11"/>
      <c r="H16" s="11">
        <f>SUMIFS(X!$F$3:$F$5978,X!$D$3:$D$5978,'Current Stock'!A16)</f>
        <v>1</v>
      </c>
      <c r="I16" s="11">
        <f>SUMIFS(PENJUALAN!$E$4:$E$3651,PENJUALAN!$C$4:$C$3651,'Current Stock'!A16)</f>
        <v>1</v>
      </c>
      <c r="J16" s="15">
        <f t="shared" si="2"/>
        <v>0</v>
      </c>
      <c r="K16" s="11"/>
      <c r="L16" s="11"/>
      <c r="M16" s="16"/>
      <c r="N16" s="11"/>
      <c r="O16" s="17"/>
      <c r="P16" s="17"/>
    </row>
    <row r="17" ht="13.5" customHeight="1">
      <c r="A17" s="11" t="str">
        <f t="shared" si="1"/>
        <v>MLDG-LFWFORTUNER05TOY</v>
      </c>
      <c r="B17" s="18" t="s">
        <v>53</v>
      </c>
      <c r="C17" s="13" t="s">
        <v>54</v>
      </c>
      <c r="D17" s="13" t="s">
        <v>44</v>
      </c>
      <c r="E17" s="13" t="s">
        <v>38</v>
      </c>
      <c r="F17" s="11"/>
      <c r="G17" s="11"/>
      <c r="H17" s="11">
        <f>SUMIFS(X!$F$3:$F$5978,X!$D$3:$D$5978,'Current Stock'!A17)</f>
        <v>0</v>
      </c>
      <c r="I17" s="11">
        <f>SUMIFS(PENJUALAN!$E$4:$E$3651,PENJUALAN!$C$4:$C$3651,'Current Stock'!A17)</f>
        <v>1</v>
      </c>
      <c r="J17" s="15">
        <f t="shared" si="2"/>
        <v>-1</v>
      </c>
      <c r="K17" s="11"/>
      <c r="L17" s="11"/>
      <c r="M17" s="16"/>
      <c r="N17" s="11"/>
      <c r="O17" s="17"/>
      <c r="P17" s="17"/>
    </row>
    <row r="18" ht="13.5" customHeight="1">
      <c r="A18" s="11" t="str">
        <f t="shared" si="1"/>
        <v>MLDG-LFWCROSSTREK23SUB</v>
      </c>
      <c r="B18" s="18" t="s">
        <v>55</v>
      </c>
      <c r="C18" s="13" t="s">
        <v>56</v>
      </c>
      <c r="D18" s="13" t="s">
        <v>44</v>
      </c>
      <c r="E18" s="13" t="s">
        <v>57</v>
      </c>
      <c r="F18" s="11"/>
      <c r="G18" s="11"/>
      <c r="H18" s="11">
        <f>SUMIFS(X!$F$3:$F$5978,X!$D$3:$D$5978,'Current Stock'!A18)</f>
        <v>0</v>
      </c>
      <c r="I18" s="11">
        <f>SUMIFS(PENJUALAN!$E$4:$E$3651,PENJUALAN!$C$4:$C$3651,'Current Stock'!A18)</f>
        <v>0</v>
      </c>
      <c r="J18" s="15">
        <f t="shared" si="2"/>
        <v>0</v>
      </c>
      <c r="K18" s="11"/>
      <c r="L18" s="11"/>
      <c r="M18" s="16"/>
      <c r="N18" s="11"/>
      <c r="O18" s="17"/>
      <c r="P18" s="17"/>
    </row>
    <row r="19" ht="13.5" customHeight="1">
      <c r="A19" s="11" t="str">
        <f t="shared" si="1"/>
        <v>OTH-RPLXLFW</v>
      </c>
      <c r="B19" s="18" t="s">
        <v>58</v>
      </c>
      <c r="C19" s="13" t="s">
        <v>59</v>
      </c>
      <c r="D19" s="11" t="s">
        <v>15</v>
      </c>
      <c r="E19" s="13" t="s">
        <v>60</v>
      </c>
      <c r="F19" s="11"/>
      <c r="G19" s="14">
        <v>45988.0</v>
      </c>
      <c r="H19" s="11">
        <f>SUMIFS(X!$F$3:$F$5978,X!$D$3:$D$5978,'Current Stock'!A19)</f>
        <v>0</v>
      </c>
      <c r="I19" s="11">
        <f>SUMIFS(PENJUALAN!$E$4:$E$3651,PENJUALAN!$C$4:$C$3651,'Current Stock'!A19)</f>
        <v>52</v>
      </c>
      <c r="J19" s="15">
        <f t="shared" si="2"/>
        <v>-52</v>
      </c>
      <c r="K19" s="11"/>
      <c r="L19" s="11"/>
      <c r="M19" s="16">
        <v>100.0</v>
      </c>
      <c r="N19" s="11"/>
      <c r="O19" s="17"/>
      <c r="P19" s="17"/>
    </row>
    <row r="20" ht="13.5" customHeight="1">
      <c r="A20" s="11" t="str">
        <f t="shared" si="1"/>
        <v>OTH-RPLXTRW</v>
      </c>
      <c r="B20" s="18" t="s">
        <v>58</v>
      </c>
      <c r="C20" s="13" t="s">
        <v>61</v>
      </c>
      <c r="D20" s="11" t="s">
        <v>15</v>
      </c>
      <c r="E20" s="13" t="s">
        <v>62</v>
      </c>
      <c r="F20" s="11"/>
      <c r="G20" s="14">
        <v>45988.0</v>
      </c>
      <c r="H20" s="11">
        <f>SUMIFS(X!$F$3:$F$5978,X!$D$3:$D$5978,'Current Stock'!A20)</f>
        <v>0</v>
      </c>
      <c r="I20" s="11">
        <f>SUMIFS(PENJUALAN!$E$4:$E$3651,PENJUALAN!$C$4:$C$3651,'Current Stock'!A20)</f>
        <v>12</v>
      </c>
      <c r="J20" s="15">
        <f t="shared" si="2"/>
        <v>-12</v>
      </c>
      <c r="K20" s="11"/>
      <c r="L20" s="11"/>
      <c r="M20" s="16">
        <v>100.0</v>
      </c>
      <c r="N20" s="11"/>
      <c r="O20" s="17"/>
      <c r="P20" s="17"/>
    </row>
    <row r="21" ht="13.5" customHeight="1">
      <c r="A21" s="11" t="str">
        <f t="shared" si="1"/>
        <v>OTH-RPLXSIDE</v>
      </c>
      <c r="B21" s="19" t="s">
        <v>58</v>
      </c>
      <c r="C21" s="20" t="s">
        <v>63</v>
      </c>
      <c r="D21" s="11" t="s">
        <v>15</v>
      </c>
      <c r="E21" s="11" t="s">
        <v>64</v>
      </c>
      <c r="F21" s="11"/>
      <c r="G21" s="14">
        <v>45988.0</v>
      </c>
      <c r="H21" s="11">
        <f>SUMIFS(X!$F$3:$F$5978,X!$D$3:$D$5978,'Current Stock'!A21)</f>
        <v>0</v>
      </c>
      <c r="I21" s="11">
        <f>SUMIFS(PENJUALAN!$E$4:$E$3651,PENJUALAN!$C$4:$C$3651,'Current Stock'!A21)</f>
        <v>12</v>
      </c>
      <c r="J21" s="15">
        <f t="shared" si="2"/>
        <v>-12</v>
      </c>
      <c r="K21" s="11"/>
      <c r="L21" s="11"/>
      <c r="M21" s="16">
        <v>100.0</v>
      </c>
      <c r="N21" s="11"/>
      <c r="O21" s="17"/>
      <c r="P21" s="17"/>
    </row>
    <row r="22" ht="13.5" customHeight="1">
      <c r="A22" s="11" t="str">
        <f t="shared" si="1"/>
        <v>OTH-SERLMB</v>
      </c>
      <c r="B22" s="18" t="s">
        <v>20</v>
      </c>
      <c r="C22" s="13" t="s">
        <v>65</v>
      </c>
      <c r="D22" s="13" t="s">
        <v>15</v>
      </c>
      <c r="E22" s="13" t="s">
        <v>66</v>
      </c>
      <c r="F22" s="11"/>
      <c r="G22" s="14">
        <v>45988.0</v>
      </c>
      <c r="H22" s="11">
        <f>SUMIFS(X!$F$3:$F$5978,X!$D$3:$D$5978,'Current Stock'!A22)</f>
        <v>15</v>
      </c>
      <c r="I22" s="11">
        <f>SUMIFS(PENJUALAN!$E$4:$E$3651,PENJUALAN!$C$4:$C$3651,'Current Stock'!A22)</f>
        <v>77</v>
      </c>
      <c r="J22" s="15">
        <f t="shared" si="2"/>
        <v>-62</v>
      </c>
      <c r="K22" s="11"/>
      <c r="L22" s="11"/>
      <c r="M22" s="16"/>
      <c r="N22" s="11"/>
      <c r="O22" s="17"/>
      <c r="P22" s="17"/>
    </row>
    <row r="23" ht="13.5" customHeight="1">
      <c r="A23" s="11" t="str">
        <f t="shared" si="1"/>
        <v>OTH-CKC</v>
      </c>
      <c r="B23" s="21" t="s">
        <v>67</v>
      </c>
      <c r="C23" s="21" t="s">
        <v>68</v>
      </c>
      <c r="D23" s="22" t="s">
        <v>15</v>
      </c>
      <c r="E23" s="22" t="s">
        <v>69</v>
      </c>
      <c r="F23" s="11"/>
      <c r="G23" s="14">
        <v>45988.0</v>
      </c>
      <c r="H23" s="11">
        <f>SUMIFS(X!$F$3:$F$5978,X!$D$3:$D$5978,'Current Stock'!A23)</f>
        <v>0</v>
      </c>
      <c r="I23" s="11">
        <f>SUMIFS(PENJUALAN!$E$4:$E$3651,PENJUALAN!$C$4:$C$3651,'Current Stock'!A23)</f>
        <v>15</v>
      </c>
      <c r="J23" s="15">
        <f t="shared" si="2"/>
        <v>-15</v>
      </c>
      <c r="K23" s="11"/>
      <c r="L23" s="11"/>
      <c r="M23" s="16"/>
      <c r="N23" s="11"/>
      <c r="O23" s="17"/>
      <c r="P23" s="17"/>
    </row>
    <row r="24" ht="13.5" customHeight="1">
      <c r="A24" s="11" t="str">
        <f t="shared" si="1"/>
        <v>FILM-40STD</v>
      </c>
      <c r="B24" s="18" t="s">
        <v>70</v>
      </c>
      <c r="C24" s="13" t="s">
        <v>71</v>
      </c>
      <c r="D24" s="13" t="s">
        <v>72</v>
      </c>
      <c r="E24" s="13" t="s">
        <v>73</v>
      </c>
      <c r="F24" s="11"/>
      <c r="G24" s="11"/>
      <c r="H24" s="11">
        <f>SUMIFS(X!$F$3:$F$5978,X!$D$3:$D$5978,'Current Stock'!A24)</f>
        <v>0</v>
      </c>
      <c r="I24" s="11">
        <f>SUMIFS(PENJUALAN!$E$4:$E$3651,PENJUALAN!$C$4:$C$3651,'Current Stock'!A24)</f>
        <v>41</v>
      </c>
      <c r="J24" s="15">
        <f t="shared" si="2"/>
        <v>-41</v>
      </c>
      <c r="K24" s="11"/>
      <c r="L24" s="11"/>
      <c r="M24" s="16"/>
      <c r="N24" s="11"/>
      <c r="O24" s="17"/>
      <c r="P24" s="17"/>
    </row>
    <row r="25" ht="13.5" customHeight="1">
      <c r="A25" s="11" t="str">
        <f t="shared" si="1"/>
        <v>FILM-60STD</v>
      </c>
      <c r="B25" s="18" t="s">
        <v>74</v>
      </c>
      <c r="C25" s="13" t="s">
        <v>71</v>
      </c>
      <c r="D25" s="13" t="s">
        <v>72</v>
      </c>
      <c r="E25" s="13" t="s">
        <v>73</v>
      </c>
      <c r="F25" s="11"/>
      <c r="G25" s="14">
        <v>45988.0</v>
      </c>
      <c r="H25" s="11">
        <f>SUMIFS(X!$F$3:$F$5978,X!$D$3:$D$5978,'Current Stock'!A25)</f>
        <v>33</v>
      </c>
      <c r="I25" s="11">
        <f>SUMIFS(PENJUALAN!$E$4:$E$3651,PENJUALAN!$C$4:$C$3651,'Current Stock'!A25)</f>
        <v>48</v>
      </c>
      <c r="J25" s="15">
        <f t="shared" si="2"/>
        <v>-15</v>
      </c>
      <c r="K25" s="11"/>
      <c r="L25" s="11"/>
      <c r="M25" s="16"/>
      <c r="N25" s="11"/>
      <c r="O25" s="17"/>
      <c r="P25" s="17"/>
    </row>
    <row r="26" ht="13.5" customHeight="1">
      <c r="A26" s="11" t="str">
        <f t="shared" si="1"/>
        <v>FILM-80STD</v>
      </c>
      <c r="B26" s="18" t="s">
        <v>75</v>
      </c>
      <c r="C26" s="13" t="s">
        <v>76</v>
      </c>
      <c r="D26" s="13" t="s">
        <v>72</v>
      </c>
      <c r="E26" s="13" t="s">
        <v>73</v>
      </c>
      <c r="F26" s="11"/>
      <c r="G26" s="14"/>
      <c r="H26" s="11">
        <f>SUMIFS(X!$F$3:$F$5978,X!$D$3:$D$5978,'Current Stock'!A26)</f>
        <v>1</v>
      </c>
      <c r="I26" s="11">
        <f>SUMIFS(PENJUALAN!$E$4:$E$3651,PENJUALAN!$C$4:$C$3651,'Current Stock'!A26)</f>
        <v>13</v>
      </c>
      <c r="J26" s="15">
        <f t="shared" si="2"/>
        <v>-12</v>
      </c>
      <c r="K26" s="11"/>
      <c r="L26" s="11"/>
      <c r="M26" s="16"/>
      <c r="N26" s="11"/>
      <c r="O26" s="17"/>
      <c r="P26" s="17"/>
    </row>
    <row r="27" ht="13.5" customHeight="1">
      <c r="A27" s="11" t="str">
        <f t="shared" si="1"/>
        <v>FILM-BPSG</v>
      </c>
      <c r="B27" s="19" t="s">
        <v>77</v>
      </c>
      <c r="C27" s="20" t="s">
        <v>78</v>
      </c>
      <c r="D27" s="13" t="s">
        <v>72</v>
      </c>
      <c r="E27" s="13" t="s">
        <v>79</v>
      </c>
      <c r="F27" s="11"/>
      <c r="G27" s="14">
        <v>45988.0</v>
      </c>
      <c r="H27" s="11">
        <f>SUMIFS(X!$F$3:$F$5978,X!$D$3:$D$5978,'Current Stock'!A27)</f>
        <v>15</v>
      </c>
      <c r="I27" s="11">
        <f>SUMIFS(PENJUALAN!$E$4:$E$3651,PENJUALAN!$C$4:$C$3651,'Current Stock'!A27)</f>
        <v>19</v>
      </c>
      <c r="J27" s="15">
        <f t="shared" si="2"/>
        <v>-4</v>
      </c>
      <c r="K27" s="11"/>
      <c r="L27" s="11"/>
      <c r="M27" s="16"/>
      <c r="N27" s="11"/>
      <c r="O27" s="17"/>
      <c r="P27" s="17"/>
    </row>
    <row r="28" ht="13.5" customHeight="1">
      <c r="A28" s="11" t="str">
        <f t="shared" si="1"/>
        <v>TRW-AVANZA03HAUTO</v>
      </c>
      <c r="B28" s="12" t="s">
        <v>80</v>
      </c>
      <c r="C28" s="11" t="s">
        <v>81</v>
      </c>
      <c r="D28" s="11" t="s">
        <v>62</v>
      </c>
      <c r="E28" s="11" t="s">
        <v>82</v>
      </c>
      <c r="F28" s="11" t="s">
        <v>83</v>
      </c>
      <c r="G28" s="11"/>
      <c r="H28" s="11">
        <f>SUMIFS(X!$F$3:$F$5978,X!$D$3:$D$5978,'Current Stock'!A28)</f>
        <v>0</v>
      </c>
      <c r="I28" s="11">
        <f>SUMIFS(PENJUALAN!$E$4:$E$3651,PENJUALAN!$C$4:$C$3651,'Current Stock'!A28)</f>
        <v>0</v>
      </c>
      <c r="J28" s="15">
        <f t="shared" si="2"/>
        <v>0</v>
      </c>
      <c r="K28" s="11"/>
      <c r="L28" s="11"/>
      <c r="M28" s="16"/>
      <c r="N28" s="11"/>
      <c r="O28" s="17"/>
      <c r="P28" s="17"/>
    </row>
    <row r="29" ht="13.5" customHeight="1">
      <c r="A29" s="11" t="str">
        <f t="shared" si="1"/>
        <v>RDR-CRV12SG</v>
      </c>
      <c r="B29" s="12" t="s">
        <v>84</v>
      </c>
      <c r="C29" s="11" t="s">
        <v>85</v>
      </c>
      <c r="D29" s="11" t="s">
        <v>86</v>
      </c>
      <c r="E29" s="11" t="s">
        <v>79</v>
      </c>
      <c r="F29" s="11"/>
      <c r="G29" s="11"/>
      <c r="H29" s="11">
        <f>SUMIFS(X!$F$3:$F$5978,X!$D$3:$D$5978,'Current Stock'!A29)</f>
        <v>0</v>
      </c>
      <c r="I29" s="11">
        <f>SUMIFS(PENJUALAN!$E$4:$E$3651,PENJUALAN!$C$4:$C$3651,'Current Stock'!A29)</f>
        <v>0</v>
      </c>
      <c r="J29" s="15">
        <f t="shared" si="2"/>
        <v>0</v>
      </c>
      <c r="K29" s="11"/>
      <c r="L29" s="11"/>
      <c r="M29" s="16"/>
      <c r="N29" s="11"/>
      <c r="O29" s="17"/>
      <c r="P29" s="17"/>
    </row>
    <row r="30" ht="13.5" customHeight="1">
      <c r="A30" s="11" t="str">
        <f t="shared" si="1"/>
        <v>LFW-ALPHARD08RSPIL</v>
      </c>
      <c r="B30" s="12" t="s">
        <v>87</v>
      </c>
      <c r="C30" s="11" t="s">
        <v>88</v>
      </c>
      <c r="D30" s="11" t="s">
        <v>60</v>
      </c>
      <c r="E30" s="11" t="s">
        <v>89</v>
      </c>
      <c r="F30" s="11" t="s">
        <v>90</v>
      </c>
      <c r="G30" s="11"/>
      <c r="H30" s="11">
        <f>SUMIFS(X!$F$3:$F$5978,X!$D$3:$D$5978,'Current Stock'!A30)</f>
        <v>2</v>
      </c>
      <c r="I30" s="11">
        <f>SUMIFS(PENJUALAN!$E$4:$E$3651,PENJUALAN!$C$4:$C$3651,'Current Stock'!A30)</f>
        <v>2</v>
      </c>
      <c r="J30" s="15">
        <f t="shared" si="2"/>
        <v>0</v>
      </c>
      <c r="K30" s="11"/>
      <c r="L30" s="11"/>
      <c r="M30" s="16"/>
      <c r="N30" s="11"/>
      <c r="O30" s="17"/>
      <c r="P30" s="17"/>
    </row>
    <row r="31" ht="13.5" customHeight="1">
      <c r="A31" s="23" t="str">
        <f t="shared" si="1"/>
        <v>RDL-AVANZA03ASH</v>
      </c>
      <c r="B31" s="24" t="s">
        <v>91</v>
      </c>
      <c r="C31" s="23" t="s">
        <v>81</v>
      </c>
      <c r="D31" s="23" t="s">
        <v>92</v>
      </c>
      <c r="E31" s="23" t="s">
        <v>93</v>
      </c>
      <c r="F31" s="23"/>
      <c r="G31" s="23"/>
      <c r="H31" s="11">
        <f>SUMIFS(X!$F$3:$F$5978,X!$D$3:$D$5978,'Current Stock'!A31)</f>
        <v>1</v>
      </c>
      <c r="I31" s="11">
        <f>SUMIFS(PENJUALAN!$E$4:$E$3651,PENJUALAN!$C$4:$C$3651,'Current Stock'!A31)</f>
        <v>0</v>
      </c>
      <c r="J31" s="15">
        <f t="shared" si="2"/>
        <v>1</v>
      </c>
      <c r="K31" s="25"/>
      <c r="L31" s="25"/>
      <c r="M31" s="26"/>
      <c r="N31" s="23"/>
      <c r="O31" s="27"/>
      <c r="P31" s="27"/>
    </row>
    <row r="32" ht="13.5" customHeight="1">
      <c r="A32" s="23" t="str">
        <f t="shared" si="1"/>
        <v>RDR-AVANZA11ASH</v>
      </c>
      <c r="B32" s="24" t="s">
        <v>94</v>
      </c>
      <c r="C32" s="25" t="s">
        <v>95</v>
      </c>
      <c r="D32" s="23" t="s">
        <v>86</v>
      </c>
      <c r="E32" s="23" t="s">
        <v>93</v>
      </c>
      <c r="F32" s="23"/>
      <c r="G32" s="28">
        <v>45988.0</v>
      </c>
      <c r="H32" s="11">
        <f>SUMIFS(X!$F$3:$F$5978,X!$D$3:$D$5978,'Current Stock'!A32)</f>
        <v>4</v>
      </c>
      <c r="I32" s="11">
        <f>SUMIFS(PENJUALAN!$E$4:$E$3651,PENJUALAN!$C$4:$C$3651,'Current Stock'!A32)</f>
        <v>4</v>
      </c>
      <c r="J32" s="15">
        <f t="shared" si="2"/>
        <v>0</v>
      </c>
      <c r="K32" s="25" t="s">
        <v>96</v>
      </c>
      <c r="L32" s="25"/>
      <c r="M32" s="26"/>
      <c r="N32" s="23"/>
      <c r="O32" s="27"/>
      <c r="P32" s="27"/>
    </row>
    <row r="33" ht="13.5" customHeight="1">
      <c r="A33" s="23" t="str">
        <f t="shared" si="1"/>
        <v>RDL-AVANZA11ASH</v>
      </c>
      <c r="B33" s="29" t="s">
        <v>97</v>
      </c>
      <c r="C33" s="25" t="s">
        <v>95</v>
      </c>
      <c r="D33" s="25" t="s">
        <v>92</v>
      </c>
      <c r="E33" s="23" t="s">
        <v>93</v>
      </c>
      <c r="F33" s="23"/>
      <c r="G33" s="23"/>
      <c r="H33" s="11">
        <f>SUMIFS(X!$F$3:$F$5978,X!$D$3:$D$5978,'Current Stock'!A33)</f>
        <v>0</v>
      </c>
      <c r="I33" s="11">
        <f>SUMIFS(PENJUALAN!$E$4:$E$3651,PENJUALAN!$C$4:$C$3651,'Current Stock'!A33)</f>
        <v>0</v>
      </c>
      <c r="J33" s="15">
        <f t="shared" si="2"/>
        <v>0</v>
      </c>
      <c r="K33" s="25"/>
      <c r="L33" s="25"/>
      <c r="M33" s="26"/>
      <c r="N33" s="23"/>
      <c r="O33" s="27"/>
      <c r="P33" s="27"/>
    </row>
    <row r="34" ht="13.5" customHeight="1">
      <c r="A34" s="11" t="str">
        <f t="shared" si="1"/>
        <v>TRW-AVANZA11ORI</v>
      </c>
      <c r="B34" s="12" t="s">
        <v>98</v>
      </c>
      <c r="C34" s="11" t="s">
        <v>95</v>
      </c>
      <c r="D34" s="11" t="s">
        <v>62</v>
      </c>
      <c r="E34" s="11" t="s">
        <v>99</v>
      </c>
      <c r="F34" s="11" t="s">
        <v>100</v>
      </c>
      <c r="G34" s="11"/>
      <c r="H34" s="11">
        <f>SUMIFS(X!$F$3:$F$5978,X!$D$3:$D$5978,'Current Stock'!A34)</f>
        <v>0</v>
      </c>
      <c r="I34" s="11">
        <f>SUMIFS(PENJUALAN!$E$4:$E$3651,PENJUALAN!$C$4:$C$3651,'Current Stock'!A34)</f>
        <v>0</v>
      </c>
      <c r="J34" s="15">
        <f t="shared" si="2"/>
        <v>0</v>
      </c>
      <c r="K34" s="11"/>
      <c r="L34" s="11"/>
      <c r="M34" s="16"/>
      <c r="N34" s="11"/>
      <c r="O34" s="17"/>
      <c r="P34" s="17"/>
    </row>
    <row r="35" ht="13.5" customHeight="1">
      <c r="A35" s="11" t="str">
        <f t="shared" si="1"/>
        <v>RDL-AVANZA11AGC</v>
      </c>
      <c r="B35" s="12" t="s">
        <v>97</v>
      </c>
      <c r="C35" s="11" t="s">
        <v>95</v>
      </c>
      <c r="D35" s="11" t="s">
        <v>92</v>
      </c>
      <c r="E35" s="13" t="s">
        <v>101</v>
      </c>
      <c r="F35" s="11"/>
      <c r="G35" s="11"/>
      <c r="H35" s="11">
        <f>SUMIFS(X!$F$3:$F$5978,X!$D$3:$D$5978,'Current Stock'!A35)</f>
        <v>0</v>
      </c>
      <c r="I35" s="11">
        <f>SUMIFS(PENJUALAN!$E$4:$E$3651,PENJUALAN!$C$4:$C$3651,'Current Stock'!A35)</f>
        <v>0</v>
      </c>
      <c r="J35" s="15">
        <f t="shared" si="2"/>
        <v>0</v>
      </c>
      <c r="K35" s="11"/>
      <c r="L35" s="11"/>
      <c r="M35" s="16"/>
      <c r="N35" s="11"/>
      <c r="O35" s="17"/>
      <c r="P35" s="17"/>
    </row>
    <row r="36" ht="13.5" customHeight="1">
      <c r="A36" s="11" t="str">
        <f t="shared" si="1"/>
        <v>RDR-AVANZA11ACG</v>
      </c>
      <c r="B36" s="12" t="s">
        <v>94</v>
      </c>
      <c r="C36" s="11" t="s">
        <v>95</v>
      </c>
      <c r="D36" s="11" t="s">
        <v>86</v>
      </c>
      <c r="E36" s="13" t="s">
        <v>102</v>
      </c>
      <c r="F36" s="11"/>
      <c r="G36" s="11"/>
      <c r="H36" s="11">
        <f>SUMIFS(X!$F$3:$F$5978,X!$D$3:$D$5978,'Current Stock'!A36)</f>
        <v>0</v>
      </c>
      <c r="I36" s="11">
        <f>SUMIFS(PENJUALAN!$E$4:$E$3651,PENJUALAN!$C$4:$C$3651,'Current Stock'!A36)</f>
        <v>0</v>
      </c>
      <c r="J36" s="15">
        <f t="shared" si="2"/>
        <v>0</v>
      </c>
      <c r="K36" s="11"/>
      <c r="L36" s="11"/>
      <c r="M36" s="16"/>
      <c r="N36" s="11"/>
      <c r="O36" s="17"/>
      <c r="P36" s="17"/>
    </row>
    <row r="37" ht="13.5" customHeight="1">
      <c r="A37" s="11" t="str">
        <f t="shared" si="1"/>
        <v>FDL-AVANZA11ACG</v>
      </c>
      <c r="B37" s="12" t="s">
        <v>103</v>
      </c>
      <c r="C37" s="11" t="s">
        <v>95</v>
      </c>
      <c r="D37" s="11" t="s">
        <v>104</v>
      </c>
      <c r="E37" s="13" t="s">
        <v>102</v>
      </c>
      <c r="F37" s="11"/>
      <c r="G37" s="11"/>
      <c r="H37" s="11">
        <f>SUMIFS(X!$F$3:$F$5978,X!$D$3:$D$5978,'Current Stock'!A37)</f>
        <v>0</v>
      </c>
      <c r="I37" s="11">
        <f>SUMIFS(PENJUALAN!$E$4:$E$3651,PENJUALAN!$C$4:$C$3651,'Current Stock'!A37)</f>
        <v>0</v>
      </c>
      <c r="J37" s="15">
        <f t="shared" si="2"/>
        <v>0</v>
      </c>
      <c r="K37" s="11"/>
      <c r="L37" s="11"/>
      <c r="M37" s="16"/>
      <c r="N37" s="11"/>
      <c r="O37" s="17"/>
      <c r="P37" s="17"/>
    </row>
    <row r="38" ht="13.5" customHeight="1">
      <c r="A38" s="11" t="str">
        <f t="shared" si="1"/>
        <v>FDR-AVANZA11ACG</v>
      </c>
      <c r="B38" s="12" t="s">
        <v>105</v>
      </c>
      <c r="C38" s="11" t="s">
        <v>95</v>
      </c>
      <c r="D38" s="11" t="s">
        <v>106</v>
      </c>
      <c r="E38" s="13" t="s">
        <v>102</v>
      </c>
      <c r="F38" s="11"/>
      <c r="G38" s="11"/>
      <c r="H38" s="11">
        <f>SUMIFS(X!$F$3:$F$5978,X!$D$3:$D$5978,'Current Stock'!A38)</f>
        <v>0</v>
      </c>
      <c r="I38" s="11">
        <f>SUMIFS(PENJUALAN!$E$4:$E$3651,PENJUALAN!$C$4:$C$3651,'Current Stock'!A38)</f>
        <v>0</v>
      </c>
      <c r="J38" s="15">
        <f t="shared" si="2"/>
        <v>0</v>
      </c>
      <c r="K38" s="11"/>
      <c r="L38" s="11"/>
      <c r="M38" s="16"/>
      <c r="N38" s="11"/>
      <c r="O38" s="17"/>
      <c r="P38" s="17"/>
    </row>
    <row r="39" ht="13.5" customHeight="1">
      <c r="A39" s="11" t="str">
        <f t="shared" si="1"/>
        <v>LFW-ETIOSASH</v>
      </c>
      <c r="B39" s="12" t="s">
        <v>107</v>
      </c>
      <c r="C39" s="11" t="s">
        <v>108</v>
      </c>
      <c r="D39" s="11" t="s">
        <v>60</v>
      </c>
      <c r="E39" s="11" t="s">
        <v>93</v>
      </c>
      <c r="F39" s="11" t="s">
        <v>109</v>
      </c>
      <c r="G39" s="11"/>
      <c r="H39" s="11">
        <f>SUMIFS(X!$F$3:$F$5978,X!$D$3:$D$5978,'Current Stock'!A39)</f>
        <v>0</v>
      </c>
      <c r="I39" s="11">
        <f>SUMIFS(PENJUALAN!$E$4:$E$3651,PENJUALAN!$C$4:$C$3651,'Current Stock'!A39)</f>
        <v>0</v>
      </c>
      <c r="J39" s="15">
        <f t="shared" si="2"/>
        <v>0</v>
      </c>
      <c r="K39" s="30"/>
      <c r="L39" s="30"/>
      <c r="M39" s="16">
        <v>1.0</v>
      </c>
      <c r="N39" s="11"/>
      <c r="O39" s="17"/>
      <c r="P39" s="17"/>
    </row>
    <row r="40" ht="13.5" customHeight="1">
      <c r="A40" s="11" t="str">
        <f t="shared" si="1"/>
        <v>TRW-LUXIODAIHATSU</v>
      </c>
      <c r="B40" s="12" t="s">
        <v>110</v>
      </c>
      <c r="C40" s="11" t="s">
        <v>111</v>
      </c>
      <c r="D40" s="11" t="s">
        <v>62</v>
      </c>
      <c r="E40" s="11" t="s">
        <v>112</v>
      </c>
      <c r="F40" s="11" t="s">
        <v>100</v>
      </c>
      <c r="G40" s="14">
        <v>45988.0</v>
      </c>
      <c r="H40" s="11">
        <f>SUMIFS(X!$F$3:$F$5978,X!$D$3:$D$5978,'Current Stock'!A40)</f>
        <v>29</v>
      </c>
      <c r="I40" s="11">
        <f>SUMIFS(PENJUALAN!$E$4:$E$3651,PENJUALAN!$C$4:$C$3651,'Current Stock'!A40)</f>
        <v>20</v>
      </c>
      <c r="J40" s="15">
        <f t="shared" si="2"/>
        <v>9</v>
      </c>
      <c r="K40" s="13" t="s">
        <v>113</v>
      </c>
      <c r="L40" s="13"/>
      <c r="M40" s="16">
        <v>1.0</v>
      </c>
      <c r="N40" s="11"/>
      <c r="O40" s="17"/>
      <c r="P40" s="17"/>
    </row>
    <row r="41" ht="13.5" customHeight="1">
      <c r="A41" s="11" t="str">
        <f t="shared" si="1"/>
        <v>SWR-RAIZEORI</v>
      </c>
      <c r="B41" s="12" t="s">
        <v>114</v>
      </c>
      <c r="C41" s="11" t="s">
        <v>115</v>
      </c>
      <c r="D41" s="11" t="s">
        <v>116</v>
      </c>
      <c r="E41" s="11" t="s">
        <v>99</v>
      </c>
      <c r="F41" s="11" t="s">
        <v>109</v>
      </c>
      <c r="G41" s="11"/>
      <c r="H41" s="11">
        <f>SUMIFS(X!$F$3:$F$5978,X!$D$3:$D$5978,'Current Stock'!A41)</f>
        <v>0</v>
      </c>
      <c r="I41" s="11">
        <f>SUMIFS(PENJUALAN!$E$4:$E$3651,PENJUALAN!$C$4:$C$3651,'Current Stock'!A41)</f>
        <v>0</v>
      </c>
      <c r="J41" s="15">
        <f t="shared" si="2"/>
        <v>0</v>
      </c>
      <c r="K41" s="11"/>
      <c r="L41" s="11"/>
      <c r="M41" s="16">
        <v>1.0</v>
      </c>
      <c r="N41" s="11"/>
      <c r="O41" s="17"/>
      <c r="P41" s="17"/>
    </row>
    <row r="42" ht="13.5" customHeight="1">
      <c r="A42" s="11" t="str">
        <f t="shared" si="1"/>
        <v>TRW-BRV16AGC</v>
      </c>
      <c r="B42" s="12" t="s">
        <v>117</v>
      </c>
      <c r="C42" s="31" t="s">
        <v>118</v>
      </c>
      <c r="D42" s="11" t="s">
        <v>62</v>
      </c>
      <c r="E42" s="13" t="s">
        <v>101</v>
      </c>
      <c r="F42" s="11" t="s">
        <v>119</v>
      </c>
      <c r="G42" s="11"/>
      <c r="H42" s="11">
        <f>SUMIFS(X!$F$3:$F$5978,X!$D$3:$D$5978,'Current Stock'!A42)</f>
        <v>2</v>
      </c>
      <c r="I42" s="11">
        <f>SUMIFS(PENJUALAN!$E$4:$E$3651,PENJUALAN!$C$4:$C$3651,'Current Stock'!A42)</f>
        <v>0</v>
      </c>
      <c r="J42" s="15">
        <f t="shared" si="2"/>
        <v>2</v>
      </c>
      <c r="K42" s="13" t="s">
        <v>120</v>
      </c>
      <c r="L42" s="11"/>
      <c r="M42" s="16">
        <v>1.0</v>
      </c>
      <c r="N42" s="11"/>
      <c r="O42" s="17"/>
      <c r="P42" s="17"/>
    </row>
    <row r="43" ht="13.5" customHeight="1">
      <c r="A43" s="11" t="str">
        <f t="shared" si="1"/>
        <v>LFW-AUDIB8FY</v>
      </c>
      <c r="B43" s="32" t="s">
        <v>121</v>
      </c>
      <c r="C43" s="33" t="s">
        <v>122</v>
      </c>
      <c r="D43" s="33" t="s">
        <v>60</v>
      </c>
      <c r="E43" s="11" t="s">
        <v>123</v>
      </c>
      <c r="F43" s="33" t="s">
        <v>124</v>
      </c>
      <c r="G43" s="11"/>
      <c r="H43" s="11">
        <f>SUMIFS(X!$F$3:$F$5978,X!$D$3:$D$5978,'Current Stock'!A43)</f>
        <v>0</v>
      </c>
      <c r="I43" s="11">
        <f>SUMIFS(PENJUALAN!$E$4:$E$3651,PENJUALAN!$C$4:$C$3651,'Current Stock'!A43)</f>
        <v>0</v>
      </c>
      <c r="J43" s="15">
        <f t="shared" si="2"/>
        <v>0</v>
      </c>
      <c r="K43" s="11"/>
      <c r="L43" s="11"/>
      <c r="M43" s="11"/>
      <c r="N43" s="11"/>
      <c r="O43" s="17"/>
      <c r="P43" s="17"/>
    </row>
    <row r="44" ht="13.5" customHeight="1">
      <c r="A44" s="11" t="str">
        <f t="shared" si="1"/>
        <v>TRW-AUDIB8FY</v>
      </c>
      <c r="B44" s="32" t="s">
        <v>125</v>
      </c>
      <c r="C44" s="32" t="s">
        <v>125</v>
      </c>
      <c r="D44" s="33" t="s">
        <v>62</v>
      </c>
      <c r="E44" s="11" t="s">
        <v>123</v>
      </c>
      <c r="F44" s="33" t="s">
        <v>126</v>
      </c>
      <c r="G44" s="11"/>
      <c r="H44" s="11">
        <f>SUMIFS(X!$F$3:$F$5978,X!$D$3:$D$5978,'Current Stock'!A44)</f>
        <v>0</v>
      </c>
      <c r="I44" s="11">
        <f>SUMIFS(PENJUALAN!$E$4:$E$3651,PENJUALAN!$C$4:$C$3651,'Current Stock'!A44)</f>
        <v>0</v>
      </c>
      <c r="J44" s="15">
        <f t="shared" si="2"/>
        <v>0</v>
      </c>
      <c r="K44" s="11"/>
      <c r="L44" s="11"/>
      <c r="M44" s="11"/>
      <c r="N44" s="11"/>
      <c r="O44" s="17"/>
      <c r="P44" s="17"/>
    </row>
    <row r="45" ht="13.5" customHeight="1">
      <c r="A45" s="11" t="str">
        <f t="shared" si="1"/>
        <v>LFW-AUDIC7FY</v>
      </c>
      <c r="B45" s="32" t="s">
        <v>127</v>
      </c>
      <c r="C45" s="33" t="s">
        <v>128</v>
      </c>
      <c r="D45" s="33" t="s">
        <v>60</v>
      </c>
      <c r="E45" s="11" t="s">
        <v>123</v>
      </c>
      <c r="F45" s="33" t="s">
        <v>124</v>
      </c>
      <c r="G45" s="11"/>
      <c r="H45" s="11">
        <f>SUMIFS(X!$F$3:$F$5978,X!$D$3:$D$5978,'Current Stock'!A45)</f>
        <v>0</v>
      </c>
      <c r="I45" s="11">
        <f>SUMIFS(PENJUALAN!$E$4:$E$3651,PENJUALAN!$C$4:$C$3651,'Current Stock'!A45)</f>
        <v>0</v>
      </c>
      <c r="J45" s="15">
        <f t="shared" si="2"/>
        <v>0</v>
      </c>
      <c r="K45" s="11"/>
      <c r="L45" s="11"/>
      <c r="M45" s="11"/>
      <c r="N45" s="11"/>
      <c r="O45" s="17"/>
      <c r="P45" s="17"/>
    </row>
    <row r="46" ht="13.5" customHeight="1">
      <c r="A46" s="11" t="str">
        <f t="shared" si="1"/>
        <v>TRW-AUDIC7FY</v>
      </c>
      <c r="B46" s="32" t="s">
        <v>129</v>
      </c>
      <c r="C46" s="33" t="s">
        <v>128</v>
      </c>
      <c r="D46" s="33" t="s">
        <v>62</v>
      </c>
      <c r="E46" s="11" t="s">
        <v>123</v>
      </c>
      <c r="F46" s="33" t="s">
        <v>130</v>
      </c>
      <c r="G46" s="11"/>
      <c r="H46" s="11">
        <f>SUMIFS(X!$F$3:$F$5978,X!$D$3:$D$5978,'Current Stock'!A46)</f>
        <v>0</v>
      </c>
      <c r="I46" s="11">
        <f>SUMIFS(PENJUALAN!$E$4:$E$3651,PENJUALAN!$C$4:$C$3651,'Current Stock'!A46)</f>
        <v>0</v>
      </c>
      <c r="J46" s="15">
        <f t="shared" si="2"/>
        <v>0</v>
      </c>
      <c r="K46" s="11"/>
      <c r="L46" s="11"/>
      <c r="M46" s="11"/>
      <c r="N46" s="11"/>
      <c r="O46" s="17"/>
      <c r="P46" s="17"/>
    </row>
    <row r="47" ht="13.5" customHeight="1">
      <c r="A47" s="11" t="str">
        <f t="shared" si="1"/>
        <v>LFW-E30FY</v>
      </c>
      <c r="B47" s="32" t="s">
        <v>131</v>
      </c>
      <c r="C47" s="33" t="s">
        <v>132</v>
      </c>
      <c r="D47" s="33" t="s">
        <v>60</v>
      </c>
      <c r="E47" s="11" t="s">
        <v>123</v>
      </c>
      <c r="F47" s="33"/>
      <c r="G47" s="11"/>
      <c r="H47" s="11">
        <f>SUMIFS(X!$F$3:$F$5978,X!$D$3:$D$5978,'Current Stock'!A47)</f>
        <v>0</v>
      </c>
      <c r="I47" s="11">
        <f>SUMIFS(PENJUALAN!$E$4:$E$3651,PENJUALAN!$C$4:$C$3651,'Current Stock'!A47)</f>
        <v>0</v>
      </c>
      <c r="J47" s="15">
        <f t="shared" si="2"/>
        <v>0</v>
      </c>
      <c r="K47" s="11"/>
      <c r="L47" s="11"/>
      <c r="M47" s="11"/>
      <c r="N47" s="11"/>
      <c r="O47" s="17"/>
      <c r="P47" s="17"/>
    </row>
    <row r="48" ht="13.5" customHeight="1">
      <c r="A48" s="11" t="str">
        <f t="shared" si="1"/>
        <v>TRW-E30FY</v>
      </c>
      <c r="B48" s="32" t="s">
        <v>133</v>
      </c>
      <c r="C48" s="33" t="s">
        <v>132</v>
      </c>
      <c r="D48" s="33" t="s">
        <v>62</v>
      </c>
      <c r="E48" s="11" t="s">
        <v>123</v>
      </c>
      <c r="F48" s="33" t="s">
        <v>134</v>
      </c>
      <c r="G48" s="11"/>
      <c r="H48" s="11">
        <f>SUMIFS(X!$F$3:$F$5978,X!$D$3:$D$5978,'Current Stock'!A48)</f>
        <v>0</v>
      </c>
      <c r="I48" s="11">
        <f>SUMIFS(PENJUALAN!$E$4:$E$3651,PENJUALAN!$C$4:$C$3651,'Current Stock'!A48)</f>
        <v>0</v>
      </c>
      <c r="J48" s="15">
        <f t="shared" si="2"/>
        <v>0</v>
      </c>
      <c r="K48" s="11"/>
      <c r="L48" s="11"/>
      <c r="M48" s="11"/>
      <c r="N48" s="11"/>
      <c r="O48" s="17"/>
      <c r="P48" s="17"/>
    </row>
    <row r="49" ht="13.5" customHeight="1">
      <c r="A49" s="11" t="str">
        <f t="shared" si="1"/>
        <v>LFW-E36FY</v>
      </c>
      <c r="B49" s="32" t="s">
        <v>135</v>
      </c>
      <c r="C49" s="33" t="s">
        <v>136</v>
      </c>
      <c r="D49" s="33" t="s">
        <v>60</v>
      </c>
      <c r="E49" s="11" t="s">
        <v>123</v>
      </c>
      <c r="F49" s="33" t="s">
        <v>137</v>
      </c>
      <c r="G49" s="11"/>
      <c r="H49" s="11">
        <f>SUMIFS(X!$F$3:$F$5978,X!$D$3:$D$5978,'Current Stock'!A49)</f>
        <v>0</v>
      </c>
      <c r="I49" s="11">
        <f>SUMIFS(PENJUALAN!$E$4:$E$3651,PENJUALAN!$C$4:$C$3651,'Current Stock'!A49)</f>
        <v>0</v>
      </c>
      <c r="J49" s="15">
        <f t="shared" si="2"/>
        <v>0</v>
      </c>
      <c r="K49" s="11"/>
      <c r="L49" s="11"/>
      <c r="M49" s="11"/>
      <c r="N49" s="11"/>
      <c r="O49" s="17"/>
      <c r="P49" s="17"/>
    </row>
    <row r="50" ht="13.5" customHeight="1">
      <c r="A50" s="11" t="str">
        <f t="shared" si="1"/>
        <v>TRW-E36FY</v>
      </c>
      <c r="B50" s="32" t="s">
        <v>138</v>
      </c>
      <c r="C50" s="33" t="s">
        <v>136</v>
      </c>
      <c r="D50" s="33" t="s">
        <v>62</v>
      </c>
      <c r="E50" s="11" t="s">
        <v>123</v>
      </c>
      <c r="F50" s="33" t="s">
        <v>83</v>
      </c>
      <c r="G50" s="11"/>
      <c r="H50" s="11">
        <f>SUMIFS(X!$F$3:$F$5978,X!$D$3:$D$5978,'Current Stock'!A50)</f>
        <v>0</v>
      </c>
      <c r="I50" s="11">
        <f>SUMIFS(PENJUALAN!$E$4:$E$3651,PENJUALAN!$C$4:$C$3651,'Current Stock'!A50)</f>
        <v>0</v>
      </c>
      <c r="J50" s="15">
        <f t="shared" si="2"/>
        <v>0</v>
      </c>
      <c r="K50" s="11"/>
      <c r="L50" s="11"/>
      <c r="M50" s="11"/>
      <c r="N50" s="11"/>
      <c r="O50" s="17"/>
      <c r="P50" s="17"/>
    </row>
    <row r="51" ht="13.5" customHeight="1">
      <c r="A51" s="11" t="str">
        <f t="shared" si="1"/>
        <v>FDL-E36FY</v>
      </c>
      <c r="B51" s="32" t="s">
        <v>139</v>
      </c>
      <c r="C51" s="33" t="s">
        <v>136</v>
      </c>
      <c r="D51" s="33" t="s">
        <v>140</v>
      </c>
      <c r="E51" s="11" t="s">
        <v>123</v>
      </c>
      <c r="F51" s="33"/>
      <c r="G51" s="11"/>
      <c r="H51" s="11">
        <f>SUMIFS(X!$F$3:$F$5978,X!$D$3:$D$5978,'Current Stock'!A51)</f>
        <v>0</v>
      </c>
      <c r="I51" s="11">
        <f>SUMIFS(PENJUALAN!$E$4:$E$3651,PENJUALAN!$C$4:$C$3651,'Current Stock'!A51)</f>
        <v>0</v>
      </c>
      <c r="J51" s="15">
        <f t="shared" si="2"/>
        <v>0</v>
      </c>
      <c r="K51" s="11"/>
      <c r="L51" s="11"/>
      <c r="M51" s="11"/>
      <c r="N51" s="11"/>
      <c r="O51" s="17"/>
      <c r="P51" s="17"/>
    </row>
    <row r="52" ht="13.5" customHeight="1">
      <c r="A52" s="11" t="str">
        <f t="shared" si="1"/>
        <v>FDR-E36FY</v>
      </c>
      <c r="B52" s="32" t="s">
        <v>141</v>
      </c>
      <c r="C52" s="33" t="s">
        <v>136</v>
      </c>
      <c r="D52" s="33" t="s">
        <v>142</v>
      </c>
      <c r="E52" s="11" t="s">
        <v>123</v>
      </c>
      <c r="F52" s="33"/>
      <c r="G52" s="11"/>
      <c r="H52" s="11">
        <f>SUMIFS(X!$F$3:$F$5978,X!$D$3:$D$5978,'Current Stock'!A52)</f>
        <v>0</v>
      </c>
      <c r="I52" s="11">
        <f>SUMIFS(PENJUALAN!$E$4:$E$3651,PENJUALAN!$C$4:$C$3651,'Current Stock'!A52)</f>
        <v>0</v>
      </c>
      <c r="J52" s="15">
        <f t="shared" si="2"/>
        <v>0</v>
      </c>
      <c r="K52" s="11"/>
      <c r="L52" s="11"/>
      <c r="M52" s="11"/>
      <c r="N52" s="11"/>
      <c r="O52" s="17"/>
      <c r="P52" s="17"/>
    </row>
    <row r="53" ht="13.5" customHeight="1">
      <c r="A53" s="11" t="str">
        <f t="shared" si="1"/>
        <v>RDL-E36FY</v>
      </c>
      <c r="B53" s="32" t="s">
        <v>143</v>
      </c>
      <c r="C53" s="33" t="s">
        <v>136</v>
      </c>
      <c r="D53" s="33" t="s">
        <v>144</v>
      </c>
      <c r="E53" s="11" t="s">
        <v>123</v>
      </c>
      <c r="F53" s="33"/>
      <c r="G53" s="11"/>
      <c r="H53" s="11">
        <f>SUMIFS(X!$F$3:$F$5978,X!$D$3:$D$5978,'Current Stock'!A53)</f>
        <v>0</v>
      </c>
      <c r="I53" s="11">
        <f>SUMIFS(PENJUALAN!$E$4:$E$3651,PENJUALAN!$C$4:$C$3651,'Current Stock'!A53)</f>
        <v>0</v>
      </c>
      <c r="J53" s="15">
        <f t="shared" si="2"/>
        <v>0</v>
      </c>
      <c r="K53" s="11"/>
      <c r="L53" s="11"/>
      <c r="M53" s="11"/>
      <c r="N53" s="11"/>
      <c r="O53" s="17"/>
      <c r="P53" s="17"/>
    </row>
    <row r="54" ht="13.5" customHeight="1">
      <c r="A54" s="11" t="str">
        <f t="shared" si="1"/>
        <v>RDR-E36FY</v>
      </c>
      <c r="B54" s="32" t="s">
        <v>145</v>
      </c>
      <c r="C54" s="33" t="s">
        <v>136</v>
      </c>
      <c r="D54" s="33" t="s">
        <v>146</v>
      </c>
      <c r="E54" s="11" t="s">
        <v>123</v>
      </c>
      <c r="F54" s="33"/>
      <c r="G54" s="11"/>
      <c r="H54" s="11">
        <f>SUMIFS(X!$F$3:$F$5978,X!$D$3:$D$5978,'Current Stock'!A54)</f>
        <v>0</v>
      </c>
      <c r="I54" s="11">
        <f>SUMIFS(PENJUALAN!$E$4:$E$3651,PENJUALAN!$C$4:$C$3651,'Current Stock'!A54)</f>
        <v>0</v>
      </c>
      <c r="J54" s="15">
        <f t="shared" si="2"/>
        <v>0</v>
      </c>
      <c r="K54" s="11"/>
      <c r="L54" s="11"/>
      <c r="M54" s="11"/>
      <c r="N54" s="11"/>
      <c r="O54" s="17"/>
      <c r="P54" s="17"/>
    </row>
    <row r="55" ht="13.5" customHeight="1">
      <c r="A55" s="11" t="str">
        <f t="shared" si="1"/>
        <v>LFW-E46RSFY</v>
      </c>
      <c r="B55" s="32" t="s">
        <v>147</v>
      </c>
      <c r="C55" s="33" t="s">
        <v>148</v>
      </c>
      <c r="D55" s="33" t="s">
        <v>60</v>
      </c>
      <c r="E55" s="11" t="s">
        <v>123</v>
      </c>
      <c r="F55" s="33" t="s">
        <v>90</v>
      </c>
      <c r="G55" s="11"/>
      <c r="H55" s="11">
        <f>SUMIFS(X!$F$3:$F$5978,X!$D$3:$D$5978,'Current Stock'!A55)</f>
        <v>0</v>
      </c>
      <c r="I55" s="11">
        <f>SUMIFS(PENJUALAN!$E$4:$E$3651,PENJUALAN!$C$4:$C$3651,'Current Stock'!A55)</f>
        <v>0</v>
      </c>
      <c r="J55" s="15">
        <f t="shared" si="2"/>
        <v>0</v>
      </c>
      <c r="K55" s="11"/>
      <c r="L55" s="11"/>
      <c r="M55" s="11"/>
      <c r="N55" s="11"/>
      <c r="O55" s="17"/>
      <c r="P55" s="17"/>
    </row>
    <row r="56" ht="13.5" customHeight="1">
      <c r="A56" s="11" t="str">
        <f t="shared" si="1"/>
        <v>LFW-E46FY</v>
      </c>
      <c r="B56" s="32" t="s">
        <v>149</v>
      </c>
      <c r="C56" s="33" t="s">
        <v>148</v>
      </c>
      <c r="D56" s="33" t="s">
        <v>60</v>
      </c>
      <c r="E56" s="11" t="s">
        <v>123</v>
      </c>
      <c r="F56" s="33" t="s">
        <v>137</v>
      </c>
      <c r="G56" s="11"/>
      <c r="H56" s="11">
        <f>SUMIFS(X!$F$3:$F$5978,X!$D$3:$D$5978,'Current Stock'!A56)</f>
        <v>0</v>
      </c>
      <c r="I56" s="11">
        <f>SUMIFS(PENJUALAN!$E$4:$E$3651,PENJUALAN!$C$4:$C$3651,'Current Stock'!A56)</f>
        <v>0</v>
      </c>
      <c r="J56" s="15">
        <f t="shared" si="2"/>
        <v>0</v>
      </c>
      <c r="K56" s="11"/>
      <c r="L56" s="11"/>
      <c r="M56" s="11"/>
      <c r="N56" s="11"/>
      <c r="O56" s="17"/>
      <c r="P56" s="17"/>
    </row>
    <row r="57" ht="13.5" customHeight="1">
      <c r="A57" s="11" t="str">
        <f t="shared" si="1"/>
        <v>TRW-E46FY</v>
      </c>
      <c r="B57" s="32" t="s">
        <v>150</v>
      </c>
      <c r="C57" s="33" t="s">
        <v>148</v>
      </c>
      <c r="D57" s="33" t="s">
        <v>62</v>
      </c>
      <c r="E57" s="11" t="s">
        <v>123</v>
      </c>
      <c r="F57" s="33" t="s">
        <v>83</v>
      </c>
      <c r="G57" s="11"/>
      <c r="H57" s="11">
        <f>SUMIFS(X!$F$3:$F$5978,X!$D$3:$D$5978,'Current Stock'!A57)</f>
        <v>1</v>
      </c>
      <c r="I57" s="11">
        <f>SUMIFS(PENJUALAN!$E$4:$E$3651,PENJUALAN!$C$4:$C$3651,'Current Stock'!A57)</f>
        <v>0</v>
      </c>
      <c r="J57" s="15">
        <f t="shared" si="2"/>
        <v>1</v>
      </c>
      <c r="K57" s="13"/>
      <c r="L57" s="13"/>
      <c r="M57" s="11"/>
      <c r="N57" s="11"/>
      <c r="O57" s="17"/>
      <c r="P57" s="17"/>
    </row>
    <row r="58" ht="13.5" customHeight="1">
      <c r="A58" s="11" t="str">
        <f t="shared" si="1"/>
        <v>FDL-E46FY</v>
      </c>
      <c r="B58" s="32" t="s">
        <v>151</v>
      </c>
      <c r="C58" s="33" t="s">
        <v>148</v>
      </c>
      <c r="D58" s="33" t="s">
        <v>140</v>
      </c>
      <c r="E58" s="11" t="s">
        <v>123</v>
      </c>
      <c r="F58" s="33" t="s">
        <v>152</v>
      </c>
      <c r="G58" s="11"/>
      <c r="H58" s="11">
        <f>SUMIFS(X!$F$3:$F$5978,X!$D$3:$D$5978,'Current Stock'!A58)</f>
        <v>0</v>
      </c>
      <c r="I58" s="11">
        <f>SUMIFS(PENJUALAN!$E$4:$E$3651,PENJUALAN!$C$4:$C$3651,'Current Stock'!A58)</f>
        <v>0</v>
      </c>
      <c r="J58" s="15">
        <f t="shared" si="2"/>
        <v>0</v>
      </c>
      <c r="K58" s="11"/>
      <c r="L58" s="11"/>
      <c r="M58" s="11"/>
      <c r="N58" s="11"/>
      <c r="O58" s="17"/>
      <c r="P58" s="17"/>
    </row>
    <row r="59" ht="13.5" customHeight="1">
      <c r="A59" s="11" t="str">
        <f t="shared" si="1"/>
        <v>FDR-E46FY</v>
      </c>
      <c r="B59" s="32" t="s">
        <v>153</v>
      </c>
      <c r="C59" s="33" t="s">
        <v>148</v>
      </c>
      <c r="D59" s="33" t="s">
        <v>142</v>
      </c>
      <c r="E59" s="11" t="s">
        <v>123</v>
      </c>
      <c r="F59" s="33" t="s">
        <v>152</v>
      </c>
      <c r="G59" s="11"/>
      <c r="H59" s="11">
        <f>SUMIFS(X!$F$3:$F$5978,X!$D$3:$D$5978,'Current Stock'!A59)</f>
        <v>1</v>
      </c>
      <c r="I59" s="11">
        <f>SUMIFS(PENJUALAN!$E$4:$E$3651,PENJUALAN!$C$4:$C$3651,'Current Stock'!A59)</f>
        <v>1</v>
      </c>
      <c r="J59" s="15">
        <f t="shared" si="2"/>
        <v>0</v>
      </c>
      <c r="K59" s="11"/>
      <c r="L59" s="11"/>
      <c r="M59" s="11"/>
      <c r="N59" s="11"/>
      <c r="O59" s="17"/>
      <c r="P59" s="17"/>
    </row>
    <row r="60" ht="13.5" customHeight="1">
      <c r="A60" s="11" t="str">
        <f t="shared" si="1"/>
        <v>RDL-E46FY</v>
      </c>
      <c r="B60" s="32" t="s">
        <v>154</v>
      </c>
      <c r="C60" s="33" t="s">
        <v>148</v>
      </c>
      <c r="D60" s="33" t="s">
        <v>144</v>
      </c>
      <c r="E60" s="11" t="s">
        <v>123</v>
      </c>
      <c r="F60" s="33" t="s">
        <v>155</v>
      </c>
      <c r="G60" s="11"/>
      <c r="H60" s="11">
        <f>SUMIFS(X!$F$3:$F$5978,X!$D$3:$D$5978,'Current Stock'!A60)</f>
        <v>0</v>
      </c>
      <c r="I60" s="11">
        <f>SUMIFS(PENJUALAN!$E$4:$E$3651,PENJUALAN!$C$4:$C$3651,'Current Stock'!A60)</f>
        <v>0</v>
      </c>
      <c r="J60" s="15">
        <f t="shared" si="2"/>
        <v>0</v>
      </c>
      <c r="K60" s="11"/>
      <c r="L60" s="11"/>
      <c r="M60" s="11"/>
      <c r="N60" s="11"/>
      <c r="O60" s="17"/>
      <c r="P60" s="17"/>
    </row>
    <row r="61" ht="13.5" customHeight="1">
      <c r="A61" s="11" t="str">
        <f t="shared" si="1"/>
        <v>RDR-E46FY</v>
      </c>
      <c r="B61" s="32" t="s">
        <v>156</v>
      </c>
      <c r="C61" s="33" t="s">
        <v>148</v>
      </c>
      <c r="D61" s="33" t="s">
        <v>146</v>
      </c>
      <c r="E61" s="11" t="s">
        <v>123</v>
      </c>
      <c r="F61" s="33" t="s">
        <v>155</v>
      </c>
      <c r="G61" s="11"/>
      <c r="H61" s="11">
        <f>SUMIFS(X!$F$3:$F$5978,X!$D$3:$D$5978,'Current Stock'!A61)</f>
        <v>0</v>
      </c>
      <c r="I61" s="11">
        <f>SUMIFS(PENJUALAN!$E$4:$E$3651,PENJUALAN!$C$4:$C$3651,'Current Stock'!A61)</f>
        <v>0</v>
      </c>
      <c r="J61" s="15">
        <f t="shared" si="2"/>
        <v>0</v>
      </c>
      <c r="K61" s="11"/>
      <c r="L61" s="11"/>
      <c r="M61" s="11"/>
      <c r="N61" s="11"/>
      <c r="O61" s="17"/>
      <c r="P61" s="17"/>
    </row>
    <row r="62" ht="13.5" customHeight="1">
      <c r="A62" s="11" t="str">
        <f t="shared" si="1"/>
        <v>LFW-E46RS2DOORFY</v>
      </c>
      <c r="B62" s="32" t="s">
        <v>157</v>
      </c>
      <c r="C62" s="33" t="s">
        <v>158</v>
      </c>
      <c r="D62" s="33" t="s">
        <v>60</v>
      </c>
      <c r="E62" s="11" t="s">
        <v>123</v>
      </c>
      <c r="F62" s="33" t="s">
        <v>137</v>
      </c>
      <c r="G62" s="11"/>
      <c r="H62" s="11">
        <f>SUMIFS(X!$F$3:$F$5978,X!$D$3:$D$5978,'Current Stock'!A62)</f>
        <v>0</v>
      </c>
      <c r="I62" s="11">
        <f>SUMIFS(PENJUALAN!$E$4:$E$3651,PENJUALAN!$C$4:$C$3651,'Current Stock'!A62)</f>
        <v>0</v>
      </c>
      <c r="J62" s="15">
        <f t="shared" si="2"/>
        <v>0</v>
      </c>
      <c r="K62" s="11"/>
      <c r="L62" s="11"/>
      <c r="M62" s="11"/>
      <c r="N62" s="11"/>
      <c r="O62" s="17"/>
      <c r="P62" s="17"/>
    </row>
    <row r="63" ht="13.5" customHeight="1">
      <c r="A63" s="11" t="str">
        <f t="shared" si="1"/>
        <v>LFW-E90RSFY</v>
      </c>
      <c r="B63" s="32" t="s">
        <v>159</v>
      </c>
      <c r="C63" s="33" t="s">
        <v>160</v>
      </c>
      <c r="D63" s="33" t="s">
        <v>60</v>
      </c>
      <c r="E63" s="11" t="s">
        <v>123</v>
      </c>
      <c r="F63" s="33" t="s">
        <v>90</v>
      </c>
      <c r="G63" s="11"/>
      <c r="H63" s="11">
        <f>SUMIFS(X!$F$3:$F$5978,X!$D$3:$D$5978,'Current Stock'!A63)</f>
        <v>1</v>
      </c>
      <c r="I63" s="11">
        <f>SUMIFS(PENJUALAN!$E$4:$E$3651,PENJUALAN!$C$4:$C$3651,'Current Stock'!A63)</f>
        <v>1</v>
      </c>
      <c r="J63" s="15">
        <f t="shared" si="2"/>
        <v>0</v>
      </c>
      <c r="K63" s="11"/>
      <c r="L63" s="11"/>
      <c r="M63" s="11"/>
      <c r="N63" s="11"/>
      <c r="O63" s="17"/>
      <c r="P63" s="17"/>
    </row>
    <row r="64" ht="13.5" customHeight="1">
      <c r="A64" s="11" t="str">
        <f t="shared" si="1"/>
        <v>LFW-E90FY</v>
      </c>
      <c r="B64" s="32" t="s">
        <v>161</v>
      </c>
      <c r="C64" s="33" t="s">
        <v>160</v>
      </c>
      <c r="D64" s="33" t="s">
        <v>60</v>
      </c>
      <c r="E64" s="11" t="s">
        <v>123</v>
      </c>
      <c r="F64" s="33" t="s">
        <v>137</v>
      </c>
      <c r="G64" s="11"/>
      <c r="H64" s="11">
        <f>SUMIFS(X!$F$3:$F$5978,X!$D$3:$D$5978,'Current Stock'!A64)</f>
        <v>0</v>
      </c>
      <c r="I64" s="11">
        <f>SUMIFS(PENJUALAN!$E$4:$E$3651,PENJUALAN!$C$4:$C$3651,'Current Stock'!A64)</f>
        <v>0</v>
      </c>
      <c r="J64" s="15">
        <f t="shared" si="2"/>
        <v>0</v>
      </c>
      <c r="K64" s="11"/>
      <c r="L64" s="11"/>
      <c r="M64" s="11"/>
      <c r="N64" s="11"/>
      <c r="O64" s="17"/>
      <c r="P64" s="17"/>
    </row>
    <row r="65" ht="13.5" customHeight="1">
      <c r="A65" s="11" t="str">
        <f t="shared" si="1"/>
        <v>TRW-E90FY</v>
      </c>
      <c r="B65" s="32" t="s">
        <v>162</v>
      </c>
      <c r="C65" s="33" t="s">
        <v>160</v>
      </c>
      <c r="D65" s="33" t="s">
        <v>62</v>
      </c>
      <c r="E65" s="11" t="s">
        <v>123</v>
      </c>
      <c r="F65" s="33" t="s">
        <v>83</v>
      </c>
      <c r="G65" s="11"/>
      <c r="H65" s="11">
        <f>SUMIFS(X!$F$3:$F$5978,X!$D$3:$D$5978,'Current Stock'!A65)</f>
        <v>0</v>
      </c>
      <c r="I65" s="11">
        <f>SUMIFS(PENJUALAN!$E$4:$E$3651,PENJUALAN!$C$4:$C$3651,'Current Stock'!A65)</f>
        <v>0</v>
      </c>
      <c r="J65" s="15">
        <f t="shared" si="2"/>
        <v>0</v>
      </c>
      <c r="K65" s="11"/>
      <c r="L65" s="11"/>
      <c r="M65" s="11"/>
      <c r="N65" s="11"/>
      <c r="O65" s="17"/>
      <c r="P65" s="17"/>
    </row>
    <row r="66" ht="13.5" customHeight="1">
      <c r="A66" s="11" t="str">
        <f t="shared" si="1"/>
        <v>FDL-E90FY</v>
      </c>
      <c r="B66" s="32" t="s">
        <v>163</v>
      </c>
      <c r="C66" s="33" t="s">
        <v>160</v>
      </c>
      <c r="D66" s="33" t="s">
        <v>140</v>
      </c>
      <c r="E66" s="11" t="s">
        <v>123</v>
      </c>
      <c r="F66" s="33" t="s">
        <v>152</v>
      </c>
      <c r="G66" s="11"/>
      <c r="H66" s="11">
        <f>SUMIFS(X!$F$3:$F$5978,X!$D$3:$D$5978,'Current Stock'!A66)</f>
        <v>0</v>
      </c>
      <c r="I66" s="11">
        <f>SUMIFS(PENJUALAN!$E$4:$E$3651,PENJUALAN!$C$4:$C$3651,'Current Stock'!A66)</f>
        <v>0</v>
      </c>
      <c r="J66" s="15">
        <f t="shared" si="2"/>
        <v>0</v>
      </c>
      <c r="K66" s="11"/>
      <c r="L66" s="11"/>
      <c r="M66" s="11"/>
      <c r="N66" s="11"/>
      <c r="O66" s="17"/>
      <c r="P66" s="17"/>
    </row>
    <row r="67" ht="13.5" customHeight="1">
      <c r="A67" s="11" t="str">
        <f t="shared" si="1"/>
        <v>FDR-E90FY</v>
      </c>
      <c r="B67" s="32" t="s">
        <v>164</v>
      </c>
      <c r="C67" s="33" t="s">
        <v>160</v>
      </c>
      <c r="D67" s="33" t="s">
        <v>142</v>
      </c>
      <c r="E67" s="11" t="s">
        <v>123</v>
      </c>
      <c r="F67" s="33" t="s">
        <v>152</v>
      </c>
      <c r="G67" s="11"/>
      <c r="H67" s="11">
        <f>SUMIFS(X!$F$3:$F$5978,X!$D$3:$D$5978,'Current Stock'!A67)</f>
        <v>0</v>
      </c>
      <c r="I67" s="11">
        <f>SUMIFS(PENJUALAN!$E$4:$E$3651,PENJUALAN!$C$4:$C$3651,'Current Stock'!A67)</f>
        <v>0</v>
      </c>
      <c r="J67" s="15">
        <f t="shared" si="2"/>
        <v>0</v>
      </c>
      <c r="K67" s="11"/>
      <c r="L67" s="11"/>
      <c r="M67" s="11"/>
      <c r="N67" s="11"/>
      <c r="O67" s="17"/>
      <c r="P67" s="17"/>
    </row>
    <row r="68" ht="13.5" customHeight="1">
      <c r="A68" s="11" t="str">
        <f t="shared" si="1"/>
        <v>RDL-E90FY</v>
      </c>
      <c r="B68" s="32" t="s">
        <v>165</v>
      </c>
      <c r="C68" s="33" t="s">
        <v>160</v>
      </c>
      <c r="D68" s="33" t="s">
        <v>144</v>
      </c>
      <c r="E68" s="11" t="s">
        <v>123</v>
      </c>
      <c r="F68" s="33" t="s">
        <v>155</v>
      </c>
      <c r="G68" s="11"/>
      <c r="H68" s="11">
        <f>SUMIFS(X!$F$3:$F$5978,X!$D$3:$D$5978,'Current Stock'!A68)</f>
        <v>0</v>
      </c>
      <c r="I68" s="11">
        <f>SUMIFS(PENJUALAN!$E$4:$E$3651,PENJUALAN!$C$4:$C$3651,'Current Stock'!A68)</f>
        <v>0</v>
      </c>
      <c r="J68" s="15">
        <f t="shared" si="2"/>
        <v>0</v>
      </c>
      <c r="K68" s="11"/>
      <c r="L68" s="11"/>
      <c r="M68" s="11"/>
      <c r="N68" s="11"/>
      <c r="O68" s="17"/>
      <c r="P68" s="17"/>
    </row>
    <row r="69" ht="13.5" customHeight="1">
      <c r="A69" s="11" t="str">
        <f t="shared" si="1"/>
        <v>RDR-E90FY</v>
      </c>
      <c r="B69" s="32" t="s">
        <v>166</v>
      </c>
      <c r="C69" s="33" t="s">
        <v>160</v>
      </c>
      <c r="D69" s="33" t="s">
        <v>146</v>
      </c>
      <c r="E69" s="11" t="s">
        <v>123</v>
      </c>
      <c r="F69" s="33" t="s">
        <v>155</v>
      </c>
      <c r="G69" s="11"/>
      <c r="H69" s="11">
        <f>SUMIFS(X!$F$3:$F$5978,X!$D$3:$D$5978,'Current Stock'!A69)</f>
        <v>0</v>
      </c>
      <c r="I69" s="11">
        <f>SUMIFS(PENJUALAN!$E$4:$E$3651,PENJUALAN!$C$4:$C$3651,'Current Stock'!A69)</f>
        <v>0</v>
      </c>
      <c r="J69" s="15">
        <f t="shared" si="2"/>
        <v>0</v>
      </c>
      <c r="K69" s="11"/>
      <c r="L69" s="11"/>
      <c r="M69" s="11"/>
      <c r="N69" s="11"/>
      <c r="O69" s="17"/>
      <c r="P69" s="17"/>
    </row>
    <row r="70" ht="13.5" customHeight="1">
      <c r="A70" s="11" t="str">
        <f t="shared" si="1"/>
        <v>LFW-F30FY</v>
      </c>
      <c r="B70" s="32" t="s">
        <v>167</v>
      </c>
      <c r="C70" s="33" t="s">
        <v>168</v>
      </c>
      <c r="D70" s="33" t="s">
        <v>60</v>
      </c>
      <c r="E70" s="11" t="s">
        <v>123</v>
      </c>
      <c r="F70" s="33" t="s">
        <v>124</v>
      </c>
      <c r="G70" s="14">
        <v>45988.0</v>
      </c>
      <c r="H70" s="11">
        <f>SUMIFS(X!$F$3:$F$5978,X!$D$3:$D$5978,'Current Stock'!A70)</f>
        <v>3</v>
      </c>
      <c r="I70" s="11">
        <f>SUMIFS(PENJUALAN!$E$4:$E$3651,PENJUALAN!$C$4:$C$3651,'Current Stock'!A70)</f>
        <v>3</v>
      </c>
      <c r="J70" s="15">
        <f t="shared" si="2"/>
        <v>0</v>
      </c>
      <c r="K70" s="11"/>
      <c r="L70" s="11"/>
      <c r="M70" s="11"/>
      <c r="N70" s="11"/>
      <c r="O70" s="17"/>
      <c r="P70" s="17"/>
    </row>
    <row r="71" ht="13.5" customHeight="1">
      <c r="A71" s="11" t="str">
        <f t="shared" si="1"/>
        <v>TRW-F30FY</v>
      </c>
      <c r="B71" s="32" t="s">
        <v>169</v>
      </c>
      <c r="C71" s="33" t="s">
        <v>168</v>
      </c>
      <c r="D71" s="33" t="s">
        <v>62</v>
      </c>
      <c r="E71" s="11" t="s">
        <v>123</v>
      </c>
      <c r="F71" s="33" t="s">
        <v>83</v>
      </c>
      <c r="G71" s="11"/>
      <c r="H71" s="11">
        <f>SUMIFS(X!$F$3:$F$5978,X!$D$3:$D$5978,'Current Stock'!A71)</f>
        <v>0</v>
      </c>
      <c r="I71" s="11">
        <f>SUMIFS(PENJUALAN!$E$4:$E$3651,PENJUALAN!$C$4:$C$3651,'Current Stock'!A71)</f>
        <v>0</v>
      </c>
      <c r="J71" s="15">
        <f t="shared" si="2"/>
        <v>0</v>
      </c>
      <c r="K71" s="13"/>
      <c r="L71" s="11"/>
      <c r="M71" s="11"/>
      <c r="N71" s="11"/>
      <c r="O71" s="17"/>
      <c r="P71" s="17"/>
    </row>
    <row r="72" ht="13.5" customHeight="1">
      <c r="A72" s="11" t="str">
        <f t="shared" si="1"/>
        <v>FDL-F30FY</v>
      </c>
      <c r="B72" s="32" t="s">
        <v>170</v>
      </c>
      <c r="C72" s="33" t="s">
        <v>168</v>
      </c>
      <c r="D72" s="33" t="s">
        <v>140</v>
      </c>
      <c r="E72" s="11" t="s">
        <v>123</v>
      </c>
      <c r="F72" s="33" t="s">
        <v>152</v>
      </c>
      <c r="G72" s="11"/>
      <c r="H72" s="11">
        <f>SUMIFS(X!$F$3:$F$5978,X!$D$3:$D$5978,'Current Stock'!A72)</f>
        <v>0</v>
      </c>
      <c r="I72" s="11">
        <f>SUMIFS(PENJUALAN!$E$4:$E$3651,PENJUALAN!$C$4:$C$3651,'Current Stock'!A72)</f>
        <v>0</v>
      </c>
      <c r="J72" s="15">
        <f t="shared" si="2"/>
        <v>0</v>
      </c>
      <c r="K72" s="11"/>
      <c r="L72" s="11"/>
      <c r="M72" s="11"/>
      <c r="N72" s="11"/>
      <c r="O72" s="17"/>
      <c r="P72" s="17"/>
    </row>
    <row r="73" ht="13.5" customHeight="1">
      <c r="A73" s="11" t="str">
        <f t="shared" si="1"/>
        <v>FDR-F30FY</v>
      </c>
      <c r="B73" s="32" t="s">
        <v>171</v>
      </c>
      <c r="C73" s="33" t="s">
        <v>168</v>
      </c>
      <c r="D73" s="33" t="s">
        <v>142</v>
      </c>
      <c r="E73" s="11" t="s">
        <v>123</v>
      </c>
      <c r="F73" s="33" t="s">
        <v>152</v>
      </c>
      <c r="G73" s="11"/>
      <c r="H73" s="11">
        <f>SUMIFS(X!$F$3:$F$5978,X!$D$3:$D$5978,'Current Stock'!A73)</f>
        <v>0</v>
      </c>
      <c r="I73" s="11">
        <f>SUMIFS(PENJUALAN!$E$4:$E$3651,PENJUALAN!$C$4:$C$3651,'Current Stock'!A73)</f>
        <v>0</v>
      </c>
      <c r="J73" s="15">
        <f t="shared" si="2"/>
        <v>0</v>
      </c>
      <c r="K73" s="11"/>
      <c r="L73" s="11"/>
      <c r="M73" s="11"/>
      <c r="N73" s="11"/>
      <c r="O73" s="17"/>
      <c r="P73" s="17"/>
    </row>
    <row r="74" ht="13.5" customHeight="1">
      <c r="A74" s="11" t="str">
        <f t="shared" si="1"/>
        <v>RDL-F30FY</v>
      </c>
      <c r="B74" s="32" t="s">
        <v>172</v>
      </c>
      <c r="C74" s="33" t="s">
        <v>168</v>
      </c>
      <c r="D74" s="33" t="s">
        <v>144</v>
      </c>
      <c r="E74" s="11" t="s">
        <v>123</v>
      </c>
      <c r="F74" s="33" t="s">
        <v>155</v>
      </c>
      <c r="G74" s="11"/>
      <c r="H74" s="11">
        <f>SUMIFS(X!$F$3:$F$5978,X!$D$3:$D$5978,'Current Stock'!A74)</f>
        <v>0</v>
      </c>
      <c r="I74" s="11">
        <f>SUMIFS(PENJUALAN!$E$4:$E$3651,PENJUALAN!$C$4:$C$3651,'Current Stock'!A74)</f>
        <v>0</v>
      </c>
      <c r="J74" s="15">
        <f t="shared" si="2"/>
        <v>0</v>
      </c>
      <c r="K74" s="11"/>
      <c r="L74" s="11"/>
      <c r="M74" s="11"/>
      <c r="N74" s="11"/>
      <c r="O74" s="17"/>
      <c r="P74" s="17"/>
    </row>
    <row r="75" ht="13.5" customHeight="1">
      <c r="A75" s="11" t="str">
        <f t="shared" si="1"/>
        <v>RDR-F30FY</v>
      </c>
      <c r="B75" s="32" t="s">
        <v>173</v>
      </c>
      <c r="C75" s="33" t="s">
        <v>168</v>
      </c>
      <c r="D75" s="33" t="s">
        <v>146</v>
      </c>
      <c r="E75" s="11" t="s">
        <v>123</v>
      </c>
      <c r="F75" s="33" t="s">
        <v>155</v>
      </c>
      <c r="G75" s="11"/>
      <c r="H75" s="11">
        <f>SUMIFS(X!$F$3:$F$5978,X!$D$3:$D$5978,'Current Stock'!A75)</f>
        <v>1</v>
      </c>
      <c r="I75" s="11">
        <f>SUMIFS(PENJUALAN!$E$4:$E$3651,PENJUALAN!$C$4:$C$3651,'Current Stock'!A75)</f>
        <v>1</v>
      </c>
      <c r="J75" s="15">
        <f t="shared" si="2"/>
        <v>0</v>
      </c>
      <c r="K75" s="11"/>
      <c r="L75" s="11"/>
      <c r="M75" s="11"/>
      <c r="N75" s="11"/>
      <c r="O75" s="17"/>
      <c r="P75" s="17"/>
    </row>
    <row r="76" ht="13.5" customHeight="1">
      <c r="A76" s="11" t="str">
        <f t="shared" si="1"/>
        <v>LFW-E60RSKFY</v>
      </c>
      <c r="B76" s="32" t="s">
        <v>174</v>
      </c>
      <c r="C76" s="33" t="s">
        <v>175</v>
      </c>
      <c r="D76" s="33" t="s">
        <v>60</v>
      </c>
      <c r="E76" s="11" t="s">
        <v>123</v>
      </c>
      <c r="F76" s="33" t="s">
        <v>90</v>
      </c>
      <c r="G76" s="11"/>
      <c r="H76" s="11">
        <f>SUMIFS(X!$F$3:$F$5978,X!$D$3:$D$5978,'Current Stock'!A76)</f>
        <v>0</v>
      </c>
      <c r="I76" s="11">
        <f>SUMIFS(PENJUALAN!$E$4:$E$3651,PENJUALAN!$C$4:$C$3651,'Current Stock'!A76)</f>
        <v>0</v>
      </c>
      <c r="J76" s="15">
        <f t="shared" si="2"/>
        <v>0</v>
      </c>
      <c r="K76" s="11"/>
      <c r="L76" s="11"/>
      <c r="M76" s="11"/>
      <c r="N76" s="11"/>
      <c r="O76" s="17"/>
      <c r="P76" s="17"/>
    </row>
    <row r="77" ht="13.5" customHeight="1">
      <c r="A77" s="11" t="str">
        <f t="shared" si="1"/>
        <v>LFW-E60RSOFY</v>
      </c>
      <c r="B77" s="32" t="s">
        <v>176</v>
      </c>
      <c r="C77" s="33" t="s">
        <v>177</v>
      </c>
      <c r="D77" s="33" t="s">
        <v>60</v>
      </c>
      <c r="E77" s="11" t="s">
        <v>123</v>
      </c>
      <c r="F77" s="33" t="s">
        <v>90</v>
      </c>
      <c r="G77" s="11"/>
      <c r="H77" s="11">
        <f>SUMIFS(X!$F$3:$F$5978,X!$D$3:$D$5978,'Current Stock'!A77)</f>
        <v>0</v>
      </c>
      <c r="I77" s="11">
        <f>SUMIFS(PENJUALAN!$E$4:$E$3651,PENJUALAN!$C$4:$C$3651,'Current Stock'!A77)</f>
        <v>0</v>
      </c>
      <c r="J77" s="15">
        <f t="shared" si="2"/>
        <v>0</v>
      </c>
      <c r="K77" s="11"/>
      <c r="L77" s="11"/>
      <c r="M77" s="11"/>
      <c r="N77" s="11"/>
      <c r="O77" s="17"/>
      <c r="P77" s="17"/>
    </row>
    <row r="78" ht="13.5" customHeight="1">
      <c r="A78" s="11" t="str">
        <f t="shared" si="1"/>
        <v>TRW-E60FY</v>
      </c>
      <c r="B78" s="32" t="s">
        <v>178</v>
      </c>
      <c r="C78" s="33" t="s">
        <v>179</v>
      </c>
      <c r="D78" s="33" t="s">
        <v>62</v>
      </c>
      <c r="E78" s="11" t="s">
        <v>123</v>
      </c>
      <c r="F78" s="33" t="s">
        <v>83</v>
      </c>
      <c r="G78" s="11"/>
      <c r="H78" s="11">
        <f>SUMIFS(X!$F$3:$F$5978,X!$D$3:$D$5978,'Current Stock'!A78)</f>
        <v>0</v>
      </c>
      <c r="I78" s="11">
        <f>SUMIFS(PENJUALAN!$E$4:$E$3651,PENJUALAN!$C$4:$C$3651,'Current Stock'!A78)</f>
        <v>0</v>
      </c>
      <c r="J78" s="15">
        <f t="shared" si="2"/>
        <v>0</v>
      </c>
      <c r="K78" s="11"/>
      <c r="L78" s="11"/>
      <c r="M78" s="11"/>
      <c r="N78" s="11"/>
      <c r="O78" s="17"/>
      <c r="P78" s="17"/>
    </row>
    <row r="79" ht="13.5" customHeight="1">
      <c r="A79" s="11" t="str">
        <f t="shared" si="1"/>
        <v>FDL-E60FY</v>
      </c>
      <c r="B79" s="32" t="s">
        <v>180</v>
      </c>
      <c r="C79" s="33" t="s">
        <v>179</v>
      </c>
      <c r="D79" s="33" t="s">
        <v>140</v>
      </c>
      <c r="E79" s="11" t="s">
        <v>123</v>
      </c>
      <c r="F79" s="33"/>
      <c r="G79" s="11"/>
      <c r="H79" s="11">
        <f>SUMIFS(X!$F$3:$F$5978,X!$D$3:$D$5978,'Current Stock'!A79)</f>
        <v>0</v>
      </c>
      <c r="I79" s="11">
        <f>SUMIFS(PENJUALAN!$E$4:$E$3651,PENJUALAN!$C$4:$C$3651,'Current Stock'!A79)</f>
        <v>0</v>
      </c>
      <c r="J79" s="15">
        <f t="shared" si="2"/>
        <v>0</v>
      </c>
      <c r="K79" s="11"/>
      <c r="L79" s="11"/>
      <c r="M79" s="11"/>
      <c r="N79" s="11"/>
      <c r="O79" s="17"/>
      <c r="P79" s="17"/>
    </row>
    <row r="80" ht="13.5" customHeight="1">
      <c r="A80" s="11" t="str">
        <f t="shared" si="1"/>
        <v>FDR-E60FY</v>
      </c>
      <c r="B80" s="32" t="s">
        <v>181</v>
      </c>
      <c r="C80" s="33" t="s">
        <v>179</v>
      </c>
      <c r="D80" s="33" t="s">
        <v>142</v>
      </c>
      <c r="E80" s="11" t="s">
        <v>123</v>
      </c>
      <c r="F80" s="33"/>
      <c r="G80" s="11"/>
      <c r="H80" s="11">
        <f>SUMIFS(X!$F$3:$F$5978,X!$D$3:$D$5978,'Current Stock'!A80)</f>
        <v>0</v>
      </c>
      <c r="I80" s="11">
        <f>SUMIFS(PENJUALAN!$E$4:$E$3651,PENJUALAN!$C$4:$C$3651,'Current Stock'!A80)</f>
        <v>0</v>
      </c>
      <c r="J80" s="15">
        <f t="shared" si="2"/>
        <v>0</v>
      </c>
      <c r="K80" s="11"/>
      <c r="L80" s="11"/>
      <c r="M80" s="11"/>
      <c r="N80" s="11"/>
      <c r="O80" s="17"/>
      <c r="P80" s="17"/>
    </row>
    <row r="81" ht="13.5" customHeight="1">
      <c r="A81" s="11" t="str">
        <f t="shared" si="1"/>
        <v>RDL-E60FY</v>
      </c>
      <c r="B81" s="32" t="s">
        <v>182</v>
      </c>
      <c r="C81" s="33" t="s">
        <v>179</v>
      </c>
      <c r="D81" s="33" t="s">
        <v>144</v>
      </c>
      <c r="E81" s="11" t="s">
        <v>123</v>
      </c>
      <c r="F81" s="33" t="s">
        <v>155</v>
      </c>
      <c r="G81" s="11"/>
      <c r="H81" s="11">
        <f>SUMIFS(X!$F$3:$F$5978,X!$D$3:$D$5978,'Current Stock'!A81)</f>
        <v>0</v>
      </c>
      <c r="I81" s="11">
        <f>SUMIFS(PENJUALAN!$E$4:$E$3651,PENJUALAN!$C$4:$C$3651,'Current Stock'!A81)</f>
        <v>0</v>
      </c>
      <c r="J81" s="15">
        <f t="shared" si="2"/>
        <v>0</v>
      </c>
      <c r="K81" s="11"/>
      <c r="L81" s="11"/>
      <c r="M81" s="11"/>
      <c r="N81" s="11"/>
      <c r="O81" s="17"/>
      <c r="P81" s="17"/>
    </row>
    <row r="82" ht="13.5" customHeight="1">
      <c r="A82" s="11" t="str">
        <f t="shared" si="1"/>
        <v>RDR-E60FY</v>
      </c>
      <c r="B82" s="32" t="s">
        <v>183</v>
      </c>
      <c r="C82" s="33" t="s">
        <v>179</v>
      </c>
      <c r="D82" s="33" t="s">
        <v>146</v>
      </c>
      <c r="E82" s="11" t="s">
        <v>123</v>
      </c>
      <c r="F82" s="33" t="s">
        <v>155</v>
      </c>
      <c r="G82" s="11"/>
      <c r="H82" s="11">
        <f>SUMIFS(X!$F$3:$F$5978,X!$D$3:$D$5978,'Current Stock'!A82)</f>
        <v>0</v>
      </c>
      <c r="I82" s="11">
        <f>SUMIFS(PENJUALAN!$E$4:$E$3651,PENJUALAN!$C$4:$C$3651,'Current Stock'!A82)</f>
        <v>0</v>
      </c>
      <c r="J82" s="15">
        <f t="shared" si="2"/>
        <v>0</v>
      </c>
      <c r="K82" s="11"/>
      <c r="L82" s="11"/>
      <c r="M82" s="11"/>
      <c r="N82" s="11"/>
      <c r="O82" s="17"/>
      <c r="P82" s="17"/>
    </row>
    <row r="83" ht="13.5" customHeight="1">
      <c r="A83" s="11" t="str">
        <f t="shared" si="1"/>
        <v>LFW-F10FY</v>
      </c>
      <c r="B83" s="32" t="s">
        <v>184</v>
      </c>
      <c r="C83" s="33" t="s">
        <v>185</v>
      </c>
      <c r="D83" s="33" t="s">
        <v>60</v>
      </c>
      <c r="E83" s="11" t="s">
        <v>123</v>
      </c>
      <c r="F83" s="33" t="s">
        <v>90</v>
      </c>
      <c r="G83" s="11"/>
      <c r="H83" s="11">
        <f>SUMIFS(X!$F$3:$F$5978,X!$D$3:$D$5978,'Current Stock'!A83)</f>
        <v>0</v>
      </c>
      <c r="I83" s="11">
        <f>SUMIFS(PENJUALAN!$E$4:$E$3651,PENJUALAN!$C$4:$C$3651,'Current Stock'!A83)</f>
        <v>0</v>
      </c>
      <c r="J83" s="15">
        <f t="shared" si="2"/>
        <v>0</v>
      </c>
      <c r="K83" s="11"/>
      <c r="L83" s="11"/>
      <c r="M83" s="11"/>
      <c r="N83" s="11"/>
      <c r="O83" s="17"/>
      <c r="P83" s="17"/>
    </row>
    <row r="84" ht="13.5" customHeight="1">
      <c r="A84" s="11" t="str">
        <f t="shared" si="1"/>
        <v>FDL-F10FY</v>
      </c>
      <c r="B84" s="32" t="s">
        <v>186</v>
      </c>
      <c r="C84" s="33" t="s">
        <v>187</v>
      </c>
      <c r="D84" s="33" t="s">
        <v>140</v>
      </c>
      <c r="E84" s="11" t="s">
        <v>123</v>
      </c>
      <c r="F84" s="33" t="s">
        <v>152</v>
      </c>
      <c r="G84" s="11"/>
      <c r="H84" s="11">
        <f>SUMIFS(X!$F$3:$F$5978,X!$D$3:$D$5978,'Current Stock'!A84)</f>
        <v>0</v>
      </c>
      <c r="I84" s="11">
        <f>SUMIFS(PENJUALAN!$E$4:$E$3651,PENJUALAN!$C$4:$C$3651,'Current Stock'!A84)</f>
        <v>0</v>
      </c>
      <c r="J84" s="15">
        <f t="shared" si="2"/>
        <v>0</v>
      </c>
      <c r="K84" s="11"/>
      <c r="L84" s="11"/>
      <c r="M84" s="11"/>
      <c r="N84" s="11"/>
      <c r="O84" s="17"/>
      <c r="P84" s="17"/>
    </row>
    <row r="85" ht="13.5" customHeight="1">
      <c r="A85" s="11" t="str">
        <f t="shared" si="1"/>
        <v>FDL-F10FY</v>
      </c>
      <c r="B85" s="32" t="s">
        <v>186</v>
      </c>
      <c r="C85" s="33" t="s">
        <v>187</v>
      </c>
      <c r="D85" s="33" t="s">
        <v>142</v>
      </c>
      <c r="E85" s="11" t="s">
        <v>123</v>
      </c>
      <c r="F85" s="33" t="s">
        <v>152</v>
      </c>
      <c r="G85" s="11"/>
      <c r="H85" s="11">
        <f>SUMIFS(X!$F$3:$F$5978,X!$D$3:$D$5978,'Current Stock'!A85)</f>
        <v>0</v>
      </c>
      <c r="I85" s="11">
        <f>SUMIFS(PENJUALAN!$E$4:$E$3651,PENJUALAN!$C$4:$C$3651,'Current Stock'!A85)</f>
        <v>0</v>
      </c>
      <c r="J85" s="15">
        <f t="shared" si="2"/>
        <v>0</v>
      </c>
      <c r="K85" s="11"/>
      <c r="L85" s="11"/>
      <c r="M85" s="11"/>
      <c r="N85" s="11"/>
      <c r="O85" s="17"/>
      <c r="P85" s="17"/>
    </row>
    <row r="86" ht="13.5" customHeight="1">
      <c r="A86" s="11" t="str">
        <f t="shared" si="1"/>
        <v>RDL-F10FY</v>
      </c>
      <c r="B86" s="32" t="s">
        <v>188</v>
      </c>
      <c r="C86" s="33" t="s">
        <v>187</v>
      </c>
      <c r="D86" s="33" t="s">
        <v>144</v>
      </c>
      <c r="E86" s="11" t="s">
        <v>123</v>
      </c>
      <c r="F86" s="33" t="s">
        <v>155</v>
      </c>
      <c r="G86" s="11"/>
      <c r="H86" s="11">
        <f>SUMIFS(X!$F$3:$F$5978,X!$D$3:$D$5978,'Current Stock'!A86)</f>
        <v>0</v>
      </c>
      <c r="I86" s="11">
        <f>SUMIFS(PENJUALAN!$E$4:$E$3651,PENJUALAN!$C$4:$C$3651,'Current Stock'!A86)</f>
        <v>0</v>
      </c>
      <c r="J86" s="15">
        <f t="shared" si="2"/>
        <v>0</v>
      </c>
      <c r="K86" s="11"/>
      <c r="L86" s="11"/>
      <c r="M86" s="11"/>
      <c r="N86" s="11"/>
      <c r="O86" s="17"/>
      <c r="P86" s="17"/>
    </row>
    <row r="87" ht="13.5" customHeight="1">
      <c r="A87" s="11" t="str">
        <f t="shared" si="1"/>
        <v>RDR-F10FY</v>
      </c>
      <c r="B87" s="32" t="s">
        <v>189</v>
      </c>
      <c r="C87" s="33" t="s">
        <v>187</v>
      </c>
      <c r="D87" s="33" t="s">
        <v>146</v>
      </c>
      <c r="E87" s="11" t="s">
        <v>123</v>
      </c>
      <c r="F87" s="33" t="s">
        <v>155</v>
      </c>
      <c r="G87" s="11"/>
      <c r="H87" s="11">
        <f>SUMIFS(X!$F$3:$F$5978,X!$D$3:$D$5978,'Current Stock'!A87)</f>
        <v>0</v>
      </c>
      <c r="I87" s="11">
        <f>SUMIFS(PENJUALAN!$E$4:$E$3651,PENJUALAN!$C$4:$C$3651,'Current Stock'!A87)</f>
        <v>0</v>
      </c>
      <c r="J87" s="15">
        <f t="shared" si="2"/>
        <v>0</v>
      </c>
      <c r="K87" s="11"/>
      <c r="L87" s="11"/>
      <c r="M87" s="11"/>
      <c r="N87" s="11"/>
      <c r="O87" s="17"/>
      <c r="P87" s="17"/>
    </row>
    <row r="88" ht="13.5" customHeight="1">
      <c r="A88" s="11" t="str">
        <f t="shared" si="1"/>
        <v>LFW-E84FY</v>
      </c>
      <c r="B88" s="32" t="s">
        <v>190</v>
      </c>
      <c r="C88" s="33" t="s">
        <v>191</v>
      </c>
      <c r="D88" s="33" t="s">
        <v>60</v>
      </c>
      <c r="E88" s="11" t="s">
        <v>123</v>
      </c>
      <c r="F88" s="33" t="s">
        <v>90</v>
      </c>
      <c r="G88" s="11"/>
      <c r="H88" s="11">
        <f>SUMIFS(X!$F$3:$F$5978,X!$D$3:$D$5978,'Current Stock'!A88)</f>
        <v>0</v>
      </c>
      <c r="I88" s="11">
        <f>SUMIFS(PENJUALAN!$E$4:$E$3651,PENJUALAN!$C$4:$C$3651,'Current Stock'!A88)</f>
        <v>0</v>
      </c>
      <c r="J88" s="15">
        <f t="shared" si="2"/>
        <v>0</v>
      </c>
      <c r="K88" s="11"/>
      <c r="L88" s="11"/>
      <c r="M88" s="11"/>
      <c r="N88" s="11"/>
      <c r="O88" s="17"/>
      <c r="P88" s="17"/>
    </row>
    <row r="89" ht="13.5" customHeight="1">
      <c r="A89" s="11" t="str">
        <f t="shared" si="1"/>
        <v>TRW-E84FY</v>
      </c>
      <c r="B89" s="32" t="s">
        <v>192</v>
      </c>
      <c r="C89" s="33" t="s">
        <v>193</v>
      </c>
      <c r="D89" s="33" t="s">
        <v>62</v>
      </c>
      <c r="E89" s="11" t="s">
        <v>123</v>
      </c>
      <c r="F89" s="33" t="s">
        <v>83</v>
      </c>
      <c r="G89" s="11"/>
      <c r="H89" s="11">
        <f>SUMIFS(X!$F$3:$F$5978,X!$D$3:$D$5978,'Current Stock'!A89)</f>
        <v>1</v>
      </c>
      <c r="I89" s="11">
        <f>SUMIFS(PENJUALAN!$E$4:$E$3651,PENJUALAN!$C$4:$C$3651,'Current Stock'!A89)</f>
        <v>1</v>
      </c>
      <c r="J89" s="15">
        <f t="shared" si="2"/>
        <v>0</v>
      </c>
      <c r="K89" s="11"/>
      <c r="L89" s="11"/>
      <c r="M89" s="11"/>
      <c r="N89" s="11"/>
      <c r="O89" s="17"/>
      <c r="P89" s="17"/>
    </row>
    <row r="90" ht="13.5" customHeight="1">
      <c r="A90" s="11" t="str">
        <f t="shared" si="1"/>
        <v>LFW-F48FY</v>
      </c>
      <c r="B90" s="32" t="s">
        <v>194</v>
      </c>
      <c r="C90" s="33" t="s">
        <v>195</v>
      </c>
      <c r="D90" s="33" t="s">
        <v>60</v>
      </c>
      <c r="E90" s="11" t="s">
        <v>123</v>
      </c>
      <c r="F90" s="33" t="s">
        <v>196</v>
      </c>
      <c r="G90" s="11"/>
      <c r="H90" s="11">
        <f>SUMIFS(X!$F$3:$F$5978,X!$D$3:$D$5978,'Current Stock'!A90)</f>
        <v>0</v>
      </c>
      <c r="I90" s="11">
        <f>SUMIFS(PENJUALAN!$E$4:$E$3651,PENJUALAN!$C$4:$C$3651,'Current Stock'!A90)</f>
        <v>0</v>
      </c>
      <c r="J90" s="15">
        <f t="shared" si="2"/>
        <v>0</v>
      </c>
      <c r="K90" s="11"/>
      <c r="L90" s="11"/>
      <c r="M90" s="11"/>
      <c r="N90" s="11"/>
      <c r="O90" s="17"/>
      <c r="P90" s="17"/>
    </row>
    <row r="91" ht="13.5" customHeight="1">
      <c r="A91" s="11" t="str">
        <f t="shared" si="1"/>
        <v>LFW-E53FY</v>
      </c>
      <c r="B91" s="32" t="s">
        <v>197</v>
      </c>
      <c r="C91" s="33" t="s">
        <v>198</v>
      </c>
      <c r="D91" s="33" t="s">
        <v>60</v>
      </c>
      <c r="E91" s="11" t="s">
        <v>123</v>
      </c>
      <c r="F91" s="33" t="s">
        <v>90</v>
      </c>
      <c r="G91" s="11"/>
      <c r="H91" s="11">
        <f>SUMIFS(X!$F$3:$F$5978,X!$D$3:$D$5978,'Current Stock'!A91)</f>
        <v>0</v>
      </c>
      <c r="I91" s="11">
        <f>SUMIFS(PENJUALAN!$E$4:$E$3651,PENJUALAN!$C$4:$C$3651,'Current Stock'!A91)</f>
        <v>0</v>
      </c>
      <c r="J91" s="15">
        <f t="shared" si="2"/>
        <v>0</v>
      </c>
      <c r="K91" s="11"/>
      <c r="L91" s="11"/>
      <c r="M91" s="11"/>
      <c r="N91" s="11"/>
      <c r="O91" s="17"/>
      <c r="P91" s="17"/>
    </row>
    <row r="92" ht="13.5" customHeight="1">
      <c r="A92" s="11" t="str">
        <f t="shared" si="1"/>
        <v>TRW-E53BLACKFY</v>
      </c>
      <c r="B92" s="32" t="s">
        <v>199</v>
      </c>
      <c r="C92" s="33" t="s">
        <v>200</v>
      </c>
      <c r="D92" s="33" t="s">
        <v>62</v>
      </c>
      <c r="E92" s="11" t="s">
        <v>123</v>
      </c>
      <c r="F92" s="33" t="s">
        <v>201</v>
      </c>
      <c r="G92" s="11"/>
      <c r="H92" s="11">
        <f>SUMIFS(X!$F$3:$F$5978,X!$D$3:$D$5978,'Current Stock'!A92)</f>
        <v>0</v>
      </c>
      <c r="I92" s="11">
        <f>SUMIFS(PENJUALAN!$E$4:$E$3651,PENJUALAN!$C$4:$C$3651,'Current Stock'!A92)</f>
        <v>0</v>
      </c>
      <c r="J92" s="15">
        <f t="shared" si="2"/>
        <v>0</v>
      </c>
      <c r="K92" s="11"/>
      <c r="L92" s="11"/>
      <c r="M92" s="11"/>
      <c r="N92" s="11"/>
      <c r="O92" s="17"/>
      <c r="P92" s="17"/>
    </row>
    <row r="93" ht="13.5" customHeight="1">
      <c r="A93" s="11" t="str">
        <f t="shared" si="1"/>
        <v>LFW-E70RSFY</v>
      </c>
      <c r="B93" s="32" t="s">
        <v>202</v>
      </c>
      <c r="C93" s="33" t="s">
        <v>203</v>
      </c>
      <c r="D93" s="33" t="s">
        <v>60</v>
      </c>
      <c r="E93" s="11" t="s">
        <v>123</v>
      </c>
      <c r="F93" s="33" t="s">
        <v>90</v>
      </c>
      <c r="G93" s="11"/>
      <c r="H93" s="11">
        <f>SUMIFS(X!$F$3:$F$5978,X!$D$3:$D$5978,'Current Stock'!A93)</f>
        <v>0</v>
      </c>
      <c r="I93" s="11">
        <f>SUMIFS(PENJUALAN!$E$4:$E$3651,PENJUALAN!$C$4:$C$3651,'Current Stock'!A93)</f>
        <v>0</v>
      </c>
      <c r="J93" s="15">
        <f t="shared" si="2"/>
        <v>0</v>
      </c>
      <c r="K93" s="11"/>
      <c r="L93" s="11"/>
      <c r="M93" s="11"/>
      <c r="N93" s="11"/>
      <c r="O93" s="17"/>
      <c r="P93" s="17"/>
    </row>
    <row r="94" ht="13.5" customHeight="1">
      <c r="A94" s="11" t="str">
        <f t="shared" si="1"/>
        <v>TRW-E70FY</v>
      </c>
      <c r="B94" s="32" t="s">
        <v>204</v>
      </c>
      <c r="C94" s="33" t="s">
        <v>205</v>
      </c>
      <c r="D94" s="33" t="s">
        <v>62</v>
      </c>
      <c r="E94" s="11" t="s">
        <v>123</v>
      </c>
      <c r="F94" s="33" t="s">
        <v>206</v>
      </c>
      <c r="G94" s="11"/>
      <c r="H94" s="11">
        <f>SUMIFS(X!$F$3:$F$5978,X!$D$3:$D$5978,'Current Stock'!A94)</f>
        <v>0</v>
      </c>
      <c r="I94" s="11">
        <f>SUMIFS(PENJUALAN!$E$4:$E$3651,PENJUALAN!$C$4:$C$3651,'Current Stock'!A94)</f>
        <v>0</v>
      </c>
      <c r="J94" s="15">
        <f t="shared" si="2"/>
        <v>0</v>
      </c>
      <c r="K94" s="11"/>
      <c r="L94" s="11"/>
      <c r="M94" s="11"/>
      <c r="N94" s="11"/>
      <c r="O94" s="17"/>
      <c r="P94" s="17"/>
    </row>
    <row r="95" ht="13.5" customHeight="1">
      <c r="A95" s="11" t="str">
        <f t="shared" si="1"/>
        <v>RDL-E70FY</v>
      </c>
      <c r="B95" s="32" t="s">
        <v>207</v>
      </c>
      <c r="C95" s="33" t="s">
        <v>205</v>
      </c>
      <c r="D95" s="33" t="s">
        <v>144</v>
      </c>
      <c r="E95" s="11" t="s">
        <v>123</v>
      </c>
      <c r="F95" s="33" t="s">
        <v>155</v>
      </c>
      <c r="G95" s="11"/>
      <c r="H95" s="11">
        <f>SUMIFS(X!$F$3:$F$5978,X!$D$3:$D$5978,'Current Stock'!A95)</f>
        <v>0</v>
      </c>
      <c r="I95" s="11">
        <f>SUMIFS(PENJUALAN!$E$4:$E$3651,PENJUALAN!$C$4:$C$3651,'Current Stock'!A95)</f>
        <v>0</v>
      </c>
      <c r="J95" s="15">
        <f t="shared" si="2"/>
        <v>0</v>
      </c>
      <c r="K95" s="11"/>
      <c r="L95" s="11"/>
      <c r="M95" s="11"/>
      <c r="N95" s="11"/>
      <c r="O95" s="17"/>
      <c r="P95" s="17"/>
    </row>
    <row r="96" ht="13.5" customHeight="1">
      <c r="A96" s="11" t="str">
        <f t="shared" si="1"/>
        <v>SWL-E70FY</v>
      </c>
      <c r="B96" s="32" t="s">
        <v>208</v>
      </c>
      <c r="C96" s="33" t="s">
        <v>205</v>
      </c>
      <c r="D96" s="33" t="s">
        <v>209</v>
      </c>
      <c r="E96" s="11" t="s">
        <v>123</v>
      </c>
      <c r="F96" s="33" t="s">
        <v>109</v>
      </c>
      <c r="G96" s="11"/>
      <c r="H96" s="11">
        <f>SUMIFS(X!$F$3:$F$5978,X!$D$3:$D$5978,'Current Stock'!A96)</f>
        <v>0</v>
      </c>
      <c r="I96" s="11">
        <f>SUMIFS(PENJUALAN!$E$4:$E$3651,PENJUALAN!$C$4:$C$3651,'Current Stock'!A96)</f>
        <v>0</v>
      </c>
      <c r="J96" s="15">
        <f t="shared" si="2"/>
        <v>0</v>
      </c>
      <c r="K96" s="11"/>
      <c r="L96" s="11"/>
      <c r="M96" s="11"/>
      <c r="N96" s="11"/>
      <c r="O96" s="17"/>
      <c r="P96" s="17"/>
    </row>
    <row r="97" ht="13.5" customHeight="1">
      <c r="A97" s="11" t="str">
        <f t="shared" si="1"/>
        <v>LFW-F15FY</v>
      </c>
      <c r="B97" s="32" t="s">
        <v>210</v>
      </c>
      <c r="C97" s="33" t="s">
        <v>211</v>
      </c>
      <c r="D97" s="33" t="s">
        <v>60</v>
      </c>
      <c r="E97" s="11" t="s">
        <v>123</v>
      </c>
      <c r="F97" s="33" t="s">
        <v>196</v>
      </c>
      <c r="G97" s="11"/>
      <c r="H97" s="11">
        <f>SUMIFS(X!$F$3:$F$5978,X!$D$3:$D$5978,'Current Stock'!A97)</f>
        <v>1</v>
      </c>
      <c r="I97" s="11">
        <f>SUMIFS(PENJUALAN!$E$4:$E$3651,PENJUALAN!$C$4:$C$3651,'Current Stock'!A97)</f>
        <v>1</v>
      </c>
      <c r="J97" s="15">
        <f t="shared" si="2"/>
        <v>0</v>
      </c>
      <c r="K97" s="11"/>
      <c r="L97" s="11"/>
      <c r="M97" s="11"/>
      <c r="N97" s="11"/>
      <c r="O97" s="17"/>
      <c r="P97" s="17"/>
    </row>
    <row r="98" ht="13.5" customHeight="1">
      <c r="A98" s="11" t="str">
        <f t="shared" si="1"/>
        <v>RDL-F15FY</v>
      </c>
      <c r="B98" s="32" t="s">
        <v>212</v>
      </c>
      <c r="C98" s="33" t="s">
        <v>211</v>
      </c>
      <c r="D98" s="33" t="s">
        <v>144</v>
      </c>
      <c r="E98" s="11" t="s">
        <v>123</v>
      </c>
      <c r="F98" s="33" t="s">
        <v>155</v>
      </c>
      <c r="G98" s="11"/>
      <c r="H98" s="11">
        <f>SUMIFS(X!$F$3:$F$5978,X!$D$3:$D$5978,'Current Stock'!A98)</f>
        <v>0</v>
      </c>
      <c r="I98" s="11">
        <f>SUMIFS(PENJUALAN!$E$4:$E$3651,PENJUALAN!$C$4:$C$3651,'Current Stock'!A98)</f>
        <v>0</v>
      </c>
      <c r="J98" s="15">
        <f t="shared" si="2"/>
        <v>0</v>
      </c>
      <c r="K98" s="11"/>
      <c r="L98" s="11"/>
      <c r="M98" s="11"/>
      <c r="N98" s="11"/>
      <c r="O98" s="17"/>
      <c r="P98" s="17"/>
    </row>
    <row r="99" ht="13.5" customHeight="1">
      <c r="A99" s="11" t="str">
        <f t="shared" si="1"/>
        <v>RDR-F15FY</v>
      </c>
      <c r="B99" s="32" t="s">
        <v>213</v>
      </c>
      <c r="C99" s="33" t="s">
        <v>211</v>
      </c>
      <c r="D99" s="33" t="s">
        <v>146</v>
      </c>
      <c r="E99" s="11" t="s">
        <v>123</v>
      </c>
      <c r="F99" s="33" t="s">
        <v>155</v>
      </c>
      <c r="G99" s="11"/>
      <c r="H99" s="11">
        <f>SUMIFS(X!$F$3:$F$5978,X!$D$3:$D$5978,'Current Stock'!A99)</f>
        <v>0</v>
      </c>
      <c r="I99" s="11">
        <f>SUMIFS(PENJUALAN!$E$4:$E$3651,PENJUALAN!$C$4:$C$3651,'Current Stock'!A99)</f>
        <v>0</v>
      </c>
      <c r="J99" s="15">
        <f t="shared" si="2"/>
        <v>0</v>
      </c>
      <c r="K99" s="11"/>
      <c r="L99" s="11"/>
      <c r="M99" s="11"/>
      <c r="N99" s="11"/>
      <c r="O99" s="17"/>
      <c r="P99" s="17"/>
    </row>
    <row r="100" ht="13.5" customHeight="1">
      <c r="A100" s="11" t="str">
        <f t="shared" si="1"/>
        <v>LFW-QQ03FY</v>
      </c>
      <c r="B100" s="32" t="s">
        <v>214</v>
      </c>
      <c r="C100" s="33" t="s">
        <v>215</v>
      </c>
      <c r="D100" s="33" t="s">
        <v>60</v>
      </c>
      <c r="E100" s="11" t="s">
        <v>123</v>
      </c>
      <c r="F100" s="33" t="s">
        <v>137</v>
      </c>
      <c r="G100" s="11"/>
      <c r="H100" s="11">
        <f>SUMIFS(X!$F$3:$F$5978,X!$D$3:$D$5978,'Current Stock'!A100)</f>
        <v>0</v>
      </c>
      <c r="I100" s="11">
        <f>SUMIFS(PENJUALAN!$E$4:$E$3651,PENJUALAN!$C$4:$C$3651,'Current Stock'!A100)</f>
        <v>0</v>
      </c>
      <c r="J100" s="15">
        <f t="shared" si="2"/>
        <v>0</v>
      </c>
      <c r="K100" s="11"/>
      <c r="L100" s="11"/>
      <c r="M100" s="11"/>
      <c r="N100" s="11"/>
      <c r="O100" s="17"/>
      <c r="P100" s="17"/>
    </row>
    <row r="101" ht="13.5" customHeight="1">
      <c r="A101" s="11" t="str">
        <f t="shared" si="1"/>
        <v>TRW-QQ03FY</v>
      </c>
      <c r="B101" s="32" t="s">
        <v>216</v>
      </c>
      <c r="C101" s="33" t="s">
        <v>215</v>
      </c>
      <c r="D101" s="33" t="s">
        <v>62</v>
      </c>
      <c r="E101" s="11" t="s">
        <v>123</v>
      </c>
      <c r="F101" s="33" t="s">
        <v>83</v>
      </c>
      <c r="G101" s="11"/>
      <c r="H101" s="11">
        <f>SUMIFS(X!$F$3:$F$5978,X!$D$3:$D$5978,'Current Stock'!A101)</f>
        <v>0</v>
      </c>
      <c r="I101" s="11">
        <f>SUMIFS(PENJUALAN!$E$4:$E$3651,PENJUALAN!$C$4:$C$3651,'Current Stock'!A101)</f>
        <v>0</v>
      </c>
      <c r="J101" s="15">
        <f t="shared" si="2"/>
        <v>0</v>
      </c>
      <c r="K101" s="11"/>
      <c r="L101" s="11"/>
      <c r="M101" s="11"/>
      <c r="N101" s="11"/>
      <c r="O101" s="17"/>
      <c r="P101" s="17"/>
    </row>
    <row r="102" ht="13.5" customHeight="1">
      <c r="A102" s="11" t="str">
        <f t="shared" si="1"/>
        <v>LFW-AVEO99FY</v>
      </c>
      <c r="B102" s="32" t="s">
        <v>217</v>
      </c>
      <c r="C102" s="33" t="s">
        <v>218</v>
      </c>
      <c r="D102" s="33" t="s">
        <v>60</v>
      </c>
      <c r="E102" s="11" t="s">
        <v>123</v>
      </c>
      <c r="F102" s="33" t="s">
        <v>137</v>
      </c>
      <c r="G102" s="11"/>
      <c r="H102" s="11">
        <f>SUMIFS(X!$F$3:$F$5978,X!$D$3:$D$5978,'Current Stock'!A102)</f>
        <v>0</v>
      </c>
      <c r="I102" s="11">
        <f>SUMIFS(PENJUALAN!$E$4:$E$3651,PENJUALAN!$C$4:$C$3651,'Current Stock'!A102)</f>
        <v>0</v>
      </c>
      <c r="J102" s="15">
        <f t="shared" si="2"/>
        <v>0</v>
      </c>
      <c r="K102" s="11"/>
      <c r="L102" s="11"/>
      <c r="M102" s="11"/>
      <c r="N102" s="11"/>
      <c r="O102" s="17"/>
      <c r="P102" s="17"/>
    </row>
    <row r="103" ht="13.5" customHeight="1">
      <c r="A103" s="11" t="str">
        <f t="shared" si="1"/>
        <v>FDL-AVEO99FY</v>
      </c>
      <c r="B103" s="32" t="s">
        <v>219</v>
      </c>
      <c r="C103" s="33" t="s">
        <v>220</v>
      </c>
      <c r="D103" s="33" t="s">
        <v>140</v>
      </c>
      <c r="E103" s="11" t="s">
        <v>123</v>
      </c>
      <c r="F103" s="33" t="s">
        <v>152</v>
      </c>
      <c r="G103" s="11"/>
      <c r="H103" s="11">
        <f>SUMIFS(X!$F$3:$F$5978,X!$D$3:$D$5978,'Current Stock'!A103)</f>
        <v>0</v>
      </c>
      <c r="I103" s="11">
        <f>SUMIFS(PENJUALAN!$E$4:$E$3651,PENJUALAN!$C$4:$C$3651,'Current Stock'!A103)</f>
        <v>0</v>
      </c>
      <c r="J103" s="15">
        <f t="shared" si="2"/>
        <v>0</v>
      </c>
      <c r="K103" s="11"/>
      <c r="L103" s="11"/>
      <c r="M103" s="11"/>
      <c r="N103" s="11"/>
      <c r="O103" s="17"/>
      <c r="P103" s="17"/>
    </row>
    <row r="104" ht="13.5" customHeight="1">
      <c r="A104" s="11" t="str">
        <f t="shared" si="1"/>
        <v>FDR-AVEO99FY</v>
      </c>
      <c r="B104" s="32" t="s">
        <v>221</v>
      </c>
      <c r="C104" s="33" t="s">
        <v>220</v>
      </c>
      <c r="D104" s="33" t="s">
        <v>142</v>
      </c>
      <c r="E104" s="11" t="s">
        <v>123</v>
      </c>
      <c r="F104" s="33" t="s">
        <v>152</v>
      </c>
      <c r="G104" s="11"/>
      <c r="H104" s="11">
        <f>SUMIFS(X!$F$3:$F$5978,X!$D$3:$D$5978,'Current Stock'!A104)</f>
        <v>0</v>
      </c>
      <c r="I104" s="11">
        <f>SUMIFS(PENJUALAN!$E$4:$E$3651,PENJUALAN!$C$4:$C$3651,'Current Stock'!A104)</f>
        <v>0</v>
      </c>
      <c r="J104" s="15">
        <f t="shared" si="2"/>
        <v>0</v>
      </c>
      <c r="K104" s="11"/>
      <c r="L104" s="11"/>
      <c r="M104" s="11"/>
      <c r="N104" s="11"/>
      <c r="O104" s="17"/>
      <c r="P104" s="17"/>
    </row>
    <row r="105" ht="13.5" customHeight="1">
      <c r="A105" s="11" t="str">
        <f t="shared" si="1"/>
        <v>TRW-AVEO99FY</v>
      </c>
      <c r="B105" s="32" t="s">
        <v>222</v>
      </c>
      <c r="C105" s="33" t="s">
        <v>220</v>
      </c>
      <c r="D105" s="33" t="s">
        <v>62</v>
      </c>
      <c r="E105" s="11" t="s">
        <v>123</v>
      </c>
      <c r="F105" s="33" t="s">
        <v>83</v>
      </c>
      <c r="G105" s="11"/>
      <c r="H105" s="11">
        <f>SUMIFS(X!$F$3:$F$5978,X!$D$3:$D$5978,'Current Stock'!A105)</f>
        <v>0</v>
      </c>
      <c r="I105" s="11">
        <f>SUMIFS(PENJUALAN!$E$4:$E$3651,PENJUALAN!$C$4:$C$3651,'Current Stock'!A105)</f>
        <v>0</v>
      </c>
      <c r="J105" s="15">
        <f t="shared" si="2"/>
        <v>0</v>
      </c>
      <c r="K105" s="11"/>
      <c r="L105" s="11"/>
      <c r="M105" s="11"/>
      <c r="N105" s="11"/>
      <c r="O105" s="17"/>
      <c r="P105" s="17"/>
    </row>
    <row r="106" ht="13.5" customHeight="1">
      <c r="A106" s="11" t="str">
        <f t="shared" si="1"/>
        <v>LFW-AVEO08FY</v>
      </c>
      <c r="B106" s="32" t="s">
        <v>223</v>
      </c>
      <c r="C106" s="33" t="s">
        <v>224</v>
      </c>
      <c r="D106" s="33" t="s">
        <v>60</v>
      </c>
      <c r="E106" s="11" t="s">
        <v>123</v>
      </c>
      <c r="F106" s="33" t="s">
        <v>137</v>
      </c>
      <c r="G106" s="11"/>
      <c r="H106" s="11">
        <f>SUMIFS(X!$F$3:$F$5978,X!$D$3:$D$5978,'Current Stock'!A106)</f>
        <v>0</v>
      </c>
      <c r="I106" s="11">
        <f>SUMIFS(PENJUALAN!$E$4:$E$3651,PENJUALAN!$C$4:$C$3651,'Current Stock'!A106)</f>
        <v>0</v>
      </c>
      <c r="J106" s="15">
        <f t="shared" si="2"/>
        <v>0</v>
      </c>
      <c r="K106" s="11"/>
      <c r="L106" s="11"/>
      <c r="M106" s="11"/>
      <c r="N106" s="11"/>
      <c r="O106" s="17"/>
      <c r="P106" s="17"/>
    </row>
    <row r="107" ht="13.5" customHeight="1">
      <c r="A107" s="11" t="str">
        <f t="shared" si="1"/>
        <v>LFW-AVEO11FY</v>
      </c>
      <c r="B107" s="32" t="s">
        <v>225</v>
      </c>
      <c r="C107" s="33" t="s">
        <v>226</v>
      </c>
      <c r="D107" s="33" t="s">
        <v>60</v>
      </c>
      <c r="E107" s="11" t="s">
        <v>123</v>
      </c>
      <c r="F107" s="33" t="s">
        <v>137</v>
      </c>
      <c r="G107" s="11"/>
      <c r="H107" s="11">
        <f>SUMIFS(X!$F$3:$F$5978,X!$D$3:$D$5978,'Current Stock'!A107)</f>
        <v>0</v>
      </c>
      <c r="I107" s="11">
        <f>SUMIFS(PENJUALAN!$E$4:$E$3651,PENJUALAN!$C$4:$C$3651,'Current Stock'!A107)</f>
        <v>0</v>
      </c>
      <c r="J107" s="15">
        <f t="shared" si="2"/>
        <v>0</v>
      </c>
      <c r="K107" s="11"/>
      <c r="L107" s="11"/>
      <c r="M107" s="11"/>
      <c r="N107" s="11"/>
      <c r="O107" s="17"/>
      <c r="P107" s="17"/>
    </row>
    <row r="108" ht="13.5" customHeight="1">
      <c r="A108" s="11" t="str">
        <f t="shared" si="1"/>
        <v>TRW-AVEO11FY</v>
      </c>
      <c r="B108" s="32" t="s">
        <v>227</v>
      </c>
      <c r="C108" s="33" t="s">
        <v>226</v>
      </c>
      <c r="D108" s="33" t="s">
        <v>62</v>
      </c>
      <c r="E108" s="11" t="s">
        <v>123</v>
      </c>
      <c r="F108" s="33" t="s">
        <v>228</v>
      </c>
      <c r="G108" s="11"/>
      <c r="H108" s="11">
        <f>SUMIFS(X!$F$3:$F$5978,X!$D$3:$D$5978,'Current Stock'!A108)</f>
        <v>0</v>
      </c>
      <c r="I108" s="11">
        <f>SUMIFS(PENJUALAN!$E$4:$E$3651,PENJUALAN!$C$4:$C$3651,'Current Stock'!A108)</f>
        <v>0</v>
      </c>
      <c r="J108" s="15">
        <f t="shared" si="2"/>
        <v>0</v>
      </c>
      <c r="K108" s="11"/>
      <c r="L108" s="11"/>
      <c r="M108" s="11"/>
      <c r="N108" s="11"/>
      <c r="O108" s="17"/>
      <c r="P108" s="17"/>
    </row>
    <row r="109" ht="13.5" customHeight="1">
      <c r="A109" s="11" t="str">
        <f t="shared" si="1"/>
        <v>LFW-CAPTIVARSAUTO</v>
      </c>
      <c r="B109" s="32" t="s">
        <v>229</v>
      </c>
      <c r="C109" s="33" t="s">
        <v>230</v>
      </c>
      <c r="D109" s="33" t="s">
        <v>60</v>
      </c>
      <c r="E109" s="11" t="s">
        <v>82</v>
      </c>
      <c r="F109" s="33" t="s">
        <v>231</v>
      </c>
      <c r="G109" s="11"/>
      <c r="H109" s="11">
        <f>SUMIFS(X!$F$3:$F$5978,X!$D$3:$D$5978,'Current Stock'!A109)</f>
        <v>0</v>
      </c>
      <c r="I109" s="11">
        <f>SUMIFS(PENJUALAN!$E$4:$E$3651,PENJUALAN!$C$4:$C$3651,'Current Stock'!A109)</f>
        <v>0</v>
      </c>
      <c r="J109" s="15">
        <f t="shared" si="2"/>
        <v>0</v>
      </c>
      <c r="K109" s="11"/>
      <c r="L109" s="11"/>
      <c r="M109" s="11"/>
      <c r="N109" s="11"/>
      <c r="O109" s="17"/>
      <c r="P109" s="17"/>
    </row>
    <row r="110" ht="13.5" customHeight="1">
      <c r="A110" s="11" t="str">
        <f t="shared" si="1"/>
        <v>LFW-CAPTIVAFY</v>
      </c>
      <c r="B110" s="32" t="s">
        <v>232</v>
      </c>
      <c r="C110" s="33" t="s">
        <v>230</v>
      </c>
      <c r="D110" s="33" t="s">
        <v>60</v>
      </c>
      <c r="E110" s="11" t="s">
        <v>123</v>
      </c>
      <c r="F110" s="33" t="s">
        <v>137</v>
      </c>
      <c r="G110" s="11"/>
      <c r="H110" s="11">
        <f>SUMIFS(X!$F$3:$F$5978,X!$D$3:$D$5978,'Current Stock'!A110)</f>
        <v>1</v>
      </c>
      <c r="I110" s="11">
        <f>SUMIFS(PENJUALAN!$E$4:$E$3651,PENJUALAN!$C$4:$C$3651,'Current Stock'!A110)</f>
        <v>1</v>
      </c>
      <c r="J110" s="15">
        <f t="shared" si="2"/>
        <v>0</v>
      </c>
      <c r="K110" s="11"/>
      <c r="L110" s="11"/>
      <c r="M110" s="11"/>
      <c r="N110" s="11"/>
      <c r="O110" s="17"/>
      <c r="P110" s="17"/>
    </row>
    <row r="111" ht="13.5" customHeight="1">
      <c r="A111" s="11" t="str">
        <f t="shared" si="1"/>
        <v>LFW-CAPTIVARSFY</v>
      </c>
      <c r="B111" s="32" t="s">
        <v>229</v>
      </c>
      <c r="C111" s="33" t="s">
        <v>230</v>
      </c>
      <c r="D111" s="33" t="s">
        <v>60</v>
      </c>
      <c r="E111" s="11" t="s">
        <v>123</v>
      </c>
      <c r="F111" s="33" t="s">
        <v>90</v>
      </c>
      <c r="G111" s="11"/>
      <c r="H111" s="11">
        <f>SUMIFS(X!$F$3:$F$5978,X!$D$3:$D$5978,'Current Stock'!A111)</f>
        <v>0</v>
      </c>
      <c r="I111" s="11">
        <f>SUMIFS(PENJUALAN!$E$4:$E$3651,PENJUALAN!$C$4:$C$3651,'Current Stock'!A111)</f>
        <v>0</v>
      </c>
      <c r="J111" s="15">
        <f t="shared" si="2"/>
        <v>0</v>
      </c>
      <c r="K111" s="11"/>
      <c r="L111" s="11"/>
      <c r="M111" s="11"/>
      <c r="N111" s="11"/>
      <c r="O111" s="17"/>
      <c r="P111" s="17"/>
    </row>
    <row r="112" ht="13.5" customHeight="1">
      <c r="A112" s="11" t="str">
        <f t="shared" si="1"/>
        <v>TRW-CAPTIVA6HOLEFY</v>
      </c>
      <c r="B112" s="32" t="s">
        <v>233</v>
      </c>
      <c r="C112" s="33" t="s">
        <v>230</v>
      </c>
      <c r="D112" s="33" t="s">
        <v>62</v>
      </c>
      <c r="E112" s="11" t="s">
        <v>123</v>
      </c>
      <c r="F112" s="33" t="s">
        <v>234</v>
      </c>
      <c r="G112" s="11"/>
      <c r="H112" s="11">
        <f>SUMIFS(X!$F$3:$F$5978,X!$D$3:$D$5978,'Current Stock'!A112)</f>
        <v>0</v>
      </c>
      <c r="I112" s="11">
        <f>SUMIFS(PENJUALAN!$E$4:$E$3651,PENJUALAN!$C$4:$C$3651,'Current Stock'!A112)</f>
        <v>0</v>
      </c>
      <c r="J112" s="15">
        <f t="shared" si="2"/>
        <v>0</v>
      </c>
      <c r="K112" s="11"/>
      <c r="L112" s="11"/>
      <c r="M112" s="11"/>
      <c r="N112" s="11"/>
      <c r="O112" s="17"/>
      <c r="P112" s="17"/>
    </row>
    <row r="113" ht="13.5" customHeight="1">
      <c r="A113" s="11" t="str">
        <f t="shared" si="1"/>
        <v>TRW-CAPTIVAFY</v>
      </c>
      <c r="B113" s="32" t="s">
        <v>235</v>
      </c>
      <c r="C113" s="33" t="s">
        <v>230</v>
      </c>
      <c r="D113" s="33" t="s">
        <v>62</v>
      </c>
      <c r="E113" s="11" t="s">
        <v>123</v>
      </c>
      <c r="F113" s="33" t="s">
        <v>83</v>
      </c>
      <c r="G113" s="11"/>
      <c r="H113" s="11">
        <f>SUMIFS(X!$F$3:$F$5978,X!$D$3:$D$5978,'Current Stock'!A113)</f>
        <v>0</v>
      </c>
      <c r="I113" s="11">
        <f>SUMIFS(PENJUALAN!$E$4:$E$3651,PENJUALAN!$C$4:$C$3651,'Current Stock'!A113)</f>
        <v>0</v>
      </c>
      <c r="J113" s="15">
        <f t="shared" si="2"/>
        <v>0</v>
      </c>
      <c r="K113" s="11"/>
      <c r="L113" s="11"/>
      <c r="M113" s="11"/>
      <c r="N113" s="11"/>
      <c r="O113" s="17"/>
      <c r="P113" s="17"/>
    </row>
    <row r="114" ht="13.5" customHeight="1">
      <c r="A114" s="11" t="str">
        <f t="shared" si="1"/>
        <v>FDL2-CAPTIVAFY</v>
      </c>
      <c r="B114" s="32" t="s">
        <v>236</v>
      </c>
      <c r="C114" s="33" t="s">
        <v>230</v>
      </c>
      <c r="D114" s="33" t="s">
        <v>140</v>
      </c>
      <c r="E114" s="11" t="s">
        <v>123</v>
      </c>
      <c r="F114" s="33" t="s">
        <v>152</v>
      </c>
      <c r="G114" s="11"/>
      <c r="H114" s="11">
        <f>SUMIFS(X!$F$3:$F$5978,X!$D$3:$D$5978,'Current Stock'!A114)</f>
        <v>0</v>
      </c>
      <c r="I114" s="11">
        <f>SUMIFS(PENJUALAN!$E$4:$E$3651,PENJUALAN!$C$4:$C$3651,'Current Stock'!A114)</f>
        <v>0</v>
      </c>
      <c r="J114" s="15">
        <f t="shared" si="2"/>
        <v>0</v>
      </c>
      <c r="K114" s="11"/>
      <c r="L114" s="11"/>
      <c r="M114" s="11"/>
      <c r="N114" s="11"/>
      <c r="O114" s="17"/>
      <c r="P114" s="17"/>
    </row>
    <row r="115" ht="13.5" customHeight="1">
      <c r="A115" s="11" t="str">
        <f t="shared" si="1"/>
        <v>FDR2-CAPTIVAFY</v>
      </c>
      <c r="B115" s="32" t="s">
        <v>237</v>
      </c>
      <c r="C115" s="33" t="s">
        <v>230</v>
      </c>
      <c r="D115" s="33" t="s">
        <v>142</v>
      </c>
      <c r="E115" s="11" t="s">
        <v>123</v>
      </c>
      <c r="F115" s="33" t="s">
        <v>152</v>
      </c>
      <c r="G115" s="11"/>
      <c r="H115" s="11">
        <f>SUMIFS(X!$F$3:$F$5978,X!$D$3:$D$5978,'Current Stock'!A115)</f>
        <v>0</v>
      </c>
      <c r="I115" s="11">
        <f>SUMIFS(PENJUALAN!$E$4:$E$3651,PENJUALAN!$C$4:$C$3651,'Current Stock'!A115)</f>
        <v>0</v>
      </c>
      <c r="J115" s="15">
        <f t="shared" si="2"/>
        <v>0</v>
      </c>
      <c r="K115" s="11"/>
      <c r="L115" s="11"/>
      <c r="M115" s="11"/>
      <c r="N115" s="11"/>
      <c r="O115" s="17"/>
      <c r="P115" s="17"/>
    </row>
    <row r="116" ht="13.5" customHeight="1">
      <c r="A116" s="11" t="str">
        <f t="shared" si="1"/>
        <v>RDL2-CAPTIVAFY</v>
      </c>
      <c r="B116" s="32" t="s">
        <v>238</v>
      </c>
      <c r="C116" s="33" t="s">
        <v>230</v>
      </c>
      <c r="D116" s="33" t="s">
        <v>144</v>
      </c>
      <c r="E116" s="11" t="s">
        <v>123</v>
      </c>
      <c r="F116" s="33" t="s">
        <v>152</v>
      </c>
      <c r="G116" s="11"/>
      <c r="H116" s="11">
        <f>SUMIFS(X!$F$3:$F$5978,X!$D$3:$D$5978,'Current Stock'!A116)</f>
        <v>0</v>
      </c>
      <c r="I116" s="11">
        <f>SUMIFS(PENJUALAN!$E$4:$E$3651,PENJUALAN!$C$4:$C$3651,'Current Stock'!A116)</f>
        <v>0</v>
      </c>
      <c r="J116" s="15">
        <f t="shared" si="2"/>
        <v>0</v>
      </c>
      <c r="K116" s="11"/>
      <c r="L116" s="11"/>
      <c r="M116" s="11"/>
      <c r="N116" s="11"/>
      <c r="O116" s="17"/>
      <c r="P116" s="17"/>
    </row>
    <row r="117" ht="13.5" customHeight="1">
      <c r="A117" s="11" t="str">
        <f t="shared" si="1"/>
        <v>RDR2-CAPTIVAFY</v>
      </c>
      <c r="B117" s="32" t="s">
        <v>239</v>
      </c>
      <c r="C117" s="33" t="s">
        <v>230</v>
      </c>
      <c r="D117" s="33" t="s">
        <v>146</v>
      </c>
      <c r="E117" s="11" t="s">
        <v>123</v>
      </c>
      <c r="F117" s="33" t="s">
        <v>152</v>
      </c>
      <c r="G117" s="11"/>
      <c r="H117" s="11">
        <f>SUMIFS(X!$F$3:$F$5978,X!$D$3:$D$5978,'Current Stock'!A117)</f>
        <v>0</v>
      </c>
      <c r="I117" s="11">
        <f>SUMIFS(PENJUALAN!$E$4:$E$3651,PENJUALAN!$C$4:$C$3651,'Current Stock'!A117)</f>
        <v>0</v>
      </c>
      <c r="J117" s="15">
        <f t="shared" si="2"/>
        <v>0</v>
      </c>
      <c r="K117" s="11"/>
      <c r="L117" s="11"/>
      <c r="M117" s="11"/>
      <c r="N117" s="11"/>
      <c r="O117" s="17"/>
      <c r="P117" s="17"/>
    </row>
    <row r="118" ht="13.5" customHeight="1">
      <c r="A118" s="11" t="str">
        <f t="shared" si="1"/>
        <v>RQL-CAPTIVAFY</v>
      </c>
      <c r="B118" s="32" t="s">
        <v>240</v>
      </c>
      <c r="C118" s="33" t="s">
        <v>230</v>
      </c>
      <c r="D118" s="33" t="s">
        <v>209</v>
      </c>
      <c r="E118" s="11" t="s">
        <v>123</v>
      </c>
      <c r="F118" s="33" t="s">
        <v>241</v>
      </c>
      <c r="G118" s="11"/>
      <c r="H118" s="11">
        <f>SUMIFS(X!$F$3:$F$5978,X!$D$3:$D$5978,'Current Stock'!A118)</f>
        <v>0</v>
      </c>
      <c r="I118" s="11">
        <f>SUMIFS(PENJUALAN!$E$4:$E$3651,PENJUALAN!$C$4:$C$3651,'Current Stock'!A118)</f>
        <v>0</v>
      </c>
      <c r="J118" s="15">
        <f t="shared" si="2"/>
        <v>0</v>
      </c>
      <c r="K118" s="11"/>
      <c r="L118" s="11"/>
      <c r="M118" s="11"/>
      <c r="N118" s="11"/>
      <c r="O118" s="17"/>
      <c r="P118" s="17"/>
    </row>
    <row r="119" ht="13.5" customHeight="1">
      <c r="A119" s="11" t="str">
        <f t="shared" si="1"/>
        <v>RQR-CAPTIVAFY</v>
      </c>
      <c r="B119" s="32" t="s">
        <v>242</v>
      </c>
      <c r="C119" s="33" t="s">
        <v>230</v>
      </c>
      <c r="D119" s="33" t="s">
        <v>243</v>
      </c>
      <c r="E119" s="11" t="s">
        <v>123</v>
      </c>
      <c r="F119" s="33" t="s">
        <v>109</v>
      </c>
      <c r="G119" s="11"/>
      <c r="H119" s="11">
        <f>SUMIFS(X!$F$3:$F$5978,X!$D$3:$D$5978,'Current Stock'!A119)</f>
        <v>0</v>
      </c>
      <c r="I119" s="11">
        <f>SUMIFS(PENJUALAN!$E$4:$E$3651,PENJUALAN!$C$4:$C$3651,'Current Stock'!A119)</f>
        <v>0</v>
      </c>
      <c r="J119" s="15">
        <f t="shared" si="2"/>
        <v>0</v>
      </c>
      <c r="K119" s="11"/>
      <c r="L119" s="11"/>
      <c r="M119" s="11"/>
      <c r="N119" s="11"/>
      <c r="O119" s="17"/>
      <c r="P119" s="17"/>
    </row>
    <row r="120" ht="13.5" customHeight="1">
      <c r="A120" s="11" t="str">
        <f t="shared" si="1"/>
        <v>LFW-OPTRAFY</v>
      </c>
      <c r="B120" s="32" t="s">
        <v>244</v>
      </c>
      <c r="C120" s="33" t="s">
        <v>245</v>
      </c>
      <c r="D120" s="33" t="s">
        <v>60</v>
      </c>
      <c r="E120" s="11" t="s">
        <v>123</v>
      </c>
      <c r="F120" s="33" t="s">
        <v>137</v>
      </c>
      <c r="G120" s="11"/>
      <c r="H120" s="11">
        <f>SUMIFS(X!$F$3:$F$5978,X!$D$3:$D$5978,'Current Stock'!A120)</f>
        <v>0</v>
      </c>
      <c r="I120" s="11">
        <f>SUMIFS(PENJUALAN!$E$4:$E$3651,PENJUALAN!$C$4:$C$3651,'Current Stock'!A120)</f>
        <v>0</v>
      </c>
      <c r="J120" s="15">
        <f t="shared" si="2"/>
        <v>0</v>
      </c>
      <c r="K120" s="11"/>
      <c r="L120" s="11"/>
      <c r="M120" s="11"/>
      <c r="N120" s="11"/>
      <c r="O120" s="17"/>
      <c r="P120" s="17"/>
    </row>
    <row r="121" ht="13.5" customHeight="1">
      <c r="A121" s="11" t="str">
        <f t="shared" si="1"/>
        <v>LFW-ORLANDORSFY</v>
      </c>
      <c r="B121" s="32" t="s">
        <v>246</v>
      </c>
      <c r="C121" s="33" t="s">
        <v>247</v>
      </c>
      <c r="D121" s="33" t="s">
        <v>60</v>
      </c>
      <c r="E121" s="11" t="s">
        <v>123</v>
      </c>
      <c r="F121" s="33" t="s">
        <v>90</v>
      </c>
      <c r="G121" s="11"/>
      <c r="H121" s="11">
        <f>SUMIFS(X!$F$3:$F$5978,X!$D$3:$D$5978,'Current Stock'!A121)</f>
        <v>0</v>
      </c>
      <c r="I121" s="11">
        <f>SUMIFS(PENJUALAN!$E$4:$E$3651,PENJUALAN!$C$4:$C$3651,'Current Stock'!A121)</f>
        <v>0</v>
      </c>
      <c r="J121" s="15">
        <f t="shared" si="2"/>
        <v>0</v>
      </c>
      <c r="K121" s="11"/>
      <c r="L121" s="11"/>
      <c r="M121" s="11"/>
      <c r="N121" s="11"/>
      <c r="O121" s="17"/>
      <c r="P121" s="17"/>
    </row>
    <row r="122" ht="13.5" customHeight="1">
      <c r="A122" s="11" t="str">
        <f t="shared" si="1"/>
        <v>LFW-ORLANDOFY</v>
      </c>
      <c r="B122" s="32" t="s">
        <v>248</v>
      </c>
      <c r="C122" s="33" t="s">
        <v>247</v>
      </c>
      <c r="D122" s="33" t="s">
        <v>60</v>
      </c>
      <c r="E122" s="11" t="s">
        <v>123</v>
      </c>
      <c r="F122" s="33" t="s">
        <v>137</v>
      </c>
      <c r="G122" s="11"/>
      <c r="H122" s="11">
        <f>SUMIFS(X!$F$3:$F$5978,X!$D$3:$D$5978,'Current Stock'!A122)</f>
        <v>0</v>
      </c>
      <c r="I122" s="11">
        <f>SUMIFS(PENJUALAN!$E$4:$E$3651,PENJUALAN!$C$4:$C$3651,'Current Stock'!A122)</f>
        <v>0</v>
      </c>
      <c r="J122" s="15">
        <f t="shared" si="2"/>
        <v>0</v>
      </c>
      <c r="K122" s="11"/>
      <c r="L122" s="11"/>
      <c r="M122" s="11"/>
      <c r="N122" s="11"/>
      <c r="O122" s="17"/>
      <c r="P122" s="17"/>
    </row>
    <row r="123" ht="13.5" customHeight="1">
      <c r="A123" s="11" t="str">
        <f t="shared" si="1"/>
        <v>FDR-ORLANDOFY</v>
      </c>
      <c r="B123" s="32" t="s">
        <v>249</v>
      </c>
      <c r="C123" s="33" t="s">
        <v>247</v>
      </c>
      <c r="D123" s="33" t="s">
        <v>142</v>
      </c>
      <c r="E123" s="11" t="s">
        <v>123</v>
      </c>
      <c r="F123" s="33"/>
      <c r="G123" s="11"/>
      <c r="H123" s="11">
        <f>SUMIFS(X!$F$3:$F$5978,X!$D$3:$D$5978,'Current Stock'!A123)</f>
        <v>0</v>
      </c>
      <c r="I123" s="11">
        <f>SUMIFS(PENJUALAN!$E$4:$E$3651,PENJUALAN!$C$4:$C$3651,'Current Stock'!A123)</f>
        <v>0</v>
      </c>
      <c r="J123" s="15">
        <f t="shared" si="2"/>
        <v>0</v>
      </c>
      <c r="K123" s="11"/>
      <c r="L123" s="11"/>
      <c r="M123" s="11"/>
      <c r="N123" s="11"/>
      <c r="O123" s="17"/>
      <c r="P123" s="17"/>
    </row>
    <row r="124" ht="13.5" customHeight="1">
      <c r="A124" s="11" t="str">
        <f t="shared" si="1"/>
        <v>RDL-ORLANDOFY</v>
      </c>
      <c r="B124" s="32" t="s">
        <v>250</v>
      </c>
      <c r="C124" s="33" t="s">
        <v>247</v>
      </c>
      <c r="D124" s="33" t="s">
        <v>144</v>
      </c>
      <c r="E124" s="11" t="s">
        <v>123</v>
      </c>
      <c r="F124" s="33"/>
      <c r="G124" s="11"/>
      <c r="H124" s="11">
        <f>SUMIFS(X!$F$3:$F$5978,X!$D$3:$D$5978,'Current Stock'!A124)</f>
        <v>0</v>
      </c>
      <c r="I124" s="11">
        <f>SUMIFS(PENJUALAN!$E$4:$E$3651,PENJUALAN!$C$4:$C$3651,'Current Stock'!A124)</f>
        <v>0</v>
      </c>
      <c r="J124" s="15">
        <f t="shared" si="2"/>
        <v>0</v>
      </c>
      <c r="K124" s="11"/>
      <c r="L124" s="11"/>
      <c r="M124" s="11"/>
      <c r="N124" s="11"/>
      <c r="O124" s="17"/>
      <c r="P124" s="17"/>
    </row>
    <row r="125" ht="13.5" customHeight="1">
      <c r="A125" s="11" t="str">
        <f t="shared" si="1"/>
        <v>LFW-SPARK98FY</v>
      </c>
      <c r="B125" s="32" t="s">
        <v>251</v>
      </c>
      <c r="C125" s="33" t="s">
        <v>252</v>
      </c>
      <c r="D125" s="33" t="s">
        <v>60</v>
      </c>
      <c r="E125" s="11" t="s">
        <v>123</v>
      </c>
      <c r="F125" s="33" t="s">
        <v>137</v>
      </c>
      <c r="G125" s="11"/>
      <c r="H125" s="11">
        <f>SUMIFS(X!$F$3:$F$5978,X!$D$3:$D$5978,'Current Stock'!A125)</f>
        <v>0</v>
      </c>
      <c r="I125" s="11">
        <f>SUMIFS(PENJUALAN!$E$4:$E$3651,PENJUALAN!$C$4:$C$3651,'Current Stock'!A125)</f>
        <v>0</v>
      </c>
      <c r="J125" s="15">
        <f t="shared" si="2"/>
        <v>0</v>
      </c>
      <c r="K125" s="11"/>
      <c r="L125" s="11"/>
      <c r="M125" s="11"/>
      <c r="N125" s="11"/>
      <c r="O125" s="17"/>
      <c r="P125" s="17"/>
    </row>
    <row r="126" ht="13.5" customHeight="1">
      <c r="A126" s="11" t="str">
        <f t="shared" si="1"/>
        <v>TRW-SPARK98FY</v>
      </c>
      <c r="B126" s="32" t="s">
        <v>253</v>
      </c>
      <c r="C126" s="33" t="s">
        <v>252</v>
      </c>
      <c r="D126" s="33" t="s">
        <v>62</v>
      </c>
      <c r="E126" s="11" t="s">
        <v>123</v>
      </c>
      <c r="F126" s="33" t="s">
        <v>83</v>
      </c>
      <c r="G126" s="11"/>
      <c r="H126" s="11">
        <f>SUMIFS(X!$F$3:$F$5978,X!$D$3:$D$5978,'Current Stock'!A126)</f>
        <v>0</v>
      </c>
      <c r="I126" s="11">
        <f>SUMIFS(PENJUALAN!$E$4:$E$3651,PENJUALAN!$C$4:$C$3651,'Current Stock'!A126)</f>
        <v>0</v>
      </c>
      <c r="J126" s="15">
        <f t="shared" si="2"/>
        <v>0</v>
      </c>
      <c r="K126" s="11"/>
      <c r="L126" s="11"/>
      <c r="M126" s="11"/>
      <c r="N126" s="11"/>
      <c r="O126" s="17"/>
      <c r="P126" s="17"/>
    </row>
    <row r="127" ht="13.5" customHeight="1">
      <c r="A127" s="11" t="str">
        <f t="shared" si="1"/>
        <v>LFW-SPARK05FY</v>
      </c>
      <c r="B127" s="32" t="s">
        <v>254</v>
      </c>
      <c r="C127" s="33" t="s">
        <v>255</v>
      </c>
      <c r="D127" s="33" t="s">
        <v>60</v>
      </c>
      <c r="E127" s="11" t="s">
        <v>123</v>
      </c>
      <c r="F127" s="33" t="s">
        <v>137</v>
      </c>
      <c r="G127" s="11"/>
      <c r="H127" s="11">
        <f>SUMIFS(X!$F$3:$F$5978,X!$D$3:$D$5978,'Current Stock'!A127)</f>
        <v>0</v>
      </c>
      <c r="I127" s="11">
        <f>SUMIFS(PENJUALAN!$E$4:$E$3651,PENJUALAN!$C$4:$C$3651,'Current Stock'!A127)</f>
        <v>0</v>
      </c>
      <c r="J127" s="15">
        <f t="shared" si="2"/>
        <v>0</v>
      </c>
      <c r="K127" s="11"/>
      <c r="L127" s="11"/>
      <c r="M127" s="11"/>
      <c r="N127" s="11"/>
      <c r="O127" s="17"/>
      <c r="P127" s="17"/>
    </row>
    <row r="128" ht="13.5" customHeight="1">
      <c r="A128" s="11" t="str">
        <f t="shared" si="1"/>
        <v>TRW-SPARK05FY</v>
      </c>
      <c r="B128" s="32" t="s">
        <v>256</v>
      </c>
      <c r="C128" s="33" t="s">
        <v>255</v>
      </c>
      <c r="D128" s="33" t="s">
        <v>62</v>
      </c>
      <c r="E128" s="11" t="s">
        <v>123</v>
      </c>
      <c r="F128" s="33" t="s">
        <v>83</v>
      </c>
      <c r="G128" s="11"/>
      <c r="H128" s="11">
        <f>SUMIFS(X!$F$3:$F$5978,X!$D$3:$D$5978,'Current Stock'!A128)</f>
        <v>0</v>
      </c>
      <c r="I128" s="11">
        <f>SUMIFS(PENJUALAN!$E$4:$E$3651,PENJUALAN!$C$4:$C$3651,'Current Stock'!A128)</f>
        <v>0</v>
      </c>
      <c r="J128" s="15">
        <f t="shared" si="2"/>
        <v>0</v>
      </c>
      <c r="K128" s="11"/>
      <c r="L128" s="11"/>
      <c r="M128" s="11"/>
      <c r="N128" s="11"/>
      <c r="O128" s="17"/>
      <c r="P128" s="17"/>
    </row>
    <row r="129" ht="13.5" customHeight="1">
      <c r="A129" s="11" t="str">
        <f t="shared" si="1"/>
        <v>FDL-SPARK05FY</v>
      </c>
      <c r="B129" s="32" t="s">
        <v>257</v>
      </c>
      <c r="C129" s="33" t="s">
        <v>255</v>
      </c>
      <c r="D129" s="33" t="s">
        <v>140</v>
      </c>
      <c r="E129" s="11" t="s">
        <v>123</v>
      </c>
      <c r="F129" s="33" t="s">
        <v>152</v>
      </c>
      <c r="G129" s="11"/>
      <c r="H129" s="11">
        <f>SUMIFS(X!$F$3:$F$5978,X!$D$3:$D$5978,'Current Stock'!A129)</f>
        <v>0</v>
      </c>
      <c r="I129" s="11">
        <f>SUMIFS(PENJUALAN!$E$4:$E$3651,PENJUALAN!$C$4:$C$3651,'Current Stock'!A129)</f>
        <v>0</v>
      </c>
      <c r="J129" s="15">
        <f t="shared" si="2"/>
        <v>0</v>
      </c>
      <c r="K129" s="11"/>
      <c r="L129" s="11"/>
      <c r="M129" s="11"/>
      <c r="N129" s="11"/>
      <c r="O129" s="17"/>
      <c r="P129" s="17"/>
    </row>
    <row r="130" ht="13.5" customHeight="1">
      <c r="A130" s="11" t="str">
        <f t="shared" si="1"/>
        <v>FDR-SPARK05FY</v>
      </c>
      <c r="B130" s="32" t="s">
        <v>258</v>
      </c>
      <c r="C130" s="33" t="s">
        <v>255</v>
      </c>
      <c r="D130" s="33" t="s">
        <v>142</v>
      </c>
      <c r="E130" s="11" t="s">
        <v>123</v>
      </c>
      <c r="F130" s="33" t="s">
        <v>152</v>
      </c>
      <c r="G130" s="11"/>
      <c r="H130" s="11">
        <f>SUMIFS(X!$F$3:$F$5978,X!$D$3:$D$5978,'Current Stock'!A130)</f>
        <v>0</v>
      </c>
      <c r="I130" s="11">
        <f>SUMIFS(PENJUALAN!$E$4:$E$3651,PENJUALAN!$C$4:$C$3651,'Current Stock'!A130)</f>
        <v>0</v>
      </c>
      <c r="J130" s="15">
        <f t="shared" si="2"/>
        <v>0</v>
      </c>
      <c r="K130" s="11"/>
      <c r="L130" s="11"/>
      <c r="M130" s="11"/>
      <c r="N130" s="11"/>
      <c r="O130" s="17"/>
      <c r="P130" s="17"/>
    </row>
    <row r="131" ht="13.5" customHeight="1">
      <c r="A131" s="11" t="str">
        <f t="shared" si="1"/>
        <v>RDR-SPARK05FY</v>
      </c>
      <c r="B131" s="32" t="s">
        <v>259</v>
      </c>
      <c r="C131" s="33" t="s">
        <v>255</v>
      </c>
      <c r="D131" s="33" t="s">
        <v>146</v>
      </c>
      <c r="E131" s="11" t="s">
        <v>123</v>
      </c>
      <c r="F131" s="33"/>
      <c r="G131" s="11"/>
      <c r="H131" s="11">
        <f>SUMIFS(X!$F$3:$F$5978,X!$D$3:$D$5978,'Current Stock'!A131)</f>
        <v>0</v>
      </c>
      <c r="I131" s="11">
        <f>SUMIFS(PENJUALAN!$E$4:$E$3651,PENJUALAN!$C$4:$C$3651,'Current Stock'!A131)</f>
        <v>0</v>
      </c>
      <c r="J131" s="15">
        <f t="shared" si="2"/>
        <v>0</v>
      </c>
      <c r="K131" s="11"/>
      <c r="L131" s="11"/>
      <c r="M131" s="11"/>
      <c r="N131" s="11"/>
      <c r="O131" s="17"/>
      <c r="P131" s="17"/>
    </row>
    <row r="132" ht="13.5" customHeight="1">
      <c r="A132" s="11" t="str">
        <f t="shared" si="1"/>
        <v>LFW-SPARK10FY</v>
      </c>
      <c r="B132" s="32" t="s">
        <v>260</v>
      </c>
      <c r="C132" s="33" t="s">
        <v>261</v>
      </c>
      <c r="D132" s="33" t="s">
        <v>60</v>
      </c>
      <c r="E132" s="11" t="s">
        <v>123</v>
      </c>
      <c r="F132" s="33" t="s">
        <v>137</v>
      </c>
      <c r="G132" s="11"/>
      <c r="H132" s="11">
        <f>SUMIFS(X!$F$3:$F$5978,X!$D$3:$D$5978,'Current Stock'!A132)</f>
        <v>0</v>
      </c>
      <c r="I132" s="11">
        <f>SUMIFS(PENJUALAN!$E$4:$E$3651,PENJUALAN!$C$4:$C$3651,'Current Stock'!A132)</f>
        <v>0</v>
      </c>
      <c r="J132" s="15">
        <f t="shared" si="2"/>
        <v>0</v>
      </c>
      <c r="K132" s="11"/>
      <c r="L132" s="11"/>
      <c r="M132" s="11"/>
      <c r="N132" s="11"/>
      <c r="O132" s="17"/>
      <c r="P132" s="17"/>
    </row>
    <row r="133" ht="13.5" customHeight="1">
      <c r="A133" s="11" t="str">
        <f t="shared" si="1"/>
        <v>TRW-SPARK10FY</v>
      </c>
      <c r="B133" s="32" t="s">
        <v>262</v>
      </c>
      <c r="C133" s="33" t="s">
        <v>261</v>
      </c>
      <c r="D133" s="33" t="s">
        <v>62</v>
      </c>
      <c r="E133" s="11" t="s">
        <v>123</v>
      </c>
      <c r="F133" s="33" t="s">
        <v>83</v>
      </c>
      <c r="G133" s="11"/>
      <c r="H133" s="11">
        <f>SUMIFS(X!$F$3:$F$5978,X!$D$3:$D$5978,'Current Stock'!A133)</f>
        <v>0</v>
      </c>
      <c r="I133" s="11">
        <f>SUMIFS(PENJUALAN!$E$4:$E$3651,PENJUALAN!$C$4:$C$3651,'Current Stock'!A133)</f>
        <v>0</v>
      </c>
      <c r="J133" s="15">
        <f t="shared" si="2"/>
        <v>0</v>
      </c>
      <c r="K133" s="11"/>
      <c r="L133" s="11"/>
      <c r="M133" s="11"/>
      <c r="N133" s="11"/>
      <c r="O133" s="17"/>
      <c r="P133" s="17"/>
    </row>
    <row r="134" ht="13.5" customHeight="1">
      <c r="A134" s="11" t="str">
        <f t="shared" si="1"/>
        <v>FDL-SPARK10FY</v>
      </c>
      <c r="B134" s="32" t="s">
        <v>263</v>
      </c>
      <c r="C134" s="33" t="s">
        <v>261</v>
      </c>
      <c r="D134" s="33" t="s">
        <v>140</v>
      </c>
      <c r="E134" s="11" t="s">
        <v>123</v>
      </c>
      <c r="F134" s="33" t="s">
        <v>152</v>
      </c>
      <c r="G134" s="11"/>
      <c r="H134" s="11">
        <f>SUMIFS(X!$F$3:$F$5978,X!$D$3:$D$5978,'Current Stock'!A134)</f>
        <v>0</v>
      </c>
      <c r="I134" s="11">
        <f>SUMIFS(PENJUALAN!$E$4:$E$3651,PENJUALAN!$C$4:$C$3651,'Current Stock'!A134)</f>
        <v>0</v>
      </c>
      <c r="J134" s="15">
        <f t="shared" si="2"/>
        <v>0</v>
      </c>
      <c r="K134" s="11"/>
      <c r="L134" s="11"/>
      <c r="M134" s="11"/>
      <c r="N134" s="11"/>
      <c r="O134" s="17"/>
      <c r="P134" s="17"/>
    </row>
    <row r="135" ht="13.5" customHeight="1">
      <c r="A135" s="11" t="str">
        <f t="shared" si="1"/>
        <v>FDR-SPARK10FY</v>
      </c>
      <c r="B135" s="32" t="s">
        <v>264</v>
      </c>
      <c r="C135" s="33" t="s">
        <v>261</v>
      </c>
      <c r="D135" s="33" t="s">
        <v>142</v>
      </c>
      <c r="E135" s="11" t="s">
        <v>123</v>
      </c>
      <c r="F135" s="33" t="s">
        <v>152</v>
      </c>
      <c r="G135" s="11"/>
      <c r="H135" s="11">
        <f>SUMIFS(X!$F$3:$F$5978,X!$D$3:$D$5978,'Current Stock'!A135)</f>
        <v>0</v>
      </c>
      <c r="I135" s="11">
        <f>SUMIFS(PENJUALAN!$E$4:$E$3651,PENJUALAN!$C$4:$C$3651,'Current Stock'!A135)</f>
        <v>0</v>
      </c>
      <c r="J135" s="15">
        <f t="shared" si="2"/>
        <v>0</v>
      </c>
      <c r="K135" s="11"/>
      <c r="L135" s="11"/>
      <c r="M135" s="11"/>
      <c r="N135" s="11"/>
      <c r="O135" s="17"/>
      <c r="P135" s="17"/>
    </row>
    <row r="136" ht="13.5" customHeight="1">
      <c r="A136" s="11" t="str">
        <f t="shared" si="1"/>
        <v>RDL-SPARK10FY</v>
      </c>
      <c r="B136" s="32" t="s">
        <v>265</v>
      </c>
      <c r="C136" s="33" t="s">
        <v>261</v>
      </c>
      <c r="D136" s="33" t="s">
        <v>144</v>
      </c>
      <c r="E136" s="11" t="s">
        <v>123</v>
      </c>
      <c r="F136" s="33" t="s">
        <v>152</v>
      </c>
      <c r="G136" s="11"/>
      <c r="H136" s="11">
        <f>SUMIFS(X!$F$3:$F$5978,X!$D$3:$D$5978,'Current Stock'!A136)</f>
        <v>0</v>
      </c>
      <c r="I136" s="11">
        <f>SUMIFS(PENJUALAN!$E$4:$E$3651,PENJUALAN!$C$4:$C$3651,'Current Stock'!A136)</f>
        <v>0</v>
      </c>
      <c r="J136" s="15">
        <f t="shared" si="2"/>
        <v>0</v>
      </c>
      <c r="K136" s="11"/>
      <c r="L136" s="11"/>
      <c r="M136" s="11"/>
      <c r="N136" s="11"/>
      <c r="O136" s="17"/>
      <c r="P136" s="17"/>
    </row>
    <row r="137" ht="13.5" customHeight="1">
      <c r="A137" s="11" t="str">
        <f t="shared" si="1"/>
        <v>RDR-SPARK10FY</v>
      </c>
      <c r="B137" s="32" t="s">
        <v>266</v>
      </c>
      <c r="C137" s="33" t="s">
        <v>261</v>
      </c>
      <c r="D137" s="33" t="s">
        <v>146</v>
      </c>
      <c r="E137" s="11" t="s">
        <v>123</v>
      </c>
      <c r="F137" s="33" t="s">
        <v>152</v>
      </c>
      <c r="G137" s="11"/>
      <c r="H137" s="11">
        <f>SUMIFS(X!$F$3:$F$5978,X!$D$3:$D$5978,'Current Stock'!A137)</f>
        <v>0</v>
      </c>
      <c r="I137" s="11">
        <f>SUMIFS(PENJUALAN!$E$4:$E$3651,PENJUALAN!$C$4:$C$3651,'Current Stock'!A137)</f>
        <v>0</v>
      </c>
      <c r="J137" s="15">
        <f t="shared" si="2"/>
        <v>0</v>
      </c>
      <c r="K137" s="11"/>
      <c r="L137" s="11"/>
      <c r="M137" s="11"/>
      <c r="N137" s="11"/>
      <c r="O137" s="17"/>
      <c r="P137" s="17"/>
    </row>
    <row r="138" ht="13.5" customHeight="1">
      <c r="A138" s="11" t="str">
        <f t="shared" si="1"/>
        <v>LFW-SPINFY</v>
      </c>
      <c r="B138" s="32" t="s">
        <v>267</v>
      </c>
      <c r="C138" s="33" t="s">
        <v>268</v>
      </c>
      <c r="D138" s="33" t="s">
        <v>60</v>
      </c>
      <c r="E138" s="11" t="s">
        <v>123</v>
      </c>
      <c r="F138" s="33" t="s">
        <v>137</v>
      </c>
      <c r="G138" s="11"/>
      <c r="H138" s="11">
        <f>SUMIFS(X!$F$3:$F$5978,X!$D$3:$D$5978,'Current Stock'!A138)</f>
        <v>0</v>
      </c>
      <c r="I138" s="11">
        <f>SUMIFS(PENJUALAN!$E$4:$E$3651,PENJUALAN!$C$4:$C$3651,'Current Stock'!A138)</f>
        <v>0</v>
      </c>
      <c r="J138" s="15">
        <f t="shared" si="2"/>
        <v>0</v>
      </c>
      <c r="K138" s="11"/>
      <c r="L138" s="11"/>
      <c r="M138" s="11"/>
      <c r="N138" s="11"/>
      <c r="O138" s="17"/>
      <c r="P138" s="17"/>
    </row>
    <row r="139" ht="13.5" customHeight="1">
      <c r="A139" s="11" t="str">
        <f t="shared" si="1"/>
        <v>RDL-TRAILBLAZERFY</v>
      </c>
      <c r="B139" s="32" t="s">
        <v>269</v>
      </c>
      <c r="C139" s="31" t="s">
        <v>270</v>
      </c>
      <c r="D139" s="33" t="s">
        <v>144</v>
      </c>
      <c r="E139" s="11" t="s">
        <v>123</v>
      </c>
      <c r="F139" s="33"/>
      <c r="G139" s="11"/>
      <c r="H139" s="11">
        <f>SUMIFS(X!$F$3:$F$5978,X!$D$3:$D$5978,'Current Stock'!A139)</f>
        <v>1</v>
      </c>
      <c r="I139" s="11">
        <f>SUMIFS(PENJUALAN!$E$4:$E$3651,PENJUALAN!$C$4:$C$3651,'Current Stock'!A139)</f>
        <v>1</v>
      </c>
      <c r="J139" s="15">
        <f t="shared" si="2"/>
        <v>0</v>
      </c>
      <c r="K139" s="11"/>
      <c r="L139" s="11"/>
      <c r="M139" s="11"/>
      <c r="N139" s="11"/>
      <c r="O139" s="17"/>
      <c r="P139" s="17"/>
    </row>
    <row r="140" ht="13.5" customHeight="1">
      <c r="A140" s="11" t="str">
        <f t="shared" si="1"/>
        <v>RDR-TRAILBLAZERFY</v>
      </c>
      <c r="B140" s="32" t="s">
        <v>271</v>
      </c>
      <c r="C140" s="31" t="s">
        <v>270</v>
      </c>
      <c r="D140" s="33" t="s">
        <v>146</v>
      </c>
      <c r="E140" s="11" t="s">
        <v>123</v>
      </c>
      <c r="F140" s="33"/>
      <c r="G140" s="11"/>
      <c r="H140" s="11">
        <f>SUMIFS(X!$F$3:$F$5978,X!$D$3:$D$5978,'Current Stock'!A140)</f>
        <v>0</v>
      </c>
      <c r="I140" s="11">
        <f>SUMIFS(PENJUALAN!$E$4:$E$3651,PENJUALAN!$C$4:$C$3651,'Current Stock'!A140)</f>
        <v>0</v>
      </c>
      <c r="J140" s="15">
        <f t="shared" si="2"/>
        <v>0</v>
      </c>
      <c r="K140" s="11"/>
      <c r="L140" s="11"/>
      <c r="M140" s="11"/>
      <c r="N140" s="11"/>
      <c r="O140" s="17"/>
      <c r="P140" s="17"/>
    </row>
    <row r="141" ht="13.5" customHeight="1">
      <c r="A141" s="11" t="str">
        <f t="shared" si="1"/>
        <v>TRW-TRAILBLAZERFY</v>
      </c>
      <c r="B141" s="32" t="s">
        <v>272</v>
      </c>
      <c r="C141" s="33" t="s">
        <v>273</v>
      </c>
      <c r="D141" s="33" t="s">
        <v>62</v>
      </c>
      <c r="E141" s="11" t="s">
        <v>123</v>
      </c>
      <c r="F141" s="33" t="s">
        <v>228</v>
      </c>
      <c r="G141" s="11"/>
      <c r="H141" s="11">
        <f>SUMIFS(X!$F$3:$F$5978,X!$D$3:$D$5978,'Current Stock'!A141)</f>
        <v>0</v>
      </c>
      <c r="I141" s="11">
        <f>SUMIFS(PENJUALAN!$E$4:$E$3651,PENJUALAN!$C$4:$C$3651,'Current Stock'!A141)</f>
        <v>0</v>
      </c>
      <c r="J141" s="15">
        <f t="shared" si="2"/>
        <v>0</v>
      </c>
      <c r="K141" s="11"/>
      <c r="L141" s="11"/>
      <c r="M141" s="11"/>
      <c r="N141" s="11"/>
      <c r="O141" s="17"/>
      <c r="P141" s="17"/>
    </row>
    <row r="142" ht="13.5" customHeight="1">
      <c r="A142" s="11" t="str">
        <f t="shared" si="1"/>
        <v>LFW-TRAXFY</v>
      </c>
      <c r="B142" s="32" t="s">
        <v>274</v>
      </c>
      <c r="C142" s="33" t="s">
        <v>275</v>
      </c>
      <c r="D142" s="33" t="s">
        <v>60</v>
      </c>
      <c r="E142" s="11" t="s">
        <v>123</v>
      </c>
      <c r="F142" s="33" t="s">
        <v>137</v>
      </c>
      <c r="G142" s="11"/>
      <c r="H142" s="11">
        <f>SUMIFS(X!$F$3:$F$5978,X!$D$3:$D$5978,'Current Stock'!A142)</f>
        <v>0</v>
      </c>
      <c r="I142" s="11">
        <f>SUMIFS(PENJUALAN!$E$4:$E$3651,PENJUALAN!$C$4:$C$3651,'Current Stock'!A142)</f>
        <v>0</v>
      </c>
      <c r="J142" s="15">
        <f t="shared" si="2"/>
        <v>0</v>
      </c>
      <c r="K142" s="11"/>
      <c r="L142" s="11"/>
      <c r="M142" s="11"/>
      <c r="N142" s="11"/>
      <c r="O142" s="17"/>
      <c r="P142" s="17"/>
    </row>
    <row r="143" ht="13.5" customHeight="1">
      <c r="A143" s="11" t="str">
        <f t="shared" si="1"/>
        <v>TRW-TRAXFY</v>
      </c>
      <c r="B143" s="32" t="s">
        <v>276</v>
      </c>
      <c r="C143" s="33" t="s">
        <v>277</v>
      </c>
      <c r="D143" s="33" t="s">
        <v>62</v>
      </c>
      <c r="E143" s="11" t="s">
        <v>123</v>
      </c>
      <c r="F143" s="33" t="s">
        <v>228</v>
      </c>
      <c r="G143" s="11"/>
      <c r="H143" s="11">
        <f>SUMIFS(X!$F$3:$F$5978,X!$D$3:$D$5978,'Current Stock'!A143)</f>
        <v>0</v>
      </c>
      <c r="I143" s="11">
        <f>SUMIFS(PENJUALAN!$E$4:$E$3651,PENJUALAN!$C$4:$C$3651,'Current Stock'!A143)</f>
        <v>0</v>
      </c>
      <c r="J143" s="15">
        <f t="shared" si="2"/>
        <v>0</v>
      </c>
      <c r="K143" s="11"/>
      <c r="L143" s="11"/>
      <c r="M143" s="11"/>
      <c r="N143" s="11"/>
      <c r="O143" s="17"/>
      <c r="P143" s="17"/>
    </row>
    <row r="144" ht="13.5" customHeight="1">
      <c r="A144" s="11" t="str">
        <f t="shared" si="1"/>
        <v>LFW-ZAFIRAFY</v>
      </c>
      <c r="B144" s="32" t="s">
        <v>278</v>
      </c>
      <c r="C144" s="33" t="s">
        <v>279</v>
      </c>
      <c r="D144" s="33" t="s">
        <v>60</v>
      </c>
      <c r="E144" s="11" t="s">
        <v>123</v>
      </c>
      <c r="F144" s="33" t="s">
        <v>137</v>
      </c>
      <c r="G144" s="11"/>
      <c r="H144" s="11">
        <f>SUMIFS(X!$F$3:$F$5978,X!$D$3:$D$5978,'Current Stock'!A144)</f>
        <v>0</v>
      </c>
      <c r="I144" s="11">
        <f>SUMIFS(PENJUALAN!$E$4:$E$3651,PENJUALAN!$C$4:$C$3651,'Current Stock'!A144)</f>
        <v>0</v>
      </c>
      <c r="J144" s="15">
        <f t="shared" si="2"/>
        <v>0</v>
      </c>
      <c r="K144" s="11"/>
      <c r="L144" s="11"/>
      <c r="M144" s="11"/>
      <c r="N144" s="11"/>
      <c r="O144" s="17"/>
      <c r="P144" s="17"/>
    </row>
    <row r="145" ht="13.5" customHeight="1">
      <c r="A145" s="11" t="str">
        <f t="shared" si="1"/>
        <v>TRW-ZAFIRAFY</v>
      </c>
      <c r="B145" s="32" t="s">
        <v>280</v>
      </c>
      <c r="C145" s="33" t="s">
        <v>279</v>
      </c>
      <c r="D145" s="33" t="s">
        <v>62</v>
      </c>
      <c r="E145" s="11" t="s">
        <v>123</v>
      </c>
      <c r="F145" s="33" t="s">
        <v>83</v>
      </c>
      <c r="G145" s="11"/>
      <c r="H145" s="11">
        <f>SUMIFS(X!$F$3:$F$5978,X!$D$3:$D$5978,'Current Stock'!A145)</f>
        <v>0</v>
      </c>
      <c r="I145" s="11">
        <f>SUMIFS(PENJUALAN!$E$4:$E$3651,PENJUALAN!$C$4:$C$3651,'Current Stock'!A145)</f>
        <v>0</v>
      </c>
      <c r="J145" s="15">
        <f t="shared" si="2"/>
        <v>0</v>
      </c>
      <c r="K145" s="11"/>
      <c r="L145" s="11"/>
      <c r="M145" s="11"/>
      <c r="N145" s="11"/>
      <c r="O145" s="17"/>
      <c r="P145" s="17"/>
    </row>
    <row r="146" ht="13.5" customHeight="1">
      <c r="A146" s="11" t="str">
        <f t="shared" si="1"/>
        <v>LFW-GRANMAXFY</v>
      </c>
      <c r="B146" s="32" t="s">
        <v>281</v>
      </c>
      <c r="C146" s="33" t="s">
        <v>282</v>
      </c>
      <c r="D146" s="33" t="s">
        <v>60</v>
      </c>
      <c r="E146" s="11" t="s">
        <v>123</v>
      </c>
      <c r="F146" s="33" t="s">
        <v>109</v>
      </c>
      <c r="G146" s="11"/>
      <c r="H146" s="11">
        <f>SUMIFS(X!$F$3:$F$5978,X!$D$3:$D$5978,'Current Stock'!A146)</f>
        <v>0</v>
      </c>
      <c r="I146" s="11">
        <f>SUMIFS(PENJUALAN!$E$4:$E$3651,PENJUALAN!$C$4:$C$3651,'Current Stock'!A146)</f>
        <v>0</v>
      </c>
      <c r="J146" s="15">
        <f t="shared" si="2"/>
        <v>0</v>
      </c>
      <c r="K146" s="11"/>
      <c r="L146" s="11"/>
      <c r="M146" s="11"/>
      <c r="N146" s="11"/>
      <c r="O146" s="17"/>
      <c r="P146" s="17"/>
    </row>
    <row r="147" ht="13.5" customHeight="1">
      <c r="A147" s="11" t="str">
        <f t="shared" si="1"/>
        <v>TRW-SIRION1FY</v>
      </c>
      <c r="B147" s="32" t="s">
        <v>283</v>
      </c>
      <c r="C147" s="33" t="s">
        <v>284</v>
      </c>
      <c r="D147" s="33" t="s">
        <v>62</v>
      </c>
      <c r="E147" s="11" t="s">
        <v>123</v>
      </c>
      <c r="F147" s="33" t="s">
        <v>83</v>
      </c>
      <c r="G147" s="11"/>
      <c r="H147" s="11">
        <f>SUMIFS(X!$F$3:$F$5978,X!$D$3:$D$5978,'Current Stock'!A147)</f>
        <v>0</v>
      </c>
      <c r="I147" s="11">
        <f>SUMIFS(PENJUALAN!$E$4:$E$3651,PENJUALAN!$C$4:$C$3651,'Current Stock'!A147)</f>
        <v>0</v>
      </c>
      <c r="J147" s="15">
        <f t="shared" si="2"/>
        <v>0</v>
      </c>
      <c r="K147" s="11"/>
      <c r="L147" s="11"/>
      <c r="M147" s="11"/>
      <c r="N147" s="11"/>
      <c r="O147" s="17"/>
      <c r="P147" s="17"/>
    </row>
    <row r="148" ht="13.5" customHeight="1">
      <c r="A148" s="11" t="str">
        <f t="shared" si="1"/>
        <v>LFW-YRVFY</v>
      </c>
      <c r="B148" s="32" t="s">
        <v>285</v>
      </c>
      <c r="C148" s="33" t="s">
        <v>286</v>
      </c>
      <c r="D148" s="33" t="s">
        <v>60</v>
      </c>
      <c r="E148" s="11" t="s">
        <v>123</v>
      </c>
      <c r="F148" s="33" t="s">
        <v>109</v>
      </c>
      <c r="G148" s="11"/>
      <c r="H148" s="11">
        <f>SUMIFS(X!$F$3:$F$5978,X!$D$3:$D$5978,'Current Stock'!A148)</f>
        <v>0</v>
      </c>
      <c r="I148" s="11">
        <f>SUMIFS(PENJUALAN!$E$4:$E$3651,PENJUALAN!$C$4:$C$3651,'Current Stock'!A148)</f>
        <v>0</v>
      </c>
      <c r="J148" s="15">
        <f t="shared" si="2"/>
        <v>0</v>
      </c>
      <c r="K148" s="11"/>
      <c r="L148" s="11"/>
      <c r="M148" s="11"/>
      <c r="N148" s="11"/>
      <c r="O148" s="17"/>
      <c r="P148" s="17"/>
    </row>
    <row r="149" ht="13.5" customHeight="1">
      <c r="A149" s="11" t="str">
        <f t="shared" si="1"/>
        <v>LFW-DODGEFY</v>
      </c>
      <c r="B149" s="32" t="s">
        <v>287</v>
      </c>
      <c r="C149" s="33" t="s">
        <v>288</v>
      </c>
      <c r="D149" s="33" t="s">
        <v>60</v>
      </c>
      <c r="E149" s="11" t="s">
        <v>123</v>
      </c>
      <c r="F149" s="33" t="s">
        <v>137</v>
      </c>
      <c r="G149" s="11"/>
      <c r="H149" s="11">
        <f>SUMIFS(X!$F$3:$F$5978,X!$D$3:$D$5978,'Current Stock'!A149)</f>
        <v>0</v>
      </c>
      <c r="I149" s="11">
        <f>SUMIFS(PENJUALAN!$E$4:$E$3651,PENJUALAN!$C$4:$C$3651,'Current Stock'!A149)</f>
        <v>0</v>
      </c>
      <c r="J149" s="15">
        <f t="shared" si="2"/>
        <v>0</v>
      </c>
      <c r="K149" s="11"/>
      <c r="L149" s="11"/>
      <c r="M149" s="11"/>
      <c r="N149" s="11"/>
      <c r="O149" s="17"/>
      <c r="P149" s="17"/>
    </row>
    <row r="150" ht="13.5" customHeight="1">
      <c r="A150" s="11" t="str">
        <f t="shared" si="1"/>
        <v>TRW-DODGEFY</v>
      </c>
      <c r="B150" s="32" t="s">
        <v>289</v>
      </c>
      <c r="C150" s="33" t="s">
        <v>288</v>
      </c>
      <c r="D150" s="33" t="s">
        <v>62</v>
      </c>
      <c r="E150" s="11" t="s">
        <v>123</v>
      </c>
      <c r="F150" s="33" t="s">
        <v>83</v>
      </c>
      <c r="G150" s="11"/>
      <c r="H150" s="11">
        <f>SUMIFS(X!$F$3:$F$5978,X!$D$3:$D$5978,'Current Stock'!A150)</f>
        <v>0</v>
      </c>
      <c r="I150" s="11">
        <f>SUMIFS(PENJUALAN!$E$4:$E$3651,PENJUALAN!$C$4:$C$3651,'Current Stock'!A150)</f>
        <v>0</v>
      </c>
      <c r="J150" s="15">
        <f t="shared" si="2"/>
        <v>0</v>
      </c>
      <c r="K150" s="11"/>
      <c r="L150" s="11"/>
      <c r="M150" s="11"/>
      <c r="N150" s="11"/>
      <c r="O150" s="17"/>
      <c r="P150" s="17"/>
    </row>
    <row r="151" ht="13.5" customHeight="1">
      <c r="A151" s="11" t="str">
        <f t="shared" si="1"/>
        <v>LFW-ECOSPORTFY</v>
      </c>
      <c r="B151" s="32" t="s">
        <v>290</v>
      </c>
      <c r="C151" s="33" t="s">
        <v>291</v>
      </c>
      <c r="D151" s="33" t="s">
        <v>60</v>
      </c>
      <c r="E151" s="11" t="s">
        <v>123</v>
      </c>
      <c r="F151" s="33" t="s">
        <v>137</v>
      </c>
      <c r="G151" s="11"/>
      <c r="H151" s="11">
        <f>SUMIFS(X!$F$3:$F$5978,X!$D$3:$D$5978,'Current Stock'!A151)</f>
        <v>0</v>
      </c>
      <c r="I151" s="11">
        <f>SUMIFS(PENJUALAN!$E$4:$E$3651,PENJUALAN!$C$4:$C$3651,'Current Stock'!A151)</f>
        <v>0</v>
      </c>
      <c r="J151" s="15">
        <f t="shared" si="2"/>
        <v>0</v>
      </c>
      <c r="K151" s="11"/>
      <c r="L151" s="11"/>
      <c r="M151" s="11"/>
      <c r="N151" s="11"/>
      <c r="O151" s="17"/>
      <c r="P151" s="17"/>
    </row>
    <row r="152" ht="13.5" customHeight="1">
      <c r="A152" s="11" t="str">
        <f t="shared" si="1"/>
        <v>LFW-ECOSPORTRSFY</v>
      </c>
      <c r="B152" s="32" t="s">
        <v>292</v>
      </c>
      <c r="C152" s="33" t="s">
        <v>291</v>
      </c>
      <c r="D152" s="33" t="s">
        <v>60</v>
      </c>
      <c r="E152" s="11" t="s">
        <v>123</v>
      </c>
      <c r="F152" s="33" t="s">
        <v>90</v>
      </c>
      <c r="G152" s="11"/>
      <c r="H152" s="11">
        <f>SUMIFS(X!$F$3:$F$5978,X!$D$3:$D$5978,'Current Stock'!A152)</f>
        <v>0</v>
      </c>
      <c r="I152" s="11">
        <f>SUMIFS(PENJUALAN!$E$4:$E$3651,PENJUALAN!$C$4:$C$3651,'Current Stock'!A152)</f>
        <v>0</v>
      </c>
      <c r="J152" s="15">
        <f t="shared" si="2"/>
        <v>0</v>
      </c>
      <c r="K152" s="11"/>
      <c r="L152" s="11"/>
      <c r="M152" s="11"/>
      <c r="N152" s="11"/>
      <c r="O152" s="17"/>
      <c r="P152" s="17"/>
    </row>
    <row r="153" ht="13.5" customHeight="1">
      <c r="A153" s="11" t="str">
        <f t="shared" si="1"/>
        <v>TRW-ECOSPORTFY</v>
      </c>
      <c r="B153" s="32" t="s">
        <v>293</v>
      </c>
      <c r="C153" s="33" t="s">
        <v>291</v>
      </c>
      <c r="D153" s="33" t="s">
        <v>62</v>
      </c>
      <c r="E153" s="11" t="s">
        <v>123</v>
      </c>
      <c r="F153" s="33" t="s">
        <v>228</v>
      </c>
      <c r="G153" s="11"/>
      <c r="H153" s="11">
        <f>SUMIFS(X!$F$3:$F$5978,X!$D$3:$D$5978,'Current Stock'!A153)</f>
        <v>0</v>
      </c>
      <c r="I153" s="11">
        <f>SUMIFS(PENJUALAN!$E$4:$E$3651,PENJUALAN!$C$4:$C$3651,'Current Stock'!A153)</f>
        <v>0</v>
      </c>
      <c r="J153" s="15">
        <f t="shared" si="2"/>
        <v>0</v>
      </c>
      <c r="K153" s="11"/>
      <c r="L153" s="11"/>
      <c r="M153" s="11"/>
      <c r="N153" s="11"/>
      <c r="O153" s="17"/>
      <c r="P153" s="17"/>
    </row>
    <row r="154" ht="13.5" customHeight="1">
      <c r="A154" s="11" t="str">
        <f t="shared" si="1"/>
        <v>FDL-ECOSPORTFY</v>
      </c>
      <c r="B154" s="32" t="s">
        <v>294</v>
      </c>
      <c r="C154" s="33" t="s">
        <v>291</v>
      </c>
      <c r="D154" s="33" t="s">
        <v>140</v>
      </c>
      <c r="E154" s="11" t="s">
        <v>123</v>
      </c>
      <c r="F154" s="33"/>
      <c r="G154" s="11"/>
      <c r="H154" s="11">
        <f>SUMIFS(X!$F$3:$F$5978,X!$D$3:$D$5978,'Current Stock'!A154)</f>
        <v>0</v>
      </c>
      <c r="I154" s="11">
        <f>SUMIFS(PENJUALAN!$E$4:$E$3651,PENJUALAN!$C$4:$C$3651,'Current Stock'!A154)</f>
        <v>0</v>
      </c>
      <c r="J154" s="15">
        <f t="shared" si="2"/>
        <v>0</v>
      </c>
      <c r="K154" s="11"/>
      <c r="L154" s="11"/>
      <c r="M154" s="11"/>
      <c r="N154" s="11"/>
      <c r="O154" s="17"/>
      <c r="P154" s="17"/>
    </row>
    <row r="155" ht="13.5" customHeight="1">
      <c r="A155" s="11" t="str">
        <f t="shared" si="1"/>
        <v>FDR-ECOSPORTFY</v>
      </c>
      <c r="B155" s="32" t="s">
        <v>295</v>
      </c>
      <c r="C155" s="33" t="s">
        <v>291</v>
      </c>
      <c r="D155" s="33" t="s">
        <v>142</v>
      </c>
      <c r="E155" s="11" t="s">
        <v>123</v>
      </c>
      <c r="F155" s="33"/>
      <c r="G155" s="11"/>
      <c r="H155" s="11">
        <f>SUMIFS(X!$F$3:$F$5978,X!$D$3:$D$5978,'Current Stock'!A155)</f>
        <v>0</v>
      </c>
      <c r="I155" s="11">
        <f>SUMIFS(PENJUALAN!$E$4:$E$3651,PENJUALAN!$C$4:$C$3651,'Current Stock'!A155)</f>
        <v>0</v>
      </c>
      <c r="J155" s="15">
        <f t="shared" si="2"/>
        <v>0</v>
      </c>
      <c r="K155" s="11"/>
      <c r="L155" s="11"/>
      <c r="M155" s="11"/>
      <c r="N155" s="11"/>
      <c r="O155" s="17"/>
      <c r="P155" s="17"/>
    </row>
    <row r="156" ht="13.5" customHeight="1">
      <c r="A156" s="11" t="str">
        <f t="shared" si="1"/>
        <v>RDL-ECOSPORTFY</v>
      </c>
      <c r="B156" s="32" t="s">
        <v>296</v>
      </c>
      <c r="C156" s="33" t="s">
        <v>291</v>
      </c>
      <c r="D156" s="33" t="s">
        <v>144</v>
      </c>
      <c r="E156" s="11" t="s">
        <v>123</v>
      </c>
      <c r="F156" s="33" t="s">
        <v>155</v>
      </c>
      <c r="G156" s="11"/>
      <c r="H156" s="11">
        <f>SUMIFS(X!$F$3:$F$5978,X!$D$3:$D$5978,'Current Stock'!A156)</f>
        <v>0</v>
      </c>
      <c r="I156" s="11">
        <f>SUMIFS(PENJUALAN!$E$4:$E$3651,PENJUALAN!$C$4:$C$3651,'Current Stock'!A156)</f>
        <v>0</v>
      </c>
      <c r="J156" s="15">
        <f t="shared" si="2"/>
        <v>0</v>
      </c>
      <c r="K156" s="11"/>
      <c r="L156" s="11"/>
      <c r="M156" s="11"/>
      <c r="N156" s="11"/>
      <c r="O156" s="17"/>
      <c r="P156" s="17"/>
    </row>
    <row r="157" ht="13.5" customHeight="1">
      <c r="A157" s="11" t="str">
        <f t="shared" si="1"/>
        <v>RDR-ECOSPORTFY</v>
      </c>
      <c r="B157" s="32" t="s">
        <v>297</v>
      </c>
      <c r="C157" s="33" t="s">
        <v>291</v>
      </c>
      <c r="D157" s="33" t="s">
        <v>146</v>
      </c>
      <c r="E157" s="11" t="s">
        <v>123</v>
      </c>
      <c r="F157" s="33" t="s">
        <v>155</v>
      </c>
      <c r="G157" s="11"/>
      <c r="H157" s="11">
        <f>SUMIFS(X!$F$3:$F$5978,X!$D$3:$D$5978,'Current Stock'!A157)</f>
        <v>0</v>
      </c>
      <c r="I157" s="11">
        <f>SUMIFS(PENJUALAN!$E$4:$E$3651,PENJUALAN!$C$4:$C$3651,'Current Stock'!A157)</f>
        <v>0</v>
      </c>
      <c r="J157" s="15">
        <f t="shared" si="2"/>
        <v>0</v>
      </c>
      <c r="K157" s="11"/>
      <c r="L157" s="11"/>
      <c r="M157" s="11"/>
      <c r="N157" s="11"/>
      <c r="O157" s="17"/>
      <c r="P157" s="17"/>
    </row>
    <row r="158" ht="13.5" customHeight="1">
      <c r="A158" s="11" t="str">
        <f t="shared" si="1"/>
        <v>LFW-ESCAPEFY</v>
      </c>
      <c r="B158" s="32" t="s">
        <v>298</v>
      </c>
      <c r="C158" s="33" t="s">
        <v>299</v>
      </c>
      <c r="D158" s="33" t="s">
        <v>60</v>
      </c>
      <c r="E158" s="11" t="s">
        <v>123</v>
      </c>
      <c r="F158" s="33" t="s">
        <v>137</v>
      </c>
      <c r="G158" s="11"/>
      <c r="H158" s="11">
        <f>SUMIFS(X!$F$3:$F$5978,X!$D$3:$D$5978,'Current Stock'!A158)</f>
        <v>0</v>
      </c>
      <c r="I158" s="11">
        <f>SUMIFS(PENJUALAN!$E$4:$E$3651,PENJUALAN!$C$4:$C$3651,'Current Stock'!A158)</f>
        <v>0</v>
      </c>
      <c r="J158" s="15">
        <f t="shared" si="2"/>
        <v>0</v>
      </c>
      <c r="K158" s="11"/>
      <c r="L158" s="11"/>
      <c r="M158" s="11"/>
      <c r="N158" s="11"/>
      <c r="O158" s="17"/>
      <c r="P158" s="17"/>
    </row>
    <row r="159" ht="13.5" customHeight="1">
      <c r="A159" s="11" t="str">
        <f t="shared" si="1"/>
        <v>TRW-ESCAPEFY</v>
      </c>
      <c r="B159" s="32" t="s">
        <v>300</v>
      </c>
      <c r="C159" s="33" t="s">
        <v>299</v>
      </c>
      <c r="D159" s="33" t="s">
        <v>62</v>
      </c>
      <c r="E159" s="11" t="s">
        <v>123</v>
      </c>
      <c r="F159" s="33" t="s">
        <v>234</v>
      </c>
      <c r="G159" s="11"/>
      <c r="H159" s="11">
        <f>SUMIFS(X!$F$3:$F$5978,X!$D$3:$D$5978,'Current Stock'!A159)</f>
        <v>0</v>
      </c>
      <c r="I159" s="11">
        <f>SUMIFS(PENJUALAN!$E$4:$E$3651,PENJUALAN!$C$4:$C$3651,'Current Stock'!A159)</f>
        <v>0</v>
      </c>
      <c r="J159" s="15">
        <f t="shared" si="2"/>
        <v>0</v>
      </c>
      <c r="K159" s="11"/>
      <c r="L159" s="11"/>
      <c r="M159" s="11"/>
      <c r="N159" s="11"/>
      <c r="O159" s="17"/>
      <c r="P159" s="17"/>
    </row>
    <row r="160" ht="13.5" customHeight="1">
      <c r="A160" s="11" t="str">
        <f t="shared" si="1"/>
        <v>LFW-RANGER04FY</v>
      </c>
      <c r="B160" s="32" t="s">
        <v>301</v>
      </c>
      <c r="C160" s="33" t="s">
        <v>302</v>
      </c>
      <c r="D160" s="33" t="s">
        <v>60</v>
      </c>
      <c r="E160" s="11" t="s">
        <v>123</v>
      </c>
      <c r="F160" s="33" t="s">
        <v>109</v>
      </c>
      <c r="G160" s="11"/>
      <c r="H160" s="11">
        <f>SUMIFS(X!$F$3:$F$5978,X!$D$3:$D$5978,'Current Stock'!A160)</f>
        <v>0</v>
      </c>
      <c r="I160" s="11">
        <f>SUMIFS(PENJUALAN!$E$4:$E$3651,PENJUALAN!$C$4:$C$3651,'Current Stock'!A160)</f>
        <v>0</v>
      </c>
      <c r="J160" s="15">
        <f t="shared" si="2"/>
        <v>0</v>
      </c>
      <c r="K160" s="11"/>
      <c r="L160" s="11"/>
      <c r="M160" s="11"/>
      <c r="N160" s="11"/>
      <c r="O160" s="17"/>
      <c r="P160" s="17"/>
    </row>
    <row r="161" ht="13.5" customHeight="1">
      <c r="A161" s="11" t="str">
        <f t="shared" si="1"/>
        <v>TRW-EVERESTFY</v>
      </c>
      <c r="B161" s="32" t="s">
        <v>303</v>
      </c>
      <c r="C161" s="33" t="s">
        <v>304</v>
      </c>
      <c r="D161" s="33" t="s">
        <v>62</v>
      </c>
      <c r="E161" s="11" t="s">
        <v>123</v>
      </c>
      <c r="F161" s="33" t="s">
        <v>83</v>
      </c>
      <c r="G161" s="11"/>
      <c r="H161" s="11">
        <f>SUMIFS(X!$F$3:$F$5978,X!$D$3:$D$5978,'Current Stock'!A161)</f>
        <v>0</v>
      </c>
      <c r="I161" s="11">
        <f>SUMIFS(PENJUALAN!$E$4:$E$3651,PENJUALAN!$C$4:$C$3651,'Current Stock'!A161)</f>
        <v>0</v>
      </c>
      <c r="J161" s="15">
        <f t="shared" si="2"/>
        <v>0</v>
      </c>
      <c r="K161" s="11"/>
      <c r="L161" s="11"/>
      <c r="M161" s="11"/>
      <c r="N161" s="11"/>
      <c r="O161" s="17"/>
      <c r="P161" s="17"/>
    </row>
    <row r="162" ht="13.5" customHeight="1">
      <c r="A162" s="11" t="str">
        <f t="shared" si="1"/>
        <v>LFW-FIESTAFY</v>
      </c>
      <c r="B162" s="32" t="s">
        <v>305</v>
      </c>
      <c r="C162" s="33" t="s">
        <v>306</v>
      </c>
      <c r="D162" s="33" t="s">
        <v>60</v>
      </c>
      <c r="E162" s="11" t="s">
        <v>123</v>
      </c>
      <c r="F162" s="33" t="s">
        <v>137</v>
      </c>
      <c r="G162" s="11"/>
      <c r="H162" s="11">
        <f>SUMIFS(X!$F$3:$F$5978,X!$D$3:$D$5978,'Current Stock'!A162)</f>
        <v>0</v>
      </c>
      <c r="I162" s="11">
        <f>SUMIFS(PENJUALAN!$E$4:$E$3651,PENJUALAN!$C$4:$C$3651,'Current Stock'!A162)</f>
        <v>0</v>
      </c>
      <c r="J162" s="15">
        <f t="shared" si="2"/>
        <v>0</v>
      </c>
      <c r="K162" s="11"/>
      <c r="L162" s="11"/>
      <c r="M162" s="11"/>
      <c r="N162" s="11"/>
      <c r="O162" s="17"/>
      <c r="P162" s="17"/>
    </row>
    <row r="163" ht="13.5" customHeight="1">
      <c r="A163" s="11" t="str">
        <f t="shared" si="1"/>
        <v>TRW-FIESTAFY</v>
      </c>
      <c r="B163" s="32" t="s">
        <v>307</v>
      </c>
      <c r="C163" s="33" t="s">
        <v>306</v>
      </c>
      <c r="D163" s="33" t="s">
        <v>62</v>
      </c>
      <c r="E163" s="11" t="s">
        <v>123</v>
      </c>
      <c r="F163" s="33" t="s">
        <v>83</v>
      </c>
      <c r="G163" s="11"/>
      <c r="H163" s="11">
        <f>SUMIFS(X!$F$3:$F$5978,X!$D$3:$D$5978,'Current Stock'!A163)</f>
        <v>0</v>
      </c>
      <c r="I163" s="11">
        <f>SUMIFS(PENJUALAN!$E$4:$E$3651,PENJUALAN!$C$4:$C$3651,'Current Stock'!A163)</f>
        <v>0</v>
      </c>
      <c r="J163" s="15">
        <f t="shared" si="2"/>
        <v>0</v>
      </c>
      <c r="K163" s="11"/>
      <c r="L163" s="11"/>
      <c r="M163" s="11"/>
      <c r="N163" s="11"/>
      <c r="O163" s="17"/>
      <c r="P163" s="17"/>
    </row>
    <row r="164" ht="13.5" customHeight="1">
      <c r="A164" s="11" t="str">
        <f t="shared" si="1"/>
        <v>FDL-FIESTAFY</v>
      </c>
      <c r="B164" s="32" t="s">
        <v>308</v>
      </c>
      <c r="C164" s="33" t="s">
        <v>306</v>
      </c>
      <c r="D164" s="33" t="s">
        <v>140</v>
      </c>
      <c r="E164" s="11" t="s">
        <v>123</v>
      </c>
      <c r="F164" s="33" t="s">
        <v>155</v>
      </c>
      <c r="G164" s="11"/>
      <c r="H164" s="11">
        <f>SUMIFS(X!$F$3:$F$5978,X!$D$3:$D$5978,'Current Stock'!A164)</f>
        <v>0</v>
      </c>
      <c r="I164" s="11">
        <f>SUMIFS(PENJUALAN!$E$4:$E$3651,PENJUALAN!$C$4:$C$3651,'Current Stock'!A164)</f>
        <v>0</v>
      </c>
      <c r="J164" s="15">
        <f t="shared" si="2"/>
        <v>0</v>
      </c>
      <c r="K164" s="11"/>
      <c r="L164" s="11"/>
      <c r="M164" s="11"/>
      <c r="N164" s="11"/>
      <c r="O164" s="17"/>
      <c r="P164" s="17"/>
    </row>
    <row r="165" ht="13.5" customHeight="1">
      <c r="A165" s="11" t="str">
        <f t="shared" si="1"/>
        <v>FDR-FIESTAFY</v>
      </c>
      <c r="B165" s="32" t="s">
        <v>309</v>
      </c>
      <c r="C165" s="33" t="s">
        <v>306</v>
      </c>
      <c r="D165" s="33" t="s">
        <v>142</v>
      </c>
      <c r="E165" s="11" t="s">
        <v>123</v>
      </c>
      <c r="F165" s="33" t="s">
        <v>155</v>
      </c>
      <c r="G165" s="11"/>
      <c r="H165" s="11">
        <f>SUMIFS(X!$F$3:$F$5978,X!$D$3:$D$5978,'Current Stock'!A165)</f>
        <v>0</v>
      </c>
      <c r="I165" s="11">
        <f>SUMIFS(PENJUALAN!$E$4:$E$3651,PENJUALAN!$C$4:$C$3651,'Current Stock'!A165)</f>
        <v>0</v>
      </c>
      <c r="J165" s="15">
        <f t="shared" si="2"/>
        <v>0</v>
      </c>
      <c r="K165" s="11"/>
      <c r="L165" s="11"/>
      <c r="M165" s="11"/>
      <c r="N165" s="11"/>
      <c r="O165" s="17"/>
      <c r="P165" s="17"/>
    </row>
    <row r="166" ht="13.5" customHeight="1">
      <c r="A166" s="11" t="str">
        <f t="shared" si="1"/>
        <v>RDL-FIESTAFY</v>
      </c>
      <c r="B166" s="32" t="s">
        <v>310</v>
      </c>
      <c r="C166" s="33" t="s">
        <v>306</v>
      </c>
      <c r="D166" s="33" t="s">
        <v>144</v>
      </c>
      <c r="E166" s="11" t="s">
        <v>123</v>
      </c>
      <c r="F166" s="33"/>
      <c r="G166" s="11"/>
      <c r="H166" s="11">
        <f>SUMIFS(X!$F$3:$F$5978,X!$D$3:$D$5978,'Current Stock'!A166)</f>
        <v>0</v>
      </c>
      <c r="I166" s="11">
        <f>SUMIFS(PENJUALAN!$E$4:$E$3651,PENJUALAN!$C$4:$C$3651,'Current Stock'!A166)</f>
        <v>0</v>
      </c>
      <c r="J166" s="15">
        <f t="shared" si="2"/>
        <v>0</v>
      </c>
      <c r="K166" s="11"/>
      <c r="L166" s="11"/>
      <c r="M166" s="11"/>
      <c r="N166" s="11"/>
      <c r="O166" s="17"/>
      <c r="P166" s="17"/>
    </row>
    <row r="167" ht="13.5" customHeight="1">
      <c r="A167" s="11" t="str">
        <f t="shared" si="1"/>
        <v>RDR-FIESTAFY</v>
      </c>
      <c r="B167" s="32" t="s">
        <v>311</v>
      </c>
      <c r="C167" s="33" t="s">
        <v>306</v>
      </c>
      <c r="D167" s="33" t="s">
        <v>146</v>
      </c>
      <c r="E167" s="11" t="s">
        <v>123</v>
      </c>
      <c r="F167" s="33"/>
      <c r="G167" s="11"/>
      <c r="H167" s="11">
        <f>SUMIFS(X!$F$3:$F$5978,X!$D$3:$D$5978,'Current Stock'!A167)</f>
        <v>0</v>
      </c>
      <c r="I167" s="11">
        <f>SUMIFS(PENJUALAN!$E$4:$E$3651,PENJUALAN!$C$4:$C$3651,'Current Stock'!A167)</f>
        <v>0</v>
      </c>
      <c r="J167" s="15">
        <f t="shared" si="2"/>
        <v>0</v>
      </c>
      <c r="K167" s="11"/>
      <c r="L167" s="11"/>
      <c r="M167" s="11"/>
      <c r="N167" s="11"/>
      <c r="O167" s="17"/>
      <c r="P167" s="17"/>
    </row>
    <row r="168" ht="13.5" customHeight="1">
      <c r="A168" s="11" t="str">
        <f t="shared" si="1"/>
        <v>LFW-FIESTARSBULATFY</v>
      </c>
      <c r="B168" s="32" t="s">
        <v>312</v>
      </c>
      <c r="C168" s="33" t="s">
        <v>313</v>
      </c>
      <c r="D168" s="33" t="s">
        <v>60</v>
      </c>
      <c r="E168" s="11" t="s">
        <v>123</v>
      </c>
      <c r="F168" s="33" t="s">
        <v>314</v>
      </c>
      <c r="G168" s="11"/>
      <c r="H168" s="11">
        <f>SUMIFS(X!$F$3:$F$5978,X!$D$3:$D$5978,'Current Stock'!A168)</f>
        <v>0</v>
      </c>
      <c r="I168" s="11">
        <f>SUMIFS(PENJUALAN!$E$4:$E$3651,PENJUALAN!$C$4:$C$3651,'Current Stock'!A168)</f>
        <v>0</v>
      </c>
      <c r="J168" s="15">
        <f t="shared" si="2"/>
        <v>0</v>
      </c>
      <c r="K168" s="11"/>
      <c r="L168" s="11"/>
      <c r="M168" s="11"/>
      <c r="N168" s="11"/>
      <c r="O168" s="17"/>
      <c r="P168" s="17"/>
    </row>
    <row r="169" ht="13.5" customHeight="1">
      <c r="A169" s="11" t="str">
        <f t="shared" si="1"/>
        <v>LFW-FIESTARSKOTAKFY</v>
      </c>
      <c r="B169" s="32" t="s">
        <v>315</v>
      </c>
      <c r="C169" s="33" t="s">
        <v>316</v>
      </c>
      <c r="D169" s="33" t="s">
        <v>60</v>
      </c>
      <c r="E169" s="11" t="s">
        <v>123</v>
      </c>
      <c r="F169" s="33" t="s">
        <v>90</v>
      </c>
      <c r="G169" s="11"/>
      <c r="H169" s="11">
        <f>SUMIFS(X!$F$3:$F$5978,X!$D$3:$D$5978,'Current Stock'!A169)</f>
        <v>0</v>
      </c>
      <c r="I169" s="11">
        <f>SUMIFS(PENJUALAN!$E$4:$E$3651,PENJUALAN!$C$4:$C$3651,'Current Stock'!A169)</f>
        <v>0</v>
      </c>
      <c r="J169" s="15">
        <f t="shared" si="2"/>
        <v>0</v>
      </c>
      <c r="K169" s="11"/>
      <c r="L169" s="11"/>
      <c r="M169" s="11"/>
      <c r="N169" s="11"/>
      <c r="O169" s="17"/>
      <c r="P169" s="17"/>
    </row>
    <row r="170" ht="13.5" customHeight="1">
      <c r="A170" s="11" t="str">
        <f t="shared" si="1"/>
        <v>LFW-FOCUS04FY</v>
      </c>
      <c r="B170" s="32" t="s">
        <v>317</v>
      </c>
      <c r="C170" s="33" t="s">
        <v>318</v>
      </c>
      <c r="D170" s="33" t="s">
        <v>60</v>
      </c>
      <c r="E170" s="11" t="s">
        <v>123</v>
      </c>
      <c r="F170" s="33" t="s">
        <v>137</v>
      </c>
      <c r="G170" s="11"/>
      <c r="H170" s="11">
        <f>SUMIFS(X!$F$3:$F$5978,X!$D$3:$D$5978,'Current Stock'!A170)</f>
        <v>1</v>
      </c>
      <c r="I170" s="11">
        <f>SUMIFS(PENJUALAN!$E$4:$E$3651,PENJUALAN!$C$4:$C$3651,'Current Stock'!A170)</f>
        <v>1</v>
      </c>
      <c r="J170" s="15">
        <f t="shared" si="2"/>
        <v>0</v>
      </c>
      <c r="K170" s="11"/>
      <c r="L170" s="11"/>
      <c r="M170" s="11"/>
      <c r="N170" s="11"/>
      <c r="O170" s="17"/>
      <c r="P170" s="17"/>
    </row>
    <row r="171" ht="13.5" customHeight="1">
      <c r="A171" s="11" t="str">
        <f t="shared" si="1"/>
        <v>TRW-FOCUS04FY</v>
      </c>
      <c r="B171" s="32" t="s">
        <v>319</v>
      </c>
      <c r="C171" s="33" t="s">
        <v>320</v>
      </c>
      <c r="D171" s="33" t="s">
        <v>62</v>
      </c>
      <c r="E171" s="11" t="s">
        <v>123</v>
      </c>
      <c r="F171" s="33" t="s">
        <v>228</v>
      </c>
      <c r="G171" s="11"/>
      <c r="H171" s="11">
        <f>SUMIFS(X!$F$3:$F$5978,X!$D$3:$D$5978,'Current Stock'!A171)</f>
        <v>0</v>
      </c>
      <c r="I171" s="11">
        <f>SUMIFS(PENJUALAN!$E$4:$E$3651,PENJUALAN!$C$4:$C$3651,'Current Stock'!A171)</f>
        <v>0</v>
      </c>
      <c r="J171" s="15">
        <f t="shared" si="2"/>
        <v>0</v>
      </c>
      <c r="K171" s="11"/>
      <c r="L171" s="11"/>
      <c r="M171" s="11"/>
      <c r="N171" s="11"/>
      <c r="O171" s="17"/>
      <c r="P171" s="17"/>
    </row>
    <row r="172" ht="13.5" customHeight="1">
      <c r="A172" s="11" t="str">
        <f t="shared" si="1"/>
        <v>LFW-FOCUS11FY</v>
      </c>
      <c r="B172" s="32" t="s">
        <v>321</v>
      </c>
      <c r="C172" s="33" t="s">
        <v>322</v>
      </c>
      <c r="D172" s="33" t="s">
        <v>60</v>
      </c>
      <c r="E172" s="11" t="s">
        <v>123</v>
      </c>
      <c r="F172" s="33" t="s">
        <v>314</v>
      </c>
      <c r="G172" s="11"/>
      <c r="H172" s="11">
        <f>SUMIFS(X!$F$3:$F$5978,X!$D$3:$D$5978,'Current Stock'!A172)</f>
        <v>0</v>
      </c>
      <c r="I172" s="11">
        <f>SUMIFS(PENJUALAN!$E$4:$E$3651,PENJUALAN!$C$4:$C$3651,'Current Stock'!A172)</f>
        <v>0</v>
      </c>
      <c r="J172" s="15">
        <f t="shared" si="2"/>
        <v>0</v>
      </c>
      <c r="K172" s="11"/>
      <c r="L172" s="11"/>
      <c r="M172" s="11"/>
      <c r="N172" s="11"/>
      <c r="O172" s="17"/>
      <c r="P172" s="17"/>
    </row>
    <row r="173" ht="13.5" customHeight="1">
      <c r="A173" s="11" t="str">
        <f t="shared" si="1"/>
        <v>TRW-FOCUS11FY</v>
      </c>
      <c r="B173" s="32" t="s">
        <v>323</v>
      </c>
      <c r="C173" s="33" t="s">
        <v>324</v>
      </c>
      <c r="D173" s="33" t="s">
        <v>62</v>
      </c>
      <c r="E173" s="11" t="s">
        <v>123</v>
      </c>
      <c r="F173" s="33" t="s">
        <v>228</v>
      </c>
      <c r="G173" s="11"/>
      <c r="H173" s="11">
        <f>SUMIFS(X!$F$3:$F$5978,X!$D$3:$D$5978,'Current Stock'!A173)</f>
        <v>0</v>
      </c>
      <c r="I173" s="11">
        <f>SUMIFS(PENJUALAN!$E$4:$E$3651,PENJUALAN!$C$4:$C$3651,'Current Stock'!A173)</f>
        <v>0</v>
      </c>
      <c r="J173" s="15">
        <f t="shared" si="2"/>
        <v>0</v>
      </c>
      <c r="K173" s="11"/>
      <c r="L173" s="11"/>
      <c r="M173" s="11"/>
      <c r="N173" s="11"/>
      <c r="O173" s="17"/>
      <c r="P173" s="17"/>
    </row>
    <row r="174" ht="13.5" customHeight="1">
      <c r="A174" s="11" t="str">
        <f t="shared" si="1"/>
        <v>LFW-RANGER11RSFY</v>
      </c>
      <c r="B174" s="32" t="s">
        <v>325</v>
      </c>
      <c r="C174" s="33" t="s">
        <v>326</v>
      </c>
      <c r="D174" s="33" t="s">
        <v>60</v>
      </c>
      <c r="E174" s="11" t="s">
        <v>123</v>
      </c>
      <c r="F174" s="33" t="s">
        <v>90</v>
      </c>
      <c r="G174" s="11"/>
      <c r="H174" s="11">
        <f>SUMIFS(X!$F$3:$F$5978,X!$D$3:$D$5978,'Current Stock'!A174)</f>
        <v>0</v>
      </c>
      <c r="I174" s="11">
        <f>SUMIFS(PENJUALAN!$E$4:$E$3651,PENJUALAN!$C$4:$C$3651,'Current Stock'!A174)</f>
        <v>0</v>
      </c>
      <c r="J174" s="15">
        <f t="shared" si="2"/>
        <v>0</v>
      </c>
      <c r="K174" s="11"/>
      <c r="L174" s="11"/>
      <c r="M174" s="11"/>
      <c r="N174" s="11"/>
      <c r="O174" s="17"/>
      <c r="P174" s="17"/>
    </row>
    <row r="175" ht="13.5" customHeight="1">
      <c r="A175" s="11" t="str">
        <f t="shared" si="1"/>
        <v>LFW-EMGRANDFY</v>
      </c>
      <c r="B175" s="32" t="s">
        <v>327</v>
      </c>
      <c r="C175" s="33" t="s">
        <v>328</v>
      </c>
      <c r="D175" s="33" t="s">
        <v>60</v>
      </c>
      <c r="E175" s="11" t="s">
        <v>123</v>
      </c>
      <c r="F175" s="33" t="s">
        <v>137</v>
      </c>
      <c r="G175" s="11"/>
      <c r="H175" s="11">
        <f>SUMIFS(X!$F$3:$F$5978,X!$D$3:$D$5978,'Current Stock'!A175)</f>
        <v>0</v>
      </c>
      <c r="I175" s="11">
        <f>SUMIFS(PENJUALAN!$E$4:$E$3651,PENJUALAN!$C$4:$C$3651,'Current Stock'!A175)</f>
        <v>0</v>
      </c>
      <c r="J175" s="15">
        <f t="shared" si="2"/>
        <v>0</v>
      </c>
      <c r="K175" s="11"/>
      <c r="L175" s="11"/>
      <c r="M175" s="11"/>
      <c r="N175" s="11"/>
      <c r="O175" s="17"/>
      <c r="P175" s="17"/>
    </row>
    <row r="176" ht="13.5" customHeight="1">
      <c r="A176" s="11" t="str">
        <f t="shared" si="1"/>
        <v>LFW-PANDAFY</v>
      </c>
      <c r="B176" s="32" t="s">
        <v>329</v>
      </c>
      <c r="C176" s="33" t="s">
        <v>330</v>
      </c>
      <c r="D176" s="33" t="s">
        <v>60</v>
      </c>
      <c r="E176" s="11" t="s">
        <v>123</v>
      </c>
      <c r="F176" s="33" t="s">
        <v>137</v>
      </c>
      <c r="G176" s="11"/>
      <c r="H176" s="11">
        <f>SUMIFS(X!$F$3:$F$5978,X!$D$3:$D$5978,'Current Stock'!A176)</f>
        <v>0</v>
      </c>
      <c r="I176" s="11">
        <f>SUMIFS(PENJUALAN!$E$4:$E$3651,PENJUALAN!$C$4:$C$3651,'Current Stock'!A176)</f>
        <v>0</v>
      </c>
      <c r="J176" s="15">
        <f t="shared" si="2"/>
        <v>0</v>
      </c>
      <c r="K176" s="11"/>
      <c r="L176" s="11"/>
      <c r="M176" s="11"/>
      <c r="N176" s="11"/>
      <c r="O176" s="17"/>
      <c r="P176" s="17"/>
    </row>
    <row r="177" ht="13.5" customHeight="1">
      <c r="A177" s="11" t="str">
        <f t="shared" si="1"/>
        <v>LFW-ACCORD86FY</v>
      </c>
      <c r="B177" s="32" t="s">
        <v>331</v>
      </c>
      <c r="C177" s="33" t="s">
        <v>332</v>
      </c>
      <c r="D177" s="33" t="s">
        <v>60</v>
      </c>
      <c r="E177" s="11" t="s">
        <v>123</v>
      </c>
      <c r="F177" s="33" t="s">
        <v>109</v>
      </c>
      <c r="G177" s="11"/>
      <c r="H177" s="11">
        <f>SUMIFS(X!$F$3:$F$5978,X!$D$3:$D$5978,'Current Stock'!A177)</f>
        <v>0</v>
      </c>
      <c r="I177" s="11">
        <f>SUMIFS(PENJUALAN!$E$4:$E$3651,PENJUALAN!$C$4:$C$3651,'Current Stock'!A177)</f>
        <v>0</v>
      </c>
      <c r="J177" s="15">
        <f t="shared" si="2"/>
        <v>0</v>
      </c>
      <c r="K177" s="11"/>
      <c r="L177" s="11"/>
      <c r="M177" s="11"/>
      <c r="N177" s="11"/>
      <c r="O177" s="17"/>
      <c r="P177" s="17"/>
    </row>
    <row r="178" ht="13.5" customHeight="1">
      <c r="A178" s="11" t="str">
        <f t="shared" si="1"/>
        <v>TRW-ACCORD86FY</v>
      </c>
      <c r="B178" s="32" t="s">
        <v>333</v>
      </c>
      <c r="C178" s="33" t="s">
        <v>332</v>
      </c>
      <c r="D178" s="33" t="s">
        <v>62</v>
      </c>
      <c r="E178" s="11" t="s">
        <v>123</v>
      </c>
      <c r="F178" s="33" t="s">
        <v>83</v>
      </c>
      <c r="G178" s="11"/>
      <c r="H178" s="11">
        <f>SUMIFS(X!$F$3:$F$5978,X!$D$3:$D$5978,'Current Stock'!A178)</f>
        <v>0</v>
      </c>
      <c r="I178" s="11">
        <f>SUMIFS(PENJUALAN!$E$4:$E$3651,PENJUALAN!$C$4:$C$3651,'Current Stock'!A178)</f>
        <v>0</v>
      </c>
      <c r="J178" s="15">
        <f t="shared" si="2"/>
        <v>0</v>
      </c>
      <c r="K178" s="11"/>
      <c r="L178" s="11"/>
      <c r="M178" s="11"/>
      <c r="N178" s="11"/>
      <c r="O178" s="17"/>
      <c r="P178" s="17"/>
    </row>
    <row r="179" ht="13.5" customHeight="1">
      <c r="A179" s="11" t="str">
        <f t="shared" si="1"/>
        <v>FDL-ACCORD86FY</v>
      </c>
      <c r="B179" s="32" t="s">
        <v>334</v>
      </c>
      <c r="C179" s="33" t="s">
        <v>332</v>
      </c>
      <c r="D179" s="33" t="s">
        <v>140</v>
      </c>
      <c r="E179" s="11" t="s">
        <v>123</v>
      </c>
      <c r="F179" s="33"/>
      <c r="G179" s="11"/>
      <c r="H179" s="11">
        <f>SUMIFS(X!$F$3:$F$5978,X!$D$3:$D$5978,'Current Stock'!A179)</f>
        <v>0</v>
      </c>
      <c r="I179" s="11">
        <f>SUMIFS(PENJUALAN!$E$4:$E$3651,PENJUALAN!$C$4:$C$3651,'Current Stock'!A179)</f>
        <v>0</v>
      </c>
      <c r="J179" s="15">
        <f t="shared" si="2"/>
        <v>0</v>
      </c>
      <c r="K179" s="11"/>
      <c r="L179" s="11"/>
      <c r="M179" s="11"/>
      <c r="N179" s="11"/>
      <c r="O179" s="17"/>
      <c r="P179" s="17"/>
    </row>
    <row r="180" ht="13.5" customHeight="1">
      <c r="A180" s="11" t="str">
        <f t="shared" si="1"/>
        <v>FDR-ACCORD86FY</v>
      </c>
      <c r="B180" s="32" t="s">
        <v>335</v>
      </c>
      <c r="C180" s="33" t="s">
        <v>332</v>
      </c>
      <c r="D180" s="33" t="s">
        <v>142</v>
      </c>
      <c r="E180" s="11" t="s">
        <v>123</v>
      </c>
      <c r="F180" s="33"/>
      <c r="G180" s="11"/>
      <c r="H180" s="11">
        <f>SUMIFS(X!$F$3:$F$5978,X!$D$3:$D$5978,'Current Stock'!A180)</f>
        <v>0</v>
      </c>
      <c r="I180" s="11">
        <f>SUMIFS(PENJUALAN!$E$4:$E$3651,PENJUALAN!$C$4:$C$3651,'Current Stock'!A180)</f>
        <v>0</v>
      </c>
      <c r="J180" s="15">
        <f t="shared" si="2"/>
        <v>0</v>
      </c>
      <c r="K180" s="11"/>
      <c r="L180" s="11"/>
      <c r="M180" s="11"/>
      <c r="N180" s="11"/>
      <c r="O180" s="17"/>
      <c r="P180" s="17"/>
    </row>
    <row r="181" ht="13.5" customHeight="1">
      <c r="A181" s="11" t="str">
        <f t="shared" si="1"/>
        <v>RDL-ACCORD86FY</v>
      </c>
      <c r="B181" s="32" t="s">
        <v>336</v>
      </c>
      <c r="C181" s="33" t="s">
        <v>332</v>
      </c>
      <c r="D181" s="33" t="s">
        <v>144</v>
      </c>
      <c r="E181" s="11" t="s">
        <v>123</v>
      </c>
      <c r="F181" s="33"/>
      <c r="G181" s="11"/>
      <c r="H181" s="11">
        <f>SUMIFS(X!$F$3:$F$5978,X!$D$3:$D$5978,'Current Stock'!A181)</f>
        <v>0</v>
      </c>
      <c r="I181" s="11">
        <f>SUMIFS(PENJUALAN!$E$4:$E$3651,PENJUALAN!$C$4:$C$3651,'Current Stock'!A181)</f>
        <v>0</v>
      </c>
      <c r="J181" s="15">
        <f t="shared" si="2"/>
        <v>0</v>
      </c>
      <c r="K181" s="11"/>
      <c r="L181" s="11"/>
      <c r="M181" s="11"/>
      <c r="N181" s="11"/>
      <c r="O181" s="17"/>
      <c r="P181" s="17"/>
    </row>
    <row r="182" ht="13.5" customHeight="1">
      <c r="A182" s="11" t="str">
        <f t="shared" si="1"/>
        <v>RDR-ACCORD86FY</v>
      </c>
      <c r="B182" s="32" t="s">
        <v>337</v>
      </c>
      <c r="C182" s="33" t="s">
        <v>332</v>
      </c>
      <c r="D182" s="33" t="s">
        <v>146</v>
      </c>
      <c r="E182" s="11" t="s">
        <v>123</v>
      </c>
      <c r="F182" s="33"/>
      <c r="G182" s="11"/>
      <c r="H182" s="11">
        <f>SUMIFS(X!$F$3:$F$5978,X!$D$3:$D$5978,'Current Stock'!A182)</f>
        <v>0</v>
      </c>
      <c r="I182" s="11">
        <f>SUMIFS(PENJUALAN!$E$4:$E$3651,PENJUALAN!$C$4:$C$3651,'Current Stock'!A182)</f>
        <v>0</v>
      </c>
      <c r="J182" s="15">
        <f t="shared" si="2"/>
        <v>0</v>
      </c>
      <c r="K182" s="11"/>
      <c r="L182" s="11"/>
      <c r="M182" s="11"/>
      <c r="N182" s="11"/>
      <c r="O182" s="17"/>
      <c r="P182" s="17"/>
    </row>
    <row r="183" ht="13.5" customHeight="1">
      <c r="A183" s="11" t="str">
        <f t="shared" si="1"/>
        <v>LFW-ACCORD90FY</v>
      </c>
      <c r="B183" s="32" t="s">
        <v>338</v>
      </c>
      <c r="C183" s="33" t="s">
        <v>339</v>
      </c>
      <c r="D183" s="33" t="s">
        <v>60</v>
      </c>
      <c r="E183" s="11" t="s">
        <v>123</v>
      </c>
      <c r="F183" s="33" t="s">
        <v>109</v>
      </c>
      <c r="G183" s="11"/>
      <c r="H183" s="11">
        <f>SUMIFS(X!$F$3:$F$5978,X!$D$3:$D$5978,'Current Stock'!A183)</f>
        <v>0</v>
      </c>
      <c r="I183" s="11">
        <f>SUMIFS(PENJUALAN!$E$4:$E$3651,PENJUALAN!$C$4:$C$3651,'Current Stock'!A183)</f>
        <v>0</v>
      </c>
      <c r="J183" s="15">
        <f t="shared" si="2"/>
        <v>0</v>
      </c>
      <c r="K183" s="11"/>
      <c r="L183" s="11"/>
      <c r="M183" s="11"/>
      <c r="N183" s="11"/>
      <c r="O183" s="17"/>
      <c r="P183" s="17"/>
    </row>
    <row r="184" ht="13.5" customHeight="1">
      <c r="A184" s="11" t="str">
        <f t="shared" si="1"/>
        <v>TRW-ACCORD90FY</v>
      </c>
      <c r="B184" s="32" t="s">
        <v>340</v>
      </c>
      <c r="C184" s="33" t="s">
        <v>339</v>
      </c>
      <c r="D184" s="33" t="s">
        <v>62</v>
      </c>
      <c r="E184" s="11" t="s">
        <v>123</v>
      </c>
      <c r="F184" s="33" t="s">
        <v>83</v>
      </c>
      <c r="G184" s="11"/>
      <c r="H184" s="11">
        <f>SUMIFS(X!$F$3:$F$5978,X!$D$3:$D$5978,'Current Stock'!A184)</f>
        <v>0</v>
      </c>
      <c r="I184" s="11">
        <f>SUMIFS(PENJUALAN!$E$4:$E$3651,PENJUALAN!$C$4:$C$3651,'Current Stock'!A184)</f>
        <v>0</v>
      </c>
      <c r="J184" s="15">
        <f t="shared" si="2"/>
        <v>0</v>
      </c>
      <c r="K184" s="11"/>
      <c r="L184" s="11"/>
      <c r="M184" s="11"/>
      <c r="N184" s="11"/>
      <c r="O184" s="17"/>
      <c r="P184" s="17"/>
    </row>
    <row r="185" ht="13.5" customHeight="1">
      <c r="A185" s="11" t="str">
        <f t="shared" si="1"/>
        <v>LFW-ACCORD93FY</v>
      </c>
      <c r="B185" s="32" t="s">
        <v>341</v>
      </c>
      <c r="C185" s="33" t="s">
        <v>342</v>
      </c>
      <c r="D185" s="33" t="s">
        <v>60</v>
      </c>
      <c r="E185" s="11" t="s">
        <v>123</v>
      </c>
      <c r="F185" s="33" t="s">
        <v>109</v>
      </c>
      <c r="G185" s="11"/>
      <c r="H185" s="11">
        <f>SUMIFS(X!$F$3:$F$5978,X!$D$3:$D$5978,'Current Stock'!A185)</f>
        <v>0</v>
      </c>
      <c r="I185" s="11">
        <f>SUMIFS(PENJUALAN!$E$4:$E$3651,PENJUALAN!$C$4:$C$3651,'Current Stock'!A185)</f>
        <v>0</v>
      </c>
      <c r="J185" s="15">
        <f t="shared" si="2"/>
        <v>0</v>
      </c>
      <c r="K185" s="11"/>
      <c r="L185" s="11"/>
      <c r="M185" s="11"/>
      <c r="N185" s="11"/>
      <c r="O185" s="17"/>
      <c r="P185" s="17"/>
    </row>
    <row r="186" ht="13.5" customHeight="1">
      <c r="A186" s="11" t="str">
        <f t="shared" si="1"/>
        <v>TRW-ACCORD93FY</v>
      </c>
      <c r="B186" s="32" t="s">
        <v>343</v>
      </c>
      <c r="C186" s="33" t="s">
        <v>344</v>
      </c>
      <c r="D186" s="33" t="s">
        <v>62</v>
      </c>
      <c r="E186" s="11" t="s">
        <v>123</v>
      </c>
      <c r="F186" s="33" t="s">
        <v>83</v>
      </c>
      <c r="G186" s="11"/>
      <c r="H186" s="11">
        <f>SUMIFS(X!$F$3:$F$5978,X!$D$3:$D$5978,'Current Stock'!A186)</f>
        <v>0</v>
      </c>
      <c r="I186" s="11">
        <f>SUMIFS(PENJUALAN!$E$4:$E$3651,PENJUALAN!$C$4:$C$3651,'Current Stock'!A186)</f>
        <v>0</v>
      </c>
      <c r="J186" s="15">
        <f t="shared" si="2"/>
        <v>0</v>
      </c>
      <c r="K186" s="11"/>
      <c r="L186" s="11"/>
      <c r="M186" s="11"/>
      <c r="N186" s="11"/>
      <c r="O186" s="17"/>
      <c r="P186" s="17"/>
    </row>
    <row r="187" ht="13.5" customHeight="1">
      <c r="A187" s="11" t="str">
        <f t="shared" si="1"/>
        <v>LFW-ACCORD98FY</v>
      </c>
      <c r="B187" s="32" t="s">
        <v>345</v>
      </c>
      <c r="C187" s="33" t="s">
        <v>346</v>
      </c>
      <c r="D187" s="33" t="s">
        <v>60</v>
      </c>
      <c r="E187" s="11" t="s">
        <v>123</v>
      </c>
      <c r="F187" s="33" t="s">
        <v>137</v>
      </c>
      <c r="G187" s="11"/>
      <c r="H187" s="11">
        <f>SUMIFS(X!$F$3:$F$5978,X!$D$3:$D$5978,'Current Stock'!A187)</f>
        <v>0</v>
      </c>
      <c r="I187" s="11">
        <f>SUMIFS(PENJUALAN!$E$4:$E$3651,PENJUALAN!$C$4:$C$3651,'Current Stock'!A187)</f>
        <v>0</v>
      </c>
      <c r="J187" s="15">
        <f t="shared" si="2"/>
        <v>0</v>
      </c>
      <c r="K187" s="11"/>
      <c r="L187" s="11"/>
      <c r="M187" s="11"/>
      <c r="N187" s="11"/>
      <c r="O187" s="17"/>
      <c r="P187" s="17"/>
    </row>
    <row r="188" ht="13.5" customHeight="1">
      <c r="A188" s="11" t="str">
        <f t="shared" si="1"/>
        <v>TRW-ACCORD98FY</v>
      </c>
      <c r="B188" s="32" t="s">
        <v>347</v>
      </c>
      <c r="C188" s="33" t="s">
        <v>346</v>
      </c>
      <c r="D188" s="33" t="s">
        <v>62</v>
      </c>
      <c r="E188" s="11" t="s">
        <v>123</v>
      </c>
      <c r="F188" s="33" t="s">
        <v>83</v>
      </c>
      <c r="G188" s="11"/>
      <c r="H188" s="11">
        <f>SUMIFS(X!$F$3:$F$5978,X!$D$3:$D$5978,'Current Stock'!A188)</f>
        <v>0</v>
      </c>
      <c r="I188" s="11">
        <f>SUMIFS(PENJUALAN!$E$4:$E$3651,PENJUALAN!$C$4:$C$3651,'Current Stock'!A188)</f>
        <v>0</v>
      </c>
      <c r="J188" s="15">
        <f t="shared" si="2"/>
        <v>0</v>
      </c>
      <c r="K188" s="11"/>
      <c r="L188" s="11"/>
      <c r="M188" s="11"/>
      <c r="N188" s="11"/>
      <c r="O188" s="17"/>
      <c r="P188" s="17"/>
    </row>
    <row r="189" ht="13.5" customHeight="1">
      <c r="A189" s="11" t="str">
        <f t="shared" si="1"/>
        <v>RDL-ACCORD98FY</v>
      </c>
      <c r="B189" s="32" t="s">
        <v>348</v>
      </c>
      <c r="C189" s="33" t="s">
        <v>346</v>
      </c>
      <c r="D189" s="33" t="s">
        <v>144</v>
      </c>
      <c r="E189" s="11" t="s">
        <v>123</v>
      </c>
      <c r="F189" s="33"/>
      <c r="G189" s="11"/>
      <c r="H189" s="11">
        <f>SUMIFS(X!$F$3:$F$5978,X!$D$3:$D$5978,'Current Stock'!A189)</f>
        <v>0</v>
      </c>
      <c r="I189" s="11">
        <f>SUMIFS(PENJUALAN!$E$4:$E$3651,PENJUALAN!$C$4:$C$3651,'Current Stock'!A189)</f>
        <v>0</v>
      </c>
      <c r="J189" s="15">
        <f t="shared" si="2"/>
        <v>0</v>
      </c>
      <c r="K189" s="11"/>
      <c r="L189" s="11"/>
      <c r="M189" s="11"/>
      <c r="N189" s="11"/>
      <c r="O189" s="17"/>
      <c r="P189" s="17"/>
    </row>
    <row r="190" ht="13.5" customHeight="1">
      <c r="A190" s="11" t="str">
        <f t="shared" si="1"/>
        <v>RDR-ACCORD98FY</v>
      </c>
      <c r="B190" s="32" t="s">
        <v>349</v>
      </c>
      <c r="C190" s="33" t="s">
        <v>346</v>
      </c>
      <c r="D190" s="33" t="s">
        <v>146</v>
      </c>
      <c r="E190" s="11" t="s">
        <v>123</v>
      </c>
      <c r="F190" s="33"/>
      <c r="G190" s="11"/>
      <c r="H190" s="11">
        <f>SUMIFS(X!$F$3:$F$5978,X!$D$3:$D$5978,'Current Stock'!A190)</f>
        <v>0</v>
      </c>
      <c r="I190" s="11">
        <f>SUMIFS(PENJUALAN!$E$4:$E$3651,PENJUALAN!$C$4:$C$3651,'Current Stock'!A190)</f>
        <v>0</v>
      </c>
      <c r="J190" s="15">
        <f t="shared" si="2"/>
        <v>0</v>
      </c>
      <c r="K190" s="11"/>
      <c r="L190" s="11"/>
      <c r="M190" s="11"/>
      <c r="N190" s="11"/>
      <c r="O190" s="17"/>
      <c r="P190" s="17"/>
    </row>
    <row r="191" ht="13.5" customHeight="1">
      <c r="A191" s="11" t="str">
        <f t="shared" si="1"/>
        <v>LFW-ACCORD03FY</v>
      </c>
      <c r="B191" s="32" t="s">
        <v>350</v>
      </c>
      <c r="C191" s="33" t="s">
        <v>351</v>
      </c>
      <c r="D191" s="33" t="s">
        <v>60</v>
      </c>
      <c r="E191" s="11" t="s">
        <v>123</v>
      </c>
      <c r="F191" s="33" t="s">
        <v>137</v>
      </c>
      <c r="G191" s="11"/>
      <c r="H191" s="11">
        <f>SUMIFS(X!$F$3:$F$5978,X!$D$3:$D$5978,'Current Stock'!A191)</f>
        <v>0</v>
      </c>
      <c r="I191" s="11">
        <f>SUMIFS(PENJUALAN!$E$4:$E$3651,PENJUALAN!$C$4:$C$3651,'Current Stock'!A191)</f>
        <v>0</v>
      </c>
      <c r="J191" s="15">
        <f t="shared" si="2"/>
        <v>0</v>
      </c>
      <c r="K191" s="11"/>
      <c r="L191" s="11"/>
      <c r="M191" s="16">
        <v>1.0</v>
      </c>
      <c r="N191" s="11"/>
      <c r="O191" s="17"/>
      <c r="P191" s="17"/>
    </row>
    <row r="192" ht="13.5" customHeight="1">
      <c r="A192" s="11" t="str">
        <f t="shared" si="1"/>
        <v>TRW-ACCORD03FY</v>
      </c>
      <c r="B192" s="32" t="s">
        <v>352</v>
      </c>
      <c r="C192" s="33" t="s">
        <v>351</v>
      </c>
      <c r="D192" s="33" t="s">
        <v>62</v>
      </c>
      <c r="E192" s="11" t="s">
        <v>123</v>
      </c>
      <c r="F192" s="33" t="s">
        <v>126</v>
      </c>
      <c r="G192" s="11"/>
      <c r="H192" s="11">
        <f>SUMIFS(X!$F$3:$F$5978,X!$D$3:$D$5978,'Current Stock'!A192)</f>
        <v>0</v>
      </c>
      <c r="I192" s="11">
        <f>SUMIFS(PENJUALAN!$E$4:$E$3651,PENJUALAN!$C$4:$C$3651,'Current Stock'!A192)</f>
        <v>0</v>
      </c>
      <c r="J192" s="15">
        <f t="shared" si="2"/>
        <v>0</v>
      </c>
      <c r="K192" s="11"/>
      <c r="L192" s="11"/>
      <c r="M192" s="11"/>
      <c r="N192" s="11"/>
      <c r="O192" s="17"/>
      <c r="P192" s="17"/>
    </row>
    <row r="193" ht="13.5" customHeight="1">
      <c r="A193" s="11" t="str">
        <f t="shared" si="1"/>
        <v>LFW-ACCORD08FY</v>
      </c>
      <c r="B193" s="32" t="s">
        <v>353</v>
      </c>
      <c r="C193" s="33" t="s">
        <v>354</v>
      </c>
      <c r="D193" s="33" t="s">
        <v>60</v>
      </c>
      <c r="E193" s="11" t="s">
        <v>123</v>
      </c>
      <c r="F193" s="33" t="s">
        <v>137</v>
      </c>
      <c r="G193" s="34">
        <v>46028.0</v>
      </c>
      <c r="H193" s="11">
        <f>SUMIFS(X!$F$3:$F$5978,X!$D$3:$D$5978,'Current Stock'!A193)</f>
        <v>1</v>
      </c>
      <c r="I193" s="11">
        <f>SUMIFS(PENJUALAN!$E$4:$E$3651,PENJUALAN!$C$4:$C$3651,'Current Stock'!A193)</f>
        <v>0</v>
      </c>
      <c r="J193" s="15">
        <f t="shared" si="2"/>
        <v>1</v>
      </c>
      <c r="K193" s="13" t="s">
        <v>355</v>
      </c>
      <c r="L193" s="11"/>
      <c r="M193" s="11"/>
      <c r="N193" s="11"/>
      <c r="O193" s="17"/>
      <c r="P193" s="17"/>
    </row>
    <row r="194" ht="13.5" customHeight="1">
      <c r="A194" s="11" t="str">
        <f t="shared" si="1"/>
        <v>TRW-ACCORD08FY</v>
      </c>
      <c r="B194" s="32" t="s">
        <v>356</v>
      </c>
      <c r="C194" s="33" t="s">
        <v>354</v>
      </c>
      <c r="D194" s="33" t="s">
        <v>62</v>
      </c>
      <c r="E194" s="11" t="s">
        <v>123</v>
      </c>
      <c r="F194" s="33" t="s">
        <v>126</v>
      </c>
      <c r="G194" s="11"/>
      <c r="H194" s="11">
        <f>SUMIFS(X!$F$3:$F$5978,X!$D$3:$D$5978,'Current Stock'!A194)</f>
        <v>0</v>
      </c>
      <c r="I194" s="11">
        <f>SUMIFS(PENJUALAN!$E$4:$E$3651,PENJUALAN!$C$4:$C$3651,'Current Stock'!A194)</f>
        <v>0</v>
      </c>
      <c r="J194" s="15">
        <f t="shared" si="2"/>
        <v>0</v>
      </c>
      <c r="K194" s="11"/>
      <c r="L194" s="11"/>
      <c r="M194" s="11"/>
      <c r="N194" s="11"/>
      <c r="O194" s="17"/>
      <c r="P194" s="17"/>
    </row>
    <row r="195" ht="13.5" customHeight="1">
      <c r="A195" s="11" t="str">
        <f t="shared" si="1"/>
        <v>LFW-ACCORD13RSFY</v>
      </c>
      <c r="B195" s="32" t="s">
        <v>357</v>
      </c>
      <c r="C195" s="33" t="s">
        <v>358</v>
      </c>
      <c r="D195" s="33" t="s">
        <v>60</v>
      </c>
      <c r="E195" s="11" t="s">
        <v>123</v>
      </c>
      <c r="F195" s="33" t="s">
        <v>90</v>
      </c>
      <c r="G195" s="11"/>
      <c r="H195" s="11">
        <f>SUMIFS(X!$F$3:$F$5978,X!$D$3:$D$5978,'Current Stock'!A195)</f>
        <v>1</v>
      </c>
      <c r="I195" s="11">
        <f>SUMIFS(PENJUALAN!$E$4:$E$3651,PENJUALAN!$C$4:$C$3651,'Current Stock'!A195)</f>
        <v>1</v>
      </c>
      <c r="J195" s="15">
        <f t="shared" si="2"/>
        <v>0</v>
      </c>
      <c r="K195" s="11"/>
      <c r="L195" s="11"/>
      <c r="M195" s="11"/>
      <c r="N195" s="11"/>
      <c r="O195" s="17"/>
      <c r="P195" s="17"/>
    </row>
    <row r="196" ht="13.5" customHeight="1">
      <c r="A196" s="11" t="str">
        <f t="shared" si="1"/>
        <v>LFW-ACCORD13FY</v>
      </c>
      <c r="B196" s="32" t="s">
        <v>359</v>
      </c>
      <c r="C196" s="33" t="s">
        <v>360</v>
      </c>
      <c r="D196" s="33" t="s">
        <v>60</v>
      </c>
      <c r="E196" s="11" t="s">
        <v>123</v>
      </c>
      <c r="F196" s="33" t="s">
        <v>137</v>
      </c>
      <c r="G196" s="11"/>
      <c r="H196" s="11">
        <f>SUMIFS(X!$F$3:$F$5978,X!$D$3:$D$5978,'Current Stock'!A196)</f>
        <v>0</v>
      </c>
      <c r="I196" s="11">
        <f>SUMIFS(PENJUALAN!$E$4:$E$3651,PENJUALAN!$C$4:$C$3651,'Current Stock'!A196)</f>
        <v>0</v>
      </c>
      <c r="J196" s="15">
        <f t="shared" si="2"/>
        <v>0</v>
      </c>
      <c r="K196" s="11"/>
      <c r="L196" s="11"/>
      <c r="M196" s="11"/>
      <c r="N196" s="11"/>
      <c r="O196" s="17"/>
      <c r="P196" s="17"/>
    </row>
    <row r="197" ht="13.5" customHeight="1">
      <c r="A197" s="11" t="str">
        <f t="shared" si="1"/>
        <v>TRW-ACCORD13FY</v>
      </c>
      <c r="B197" s="32" t="s">
        <v>361</v>
      </c>
      <c r="C197" s="33" t="s">
        <v>362</v>
      </c>
      <c r="D197" s="33" t="s">
        <v>62</v>
      </c>
      <c r="E197" s="11" t="s">
        <v>123</v>
      </c>
      <c r="F197" s="33" t="s">
        <v>126</v>
      </c>
      <c r="G197" s="11"/>
      <c r="H197" s="11">
        <f>SUMIFS(X!$F$3:$F$5978,X!$D$3:$D$5978,'Current Stock'!A197)</f>
        <v>0</v>
      </c>
      <c r="I197" s="11">
        <f>SUMIFS(PENJUALAN!$E$4:$E$3651,PENJUALAN!$C$4:$C$3651,'Current Stock'!A197)</f>
        <v>0</v>
      </c>
      <c r="J197" s="15">
        <f t="shared" si="2"/>
        <v>0</v>
      </c>
      <c r="K197" s="11"/>
      <c r="L197" s="11"/>
      <c r="M197" s="11"/>
      <c r="N197" s="11"/>
      <c r="O197" s="17"/>
      <c r="P197" s="17"/>
    </row>
    <row r="198" ht="13.5" customHeight="1">
      <c r="A198" s="11" t="str">
        <f t="shared" si="1"/>
        <v>FDR-ACCORD13FY</v>
      </c>
      <c r="B198" s="32" t="s">
        <v>363</v>
      </c>
      <c r="C198" s="33" t="s">
        <v>362</v>
      </c>
      <c r="D198" s="33" t="s">
        <v>142</v>
      </c>
      <c r="E198" s="11" t="s">
        <v>123</v>
      </c>
      <c r="F198" s="33"/>
      <c r="G198" s="11"/>
      <c r="H198" s="11">
        <f>SUMIFS(X!$F$3:$F$5978,X!$D$3:$D$5978,'Current Stock'!A198)</f>
        <v>0</v>
      </c>
      <c r="I198" s="11">
        <f>SUMIFS(PENJUALAN!$E$4:$E$3651,PENJUALAN!$C$4:$C$3651,'Current Stock'!A198)</f>
        <v>0</v>
      </c>
      <c r="J198" s="15">
        <f t="shared" si="2"/>
        <v>0</v>
      </c>
      <c r="K198" s="11"/>
      <c r="L198" s="11"/>
      <c r="M198" s="11"/>
      <c r="N198" s="11"/>
      <c r="O198" s="17"/>
      <c r="P198" s="17"/>
    </row>
    <row r="199" ht="13.5" customHeight="1">
      <c r="A199" s="11" t="str">
        <f t="shared" si="1"/>
        <v>RDL-ACCORD13FY</v>
      </c>
      <c r="B199" s="32" t="s">
        <v>364</v>
      </c>
      <c r="C199" s="33" t="s">
        <v>362</v>
      </c>
      <c r="D199" s="33" t="s">
        <v>144</v>
      </c>
      <c r="E199" s="11" t="s">
        <v>123</v>
      </c>
      <c r="F199" s="33"/>
      <c r="G199" s="11"/>
      <c r="H199" s="11">
        <f>SUMIFS(X!$F$3:$F$5978,X!$D$3:$D$5978,'Current Stock'!A199)</f>
        <v>0</v>
      </c>
      <c r="I199" s="11">
        <f>SUMIFS(PENJUALAN!$E$4:$E$3651,PENJUALAN!$C$4:$C$3651,'Current Stock'!A199)</f>
        <v>0</v>
      </c>
      <c r="J199" s="15">
        <f t="shared" si="2"/>
        <v>0</v>
      </c>
      <c r="K199" s="11"/>
      <c r="L199" s="11"/>
      <c r="M199" s="11"/>
      <c r="N199" s="11"/>
      <c r="O199" s="17"/>
      <c r="P199" s="17"/>
    </row>
    <row r="200" ht="13.5" customHeight="1">
      <c r="A200" s="11" t="str">
        <f t="shared" si="1"/>
        <v>LFW-BRIOFY</v>
      </c>
      <c r="B200" s="32" t="s">
        <v>365</v>
      </c>
      <c r="C200" s="33" t="s">
        <v>366</v>
      </c>
      <c r="D200" s="33" t="s">
        <v>60</v>
      </c>
      <c r="E200" s="11" t="s">
        <v>123</v>
      </c>
      <c r="F200" s="33" t="s">
        <v>109</v>
      </c>
      <c r="G200" s="11"/>
      <c r="H200" s="11">
        <f>SUMIFS(X!$F$3:$F$5978,X!$D$3:$D$5978,'Current Stock'!A200)</f>
        <v>0</v>
      </c>
      <c r="I200" s="11">
        <f>SUMIFS(PENJUALAN!$E$4:$E$3651,PENJUALAN!$C$4:$C$3651,'Current Stock'!A200)</f>
        <v>0</v>
      </c>
      <c r="J200" s="15">
        <f t="shared" si="2"/>
        <v>0</v>
      </c>
      <c r="K200" s="11"/>
      <c r="L200" s="11"/>
      <c r="M200" s="11"/>
      <c r="N200" s="11"/>
      <c r="O200" s="17"/>
      <c r="P200" s="17"/>
    </row>
    <row r="201" ht="13.5" customHeight="1">
      <c r="A201" s="11" t="str">
        <f t="shared" si="1"/>
        <v>LFW-CITY96FY</v>
      </c>
      <c r="B201" s="32" t="s">
        <v>367</v>
      </c>
      <c r="C201" s="33" t="s">
        <v>368</v>
      </c>
      <c r="D201" s="33" t="s">
        <v>60</v>
      </c>
      <c r="E201" s="11" t="s">
        <v>123</v>
      </c>
      <c r="F201" s="33" t="s">
        <v>109</v>
      </c>
      <c r="G201" s="11"/>
      <c r="H201" s="11">
        <f>SUMIFS(X!$F$3:$F$5978,X!$D$3:$D$5978,'Current Stock'!A201)</f>
        <v>0</v>
      </c>
      <c r="I201" s="11">
        <f>SUMIFS(PENJUALAN!$E$4:$E$3651,PENJUALAN!$C$4:$C$3651,'Current Stock'!A201)</f>
        <v>0</v>
      </c>
      <c r="J201" s="15">
        <f t="shared" si="2"/>
        <v>0</v>
      </c>
      <c r="K201" s="11"/>
      <c r="L201" s="11"/>
      <c r="M201" s="11"/>
      <c r="N201" s="11"/>
      <c r="O201" s="17"/>
      <c r="P201" s="17"/>
    </row>
    <row r="202" ht="13.5" customHeight="1">
      <c r="A202" s="11" t="str">
        <f t="shared" si="1"/>
        <v>TRW-CITY96FY</v>
      </c>
      <c r="B202" s="32" t="s">
        <v>369</v>
      </c>
      <c r="C202" s="33" t="s">
        <v>368</v>
      </c>
      <c r="D202" s="33" t="s">
        <v>62</v>
      </c>
      <c r="E202" s="11" t="s">
        <v>123</v>
      </c>
      <c r="F202" s="33" t="s">
        <v>83</v>
      </c>
      <c r="G202" s="11"/>
      <c r="H202" s="11">
        <f>SUMIFS(X!$F$3:$F$5978,X!$D$3:$D$5978,'Current Stock'!A202)</f>
        <v>0</v>
      </c>
      <c r="I202" s="11">
        <f>SUMIFS(PENJUALAN!$E$4:$E$3651,PENJUALAN!$C$4:$C$3651,'Current Stock'!A202)</f>
        <v>0</v>
      </c>
      <c r="J202" s="15">
        <f t="shared" si="2"/>
        <v>0</v>
      </c>
      <c r="K202" s="11"/>
      <c r="L202" s="11"/>
      <c r="M202" s="11"/>
      <c r="N202" s="11"/>
      <c r="O202" s="17"/>
      <c r="P202" s="17"/>
    </row>
    <row r="203" ht="13.5" customHeight="1">
      <c r="A203" s="11" t="str">
        <f t="shared" si="1"/>
        <v>LFW-CITY02FY</v>
      </c>
      <c r="B203" s="32" t="s">
        <v>370</v>
      </c>
      <c r="C203" s="33" t="s">
        <v>371</v>
      </c>
      <c r="D203" s="33" t="s">
        <v>60</v>
      </c>
      <c r="E203" s="11" t="s">
        <v>123</v>
      </c>
      <c r="F203" s="33" t="s">
        <v>109</v>
      </c>
      <c r="G203" s="11"/>
      <c r="H203" s="11">
        <f>SUMIFS(X!$F$3:$F$5978,X!$D$3:$D$5978,'Current Stock'!A203)</f>
        <v>0</v>
      </c>
      <c r="I203" s="11">
        <f>SUMIFS(PENJUALAN!$E$4:$E$3651,PENJUALAN!$C$4:$C$3651,'Current Stock'!A203)</f>
        <v>0</v>
      </c>
      <c r="J203" s="15">
        <f t="shared" si="2"/>
        <v>0</v>
      </c>
      <c r="K203" s="11"/>
      <c r="L203" s="11"/>
      <c r="M203" s="11"/>
      <c r="N203" s="11"/>
      <c r="O203" s="17"/>
      <c r="P203" s="17"/>
    </row>
    <row r="204" ht="13.5" customHeight="1">
      <c r="A204" s="11" t="str">
        <f t="shared" si="1"/>
        <v>TRW-CITY02FY</v>
      </c>
      <c r="B204" s="32" t="s">
        <v>372</v>
      </c>
      <c r="C204" s="33" t="s">
        <v>373</v>
      </c>
      <c r="D204" s="33" t="s">
        <v>62</v>
      </c>
      <c r="E204" s="11" t="s">
        <v>123</v>
      </c>
      <c r="F204" s="33" t="s">
        <v>83</v>
      </c>
      <c r="G204" s="11"/>
      <c r="H204" s="11">
        <f>SUMIFS(X!$F$3:$F$5978,X!$D$3:$D$5978,'Current Stock'!A204)</f>
        <v>0</v>
      </c>
      <c r="I204" s="11">
        <f>SUMIFS(PENJUALAN!$E$4:$E$3651,PENJUALAN!$C$4:$C$3651,'Current Stock'!A204)</f>
        <v>0</v>
      </c>
      <c r="J204" s="15">
        <f t="shared" si="2"/>
        <v>0</v>
      </c>
      <c r="K204" s="11"/>
      <c r="L204" s="11"/>
      <c r="M204" s="11"/>
      <c r="N204" s="11"/>
      <c r="O204" s="17"/>
      <c r="P204" s="17"/>
    </row>
    <row r="205" ht="13.5" customHeight="1">
      <c r="A205" s="11" t="str">
        <f t="shared" si="1"/>
        <v>LFW-CITY08FY</v>
      </c>
      <c r="B205" s="32" t="s">
        <v>374</v>
      </c>
      <c r="C205" s="33" t="s">
        <v>375</v>
      </c>
      <c r="D205" s="33" t="s">
        <v>60</v>
      </c>
      <c r="E205" s="11" t="s">
        <v>123</v>
      </c>
      <c r="F205" s="33" t="s">
        <v>109</v>
      </c>
      <c r="G205" s="11"/>
      <c r="H205" s="11">
        <f>SUMIFS(X!$F$3:$F$5978,X!$D$3:$D$5978,'Current Stock'!A205)</f>
        <v>0</v>
      </c>
      <c r="I205" s="11">
        <f>SUMIFS(PENJUALAN!$E$4:$E$3651,PENJUALAN!$C$4:$C$3651,'Current Stock'!A205)</f>
        <v>0</v>
      </c>
      <c r="J205" s="15">
        <f t="shared" si="2"/>
        <v>0</v>
      </c>
      <c r="K205" s="11"/>
      <c r="L205" s="11"/>
      <c r="M205" s="11"/>
      <c r="N205" s="11"/>
      <c r="O205" s="17"/>
      <c r="P205" s="17"/>
    </row>
    <row r="206" ht="13.5" customHeight="1">
      <c r="A206" s="11" t="str">
        <f t="shared" si="1"/>
        <v>TRW-CITY08FY</v>
      </c>
      <c r="B206" s="32" t="s">
        <v>376</v>
      </c>
      <c r="C206" s="33" t="s">
        <v>375</v>
      </c>
      <c r="D206" s="33" t="s">
        <v>62</v>
      </c>
      <c r="E206" s="11" t="s">
        <v>123</v>
      </c>
      <c r="F206" s="33" t="s">
        <v>83</v>
      </c>
      <c r="G206" s="11"/>
      <c r="H206" s="11">
        <f>SUMIFS(X!$F$3:$F$5978,X!$D$3:$D$5978,'Current Stock'!A206)</f>
        <v>0</v>
      </c>
      <c r="I206" s="11">
        <f>SUMIFS(PENJUALAN!$E$4:$E$3651,PENJUALAN!$C$4:$C$3651,'Current Stock'!A206)</f>
        <v>0</v>
      </c>
      <c r="J206" s="15">
        <f t="shared" si="2"/>
        <v>0</v>
      </c>
      <c r="K206" s="11"/>
      <c r="L206" s="11"/>
      <c r="M206" s="11"/>
      <c r="N206" s="11"/>
      <c r="O206" s="17"/>
      <c r="P206" s="17"/>
    </row>
    <row r="207" ht="13.5" customHeight="1">
      <c r="A207" s="11" t="str">
        <f t="shared" si="1"/>
        <v>LFW-CITY14FY</v>
      </c>
      <c r="B207" s="32" t="s">
        <v>377</v>
      </c>
      <c r="C207" s="33" t="s">
        <v>378</v>
      </c>
      <c r="D207" s="33" t="s">
        <v>60</v>
      </c>
      <c r="E207" s="11" t="s">
        <v>123</v>
      </c>
      <c r="F207" s="33" t="s">
        <v>137</v>
      </c>
      <c r="G207" s="11"/>
      <c r="H207" s="11">
        <f>SUMIFS(X!$F$3:$F$5978,X!$D$3:$D$5978,'Current Stock'!A207)</f>
        <v>1</v>
      </c>
      <c r="I207" s="11">
        <f>SUMIFS(PENJUALAN!$E$4:$E$3651,PENJUALAN!$C$4:$C$3651,'Current Stock'!A207)</f>
        <v>1</v>
      </c>
      <c r="J207" s="15">
        <f t="shared" si="2"/>
        <v>0</v>
      </c>
      <c r="K207" s="11"/>
      <c r="L207" s="11"/>
      <c r="M207" s="11"/>
      <c r="N207" s="11"/>
      <c r="O207" s="17"/>
      <c r="P207" s="17"/>
    </row>
    <row r="208" ht="13.5" customHeight="1">
      <c r="A208" s="11" t="str">
        <f t="shared" si="1"/>
        <v>LFW-CIVICESTFY</v>
      </c>
      <c r="B208" s="32" t="s">
        <v>379</v>
      </c>
      <c r="C208" s="33" t="s">
        <v>380</v>
      </c>
      <c r="D208" s="33" t="s">
        <v>60</v>
      </c>
      <c r="E208" s="11" t="s">
        <v>123</v>
      </c>
      <c r="F208" s="33" t="s">
        <v>137</v>
      </c>
      <c r="G208" s="11"/>
      <c r="H208" s="11">
        <f>SUMIFS(X!$F$3:$F$5978,X!$D$3:$D$5978,'Current Stock'!A208)</f>
        <v>1</v>
      </c>
      <c r="I208" s="11">
        <f>SUMIFS(PENJUALAN!$E$4:$E$3651,PENJUALAN!$C$4:$C$3651,'Current Stock'!A208)</f>
        <v>1</v>
      </c>
      <c r="J208" s="15">
        <f t="shared" si="2"/>
        <v>0</v>
      </c>
      <c r="K208" s="11"/>
      <c r="L208" s="11"/>
      <c r="M208" s="11"/>
      <c r="N208" s="11"/>
      <c r="O208" s="17"/>
      <c r="P208" s="17"/>
    </row>
    <row r="209" ht="13.5" customHeight="1">
      <c r="A209" s="11" t="str">
        <f t="shared" si="1"/>
        <v>TRW-CIVICESTFY</v>
      </c>
      <c r="B209" s="32" t="s">
        <v>381</v>
      </c>
      <c r="C209" s="33" t="s">
        <v>380</v>
      </c>
      <c r="D209" s="33" t="s">
        <v>62</v>
      </c>
      <c r="E209" s="11" t="s">
        <v>123</v>
      </c>
      <c r="F209" s="33" t="s">
        <v>382</v>
      </c>
      <c r="G209" s="11"/>
      <c r="H209" s="11">
        <f>SUMIFS(X!$F$3:$F$5978,X!$D$3:$D$5978,'Current Stock'!A209)</f>
        <v>0</v>
      </c>
      <c r="I209" s="11">
        <f>SUMIFS(PENJUALAN!$E$4:$E$3651,PENJUALAN!$C$4:$C$3651,'Current Stock'!A209)</f>
        <v>0</v>
      </c>
      <c r="J209" s="15">
        <f t="shared" si="2"/>
        <v>0</v>
      </c>
      <c r="K209" s="11"/>
      <c r="L209" s="11"/>
      <c r="M209" s="11"/>
      <c r="N209" s="11"/>
      <c r="O209" s="17"/>
      <c r="P209" s="17"/>
    </row>
    <row r="210" ht="13.5" customHeight="1">
      <c r="A210" s="11" t="str">
        <f t="shared" si="1"/>
        <v>FDL-CIVICESTFY</v>
      </c>
      <c r="B210" s="32" t="s">
        <v>383</v>
      </c>
      <c r="C210" s="33" t="s">
        <v>380</v>
      </c>
      <c r="D210" s="33" t="s">
        <v>140</v>
      </c>
      <c r="E210" s="11" t="s">
        <v>123</v>
      </c>
      <c r="F210" s="33"/>
      <c r="G210" s="11"/>
      <c r="H210" s="11">
        <f>SUMIFS(X!$F$3:$F$5978,X!$D$3:$D$5978,'Current Stock'!A210)</f>
        <v>0</v>
      </c>
      <c r="I210" s="11">
        <f>SUMIFS(PENJUALAN!$E$4:$E$3651,PENJUALAN!$C$4:$C$3651,'Current Stock'!A210)</f>
        <v>0</v>
      </c>
      <c r="J210" s="15">
        <f t="shared" si="2"/>
        <v>0</v>
      </c>
      <c r="K210" s="11"/>
      <c r="L210" s="11"/>
      <c r="M210" s="11"/>
      <c r="N210" s="11"/>
      <c r="O210" s="17"/>
      <c r="P210" s="17"/>
    </row>
    <row r="211" ht="13.5" customHeight="1">
      <c r="A211" s="11" t="str">
        <f t="shared" si="1"/>
        <v>FDR-CIVICESTFY</v>
      </c>
      <c r="B211" s="32" t="s">
        <v>384</v>
      </c>
      <c r="C211" s="33" t="s">
        <v>380</v>
      </c>
      <c r="D211" s="35" t="s">
        <v>142</v>
      </c>
      <c r="E211" s="11" t="s">
        <v>123</v>
      </c>
      <c r="F211" s="33"/>
      <c r="G211" s="11"/>
      <c r="H211" s="11">
        <f>SUMIFS(X!$F$3:$F$5978,X!$D$3:$D$5978,'Current Stock'!A211)</f>
        <v>0</v>
      </c>
      <c r="I211" s="11">
        <f>SUMIFS(PENJUALAN!$E$4:$E$3651,PENJUALAN!$C$4:$C$3651,'Current Stock'!A211)</f>
        <v>0</v>
      </c>
      <c r="J211" s="15">
        <f t="shared" si="2"/>
        <v>0</v>
      </c>
      <c r="K211" s="11"/>
      <c r="L211" s="11"/>
      <c r="M211" s="11"/>
      <c r="N211" s="11"/>
      <c r="O211" s="17"/>
      <c r="P211" s="17"/>
    </row>
    <row r="212" ht="13.5" customHeight="1">
      <c r="A212" s="11" t="str">
        <f t="shared" si="1"/>
        <v>RDL-CIVICESTFY</v>
      </c>
      <c r="B212" s="32" t="s">
        <v>385</v>
      </c>
      <c r="C212" s="33" t="s">
        <v>380</v>
      </c>
      <c r="D212" s="33" t="s">
        <v>209</v>
      </c>
      <c r="E212" s="11" t="s">
        <v>123</v>
      </c>
      <c r="F212" s="33" t="s">
        <v>109</v>
      </c>
      <c r="G212" s="11"/>
      <c r="H212" s="11">
        <f>SUMIFS(X!$F$3:$F$5978,X!$D$3:$D$5978,'Current Stock'!A212)</f>
        <v>0</v>
      </c>
      <c r="I212" s="11">
        <f>SUMIFS(PENJUALAN!$E$4:$E$3651,PENJUALAN!$C$4:$C$3651,'Current Stock'!A212)</f>
        <v>0</v>
      </c>
      <c r="J212" s="15">
        <f t="shared" si="2"/>
        <v>0</v>
      </c>
      <c r="K212" s="11"/>
      <c r="L212" s="11"/>
      <c r="M212" s="11"/>
      <c r="N212" s="11"/>
      <c r="O212" s="17"/>
      <c r="P212" s="17"/>
    </row>
    <row r="213" ht="13.5" customHeight="1">
      <c r="A213" s="11" t="str">
        <f t="shared" si="1"/>
        <v>RDR-CIVICESTFY</v>
      </c>
      <c r="B213" s="32" t="s">
        <v>386</v>
      </c>
      <c r="C213" s="33" t="s">
        <v>380</v>
      </c>
      <c r="D213" s="33" t="s">
        <v>243</v>
      </c>
      <c r="E213" s="11" t="s">
        <v>123</v>
      </c>
      <c r="F213" s="33" t="s">
        <v>109</v>
      </c>
      <c r="G213" s="11"/>
      <c r="H213" s="11">
        <f>SUMIFS(X!$F$3:$F$5978,X!$D$3:$D$5978,'Current Stock'!A213)</f>
        <v>0</v>
      </c>
      <c r="I213" s="11">
        <f>SUMIFS(PENJUALAN!$E$4:$E$3651,PENJUALAN!$C$4:$C$3651,'Current Stock'!A213)</f>
        <v>0</v>
      </c>
      <c r="J213" s="15">
        <f t="shared" si="2"/>
        <v>0</v>
      </c>
      <c r="K213" s="11"/>
      <c r="L213" s="11"/>
      <c r="M213" s="11"/>
      <c r="N213" s="11"/>
      <c r="O213" s="17"/>
      <c r="P213" s="17"/>
    </row>
    <row r="214" ht="13.5" customHeight="1">
      <c r="A214" s="11" t="str">
        <f t="shared" si="1"/>
        <v>LFW-CIVICGENIOFY</v>
      </c>
      <c r="B214" s="32" t="s">
        <v>387</v>
      </c>
      <c r="C214" s="33" t="s">
        <v>388</v>
      </c>
      <c r="D214" s="33" t="s">
        <v>60</v>
      </c>
      <c r="E214" s="11" t="s">
        <v>123</v>
      </c>
      <c r="F214" s="33" t="s">
        <v>137</v>
      </c>
      <c r="G214" s="11"/>
      <c r="H214" s="11">
        <f>SUMIFS(X!$F$3:$F$5978,X!$D$3:$D$5978,'Current Stock'!A214)</f>
        <v>0</v>
      </c>
      <c r="I214" s="11">
        <f>SUMIFS(PENJUALAN!$E$4:$E$3651,PENJUALAN!$C$4:$C$3651,'Current Stock'!A214)</f>
        <v>0</v>
      </c>
      <c r="J214" s="15">
        <f t="shared" si="2"/>
        <v>0</v>
      </c>
      <c r="K214" s="11"/>
      <c r="L214" s="11"/>
      <c r="M214" s="11"/>
      <c r="N214" s="11"/>
      <c r="O214" s="17"/>
      <c r="P214" s="17"/>
    </row>
    <row r="215" ht="13.5" customHeight="1">
      <c r="A215" s="11" t="str">
        <f t="shared" si="1"/>
        <v>RDL-CIVICGENIOFY</v>
      </c>
      <c r="B215" s="32" t="s">
        <v>389</v>
      </c>
      <c r="C215" s="33" t="s">
        <v>388</v>
      </c>
      <c r="D215" s="33" t="s">
        <v>144</v>
      </c>
      <c r="E215" s="11" t="s">
        <v>123</v>
      </c>
      <c r="F215" s="33"/>
      <c r="G215" s="11"/>
      <c r="H215" s="11">
        <f>SUMIFS(X!$F$3:$F$5978,X!$D$3:$D$5978,'Current Stock'!A215)</f>
        <v>0</v>
      </c>
      <c r="I215" s="11">
        <f>SUMIFS(PENJUALAN!$E$4:$E$3651,PENJUALAN!$C$4:$C$3651,'Current Stock'!A215)</f>
        <v>0</v>
      </c>
      <c r="J215" s="15">
        <f t="shared" si="2"/>
        <v>0</v>
      </c>
      <c r="K215" s="11"/>
      <c r="L215" s="11"/>
      <c r="M215" s="11"/>
      <c r="N215" s="11"/>
      <c r="O215" s="17"/>
      <c r="P215" s="17"/>
    </row>
    <row r="216" ht="13.5" customHeight="1">
      <c r="A216" s="11" t="str">
        <f t="shared" si="1"/>
        <v>TRW-CIVICGENIOFY</v>
      </c>
      <c r="B216" s="32" t="s">
        <v>390</v>
      </c>
      <c r="C216" s="33" t="s">
        <v>388</v>
      </c>
      <c r="D216" s="33" t="s">
        <v>62</v>
      </c>
      <c r="E216" s="11" t="s">
        <v>123</v>
      </c>
      <c r="F216" s="33" t="s">
        <v>83</v>
      </c>
      <c r="G216" s="11"/>
      <c r="H216" s="11">
        <f>SUMIFS(X!$F$3:$F$5978,X!$D$3:$D$5978,'Current Stock'!A216)</f>
        <v>0</v>
      </c>
      <c r="I216" s="11">
        <f>SUMIFS(PENJUALAN!$E$4:$E$3651,PENJUALAN!$C$4:$C$3651,'Current Stock'!A216)</f>
        <v>0</v>
      </c>
      <c r="J216" s="15">
        <f t="shared" si="2"/>
        <v>0</v>
      </c>
      <c r="K216" s="11"/>
      <c r="L216" s="11"/>
      <c r="M216" s="11"/>
      <c r="N216" s="11"/>
      <c r="O216" s="17"/>
      <c r="P216" s="17"/>
    </row>
    <row r="217" ht="13.5" customHeight="1">
      <c r="A217" s="11" t="str">
        <f t="shared" si="1"/>
        <v>LFW-CIVIC96FY</v>
      </c>
      <c r="B217" s="32" t="s">
        <v>391</v>
      </c>
      <c r="C217" s="33" t="s">
        <v>392</v>
      </c>
      <c r="D217" s="33" t="s">
        <v>60</v>
      </c>
      <c r="E217" s="11" t="s">
        <v>123</v>
      </c>
      <c r="F217" s="33" t="s">
        <v>109</v>
      </c>
      <c r="G217" s="11"/>
      <c r="H217" s="11">
        <f>SUMIFS(X!$F$3:$F$5978,X!$D$3:$D$5978,'Current Stock'!A217)</f>
        <v>0</v>
      </c>
      <c r="I217" s="11">
        <f>SUMIFS(PENJUALAN!$E$4:$E$3651,PENJUALAN!$C$4:$C$3651,'Current Stock'!A217)</f>
        <v>0</v>
      </c>
      <c r="J217" s="15">
        <f t="shared" si="2"/>
        <v>0</v>
      </c>
      <c r="K217" s="11"/>
      <c r="L217" s="11"/>
      <c r="M217" s="11"/>
      <c r="N217" s="11"/>
      <c r="O217" s="17"/>
      <c r="P217" s="17"/>
    </row>
    <row r="218" ht="13.5" customHeight="1">
      <c r="A218" s="11" t="str">
        <f t="shared" si="1"/>
        <v>TRW-CIVIC96FY</v>
      </c>
      <c r="B218" s="32" t="s">
        <v>393</v>
      </c>
      <c r="C218" s="33" t="s">
        <v>392</v>
      </c>
      <c r="D218" s="33" t="s">
        <v>62</v>
      </c>
      <c r="E218" s="11" t="s">
        <v>123</v>
      </c>
      <c r="F218" s="33" t="s">
        <v>83</v>
      </c>
      <c r="G218" s="11"/>
      <c r="H218" s="11">
        <f>SUMIFS(X!$F$3:$F$5978,X!$D$3:$D$5978,'Current Stock'!A218)</f>
        <v>0</v>
      </c>
      <c r="I218" s="11">
        <f>SUMIFS(PENJUALAN!$E$4:$E$3651,PENJUALAN!$C$4:$C$3651,'Current Stock'!A218)</f>
        <v>0</v>
      </c>
      <c r="J218" s="15">
        <f t="shared" si="2"/>
        <v>0</v>
      </c>
      <c r="K218" s="11"/>
      <c r="L218" s="11"/>
      <c r="M218" s="11"/>
      <c r="N218" s="11"/>
      <c r="O218" s="17"/>
      <c r="P218" s="17"/>
    </row>
    <row r="219" ht="13.5" customHeight="1">
      <c r="A219" s="11" t="str">
        <f t="shared" si="1"/>
        <v>RDR-CIVIC96FY</v>
      </c>
      <c r="B219" s="32" t="s">
        <v>394</v>
      </c>
      <c r="C219" s="33" t="s">
        <v>392</v>
      </c>
      <c r="D219" s="33" t="s">
        <v>146</v>
      </c>
      <c r="E219" s="11" t="s">
        <v>123</v>
      </c>
      <c r="F219" s="33"/>
      <c r="G219" s="11"/>
      <c r="H219" s="11">
        <f>SUMIFS(X!$F$3:$F$5978,X!$D$3:$D$5978,'Current Stock'!A219)</f>
        <v>0</v>
      </c>
      <c r="I219" s="11">
        <f>SUMIFS(PENJUALAN!$E$4:$E$3651,PENJUALAN!$C$4:$C$3651,'Current Stock'!A219)</f>
        <v>0</v>
      </c>
      <c r="J219" s="15">
        <f t="shared" si="2"/>
        <v>0</v>
      </c>
      <c r="K219" s="11"/>
      <c r="L219" s="11"/>
      <c r="M219" s="11"/>
      <c r="N219" s="11"/>
      <c r="O219" s="17"/>
      <c r="P219" s="17"/>
    </row>
    <row r="220" ht="13.5" customHeight="1">
      <c r="A220" s="11" t="str">
        <f t="shared" si="1"/>
        <v>RVL-CIVIC96FY</v>
      </c>
      <c r="B220" s="32" t="s">
        <v>395</v>
      </c>
      <c r="C220" s="33" t="s">
        <v>392</v>
      </c>
      <c r="D220" s="33" t="s">
        <v>396</v>
      </c>
      <c r="E220" s="11" t="s">
        <v>123</v>
      </c>
      <c r="F220" s="33" t="s">
        <v>109</v>
      </c>
      <c r="G220" s="11"/>
      <c r="H220" s="11">
        <f>SUMIFS(X!$F$3:$F$5978,X!$D$3:$D$5978,'Current Stock'!A220)</f>
        <v>0</v>
      </c>
      <c r="I220" s="11">
        <f>SUMIFS(PENJUALAN!$E$4:$E$3651,PENJUALAN!$C$4:$C$3651,'Current Stock'!A220)</f>
        <v>0</v>
      </c>
      <c r="J220" s="15">
        <f t="shared" si="2"/>
        <v>0</v>
      </c>
      <c r="K220" s="11"/>
      <c r="L220" s="11"/>
      <c r="M220" s="11"/>
      <c r="N220" s="11"/>
      <c r="O220" s="17"/>
      <c r="P220" s="17"/>
    </row>
    <row r="221" ht="13.5" customHeight="1">
      <c r="A221" s="11" t="str">
        <f t="shared" si="1"/>
        <v>RVR-CIVIC96FY</v>
      </c>
      <c r="B221" s="32" t="s">
        <v>397</v>
      </c>
      <c r="C221" s="33" t="s">
        <v>392</v>
      </c>
      <c r="D221" s="33" t="s">
        <v>398</v>
      </c>
      <c r="E221" s="11" t="s">
        <v>123</v>
      </c>
      <c r="F221" s="33" t="s">
        <v>109</v>
      </c>
      <c r="G221" s="11"/>
      <c r="H221" s="11">
        <f>SUMIFS(X!$F$3:$F$5978,X!$D$3:$D$5978,'Current Stock'!A221)</f>
        <v>0</v>
      </c>
      <c r="I221" s="11">
        <f>SUMIFS(PENJUALAN!$E$4:$E$3651,PENJUALAN!$C$4:$C$3651,'Current Stock'!A221)</f>
        <v>0</v>
      </c>
      <c r="J221" s="15">
        <f t="shared" si="2"/>
        <v>0</v>
      </c>
      <c r="K221" s="11"/>
      <c r="L221" s="11"/>
      <c r="M221" s="11"/>
      <c r="N221" s="11"/>
      <c r="O221" s="17"/>
      <c r="P221" s="17"/>
    </row>
    <row r="222" ht="13.5" customHeight="1">
      <c r="A222" s="11" t="str">
        <f t="shared" si="1"/>
        <v>LFW-CIVIC00FY</v>
      </c>
      <c r="B222" s="32" t="s">
        <v>399</v>
      </c>
      <c r="C222" s="33" t="s">
        <v>400</v>
      </c>
      <c r="D222" s="33" t="s">
        <v>60</v>
      </c>
      <c r="E222" s="11" t="s">
        <v>123</v>
      </c>
      <c r="F222" s="33" t="s">
        <v>109</v>
      </c>
      <c r="G222" s="11"/>
      <c r="H222" s="11">
        <f>SUMIFS(X!$F$3:$F$5978,X!$D$3:$D$5978,'Current Stock'!A222)</f>
        <v>0</v>
      </c>
      <c r="I222" s="11">
        <f>SUMIFS(PENJUALAN!$E$4:$E$3651,PENJUALAN!$C$4:$C$3651,'Current Stock'!A222)</f>
        <v>0</v>
      </c>
      <c r="J222" s="15">
        <f t="shared" si="2"/>
        <v>0</v>
      </c>
      <c r="K222" s="11"/>
      <c r="L222" s="11"/>
      <c r="M222" s="11"/>
      <c r="N222" s="11"/>
      <c r="O222" s="17"/>
      <c r="P222" s="17"/>
    </row>
    <row r="223" ht="13.5" customHeight="1">
      <c r="A223" s="11" t="str">
        <f t="shared" si="1"/>
        <v>TRW-CIVIC00FY</v>
      </c>
      <c r="B223" s="32" t="s">
        <v>401</v>
      </c>
      <c r="C223" s="33" t="s">
        <v>400</v>
      </c>
      <c r="D223" s="33" t="s">
        <v>62</v>
      </c>
      <c r="E223" s="11" t="s">
        <v>123</v>
      </c>
      <c r="F223" s="33" t="s">
        <v>126</v>
      </c>
      <c r="G223" s="11"/>
      <c r="H223" s="11">
        <f>SUMIFS(X!$F$3:$F$5978,X!$D$3:$D$5978,'Current Stock'!A223)</f>
        <v>0</v>
      </c>
      <c r="I223" s="11">
        <f>SUMIFS(PENJUALAN!$E$4:$E$3651,PENJUALAN!$C$4:$C$3651,'Current Stock'!A223)</f>
        <v>0</v>
      </c>
      <c r="J223" s="15">
        <f t="shared" si="2"/>
        <v>0</v>
      </c>
      <c r="K223" s="11"/>
      <c r="L223" s="11"/>
      <c r="M223" s="11"/>
      <c r="N223" s="11"/>
      <c r="O223" s="17"/>
      <c r="P223" s="17"/>
    </row>
    <row r="224" ht="13.5" customHeight="1">
      <c r="A224" s="11" t="str">
        <f t="shared" si="1"/>
        <v>LFW-CIVIC05FY</v>
      </c>
      <c r="B224" s="32" t="s">
        <v>402</v>
      </c>
      <c r="C224" s="33" t="s">
        <v>403</v>
      </c>
      <c r="D224" s="33" t="s">
        <v>60</v>
      </c>
      <c r="E224" s="11" t="s">
        <v>123</v>
      </c>
      <c r="F224" s="33" t="s">
        <v>137</v>
      </c>
      <c r="G224" s="11"/>
      <c r="H224" s="11">
        <f>SUMIFS(X!$F$3:$F$5978,X!$D$3:$D$5978,'Current Stock'!A224)</f>
        <v>0</v>
      </c>
      <c r="I224" s="11">
        <f>SUMIFS(PENJUALAN!$E$4:$E$3651,PENJUALAN!$C$4:$C$3651,'Current Stock'!A224)</f>
        <v>0</v>
      </c>
      <c r="J224" s="15">
        <f t="shared" si="2"/>
        <v>0</v>
      </c>
      <c r="K224" s="11"/>
      <c r="L224" s="11"/>
      <c r="M224" s="11"/>
      <c r="N224" s="11"/>
      <c r="O224" s="17"/>
      <c r="P224" s="17"/>
    </row>
    <row r="225" ht="13.5" customHeight="1">
      <c r="A225" s="11" t="str">
        <f t="shared" si="1"/>
        <v>TRW-CIVIC05FY</v>
      </c>
      <c r="B225" s="32" t="s">
        <v>404</v>
      </c>
      <c r="C225" s="33" t="s">
        <v>403</v>
      </c>
      <c r="D225" s="33" t="s">
        <v>62</v>
      </c>
      <c r="E225" s="11" t="s">
        <v>123</v>
      </c>
      <c r="F225" s="33" t="s">
        <v>83</v>
      </c>
      <c r="G225" s="11"/>
      <c r="H225" s="11">
        <f>SUMIFS(X!$F$3:$F$5978,X!$D$3:$D$5978,'Current Stock'!A225)</f>
        <v>0</v>
      </c>
      <c r="I225" s="11">
        <f>SUMIFS(PENJUALAN!$E$4:$E$3651,PENJUALAN!$C$4:$C$3651,'Current Stock'!A225)</f>
        <v>0</v>
      </c>
      <c r="J225" s="15">
        <f t="shared" si="2"/>
        <v>0</v>
      </c>
      <c r="K225" s="11"/>
      <c r="L225" s="11"/>
      <c r="M225" s="11"/>
      <c r="N225" s="11"/>
      <c r="O225" s="17"/>
      <c r="P225" s="17"/>
    </row>
    <row r="226" ht="13.5" customHeight="1">
      <c r="A226" s="11" t="str">
        <f t="shared" si="1"/>
        <v>FDL-CIVIC05FY</v>
      </c>
      <c r="B226" s="32" t="s">
        <v>405</v>
      </c>
      <c r="C226" s="33" t="s">
        <v>403</v>
      </c>
      <c r="D226" s="33" t="s">
        <v>140</v>
      </c>
      <c r="E226" s="11" t="s">
        <v>123</v>
      </c>
      <c r="F226" s="33" t="s">
        <v>406</v>
      </c>
      <c r="G226" s="11"/>
      <c r="H226" s="11">
        <f>SUMIFS(X!$F$3:$F$5978,X!$D$3:$D$5978,'Current Stock'!A226)</f>
        <v>0</v>
      </c>
      <c r="I226" s="11">
        <f>SUMIFS(PENJUALAN!$E$4:$E$3651,PENJUALAN!$C$4:$C$3651,'Current Stock'!A226)</f>
        <v>0</v>
      </c>
      <c r="J226" s="15">
        <f t="shared" si="2"/>
        <v>0</v>
      </c>
      <c r="K226" s="11"/>
      <c r="L226" s="11"/>
      <c r="M226" s="11"/>
      <c r="N226" s="11"/>
      <c r="O226" s="17"/>
      <c r="P226" s="17"/>
    </row>
    <row r="227" ht="13.5" customHeight="1">
      <c r="A227" s="11" t="str">
        <f t="shared" si="1"/>
        <v>FDR-CIVIC05FY</v>
      </c>
      <c r="B227" s="32" t="s">
        <v>407</v>
      </c>
      <c r="C227" s="33" t="s">
        <v>403</v>
      </c>
      <c r="D227" s="33" t="s">
        <v>142</v>
      </c>
      <c r="E227" s="11" t="s">
        <v>123</v>
      </c>
      <c r="F227" s="33" t="s">
        <v>406</v>
      </c>
      <c r="G227" s="11"/>
      <c r="H227" s="11">
        <f>SUMIFS(X!$F$3:$F$5978,X!$D$3:$D$5978,'Current Stock'!A227)</f>
        <v>0</v>
      </c>
      <c r="I227" s="11">
        <f>SUMIFS(PENJUALAN!$E$4:$E$3651,PENJUALAN!$C$4:$C$3651,'Current Stock'!A227)</f>
        <v>0</v>
      </c>
      <c r="J227" s="15">
        <f t="shared" si="2"/>
        <v>0</v>
      </c>
      <c r="K227" s="11"/>
      <c r="L227" s="11"/>
      <c r="M227" s="11"/>
      <c r="N227" s="11"/>
      <c r="O227" s="17"/>
      <c r="P227" s="17"/>
    </row>
    <row r="228" ht="13.5" customHeight="1">
      <c r="A228" s="11" t="str">
        <f t="shared" si="1"/>
        <v>FVL-CIVIC05FY</v>
      </c>
      <c r="B228" s="32" t="s">
        <v>408</v>
      </c>
      <c r="C228" s="33" t="s">
        <v>403</v>
      </c>
      <c r="D228" s="33" t="s">
        <v>409</v>
      </c>
      <c r="E228" s="11" t="s">
        <v>123</v>
      </c>
      <c r="F228" s="33" t="s">
        <v>109</v>
      </c>
      <c r="G228" s="11"/>
      <c r="H228" s="11">
        <f>SUMIFS(X!$F$3:$F$5978,X!$D$3:$D$5978,'Current Stock'!A228)</f>
        <v>0</v>
      </c>
      <c r="I228" s="11">
        <f>SUMIFS(PENJUALAN!$E$4:$E$3651,PENJUALAN!$C$4:$C$3651,'Current Stock'!A228)</f>
        <v>0</v>
      </c>
      <c r="J228" s="15">
        <f t="shared" si="2"/>
        <v>0</v>
      </c>
      <c r="K228" s="11"/>
      <c r="L228" s="11"/>
      <c r="M228" s="11"/>
      <c r="N228" s="11"/>
      <c r="O228" s="17"/>
      <c r="P228" s="17"/>
    </row>
    <row r="229" ht="13.5" customHeight="1">
      <c r="A229" s="11" t="str">
        <f t="shared" si="1"/>
        <v>FVR-CIVIC05FY</v>
      </c>
      <c r="B229" s="32" t="s">
        <v>410</v>
      </c>
      <c r="C229" s="33" t="s">
        <v>403</v>
      </c>
      <c r="D229" s="33" t="s">
        <v>411</v>
      </c>
      <c r="E229" s="11" t="s">
        <v>123</v>
      </c>
      <c r="F229" s="33" t="s">
        <v>109</v>
      </c>
      <c r="G229" s="11"/>
      <c r="H229" s="11">
        <f>SUMIFS(X!$F$3:$F$5978,X!$D$3:$D$5978,'Current Stock'!A229)</f>
        <v>0</v>
      </c>
      <c r="I229" s="11">
        <f>SUMIFS(PENJUALAN!$E$4:$E$3651,PENJUALAN!$C$4:$C$3651,'Current Stock'!A229)</f>
        <v>0</v>
      </c>
      <c r="J229" s="15">
        <f t="shared" si="2"/>
        <v>0</v>
      </c>
      <c r="K229" s="11"/>
      <c r="L229" s="11"/>
      <c r="M229" s="11"/>
      <c r="N229" s="11"/>
      <c r="O229" s="17"/>
      <c r="P229" s="17"/>
    </row>
    <row r="230" ht="13.5" customHeight="1">
      <c r="A230" s="11" t="str">
        <f t="shared" si="1"/>
        <v>RVL-CIVIC05FY</v>
      </c>
      <c r="B230" s="32" t="s">
        <v>412</v>
      </c>
      <c r="C230" s="33" t="s">
        <v>403</v>
      </c>
      <c r="D230" s="33" t="s">
        <v>396</v>
      </c>
      <c r="E230" s="11" t="s">
        <v>123</v>
      </c>
      <c r="F230" s="33"/>
      <c r="G230" s="11"/>
      <c r="H230" s="11">
        <f>SUMIFS(X!$F$3:$F$5978,X!$D$3:$D$5978,'Current Stock'!A230)</f>
        <v>0</v>
      </c>
      <c r="I230" s="11">
        <f>SUMIFS(PENJUALAN!$E$4:$E$3651,PENJUALAN!$C$4:$C$3651,'Current Stock'!A230)</f>
        <v>0</v>
      </c>
      <c r="J230" s="15">
        <f t="shared" si="2"/>
        <v>0</v>
      </c>
      <c r="K230" s="11"/>
      <c r="L230" s="11"/>
      <c r="M230" s="11"/>
      <c r="N230" s="11"/>
      <c r="O230" s="17"/>
      <c r="P230" s="17"/>
    </row>
    <row r="231" ht="13.5" customHeight="1">
      <c r="A231" s="11" t="str">
        <f t="shared" si="1"/>
        <v>RVR-CIVIC05FY</v>
      </c>
      <c r="B231" s="32" t="s">
        <v>413</v>
      </c>
      <c r="C231" s="33" t="s">
        <v>403</v>
      </c>
      <c r="D231" s="33" t="s">
        <v>398</v>
      </c>
      <c r="E231" s="11" t="s">
        <v>123</v>
      </c>
      <c r="F231" s="33"/>
      <c r="G231" s="11"/>
      <c r="H231" s="11">
        <f>SUMIFS(X!$F$3:$F$5978,X!$D$3:$D$5978,'Current Stock'!A231)</f>
        <v>0</v>
      </c>
      <c r="I231" s="11">
        <f>SUMIFS(PENJUALAN!$E$4:$E$3651,PENJUALAN!$C$4:$C$3651,'Current Stock'!A231)</f>
        <v>0</v>
      </c>
      <c r="J231" s="15">
        <f t="shared" si="2"/>
        <v>0</v>
      </c>
      <c r="K231" s="11"/>
      <c r="L231" s="11"/>
      <c r="M231" s="11"/>
      <c r="N231" s="11"/>
      <c r="O231" s="17"/>
      <c r="P231" s="17"/>
    </row>
    <row r="232" ht="13.5" customHeight="1">
      <c r="A232" s="11" t="str">
        <f t="shared" si="1"/>
        <v>LFW-CIVIC11FY</v>
      </c>
      <c r="B232" s="32" t="s">
        <v>414</v>
      </c>
      <c r="C232" s="33" t="s">
        <v>415</v>
      </c>
      <c r="D232" s="33" t="s">
        <v>60</v>
      </c>
      <c r="E232" s="11" t="s">
        <v>123</v>
      </c>
      <c r="F232" s="33" t="s">
        <v>137</v>
      </c>
      <c r="G232" s="11"/>
      <c r="H232" s="11">
        <f>SUMIFS(X!$F$3:$F$5978,X!$D$3:$D$5978,'Current Stock'!A232)</f>
        <v>0</v>
      </c>
      <c r="I232" s="11">
        <f>SUMIFS(PENJUALAN!$E$4:$E$3651,PENJUALAN!$C$4:$C$3651,'Current Stock'!A232)</f>
        <v>0</v>
      </c>
      <c r="J232" s="15">
        <f t="shared" si="2"/>
        <v>0</v>
      </c>
      <c r="K232" s="11"/>
      <c r="L232" s="11"/>
      <c r="M232" s="11"/>
      <c r="N232" s="11"/>
      <c r="O232" s="17"/>
      <c r="P232" s="17"/>
    </row>
    <row r="233" ht="13.5" customHeight="1">
      <c r="A233" s="11" t="str">
        <f t="shared" si="1"/>
        <v>TRW-CIVIC11FY</v>
      </c>
      <c r="B233" s="32" t="s">
        <v>416</v>
      </c>
      <c r="C233" s="33" t="s">
        <v>415</v>
      </c>
      <c r="D233" s="33" t="s">
        <v>62</v>
      </c>
      <c r="E233" s="11" t="s">
        <v>123</v>
      </c>
      <c r="F233" s="33" t="s">
        <v>126</v>
      </c>
      <c r="G233" s="11"/>
      <c r="H233" s="11">
        <f>SUMIFS(X!$F$3:$F$5978,X!$D$3:$D$5978,'Current Stock'!A233)</f>
        <v>0</v>
      </c>
      <c r="I233" s="11">
        <f>SUMIFS(PENJUALAN!$E$4:$E$3651,PENJUALAN!$C$4:$C$3651,'Current Stock'!A233)</f>
        <v>0</v>
      </c>
      <c r="J233" s="15">
        <f t="shared" si="2"/>
        <v>0</v>
      </c>
      <c r="K233" s="11"/>
      <c r="L233" s="11"/>
      <c r="M233" s="11"/>
      <c r="N233" s="11"/>
      <c r="O233" s="17"/>
      <c r="P233" s="17"/>
    </row>
    <row r="234" ht="13.5" customHeight="1">
      <c r="A234" s="11" t="str">
        <f t="shared" si="1"/>
        <v>TRW-CIVIC16SEDFY</v>
      </c>
      <c r="B234" s="32" t="s">
        <v>417</v>
      </c>
      <c r="C234" s="33" t="s">
        <v>418</v>
      </c>
      <c r="D234" s="33" t="s">
        <v>62</v>
      </c>
      <c r="E234" s="11" t="s">
        <v>123</v>
      </c>
      <c r="F234" s="33" t="s">
        <v>126</v>
      </c>
      <c r="G234" s="11"/>
      <c r="H234" s="11">
        <f>SUMIFS(X!$F$3:$F$5978,X!$D$3:$D$5978,'Current Stock'!A234)</f>
        <v>0</v>
      </c>
      <c r="I234" s="11">
        <f>SUMIFS(PENJUALAN!$E$4:$E$3651,PENJUALAN!$C$4:$C$3651,'Current Stock'!A234)</f>
        <v>0</v>
      </c>
      <c r="J234" s="15">
        <f t="shared" si="2"/>
        <v>0</v>
      </c>
      <c r="K234" s="11"/>
      <c r="L234" s="11"/>
      <c r="M234" s="11"/>
      <c r="N234" s="11"/>
      <c r="O234" s="17"/>
      <c r="P234" s="17"/>
    </row>
    <row r="235" ht="13.5" customHeight="1">
      <c r="A235" s="11" t="str">
        <f t="shared" si="1"/>
        <v>LFW-CRV95FY</v>
      </c>
      <c r="B235" s="32" t="s">
        <v>419</v>
      </c>
      <c r="C235" s="33" t="s">
        <v>420</v>
      </c>
      <c r="D235" s="33" t="s">
        <v>60</v>
      </c>
      <c r="E235" s="11" t="s">
        <v>123</v>
      </c>
      <c r="F235" s="33" t="s">
        <v>109</v>
      </c>
      <c r="G235" s="11"/>
      <c r="H235" s="11">
        <f>SUMIFS(X!$F$3:$F$5978,X!$D$3:$D$5978,'Current Stock'!A235)</f>
        <v>0</v>
      </c>
      <c r="I235" s="11">
        <f>SUMIFS(PENJUALAN!$E$4:$E$3651,PENJUALAN!$C$4:$C$3651,'Current Stock'!A235)</f>
        <v>0</v>
      </c>
      <c r="J235" s="15">
        <f t="shared" si="2"/>
        <v>0</v>
      </c>
      <c r="K235" s="11"/>
      <c r="L235" s="11"/>
      <c r="M235" s="11"/>
      <c r="N235" s="11"/>
      <c r="O235" s="17"/>
      <c r="P235" s="17"/>
    </row>
    <row r="236" ht="13.5" customHeight="1">
      <c r="A236" s="11" t="str">
        <f t="shared" si="1"/>
        <v>TRW-CRV95FY</v>
      </c>
      <c r="B236" s="32" t="s">
        <v>421</v>
      </c>
      <c r="C236" s="33" t="s">
        <v>420</v>
      </c>
      <c r="D236" s="33" t="s">
        <v>62</v>
      </c>
      <c r="E236" s="11" t="s">
        <v>123</v>
      </c>
      <c r="F236" s="33" t="s">
        <v>382</v>
      </c>
      <c r="G236" s="11"/>
      <c r="H236" s="11">
        <f>SUMIFS(X!$F$3:$F$5978,X!$D$3:$D$5978,'Current Stock'!A236)</f>
        <v>0</v>
      </c>
      <c r="I236" s="11">
        <f>SUMIFS(PENJUALAN!$E$4:$E$3651,PENJUALAN!$C$4:$C$3651,'Current Stock'!A236)</f>
        <v>0</v>
      </c>
      <c r="J236" s="15">
        <f t="shared" si="2"/>
        <v>0</v>
      </c>
      <c r="K236" s="11"/>
      <c r="L236" s="11"/>
      <c r="M236" s="11"/>
      <c r="N236" s="11"/>
      <c r="O236" s="17"/>
      <c r="P236" s="17"/>
    </row>
    <row r="237" ht="13.5" customHeight="1">
      <c r="A237" s="11" t="str">
        <f t="shared" si="1"/>
        <v>FDL-CRV95FY</v>
      </c>
      <c r="B237" s="32" t="s">
        <v>422</v>
      </c>
      <c r="C237" s="33" t="s">
        <v>420</v>
      </c>
      <c r="D237" s="33" t="s">
        <v>140</v>
      </c>
      <c r="E237" s="11" t="s">
        <v>123</v>
      </c>
      <c r="F237" s="33"/>
      <c r="G237" s="11"/>
      <c r="H237" s="11">
        <f>SUMIFS(X!$F$3:$F$5978,X!$D$3:$D$5978,'Current Stock'!A237)</f>
        <v>0</v>
      </c>
      <c r="I237" s="11">
        <f>SUMIFS(PENJUALAN!$E$4:$E$3651,PENJUALAN!$C$4:$C$3651,'Current Stock'!A237)</f>
        <v>0</v>
      </c>
      <c r="J237" s="15">
        <f t="shared" si="2"/>
        <v>0</v>
      </c>
      <c r="K237" s="11"/>
      <c r="L237" s="11"/>
      <c r="M237" s="11"/>
      <c r="N237" s="11"/>
      <c r="O237" s="17"/>
      <c r="P237" s="17"/>
    </row>
    <row r="238" ht="13.5" customHeight="1">
      <c r="A238" s="11" t="str">
        <f t="shared" si="1"/>
        <v>FDR-CRV95FY</v>
      </c>
      <c r="B238" s="32" t="s">
        <v>423</v>
      </c>
      <c r="C238" s="33" t="s">
        <v>420</v>
      </c>
      <c r="D238" s="33" t="s">
        <v>142</v>
      </c>
      <c r="E238" s="11" t="s">
        <v>123</v>
      </c>
      <c r="F238" s="33"/>
      <c r="G238" s="11"/>
      <c r="H238" s="11">
        <f>SUMIFS(X!$F$3:$F$5978,X!$D$3:$D$5978,'Current Stock'!A238)</f>
        <v>0</v>
      </c>
      <c r="I238" s="11">
        <f>SUMIFS(PENJUALAN!$E$4:$E$3651,PENJUALAN!$C$4:$C$3651,'Current Stock'!A238)</f>
        <v>0</v>
      </c>
      <c r="J238" s="15">
        <f t="shared" si="2"/>
        <v>0</v>
      </c>
      <c r="K238" s="11"/>
      <c r="L238" s="11"/>
      <c r="M238" s="11"/>
      <c r="N238" s="11"/>
      <c r="O238" s="17"/>
      <c r="P238" s="17"/>
    </row>
    <row r="239" ht="13.5" customHeight="1">
      <c r="A239" s="11" t="str">
        <f t="shared" si="1"/>
        <v>RVL-CRV95FY</v>
      </c>
      <c r="B239" s="32" t="s">
        <v>424</v>
      </c>
      <c r="C239" s="33" t="s">
        <v>420</v>
      </c>
      <c r="D239" s="33" t="s">
        <v>396</v>
      </c>
      <c r="E239" s="11" t="s">
        <v>123</v>
      </c>
      <c r="F239" s="33"/>
      <c r="G239" s="11"/>
      <c r="H239" s="11">
        <f>SUMIFS(X!$F$3:$F$5978,X!$D$3:$D$5978,'Current Stock'!A239)</f>
        <v>0</v>
      </c>
      <c r="I239" s="11">
        <f>SUMIFS(PENJUALAN!$E$4:$E$3651,PENJUALAN!$C$4:$C$3651,'Current Stock'!A239)</f>
        <v>0</v>
      </c>
      <c r="J239" s="15">
        <f t="shared" si="2"/>
        <v>0</v>
      </c>
      <c r="K239" s="11"/>
      <c r="L239" s="11"/>
      <c r="M239" s="11"/>
      <c r="N239" s="11"/>
      <c r="O239" s="17"/>
      <c r="P239" s="17"/>
    </row>
    <row r="240" ht="13.5" customHeight="1">
      <c r="A240" s="11" t="str">
        <f t="shared" si="1"/>
        <v>RVR-CRV95FY</v>
      </c>
      <c r="B240" s="32" t="s">
        <v>425</v>
      </c>
      <c r="C240" s="33" t="s">
        <v>420</v>
      </c>
      <c r="D240" s="33" t="s">
        <v>398</v>
      </c>
      <c r="E240" s="11" t="s">
        <v>123</v>
      </c>
      <c r="F240" s="33"/>
      <c r="G240" s="11"/>
      <c r="H240" s="11">
        <f>SUMIFS(X!$F$3:$F$5978,X!$D$3:$D$5978,'Current Stock'!A240)</f>
        <v>0</v>
      </c>
      <c r="I240" s="11">
        <f>SUMIFS(PENJUALAN!$E$4:$E$3651,PENJUALAN!$C$4:$C$3651,'Current Stock'!A240)</f>
        <v>0</v>
      </c>
      <c r="J240" s="15">
        <f t="shared" si="2"/>
        <v>0</v>
      </c>
      <c r="K240" s="11"/>
      <c r="L240" s="11"/>
      <c r="M240" s="11"/>
      <c r="N240" s="11"/>
      <c r="O240" s="17"/>
      <c r="P240" s="17"/>
    </row>
    <row r="241" ht="13.5" customHeight="1">
      <c r="A241" s="11" t="str">
        <f t="shared" si="1"/>
        <v>SWL-CRV95FY</v>
      </c>
      <c r="B241" s="32" t="s">
        <v>426</v>
      </c>
      <c r="C241" s="33" t="s">
        <v>420</v>
      </c>
      <c r="D241" s="33" t="s">
        <v>209</v>
      </c>
      <c r="E241" s="11" t="s">
        <v>123</v>
      </c>
      <c r="F241" s="33" t="s">
        <v>109</v>
      </c>
      <c r="G241" s="11"/>
      <c r="H241" s="11">
        <f>SUMIFS(X!$F$3:$F$5978,X!$D$3:$D$5978,'Current Stock'!A241)</f>
        <v>0</v>
      </c>
      <c r="I241" s="11">
        <f>SUMIFS(PENJUALAN!$E$4:$E$3651,PENJUALAN!$C$4:$C$3651,'Current Stock'!A241)</f>
        <v>0</v>
      </c>
      <c r="J241" s="15">
        <f t="shared" si="2"/>
        <v>0</v>
      </c>
      <c r="K241" s="11"/>
      <c r="L241" s="11"/>
      <c r="M241" s="11"/>
      <c r="N241" s="11"/>
      <c r="O241" s="17"/>
      <c r="P241" s="17"/>
    </row>
    <row r="242" ht="13.5" customHeight="1">
      <c r="A242" s="11" t="str">
        <f t="shared" si="1"/>
        <v>SWR-CRV95FY</v>
      </c>
      <c r="B242" s="32" t="s">
        <v>427</v>
      </c>
      <c r="C242" s="33" t="s">
        <v>420</v>
      </c>
      <c r="D242" s="33" t="s">
        <v>243</v>
      </c>
      <c r="E242" s="11" t="s">
        <v>123</v>
      </c>
      <c r="F242" s="33" t="s">
        <v>109</v>
      </c>
      <c r="G242" s="11"/>
      <c r="H242" s="11">
        <f>SUMIFS(X!$F$3:$F$5978,X!$D$3:$D$5978,'Current Stock'!A242)</f>
        <v>0</v>
      </c>
      <c r="I242" s="11">
        <f>SUMIFS(PENJUALAN!$E$4:$E$3651,PENJUALAN!$C$4:$C$3651,'Current Stock'!A242)</f>
        <v>0</v>
      </c>
      <c r="J242" s="15">
        <f t="shared" si="2"/>
        <v>0</v>
      </c>
      <c r="K242" s="11"/>
      <c r="L242" s="11"/>
      <c r="M242" s="11"/>
      <c r="N242" s="11"/>
      <c r="O242" s="17"/>
      <c r="P242" s="17"/>
    </row>
    <row r="243" ht="13.5" customHeight="1">
      <c r="A243" s="11" t="str">
        <f t="shared" si="1"/>
        <v>LFW-CRV02FY</v>
      </c>
      <c r="B243" s="32" t="s">
        <v>428</v>
      </c>
      <c r="C243" s="33" t="s">
        <v>429</v>
      </c>
      <c r="D243" s="33" t="s">
        <v>60</v>
      </c>
      <c r="E243" s="11" t="s">
        <v>123</v>
      </c>
      <c r="F243" s="33" t="s">
        <v>137</v>
      </c>
      <c r="G243" s="14">
        <v>45988.0</v>
      </c>
      <c r="H243" s="11">
        <f>SUMIFS(X!$F$3:$F$5978,X!$D$3:$D$5978,'Current Stock'!A243)</f>
        <v>1</v>
      </c>
      <c r="I243" s="11">
        <f>SUMIFS(PENJUALAN!$E$4:$E$3651,PENJUALAN!$C$4:$C$3651,'Current Stock'!A243)</f>
        <v>0</v>
      </c>
      <c r="J243" s="15">
        <f t="shared" si="2"/>
        <v>1</v>
      </c>
      <c r="K243" s="13" t="s">
        <v>430</v>
      </c>
      <c r="L243" s="13"/>
      <c r="M243" s="11"/>
      <c r="N243" s="11"/>
      <c r="O243" s="17"/>
      <c r="P243" s="17"/>
    </row>
    <row r="244" ht="13.5" customHeight="1">
      <c r="A244" s="11" t="str">
        <f t="shared" si="1"/>
        <v>LFW-CRV05FY</v>
      </c>
      <c r="B244" s="32" t="s">
        <v>431</v>
      </c>
      <c r="C244" s="33" t="s">
        <v>432</v>
      </c>
      <c r="D244" s="33" t="s">
        <v>60</v>
      </c>
      <c r="E244" s="11" t="s">
        <v>123</v>
      </c>
      <c r="F244" s="33" t="s">
        <v>137</v>
      </c>
      <c r="G244" s="11"/>
      <c r="H244" s="11">
        <f>SUMIFS(X!$F$3:$F$5978,X!$D$3:$D$5978,'Current Stock'!A244)</f>
        <v>0</v>
      </c>
      <c r="I244" s="11">
        <f>SUMIFS(PENJUALAN!$E$4:$E$3651,PENJUALAN!$C$4:$C$3651,'Current Stock'!A244)</f>
        <v>0</v>
      </c>
      <c r="J244" s="15">
        <f t="shared" si="2"/>
        <v>0</v>
      </c>
      <c r="K244" s="11"/>
      <c r="L244" s="11"/>
      <c r="M244" s="11"/>
      <c r="N244" s="11"/>
      <c r="O244" s="17"/>
      <c r="P244" s="17"/>
    </row>
    <row r="245" ht="13.5" customHeight="1">
      <c r="A245" s="11" t="str">
        <f t="shared" si="1"/>
        <v>TRW-CRV02FY</v>
      </c>
      <c r="B245" s="32" t="s">
        <v>433</v>
      </c>
      <c r="C245" s="33" t="s">
        <v>434</v>
      </c>
      <c r="D245" s="33" t="s">
        <v>62</v>
      </c>
      <c r="E245" s="11" t="s">
        <v>123</v>
      </c>
      <c r="F245" s="33" t="s">
        <v>234</v>
      </c>
      <c r="G245" s="11"/>
      <c r="H245" s="11">
        <f>SUMIFS(X!$F$3:$F$5978,X!$D$3:$D$5978,'Current Stock'!A245)</f>
        <v>0</v>
      </c>
      <c r="I245" s="11">
        <f>SUMIFS(PENJUALAN!$E$4:$E$3651,PENJUALAN!$C$4:$C$3651,'Current Stock'!A245)</f>
        <v>0</v>
      </c>
      <c r="J245" s="15">
        <f t="shared" si="2"/>
        <v>0</v>
      </c>
      <c r="K245" s="11"/>
      <c r="L245" s="11"/>
      <c r="M245" s="11"/>
      <c r="N245" s="11"/>
      <c r="O245" s="17"/>
      <c r="P245" s="17"/>
    </row>
    <row r="246" ht="13.5" customHeight="1">
      <c r="A246" s="11" t="str">
        <f t="shared" si="1"/>
        <v>RDL-CRV02FY</v>
      </c>
      <c r="B246" s="32" t="s">
        <v>435</v>
      </c>
      <c r="C246" s="33" t="s">
        <v>434</v>
      </c>
      <c r="D246" s="33" t="s">
        <v>144</v>
      </c>
      <c r="E246" s="11" t="s">
        <v>123</v>
      </c>
      <c r="F246" s="33"/>
      <c r="G246" s="11"/>
      <c r="H246" s="11">
        <f>SUMIFS(X!$F$3:$F$5978,X!$D$3:$D$5978,'Current Stock'!A246)</f>
        <v>0</v>
      </c>
      <c r="I246" s="11">
        <f>SUMIFS(PENJUALAN!$E$4:$E$3651,PENJUALAN!$C$4:$C$3651,'Current Stock'!A246)</f>
        <v>0</v>
      </c>
      <c r="J246" s="15">
        <f t="shared" si="2"/>
        <v>0</v>
      </c>
      <c r="K246" s="11"/>
      <c r="L246" s="11"/>
      <c r="M246" s="11"/>
      <c r="N246" s="11"/>
      <c r="O246" s="17"/>
      <c r="P246" s="17"/>
    </row>
    <row r="247" ht="13.5" customHeight="1">
      <c r="A247" s="11" t="str">
        <f t="shared" si="1"/>
        <v>RDR-CRV02FY</v>
      </c>
      <c r="B247" s="32" t="s">
        <v>436</v>
      </c>
      <c r="C247" s="33" t="s">
        <v>434</v>
      </c>
      <c r="D247" s="33" t="s">
        <v>146</v>
      </c>
      <c r="E247" s="11" t="s">
        <v>123</v>
      </c>
      <c r="F247" s="33"/>
      <c r="G247" s="11"/>
      <c r="H247" s="11">
        <f>SUMIFS(X!$F$3:$F$5978,X!$D$3:$D$5978,'Current Stock'!A247)</f>
        <v>0</v>
      </c>
      <c r="I247" s="11">
        <f>SUMIFS(PENJUALAN!$E$4:$E$3651,PENJUALAN!$C$4:$C$3651,'Current Stock'!A247)</f>
        <v>0</v>
      </c>
      <c r="J247" s="15">
        <f t="shared" si="2"/>
        <v>0</v>
      </c>
      <c r="K247" s="11"/>
      <c r="L247" s="11"/>
      <c r="M247" s="11"/>
      <c r="N247" s="11"/>
      <c r="O247" s="17"/>
      <c r="P247" s="17"/>
    </row>
    <row r="248" ht="13.5" customHeight="1">
      <c r="A248" s="11" t="str">
        <f t="shared" si="1"/>
        <v>SWL-CRV02FY</v>
      </c>
      <c r="B248" s="32" t="s">
        <v>437</v>
      </c>
      <c r="C248" s="33" t="s">
        <v>434</v>
      </c>
      <c r="D248" s="33" t="s">
        <v>209</v>
      </c>
      <c r="E248" s="11" t="s">
        <v>123</v>
      </c>
      <c r="F248" s="33" t="s">
        <v>109</v>
      </c>
      <c r="G248" s="11"/>
      <c r="H248" s="11">
        <f>SUMIFS(X!$F$3:$F$5978,X!$D$3:$D$5978,'Current Stock'!A248)</f>
        <v>0</v>
      </c>
      <c r="I248" s="11">
        <f>SUMIFS(PENJUALAN!$E$4:$E$3651,PENJUALAN!$C$4:$C$3651,'Current Stock'!A248)</f>
        <v>0</v>
      </c>
      <c r="J248" s="15">
        <f t="shared" si="2"/>
        <v>0</v>
      </c>
      <c r="K248" s="11"/>
      <c r="L248" s="11"/>
      <c r="M248" s="11"/>
      <c r="N248" s="11"/>
      <c r="O248" s="17"/>
      <c r="P248" s="17"/>
    </row>
    <row r="249" ht="13.5" customHeight="1">
      <c r="A249" s="11" t="str">
        <f t="shared" si="1"/>
        <v>SWR-CRV02FY</v>
      </c>
      <c r="B249" s="32" t="s">
        <v>438</v>
      </c>
      <c r="C249" s="33" t="s">
        <v>434</v>
      </c>
      <c r="D249" s="33" t="s">
        <v>243</v>
      </c>
      <c r="E249" s="11" t="s">
        <v>123</v>
      </c>
      <c r="F249" s="33" t="s">
        <v>109</v>
      </c>
      <c r="G249" s="11"/>
      <c r="H249" s="11">
        <f>SUMIFS(X!$F$3:$F$5978,X!$D$3:$D$5978,'Current Stock'!A249)</f>
        <v>0</v>
      </c>
      <c r="I249" s="11">
        <f>SUMIFS(PENJUALAN!$E$4:$E$3651,PENJUALAN!$C$4:$C$3651,'Current Stock'!A249)</f>
        <v>0</v>
      </c>
      <c r="J249" s="15">
        <f t="shared" si="2"/>
        <v>0</v>
      </c>
      <c r="K249" s="11"/>
      <c r="L249" s="11"/>
      <c r="M249" s="11"/>
      <c r="N249" s="11"/>
      <c r="O249" s="17"/>
      <c r="P249" s="17"/>
    </row>
    <row r="250" ht="13.5" customHeight="1">
      <c r="A250" s="11" t="str">
        <f t="shared" si="1"/>
        <v>LFW-CRV07FY</v>
      </c>
      <c r="B250" s="32" t="s">
        <v>439</v>
      </c>
      <c r="C250" s="33" t="s">
        <v>440</v>
      </c>
      <c r="D250" s="33" t="s">
        <v>60</v>
      </c>
      <c r="E250" s="11" t="s">
        <v>123</v>
      </c>
      <c r="F250" s="33" t="s">
        <v>137</v>
      </c>
      <c r="G250" s="11"/>
      <c r="H250" s="11">
        <f>SUMIFS(X!$F$3:$F$5978,X!$D$3:$D$5978,'Current Stock'!A250)</f>
        <v>0</v>
      </c>
      <c r="I250" s="11">
        <f>SUMIFS(PENJUALAN!$E$4:$E$3651,PENJUALAN!$C$4:$C$3651,'Current Stock'!A250)</f>
        <v>0</v>
      </c>
      <c r="J250" s="15">
        <f t="shared" si="2"/>
        <v>0</v>
      </c>
      <c r="K250" s="11"/>
      <c r="L250" s="11"/>
      <c r="M250" s="11"/>
      <c r="N250" s="11"/>
      <c r="O250" s="17"/>
      <c r="P250" s="17"/>
    </row>
    <row r="251" ht="13.5" customHeight="1">
      <c r="A251" s="11" t="str">
        <f t="shared" si="1"/>
        <v>TRW-CRV07FY</v>
      </c>
      <c r="B251" s="32" t="s">
        <v>441</v>
      </c>
      <c r="C251" s="33" t="s">
        <v>440</v>
      </c>
      <c r="D251" s="33" t="s">
        <v>62</v>
      </c>
      <c r="E251" s="11" t="s">
        <v>123</v>
      </c>
      <c r="F251" s="33" t="s">
        <v>442</v>
      </c>
      <c r="G251" s="11"/>
      <c r="H251" s="11">
        <f>SUMIFS(X!$F$3:$F$5978,X!$D$3:$D$5978,'Current Stock'!A251)</f>
        <v>0</v>
      </c>
      <c r="I251" s="11">
        <f>SUMIFS(PENJUALAN!$E$4:$E$3651,PENJUALAN!$C$4:$C$3651,'Current Stock'!A251)</f>
        <v>0</v>
      </c>
      <c r="J251" s="15">
        <f t="shared" si="2"/>
        <v>0</v>
      </c>
      <c r="K251" s="11"/>
      <c r="L251" s="11"/>
      <c r="M251" s="11"/>
      <c r="N251" s="11"/>
      <c r="O251" s="17"/>
      <c r="P251" s="17"/>
    </row>
    <row r="252" ht="13.5" customHeight="1">
      <c r="A252" s="11" t="str">
        <f t="shared" si="1"/>
        <v>SWL-CRV07FY</v>
      </c>
      <c r="B252" s="32" t="s">
        <v>443</v>
      </c>
      <c r="C252" s="33" t="s">
        <v>440</v>
      </c>
      <c r="D252" s="33" t="s">
        <v>209</v>
      </c>
      <c r="E252" s="11" t="s">
        <v>123</v>
      </c>
      <c r="F252" s="33" t="s">
        <v>109</v>
      </c>
      <c r="G252" s="11"/>
      <c r="H252" s="11">
        <f>SUMIFS(X!$F$3:$F$5978,X!$D$3:$D$5978,'Current Stock'!A252)</f>
        <v>0</v>
      </c>
      <c r="I252" s="11">
        <f>SUMIFS(PENJUALAN!$E$4:$E$3651,PENJUALAN!$C$4:$C$3651,'Current Stock'!A252)</f>
        <v>0</v>
      </c>
      <c r="J252" s="15">
        <f t="shared" si="2"/>
        <v>0</v>
      </c>
      <c r="K252" s="11"/>
      <c r="L252" s="11"/>
      <c r="M252" s="11"/>
      <c r="N252" s="11"/>
      <c r="O252" s="17"/>
      <c r="P252" s="17"/>
    </row>
    <row r="253" ht="13.5" customHeight="1">
      <c r="A253" s="11" t="str">
        <f t="shared" si="1"/>
        <v>SWR-CRV07FY</v>
      </c>
      <c r="B253" s="32" t="s">
        <v>444</v>
      </c>
      <c r="C253" s="33" t="s">
        <v>440</v>
      </c>
      <c r="D253" s="33" t="s">
        <v>243</v>
      </c>
      <c r="E253" s="11" t="s">
        <v>123</v>
      </c>
      <c r="F253" s="33" t="s">
        <v>109</v>
      </c>
      <c r="G253" s="11"/>
      <c r="H253" s="11">
        <f>SUMIFS(X!$F$3:$F$5978,X!$D$3:$D$5978,'Current Stock'!A253)</f>
        <v>0</v>
      </c>
      <c r="I253" s="11">
        <f>SUMIFS(PENJUALAN!$E$4:$E$3651,PENJUALAN!$C$4:$C$3651,'Current Stock'!A253)</f>
        <v>0</v>
      </c>
      <c r="J253" s="15">
        <f t="shared" si="2"/>
        <v>0</v>
      </c>
      <c r="K253" s="11"/>
      <c r="L253" s="11"/>
      <c r="M253" s="11"/>
      <c r="N253" s="11"/>
      <c r="O253" s="17"/>
      <c r="P253" s="17"/>
    </row>
    <row r="254" ht="13.5" customHeight="1">
      <c r="A254" s="11" t="str">
        <f t="shared" si="1"/>
        <v>LFW-CRV12FY</v>
      </c>
      <c r="B254" s="32" t="s">
        <v>445</v>
      </c>
      <c r="C254" s="33" t="s">
        <v>85</v>
      </c>
      <c r="D254" s="33" t="s">
        <v>60</v>
      </c>
      <c r="E254" s="11" t="s">
        <v>123</v>
      </c>
      <c r="F254" s="33" t="s">
        <v>137</v>
      </c>
      <c r="G254" s="11"/>
      <c r="H254" s="11">
        <f>SUMIFS(X!$F$3:$F$5978,X!$D$3:$D$5978,'Current Stock'!A254)</f>
        <v>0</v>
      </c>
      <c r="I254" s="11">
        <f>SUMIFS(PENJUALAN!$E$4:$E$3651,PENJUALAN!$C$4:$C$3651,'Current Stock'!A254)</f>
        <v>0</v>
      </c>
      <c r="J254" s="15">
        <f t="shared" si="2"/>
        <v>0</v>
      </c>
      <c r="K254" s="11"/>
      <c r="L254" s="11"/>
      <c r="M254" s="11"/>
      <c r="N254" s="11"/>
      <c r="O254" s="17"/>
      <c r="P254" s="17"/>
    </row>
    <row r="255" ht="13.5" customHeight="1">
      <c r="A255" s="11" t="str">
        <f t="shared" si="1"/>
        <v>TRW-CRV12NONPFY</v>
      </c>
      <c r="B255" s="32" t="s">
        <v>446</v>
      </c>
      <c r="C255" s="33" t="s">
        <v>447</v>
      </c>
      <c r="D255" s="33" t="s">
        <v>62</v>
      </c>
      <c r="E255" s="11" t="s">
        <v>123</v>
      </c>
      <c r="F255" s="33" t="s">
        <v>228</v>
      </c>
      <c r="G255" s="11"/>
      <c r="H255" s="11">
        <f>SUMIFS(X!$F$3:$F$5978,X!$D$3:$D$5978,'Current Stock'!A255)</f>
        <v>0</v>
      </c>
      <c r="I255" s="11">
        <f>SUMIFS(PENJUALAN!$E$4:$E$3651,PENJUALAN!$C$4:$C$3651,'Current Stock'!A255)</f>
        <v>0</v>
      </c>
      <c r="J255" s="15">
        <f t="shared" si="2"/>
        <v>0</v>
      </c>
      <c r="K255" s="11"/>
      <c r="L255" s="11"/>
      <c r="M255" s="11"/>
      <c r="N255" s="11"/>
      <c r="O255" s="17"/>
      <c r="P255" s="17"/>
    </row>
    <row r="256" ht="13.5" customHeight="1">
      <c r="A256" s="11" t="str">
        <f t="shared" si="1"/>
        <v>TRW-CRV12PRESTIGEFY</v>
      </c>
      <c r="B256" s="32" t="s">
        <v>448</v>
      </c>
      <c r="C256" s="33" t="s">
        <v>449</v>
      </c>
      <c r="D256" s="33" t="s">
        <v>62</v>
      </c>
      <c r="E256" s="11" t="s">
        <v>123</v>
      </c>
      <c r="F256" s="33" t="s">
        <v>450</v>
      </c>
      <c r="G256" s="11"/>
      <c r="H256" s="11">
        <f>SUMIFS(X!$F$3:$F$5978,X!$D$3:$D$5978,'Current Stock'!A256)</f>
        <v>0</v>
      </c>
      <c r="I256" s="11">
        <f>SUMIFS(PENJUALAN!$E$4:$E$3651,PENJUALAN!$C$4:$C$3651,'Current Stock'!A256)</f>
        <v>0</v>
      </c>
      <c r="J256" s="15">
        <f t="shared" si="2"/>
        <v>0</v>
      </c>
      <c r="K256" s="11"/>
      <c r="L256" s="11"/>
      <c r="M256" s="11"/>
      <c r="N256" s="11"/>
      <c r="O256" s="17"/>
      <c r="P256" s="17"/>
    </row>
    <row r="257" ht="13.5" customHeight="1">
      <c r="A257" s="11" t="str">
        <f t="shared" si="1"/>
        <v>FDL-CRV12FY</v>
      </c>
      <c r="B257" s="32" t="s">
        <v>451</v>
      </c>
      <c r="C257" s="33" t="s">
        <v>85</v>
      </c>
      <c r="D257" s="33" t="s">
        <v>140</v>
      </c>
      <c r="E257" s="11" t="s">
        <v>123</v>
      </c>
      <c r="F257" s="33"/>
      <c r="G257" s="11"/>
      <c r="H257" s="11">
        <f>SUMIFS(X!$F$3:$F$5978,X!$D$3:$D$5978,'Current Stock'!A257)</f>
        <v>0</v>
      </c>
      <c r="I257" s="11">
        <f>SUMIFS(PENJUALAN!$E$4:$E$3651,PENJUALAN!$C$4:$C$3651,'Current Stock'!A257)</f>
        <v>0</v>
      </c>
      <c r="J257" s="15">
        <f t="shared" si="2"/>
        <v>0</v>
      </c>
      <c r="K257" s="11"/>
      <c r="L257" s="11"/>
      <c r="M257" s="11"/>
      <c r="N257" s="11"/>
      <c r="O257" s="17"/>
      <c r="P257" s="17"/>
    </row>
    <row r="258" ht="13.5" customHeight="1">
      <c r="A258" s="11" t="str">
        <f t="shared" si="1"/>
        <v>FDR-CRV12FY</v>
      </c>
      <c r="B258" s="32" t="s">
        <v>452</v>
      </c>
      <c r="C258" s="33" t="s">
        <v>85</v>
      </c>
      <c r="D258" s="33" t="s">
        <v>142</v>
      </c>
      <c r="E258" s="11" t="s">
        <v>123</v>
      </c>
      <c r="F258" s="33"/>
      <c r="G258" s="11"/>
      <c r="H258" s="11">
        <f>SUMIFS(X!$F$3:$F$5978,X!$D$3:$D$5978,'Current Stock'!A258)</f>
        <v>0</v>
      </c>
      <c r="I258" s="11">
        <f>SUMIFS(PENJUALAN!$E$4:$E$3651,PENJUALAN!$C$4:$C$3651,'Current Stock'!A258)</f>
        <v>0</v>
      </c>
      <c r="J258" s="15">
        <f t="shared" si="2"/>
        <v>0</v>
      </c>
      <c r="K258" s="11"/>
      <c r="L258" s="11"/>
      <c r="M258" s="11"/>
      <c r="N258" s="11"/>
      <c r="O258" s="17"/>
      <c r="P258" s="17"/>
    </row>
    <row r="259" ht="13.5" customHeight="1">
      <c r="A259" s="11" t="str">
        <f t="shared" si="1"/>
        <v>RDL-CRV12FY</v>
      </c>
      <c r="B259" s="32" t="s">
        <v>453</v>
      </c>
      <c r="C259" s="33" t="s">
        <v>85</v>
      </c>
      <c r="D259" s="33" t="s">
        <v>144</v>
      </c>
      <c r="E259" s="11" t="s">
        <v>123</v>
      </c>
      <c r="F259" s="33"/>
      <c r="G259" s="11"/>
      <c r="H259" s="11">
        <f>SUMIFS(X!$F$3:$F$5978,X!$D$3:$D$5978,'Current Stock'!A259)</f>
        <v>0</v>
      </c>
      <c r="I259" s="11">
        <f>SUMIFS(PENJUALAN!$E$4:$E$3651,PENJUALAN!$C$4:$C$3651,'Current Stock'!A259)</f>
        <v>0</v>
      </c>
      <c r="J259" s="15">
        <f t="shared" si="2"/>
        <v>0</v>
      </c>
      <c r="K259" s="11"/>
      <c r="L259" s="11"/>
      <c r="M259" s="11"/>
      <c r="N259" s="11"/>
      <c r="O259" s="17"/>
      <c r="P259" s="17"/>
    </row>
    <row r="260" ht="13.5" customHeight="1">
      <c r="A260" s="11" t="str">
        <f t="shared" si="1"/>
        <v>RDR-CRV12FY</v>
      </c>
      <c r="B260" s="32" t="s">
        <v>84</v>
      </c>
      <c r="C260" s="33" t="s">
        <v>85</v>
      </c>
      <c r="D260" s="33" t="s">
        <v>146</v>
      </c>
      <c r="E260" s="11" t="s">
        <v>123</v>
      </c>
      <c r="F260" s="33"/>
      <c r="G260" s="11"/>
      <c r="H260" s="11">
        <f>SUMIFS(X!$F$3:$F$5978,X!$D$3:$D$5978,'Current Stock'!A260)</f>
        <v>0</v>
      </c>
      <c r="I260" s="11">
        <f>SUMIFS(PENJUALAN!$E$4:$E$3651,PENJUALAN!$C$4:$C$3651,'Current Stock'!A260)</f>
        <v>0</v>
      </c>
      <c r="J260" s="15">
        <f t="shared" si="2"/>
        <v>0</v>
      </c>
      <c r="K260" s="11"/>
      <c r="L260" s="11"/>
      <c r="M260" s="11"/>
      <c r="N260" s="11"/>
      <c r="O260" s="17"/>
      <c r="P260" s="17"/>
    </row>
    <row r="261" ht="13.5" customHeight="1">
      <c r="A261" s="11" t="str">
        <f t="shared" si="1"/>
        <v>LFW-CRV17FY</v>
      </c>
      <c r="B261" s="32" t="s">
        <v>454</v>
      </c>
      <c r="C261" s="33" t="s">
        <v>455</v>
      </c>
      <c r="D261" s="33" t="s">
        <v>60</v>
      </c>
      <c r="E261" s="11" t="s">
        <v>123</v>
      </c>
      <c r="F261" s="33" t="s">
        <v>137</v>
      </c>
      <c r="G261" s="11"/>
      <c r="H261" s="11">
        <f>SUMIFS(X!$F$3:$F$5978,X!$D$3:$D$5978,'Current Stock'!A261)</f>
        <v>0</v>
      </c>
      <c r="I261" s="11">
        <f>SUMIFS(PENJUALAN!$E$4:$E$3651,PENJUALAN!$C$4:$C$3651,'Current Stock'!A261)</f>
        <v>0</v>
      </c>
      <c r="J261" s="15">
        <f t="shared" si="2"/>
        <v>0</v>
      </c>
      <c r="K261" s="11"/>
      <c r="L261" s="11"/>
      <c r="M261" s="11"/>
      <c r="N261" s="11"/>
      <c r="O261" s="17"/>
      <c r="P261" s="17"/>
    </row>
    <row r="262" ht="13.5" customHeight="1">
      <c r="A262" s="11" t="str">
        <f t="shared" si="1"/>
        <v>TRW-CRV17FY</v>
      </c>
      <c r="B262" s="32" t="s">
        <v>456</v>
      </c>
      <c r="C262" s="33" t="s">
        <v>455</v>
      </c>
      <c r="D262" s="33" t="s">
        <v>62</v>
      </c>
      <c r="E262" s="11" t="s">
        <v>123</v>
      </c>
      <c r="F262" s="33" t="s">
        <v>450</v>
      </c>
      <c r="G262" s="11"/>
      <c r="H262" s="11">
        <f>SUMIFS(X!$F$3:$F$5978,X!$D$3:$D$5978,'Current Stock'!A262)</f>
        <v>0</v>
      </c>
      <c r="I262" s="11">
        <f>SUMIFS(PENJUALAN!$E$4:$E$3651,PENJUALAN!$C$4:$C$3651,'Current Stock'!A262)</f>
        <v>0</v>
      </c>
      <c r="J262" s="15">
        <f t="shared" si="2"/>
        <v>0</v>
      </c>
      <c r="K262" s="11"/>
      <c r="L262" s="11"/>
      <c r="M262" s="11"/>
      <c r="N262" s="11"/>
      <c r="O262" s="17"/>
      <c r="P262" s="17"/>
    </row>
    <row r="263" ht="13.5" customHeight="1">
      <c r="A263" s="11" t="str">
        <f t="shared" si="1"/>
        <v>LFW-CRZFY</v>
      </c>
      <c r="B263" s="32" t="s">
        <v>457</v>
      </c>
      <c r="C263" s="33" t="s">
        <v>458</v>
      </c>
      <c r="D263" s="33" t="s">
        <v>60</v>
      </c>
      <c r="E263" s="11" t="s">
        <v>123</v>
      </c>
      <c r="F263" s="33" t="s">
        <v>90</v>
      </c>
      <c r="G263" s="11"/>
      <c r="H263" s="11">
        <f>SUMIFS(X!$F$3:$F$5978,X!$D$3:$D$5978,'Current Stock'!A263)</f>
        <v>0</v>
      </c>
      <c r="I263" s="11">
        <f>SUMIFS(PENJUALAN!$E$4:$E$3651,PENJUALAN!$C$4:$C$3651,'Current Stock'!A263)</f>
        <v>0</v>
      </c>
      <c r="J263" s="15">
        <f t="shared" si="2"/>
        <v>0</v>
      </c>
      <c r="K263" s="11"/>
      <c r="L263" s="11"/>
      <c r="M263" s="11"/>
      <c r="N263" s="11"/>
      <c r="O263" s="17"/>
      <c r="P263" s="17"/>
    </row>
    <row r="264" ht="13.5" customHeight="1">
      <c r="A264" s="11" t="str">
        <f t="shared" si="1"/>
        <v>LFW-ELYSIONFY</v>
      </c>
      <c r="B264" s="32" t="s">
        <v>459</v>
      </c>
      <c r="C264" s="33" t="s">
        <v>460</v>
      </c>
      <c r="D264" s="33" t="s">
        <v>60</v>
      </c>
      <c r="E264" s="11" t="s">
        <v>123</v>
      </c>
      <c r="F264" s="33" t="s">
        <v>137</v>
      </c>
      <c r="G264" s="11"/>
      <c r="H264" s="11">
        <f>SUMIFS(X!$F$3:$F$5978,X!$D$3:$D$5978,'Current Stock'!A264)</f>
        <v>0</v>
      </c>
      <c r="I264" s="11">
        <f>SUMIFS(PENJUALAN!$E$4:$E$3651,PENJUALAN!$C$4:$C$3651,'Current Stock'!A264)</f>
        <v>0</v>
      </c>
      <c r="J264" s="15">
        <f t="shared" si="2"/>
        <v>0</v>
      </c>
      <c r="K264" s="11"/>
      <c r="L264" s="11"/>
      <c r="M264" s="11"/>
      <c r="N264" s="11"/>
      <c r="O264" s="17"/>
      <c r="P264" s="17"/>
    </row>
    <row r="265" ht="13.5" customHeight="1">
      <c r="A265" s="11" t="str">
        <f t="shared" si="1"/>
        <v>TRW-ELYSIONRATAFY</v>
      </c>
      <c r="B265" s="32" t="s">
        <v>461</v>
      </c>
      <c r="C265" s="33" t="s">
        <v>462</v>
      </c>
      <c r="D265" s="33" t="s">
        <v>62</v>
      </c>
      <c r="E265" s="11" t="s">
        <v>123</v>
      </c>
      <c r="F265" s="33" t="s">
        <v>228</v>
      </c>
      <c r="G265" s="11"/>
      <c r="H265" s="11">
        <f>SUMIFS(X!$F$3:$F$5978,X!$D$3:$D$5978,'Current Stock'!A265)</f>
        <v>0</v>
      </c>
      <c r="I265" s="11">
        <f>SUMIFS(PENJUALAN!$E$4:$E$3651,PENJUALAN!$C$4:$C$3651,'Current Stock'!A265)</f>
        <v>0</v>
      </c>
      <c r="J265" s="15">
        <f t="shared" si="2"/>
        <v>0</v>
      </c>
      <c r="K265" s="11"/>
      <c r="L265" s="11"/>
      <c r="M265" s="11"/>
      <c r="N265" s="11"/>
      <c r="O265" s="17"/>
      <c r="P265" s="17"/>
    </row>
    <row r="266" ht="13.5" customHeight="1">
      <c r="A266" s="11" t="str">
        <f t="shared" si="1"/>
        <v>TRW-ELYSIONCURVEFY</v>
      </c>
      <c r="B266" s="32" t="s">
        <v>463</v>
      </c>
      <c r="C266" s="33" t="s">
        <v>464</v>
      </c>
      <c r="D266" s="33" t="s">
        <v>62</v>
      </c>
      <c r="E266" s="11" t="s">
        <v>123</v>
      </c>
      <c r="F266" s="33" t="s">
        <v>450</v>
      </c>
      <c r="G266" s="11"/>
      <c r="H266" s="11">
        <f>SUMIFS(X!$F$3:$F$5978,X!$D$3:$D$5978,'Current Stock'!A266)</f>
        <v>0</v>
      </c>
      <c r="I266" s="11">
        <f>SUMIFS(PENJUALAN!$E$4:$E$3651,PENJUALAN!$C$4:$C$3651,'Current Stock'!A266)</f>
        <v>0</v>
      </c>
      <c r="J266" s="15">
        <f t="shared" si="2"/>
        <v>0</v>
      </c>
      <c r="K266" s="11"/>
      <c r="L266" s="11"/>
      <c r="M266" s="11"/>
      <c r="N266" s="11"/>
      <c r="O266" s="17"/>
      <c r="P266" s="17"/>
    </row>
    <row r="267" ht="13.5" customHeight="1">
      <c r="A267" s="11" t="str">
        <f t="shared" si="1"/>
        <v>LFW-FREEDFY</v>
      </c>
      <c r="B267" s="32" t="s">
        <v>465</v>
      </c>
      <c r="C267" s="33" t="s">
        <v>466</v>
      </c>
      <c r="D267" s="33" t="s">
        <v>60</v>
      </c>
      <c r="E267" s="11" t="s">
        <v>123</v>
      </c>
      <c r="F267" s="33" t="s">
        <v>137</v>
      </c>
      <c r="G267" s="11"/>
      <c r="H267" s="11">
        <f>SUMIFS(X!$F$3:$F$5978,X!$D$3:$D$5978,'Current Stock'!A267)</f>
        <v>0</v>
      </c>
      <c r="I267" s="11">
        <f>SUMIFS(PENJUALAN!$E$4:$E$3651,PENJUALAN!$C$4:$C$3651,'Current Stock'!A267)</f>
        <v>0</v>
      </c>
      <c r="J267" s="15">
        <f t="shared" si="2"/>
        <v>0</v>
      </c>
      <c r="K267" s="11"/>
      <c r="L267" s="11"/>
      <c r="M267" s="11"/>
      <c r="N267" s="11"/>
      <c r="O267" s="17"/>
      <c r="P267" s="17"/>
    </row>
    <row r="268" ht="13.5" customHeight="1">
      <c r="A268" s="11" t="str">
        <f t="shared" si="1"/>
        <v>TRW-FREEDFY</v>
      </c>
      <c r="B268" s="32" t="s">
        <v>467</v>
      </c>
      <c r="C268" s="33" t="s">
        <v>466</v>
      </c>
      <c r="D268" s="33" t="s">
        <v>62</v>
      </c>
      <c r="E268" s="11" t="s">
        <v>123</v>
      </c>
      <c r="F268" s="33" t="s">
        <v>83</v>
      </c>
      <c r="G268" s="11"/>
      <c r="H268" s="11">
        <f>SUMIFS(X!$F$3:$F$5978,X!$D$3:$D$5978,'Current Stock'!A268)</f>
        <v>0</v>
      </c>
      <c r="I268" s="11">
        <f>SUMIFS(PENJUALAN!$E$4:$E$3651,PENJUALAN!$C$4:$C$3651,'Current Stock'!A268)</f>
        <v>0</v>
      </c>
      <c r="J268" s="15">
        <f t="shared" si="2"/>
        <v>0</v>
      </c>
      <c r="K268" s="11"/>
      <c r="L268" s="11"/>
      <c r="M268" s="11"/>
      <c r="N268" s="11"/>
      <c r="O268" s="17"/>
      <c r="P268" s="17"/>
    </row>
    <row r="269" ht="13.5" customHeight="1">
      <c r="A269" s="11" t="str">
        <f t="shared" si="1"/>
        <v>SWL-FREEDFY</v>
      </c>
      <c r="B269" s="32" t="s">
        <v>468</v>
      </c>
      <c r="C269" s="33" t="s">
        <v>466</v>
      </c>
      <c r="D269" s="33" t="s">
        <v>209</v>
      </c>
      <c r="E269" s="11" t="s">
        <v>123</v>
      </c>
      <c r="F269" s="33" t="s">
        <v>109</v>
      </c>
      <c r="G269" s="11"/>
      <c r="H269" s="11">
        <f>SUMIFS(X!$F$3:$F$5978,X!$D$3:$D$5978,'Current Stock'!A269)</f>
        <v>0</v>
      </c>
      <c r="I269" s="11">
        <f>SUMIFS(PENJUALAN!$E$4:$E$3651,PENJUALAN!$C$4:$C$3651,'Current Stock'!A269)</f>
        <v>0</v>
      </c>
      <c r="J269" s="15">
        <f t="shared" si="2"/>
        <v>0</v>
      </c>
      <c r="K269" s="11"/>
      <c r="L269" s="11"/>
      <c r="M269" s="11"/>
      <c r="N269" s="11"/>
      <c r="O269" s="17"/>
      <c r="P269" s="17"/>
    </row>
    <row r="270" ht="13.5" customHeight="1">
      <c r="A270" s="11" t="str">
        <f t="shared" si="1"/>
        <v>SWR-FREEDFY</v>
      </c>
      <c r="B270" s="32" t="s">
        <v>469</v>
      </c>
      <c r="C270" s="33" t="s">
        <v>466</v>
      </c>
      <c r="D270" s="33" t="s">
        <v>243</v>
      </c>
      <c r="E270" s="11" t="s">
        <v>123</v>
      </c>
      <c r="F270" s="33" t="s">
        <v>109</v>
      </c>
      <c r="G270" s="11"/>
      <c r="H270" s="11">
        <f>SUMIFS(X!$F$3:$F$5978,X!$D$3:$D$5978,'Current Stock'!A270)</f>
        <v>0</v>
      </c>
      <c r="I270" s="11">
        <f>SUMIFS(PENJUALAN!$E$4:$E$3651,PENJUALAN!$C$4:$C$3651,'Current Stock'!A270)</f>
        <v>0</v>
      </c>
      <c r="J270" s="15">
        <f t="shared" si="2"/>
        <v>0</v>
      </c>
      <c r="K270" s="11"/>
      <c r="L270" s="11"/>
      <c r="M270" s="11"/>
      <c r="N270" s="11"/>
      <c r="O270" s="17"/>
      <c r="P270" s="17"/>
    </row>
    <row r="271" ht="13.5" customHeight="1">
      <c r="A271" s="11" t="str">
        <f t="shared" si="1"/>
        <v>LFW-HRV14FY</v>
      </c>
      <c r="B271" s="36" t="s">
        <v>470</v>
      </c>
      <c r="C271" s="33" t="s">
        <v>471</v>
      </c>
      <c r="D271" s="33" t="s">
        <v>60</v>
      </c>
      <c r="E271" s="11" t="s">
        <v>123</v>
      </c>
      <c r="F271" s="33" t="s">
        <v>137</v>
      </c>
      <c r="G271" s="14">
        <v>45988.0</v>
      </c>
      <c r="H271" s="11">
        <f>SUMIFS(X!$F$3:$F$5978,X!$D$3:$D$5978,'Current Stock'!A271)</f>
        <v>1</v>
      </c>
      <c r="I271" s="11">
        <f>SUMIFS(PENJUALAN!$E$4:$E$3651,PENJUALAN!$C$4:$C$3651,'Current Stock'!A271)</f>
        <v>1</v>
      </c>
      <c r="J271" s="15">
        <f t="shared" si="2"/>
        <v>0</v>
      </c>
      <c r="K271" s="13" t="s">
        <v>472</v>
      </c>
      <c r="L271" s="11"/>
      <c r="M271" s="11"/>
      <c r="N271" s="11"/>
      <c r="O271" s="17"/>
      <c r="P271" s="17"/>
    </row>
    <row r="272" ht="13.5" customHeight="1">
      <c r="A272" s="11" t="str">
        <f t="shared" si="1"/>
        <v>TRW-HRV14FY</v>
      </c>
      <c r="B272" s="36" t="s">
        <v>473</v>
      </c>
      <c r="C272" s="33" t="s">
        <v>471</v>
      </c>
      <c r="D272" s="33" t="s">
        <v>62</v>
      </c>
      <c r="E272" s="11" t="s">
        <v>123</v>
      </c>
      <c r="F272" s="33" t="s">
        <v>228</v>
      </c>
      <c r="G272" s="11"/>
      <c r="H272" s="11">
        <f>SUMIFS(X!$F$3:$F$5978,X!$D$3:$D$5978,'Current Stock'!A272)</f>
        <v>0</v>
      </c>
      <c r="I272" s="11">
        <f>SUMIFS(PENJUALAN!$E$4:$E$3651,PENJUALAN!$C$4:$C$3651,'Current Stock'!A272)</f>
        <v>0</v>
      </c>
      <c r="J272" s="15">
        <f t="shared" si="2"/>
        <v>0</v>
      </c>
      <c r="K272" s="11"/>
      <c r="L272" s="11"/>
      <c r="M272" s="11"/>
      <c r="N272" s="11"/>
      <c r="O272" s="17"/>
      <c r="P272" s="17"/>
    </row>
    <row r="273" ht="13.5" customHeight="1">
      <c r="A273" s="11" t="str">
        <f t="shared" si="1"/>
        <v>LFW-JAZZ01FY</v>
      </c>
      <c r="B273" s="32" t="s">
        <v>474</v>
      </c>
      <c r="C273" s="33" t="s">
        <v>475</v>
      </c>
      <c r="D273" s="33" t="s">
        <v>60</v>
      </c>
      <c r="E273" s="11" t="s">
        <v>123</v>
      </c>
      <c r="F273" s="33" t="s">
        <v>109</v>
      </c>
      <c r="G273" s="11"/>
      <c r="H273" s="11">
        <f>SUMIFS(X!$F$3:$F$5978,X!$D$3:$D$5978,'Current Stock'!A273)</f>
        <v>0</v>
      </c>
      <c r="I273" s="11">
        <f>SUMIFS(PENJUALAN!$E$4:$E$3651,PENJUALAN!$C$4:$C$3651,'Current Stock'!A273)</f>
        <v>0</v>
      </c>
      <c r="J273" s="15">
        <f t="shared" si="2"/>
        <v>0</v>
      </c>
      <c r="K273" s="11"/>
      <c r="L273" s="11"/>
      <c r="M273" s="11"/>
      <c r="N273" s="11"/>
      <c r="O273" s="17"/>
      <c r="P273" s="17"/>
    </row>
    <row r="274" ht="13.5" customHeight="1">
      <c r="A274" s="11" t="str">
        <f t="shared" si="1"/>
        <v>TRW-JAZZ01FY</v>
      </c>
      <c r="B274" s="32" t="s">
        <v>476</v>
      </c>
      <c r="C274" s="33" t="s">
        <v>475</v>
      </c>
      <c r="D274" s="33" t="s">
        <v>62</v>
      </c>
      <c r="E274" s="11" t="s">
        <v>123</v>
      </c>
      <c r="F274" s="33" t="s">
        <v>228</v>
      </c>
      <c r="G274" s="11"/>
      <c r="H274" s="11">
        <f>SUMIFS(X!$F$3:$F$5978,X!$D$3:$D$5978,'Current Stock'!A274)</f>
        <v>0</v>
      </c>
      <c r="I274" s="11">
        <f>SUMIFS(PENJUALAN!$E$4:$E$3651,PENJUALAN!$C$4:$C$3651,'Current Stock'!A274)</f>
        <v>0</v>
      </c>
      <c r="J274" s="15">
        <f t="shared" si="2"/>
        <v>0</v>
      </c>
      <c r="K274" s="11"/>
      <c r="L274" s="11"/>
      <c r="M274" s="11"/>
      <c r="N274" s="11"/>
      <c r="O274" s="17"/>
      <c r="P274" s="17"/>
    </row>
    <row r="275" ht="13.5" customHeight="1">
      <c r="A275" s="11" t="str">
        <f t="shared" si="1"/>
        <v>FDL-JAZZ01FY</v>
      </c>
      <c r="B275" s="32" t="s">
        <v>477</v>
      </c>
      <c r="C275" s="33" t="s">
        <v>475</v>
      </c>
      <c r="D275" s="33" t="s">
        <v>140</v>
      </c>
      <c r="E275" s="11" t="s">
        <v>123</v>
      </c>
      <c r="F275" s="33" t="s">
        <v>478</v>
      </c>
      <c r="G275" s="11"/>
      <c r="H275" s="11">
        <f>SUMIFS(X!$F$3:$F$5978,X!$D$3:$D$5978,'Current Stock'!A275)</f>
        <v>0</v>
      </c>
      <c r="I275" s="11">
        <f>SUMIFS(PENJUALAN!$E$4:$E$3651,PENJUALAN!$C$4:$C$3651,'Current Stock'!A275)</f>
        <v>0</v>
      </c>
      <c r="J275" s="15">
        <f t="shared" si="2"/>
        <v>0</v>
      </c>
      <c r="K275" s="11"/>
      <c r="L275" s="11"/>
      <c r="M275" s="11"/>
      <c r="N275" s="11"/>
      <c r="O275" s="17"/>
      <c r="P275" s="17"/>
    </row>
    <row r="276" ht="13.5" customHeight="1">
      <c r="A276" s="11" t="str">
        <f t="shared" si="1"/>
        <v>FVL-JAZZ01FY</v>
      </c>
      <c r="B276" s="32" t="s">
        <v>479</v>
      </c>
      <c r="C276" s="33" t="s">
        <v>475</v>
      </c>
      <c r="D276" s="33" t="s">
        <v>409</v>
      </c>
      <c r="E276" s="11" t="s">
        <v>123</v>
      </c>
      <c r="F276" s="33" t="s">
        <v>109</v>
      </c>
      <c r="G276" s="11"/>
      <c r="H276" s="11">
        <f>SUMIFS(X!$F$3:$F$5978,X!$D$3:$D$5978,'Current Stock'!A276)</f>
        <v>0</v>
      </c>
      <c r="I276" s="11">
        <f>SUMIFS(PENJUALAN!$E$4:$E$3651,PENJUALAN!$C$4:$C$3651,'Current Stock'!A276)</f>
        <v>0</v>
      </c>
      <c r="J276" s="15">
        <f t="shared" si="2"/>
        <v>0</v>
      </c>
      <c r="K276" s="11"/>
      <c r="L276" s="11"/>
      <c r="M276" s="11"/>
      <c r="N276" s="11"/>
      <c r="O276" s="17"/>
      <c r="P276" s="17"/>
    </row>
    <row r="277" ht="13.5" customHeight="1">
      <c r="A277" s="11" t="str">
        <f t="shared" si="1"/>
        <v>RDL-JAZZ01FY</v>
      </c>
      <c r="B277" s="32" t="s">
        <v>480</v>
      </c>
      <c r="C277" s="33" t="s">
        <v>475</v>
      </c>
      <c r="D277" s="33" t="s">
        <v>144</v>
      </c>
      <c r="E277" s="11" t="s">
        <v>123</v>
      </c>
      <c r="F277" s="33" t="s">
        <v>478</v>
      </c>
      <c r="G277" s="11"/>
      <c r="H277" s="11">
        <f>SUMIFS(X!$F$3:$F$5978,X!$D$3:$D$5978,'Current Stock'!A277)</f>
        <v>0</v>
      </c>
      <c r="I277" s="11">
        <f>SUMIFS(PENJUALAN!$E$4:$E$3651,PENJUALAN!$C$4:$C$3651,'Current Stock'!A277)</f>
        <v>0</v>
      </c>
      <c r="J277" s="15">
        <f t="shared" si="2"/>
        <v>0</v>
      </c>
      <c r="K277" s="11"/>
      <c r="L277" s="11"/>
      <c r="M277" s="11"/>
      <c r="N277" s="11"/>
      <c r="O277" s="17"/>
      <c r="P277" s="17"/>
    </row>
    <row r="278" ht="13.5" customHeight="1">
      <c r="A278" s="11" t="str">
        <f t="shared" si="1"/>
        <v>RDR-JAZZ01FY</v>
      </c>
      <c r="B278" s="32" t="s">
        <v>481</v>
      </c>
      <c r="C278" s="33" t="s">
        <v>475</v>
      </c>
      <c r="D278" s="33" t="s">
        <v>146</v>
      </c>
      <c r="E278" s="11" t="s">
        <v>123</v>
      </c>
      <c r="F278" s="33" t="s">
        <v>478</v>
      </c>
      <c r="G278" s="11"/>
      <c r="H278" s="11">
        <f>SUMIFS(X!$F$3:$F$5978,X!$D$3:$D$5978,'Current Stock'!A278)</f>
        <v>0</v>
      </c>
      <c r="I278" s="11">
        <f>SUMIFS(PENJUALAN!$E$4:$E$3651,PENJUALAN!$C$4:$C$3651,'Current Stock'!A278)</f>
        <v>0</v>
      </c>
      <c r="J278" s="15">
        <f t="shared" si="2"/>
        <v>0</v>
      </c>
      <c r="K278" s="11"/>
      <c r="L278" s="11"/>
      <c r="M278" s="11"/>
      <c r="N278" s="11"/>
      <c r="O278" s="17"/>
      <c r="P278" s="17"/>
    </row>
    <row r="279" ht="13.5" customHeight="1">
      <c r="A279" s="11" t="str">
        <f t="shared" si="1"/>
        <v>LFW-JAZZ07FY</v>
      </c>
      <c r="B279" s="32" t="s">
        <v>482</v>
      </c>
      <c r="C279" s="33" t="s">
        <v>483</v>
      </c>
      <c r="D279" s="33" t="s">
        <v>60</v>
      </c>
      <c r="E279" s="11" t="s">
        <v>123</v>
      </c>
      <c r="F279" s="33" t="s">
        <v>137</v>
      </c>
      <c r="G279" s="11"/>
      <c r="H279" s="11">
        <f>SUMIFS(X!$F$3:$F$5978,X!$D$3:$D$5978,'Current Stock'!A279)</f>
        <v>0</v>
      </c>
      <c r="I279" s="11">
        <f>SUMIFS(PENJUALAN!$E$4:$E$3651,PENJUALAN!$C$4:$C$3651,'Current Stock'!A279)</f>
        <v>0</v>
      </c>
      <c r="J279" s="15">
        <f t="shared" si="2"/>
        <v>0</v>
      </c>
      <c r="K279" s="11"/>
      <c r="L279" s="11"/>
      <c r="M279" s="11"/>
      <c r="N279" s="11"/>
      <c r="O279" s="17"/>
      <c r="P279" s="17"/>
    </row>
    <row r="280" ht="13.5" customHeight="1">
      <c r="A280" s="11" t="str">
        <f t="shared" si="1"/>
        <v>TRW-JAZZ07FY</v>
      </c>
      <c r="B280" s="32" t="s">
        <v>484</v>
      </c>
      <c r="C280" s="33" t="s">
        <v>483</v>
      </c>
      <c r="D280" s="33" t="s">
        <v>62</v>
      </c>
      <c r="E280" s="11" t="s">
        <v>123</v>
      </c>
      <c r="F280" s="33" t="s">
        <v>83</v>
      </c>
      <c r="G280" s="11"/>
      <c r="H280" s="11">
        <f>SUMIFS(X!$F$3:$F$5978,X!$D$3:$D$5978,'Current Stock'!A280)</f>
        <v>0</v>
      </c>
      <c r="I280" s="11">
        <f>SUMIFS(PENJUALAN!$E$4:$E$3651,PENJUALAN!$C$4:$C$3651,'Current Stock'!A280)</f>
        <v>0</v>
      </c>
      <c r="J280" s="15">
        <f t="shared" si="2"/>
        <v>0</v>
      </c>
      <c r="K280" s="11"/>
      <c r="L280" s="11"/>
      <c r="M280" s="11"/>
      <c r="N280" s="11"/>
      <c r="O280" s="17"/>
      <c r="P280" s="17"/>
    </row>
    <row r="281" ht="13.5" customHeight="1">
      <c r="A281" s="11" t="str">
        <f t="shared" si="1"/>
        <v>FDL-JAZZ07FY</v>
      </c>
      <c r="B281" s="32" t="s">
        <v>485</v>
      </c>
      <c r="C281" s="33" t="s">
        <v>483</v>
      </c>
      <c r="D281" s="33" t="s">
        <v>140</v>
      </c>
      <c r="E281" s="11" t="s">
        <v>123</v>
      </c>
      <c r="F281" s="33"/>
      <c r="G281" s="11"/>
      <c r="H281" s="11">
        <f>SUMIFS(X!$F$3:$F$5978,X!$D$3:$D$5978,'Current Stock'!A281)</f>
        <v>0</v>
      </c>
      <c r="I281" s="11">
        <f>SUMIFS(PENJUALAN!$E$4:$E$3651,PENJUALAN!$C$4:$C$3651,'Current Stock'!A281)</f>
        <v>0</v>
      </c>
      <c r="J281" s="15">
        <f t="shared" si="2"/>
        <v>0</v>
      </c>
      <c r="K281" s="11"/>
      <c r="L281" s="11"/>
      <c r="M281" s="11"/>
      <c r="N281" s="11"/>
      <c r="O281" s="17"/>
      <c r="P281" s="17"/>
    </row>
    <row r="282" ht="13.5" customHeight="1">
      <c r="A282" s="11" t="str">
        <f t="shared" si="1"/>
        <v>SWL-JAZZ07FY</v>
      </c>
      <c r="B282" s="32" t="s">
        <v>486</v>
      </c>
      <c r="C282" s="33" t="s">
        <v>483</v>
      </c>
      <c r="D282" s="33" t="s">
        <v>209</v>
      </c>
      <c r="E282" s="11" t="s">
        <v>123</v>
      </c>
      <c r="F282" s="33" t="s">
        <v>109</v>
      </c>
      <c r="G282" s="11"/>
      <c r="H282" s="11">
        <f>SUMIFS(X!$F$3:$F$5978,X!$D$3:$D$5978,'Current Stock'!A282)</f>
        <v>0</v>
      </c>
      <c r="I282" s="11">
        <f>SUMIFS(PENJUALAN!$E$4:$E$3651,PENJUALAN!$C$4:$C$3651,'Current Stock'!A282)</f>
        <v>0</v>
      </c>
      <c r="J282" s="15">
        <f t="shared" si="2"/>
        <v>0</v>
      </c>
      <c r="K282" s="11"/>
      <c r="L282" s="11"/>
      <c r="M282" s="11"/>
      <c r="N282" s="11"/>
      <c r="O282" s="17"/>
      <c r="P282" s="17"/>
    </row>
    <row r="283" ht="13.5" customHeight="1">
      <c r="A283" s="11" t="str">
        <f t="shared" si="1"/>
        <v>SWR-JAZZ07FY</v>
      </c>
      <c r="B283" s="32" t="s">
        <v>487</v>
      </c>
      <c r="C283" s="33" t="s">
        <v>483</v>
      </c>
      <c r="D283" s="33" t="s">
        <v>243</v>
      </c>
      <c r="E283" s="11" t="s">
        <v>123</v>
      </c>
      <c r="F283" s="33" t="s">
        <v>109</v>
      </c>
      <c r="G283" s="11"/>
      <c r="H283" s="11">
        <f>SUMIFS(X!$F$3:$F$5978,X!$D$3:$D$5978,'Current Stock'!A283)</f>
        <v>0</v>
      </c>
      <c r="I283" s="11">
        <f>SUMIFS(PENJUALAN!$E$4:$E$3651,PENJUALAN!$C$4:$C$3651,'Current Stock'!A283)</f>
        <v>0</v>
      </c>
      <c r="J283" s="15">
        <f t="shared" si="2"/>
        <v>0</v>
      </c>
      <c r="K283" s="11"/>
      <c r="L283" s="11"/>
      <c r="M283" s="11"/>
      <c r="N283" s="11"/>
      <c r="O283" s="17"/>
      <c r="P283" s="17"/>
    </row>
    <row r="284" ht="13.5" customHeight="1">
      <c r="A284" s="11" t="str">
        <f t="shared" si="1"/>
        <v>LFW-JAZZ13FY</v>
      </c>
      <c r="B284" s="32" t="s">
        <v>488</v>
      </c>
      <c r="C284" s="33" t="s">
        <v>489</v>
      </c>
      <c r="D284" s="33" t="s">
        <v>60</v>
      </c>
      <c r="E284" s="11" t="s">
        <v>123</v>
      </c>
      <c r="F284" s="33" t="s">
        <v>137</v>
      </c>
      <c r="G284" s="14">
        <v>45988.0</v>
      </c>
      <c r="H284" s="11">
        <f>SUMIFS(X!$F$3:$F$5978,X!$D$3:$D$5978,'Current Stock'!A284)</f>
        <v>1</v>
      </c>
      <c r="I284" s="11">
        <f>SUMIFS(PENJUALAN!$E$4:$E$3651,PENJUALAN!$C$4:$C$3651,'Current Stock'!A284)</f>
        <v>1</v>
      </c>
      <c r="J284" s="15">
        <f t="shared" si="2"/>
        <v>0</v>
      </c>
      <c r="K284" s="13" t="s">
        <v>430</v>
      </c>
      <c r="L284" s="11"/>
      <c r="M284" s="11"/>
      <c r="N284" s="11"/>
      <c r="O284" s="17"/>
      <c r="P284" s="17"/>
    </row>
    <row r="285" ht="13.5" customHeight="1">
      <c r="A285" s="11" t="str">
        <f t="shared" si="1"/>
        <v>TRW-JAZZ13FY</v>
      </c>
      <c r="B285" s="32" t="s">
        <v>490</v>
      </c>
      <c r="C285" s="33" t="s">
        <v>489</v>
      </c>
      <c r="D285" s="33" t="s">
        <v>62</v>
      </c>
      <c r="E285" s="11" t="s">
        <v>123</v>
      </c>
      <c r="F285" s="33" t="s">
        <v>83</v>
      </c>
      <c r="G285" s="11"/>
      <c r="H285" s="11">
        <f>SUMIFS(X!$F$3:$F$5978,X!$D$3:$D$5978,'Current Stock'!A285)</f>
        <v>0</v>
      </c>
      <c r="I285" s="11">
        <f>SUMIFS(PENJUALAN!$E$4:$E$3651,PENJUALAN!$C$4:$C$3651,'Current Stock'!A285)</f>
        <v>0</v>
      </c>
      <c r="J285" s="15">
        <f t="shared" si="2"/>
        <v>0</v>
      </c>
      <c r="K285" s="11"/>
      <c r="L285" s="11"/>
      <c r="M285" s="11"/>
      <c r="N285" s="11"/>
      <c r="O285" s="17"/>
      <c r="P285" s="17"/>
    </row>
    <row r="286" ht="13.5" customHeight="1">
      <c r="A286" s="11" t="str">
        <f t="shared" si="1"/>
        <v>LFW-LEGENDFY</v>
      </c>
      <c r="B286" s="32" t="s">
        <v>491</v>
      </c>
      <c r="C286" s="33" t="s">
        <v>492</v>
      </c>
      <c r="D286" s="33" t="s">
        <v>60</v>
      </c>
      <c r="E286" s="11" t="s">
        <v>123</v>
      </c>
      <c r="F286" s="33" t="s">
        <v>90</v>
      </c>
      <c r="G286" s="11"/>
      <c r="H286" s="11">
        <f>SUMIFS(X!$F$3:$F$5978,X!$D$3:$D$5978,'Current Stock'!A286)</f>
        <v>0</v>
      </c>
      <c r="I286" s="11">
        <f>SUMIFS(PENJUALAN!$E$4:$E$3651,PENJUALAN!$C$4:$C$3651,'Current Stock'!A286)</f>
        <v>0</v>
      </c>
      <c r="J286" s="15">
        <f t="shared" si="2"/>
        <v>0</v>
      </c>
      <c r="K286" s="11"/>
      <c r="L286" s="11"/>
      <c r="M286" s="11"/>
      <c r="N286" s="11"/>
      <c r="O286" s="17"/>
      <c r="P286" s="17"/>
    </row>
    <row r="287" ht="13.5" customHeight="1">
      <c r="A287" s="11" t="str">
        <f t="shared" si="1"/>
        <v>LFW-ODYSSEY99FY</v>
      </c>
      <c r="B287" s="32" t="s">
        <v>493</v>
      </c>
      <c r="C287" s="33" t="s">
        <v>494</v>
      </c>
      <c r="D287" s="33" t="s">
        <v>60</v>
      </c>
      <c r="E287" s="11" t="s">
        <v>123</v>
      </c>
      <c r="F287" s="33" t="s">
        <v>137</v>
      </c>
      <c r="G287" s="11"/>
      <c r="H287" s="11">
        <f>SUMIFS(X!$F$3:$F$5978,X!$D$3:$D$5978,'Current Stock'!A287)</f>
        <v>0</v>
      </c>
      <c r="I287" s="11">
        <f>SUMIFS(PENJUALAN!$E$4:$E$3651,PENJUALAN!$C$4:$C$3651,'Current Stock'!A287)</f>
        <v>0</v>
      </c>
      <c r="J287" s="15">
        <f t="shared" si="2"/>
        <v>0</v>
      </c>
      <c r="K287" s="11"/>
      <c r="L287" s="11"/>
      <c r="M287" s="11"/>
      <c r="N287" s="11"/>
      <c r="O287" s="17"/>
      <c r="P287" s="17"/>
    </row>
    <row r="288" ht="13.5" customHeight="1">
      <c r="A288" s="11" t="str">
        <f t="shared" si="1"/>
        <v>TRW-ODYSSEY99FY</v>
      </c>
      <c r="B288" s="32" t="s">
        <v>495</v>
      </c>
      <c r="C288" s="33" t="s">
        <v>494</v>
      </c>
      <c r="D288" s="33" t="s">
        <v>62</v>
      </c>
      <c r="E288" s="11" t="s">
        <v>123</v>
      </c>
      <c r="F288" s="33" t="s">
        <v>228</v>
      </c>
      <c r="G288" s="11"/>
      <c r="H288" s="11">
        <f>SUMIFS(X!$F$3:$F$5978,X!$D$3:$D$5978,'Current Stock'!A288)</f>
        <v>0</v>
      </c>
      <c r="I288" s="11">
        <f>SUMIFS(PENJUALAN!$E$4:$E$3651,PENJUALAN!$C$4:$C$3651,'Current Stock'!A288)</f>
        <v>0</v>
      </c>
      <c r="J288" s="15">
        <f t="shared" si="2"/>
        <v>0</v>
      </c>
      <c r="K288" s="11"/>
      <c r="L288" s="11"/>
      <c r="M288" s="11"/>
      <c r="N288" s="11"/>
      <c r="O288" s="17"/>
      <c r="P288" s="17"/>
    </row>
    <row r="289" ht="13.5" customHeight="1">
      <c r="A289" s="11" t="str">
        <f t="shared" si="1"/>
        <v>LFW-ODYSSEY03FY</v>
      </c>
      <c r="B289" s="32" t="s">
        <v>496</v>
      </c>
      <c r="C289" s="33" t="s">
        <v>497</v>
      </c>
      <c r="D289" s="33" t="s">
        <v>60</v>
      </c>
      <c r="E289" s="11" t="s">
        <v>123</v>
      </c>
      <c r="F289" s="33" t="s">
        <v>137</v>
      </c>
      <c r="G289" s="11"/>
      <c r="H289" s="11">
        <f>SUMIFS(X!$F$3:$F$5978,X!$D$3:$D$5978,'Current Stock'!A289)</f>
        <v>0</v>
      </c>
      <c r="I289" s="11">
        <f>SUMIFS(PENJUALAN!$E$4:$E$3651,PENJUALAN!$C$4:$C$3651,'Current Stock'!A289)</f>
        <v>0</v>
      </c>
      <c r="J289" s="15">
        <f t="shared" si="2"/>
        <v>0</v>
      </c>
      <c r="K289" s="11"/>
      <c r="L289" s="11"/>
      <c r="M289" s="16">
        <v>1.0</v>
      </c>
      <c r="N289" s="11"/>
      <c r="O289" s="17"/>
      <c r="P289" s="17"/>
    </row>
    <row r="290" ht="13.5" customHeight="1">
      <c r="A290" s="11" t="str">
        <f t="shared" si="1"/>
        <v>TRW-ODYSSEY03FY</v>
      </c>
      <c r="B290" s="32" t="s">
        <v>498</v>
      </c>
      <c r="C290" s="33" t="s">
        <v>497</v>
      </c>
      <c r="D290" s="33" t="s">
        <v>62</v>
      </c>
      <c r="E290" s="11" t="s">
        <v>123</v>
      </c>
      <c r="F290" s="33" t="s">
        <v>228</v>
      </c>
      <c r="G290" s="11"/>
      <c r="H290" s="11">
        <f>SUMIFS(X!$F$3:$F$5978,X!$D$3:$D$5978,'Current Stock'!A290)</f>
        <v>0</v>
      </c>
      <c r="I290" s="11">
        <f>SUMIFS(PENJUALAN!$E$4:$E$3651,PENJUALAN!$C$4:$C$3651,'Current Stock'!A290)</f>
        <v>0</v>
      </c>
      <c r="J290" s="15">
        <f t="shared" si="2"/>
        <v>0</v>
      </c>
      <c r="K290" s="11"/>
      <c r="L290" s="11"/>
      <c r="M290" s="11"/>
      <c r="N290" s="11"/>
      <c r="O290" s="17"/>
      <c r="P290" s="17"/>
    </row>
    <row r="291" ht="13.5" customHeight="1">
      <c r="A291" s="11" t="str">
        <f t="shared" si="1"/>
        <v>FDL-ODYSSEY03FY</v>
      </c>
      <c r="B291" s="32" t="s">
        <v>499</v>
      </c>
      <c r="C291" s="33" t="s">
        <v>497</v>
      </c>
      <c r="D291" s="33" t="s">
        <v>140</v>
      </c>
      <c r="E291" s="11" t="s">
        <v>123</v>
      </c>
      <c r="F291" s="33"/>
      <c r="G291" s="11"/>
      <c r="H291" s="11">
        <f>SUMIFS(X!$F$3:$F$5978,X!$D$3:$D$5978,'Current Stock'!A291)</f>
        <v>0</v>
      </c>
      <c r="I291" s="11">
        <f>SUMIFS(PENJUALAN!$E$4:$E$3651,PENJUALAN!$C$4:$C$3651,'Current Stock'!A291)</f>
        <v>0</v>
      </c>
      <c r="J291" s="15">
        <f t="shared" si="2"/>
        <v>0</v>
      </c>
      <c r="K291" s="11"/>
      <c r="L291" s="11"/>
      <c r="M291" s="11"/>
      <c r="N291" s="11"/>
      <c r="O291" s="17"/>
      <c r="P291" s="17"/>
    </row>
    <row r="292" ht="13.5" customHeight="1">
      <c r="A292" s="11" t="str">
        <f t="shared" si="1"/>
        <v>FDR-ODYSSEY03FY</v>
      </c>
      <c r="B292" s="32" t="s">
        <v>500</v>
      </c>
      <c r="C292" s="33" t="s">
        <v>497</v>
      </c>
      <c r="D292" s="33" t="s">
        <v>142</v>
      </c>
      <c r="E292" s="11" t="s">
        <v>123</v>
      </c>
      <c r="F292" s="33"/>
      <c r="G292" s="11"/>
      <c r="H292" s="11">
        <f>SUMIFS(X!$F$3:$F$5978,X!$D$3:$D$5978,'Current Stock'!A292)</f>
        <v>0</v>
      </c>
      <c r="I292" s="11">
        <f>SUMIFS(PENJUALAN!$E$4:$E$3651,PENJUALAN!$C$4:$C$3651,'Current Stock'!A292)</f>
        <v>0</v>
      </c>
      <c r="J292" s="15">
        <f t="shared" si="2"/>
        <v>0</v>
      </c>
      <c r="K292" s="11"/>
      <c r="L292" s="11"/>
      <c r="M292" s="11"/>
      <c r="N292" s="11"/>
      <c r="O292" s="17"/>
      <c r="P292" s="17"/>
    </row>
    <row r="293" ht="13.5" customHeight="1">
      <c r="A293" s="11" t="str">
        <f t="shared" si="1"/>
        <v>RDL-ODYSSEY03FY</v>
      </c>
      <c r="B293" s="32" t="s">
        <v>501</v>
      </c>
      <c r="C293" s="33" t="s">
        <v>497</v>
      </c>
      <c r="D293" s="33" t="s">
        <v>144</v>
      </c>
      <c r="E293" s="11" t="s">
        <v>123</v>
      </c>
      <c r="F293" s="33"/>
      <c r="G293" s="11"/>
      <c r="H293" s="11">
        <f>SUMIFS(X!$F$3:$F$5978,X!$D$3:$D$5978,'Current Stock'!A293)</f>
        <v>0</v>
      </c>
      <c r="I293" s="11">
        <f>SUMIFS(PENJUALAN!$E$4:$E$3651,PENJUALAN!$C$4:$C$3651,'Current Stock'!A293)</f>
        <v>0</v>
      </c>
      <c r="J293" s="15">
        <f t="shared" si="2"/>
        <v>0</v>
      </c>
      <c r="K293" s="11"/>
      <c r="L293" s="11"/>
      <c r="M293" s="11"/>
      <c r="N293" s="11"/>
      <c r="O293" s="17"/>
      <c r="P293" s="17"/>
    </row>
    <row r="294" ht="13.5" customHeight="1">
      <c r="A294" s="11" t="str">
        <f t="shared" si="1"/>
        <v>RDR-ODYSSEY03FY</v>
      </c>
      <c r="B294" s="32" t="s">
        <v>502</v>
      </c>
      <c r="C294" s="33" t="s">
        <v>497</v>
      </c>
      <c r="D294" s="33" t="s">
        <v>146</v>
      </c>
      <c r="E294" s="11" t="s">
        <v>123</v>
      </c>
      <c r="F294" s="33"/>
      <c r="G294" s="11"/>
      <c r="H294" s="11">
        <f>SUMIFS(X!$F$3:$F$5978,X!$D$3:$D$5978,'Current Stock'!A294)</f>
        <v>0</v>
      </c>
      <c r="I294" s="11">
        <f>SUMIFS(PENJUALAN!$E$4:$E$3651,PENJUALAN!$C$4:$C$3651,'Current Stock'!A294)</f>
        <v>0</v>
      </c>
      <c r="J294" s="15">
        <f t="shared" si="2"/>
        <v>0</v>
      </c>
      <c r="K294" s="11"/>
      <c r="L294" s="11"/>
      <c r="M294" s="11"/>
      <c r="N294" s="11"/>
      <c r="O294" s="17"/>
      <c r="P294" s="17"/>
    </row>
    <row r="295" ht="13.5" customHeight="1">
      <c r="A295" s="11" t="str">
        <f t="shared" si="1"/>
        <v>SWL-ODYSSEY03FY</v>
      </c>
      <c r="B295" s="32" t="s">
        <v>503</v>
      </c>
      <c r="C295" s="33" t="s">
        <v>497</v>
      </c>
      <c r="D295" s="33" t="s">
        <v>209</v>
      </c>
      <c r="E295" s="11" t="s">
        <v>123</v>
      </c>
      <c r="F295" s="33" t="s">
        <v>109</v>
      </c>
      <c r="G295" s="11"/>
      <c r="H295" s="11">
        <f>SUMIFS(X!$F$3:$F$5978,X!$D$3:$D$5978,'Current Stock'!A295)</f>
        <v>0</v>
      </c>
      <c r="I295" s="11">
        <f>SUMIFS(PENJUALAN!$E$4:$E$3651,PENJUALAN!$C$4:$C$3651,'Current Stock'!A295)</f>
        <v>0</v>
      </c>
      <c r="J295" s="15">
        <f t="shared" si="2"/>
        <v>0</v>
      </c>
      <c r="K295" s="11"/>
      <c r="L295" s="11"/>
      <c r="M295" s="11"/>
      <c r="N295" s="11"/>
      <c r="O295" s="17"/>
      <c r="P295" s="17"/>
    </row>
    <row r="296" ht="13.5" customHeight="1">
      <c r="A296" s="11" t="str">
        <f t="shared" si="1"/>
        <v>SWR-ODYSSEY03FY</v>
      </c>
      <c r="B296" s="32" t="s">
        <v>504</v>
      </c>
      <c r="C296" s="33" t="s">
        <v>497</v>
      </c>
      <c r="D296" s="33" t="s">
        <v>243</v>
      </c>
      <c r="E296" s="11" t="s">
        <v>123</v>
      </c>
      <c r="F296" s="33" t="s">
        <v>241</v>
      </c>
      <c r="G296" s="11"/>
      <c r="H296" s="11">
        <f>SUMIFS(X!$F$3:$F$5978,X!$D$3:$D$5978,'Current Stock'!A296)</f>
        <v>0</v>
      </c>
      <c r="I296" s="11">
        <f>SUMIFS(PENJUALAN!$E$4:$E$3651,PENJUALAN!$C$4:$C$3651,'Current Stock'!A296)</f>
        <v>0</v>
      </c>
      <c r="J296" s="15">
        <f t="shared" si="2"/>
        <v>0</v>
      </c>
      <c r="K296" s="11"/>
      <c r="L296" s="11"/>
      <c r="M296" s="11"/>
      <c r="N296" s="11"/>
      <c r="O296" s="17"/>
      <c r="P296" s="17"/>
    </row>
    <row r="297" ht="13.5" customHeight="1">
      <c r="A297" s="11" t="str">
        <f t="shared" si="1"/>
        <v>LFW-ODYSSEY09FY</v>
      </c>
      <c r="B297" s="32" t="s">
        <v>505</v>
      </c>
      <c r="C297" s="33" t="s">
        <v>506</v>
      </c>
      <c r="D297" s="33" t="s">
        <v>60</v>
      </c>
      <c r="E297" s="11" t="s">
        <v>123</v>
      </c>
      <c r="F297" s="33" t="s">
        <v>137</v>
      </c>
      <c r="G297" s="11"/>
      <c r="H297" s="11">
        <f>SUMIFS(X!$F$3:$F$5978,X!$D$3:$D$5978,'Current Stock'!A297)</f>
        <v>0</v>
      </c>
      <c r="I297" s="11">
        <f>SUMIFS(PENJUALAN!$E$4:$E$3651,PENJUALAN!$C$4:$C$3651,'Current Stock'!A297)</f>
        <v>0</v>
      </c>
      <c r="J297" s="15">
        <f t="shared" si="2"/>
        <v>0</v>
      </c>
      <c r="K297" s="11"/>
      <c r="L297" s="11"/>
      <c r="M297" s="11"/>
      <c r="N297" s="11"/>
      <c r="O297" s="17"/>
      <c r="P297" s="17"/>
    </row>
    <row r="298" ht="13.5" customHeight="1">
      <c r="A298" s="11" t="str">
        <f t="shared" si="1"/>
        <v>FDL-ODYSSEY09FY</v>
      </c>
      <c r="B298" s="32" t="s">
        <v>507</v>
      </c>
      <c r="C298" s="33" t="s">
        <v>506</v>
      </c>
      <c r="D298" s="33" t="s">
        <v>140</v>
      </c>
      <c r="E298" s="11" t="s">
        <v>123</v>
      </c>
      <c r="F298" s="33"/>
      <c r="G298" s="11"/>
      <c r="H298" s="11">
        <f>SUMIFS(X!$F$3:$F$5978,X!$D$3:$D$5978,'Current Stock'!A298)</f>
        <v>0</v>
      </c>
      <c r="I298" s="11">
        <f>SUMIFS(PENJUALAN!$E$4:$E$3651,PENJUALAN!$C$4:$C$3651,'Current Stock'!A298)</f>
        <v>0</v>
      </c>
      <c r="J298" s="15">
        <f t="shared" si="2"/>
        <v>0</v>
      </c>
      <c r="K298" s="11"/>
      <c r="L298" s="11"/>
      <c r="M298" s="11"/>
      <c r="N298" s="11"/>
      <c r="O298" s="17"/>
      <c r="P298" s="17"/>
    </row>
    <row r="299" ht="13.5" customHeight="1">
      <c r="A299" s="11" t="str">
        <f t="shared" si="1"/>
        <v>FDR-ODYSSEY09FY</v>
      </c>
      <c r="B299" s="32" t="s">
        <v>508</v>
      </c>
      <c r="C299" s="33" t="s">
        <v>506</v>
      </c>
      <c r="D299" s="33" t="s">
        <v>142</v>
      </c>
      <c r="E299" s="11" t="s">
        <v>123</v>
      </c>
      <c r="F299" s="33"/>
      <c r="G299" s="11"/>
      <c r="H299" s="11">
        <f>SUMIFS(X!$F$3:$F$5978,X!$D$3:$D$5978,'Current Stock'!A299)</f>
        <v>0</v>
      </c>
      <c r="I299" s="11">
        <f>SUMIFS(PENJUALAN!$E$4:$E$3651,PENJUALAN!$C$4:$C$3651,'Current Stock'!A299)</f>
        <v>0</v>
      </c>
      <c r="J299" s="15">
        <f t="shared" si="2"/>
        <v>0</v>
      </c>
      <c r="K299" s="11"/>
      <c r="L299" s="11"/>
      <c r="M299" s="11"/>
      <c r="N299" s="11"/>
      <c r="O299" s="17"/>
      <c r="P299" s="17"/>
    </row>
    <row r="300" ht="13.5" customHeight="1">
      <c r="A300" s="11" t="str">
        <f t="shared" si="1"/>
        <v>RDL-ODYSSEY09FY</v>
      </c>
      <c r="B300" s="32" t="s">
        <v>509</v>
      </c>
      <c r="C300" s="33" t="s">
        <v>506</v>
      </c>
      <c r="D300" s="33" t="s">
        <v>144</v>
      </c>
      <c r="E300" s="11" t="s">
        <v>123</v>
      </c>
      <c r="F300" s="33"/>
      <c r="G300" s="11"/>
      <c r="H300" s="11">
        <f>SUMIFS(X!$F$3:$F$5978,X!$D$3:$D$5978,'Current Stock'!A300)</f>
        <v>0</v>
      </c>
      <c r="I300" s="11">
        <f>SUMIFS(PENJUALAN!$E$4:$E$3651,PENJUALAN!$C$4:$C$3651,'Current Stock'!A300)</f>
        <v>0</v>
      </c>
      <c r="J300" s="15">
        <f t="shared" si="2"/>
        <v>0</v>
      </c>
      <c r="K300" s="11"/>
      <c r="L300" s="11"/>
      <c r="M300" s="11"/>
      <c r="N300" s="11"/>
      <c r="O300" s="17"/>
      <c r="P300" s="17"/>
    </row>
    <row r="301" ht="13.5" customHeight="1">
      <c r="A301" s="11" t="str">
        <f t="shared" si="1"/>
        <v>RDR-ODYSSEY09FY</v>
      </c>
      <c r="B301" s="32" t="s">
        <v>510</v>
      </c>
      <c r="C301" s="33" t="s">
        <v>506</v>
      </c>
      <c r="D301" s="33" t="s">
        <v>146</v>
      </c>
      <c r="E301" s="11" t="s">
        <v>123</v>
      </c>
      <c r="F301" s="33"/>
      <c r="G301" s="11"/>
      <c r="H301" s="11">
        <f>SUMIFS(X!$F$3:$F$5978,X!$D$3:$D$5978,'Current Stock'!A301)</f>
        <v>0</v>
      </c>
      <c r="I301" s="11">
        <f>SUMIFS(PENJUALAN!$E$4:$E$3651,PENJUALAN!$C$4:$C$3651,'Current Stock'!A301)</f>
        <v>0</v>
      </c>
      <c r="J301" s="15">
        <f t="shared" si="2"/>
        <v>0</v>
      </c>
      <c r="K301" s="11"/>
      <c r="L301" s="11"/>
      <c r="M301" s="11"/>
      <c r="N301" s="11"/>
      <c r="O301" s="17"/>
      <c r="P301" s="17"/>
    </row>
    <row r="302" ht="13.5" customHeight="1">
      <c r="A302" s="11" t="str">
        <f t="shared" si="1"/>
        <v>SWL-ODYSSEY09FY</v>
      </c>
      <c r="B302" s="32" t="s">
        <v>511</v>
      </c>
      <c r="C302" s="33" t="s">
        <v>506</v>
      </c>
      <c r="D302" s="33" t="s">
        <v>209</v>
      </c>
      <c r="E302" s="11" t="s">
        <v>123</v>
      </c>
      <c r="F302" s="33" t="s">
        <v>109</v>
      </c>
      <c r="G302" s="11"/>
      <c r="H302" s="11">
        <f>SUMIFS(X!$F$3:$F$5978,X!$D$3:$D$5978,'Current Stock'!A302)</f>
        <v>0</v>
      </c>
      <c r="I302" s="11">
        <f>SUMIFS(PENJUALAN!$E$4:$E$3651,PENJUALAN!$C$4:$C$3651,'Current Stock'!A302)</f>
        <v>0</v>
      </c>
      <c r="J302" s="15">
        <f t="shared" si="2"/>
        <v>0</v>
      </c>
      <c r="K302" s="11"/>
      <c r="L302" s="11"/>
      <c r="M302" s="11"/>
      <c r="N302" s="11"/>
      <c r="O302" s="17"/>
      <c r="P302" s="17"/>
    </row>
    <row r="303" ht="13.5" customHeight="1">
      <c r="A303" s="11" t="str">
        <f t="shared" si="1"/>
        <v>SWR-ODYSSEY09FY</v>
      </c>
      <c r="B303" s="32" t="s">
        <v>512</v>
      </c>
      <c r="C303" s="33" t="s">
        <v>506</v>
      </c>
      <c r="D303" s="33" t="s">
        <v>243</v>
      </c>
      <c r="E303" s="11" t="s">
        <v>123</v>
      </c>
      <c r="F303" s="33" t="s">
        <v>241</v>
      </c>
      <c r="G303" s="11"/>
      <c r="H303" s="11">
        <f>SUMIFS(X!$F$3:$F$5978,X!$D$3:$D$5978,'Current Stock'!A303)</f>
        <v>0</v>
      </c>
      <c r="I303" s="11">
        <f>SUMIFS(PENJUALAN!$E$4:$E$3651,PENJUALAN!$C$4:$C$3651,'Current Stock'!A303)</f>
        <v>0</v>
      </c>
      <c r="J303" s="15">
        <f t="shared" si="2"/>
        <v>0</v>
      </c>
      <c r="K303" s="11"/>
      <c r="L303" s="11"/>
      <c r="M303" s="11"/>
      <c r="N303" s="11"/>
      <c r="O303" s="17"/>
      <c r="P303" s="17"/>
    </row>
    <row r="304" ht="13.5" customHeight="1">
      <c r="A304" s="11" t="str">
        <f t="shared" si="1"/>
        <v>LFW-ODYSSEY13FY</v>
      </c>
      <c r="B304" s="32" t="s">
        <v>513</v>
      </c>
      <c r="C304" s="33" t="s">
        <v>514</v>
      </c>
      <c r="D304" s="33" t="s">
        <v>60</v>
      </c>
      <c r="E304" s="11" t="s">
        <v>123</v>
      </c>
      <c r="F304" s="33" t="s">
        <v>137</v>
      </c>
      <c r="G304" s="11"/>
      <c r="H304" s="11">
        <f>SUMIFS(X!$F$3:$F$5978,X!$D$3:$D$5978,'Current Stock'!A304)</f>
        <v>0</v>
      </c>
      <c r="I304" s="11">
        <f>SUMIFS(PENJUALAN!$E$4:$E$3651,PENJUALAN!$C$4:$C$3651,'Current Stock'!A304)</f>
        <v>0</v>
      </c>
      <c r="J304" s="15">
        <f t="shared" si="2"/>
        <v>0</v>
      </c>
      <c r="K304" s="11"/>
      <c r="L304" s="11"/>
      <c r="M304" s="11"/>
      <c r="N304" s="11"/>
      <c r="O304" s="17"/>
      <c r="P304" s="17"/>
    </row>
    <row r="305" ht="13.5" customHeight="1">
      <c r="A305" s="11" t="str">
        <f t="shared" si="1"/>
        <v>TRW-ODYSSEY13FY</v>
      </c>
      <c r="B305" s="32" t="s">
        <v>515</v>
      </c>
      <c r="C305" s="33" t="s">
        <v>514</v>
      </c>
      <c r="D305" s="33" t="s">
        <v>62</v>
      </c>
      <c r="E305" s="11" t="s">
        <v>123</v>
      </c>
      <c r="F305" s="33" t="s">
        <v>228</v>
      </c>
      <c r="G305" s="11"/>
      <c r="H305" s="11">
        <f>SUMIFS(X!$F$3:$F$5978,X!$D$3:$D$5978,'Current Stock'!A305)</f>
        <v>0</v>
      </c>
      <c r="I305" s="11">
        <f>SUMIFS(PENJUALAN!$E$4:$E$3651,PENJUALAN!$C$4:$C$3651,'Current Stock'!A305)</f>
        <v>0</v>
      </c>
      <c r="J305" s="15">
        <f t="shared" si="2"/>
        <v>0</v>
      </c>
      <c r="K305" s="11"/>
      <c r="L305" s="11"/>
      <c r="M305" s="11"/>
      <c r="N305" s="11"/>
      <c r="O305" s="17"/>
      <c r="P305" s="17"/>
    </row>
    <row r="306" ht="13.5" customHeight="1">
      <c r="A306" s="11" t="str">
        <f t="shared" si="1"/>
        <v>RDL-ODYSSEY13FY</v>
      </c>
      <c r="B306" s="32" t="s">
        <v>516</v>
      </c>
      <c r="C306" s="33" t="s">
        <v>514</v>
      </c>
      <c r="D306" s="33" t="s">
        <v>144</v>
      </c>
      <c r="E306" s="11" t="s">
        <v>123</v>
      </c>
      <c r="F306" s="33"/>
      <c r="G306" s="11"/>
      <c r="H306" s="11">
        <f>SUMIFS(X!$F$3:$F$5978,X!$D$3:$D$5978,'Current Stock'!A306)</f>
        <v>0</v>
      </c>
      <c r="I306" s="11">
        <f>SUMIFS(PENJUALAN!$E$4:$E$3651,PENJUALAN!$C$4:$C$3651,'Current Stock'!A306)</f>
        <v>0</v>
      </c>
      <c r="J306" s="15">
        <f t="shared" si="2"/>
        <v>0</v>
      </c>
      <c r="K306" s="11"/>
      <c r="L306" s="11"/>
      <c r="M306" s="11"/>
      <c r="N306" s="11"/>
      <c r="O306" s="17"/>
      <c r="P306" s="17"/>
    </row>
    <row r="307" ht="13.5" customHeight="1">
      <c r="A307" s="11" t="str">
        <f t="shared" si="1"/>
        <v>RDR-ODYSSEY13FY</v>
      </c>
      <c r="B307" s="32" t="s">
        <v>517</v>
      </c>
      <c r="C307" s="33" t="s">
        <v>514</v>
      </c>
      <c r="D307" s="33" t="s">
        <v>146</v>
      </c>
      <c r="E307" s="11" t="s">
        <v>123</v>
      </c>
      <c r="F307" s="33"/>
      <c r="G307" s="11"/>
      <c r="H307" s="11">
        <f>SUMIFS(X!$F$3:$F$5978,X!$D$3:$D$5978,'Current Stock'!A307)</f>
        <v>0</v>
      </c>
      <c r="I307" s="11">
        <f>SUMIFS(PENJUALAN!$E$4:$E$3651,PENJUALAN!$C$4:$C$3651,'Current Stock'!A307)</f>
        <v>0</v>
      </c>
      <c r="J307" s="15">
        <f t="shared" si="2"/>
        <v>0</v>
      </c>
      <c r="K307" s="11"/>
      <c r="L307" s="11"/>
      <c r="M307" s="11"/>
      <c r="N307" s="11"/>
      <c r="O307" s="17"/>
      <c r="P307" s="17"/>
    </row>
    <row r="308" ht="13.5" customHeight="1">
      <c r="A308" s="11" t="str">
        <f t="shared" si="1"/>
        <v>SWL-ODYSSEY13FY</v>
      </c>
      <c r="B308" s="32" t="s">
        <v>518</v>
      </c>
      <c r="C308" s="33" t="s">
        <v>514</v>
      </c>
      <c r="D308" s="33" t="s">
        <v>209</v>
      </c>
      <c r="E308" s="11" t="s">
        <v>123</v>
      </c>
      <c r="F308" s="33" t="s">
        <v>241</v>
      </c>
      <c r="G308" s="11"/>
      <c r="H308" s="11">
        <f>SUMIFS(X!$F$3:$F$5978,X!$D$3:$D$5978,'Current Stock'!A308)</f>
        <v>0</v>
      </c>
      <c r="I308" s="11">
        <f>SUMIFS(PENJUALAN!$E$4:$E$3651,PENJUALAN!$C$4:$C$3651,'Current Stock'!A308)</f>
        <v>0</v>
      </c>
      <c r="J308" s="15">
        <f t="shared" si="2"/>
        <v>0</v>
      </c>
      <c r="K308" s="11"/>
      <c r="L308" s="11"/>
      <c r="M308" s="11"/>
      <c r="N308" s="11"/>
      <c r="O308" s="17"/>
      <c r="P308" s="17"/>
    </row>
    <row r="309" ht="13.5" customHeight="1">
      <c r="A309" s="11" t="str">
        <f t="shared" si="1"/>
        <v>TRW-STREAM00FY</v>
      </c>
      <c r="B309" s="32" t="s">
        <v>519</v>
      </c>
      <c r="C309" s="33" t="s">
        <v>520</v>
      </c>
      <c r="D309" s="33" t="s">
        <v>62</v>
      </c>
      <c r="E309" s="11" t="s">
        <v>123</v>
      </c>
      <c r="F309" s="33" t="s">
        <v>228</v>
      </c>
      <c r="G309" s="11"/>
      <c r="H309" s="11">
        <f>SUMIFS(X!$F$3:$F$5978,X!$D$3:$D$5978,'Current Stock'!A309)</f>
        <v>0</v>
      </c>
      <c r="I309" s="11">
        <f>SUMIFS(PENJUALAN!$E$4:$E$3651,PENJUALAN!$C$4:$C$3651,'Current Stock'!A309)</f>
        <v>0</v>
      </c>
      <c r="J309" s="15">
        <f t="shared" si="2"/>
        <v>0</v>
      </c>
      <c r="K309" s="11"/>
      <c r="L309" s="11"/>
      <c r="M309" s="11"/>
      <c r="N309" s="11"/>
      <c r="O309" s="17"/>
      <c r="P309" s="17"/>
    </row>
    <row r="310" ht="13.5" customHeight="1">
      <c r="A310" s="11" t="str">
        <f t="shared" si="1"/>
        <v>RDR-STREAM00FY</v>
      </c>
      <c r="B310" s="32" t="s">
        <v>521</v>
      </c>
      <c r="C310" s="33" t="s">
        <v>520</v>
      </c>
      <c r="D310" s="33" t="s">
        <v>146</v>
      </c>
      <c r="E310" s="11" t="s">
        <v>123</v>
      </c>
      <c r="F310" s="33"/>
      <c r="G310" s="11"/>
      <c r="H310" s="11">
        <f>SUMIFS(X!$F$3:$F$5978,X!$D$3:$D$5978,'Current Stock'!A310)</f>
        <v>0</v>
      </c>
      <c r="I310" s="11">
        <f>SUMIFS(PENJUALAN!$E$4:$E$3651,PENJUALAN!$C$4:$C$3651,'Current Stock'!A310)</f>
        <v>0</v>
      </c>
      <c r="J310" s="15">
        <f t="shared" si="2"/>
        <v>0</v>
      </c>
      <c r="K310" s="11"/>
      <c r="L310" s="11"/>
      <c r="M310" s="11"/>
      <c r="N310" s="11"/>
      <c r="O310" s="17"/>
      <c r="P310" s="17"/>
    </row>
    <row r="311" ht="13.5" customHeight="1">
      <c r="A311" s="11" t="str">
        <f t="shared" si="1"/>
        <v>LFW-STREAM00MBFY</v>
      </c>
      <c r="B311" s="32" t="s">
        <v>522</v>
      </c>
      <c r="C311" s="33" t="s">
        <v>523</v>
      </c>
      <c r="D311" s="33" t="s">
        <v>60</v>
      </c>
      <c r="E311" s="11" t="s">
        <v>123</v>
      </c>
      <c r="F311" s="33" t="s">
        <v>137</v>
      </c>
      <c r="G311" s="11"/>
      <c r="H311" s="11">
        <f>SUMIFS(X!$F$3:$F$5978,X!$D$3:$D$5978,'Current Stock'!A311)</f>
        <v>0</v>
      </c>
      <c r="I311" s="11">
        <f>SUMIFS(PENJUALAN!$E$4:$E$3651,PENJUALAN!$C$4:$C$3651,'Current Stock'!A311)</f>
        <v>0</v>
      </c>
      <c r="J311" s="15">
        <f t="shared" si="2"/>
        <v>0</v>
      </c>
      <c r="K311" s="11"/>
      <c r="L311" s="11"/>
      <c r="M311" s="11"/>
      <c r="N311" s="11"/>
      <c r="O311" s="17"/>
      <c r="P311" s="17"/>
    </row>
    <row r="312" ht="13.5" customHeight="1">
      <c r="A312" s="11" t="str">
        <f t="shared" si="1"/>
        <v>TRW-VERNA00FY</v>
      </c>
      <c r="B312" s="32" t="s">
        <v>524</v>
      </c>
      <c r="C312" s="33" t="s">
        <v>525</v>
      </c>
      <c r="D312" s="33" t="s">
        <v>62</v>
      </c>
      <c r="E312" s="11" t="s">
        <v>123</v>
      </c>
      <c r="F312" s="33" t="s">
        <v>83</v>
      </c>
      <c r="G312" s="11"/>
      <c r="H312" s="11">
        <f>SUMIFS(X!$F$3:$F$5978,X!$D$3:$D$5978,'Current Stock'!A312)</f>
        <v>0</v>
      </c>
      <c r="I312" s="11">
        <f>SUMIFS(PENJUALAN!$E$4:$E$3651,PENJUALAN!$C$4:$C$3651,'Current Stock'!A312)</f>
        <v>0</v>
      </c>
      <c r="J312" s="15">
        <f t="shared" si="2"/>
        <v>0</v>
      </c>
      <c r="K312" s="11"/>
      <c r="L312" s="11"/>
      <c r="M312" s="11"/>
      <c r="N312" s="11"/>
      <c r="O312" s="17"/>
      <c r="P312" s="17"/>
    </row>
    <row r="313" ht="13.5" customHeight="1">
      <c r="A313" s="11" t="str">
        <f t="shared" si="1"/>
        <v>LFW-ELANTRAFY</v>
      </c>
      <c r="B313" s="32" t="s">
        <v>526</v>
      </c>
      <c r="C313" s="33" t="s">
        <v>527</v>
      </c>
      <c r="D313" s="33" t="s">
        <v>60</v>
      </c>
      <c r="E313" s="11" t="s">
        <v>123</v>
      </c>
      <c r="F313" s="33" t="s">
        <v>137</v>
      </c>
      <c r="G313" s="11"/>
      <c r="H313" s="11">
        <f>SUMIFS(X!$F$3:$F$5978,X!$D$3:$D$5978,'Current Stock'!A313)</f>
        <v>0</v>
      </c>
      <c r="I313" s="11">
        <f>SUMIFS(PENJUALAN!$E$4:$E$3651,PENJUALAN!$C$4:$C$3651,'Current Stock'!A313)</f>
        <v>0</v>
      </c>
      <c r="J313" s="15">
        <f t="shared" si="2"/>
        <v>0</v>
      </c>
      <c r="K313" s="11"/>
      <c r="L313" s="11"/>
      <c r="M313" s="11"/>
      <c r="N313" s="11"/>
      <c r="O313" s="17"/>
      <c r="P313" s="17"/>
    </row>
    <row r="314" ht="13.5" customHeight="1">
      <c r="A314" s="11" t="str">
        <f t="shared" si="1"/>
        <v>LFW-GETZFY</v>
      </c>
      <c r="B314" s="32" t="s">
        <v>528</v>
      </c>
      <c r="C314" s="33" t="s">
        <v>529</v>
      </c>
      <c r="D314" s="33" t="s">
        <v>60</v>
      </c>
      <c r="E314" s="11" t="s">
        <v>123</v>
      </c>
      <c r="F314" s="33" t="s">
        <v>137</v>
      </c>
      <c r="G314" s="11"/>
      <c r="H314" s="11">
        <f>SUMIFS(X!$F$3:$F$5978,X!$D$3:$D$5978,'Current Stock'!A314)</f>
        <v>0</v>
      </c>
      <c r="I314" s="11">
        <f>SUMIFS(PENJUALAN!$E$4:$E$3651,PENJUALAN!$C$4:$C$3651,'Current Stock'!A314)</f>
        <v>0</v>
      </c>
      <c r="J314" s="15">
        <f t="shared" si="2"/>
        <v>0</v>
      </c>
      <c r="K314" s="11"/>
      <c r="L314" s="11"/>
      <c r="M314" s="11"/>
      <c r="N314" s="11"/>
      <c r="O314" s="17"/>
      <c r="P314" s="17"/>
    </row>
    <row r="315" ht="13.5" customHeight="1">
      <c r="A315" s="11" t="str">
        <f t="shared" si="1"/>
        <v>TRW-GETZFY</v>
      </c>
      <c r="B315" s="32" t="s">
        <v>530</v>
      </c>
      <c r="C315" s="33" t="s">
        <v>529</v>
      </c>
      <c r="D315" s="33" t="s">
        <v>62</v>
      </c>
      <c r="E315" s="11" t="s">
        <v>123</v>
      </c>
      <c r="F315" s="33" t="s">
        <v>228</v>
      </c>
      <c r="G315" s="11"/>
      <c r="H315" s="11">
        <f>SUMIFS(X!$F$3:$F$5978,X!$D$3:$D$5978,'Current Stock'!A315)</f>
        <v>0</v>
      </c>
      <c r="I315" s="11">
        <f>SUMIFS(PENJUALAN!$E$4:$E$3651,PENJUALAN!$C$4:$C$3651,'Current Stock'!A315)</f>
        <v>0</v>
      </c>
      <c r="J315" s="15">
        <f t="shared" si="2"/>
        <v>0</v>
      </c>
      <c r="K315" s="11"/>
      <c r="L315" s="11"/>
      <c r="M315" s="11"/>
      <c r="N315" s="11"/>
      <c r="O315" s="17"/>
      <c r="P315" s="17"/>
    </row>
    <row r="316" ht="13.5" customHeight="1">
      <c r="A316" s="11" t="str">
        <f t="shared" si="1"/>
        <v>FDL-GETZFY</v>
      </c>
      <c r="B316" s="32" t="s">
        <v>531</v>
      </c>
      <c r="C316" s="33" t="s">
        <v>529</v>
      </c>
      <c r="D316" s="33" t="s">
        <v>140</v>
      </c>
      <c r="E316" s="11" t="s">
        <v>123</v>
      </c>
      <c r="F316" s="33" t="s">
        <v>152</v>
      </c>
      <c r="G316" s="11"/>
      <c r="H316" s="11">
        <f>SUMIFS(X!$F$3:$F$5978,X!$D$3:$D$5978,'Current Stock'!A316)</f>
        <v>0</v>
      </c>
      <c r="I316" s="11">
        <f>SUMIFS(PENJUALAN!$E$4:$E$3651,PENJUALAN!$C$4:$C$3651,'Current Stock'!A316)</f>
        <v>0</v>
      </c>
      <c r="J316" s="15">
        <f t="shared" si="2"/>
        <v>0</v>
      </c>
      <c r="K316" s="11"/>
      <c r="L316" s="11"/>
      <c r="M316" s="11"/>
      <c r="N316" s="11"/>
      <c r="O316" s="17"/>
      <c r="P316" s="17"/>
    </row>
    <row r="317" ht="13.5" customHeight="1">
      <c r="A317" s="11" t="str">
        <f t="shared" si="1"/>
        <v>FDR-GETZFY</v>
      </c>
      <c r="B317" s="32" t="s">
        <v>532</v>
      </c>
      <c r="C317" s="33" t="s">
        <v>529</v>
      </c>
      <c r="D317" s="33" t="s">
        <v>142</v>
      </c>
      <c r="E317" s="11" t="s">
        <v>123</v>
      </c>
      <c r="F317" s="33" t="s">
        <v>152</v>
      </c>
      <c r="G317" s="11"/>
      <c r="H317" s="11">
        <f>SUMIFS(X!$F$3:$F$5978,X!$D$3:$D$5978,'Current Stock'!A317)</f>
        <v>0</v>
      </c>
      <c r="I317" s="11">
        <f>SUMIFS(PENJUALAN!$E$4:$E$3651,PENJUALAN!$C$4:$C$3651,'Current Stock'!A317)</f>
        <v>0</v>
      </c>
      <c r="J317" s="15">
        <f t="shared" si="2"/>
        <v>0</v>
      </c>
      <c r="K317" s="11"/>
      <c r="L317" s="11"/>
      <c r="M317" s="11"/>
      <c r="N317" s="11"/>
      <c r="O317" s="17"/>
      <c r="P317" s="17"/>
    </row>
    <row r="318" ht="13.5" customHeight="1">
      <c r="A318" s="11" t="str">
        <f t="shared" si="1"/>
        <v>RDL-GETZFY</v>
      </c>
      <c r="B318" s="32" t="s">
        <v>533</v>
      </c>
      <c r="C318" s="33" t="s">
        <v>529</v>
      </c>
      <c r="D318" s="33" t="s">
        <v>144</v>
      </c>
      <c r="E318" s="11" t="s">
        <v>123</v>
      </c>
      <c r="F318" s="33"/>
      <c r="G318" s="11"/>
      <c r="H318" s="11">
        <f>SUMIFS(X!$F$3:$F$5978,X!$D$3:$D$5978,'Current Stock'!A318)</f>
        <v>0</v>
      </c>
      <c r="I318" s="11">
        <f>SUMIFS(PENJUALAN!$E$4:$E$3651,PENJUALAN!$C$4:$C$3651,'Current Stock'!A318)</f>
        <v>0</v>
      </c>
      <c r="J318" s="15">
        <f t="shared" si="2"/>
        <v>0</v>
      </c>
      <c r="K318" s="11"/>
      <c r="L318" s="11"/>
      <c r="M318" s="11"/>
      <c r="N318" s="11"/>
      <c r="O318" s="17"/>
      <c r="P318" s="17"/>
    </row>
    <row r="319" ht="13.5" customHeight="1">
      <c r="A319" s="11" t="str">
        <f t="shared" si="1"/>
        <v>RDR-GETZFY</v>
      </c>
      <c r="B319" s="32" t="s">
        <v>534</v>
      </c>
      <c r="C319" s="33" t="s">
        <v>529</v>
      </c>
      <c r="D319" s="33" t="s">
        <v>146</v>
      </c>
      <c r="E319" s="11" t="s">
        <v>123</v>
      </c>
      <c r="F319" s="33"/>
      <c r="G319" s="11"/>
      <c r="H319" s="11">
        <f>SUMIFS(X!$F$3:$F$5978,X!$D$3:$D$5978,'Current Stock'!A319)</f>
        <v>0</v>
      </c>
      <c r="I319" s="11">
        <f>SUMIFS(PENJUALAN!$E$4:$E$3651,PENJUALAN!$C$4:$C$3651,'Current Stock'!A319)</f>
        <v>0</v>
      </c>
      <c r="J319" s="15">
        <f t="shared" si="2"/>
        <v>0</v>
      </c>
      <c r="K319" s="11"/>
      <c r="L319" s="11"/>
      <c r="M319" s="11"/>
      <c r="N319" s="11"/>
      <c r="O319" s="17"/>
      <c r="P319" s="17"/>
    </row>
    <row r="320" ht="13.5" customHeight="1">
      <c r="A320" s="11" t="str">
        <f t="shared" si="1"/>
        <v>LFW-GAVEGAFY</v>
      </c>
      <c r="B320" s="32" t="s">
        <v>535</v>
      </c>
      <c r="C320" s="33" t="s">
        <v>536</v>
      </c>
      <c r="D320" s="33" t="s">
        <v>60</v>
      </c>
      <c r="E320" s="11" t="s">
        <v>123</v>
      </c>
      <c r="F320" s="33" t="s">
        <v>137</v>
      </c>
      <c r="G320" s="11"/>
      <c r="H320" s="11">
        <f>SUMIFS(X!$F$3:$F$5978,X!$D$3:$D$5978,'Current Stock'!A320)</f>
        <v>0</v>
      </c>
      <c r="I320" s="11">
        <f>SUMIFS(PENJUALAN!$E$4:$E$3651,PENJUALAN!$C$4:$C$3651,'Current Stock'!A320)</f>
        <v>0</v>
      </c>
      <c r="J320" s="15">
        <f t="shared" si="2"/>
        <v>0</v>
      </c>
      <c r="K320" s="11"/>
      <c r="L320" s="11"/>
      <c r="M320" s="11"/>
      <c r="N320" s="11"/>
      <c r="O320" s="17"/>
      <c r="P320" s="17"/>
    </row>
    <row r="321" ht="13.5" customHeight="1">
      <c r="A321" s="11" t="str">
        <f t="shared" si="1"/>
        <v>TRW-GAVEGAFY</v>
      </c>
      <c r="B321" s="32" t="s">
        <v>537</v>
      </c>
      <c r="C321" s="33" t="s">
        <v>536</v>
      </c>
      <c r="D321" s="33" t="s">
        <v>62</v>
      </c>
      <c r="E321" s="11" t="s">
        <v>123</v>
      </c>
      <c r="F321" s="33" t="s">
        <v>228</v>
      </c>
      <c r="G321" s="11"/>
      <c r="H321" s="11">
        <f>SUMIFS(X!$F$3:$F$5978,X!$D$3:$D$5978,'Current Stock'!A321)</f>
        <v>0</v>
      </c>
      <c r="I321" s="11">
        <f>SUMIFS(PENJUALAN!$E$4:$E$3651,PENJUALAN!$C$4:$C$3651,'Current Stock'!A321)</f>
        <v>0</v>
      </c>
      <c r="J321" s="15">
        <f t="shared" si="2"/>
        <v>0</v>
      </c>
      <c r="K321" s="11"/>
      <c r="L321" s="11"/>
      <c r="M321" s="11"/>
      <c r="N321" s="11"/>
      <c r="O321" s="17"/>
      <c r="P321" s="17"/>
    </row>
    <row r="322" ht="13.5" customHeight="1">
      <c r="A322" s="11" t="str">
        <f t="shared" si="1"/>
        <v>RDL-GAVEGAFY</v>
      </c>
      <c r="B322" s="32" t="s">
        <v>538</v>
      </c>
      <c r="C322" s="33" t="s">
        <v>536</v>
      </c>
      <c r="D322" s="33" t="s">
        <v>144</v>
      </c>
      <c r="E322" s="11" t="s">
        <v>123</v>
      </c>
      <c r="F322" s="33" t="s">
        <v>152</v>
      </c>
      <c r="G322" s="11"/>
      <c r="H322" s="11">
        <f>SUMIFS(X!$F$3:$F$5978,X!$D$3:$D$5978,'Current Stock'!A322)</f>
        <v>0</v>
      </c>
      <c r="I322" s="11">
        <f>SUMIFS(PENJUALAN!$E$4:$E$3651,PENJUALAN!$C$4:$C$3651,'Current Stock'!A322)</f>
        <v>0</v>
      </c>
      <c r="J322" s="15">
        <f t="shared" si="2"/>
        <v>0</v>
      </c>
      <c r="K322" s="11"/>
      <c r="L322" s="11"/>
      <c r="M322" s="11"/>
      <c r="N322" s="11"/>
      <c r="O322" s="17"/>
      <c r="P322" s="17"/>
    </row>
    <row r="323" ht="13.5" customHeight="1">
      <c r="A323" s="11" t="str">
        <f t="shared" si="1"/>
        <v>RDR-GAVEGAFY</v>
      </c>
      <c r="B323" s="32" t="s">
        <v>539</v>
      </c>
      <c r="C323" s="33" t="s">
        <v>536</v>
      </c>
      <c r="D323" s="33" t="s">
        <v>146</v>
      </c>
      <c r="E323" s="11" t="s">
        <v>123</v>
      </c>
      <c r="F323" s="33" t="s">
        <v>152</v>
      </c>
      <c r="G323" s="11"/>
      <c r="H323" s="11">
        <f>SUMIFS(X!$F$3:$F$5978,X!$D$3:$D$5978,'Current Stock'!A323)</f>
        <v>0</v>
      </c>
      <c r="I323" s="11">
        <f>SUMIFS(PENJUALAN!$E$4:$E$3651,PENJUALAN!$C$4:$C$3651,'Current Stock'!A323)</f>
        <v>0</v>
      </c>
      <c r="J323" s="15">
        <f t="shared" si="2"/>
        <v>0</v>
      </c>
      <c r="K323" s="11"/>
      <c r="L323" s="11"/>
      <c r="M323" s="11"/>
      <c r="N323" s="11"/>
      <c r="O323" s="17"/>
      <c r="P323" s="17"/>
    </row>
    <row r="324" ht="13.5" customHeight="1">
      <c r="A324" s="11" t="str">
        <f t="shared" si="1"/>
        <v>LFW-H1FY</v>
      </c>
      <c r="B324" s="32" t="s">
        <v>540</v>
      </c>
      <c r="C324" s="33" t="s">
        <v>541</v>
      </c>
      <c r="D324" s="33" t="s">
        <v>60</v>
      </c>
      <c r="E324" s="11" t="s">
        <v>123</v>
      </c>
      <c r="F324" s="33" t="s">
        <v>137</v>
      </c>
      <c r="G324" s="11"/>
      <c r="H324" s="11">
        <f>SUMIFS(X!$F$3:$F$5978,X!$D$3:$D$5978,'Current Stock'!A324)</f>
        <v>0</v>
      </c>
      <c r="I324" s="11">
        <f>SUMIFS(PENJUALAN!$E$4:$E$3651,PENJUALAN!$C$4:$C$3651,'Current Stock'!A324)</f>
        <v>0</v>
      </c>
      <c r="J324" s="15">
        <f t="shared" si="2"/>
        <v>0</v>
      </c>
      <c r="K324" s="11"/>
      <c r="L324" s="11"/>
      <c r="M324" s="11"/>
      <c r="N324" s="11"/>
      <c r="O324" s="17"/>
      <c r="P324" s="17"/>
    </row>
    <row r="325" ht="13.5" customHeight="1">
      <c r="A325" s="11" t="str">
        <f t="shared" si="1"/>
        <v>TRW-H1FY</v>
      </c>
      <c r="B325" s="32" t="s">
        <v>542</v>
      </c>
      <c r="C325" s="33" t="s">
        <v>543</v>
      </c>
      <c r="D325" s="33" t="s">
        <v>62</v>
      </c>
      <c r="E325" s="11" t="s">
        <v>123</v>
      </c>
      <c r="F325" s="33" t="s">
        <v>228</v>
      </c>
      <c r="G325" s="11"/>
      <c r="H325" s="11">
        <f>SUMIFS(X!$F$3:$F$5978,X!$D$3:$D$5978,'Current Stock'!A325)</f>
        <v>0</v>
      </c>
      <c r="I325" s="11">
        <f>SUMIFS(PENJUALAN!$E$4:$E$3651,PENJUALAN!$C$4:$C$3651,'Current Stock'!A325)</f>
        <v>0</v>
      </c>
      <c r="J325" s="15">
        <f t="shared" si="2"/>
        <v>0</v>
      </c>
      <c r="K325" s="11"/>
      <c r="L325" s="11"/>
      <c r="M325" s="11"/>
      <c r="N325" s="11"/>
      <c r="O325" s="17"/>
      <c r="P325" s="17"/>
    </row>
    <row r="326" ht="13.5" customHeight="1">
      <c r="A326" s="11" t="str">
        <f t="shared" si="1"/>
        <v>RDL-H1FY</v>
      </c>
      <c r="B326" s="32" t="s">
        <v>544</v>
      </c>
      <c r="C326" s="33" t="s">
        <v>545</v>
      </c>
      <c r="D326" s="33" t="s">
        <v>144</v>
      </c>
      <c r="E326" s="11" t="s">
        <v>123</v>
      </c>
      <c r="F326" s="33" t="s">
        <v>546</v>
      </c>
      <c r="G326" s="11"/>
      <c r="H326" s="11">
        <f>SUMIFS(X!$F$3:$F$5978,X!$D$3:$D$5978,'Current Stock'!A326)</f>
        <v>0</v>
      </c>
      <c r="I326" s="11">
        <f>SUMIFS(PENJUALAN!$E$4:$E$3651,PENJUALAN!$C$4:$C$3651,'Current Stock'!A326)</f>
        <v>0</v>
      </c>
      <c r="J326" s="15">
        <f t="shared" si="2"/>
        <v>0</v>
      </c>
      <c r="K326" s="11"/>
      <c r="L326" s="11"/>
      <c r="M326" s="11"/>
      <c r="N326" s="11"/>
      <c r="O326" s="17"/>
      <c r="P326" s="17"/>
    </row>
    <row r="327" ht="13.5" customHeight="1">
      <c r="A327" s="11" t="str">
        <f t="shared" si="1"/>
        <v>SWL-H1FY</v>
      </c>
      <c r="B327" s="32" t="s">
        <v>547</v>
      </c>
      <c r="C327" s="33" t="s">
        <v>541</v>
      </c>
      <c r="D327" s="33" t="s">
        <v>209</v>
      </c>
      <c r="E327" s="11" t="s">
        <v>123</v>
      </c>
      <c r="F327" s="33" t="s">
        <v>546</v>
      </c>
      <c r="G327" s="11"/>
      <c r="H327" s="11">
        <f>SUMIFS(X!$F$3:$F$5978,X!$D$3:$D$5978,'Current Stock'!A327)</f>
        <v>0</v>
      </c>
      <c r="I327" s="11">
        <f>SUMIFS(PENJUALAN!$E$4:$E$3651,PENJUALAN!$C$4:$C$3651,'Current Stock'!A327)</f>
        <v>0</v>
      </c>
      <c r="J327" s="15">
        <f t="shared" si="2"/>
        <v>0</v>
      </c>
      <c r="K327" s="11"/>
      <c r="L327" s="11"/>
      <c r="M327" s="11"/>
      <c r="N327" s="11"/>
      <c r="O327" s="17"/>
      <c r="P327" s="17"/>
    </row>
    <row r="328" ht="13.5" customHeight="1">
      <c r="A328" s="11" t="str">
        <f t="shared" si="1"/>
        <v>LFW-I1008FY</v>
      </c>
      <c r="B328" s="32" t="s">
        <v>548</v>
      </c>
      <c r="C328" s="33" t="s">
        <v>549</v>
      </c>
      <c r="D328" s="33" t="s">
        <v>60</v>
      </c>
      <c r="E328" s="11" t="s">
        <v>123</v>
      </c>
      <c r="F328" s="33" t="s">
        <v>137</v>
      </c>
      <c r="G328" s="11"/>
      <c r="H328" s="11">
        <f>SUMIFS(X!$F$3:$F$5978,X!$D$3:$D$5978,'Current Stock'!A328)</f>
        <v>0</v>
      </c>
      <c r="I328" s="11">
        <f>SUMIFS(PENJUALAN!$E$4:$E$3651,PENJUALAN!$C$4:$C$3651,'Current Stock'!A328)</f>
        <v>0</v>
      </c>
      <c r="J328" s="15">
        <f t="shared" si="2"/>
        <v>0</v>
      </c>
      <c r="K328" s="11"/>
      <c r="L328" s="11"/>
      <c r="M328" s="11"/>
      <c r="N328" s="11"/>
      <c r="O328" s="17"/>
      <c r="P328" s="17"/>
    </row>
    <row r="329" ht="13.5" customHeight="1">
      <c r="A329" s="11" t="str">
        <f t="shared" si="1"/>
        <v>TRW-I1008FY</v>
      </c>
      <c r="B329" s="32" t="s">
        <v>550</v>
      </c>
      <c r="C329" s="33" t="s">
        <v>549</v>
      </c>
      <c r="D329" s="33" t="s">
        <v>62</v>
      </c>
      <c r="E329" s="11" t="s">
        <v>123</v>
      </c>
      <c r="F329" s="33" t="s">
        <v>83</v>
      </c>
      <c r="G329" s="11"/>
      <c r="H329" s="11">
        <f>SUMIFS(X!$F$3:$F$5978,X!$D$3:$D$5978,'Current Stock'!A329)</f>
        <v>0</v>
      </c>
      <c r="I329" s="11">
        <f>SUMIFS(PENJUALAN!$E$4:$E$3651,PENJUALAN!$C$4:$C$3651,'Current Stock'!A329)</f>
        <v>0</v>
      </c>
      <c r="J329" s="15">
        <f t="shared" si="2"/>
        <v>0</v>
      </c>
      <c r="K329" s="11"/>
      <c r="L329" s="11"/>
      <c r="M329" s="11"/>
      <c r="N329" s="11"/>
      <c r="O329" s="17"/>
      <c r="P329" s="17"/>
    </row>
    <row r="330" ht="13.5" customHeight="1">
      <c r="A330" s="11" t="str">
        <f t="shared" si="1"/>
        <v>FDL-I1008FY</v>
      </c>
      <c r="B330" s="32" t="s">
        <v>551</v>
      </c>
      <c r="C330" s="33" t="s">
        <v>549</v>
      </c>
      <c r="D330" s="33" t="s">
        <v>140</v>
      </c>
      <c r="E330" s="11" t="s">
        <v>123</v>
      </c>
      <c r="F330" s="33" t="s">
        <v>152</v>
      </c>
      <c r="G330" s="11"/>
      <c r="H330" s="11">
        <f>SUMIFS(X!$F$3:$F$5978,X!$D$3:$D$5978,'Current Stock'!A330)</f>
        <v>0</v>
      </c>
      <c r="I330" s="11">
        <f>SUMIFS(PENJUALAN!$E$4:$E$3651,PENJUALAN!$C$4:$C$3651,'Current Stock'!A330)</f>
        <v>0</v>
      </c>
      <c r="J330" s="15">
        <f t="shared" si="2"/>
        <v>0</v>
      </c>
      <c r="K330" s="11"/>
      <c r="L330" s="11"/>
      <c r="M330" s="11"/>
      <c r="N330" s="11"/>
      <c r="O330" s="17"/>
      <c r="P330" s="17"/>
    </row>
    <row r="331" ht="13.5" customHeight="1">
      <c r="A331" s="11" t="str">
        <f t="shared" si="1"/>
        <v>FDR-I1008FY</v>
      </c>
      <c r="B331" s="32" t="s">
        <v>552</v>
      </c>
      <c r="C331" s="33" t="s">
        <v>549</v>
      </c>
      <c r="D331" s="33" t="s">
        <v>142</v>
      </c>
      <c r="E331" s="11" t="s">
        <v>123</v>
      </c>
      <c r="F331" s="33" t="s">
        <v>152</v>
      </c>
      <c r="G331" s="11"/>
      <c r="H331" s="11">
        <f>SUMIFS(X!$F$3:$F$5978,X!$D$3:$D$5978,'Current Stock'!A331)</f>
        <v>0</v>
      </c>
      <c r="I331" s="11">
        <f>SUMIFS(PENJUALAN!$E$4:$E$3651,PENJUALAN!$C$4:$C$3651,'Current Stock'!A331)</f>
        <v>0</v>
      </c>
      <c r="J331" s="15">
        <f t="shared" si="2"/>
        <v>0</v>
      </c>
      <c r="K331" s="11"/>
      <c r="L331" s="11"/>
      <c r="M331" s="11"/>
      <c r="N331" s="11"/>
      <c r="O331" s="17"/>
      <c r="P331" s="17"/>
    </row>
    <row r="332" ht="13.5" customHeight="1">
      <c r="A332" s="11" t="str">
        <f t="shared" si="1"/>
        <v>RDL-I1008FY</v>
      </c>
      <c r="B332" s="32" t="s">
        <v>553</v>
      </c>
      <c r="C332" s="33" t="s">
        <v>549</v>
      </c>
      <c r="D332" s="33" t="s">
        <v>144</v>
      </c>
      <c r="E332" s="11" t="s">
        <v>123</v>
      </c>
      <c r="F332" s="33"/>
      <c r="G332" s="11"/>
      <c r="H332" s="11">
        <f>SUMIFS(X!$F$3:$F$5978,X!$D$3:$D$5978,'Current Stock'!A332)</f>
        <v>0</v>
      </c>
      <c r="I332" s="11">
        <f>SUMIFS(PENJUALAN!$E$4:$E$3651,PENJUALAN!$C$4:$C$3651,'Current Stock'!A332)</f>
        <v>0</v>
      </c>
      <c r="J332" s="15">
        <f t="shared" si="2"/>
        <v>0</v>
      </c>
      <c r="K332" s="11"/>
      <c r="L332" s="11"/>
      <c r="M332" s="11"/>
      <c r="N332" s="11"/>
      <c r="O332" s="17"/>
      <c r="P332" s="17"/>
    </row>
    <row r="333" ht="13.5" customHeight="1">
      <c r="A333" s="11" t="str">
        <f t="shared" si="1"/>
        <v>RDR-I1008FY</v>
      </c>
      <c r="B333" s="32" t="s">
        <v>554</v>
      </c>
      <c r="C333" s="33" t="s">
        <v>549</v>
      </c>
      <c r="D333" s="33" t="s">
        <v>146</v>
      </c>
      <c r="E333" s="11" t="s">
        <v>123</v>
      </c>
      <c r="F333" s="33"/>
      <c r="G333" s="11"/>
      <c r="H333" s="11">
        <f>SUMIFS(X!$F$3:$F$5978,X!$D$3:$D$5978,'Current Stock'!A333)</f>
        <v>0</v>
      </c>
      <c r="I333" s="11">
        <f>SUMIFS(PENJUALAN!$E$4:$E$3651,PENJUALAN!$C$4:$C$3651,'Current Stock'!A333)</f>
        <v>0</v>
      </c>
      <c r="J333" s="15">
        <f t="shared" si="2"/>
        <v>0</v>
      </c>
      <c r="K333" s="11"/>
      <c r="L333" s="11"/>
      <c r="M333" s="11"/>
      <c r="N333" s="11"/>
      <c r="O333" s="17"/>
      <c r="P333" s="17"/>
    </row>
    <row r="334" ht="13.5" customHeight="1">
      <c r="A334" s="11" t="str">
        <f t="shared" si="1"/>
        <v>LFW-I1013FY</v>
      </c>
      <c r="B334" s="32" t="s">
        <v>555</v>
      </c>
      <c r="C334" s="33" t="s">
        <v>556</v>
      </c>
      <c r="D334" s="33" t="s">
        <v>60</v>
      </c>
      <c r="E334" s="11" t="s">
        <v>123</v>
      </c>
      <c r="F334" s="33" t="s">
        <v>137</v>
      </c>
      <c r="G334" s="11"/>
      <c r="H334" s="11">
        <f>SUMIFS(X!$F$3:$F$5978,X!$D$3:$D$5978,'Current Stock'!A334)</f>
        <v>0</v>
      </c>
      <c r="I334" s="11">
        <f>SUMIFS(PENJUALAN!$E$4:$E$3651,PENJUALAN!$C$4:$C$3651,'Current Stock'!A334)</f>
        <v>0</v>
      </c>
      <c r="J334" s="15">
        <f t="shared" si="2"/>
        <v>0</v>
      </c>
      <c r="K334" s="11"/>
      <c r="L334" s="11"/>
      <c r="M334" s="11"/>
      <c r="N334" s="11"/>
      <c r="O334" s="17"/>
      <c r="P334" s="17"/>
    </row>
    <row r="335" ht="13.5" customHeight="1">
      <c r="A335" s="11" t="str">
        <f t="shared" si="1"/>
        <v>TRW-I1013FY</v>
      </c>
      <c r="B335" s="32" t="s">
        <v>557</v>
      </c>
      <c r="C335" s="33" t="s">
        <v>556</v>
      </c>
      <c r="D335" s="33" t="s">
        <v>62</v>
      </c>
      <c r="E335" s="11" t="s">
        <v>123</v>
      </c>
      <c r="F335" s="33" t="s">
        <v>450</v>
      </c>
      <c r="G335" s="11"/>
      <c r="H335" s="11">
        <f>SUMIFS(X!$F$3:$F$5978,X!$D$3:$D$5978,'Current Stock'!A335)</f>
        <v>0</v>
      </c>
      <c r="I335" s="11">
        <f>SUMIFS(PENJUALAN!$E$4:$E$3651,PENJUALAN!$C$4:$C$3651,'Current Stock'!A335)</f>
        <v>0</v>
      </c>
      <c r="J335" s="15">
        <f t="shared" si="2"/>
        <v>0</v>
      </c>
      <c r="K335" s="11"/>
      <c r="L335" s="11"/>
      <c r="M335" s="11"/>
      <c r="N335" s="11"/>
      <c r="O335" s="17"/>
      <c r="P335" s="17"/>
    </row>
    <row r="336" ht="13.5" customHeight="1">
      <c r="A336" s="11" t="str">
        <f t="shared" si="1"/>
        <v>RDL-I1013FY</v>
      </c>
      <c r="B336" s="32" t="s">
        <v>558</v>
      </c>
      <c r="C336" s="33" t="s">
        <v>556</v>
      </c>
      <c r="D336" s="33" t="s">
        <v>144</v>
      </c>
      <c r="E336" s="11" t="s">
        <v>123</v>
      </c>
      <c r="F336" s="33"/>
      <c r="G336" s="11"/>
      <c r="H336" s="11">
        <f>SUMIFS(X!$F$3:$F$5978,X!$D$3:$D$5978,'Current Stock'!A336)</f>
        <v>0</v>
      </c>
      <c r="I336" s="11">
        <f>SUMIFS(PENJUALAN!$E$4:$E$3651,PENJUALAN!$C$4:$C$3651,'Current Stock'!A336)</f>
        <v>0</v>
      </c>
      <c r="J336" s="15">
        <f t="shared" si="2"/>
        <v>0</v>
      </c>
      <c r="K336" s="11"/>
      <c r="L336" s="11"/>
      <c r="M336" s="11"/>
      <c r="N336" s="11"/>
      <c r="O336" s="17"/>
      <c r="P336" s="17"/>
    </row>
    <row r="337" ht="13.5" customHeight="1">
      <c r="A337" s="11" t="str">
        <f t="shared" si="1"/>
        <v>RDR-I1013FY</v>
      </c>
      <c r="B337" s="32" t="s">
        <v>559</v>
      </c>
      <c r="C337" s="33" t="s">
        <v>556</v>
      </c>
      <c r="D337" s="33" t="s">
        <v>146</v>
      </c>
      <c r="E337" s="11" t="s">
        <v>123</v>
      </c>
      <c r="F337" s="33"/>
      <c r="G337" s="11"/>
      <c r="H337" s="11">
        <f>SUMIFS(X!$F$3:$F$5978,X!$D$3:$D$5978,'Current Stock'!A337)</f>
        <v>0</v>
      </c>
      <c r="I337" s="11">
        <f>SUMIFS(PENJUALAN!$E$4:$E$3651,PENJUALAN!$C$4:$C$3651,'Current Stock'!A337)</f>
        <v>0</v>
      </c>
      <c r="J337" s="15">
        <f t="shared" si="2"/>
        <v>0</v>
      </c>
      <c r="K337" s="11"/>
      <c r="L337" s="11"/>
      <c r="M337" s="11"/>
      <c r="N337" s="11"/>
      <c r="O337" s="17"/>
      <c r="P337" s="17"/>
    </row>
    <row r="338" ht="13.5" customHeight="1">
      <c r="A338" s="11" t="str">
        <f t="shared" si="1"/>
        <v>RVL-I1013FY</v>
      </c>
      <c r="B338" s="32" t="s">
        <v>560</v>
      </c>
      <c r="C338" s="33" t="s">
        <v>556</v>
      </c>
      <c r="D338" s="33" t="s">
        <v>396</v>
      </c>
      <c r="E338" s="11" t="s">
        <v>123</v>
      </c>
      <c r="F338" s="33"/>
      <c r="G338" s="11"/>
      <c r="H338" s="11">
        <f>SUMIFS(X!$F$3:$F$5978,X!$D$3:$D$5978,'Current Stock'!A338)</f>
        <v>0</v>
      </c>
      <c r="I338" s="11">
        <f>SUMIFS(PENJUALAN!$E$4:$E$3651,PENJUALAN!$C$4:$C$3651,'Current Stock'!A338)</f>
        <v>0</v>
      </c>
      <c r="J338" s="15">
        <f t="shared" si="2"/>
        <v>0</v>
      </c>
      <c r="K338" s="11"/>
      <c r="L338" s="11"/>
      <c r="M338" s="11"/>
      <c r="N338" s="11"/>
      <c r="O338" s="17"/>
      <c r="P338" s="17"/>
    </row>
    <row r="339" ht="13.5" customHeight="1">
      <c r="A339" s="11" t="str">
        <f t="shared" si="1"/>
        <v>RVR-I1013FY</v>
      </c>
      <c r="B339" s="32" t="s">
        <v>561</v>
      </c>
      <c r="C339" s="33" t="s">
        <v>556</v>
      </c>
      <c r="D339" s="33" t="s">
        <v>398</v>
      </c>
      <c r="E339" s="11" t="s">
        <v>123</v>
      </c>
      <c r="F339" s="33"/>
      <c r="G339" s="11"/>
      <c r="H339" s="11">
        <f>SUMIFS(X!$F$3:$F$5978,X!$D$3:$D$5978,'Current Stock'!A339)</f>
        <v>0</v>
      </c>
      <c r="I339" s="11">
        <f>SUMIFS(PENJUALAN!$E$4:$E$3651,PENJUALAN!$C$4:$C$3651,'Current Stock'!A339)</f>
        <v>0</v>
      </c>
      <c r="J339" s="15">
        <f t="shared" si="2"/>
        <v>0</v>
      </c>
      <c r="K339" s="11"/>
      <c r="L339" s="11"/>
      <c r="M339" s="11"/>
      <c r="N339" s="11"/>
      <c r="O339" s="17"/>
      <c r="P339" s="17"/>
    </row>
    <row r="340" ht="13.5" customHeight="1">
      <c r="A340" s="11" t="str">
        <f t="shared" si="1"/>
        <v>LFW-MATRIXFY</v>
      </c>
      <c r="B340" s="32" t="s">
        <v>562</v>
      </c>
      <c r="C340" s="33" t="s">
        <v>563</v>
      </c>
      <c r="D340" s="33" t="s">
        <v>60</v>
      </c>
      <c r="E340" s="11" t="s">
        <v>123</v>
      </c>
      <c r="F340" s="33" t="s">
        <v>137</v>
      </c>
      <c r="G340" s="11"/>
      <c r="H340" s="11">
        <f>SUMIFS(X!$F$3:$F$5978,X!$D$3:$D$5978,'Current Stock'!A340)</f>
        <v>0</v>
      </c>
      <c r="I340" s="11">
        <f>SUMIFS(PENJUALAN!$E$4:$E$3651,PENJUALAN!$C$4:$C$3651,'Current Stock'!A340)</f>
        <v>0</v>
      </c>
      <c r="J340" s="15">
        <f t="shared" si="2"/>
        <v>0</v>
      </c>
      <c r="K340" s="11"/>
      <c r="L340" s="11"/>
      <c r="M340" s="11"/>
      <c r="N340" s="11"/>
      <c r="O340" s="17"/>
      <c r="P340" s="17"/>
    </row>
    <row r="341" ht="13.5" customHeight="1">
      <c r="A341" s="11" t="str">
        <f t="shared" si="1"/>
        <v>TRW-MATRIXNOHOLEFY</v>
      </c>
      <c r="B341" s="32" t="s">
        <v>564</v>
      </c>
      <c r="C341" s="33" t="s">
        <v>563</v>
      </c>
      <c r="D341" s="33" t="s">
        <v>62</v>
      </c>
      <c r="E341" s="11" t="s">
        <v>123</v>
      </c>
      <c r="F341" s="33" t="s">
        <v>83</v>
      </c>
      <c r="G341" s="11"/>
      <c r="H341" s="11">
        <f>SUMIFS(X!$F$3:$F$5978,X!$D$3:$D$5978,'Current Stock'!A341)</f>
        <v>0</v>
      </c>
      <c r="I341" s="11">
        <f>SUMIFS(PENJUALAN!$E$4:$E$3651,PENJUALAN!$C$4:$C$3651,'Current Stock'!A341)</f>
        <v>0</v>
      </c>
      <c r="J341" s="15">
        <f t="shared" si="2"/>
        <v>0</v>
      </c>
      <c r="K341" s="11"/>
      <c r="L341" s="11"/>
      <c r="M341" s="11"/>
      <c r="N341" s="11"/>
      <c r="O341" s="17"/>
      <c r="P341" s="17"/>
    </row>
    <row r="342" ht="13.5" customHeight="1">
      <c r="A342" s="11" t="str">
        <f t="shared" si="1"/>
        <v>TRW-MATRIXHOLEFY</v>
      </c>
      <c r="B342" s="32" t="s">
        <v>565</v>
      </c>
      <c r="C342" s="33" t="s">
        <v>563</v>
      </c>
      <c r="D342" s="33" t="s">
        <v>62</v>
      </c>
      <c r="E342" s="11" t="s">
        <v>123</v>
      </c>
      <c r="F342" s="33" t="s">
        <v>228</v>
      </c>
      <c r="G342" s="11"/>
      <c r="H342" s="11">
        <f>SUMIFS(X!$F$3:$F$5978,X!$D$3:$D$5978,'Current Stock'!A342)</f>
        <v>0</v>
      </c>
      <c r="I342" s="11">
        <f>SUMIFS(PENJUALAN!$E$4:$E$3651,PENJUALAN!$C$4:$C$3651,'Current Stock'!A342)</f>
        <v>0</v>
      </c>
      <c r="J342" s="15">
        <f t="shared" si="2"/>
        <v>0</v>
      </c>
      <c r="K342" s="11"/>
      <c r="L342" s="11"/>
      <c r="M342" s="11"/>
      <c r="N342" s="11"/>
      <c r="O342" s="17"/>
      <c r="P342" s="17"/>
    </row>
    <row r="343" ht="13.5" customHeight="1">
      <c r="A343" s="11" t="str">
        <f t="shared" si="1"/>
        <v>LFW-SANTAFE07FY</v>
      </c>
      <c r="B343" s="32" t="s">
        <v>566</v>
      </c>
      <c r="C343" s="33" t="s">
        <v>567</v>
      </c>
      <c r="D343" s="33" t="s">
        <v>60</v>
      </c>
      <c r="E343" s="11" t="s">
        <v>123</v>
      </c>
      <c r="F343" s="33" t="s">
        <v>137</v>
      </c>
      <c r="G343" s="11"/>
      <c r="H343" s="11">
        <f>SUMIFS(X!$F$3:$F$5978,X!$D$3:$D$5978,'Current Stock'!A343)</f>
        <v>0</v>
      </c>
      <c r="I343" s="11">
        <f>SUMIFS(PENJUALAN!$E$4:$E$3651,PENJUALAN!$C$4:$C$3651,'Current Stock'!A343)</f>
        <v>0</v>
      </c>
      <c r="J343" s="15">
        <f t="shared" si="2"/>
        <v>0</v>
      </c>
      <c r="K343" s="11"/>
      <c r="L343" s="11"/>
      <c r="M343" s="11"/>
      <c r="N343" s="11"/>
      <c r="O343" s="17"/>
      <c r="P343" s="17"/>
    </row>
    <row r="344" ht="13.5" customHeight="1">
      <c r="A344" s="11" t="str">
        <f t="shared" si="1"/>
        <v>TRW-SANTAFE07FY</v>
      </c>
      <c r="B344" s="32" t="s">
        <v>568</v>
      </c>
      <c r="C344" s="33" t="s">
        <v>567</v>
      </c>
      <c r="D344" s="33" t="s">
        <v>62</v>
      </c>
      <c r="E344" s="11" t="s">
        <v>123</v>
      </c>
      <c r="F344" s="33" t="s">
        <v>228</v>
      </c>
      <c r="G344" s="11"/>
      <c r="H344" s="11">
        <f>SUMIFS(X!$F$3:$F$5978,X!$D$3:$D$5978,'Current Stock'!A344)</f>
        <v>0</v>
      </c>
      <c r="I344" s="11">
        <f>SUMIFS(PENJUALAN!$E$4:$E$3651,PENJUALAN!$C$4:$C$3651,'Current Stock'!A344)</f>
        <v>0</v>
      </c>
      <c r="J344" s="15">
        <f t="shared" si="2"/>
        <v>0</v>
      </c>
      <c r="K344" s="11"/>
      <c r="L344" s="11"/>
      <c r="M344" s="11"/>
      <c r="N344" s="11"/>
      <c r="O344" s="17"/>
      <c r="P344" s="17"/>
    </row>
    <row r="345" ht="13.5" customHeight="1">
      <c r="A345" s="11" t="str">
        <f t="shared" si="1"/>
        <v>FDR-SANTAFE07FY</v>
      </c>
      <c r="B345" s="32" t="s">
        <v>569</v>
      </c>
      <c r="C345" s="33" t="s">
        <v>567</v>
      </c>
      <c r="D345" s="33" t="s">
        <v>142</v>
      </c>
      <c r="E345" s="11" t="s">
        <v>123</v>
      </c>
      <c r="F345" s="33"/>
      <c r="G345" s="11"/>
      <c r="H345" s="11">
        <f>SUMIFS(X!$F$3:$F$5978,X!$D$3:$D$5978,'Current Stock'!A345)</f>
        <v>0</v>
      </c>
      <c r="I345" s="11">
        <f>SUMIFS(PENJUALAN!$E$4:$E$3651,PENJUALAN!$C$4:$C$3651,'Current Stock'!A345)</f>
        <v>0</v>
      </c>
      <c r="J345" s="15">
        <f t="shared" si="2"/>
        <v>0</v>
      </c>
      <c r="K345" s="11"/>
      <c r="L345" s="11"/>
      <c r="M345" s="11"/>
      <c r="N345" s="11"/>
      <c r="O345" s="17"/>
      <c r="P345" s="17"/>
    </row>
    <row r="346" ht="13.5" customHeight="1">
      <c r="A346" s="11" t="str">
        <f t="shared" si="1"/>
        <v>RDL-SANTAFE07FY</v>
      </c>
      <c r="B346" s="32" t="s">
        <v>570</v>
      </c>
      <c r="C346" s="33" t="s">
        <v>567</v>
      </c>
      <c r="D346" s="33" t="s">
        <v>144</v>
      </c>
      <c r="E346" s="11" t="s">
        <v>123</v>
      </c>
      <c r="F346" s="33"/>
      <c r="G346" s="11"/>
      <c r="H346" s="11">
        <f>SUMIFS(X!$F$3:$F$5978,X!$D$3:$D$5978,'Current Stock'!A346)</f>
        <v>0</v>
      </c>
      <c r="I346" s="11">
        <f>SUMIFS(PENJUALAN!$E$4:$E$3651,PENJUALAN!$C$4:$C$3651,'Current Stock'!A346)</f>
        <v>0</v>
      </c>
      <c r="J346" s="15">
        <f t="shared" si="2"/>
        <v>0</v>
      </c>
      <c r="K346" s="11"/>
      <c r="L346" s="11"/>
      <c r="M346" s="11"/>
      <c r="N346" s="11"/>
      <c r="O346" s="17"/>
      <c r="P346" s="17"/>
    </row>
    <row r="347" ht="13.5" customHeight="1">
      <c r="A347" s="11" t="str">
        <f t="shared" si="1"/>
        <v>SWL-SANTAFE07FY</v>
      </c>
      <c r="B347" s="32" t="s">
        <v>571</v>
      </c>
      <c r="C347" s="33" t="s">
        <v>567</v>
      </c>
      <c r="D347" s="33" t="s">
        <v>209</v>
      </c>
      <c r="E347" s="11" t="s">
        <v>123</v>
      </c>
      <c r="F347" s="33" t="s">
        <v>109</v>
      </c>
      <c r="G347" s="11"/>
      <c r="H347" s="11">
        <f>SUMIFS(X!$F$3:$F$5978,X!$D$3:$D$5978,'Current Stock'!A347)</f>
        <v>0</v>
      </c>
      <c r="I347" s="11">
        <f>SUMIFS(PENJUALAN!$E$4:$E$3651,PENJUALAN!$C$4:$C$3651,'Current Stock'!A347)</f>
        <v>0</v>
      </c>
      <c r="J347" s="15">
        <f t="shared" si="2"/>
        <v>0</v>
      </c>
      <c r="K347" s="11"/>
      <c r="L347" s="11"/>
      <c r="M347" s="11"/>
      <c r="N347" s="11"/>
      <c r="O347" s="17"/>
      <c r="P347" s="17"/>
    </row>
    <row r="348" ht="13.5" customHeight="1">
      <c r="A348" s="11" t="str">
        <f t="shared" si="1"/>
        <v>LFW-SANTAFE12FY</v>
      </c>
      <c r="B348" s="32" t="s">
        <v>572</v>
      </c>
      <c r="C348" s="33" t="s">
        <v>573</v>
      </c>
      <c r="D348" s="33" t="s">
        <v>60</v>
      </c>
      <c r="E348" s="11" t="s">
        <v>123</v>
      </c>
      <c r="F348" s="33" t="s">
        <v>137</v>
      </c>
      <c r="G348" s="11"/>
      <c r="H348" s="11">
        <f>SUMIFS(X!$F$3:$F$5978,X!$D$3:$D$5978,'Current Stock'!A348)</f>
        <v>0</v>
      </c>
      <c r="I348" s="11">
        <f>SUMIFS(PENJUALAN!$E$4:$E$3651,PENJUALAN!$C$4:$C$3651,'Current Stock'!A348)</f>
        <v>0</v>
      </c>
      <c r="J348" s="15">
        <f t="shared" si="2"/>
        <v>0</v>
      </c>
      <c r="K348" s="11"/>
      <c r="L348" s="11"/>
      <c r="M348" s="11"/>
      <c r="N348" s="11"/>
      <c r="O348" s="17"/>
      <c r="P348" s="17"/>
    </row>
    <row r="349" ht="13.5" customHeight="1">
      <c r="A349" s="11" t="str">
        <f t="shared" si="1"/>
        <v>TRW-SANTAFE12FY</v>
      </c>
      <c r="B349" s="32" t="s">
        <v>574</v>
      </c>
      <c r="C349" s="33" t="s">
        <v>573</v>
      </c>
      <c r="D349" s="33" t="s">
        <v>62</v>
      </c>
      <c r="E349" s="11" t="s">
        <v>123</v>
      </c>
      <c r="F349" s="33" t="s">
        <v>228</v>
      </c>
      <c r="G349" s="11"/>
      <c r="H349" s="11">
        <f>SUMIFS(X!$F$3:$F$5978,X!$D$3:$D$5978,'Current Stock'!A349)</f>
        <v>0</v>
      </c>
      <c r="I349" s="11">
        <f>SUMIFS(PENJUALAN!$E$4:$E$3651,PENJUALAN!$C$4:$C$3651,'Current Stock'!A349)</f>
        <v>0</v>
      </c>
      <c r="J349" s="15">
        <f t="shared" si="2"/>
        <v>0</v>
      </c>
      <c r="K349" s="11"/>
      <c r="L349" s="11"/>
      <c r="M349" s="11"/>
      <c r="N349" s="11"/>
      <c r="O349" s="17"/>
      <c r="P349" s="17"/>
    </row>
    <row r="350" ht="13.5" customHeight="1">
      <c r="A350" s="11" t="str">
        <f t="shared" si="1"/>
        <v>FDR-SANTAFE12FY</v>
      </c>
      <c r="B350" s="32" t="s">
        <v>575</v>
      </c>
      <c r="C350" s="33" t="s">
        <v>573</v>
      </c>
      <c r="D350" s="33" t="s">
        <v>142</v>
      </c>
      <c r="E350" s="11" t="s">
        <v>123</v>
      </c>
      <c r="F350" s="33"/>
      <c r="G350" s="11"/>
      <c r="H350" s="11">
        <f>SUMIFS(X!$F$3:$F$5978,X!$D$3:$D$5978,'Current Stock'!A350)</f>
        <v>0</v>
      </c>
      <c r="I350" s="11">
        <f>SUMIFS(PENJUALAN!$E$4:$E$3651,PENJUALAN!$C$4:$C$3651,'Current Stock'!A350)</f>
        <v>0</v>
      </c>
      <c r="J350" s="15">
        <f t="shared" si="2"/>
        <v>0</v>
      </c>
      <c r="K350" s="11"/>
      <c r="L350" s="11"/>
      <c r="M350" s="11"/>
      <c r="N350" s="11"/>
      <c r="O350" s="17"/>
      <c r="P350" s="17"/>
    </row>
    <row r="351" ht="13.5" customHeight="1">
      <c r="A351" s="11" t="str">
        <f t="shared" si="1"/>
        <v>RDL-SANTAFE12FY</v>
      </c>
      <c r="B351" s="32" t="s">
        <v>576</v>
      </c>
      <c r="C351" s="33" t="s">
        <v>573</v>
      </c>
      <c r="D351" s="33" t="s">
        <v>144</v>
      </c>
      <c r="E351" s="11" t="s">
        <v>123</v>
      </c>
      <c r="F351" s="33"/>
      <c r="G351" s="11"/>
      <c r="H351" s="11">
        <f>SUMIFS(X!$F$3:$F$5978,X!$D$3:$D$5978,'Current Stock'!A351)</f>
        <v>0</v>
      </c>
      <c r="I351" s="11">
        <f>SUMIFS(PENJUALAN!$E$4:$E$3651,PENJUALAN!$C$4:$C$3651,'Current Stock'!A351)</f>
        <v>0</v>
      </c>
      <c r="J351" s="15">
        <f t="shared" si="2"/>
        <v>0</v>
      </c>
      <c r="K351" s="11"/>
      <c r="L351" s="11"/>
      <c r="M351" s="11"/>
      <c r="N351" s="11"/>
      <c r="O351" s="17"/>
      <c r="P351" s="17"/>
    </row>
    <row r="352" ht="13.5" customHeight="1">
      <c r="A352" s="11" t="str">
        <f t="shared" si="1"/>
        <v>RDR-SANTAFE12FY</v>
      </c>
      <c r="B352" s="32" t="s">
        <v>577</v>
      </c>
      <c r="C352" s="33" t="s">
        <v>573</v>
      </c>
      <c r="D352" s="33" t="s">
        <v>146</v>
      </c>
      <c r="E352" s="11" t="s">
        <v>123</v>
      </c>
      <c r="F352" s="33"/>
      <c r="G352" s="11"/>
      <c r="H352" s="11">
        <f>SUMIFS(X!$F$3:$F$5978,X!$D$3:$D$5978,'Current Stock'!A352)</f>
        <v>0</v>
      </c>
      <c r="I352" s="11">
        <f>SUMIFS(PENJUALAN!$E$4:$E$3651,PENJUALAN!$C$4:$C$3651,'Current Stock'!A352)</f>
        <v>0</v>
      </c>
      <c r="J352" s="15">
        <f t="shared" si="2"/>
        <v>0</v>
      </c>
      <c r="K352" s="11"/>
      <c r="L352" s="11"/>
      <c r="M352" s="11"/>
      <c r="N352" s="11"/>
      <c r="O352" s="17"/>
      <c r="P352" s="17"/>
    </row>
    <row r="353" ht="13.5" customHeight="1">
      <c r="A353" s="11" t="str">
        <f t="shared" si="1"/>
        <v>LFW-TUCSON05FY</v>
      </c>
      <c r="B353" s="32" t="s">
        <v>578</v>
      </c>
      <c r="C353" s="33" t="s">
        <v>579</v>
      </c>
      <c r="D353" s="33" t="s">
        <v>60</v>
      </c>
      <c r="E353" s="11" t="s">
        <v>123</v>
      </c>
      <c r="F353" s="33" t="s">
        <v>137</v>
      </c>
      <c r="G353" s="11"/>
      <c r="H353" s="11">
        <f>SUMIFS(X!$F$3:$F$5978,X!$D$3:$D$5978,'Current Stock'!A353)</f>
        <v>0</v>
      </c>
      <c r="I353" s="11">
        <f>SUMIFS(PENJUALAN!$E$4:$E$3651,PENJUALAN!$C$4:$C$3651,'Current Stock'!A353)</f>
        <v>0</v>
      </c>
      <c r="J353" s="15">
        <f t="shared" si="2"/>
        <v>0</v>
      </c>
      <c r="K353" s="11"/>
      <c r="L353" s="11"/>
      <c r="M353" s="11"/>
      <c r="N353" s="11"/>
      <c r="O353" s="17"/>
      <c r="P353" s="17"/>
    </row>
    <row r="354" ht="13.5" customHeight="1">
      <c r="A354" s="11" t="str">
        <f t="shared" si="1"/>
        <v>LFW-TUCSON10FY</v>
      </c>
      <c r="B354" s="32" t="s">
        <v>580</v>
      </c>
      <c r="C354" s="33" t="s">
        <v>581</v>
      </c>
      <c r="D354" s="33" t="s">
        <v>60</v>
      </c>
      <c r="E354" s="11" t="s">
        <v>123</v>
      </c>
      <c r="F354" s="33" t="s">
        <v>137</v>
      </c>
      <c r="G354" s="11"/>
      <c r="H354" s="11">
        <f>SUMIFS(X!$F$3:$F$5978,X!$D$3:$D$5978,'Current Stock'!A354)</f>
        <v>0</v>
      </c>
      <c r="I354" s="11">
        <f>SUMIFS(PENJUALAN!$E$4:$E$3651,PENJUALAN!$C$4:$C$3651,'Current Stock'!A354)</f>
        <v>0</v>
      </c>
      <c r="J354" s="15">
        <f t="shared" si="2"/>
        <v>0</v>
      </c>
      <c r="K354" s="11"/>
      <c r="L354" s="11"/>
      <c r="M354" s="11"/>
      <c r="N354" s="11"/>
      <c r="O354" s="17"/>
      <c r="P354" s="17"/>
    </row>
    <row r="355" ht="13.5" customHeight="1">
      <c r="A355" s="11" t="str">
        <f t="shared" si="1"/>
        <v>TRW-TUCSON10FY</v>
      </c>
      <c r="B355" s="32" t="s">
        <v>582</v>
      </c>
      <c r="C355" s="33" t="s">
        <v>581</v>
      </c>
      <c r="D355" s="33" t="s">
        <v>62</v>
      </c>
      <c r="E355" s="11" t="s">
        <v>123</v>
      </c>
      <c r="F355" s="33" t="s">
        <v>228</v>
      </c>
      <c r="G355" s="11"/>
      <c r="H355" s="11">
        <f>SUMIFS(X!$F$3:$F$5978,X!$D$3:$D$5978,'Current Stock'!A355)</f>
        <v>0</v>
      </c>
      <c r="I355" s="11">
        <f>SUMIFS(PENJUALAN!$E$4:$E$3651,PENJUALAN!$C$4:$C$3651,'Current Stock'!A355)</f>
        <v>0</v>
      </c>
      <c r="J355" s="15">
        <f t="shared" si="2"/>
        <v>0</v>
      </c>
      <c r="K355" s="11"/>
      <c r="L355" s="11"/>
      <c r="M355" s="11"/>
      <c r="N355" s="11"/>
      <c r="O355" s="17"/>
      <c r="P355" s="17"/>
    </row>
    <row r="356" ht="13.5" customHeight="1">
      <c r="A356" s="11" t="str">
        <f t="shared" si="1"/>
        <v>LFW-TUCSON16FY</v>
      </c>
      <c r="B356" s="32" t="s">
        <v>583</v>
      </c>
      <c r="C356" s="33" t="s">
        <v>584</v>
      </c>
      <c r="D356" s="33" t="s">
        <v>60</v>
      </c>
      <c r="E356" s="11" t="s">
        <v>123</v>
      </c>
      <c r="F356" s="33" t="s">
        <v>137</v>
      </c>
      <c r="G356" s="11"/>
      <c r="H356" s="11">
        <f>SUMIFS(X!$F$3:$F$5978,X!$D$3:$D$5978,'Current Stock'!A356)</f>
        <v>0</v>
      </c>
      <c r="I356" s="11">
        <f>SUMIFS(PENJUALAN!$E$4:$E$3651,PENJUALAN!$C$4:$C$3651,'Current Stock'!A356)</f>
        <v>0</v>
      </c>
      <c r="J356" s="15">
        <f t="shared" si="2"/>
        <v>0</v>
      </c>
      <c r="K356" s="11"/>
      <c r="L356" s="11"/>
      <c r="M356" s="11"/>
      <c r="N356" s="11"/>
      <c r="O356" s="17"/>
      <c r="P356" s="17"/>
    </row>
    <row r="357" ht="13.5" customHeight="1">
      <c r="A357" s="11" t="str">
        <f t="shared" si="1"/>
        <v>TRW-TUCSON16FY</v>
      </c>
      <c r="B357" s="32" t="s">
        <v>585</v>
      </c>
      <c r="C357" s="33" t="s">
        <v>584</v>
      </c>
      <c r="D357" s="33" t="s">
        <v>62</v>
      </c>
      <c r="E357" s="11" t="s">
        <v>123</v>
      </c>
      <c r="F357" s="33" t="s">
        <v>228</v>
      </c>
      <c r="G357" s="11"/>
      <c r="H357" s="11">
        <f>SUMIFS(X!$F$3:$F$5978,X!$D$3:$D$5978,'Current Stock'!A357)</f>
        <v>0</v>
      </c>
      <c r="I357" s="11">
        <f>SUMIFS(PENJUALAN!$E$4:$E$3651,PENJUALAN!$C$4:$C$3651,'Current Stock'!A357)</f>
        <v>0</v>
      </c>
      <c r="J357" s="15">
        <f t="shared" si="2"/>
        <v>0</v>
      </c>
      <c r="K357" s="11"/>
      <c r="L357" s="11"/>
      <c r="M357" s="11"/>
      <c r="N357" s="11"/>
      <c r="O357" s="17"/>
      <c r="P357" s="17"/>
    </row>
    <row r="358" ht="13.5" customHeight="1">
      <c r="A358" s="11" t="str">
        <f t="shared" si="1"/>
        <v>LFW-MUXFY</v>
      </c>
      <c r="B358" s="32" t="s">
        <v>586</v>
      </c>
      <c r="C358" s="33" t="s">
        <v>587</v>
      </c>
      <c r="D358" s="33" t="s">
        <v>60</v>
      </c>
      <c r="E358" s="11" t="s">
        <v>123</v>
      </c>
      <c r="F358" s="33" t="s">
        <v>137</v>
      </c>
      <c r="G358" s="11"/>
      <c r="H358" s="11">
        <f>SUMIFS(X!$F$3:$F$5978,X!$D$3:$D$5978,'Current Stock'!A358)</f>
        <v>0</v>
      </c>
      <c r="I358" s="11">
        <f>SUMIFS(PENJUALAN!$E$4:$E$3651,PENJUALAN!$C$4:$C$3651,'Current Stock'!A358)</f>
        <v>0</v>
      </c>
      <c r="J358" s="15">
        <f t="shared" si="2"/>
        <v>0</v>
      </c>
      <c r="K358" s="11"/>
      <c r="L358" s="11"/>
      <c r="M358" s="11"/>
      <c r="N358" s="11"/>
      <c r="O358" s="17"/>
      <c r="P358" s="17"/>
    </row>
    <row r="359" ht="13.5" customHeight="1">
      <c r="A359" s="11" t="str">
        <f t="shared" si="1"/>
        <v>LFW-RUBICON07FY</v>
      </c>
      <c r="B359" s="32" t="s">
        <v>588</v>
      </c>
      <c r="C359" s="33" t="s">
        <v>589</v>
      </c>
      <c r="D359" s="33" t="s">
        <v>60</v>
      </c>
      <c r="E359" s="11" t="s">
        <v>123</v>
      </c>
      <c r="F359" s="33" t="s">
        <v>137</v>
      </c>
      <c r="G359" s="11"/>
      <c r="H359" s="11">
        <f>SUMIFS(X!$F$3:$F$5978,X!$D$3:$D$5978,'Current Stock'!A359)</f>
        <v>0</v>
      </c>
      <c r="I359" s="11">
        <f>SUMIFS(PENJUALAN!$E$4:$E$3651,PENJUALAN!$C$4:$C$3651,'Current Stock'!A359)</f>
        <v>0</v>
      </c>
      <c r="J359" s="15">
        <f t="shared" si="2"/>
        <v>0</v>
      </c>
      <c r="K359" s="11"/>
      <c r="L359" s="11"/>
      <c r="M359" s="11"/>
      <c r="N359" s="11"/>
      <c r="O359" s="17"/>
      <c r="P359" s="17"/>
    </row>
    <row r="360" ht="13.5" customHeight="1">
      <c r="A360" s="11" t="str">
        <f t="shared" si="1"/>
        <v>TRW-CAREN99FY</v>
      </c>
      <c r="B360" s="32" t="s">
        <v>590</v>
      </c>
      <c r="C360" s="33" t="s">
        <v>591</v>
      </c>
      <c r="D360" s="33" t="s">
        <v>62</v>
      </c>
      <c r="E360" s="11" t="s">
        <v>123</v>
      </c>
      <c r="F360" s="33" t="s">
        <v>83</v>
      </c>
      <c r="G360" s="11"/>
      <c r="H360" s="11">
        <f>SUMIFS(X!$F$3:$F$5978,X!$D$3:$D$5978,'Current Stock'!A360)</f>
        <v>0</v>
      </c>
      <c r="I360" s="11">
        <f>SUMIFS(PENJUALAN!$E$4:$E$3651,PENJUALAN!$C$4:$C$3651,'Current Stock'!A360)</f>
        <v>0</v>
      </c>
      <c r="J360" s="15">
        <f t="shared" si="2"/>
        <v>0</v>
      </c>
      <c r="K360" s="11"/>
      <c r="L360" s="11"/>
      <c r="M360" s="11"/>
      <c r="N360" s="11"/>
      <c r="O360" s="17"/>
      <c r="P360" s="17"/>
    </row>
    <row r="361" ht="13.5" customHeight="1">
      <c r="A361" s="11" t="str">
        <f t="shared" si="1"/>
        <v>LFW-CAREN99FY</v>
      </c>
      <c r="B361" s="32" t="s">
        <v>592</v>
      </c>
      <c r="C361" s="33" t="s">
        <v>593</v>
      </c>
      <c r="D361" s="33" t="s">
        <v>60</v>
      </c>
      <c r="E361" s="11" t="s">
        <v>123</v>
      </c>
      <c r="F361" s="33" t="s">
        <v>137</v>
      </c>
      <c r="G361" s="11"/>
      <c r="H361" s="11">
        <f>SUMIFS(X!$F$3:$F$5978,X!$D$3:$D$5978,'Current Stock'!A361)</f>
        <v>0</v>
      </c>
      <c r="I361" s="11">
        <f>SUMIFS(PENJUALAN!$E$4:$E$3651,PENJUALAN!$C$4:$C$3651,'Current Stock'!A361)</f>
        <v>0</v>
      </c>
      <c r="J361" s="15">
        <f t="shared" si="2"/>
        <v>0</v>
      </c>
      <c r="K361" s="11"/>
      <c r="L361" s="11"/>
      <c r="M361" s="11"/>
      <c r="N361" s="11"/>
      <c r="O361" s="17"/>
      <c r="P361" s="17"/>
    </row>
    <row r="362" ht="13.5" customHeight="1">
      <c r="A362" s="11" t="str">
        <f t="shared" si="1"/>
        <v>TRW-CAREN04FY</v>
      </c>
      <c r="B362" s="32" t="s">
        <v>594</v>
      </c>
      <c r="C362" s="33" t="s">
        <v>595</v>
      </c>
      <c r="D362" s="33" t="s">
        <v>62</v>
      </c>
      <c r="E362" s="11" t="s">
        <v>123</v>
      </c>
      <c r="F362" s="33" t="s">
        <v>83</v>
      </c>
      <c r="G362" s="11"/>
      <c r="H362" s="11">
        <f>SUMIFS(X!$F$3:$F$5978,X!$D$3:$D$5978,'Current Stock'!A362)</f>
        <v>0</v>
      </c>
      <c r="I362" s="11">
        <f>SUMIFS(PENJUALAN!$E$4:$E$3651,PENJUALAN!$C$4:$C$3651,'Current Stock'!A362)</f>
        <v>0</v>
      </c>
      <c r="J362" s="15">
        <f t="shared" si="2"/>
        <v>0</v>
      </c>
      <c r="K362" s="11"/>
      <c r="L362" s="11"/>
      <c r="M362" s="11"/>
      <c r="N362" s="11"/>
      <c r="O362" s="17"/>
      <c r="P362" s="17"/>
    </row>
    <row r="363" ht="13.5" customHeight="1">
      <c r="A363" s="11" t="str">
        <f t="shared" si="1"/>
        <v>TRW-CAREN13FY</v>
      </c>
      <c r="B363" s="32" t="s">
        <v>596</v>
      </c>
      <c r="C363" s="33" t="s">
        <v>597</v>
      </c>
      <c r="D363" s="33" t="s">
        <v>62</v>
      </c>
      <c r="E363" s="11" t="s">
        <v>123</v>
      </c>
      <c r="F363" s="33" t="s">
        <v>228</v>
      </c>
      <c r="G363" s="11"/>
      <c r="H363" s="11">
        <f>SUMIFS(X!$F$3:$F$5978,X!$D$3:$D$5978,'Current Stock'!A363)</f>
        <v>0</v>
      </c>
      <c r="I363" s="11">
        <f>SUMIFS(PENJUALAN!$E$4:$E$3651,PENJUALAN!$C$4:$C$3651,'Current Stock'!A363)</f>
        <v>0</v>
      </c>
      <c r="J363" s="15">
        <f t="shared" si="2"/>
        <v>0</v>
      </c>
      <c r="K363" s="11"/>
      <c r="L363" s="11"/>
      <c r="M363" s="11"/>
      <c r="N363" s="11"/>
      <c r="O363" s="17"/>
      <c r="P363" s="17"/>
    </row>
    <row r="364" ht="13.5" customHeight="1">
      <c r="A364" s="11" t="str">
        <f t="shared" si="1"/>
        <v>LFW-PICANTO04BFY</v>
      </c>
      <c r="B364" s="32" t="s">
        <v>598</v>
      </c>
      <c r="C364" s="33" t="s">
        <v>599</v>
      </c>
      <c r="D364" s="33" t="s">
        <v>60</v>
      </c>
      <c r="E364" s="11" t="s">
        <v>123</v>
      </c>
      <c r="F364" s="33" t="s">
        <v>137</v>
      </c>
      <c r="G364" s="11"/>
      <c r="H364" s="11">
        <f>SUMIFS(X!$F$3:$F$5978,X!$D$3:$D$5978,'Current Stock'!A364)</f>
        <v>0</v>
      </c>
      <c r="I364" s="11">
        <f>SUMIFS(PENJUALAN!$E$4:$E$3651,PENJUALAN!$C$4:$C$3651,'Current Stock'!A364)</f>
        <v>0</v>
      </c>
      <c r="J364" s="15">
        <f t="shared" si="2"/>
        <v>0</v>
      </c>
      <c r="K364" s="11"/>
      <c r="L364" s="11"/>
      <c r="M364" s="11"/>
      <c r="N364" s="11"/>
      <c r="O364" s="17"/>
      <c r="P364" s="17"/>
    </row>
    <row r="365" ht="13.5" customHeight="1">
      <c r="A365" s="11" t="str">
        <f t="shared" si="1"/>
        <v>LFW-PICANTO04HTMFY</v>
      </c>
      <c r="B365" s="32" t="s">
        <v>600</v>
      </c>
      <c r="C365" s="33" t="s">
        <v>601</v>
      </c>
      <c r="D365" s="33" t="s">
        <v>60</v>
      </c>
      <c r="E365" s="11" t="s">
        <v>123</v>
      </c>
      <c r="F365" s="33" t="s">
        <v>137</v>
      </c>
      <c r="G365" s="11"/>
      <c r="H365" s="11">
        <f>SUMIFS(X!$F$3:$F$5978,X!$D$3:$D$5978,'Current Stock'!A365)</f>
        <v>0</v>
      </c>
      <c r="I365" s="11">
        <f>SUMIFS(PENJUALAN!$E$4:$E$3651,PENJUALAN!$C$4:$C$3651,'Current Stock'!A365)</f>
        <v>0</v>
      </c>
      <c r="J365" s="15">
        <f t="shared" si="2"/>
        <v>0</v>
      </c>
      <c r="K365" s="11"/>
      <c r="L365" s="11"/>
      <c r="M365" s="11"/>
      <c r="N365" s="11"/>
      <c r="O365" s="17"/>
      <c r="P365" s="17"/>
    </row>
    <row r="366" ht="13.5" customHeight="1">
      <c r="A366" s="11" t="str">
        <f t="shared" si="1"/>
        <v>TRW-PICANTO04FY</v>
      </c>
      <c r="B366" s="32" t="s">
        <v>602</v>
      </c>
      <c r="C366" s="33" t="s">
        <v>603</v>
      </c>
      <c r="D366" s="33" t="s">
        <v>62</v>
      </c>
      <c r="E366" s="11" t="s">
        <v>123</v>
      </c>
      <c r="F366" s="33" t="s">
        <v>228</v>
      </c>
      <c r="G366" s="11"/>
      <c r="H366" s="11">
        <f>SUMIFS(X!$F$3:$F$5978,X!$D$3:$D$5978,'Current Stock'!A366)</f>
        <v>0</v>
      </c>
      <c r="I366" s="11">
        <f>SUMIFS(PENJUALAN!$E$4:$E$3651,PENJUALAN!$C$4:$C$3651,'Current Stock'!A366)</f>
        <v>0</v>
      </c>
      <c r="J366" s="15">
        <f t="shared" si="2"/>
        <v>0</v>
      </c>
      <c r="K366" s="11"/>
      <c r="L366" s="11"/>
      <c r="M366" s="11"/>
      <c r="N366" s="11"/>
      <c r="O366" s="17"/>
      <c r="P366" s="17"/>
    </row>
    <row r="367" ht="13.5" customHeight="1">
      <c r="A367" s="11" t="str">
        <f t="shared" si="1"/>
        <v>FDL-PICANTO04FY</v>
      </c>
      <c r="B367" s="32" t="s">
        <v>604</v>
      </c>
      <c r="C367" s="33" t="s">
        <v>603</v>
      </c>
      <c r="D367" s="33" t="s">
        <v>140</v>
      </c>
      <c r="E367" s="11" t="s">
        <v>123</v>
      </c>
      <c r="F367" s="33" t="s">
        <v>152</v>
      </c>
      <c r="G367" s="11"/>
      <c r="H367" s="11">
        <f>SUMIFS(X!$F$3:$F$5978,X!$D$3:$D$5978,'Current Stock'!A367)</f>
        <v>0</v>
      </c>
      <c r="I367" s="11">
        <f>SUMIFS(PENJUALAN!$E$4:$E$3651,PENJUALAN!$C$4:$C$3651,'Current Stock'!A367)</f>
        <v>0</v>
      </c>
      <c r="J367" s="15">
        <f t="shared" si="2"/>
        <v>0</v>
      </c>
      <c r="K367" s="13"/>
      <c r="L367" s="13"/>
      <c r="M367" s="11"/>
      <c r="N367" s="11"/>
      <c r="O367" s="17"/>
      <c r="P367" s="17"/>
    </row>
    <row r="368" ht="13.5" customHeight="1">
      <c r="A368" s="11" t="str">
        <f t="shared" si="1"/>
        <v>FDR-PICANTO04FY</v>
      </c>
      <c r="B368" s="32" t="s">
        <v>605</v>
      </c>
      <c r="C368" s="33" t="s">
        <v>603</v>
      </c>
      <c r="D368" s="33" t="s">
        <v>142</v>
      </c>
      <c r="E368" s="11" t="s">
        <v>123</v>
      </c>
      <c r="F368" s="33" t="s">
        <v>152</v>
      </c>
      <c r="G368" s="11"/>
      <c r="H368" s="11">
        <f>SUMIFS(X!$F$3:$F$5978,X!$D$3:$D$5978,'Current Stock'!A368)</f>
        <v>0</v>
      </c>
      <c r="I368" s="11">
        <f>SUMIFS(PENJUALAN!$E$4:$E$3651,PENJUALAN!$C$4:$C$3651,'Current Stock'!A368)</f>
        <v>0</v>
      </c>
      <c r="J368" s="15">
        <f t="shared" si="2"/>
        <v>0</v>
      </c>
      <c r="K368" s="11"/>
      <c r="L368" s="11"/>
      <c r="M368" s="11"/>
      <c r="N368" s="11"/>
      <c r="O368" s="17"/>
      <c r="P368" s="17"/>
    </row>
    <row r="369" ht="13.5" customHeight="1">
      <c r="A369" s="11" t="str">
        <f t="shared" si="1"/>
        <v>TRW-JAZZ01XYG</v>
      </c>
      <c r="B369" s="32" t="s">
        <v>476</v>
      </c>
      <c r="C369" s="33" t="s">
        <v>475</v>
      </c>
      <c r="D369" s="33" t="s">
        <v>62</v>
      </c>
      <c r="E369" s="11" t="s">
        <v>16</v>
      </c>
      <c r="F369" s="33" t="s">
        <v>228</v>
      </c>
      <c r="G369" s="11"/>
      <c r="H369" s="11">
        <f>SUMIFS(X!$F$3:$F$5978,X!$D$3:$D$5978,'Current Stock'!A369)</f>
        <v>5</v>
      </c>
      <c r="I369" s="11">
        <f>SUMIFS(PENJUALAN!$E$4:$E$3651,PENJUALAN!$C$4:$C$3651,'Current Stock'!A369)</f>
        <v>4</v>
      </c>
      <c r="J369" s="15">
        <f t="shared" si="2"/>
        <v>1</v>
      </c>
      <c r="K369" s="13" t="s">
        <v>606</v>
      </c>
      <c r="L369" s="13"/>
      <c r="M369" s="16">
        <v>1.0</v>
      </c>
      <c r="N369" s="11"/>
      <c r="O369" s="17"/>
      <c r="P369" s="17"/>
    </row>
    <row r="370" ht="13.5" customHeight="1">
      <c r="A370" s="11" t="str">
        <f t="shared" si="1"/>
        <v>RDR-PICANTO04FY</v>
      </c>
      <c r="B370" s="32" t="s">
        <v>607</v>
      </c>
      <c r="C370" s="33" t="s">
        <v>603</v>
      </c>
      <c r="D370" s="33" t="s">
        <v>146</v>
      </c>
      <c r="E370" s="11" t="s">
        <v>123</v>
      </c>
      <c r="F370" s="33"/>
      <c r="G370" s="11"/>
      <c r="H370" s="11">
        <f>SUMIFS(X!$F$3:$F$5978,X!$D$3:$D$5978,'Current Stock'!A370)</f>
        <v>0</v>
      </c>
      <c r="I370" s="11">
        <f>SUMIFS(PENJUALAN!$E$4:$E$3651,PENJUALAN!$C$4:$C$3651,'Current Stock'!A370)</f>
        <v>0</v>
      </c>
      <c r="J370" s="15">
        <f t="shared" si="2"/>
        <v>0</v>
      </c>
      <c r="K370" s="13"/>
      <c r="L370" s="11"/>
      <c r="M370" s="11"/>
      <c r="N370" s="11"/>
      <c r="O370" s="17"/>
      <c r="P370" s="17"/>
    </row>
    <row r="371" ht="13.5" customHeight="1">
      <c r="A371" s="11" t="str">
        <f t="shared" si="1"/>
        <v>LFW-PICANTO11FY</v>
      </c>
      <c r="B371" s="32" t="s">
        <v>608</v>
      </c>
      <c r="C371" s="33" t="s">
        <v>609</v>
      </c>
      <c r="D371" s="33" t="s">
        <v>60</v>
      </c>
      <c r="E371" s="11" t="s">
        <v>123</v>
      </c>
      <c r="F371" s="33" t="s">
        <v>137</v>
      </c>
      <c r="G371" s="11"/>
      <c r="H371" s="11">
        <f>SUMIFS(X!$F$3:$F$5978,X!$D$3:$D$5978,'Current Stock'!A371)</f>
        <v>0</v>
      </c>
      <c r="I371" s="11">
        <f>SUMIFS(PENJUALAN!$E$4:$E$3651,PENJUALAN!$C$4:$C$3651,'Current Stock'!A371)</f>
        <v>0</v>
      </c>
      <c r="J371" s="15">
        <f t="shared" si="2"/>
        <v>0</v>
      </c>
      <c r="K371" s="11"/>
      <c r="L371" s="11"/>
      <c r="M371" s="11"/>
      <c r="N371" s="11"/>
      <c r="O371" s="17"/>
      <c r="P371" s="17"/>
    </row>
    <row r="372" ht="13.5" customHeight="1">
      <c r="A372" s="11" t="str">
        <f t="shared" si="1"/>
        <v>TRW-PICANTO11FY</v>
      </c>
      <c r="B372" s="32" t="s">
        <v>610</v>
      </c>
      <c r="C372" s="33" t="s">
        <v>609</v>
      </c>
      <c r="D372" s="33" t="s">
        <v>62</v>
      </c>
      <c r="E372" s="11" t="s">
        <v>123</v>
      </c>
      <c r="F372" s="33" t="s">
        <v>228</v>
      </c>
      <c r="G372" s="11"/>
      <c r="H372" s="11">
        <f>SUMIFS(X!$F$3:$F$5978,X!$D$3:$D$5978,'Current Stock'!A372)</f>
        <v>0</v>
      </c>
      <c r="I372" s="11">
        <f>SUMIFS(PENJUALAN!$E$4:$E$3651,PENJUALAN!$C$4:$C$3651,'Current Stock'!A372)</f>
        <v>0</v>
      </c>
      <c r="J372" s="15">
        <f t="shared" si="2"/>
        <v>0</v>
      </c>
      <c r="K372" s="11"/>
      <c r="L372" s="11"/>
      <c r="M372" s="11"/>
      <c r="N372" s="11"/>
      <c r="O372" s="17"/>
      <c r="P372" s="17"/>
    </row>
    <row r="373" ht="13.5" customHeight="1">
      <c r="A373" s="11" t="str">
        <f t="shared" si="1"/>
        <v>FDL-PICANTO11FY</v>
      </c>
      <c r="B373" s="32" t="s">
        <v>611</v>
      </c>
      <c r="C373" s="33" t="s">
        <v>609</v>
      </c>
      <c r="D373" s="33" t="s">
        <v>140</v>
      </c>
      <c r="E373" s="11" t="s">
        <v>123</v>
      </c>
      <c r="F373" s="33" t="s">
        <v>406</v>
      </c>
      <c r="G373" s="11"/>
      <c r="H373" s="11">
        <f>SUMIFS(X!$F$3:$F$5978,X!$D$3:$D$5978,'Current Stock'!A373)</f>
        <v>0</v>
      </c>
      <c r="I373" s="11">
        <f>SUMIFS(PENJUALAN!$E$4:$E$3651,PENJUALAN!$C$4:$C$3651,'Current Stock'!A373)</f>
        <v>0</v>
      </c>
      <c r="J373" s="15">
        <f t="shared" si="2"/>
        <v>0</v>
      </c>
      <c r="K373" s="11"/>
      <c r="L373" s="11"/>
      <c r="M373" s="11"/>
      <c r="N373" s="11"/>
      <c r="O373" s="17"/>
      <c r="P373" s="17"/>
    </row>
    <row r="374" ht="13.5" customHeight="1">
      <c r="A374" s="11" t="str">
        <f t="shared" si="1"/>
        <v>FDR-PICANTO11FY</v>
      </c>
      <c r="B374" s="32" t="s">
        <v>612</v>
      </c>
      <c r="C374" s="33" t="s">
        <v>609</v>
      </c>
      <c r="D374" s="33" t="s">
        <v>142</v>
      </c>
      <c r="E374" s="11" t="s">
        <v>123</v>
      </c>
      <c r="F374" s="33" t="s">
        <v>406</v>
      </c>
      <c r="G374" s="11"/>
      <c r="H374" s="11">
        <f>SUMIFS(X!$F$3:$F$5978,X!$D$3:$D$5978,'Current Stock'!A374)</f>
        <v>0</v>
      </c>
      <c r="I374" s="11">
        <f>SUMIFS(PENJUALAN!$E$4:$E$3651,PENJUALAN!$C$4:$C$3651,'Current Stock'!A374)</f>
        <v>0</v>
      </c>
      <c r="J374" s="15">
        <f t="shared" si="2"/>
        <v>0</v>
      </c>
      <c r="K374" s="11"/>
      <c r="L374" s="11"/>
      <c r="M374" s="11"/>
      <c r="N374" s="11"/>
      <c r="O374" s="17"/>
      <c r="P374" s="17"/>
    </row>
    <row r="375" ht="13.5" customHeight="1">
      <c r="A375" s="11" t="str">
        <f t="shared" si="1"/>
        <v>RDL-PICANTO11FY</v>
      </c>
      <c r="B375" s="32" t="s">
        <v>613</v>
      </c>
      <c r="C375" s="33" t="s">
        <v>609</v>
      </c>
      <c r="D375" s="33" t="s">
        <v>144</v>
      </c>
      <c r="E375" s="11" t="s">
        <v>123</v>
      </c>
      <c r="F375" s="33"/>
      <c r="G375" s="11"/>
      <c r="H375" s="11">
        <f>SUMIFS(X!$F$3:$F$5978,X!$D$3:$D$5978,'Current Stock'!A375)</f>
        <v>0</v>
      </c>
      <c r="I375" s="11">
        <f>SUMIFS(PENJUALAN!$E$4:$E$3651,PENJUALAN!$C$4:$C$3651,'Current Stock'!A375)</f>
        <v>0</v>
      </c>
      <c r="J375" s="15">
        <f t="shared" si="2"/>
        <v>0</v>
      </c>
      <c r="K375" s="11"/>
      <c r="L375" s="11"/>
      <c r="M375" s="11"/>
      <c r="N375" s="11"/>
      <c r="O375" s="17"/>
      <c r="P375" s="17"/>
    </row>
    <row r="376" ht="13.5" customHeight="1">
      <c r="A376" s="11" t="str">
        <f t="shared" si="1"/>
        <v>RDR-PICANTO11FY</v>
      </c>
      <c r="B376" s="32" t="s">
        <v>614</v>
      </c>
      <c r="C376" s="33" t="s">
        <v>609</v>
      </c>
      <c r="D376" s="33" t="s">
        <v>146</v>
      </c>
      <c r="E376" s="11" t="s">
        <v>123</v>
      </c>
      <c r="F376" s="33"/>
      <c r="G376" s="11"/>
      <c r="H376" s="11">
        <f>SUMIFS(X!$F$3:$F$5978,X!$D$3:$D$5978,'Current Stock'!A376)</f>
        <v>0</v>
      </c>
      <c r="I376" s="11">
        <f>SUMIFS(PENJUALAN!$E$4:$E$3651,PENJUALAN!$C$4:$C$3651,'Current Stock'!A376)</f>
        <v>0</v>
      </c>
      <c r="J376" s="15">
        <f t="shared" si="2"/>
        <v>0</v>
      </c>
      <c r="K376" s="11"/>
      <c r="L376" s="11"/>
      <c r="M376" s="11"/>
      <c r="N376" s="11"/>
      <c r="O376" s="17"/>
      <c r="P376" s="17"/>
    </row>
    <row r="377" ht="13.5" customHeight="1">
      <c r="A377" s="11" t="str">
        <f t="shared" si="1"/>
        <v>FDL2-PREGIOFY</v>
      </c>
      <c r="B377" s="32" t="s">
        <v>615</v>
      </c>
      <c r="C377" s="35" t="s">
        <v>616</v>
      </c>
      <c r="D377" s="33" t="s">
        <v>140</v>
      </c>
      <c r="E377" s="11" t="s">
        <v>123</v>
      </c>
      <c r="F377" s="33" t="s">
        <v>152</v>
      </c>
      <c r="G377" s="11"/>
      <c r="H377" s="11">
        <f>SUMIFS(X!$F$3:$F$5978,X!$D$3:$D$5978,'Current Stock'!A377)</f>
        <v>0</v>
      </c>
      <c r="I377" s="11">
        <f>SUMIFS(PENJUALAN!$E$4:$E$3651,PENJUALAN!$C$4:$C$3651,'Current Stock'!A377)</f>
        <v>0</v>
      </c>
      <c r="J377" s="15">
        <f t="shared" si="2"/>
        <v>0</v>
      </c>
      <c r="K377" s="11"/>
      <c r="L377" s="11"/>
      <c r="M377" s="11"/>
      <c r="N377" s="11"/>
      <c r="O377" s="17"/>
      <c r="P377" s="17"/>
    </row>
    <row r="378" ht="13.5" customHeight="1">
      <c r="A378" s="11" t="str">
        <f t="shared" si="1"/>
        <v>FDR2-PREGIOFY</v>
      </c>
      <c r="B378" s="32" t="s">
        <v>617</v>
      </c>
      <c r="C378" s="35" t="s">
        <v>616</v>
      </c>
      <c r="D378" s="33" t="s">
        <v>142</v>
      </c>
      <c r="E378" s="11" t="s">
        <v>123</v>
      </c>
      <c r="F378" s="33" t="s">
        <v>152</v>
      </c>
      <c r="G378" s="11"/>
      <c r="H378" s="11">
        <f>SUMIFS(X!$F$3:$F$5978,X!$D$3:$D$5978,'Current Stock'!A378)</f>
        <v>0</v>
      </c>
      <c r="I378" s="11">
        <f>SUMIFS(PENJUALAN!$E$4:$E$3651,PENJUALAN!$C$4:$C$3651,'Current Stock'!A378)</f>
        <v>0</v>
      </c>
      <c r="J378" s="15">
        <f t="shared" si="2"/>
        <v>0</v>
      </c>
      <c r="K378" s="11"/>
      <c r="L378" s="11"/>
      <c r="M378" s="11"/>
      <c r="N378" s="11"/>
      <c r="O378" s="17"/>
      <c r="P378" s="17"/>
    </row>
    <row r="379" ht="13.5" customHeight="1">
      <c r="A379" s="11" t="str">
        <f t="shared" si="1"/>
        <v>TRW-PREGIOFY</v>
      </c>
      <c r="B379" s="32" t="s">
        <v>618</v>
      </c>
      <c r="C379" s="33" t="s">
        <v>619</v>
      </c>
      <c r="D379" s="33" t="s">
        <v>62</v>
      </c>
      <c r="E379" s="11" t="s">
        <v>123</v>
      </c>
      <c r="F379" s="33" t="s">
        <v>83</v>
      </c>
      <c r="G379" s="11"/>
      <c r="H379" s="11">
        <f>SUMIFS(X!$F$3:$F$5978,X!$D$3:$D$5978,'Current Stock'!A379)</f>
        <v>0</v>
      </c>
      <c r="I379" s="11">
        <f>SUMIFS(PENJUALAN!$E$4:$E$3651,PENJUALAN!$C$4:$C$3651,'Current Stock'!A379)</f>
        <v>0</v>
      </c>
      <c r="J379" s="15">
        <f t="shared" si="2"/>
        <v>0</v>
      </c>
      <c r="K379" s="11"/>
      <c r="L379" s="11"/>
      <c r="M379" s="11"/>
      <c r="N379" s="11"/>
      <c r="O379" s="17"/>
      <c r="P379" s="17"/>
    </row>
    <row r="380" ht="13.5" customHeight="1">
      <c r="A380" s="11" t="str">
        <f t="shared" si="1"/>
        <v>LFW-RIO00FY</v>
      </c>
      <c r="B380" s="32" t="s">
        <v>620</v>
      </c>
      <c r="C380" s="33" t="s">
        <v>621</v>
      </c>
      <c r="D380" s="33" t="s">
        <v>60</v>
      </c>
      <c r="E380" s="11" t="s">
        <v>123</v>
      </c>
      <c r="F380" s="33" t="s">
        <v>137</v>
      </c>
      <c r="G380" s="11"/>
      <c r="H380" s="11">
        <f>SUMIFS(X!$F$3:$F$5978,X!$D$3:$D$5978,'Current Stock'!A380)</f>
        <v>0</v>
      </c>
      <c r="I380" s="11">
        <f>SUMIFS(PENJUALAN!$E$4:$E$3651,PENJUALAN!$C$4:$C$3651,'Current Stock'!A380)</f>
        <v>0</v>
      </c>
      <c r="J380" s="15">
        <f t="shared" si="2"/>
        <v>0</v>
      </c>
      <c r="K380" s="11"/>
      <c r="L380" s="11"/>
      <c r="M380" s="11"/>
      <c r="N380" s="11"/>
      <c r="O380" s="17"/>
      <c r="P380" s="17"/>
    </row>
    <row r="381" ht="13.5" customHeight="1">
      <c r="A381" s="11" t="str">
        <f t="shared" si="1"/>
        <v>TRW-RIO00FY</v>
      </c>
      <c r="B381" s="32" t="s">
        <v>622</v>
      </c>
      <c r="C381" s="33" t="s">
        <v>623</v>
      </c>
      <c r="D381" s="33" t="s">
        <v>62</v>
      </c>
      <c r="E381" s="11" t="s">
        <v>123</v>
      </c>
      <c r="F381" s="33" t="s">
        <v>83</v>
      </c>
      <c r="G381" s="11"/>
      <c r="H381" s="11">
        <f>SUMIFS(X!$F$3:$F$5978,X!$D$3:$D$5978,'Current Stock'!A381)</f>
        <v>0</v>
      </c>
      <c r="I381" s="11">
        <f>SUMIFS(PENJUALAN!$E$4:$E$3651,PENJUALAN!$C$4:$C$3651,'Current Stock'!A381)</f>
        <v>0</v>
      </c>
      <c r="J381" s="15">
        <f t="shared" si="2"/>
        <v>0</v>
      </c>
      <c r="K381" s="11"/>
      <c r="L381" s="11"/>
      <c r="M381" s="11"/>
      <c r="N381" s="11"/>
      <c r="O381" s="17"/>
      <c r="P381" s="17"/>
    </row>
    <row r="382" ht="13.5" customHeight="1">
      <c r="A382" s="11" t="str">
        <f t="shared" si="1"/>
        <v>LFW-RIO05FY</v>
      </c>
      <c r="B382" s="32" t="s">
        <v>624</v>
      </c>
      <c r="C382" s="33" t="s">
        <v>625</v>
      </c>
      <c r="D382" s="33" t="s">
        <v>60</v>
      </c>
      <c r="E382" s="11" t="s">
        <v>123</v>
      </c>
      <c r="F382" s="33" t="s">
        <v>137</v>
      </c>
      <c r="G382" s="11"/>
      <c r="H382" s="11">
        <f>SUMIFS(X!$F$3:$F$5978,X!$D$3:$D$5978,'Current Stock'!A382)</f>
        <v>0</v>
      </c>
      <c r="I382" s="11">
        <f>SUMIFS(PENJUALAN!$E$4:$E$3651,PENJUALAN!$C$4:$C$3651,'Current Stock'!A382)</f>
        <v>0</v>
      </c>
      <c r="J382" s="15">
        <f t="shared" si="2"/>
        <v>0</v>
      </c>
      <c r="K382" s="11"/>
      <c r="L382" s="11"/>
      <c r="M382" s="11"/>
      <c r="N382" s="11"/>
      <c r="O382" s="17"/>
      <c r="P382" s="17"/>
    </row>
    <row r="383" ht="13.5" customHeight="1">
      <c r="A383" s="11" t="str">
        <f t="shared" si="1"/>
        <v>TRW-RIO05FY</v>
      </c>
      <c r="B383" s="32" t="s">
        <v>626</v>
      </c>
      <c r="C383" s="33" t="s">
        <v>627</v>
      </c>
      <c r="D383" s="33" t="s">
        <v>62</v>
      </c>
      <c r="E383" s="11" t="s">
        <v>123</v>
      </c>
      <c r="F383" s="33" t="s">
        <v>228</v>
      </c>
      <c r="G383" s="11"/>
      <c r="H383" s="11">
        <f>SUMIFS(X!$F$3:$F$5978,X!$D$3:$D$5978,'Current Stock'!A383)</f>
        <v>0</v>
      </c>
      <c r="I383" s="11">
        <f>SUMIFS(PENJUALAN!$E$4:$E$3651,PENJUALAN!$C$4:$C$3651,'Current Stock'!A383)</f>
        <v>0</v>
      </c>
      <c r="J383" s="15">
        <f t="shared" si="2"/>
        <v>0</v>
      </c>
      <c r="K383" s="11"/>
      <c r="L383" s="11"/>
      <c r="M383" s="11"/>
      <c r="N383" s="11"/>
      <c r="O383" s="17"/>
      <c r="P383" s="17"/>
    </row>
    <row r="384" ht="13.5" customHeight="1">
      <c r="A384" s="11" t="str">
        <f t="shared" si="1"/>
        <v>LFW-RIO11FY</v>
      </c>
      <c r="B384" s="32" t="s">
        <v>628</v>
      </c>
      <c r="C384" s="33" t="s">
        <v>629</v>
      </c>
      <c r="D384" s="33" t="s">
        <v>60</v>
      </c>
      <c r="E384" s="11" t="s">
        <v>123</v>
      </c>
      <c r="F384" s="33" t="s">
        <v>137</v>
      </c>
      <c r="G384" s="11"/>
      <c r="H384" s="11">
        <f>SUMIFS(X!$F$3:$F$5978,X!$D$3:$D$5978,'Current Stock'!A384)</f>
        <v>0</v>
      </c>
      <c r="I384" s="11">
        <f>SUMIFS(PENJUALAN!$E$4:$E$3651,PENJUALAN!$C$4:$C$3651,'Current Stock'!A384)</f>
        <v>0</v>
      </c>
      <c r="J384" s="15">
        <f t="shared" si="2"/>
        <v>0</v>
      </c>
      <c r="K384" s="11"/>
      <c r="L384" s="11"/>
      <c r="M384" s="11"/>
      <c r="N384" s="11"/>
      <c r="O384" s="17"/>
      <c r="P384" s="17"/>
    </row>
    <row r="385" ht="13.5" customHeight="1">
      <c r="A385" s="11" t="str">
        <f t="shared" si="1"/>
        <v>TRW-RIO11FY</v>
      </c>
      <c r="B385" s="32" t="s">
        <v>630</v>
      </c>
      <c r="C385" s="33" t="s">
        <v>629</v>
      </c>
      <c r="D385" s="33" t="s">
        <v>62</v>
      </c>
      <c r="E385" s="11" t="s">
        <v>123</v>
      </c>
      <c r="F385" s="33" t="s">
        <v>228</v>
      </c>
      <c r="G385" s="11"/>
      <c r="H385" s="11">
        <f>SUMIFS(X!$F$3:$F$5978,X!$D$3:$D$5978,'Current Stock'!A385)</f>
        <v>1</v>
      </c>
      <c r="I385" s="11">
        <f>SUMIFS(PENJUALAN!$E$4:$E$3651,PENJUALAN!$C$4:$C$3651,'Current Stock'!A385)</f>
        <v>1</v>
      </c>
      <c r="J385" s="15">
        <f t="shared" si="2"/>
        <v>0</v>
      </c>
      <c r="K385" s="11"/>
      <c r="L385" s="11"/>
      <c r="M385" s="11"/>
      <c r="N385" s="11"/>
      <c r="O385" s="17"/>
      <c r="P385" s="17"/>
    </row>
    <row r="386" ht="13.5" customHeight="1">
      <c r="A386" s="11" t="str">
        <f t="shared" si="1"/>
        <v>FDL-RIO11FY</v>
      </c>
      <c r="B386" s="32" t="s">
        <v>631</v>
      </c>
      <c r="C386" s="33" t="s">
        <v>629</v>
      </c>
      <c r="D386" s="33" t="s">
        <v>140</v>
      </c>
      <c r="E386" s="11" t="s">
        <v>123</v>
      </c>
      <c r="F386" s="33"/>
      <c r="G386" s="11"/>
      <c r="H386" s="11">
        <f>SUMIFS(X!$F$3:$F$5978,X!$D$3:$D$5978,'Current Stock'!A386)</f>
        <v>0</v>
      </c>
      <c r="I386" s="11">
        <f>SUMIFS(PENJUALAN!$E$4:$E$3651,PENJUALAN!$C$4:$C$3651,'Current Stock'!A386)</f>
        <v>0</v>
      </c>
      <c r="J386" s="15">
        <f t="shared" si="2"/>
        <v>0</v>
      </c>
      <c r="K386" s="11"/>
      <c r="L386" s="11"/>
      <c r="M386" s="11"/>
      <c r="N386" s="11"/>
      <c r="O386" s="17"/>
      <c r="P386" s="17"/>
    </row>
    <row r="387" ht="13.5" customHeight="1">
      <c r="A387" s="11" t="str">
        <f t="shared" si="1"/>
        <v>FDR-RIO11FY</v>
      </c>
      <c r="B387" s="32" t="s">
        <v>632</v>
      </c>
      <c r="C387" s="33" t="s">
        <v>629</v>
      </c>
      <c r="D387" s="33" t="s">
        <v>142</v>
      </c>
      <c r="E387" s="11" t="s">
        <v>123</v>
      </c>
      <c r="F387" s="33"/>
      <c r="G387" s="11"/>
      <c r="H387" s="11">
        <f>SUMIFS(X!$F$3:$F$5978,X!$D$3:$D$5978,'Current Stock'!A387)</f>
        <v>0</v>
      </c>
      <c r="I387" s="11">
        <f>SUMIFS(PENJUALAN!$E$4:$E$3651,PENJUALAN!$C$4:$C$3651,'Current Stock'!A387)</f>
        <v>0</v>
      </c>
      <c r="J387" s="15">
        <f t="shared" si="2"/>
        <v>0</v>
      </c>
      <c r="K387" s="11"/>
      <c r="L387" s="11"/>
      <c r="M387" s="11"/>
      <c r="N387" s="11"/>
      <c r="O387" s="17"/>
      <c r="P387" s="17"/>
    </row>
    <row r="388" ht="13.5" customHeight="1">
      <c r="A388" s="11" t="str">
        <f t="shared" si="1"/>
        <v>RDL-RIO11FY</v>
      </c>
      <c r="B388" s="32" t="s">
        <v>633</v>
      </c>
      <c r="C388" s="33" t="s">
        <v>629</v>
      </c>
      <c r="D388" s="33" t="s">
        <v>144</v>
      </c>
      <c r="E388" s="11" t="s">
        <v>123</v>
      </c>
      <c r="F388" s="33"/>
      <c r="G388" s="11"/>
      <c r="H388" s="11">
        <f>SUMIFS(X!$F$3:$F$5978,X!$D$3:$D$5978,'Current Stock'!A388)</f>
        <v>0</v>
      </c>
      <c r="I388" s="11">
        <f>SUMIFS(PENJUALAN!$E$4:$E$3651,PENJUALAN!$C$4:$C$3651,'Current Stock'!A388)</f>
        <v>0</v>
      </c>
      <c r="J388" s="15">
        <f t="shared" si="2"/>
        <v>0</v>
      </c>
      <c r="K388" s="11"/>
      <c r="L388" s="11"/>
      <c r="M388" s="11"/>
      <c r="N388" s="11"/>
      <c r="O388" s="17"/>
      <c r="P388" s="17"/>
    </row>
    <row r="389" ht="13.5" customHeight="1">
      <c r="A389" s="11" t="str">
        <f t="shared" si="1"/>
        <v>RDR-RIO11FY</v>
      </c>
      <c r="B389" s="32" t="s">
        <v>634</v>
      </c>
      <c r="C389" s="33" t="s">
        <v>629</v>
      </c>
      <c r="D389" s="33" t="s">
        <v>146</v>
      </c>
      <c r="E389" s="11" t="s">
        <v>123</v>
      </c>
      <c r="F389" s="33"/>
      <c r="G389" s="11"/>
      <c r="H389" s="11">
        <f>SUMIFS(X!$F$3:$F$5978,X!$D$3:$D$5978,'Current Stock'!A389)</f>
        <v>0</v>
      </c>
      <c r="I389" s="11">
        <f>SUMIFS(PENJUALAN!$E$4:$E$3651,PENJUALAN!$C$4:$C$3651,'Current Stock'!A389)</f>
        <v>0</v>
      </c>
      <c r="J389" s="15">
        <f t="shared" si="2"/>
        <v>0</v>
      </c>
      <c r="K389" s="11"/>
      <c r="L389" s="11"/>
      <c r="M389" s="11"/>
      <c r="N389" s="11"/>
      <c r="O389" s="17"/>
      <c r="P389" s="17"/>
    </row>
    <row r="390" ht="13.5" customHeight="1">
      <c r="A390" s="11" t="str">
        <f t="shared" si="1"/>
        <v>LFW-SEDONA98FY</v>
      </c>
      <c r="B390" s="32" t="s">
        <v>635</v>
      </c>
      <c r="C390" s="33" t="s">
        <v>636</v>
      </c>
      <c r="D390" s="33" t="s">
        <v>60</v>
      </c>
      <c r="E390" s="11" t="s">
        <v>123</v>
      </c>
      <c r="F390" s="33" t="s">
        <v>137</v>
      </c>
      <c r="G390" s="11"/>
      <c r="H390" s="11">
        <f>SUMIFS(X!$F$3:$F$5978,X!$D$3:$D$5978,'Current Stock'!A390)</f>
        <v>0</v>
      </c>
      <c r="I390" s="11">
        <f>SUMIFS(PENJUALAN!$E$4:$E$3651,PENJUALAN!$C$4:$C$3651,'Current Stock'!A390)</f>
        <v>0</v>
      </c>
      <c r="J390" s="15">
        <f t="shared" si="2"/>
        <v>0</v>
      </c>
      <c r="K390" s="11"/>
      <c r="L390" s="11"/>
      <c r="M390" s="11"/>
      <c r="N390" s="11"/>
      <c r="O390" s="17"/>
      <c r="P390" s="17"/>
    </row>
    <row r="391" ht="13.5" customHeight="1">
      <c r="A391" s="11" t="str">
        <f t="shared" si="1"/>
        <v>TRW-CARNIVAL98FY</v>
      </c>
      <c r="B391" s="32" t="s">
        <v>637</v>
      </c>
      <c r="C391" s="33" t="s">
        <v>638</v>
      </c>
      <c r="D391" s="33" t="s">
        <v>62</v>
      </c>
      <c r="E391" s="11" t="s">
        <v>123</v>
      </c>
      <c r="F391" s="33" t="s">
        <v>83</v>
      </c>
      <c r="G391" s="11"/>
      <c r="H391" s="11">
        <f>SUMIFS(X!$F$3:$F$5978,X!$D$3:$D$5978,'Current Stock'!A391)</f>
        <v>0</v>
      </c>
      <c r="I391" s="11">
        <f>SUMIFS(PENJUALAN!$E$4:$E$3651,PENJUALAN!$C$4:$C$3651,'Current Stock'!A391)</f>
        <v>0</v>
      </c>
      <c r="J391" s="15">
        <f t="shared" si="2"/>
        <v>0</v>
      </c>
      <c r="K391" s="11"/>
      <c r="L391" s="11"/>
      <c r="M391" s="11"/>
      <c r="N391" s="11"/>
      <c r="O391" s="17"/>
      <c r="P391" s="17"/>
    </row>
    <row r="392" ht="13.5" customHeight="1">
      <c r="A392" s="11" t="str">
        <f t="shared" si="1"/>
        <v>LFW-SORENTOFY</v>
      </c>
      <c r="B392" s="32" t="s">
        <v>639</v>
      </c>
      <c r="C392" s="33" t="s">
        <v>640</v>
      </c>
      <c r="D392" s="33" t="s">
        <v>60</v>
      </c>
      <c r="E392" s="11" t="s">
        <v>123</v>
      </c>
      <c r="F392" s="33" t="s">
        <v>137</v>
      </c>
      <c r="G392" s="11"/>
      <c r="H392" s="11">
        <f>SUMIFS(X!$F$3:$F$5978,X!$D$3:$D$5978,'Current Stock'!A392)</f>
        <v>0</v>
      </c>
      <c r="I392" s="11">
        <f>SUMIFS(PENJUALAN!$E$4:$E$3651,PENJUALAN!$C$4:$C$3651,'Current Stock'!A392)</f>
        <v>0</v>
      </c>
      <c r="J392" s="15">
        <f t="shared" si="2"/>
        <v>0</v>
      </c>
      <c r="K392" s="11"/>
      <c r="L392" s="11"/>
      <c r="M392" s="11"/>
      <c r="N392" s="11"/>
      <c r="O392" s="17"/>
      <c r="P392" s="17"/>
    </row>
    <row r="393" ht="13.5" customHeight="1">
      <c r="A393" s="11" t="str">
        <f t="shared" si="1"/>
        <v>TRW-SORENTOFY</v>
      </c>
      <c r="B393" s="32" t="s">
        <v>641</v>
      </c>
      <c r="C393" s="33" t="s">
        <v>640</v>
      </c>
      <c r="D393" s="33" t="s">
        <v>62</v>
      </c>
      <c r="E393" s="11" t="s">
        <v>123</v>
      </c>
      <c r="F393" s="33" t="s">
        <v>228</v>
      </c>
      <c r="G393" s="11"/>
      <c r="H393" s="11">
        <f>SUMIFS(X!$F$3:$F$5978,X!$D$3:$D$5978,'Current Stock'!A393)</f>
        <v>0</v>
      </c>
      <c r="I393" s="11">
        <f>SUMIFS(PENJUALAN!$E$4:$E$3651,PENJUALAN!$C$4:$C$3651,'Current Stock'!A393)</f>
        <v>0</v>
      </c>
      <c r="J393" s="15">
        <f t="shared" si="2"/>
        <v>0</v>
      </c>
      <c r="K393" s="11"/>
      <c r="L393" s="11"/>
      <c r="M393" s="11"/>
      <c r="N393" s="11"/>
      <c r="O393" s="17"/>
      <c r="P393" s="17"/>
    </row>
    <row r="394" ht="13.5" customHeight="1">
      <c r="A394" s="11" t="str">
        <f t="shared" si="1"/>
        <v>LFW-SPORTAGE10FY</v>
      </c>
      <c r="B394" s="32" t="s">
        <v>642</v>
      </c>
      <c r="C394" s="33" t="s">
        <v>643</v>
      </c>
      <c r="D394" s="33" t="s">
        <v>60</v>
      </c>
      <c r="E394" s="11" t="s">
        <v>123</v>
      </c>
      <c r="F394" s="33" t="s">
        <v>137</v>
      </c>
      <c r="G394" s="11"/>
      <c r="H394" s="11">
        <f>SUMIFS(X!$F$3:$F$5978,X!$D$3:$D$5978,'Current Stock'!A394)</f>
        <v>0</v>
      </c>
      <c r="I394" s="11">
        <f>SUMIFS(PENJUALAN!$E$4:$E$3651,PENJUALAN!$C$4:$C$3651,'Current Stock'!A394)</f>
        <v>0</v>
      </c>
      <c r="J394" s="15">
        <f t="shared" si="2"/>
        <v>0</v>
      </c>
      <c r="K394" s="11"/>
      <c r="L394" s="11"/>
      <c r="M394" s="11"/>
      <c r="N394" s="11"/>
      <c r="O394" s="17"/>
      <c r="P394" s="17"/>
    </row>
    <row r="395" ht="13.5" customHeight="1">
      <c r="A395" s="11" t="str">
        <f t="shared" si="1"/>
        <v>FDL-SPORTAGE10FY</v>
      </c>
      <c r="B395" s="32" t="s">
        <v>644</v>
      </c>
      <c r="C395" s="33" t="s">
        <v>643</v>
      </c>
      <c r="D395" s="33" t="s">
        <v>140</v>
      </c>
      <c r="E395" s="11" t="s">
        <v>123</v>
      </c>
      <c r="F395" s="33"/>
      <c r="G395" s="11"/>
      <c r="H395" s="11">
        <f>SUMIFS(X!$F$3:$F$5978,X!$D$3:$D$5978,'Current Stock'!A395)</f>
        <v>0</v>
      </c>
      <c r="I395" s="11">
        <f>SUMIFS(PENJUALAN!$E$4:$E$3651,PENJUALAN!$C$4:$C$3651,'Current Stock'!A395)</f>
        <v>0</v>
      </c>
      <c r="J395" s="15">
        <f t="shared" si="2"/>
        <v>0</v>
      </c>
      <c r="K395" s="11"/>
      <c r="L395" s="11"/>
      <c r="M395" s="11"/>
      <c r="N395" s="11"/>
      <c r="O395" s="17"/>
      <c r="P395" s="17"/>
    </row>
    <row r="396" ht="13.5" customHeight="1">
      <c r="A396" s="11" t="str">
        <f t="shared" si="1"/>
        <v>FDR-SPORTAGE10FY</v>
      </c>
      <c r="B396" s="32" t="s">
        <v>645</v>
      </c>
      <c r="C396" s="33" t="s">
        <v>643</v>
      </c>
      <c r="D396" s="33" t="s">
        <v>142</v>
      </c>
      <c r="E396" s="11" t="s">
        <v>123</v>
      </c>
      <c r="F396" s="33"/>
      <c r="G396" s="11"/>
      <c r="H396" s="11">
        <f>SUMIFS(X!$F$3:$F$5978,X!$D$3:$D$5978,'Current Stock'!A396)</f>
        <v>0</v>
      </c>
      <c r="I396" s="11">
        <f>SUMIFS(PENJUALAN!$E$4:$E$3651,PENJUALAN!$C$4:$C$3651,'Current Stock'!A396)</f>
        <v>0</v>
      </c>
      <c r="J396" s="15">
        <f t="shared" si="2"/>
        <v>0</v>
      </c>
      <c r="K396" s="11"/>
      <c r="L396" s="11"/>
      <c r="M396" s="11"/>
      <c r="N396" s="11"/>
      <c r="O396" s="17"/>
      <c r="P396" s="17"/>
    </row>
    <row r="397" ht="13.5" customHeight="1">
      <c r="A397" s="11" t="str">
        <f t="shared" si="1"/>
        <v>RDL-SPORTAGE10FY</v>
      </c>
      <c r="B397" s="32" t="s">
        <v>646</v>
      </c>
      <c r="C397" s="33" t="s">
        <v>643</v>
      </c>
      <c r="D397" s="33" t="s">
        <v>144</v>
      </c>
      <c r="E397" s="11" t="s">
        <v>123</v>
      </c>
      <c r="F397" s="33"/>
      <c r="G397" s="11"/>
      <c r="H397" s="11">
        <f>SUMIFS(X!$F$3:$F$5978,X!$D$3:$D$5978,'Current Stock'!A397)</f>
        <v>0</v>
      </c>
      <c r="I397" s="11">
        <f>SUMIFS(PENJUALAN!$E$4:$E$3651,PENJUALAN!$C$4:$C$3651,'Current Stock'!A397)</f>
        <v>0</v>
      </c>
      <c r="J397" s="15">
        <f t="shared" si="2"/>
        <v>0</v>
      </c>
      <c r="K397" s="11"/>
      <c r="L397" s="11"/>
      <c r="M397" s="11"/>
      <c r="N397" s="11"/>
      <c r="O397" s="17"/>
      <c r="P397" s="17"/>
    </row>
    <row r="398" ht="13.5" customHeight="1">
      <c r="A398" s="11" t="str">
        <f t="shared" si="1"/>
        <v>RDR-SPORTAGE10FY</v>
      </c>
      <c r="B398" s="32" t="s">
        <v>647</v>
      </c>
      <c r="C398" s="33" t="s">
        <v>643</v>
      </c>
      <c r="D398" s="33" t="s">
        <v>146</v>
      </c>
      <c r="E398" s="11" t="s">
        <v>123</v>
      </c>
      <c r="F398" s="33"/>
      <c r="G398" s="11"/>
      <c r="H398" s="11">
        <f>SUMIFS(X!$F$3:$F$5978,X!$D$3:$D$5978,'Current Stock'!A398)</f>
        <v>0</v>
      </c>
      <c r="I398" s="11">
        <f>SUMIFS(PENJUALAN!$E$4:$E$3651,PENJUALAN!$C$4:$C$3651,'Current Stock'!A398)</f>
        <v>0</v>
      </c>
      <c r="J398" s="15">
        <f t="shared" si="2"/>
        <v>0</v>
      </c>
      <c r="K398" s="11"/>
      <c r="L398" s="11"/>
      <c r="M398" s="11"/>
      <c r="N398" s="11"/>
      <c r="O398" s="17"/>
      <c r="P398" s="17"/>
    </row>
    <row r="399" ht="13.5" customHeight="1">
      <c r="A399" s="11" t="str">
        <f t="shared" si="1"/>
        <v>TRW-SPORTAGE10SFY</v>
      </c>
      <c r="B399" s="32" t="s">
        <v>648</v>
      </c>
      <c r="C399" s="33" t="s">
        <v>649</v>
      </c>
      <c r="D399" s="33" t="s">
        <v>62</v>
      </c>
      <c r="E399" s="11" t="s">
        <v>123</v>
      </c>
      <c r="F399" s="33" t="s">
        <v>228</v>
      </c>
      <c r="G399" s="11"/>
      <c r="H399" s="11">
        <f>SUMIFS(X!$F$3:$F$5978,X!$D$3:$D$5978,'Current Stock'!A399)</f>
        <v>0</v>
      </c>
      <c r="I399" s="11">
        <f>SUMIFS(PENJUALAN!$E$4:$E$3651,PENJUALAN!$C$4:$C$3651,'Current Stock'!A399)</f>
        <v>0</v>
      </c>
      <c r="J399" s="15">
        <f t="shared" si="2"/>
        <v>0</v>
      </c>
      <c r="K399" s="11"/>
      <c r="L399" s="11"/>
      <c r="M399" s="11"/>
      <c r="N399" s="11"/>
      <c r="O399" s="17"/>
      <c r="P399" s="17"/>
    </row>
    <row r="400" ht="13.5" customHeight="1">
      <c r="A400" s="11" t="str">
        <f t="shared" si="1"/>
        <v>LFW-SPORTAGE15FY</v>
      </c>
      <c r="B400" s="32" t="s">
        <v>650</v>
      </c>
      <c r="C400" s="33" t="s">
        <v>651</v>
      </c>
      <c r="D400" s="33" t="s">
        <v>60</v>
      </c>
      <c r="E400" s="11" t="s">
        <v>123</v>
      </c>
      <c r="F400" s="33" t="s">
        <v>90</v>
      </c>
      <c r="G400" s="11"/>
      <c r="H400" s="11">
        <f>SUMIFS(X!$F$3:$F$5978,X!$D$3:$D$5978,'Current Stock'!A400)</f>
        <v>0</v>
      </c>
      <c r="I400" s="11">
        <f>SUMIFS(PENJUALAN!$E$4:$E$3651,PENJUALAN!$C$4:$C$3651,'Current Stock'!A400)</f>
        <v>0</v>
      </c>
      <c r="J400" s="15">
        <f t="shared" si="2"/>
        <v>0</v>
      </c>
      <c r="K400" s="11"/>
      <c r="L400" s="11"/>
      <c r="M400" s="11"/>
      <c r="N400" s="11"/>
      <c r="O400" s="17"/>
      <c r="P400" s="17"/>
    </row>
    <row r="401" ht="13.5" customHeight="1">
      <c r="A401" s="11" t="str">
        <f t="shared" si="1"/>
        <v>TRW-SPORTAGE15FY</v>
      </c>
      <c r="B401" s="32" t="s">
        <v>652</v>
      </c>
      <c r="C401" s="33" t="s">
        <v>651</v>
      </c>
      <c r="D401" s="33" t="s">
        <v>62</v>
      </c>
      <c r="E401" s="11" t="s">
        <v>123</v>
      </c>
      <c r="F401" s="33" t="s">
        <v>228</v>
      </c>
      <c r="G401" s="11"/>
      <c r="H401" s="11">
        <f>SUMIFS(X!$F$3:$F$5978,X!$D$3:$D$5978,'Current Stock'!A401)</f>
        <v>0</v>
      </c>
      <c r="I401" s="11">
        <f>SUMIFS(PENJUALAN!$E$4:$E$3651,PENJUALAN!$C$4:$C$3651,'Current Stock'!A401)</f>
        <v>0</v>
      </c>
      <c r="J401" s="15">
        <f t="shared" si="2"/>
        <v>0</v>
      </c>
      <c r="K401" s="11"/>
      <c r="L401" s="11"/>
      <c r="M401" s="11"/>
      <c r="N401" s="11"/>
      <c r="O401" s="17"/>
      <c r="P401" s="17"/>
    </row>
    <row r="402" ht="13.5" customHeight="1">
      <c r="A402" s="11" t="str">
        <f t="shared" si="1"/>
        <v>FDR-SPORTAGE15FY</v>
      </c>
      <c r="B402" s="32" t="s">
        <v>653</v>
      </c>
      <c r="C402" s="33" t="s">
        <v>651</v>
      </c>
      <c r="D402" s="33" t="s">
        <v>142</v>
      </c>
      <c r="E402" s="11" t="s">
        <v>123</v>
      </c>
      <c r="F402" s="33"/>
      <c r="G402" s="11"/>
      <c r="H402" s="11">
        <f>SUMIFS(X!$F$3:$F$5978,X!$D$3:$D$5978,'Current Stock'!A402)</f>
        <v>0</v>
      </c>
      <c r="I402" s="11">
        <f>SUMIFS(PENJUALAN!$E$4:$E$3651,PENJUALAN!$C$4:$C$3651,'Current Stock'!A402)</f>
        <v>0</v>
      </c>
      <c r="J402" s="15">
        <f t="shared" si="2"/>
        <v>0</v>
      </c>
      <c r="K402" s="11"/>
      <c r="L402" s="11"/>
      <c r="M402" s="11"/>
      <c r="N402" s="11"/>
      <c r="O402" s="17"/>
      <c r="P402" s="17"/>
    </row>
    <row r="403" ht="13.5" customHeight="1">
      <c r="A403" s="11" t="str">
        <f t="shared" si="1"/>
        <v>RDL-SPORTAGE15FY</v>
      </c>
      <c r="B403" s="32" t="s">
        <v>654</v>
      </c>
      <c r="C403" s="33" t="s">
        <v>651</v>
      </c>
      <c r="D403" s="33" t="s">
        <v>144</v>
      </c>
      <c r="E403" s="11" t="s">
        <v>123</v>
      </c>
      <c r="F403" s="33"/>
      <c r="G403" s="11"/>
      <c r="H403" s="11">
        <f>SUMIFS(X!$F$3:$F$5978,X!$D$3:$D$5978,'Current Stock'!A403)</f>
        <v>0</v>
      </c>
      <c r="I403" s="11">
        <f>SUMIFS(PENJUALAN!$E$4:$E$3651,PENJUALAN!$C$4:$C$3651,'Current Stock'!A403)</f>
        <v>0</v>
      </c>
      <c r="J403" s="15">
        <f t="shared" si="2"/>
        <v>0</v>
      </c>
      <c r="K403" s="11"/>
      <c r="L403" s="11"/>
      <c r="M403" s="11"/>
      <c r="N403" s="11"/>
      <c r="O403" s="17"/>
      <c r="P403" s="17"/>
    </row>
    <row r="404" ht="13.5" customHeight="1">
      <c r="A404" s="11" t="str">
        <f t="shared" si="1"/>
        <v>RDR-SPORTAGE15FY</v>
      </c>
      <c r="B404" s="32" t="s">
        <v>655</v>
      </c>
      <c r="C404" s="33" t="s">
        <v>651</v>
      </c>
      <c r="D404" s="33" t="s">
        <v>146</v>
      </c>
      <c r="E404" s="11" t="s">
        <v>123</v>
      </c>
      <c r="F404" s="33"/>
      <c r="G404" s="11"/>
      <c r="H404" s="11">
        <f>SUMIFS(X!$F$3:$F$5978,X!$D$3:$D$5978,'Current Stock'!A404)</f>
        <v>0</v>
      </c>
      <c r="I404" s="11">
        <f>SUMIFS(PENJUALAN!$E$4:$E$3651,PENJUALAN!$C$4:$C$3651,'Current Stock'!A404)</f>
        <v>0</v>
      </c>
      <c r="J404" s="15">
        <f t="shared" si="2"/>
        <v>0</v>
      </c>
      <c r="K404" s="11"/>
      <c r="L404" s="11"/>
      <c r="M404" s="11"/>
      <c r="N404" s="11"/>
      <c r="O404" s="17"/>
      <c r="P404" s="17"/>
    </row>
    <row r="405" ht="13.5" customHeight="1">
      <c r="A405" s="11" t="str">
        <f t="shared" si="1"/>
        <v>TRW-TIMORFY</v>
      </c>
      <c r="B405" s="32" t="s">
        <v>656</v>
      </c>
      <c r="C405" s="33" t="s">
        <v>657</v>
      </c>
      <c r="D405" s="33" t="s">
        <v>62</v>
      </c>
      <c r="E405" s="11" t="s">
        <v>123</v>
      </c>
      <c r="F405" s="33" t="s">
        <v>83</v>
      </c>
      <c r="G405" s="11"/>
      <c r="H405" s="11">
        <f>SUMIFS(X!$F$3:$F$5978,X!$D$3:$D$5978,'Current Stock'!A405)</f>
        <v>0</v>
      </c>
      <c r="I405" s="11">
        <f>SUMIFS(PENJUALAN!$E$4:$E$3651,PENJUALAN!$C$4:$C$3651,'Current Stock'!A405)</f>
        <v>0</v>
      </c>
      <c r="J405" s="15">
        <f t="shared" si="2"/>
        <v>0</v>
      </c>
      <c r="K405" s="11"/>
      <c r="L405" s="11"/>
      <c r="M405" s="11"/>
      <c r="N405" s="11"/>
      <c r="O405" s="17"/>
      <c r="P405" s="17"/>
    </row>
    <row r="406" ht="13.5" customHeight="1">
      <c r="A406" s="11" t="str">
        <f t="shared" si="1"/>
        <v>LFW-VISTOFY</v>
      </c>
      <c r="B406" s="32" t="s">
        <v>658</v>
      </c>
      <c r="C406" s="33" t="s">
        <v>659</v>
      </c>
      <c r="D406" s="33" t="s">
        <v>60</v>
      </c>
      <c r="E406" s="11" t="s">
        <v>123</v>
      </c>
      <c r="F406" s="33" t="s">
        <v>109</v>
      </c>
      <c r="G406" s="11"/>
      <c r="H406" s="11">
        <f>SUMIFS(X!$F$3:$F$5978,X!$D$3:$D$5978,'Current Stock'!A406)</f>
        <v>0</v>
      </c>
      <c r="I406" s="11">
        <f>SUMIFS(PENJUALAN!$E$4:$E$3651,PENJUALAN!$C$4:$C$3651,'Current Stock'!A406)</f>
        <v>0</v>
      </c>
      <c r="J406" s="15">
        <f t="shared" si="2"/>
        <v>0</v>
      </c>
      <c r="K406" s="11"/>
      <c r="L406" s="11"/>
      <c r="M406" s="11"/>
      <c r="N406" s="11"/>
      <c r="O406" s="17"/>
      <c r="P406" s="17"/>
    </row>
    <row r="407" ht="13.5" customHeight="1">
      <c r="A407" s="11" t="str">
        <f t="shared" si="1"/>
        <v>TRW-VISTOFY</v>
      </c>
      <c r="B407" s="32" t="s">
        <v>660</v>
      </c>
      <c r="C407" s="33" t="s">
        <v>659</v>
      </c>
      <c r="D407" s="33" t="s">
        <v>62</v>
      </c>
      <c r="E407" s="11" t="s">
        <v>123</v>
      </c>
      <c r="F407" s="33" t="s">
        <v>83</v>
      </c>
      <c r="G407" s="11"/>
      <c r="H407" s="11">
        <f>SUMIFS(X!$F$3:$F$5978,X!$D$3:$D$5978,'Current Stock'!A407)</f>
        <v>0</v>
      </c>
      <c r="I407" s="11">
        <f>SUMIFS(PENJUALAN!$E$4:$E$3651,PENJUALAN!$C$4:$C$3651,'Current Stock'!A407)</f>
        <v>0</v>
      </c>
      <c r="J407" s="15">
        <f t="shared" si="2"/>
        <v>0</v>
      </c>
      <c r="K407" s="11"/>
      <c r="L407" s="11"/>
      <c r="M407" s="11"/>
      <c r="N407" s="11"/>
      <c r="O407" s="17"/>
      <c r="P407" s="17"/>
    </row>
    <row r="408" ht="13.5" customHeight="1">
      <c r="A408" s="11" t="str">
        <f t="shared" si="1"/>
        <v>LFW-XU10FY</v>
      </c>
      <c r="B408" s="32" t="s">
        <v>661</v>
      </c>
      <c r="C408" s="33" t="s">
        <v>662</v>
      </c>
      <c r="D408" s="33" t="s">
        <v>60</v>
      </c>
      <c r="E408" s="11" t="s">
        <v>123</v>
      </c>
      <c r="F408" s="33" t="s">
        <v>137</v>
      </c>
      <c r="G408" s="11"/>
      <c r="H408" s="11">
        <f>SUMIFS(X!$F$3:$F$5978,X!$D$3:$D$5978,'Current Stock'!A408)</f>
        <v>0</v>
      </c>
      <c r="I408" s="11">
        <f>SUMIFS(PENJUALAN!$E$4:$E$3651,PENJUALAN!$C$4:$C$3651,'Current Stock'!A408)</f>
        <v>0</v>
      </c>
      <c r="J408" s="15">
        <f t="shared" si="2"/>
        <v>0</v>
      </c>
      <c r="K408" s="11"/>
      <c r="L408" s="11"/>
      <c r="M408" s="11"/>
      <c r="N408" s="11"/>
      <c r="O408" s="17"/>
      <c r="P408" s="17"/>
    </row>
    <row r="409" ht="13.5" customHeight="1">
      <c r="A409" s="11" t="str">
        <f t="shared" si="1"/>
        <v>TRW-XU10FY</v>
      </c>
      <c r="B409" s="32" t="s">
        <v>663</v>
      </c>
      <c r="C409" s="33" t="s">
        <v>664</v>
      </c>
      <c r="D409" s="33" t="s">
        <v>62</v>
      </c>
      <c r="E409" s="11" t="s">
        <v>123</v>
      </c>
      <c r="F409" s="33" t="s">
        <v>83</v>
      </c>
      <c r="G409" s="11"/>
      <c r="H409" s="11">
        <f>SUMIFS(X!$F$3:$F$5978,X!$D$3:$D$5978,'Current Stock'!A409)</f>
        <v>0</v>
      </c>
      <c r="I409" s="11">
        <f>SUMIFS(PENJUALAN!$E$4:$E$3651,PENJUALAN!$C$4:$C$3651,'Current Stock'!A409)</f>
        <v>0</v>
      </c>
      <c r="J409" s="15">
        <f t="shared" si="2"/>
        <v>0</v>
      </c>
      <c r="K409" s="11"/>
      <c r="L409" s="11"/>
      <c r="M409" s="11"/>
      <c r="N409" s="11"/>
      <c r="O409" s="17"/>
      <c r="P409" s="17"/>
    </row>
    <row r="410" ht="13.5" customHeight="1">
      <c r="A410" s="11" t="str">
        <f t="shared" si="1"/>
        <v>LFW-XU30RSFY</v>
      </c>
      <c r="B410" s="32" t="s">
        <v>665</v>
      </c>
      <c r="C410" s="33" t="s">
        <v>666</v>
      </c>
      <c r="D410" s="33" t="s">
        <v>60</v>
      </c>
      <c r="E410" s="11" t="s">
        <v>123</v>
      </c>
      <c r="F410" s="33" t="s">
        <v>90</v>
      </c>
      <c r="G410" s="11"/>
      <c r="H410" s="11">
        <f>SUMIFS(X!$F$3:$F$5978,X!$D$3:$D$5978,'Current Stock'!A410)</f>
        <v>0</v>
      </c>
      <c r="I410" s="11">
        <f>SUMIFS(PENJUALAN!$E$4:$E$3651,PENJUALAN!$C$4:$C$3651,'Current Stock'!A410)</f>
        <v>0</v>
      </c>
      <c r="J410" s="15">
        <f t="shared" si="2"/>
        <v>0</v>
      </c>
      <c r="K410" s="11"/>
      <c r="L410" s="11"/>
      <c r="M410" s="11"/>
      <c r="N410" s="11"/>
      <c r="O410" s="17"/>
      <c r="P410" s="17"/>
    </row>
    <row r="411" ht="13.5" customHeight="1">
      <c r="A411" s="11" t="str">
        <f t="shared" si="1"/>
        <v>LFW-XU30FY</v>
      </c>
      <c r="B411" s="32" t="s">
        <v>667</v>
      </c>
      <c r="C411" s="33" t="s">
        <v>666</v>
      </c>
      <c r="D411" s="33" t="s">
        <v>60</v>
      </c>
      <c r="E411" s="11" t="s">
        <v>123</v>
      </c>
      <c r="F411" s="33" t="s">
        <v>137</v>
      </c>
      <c r="G411" s="11"/>
      <c r="H411" s="11">
        <f>SUMIFS(X!$F$3:$F$5978,X!$D$3:$D$5978,'Current Stock'!A411)</f>
        <v>0</v>
      </c>
      <c r="I411" s="11">
        <f>SUMIFS(PENJUALAN!$E$4:$E$3651,PENJUALAN!$C$4:$C$3651,'Current Stock'!A411)</f>
        <v>0</v>
      </c>
      <c r="J411" s="15">
        <f t="shared" si="2"/>
        <v>0</v>
      </c>
      <c r="K411" s="11"/>
      <c r="L411" s="11"/>
      <c r="M411" s="11"/>
      <c r="N411" s="11"/>
      <c r="O411" s="17"/>
      <c r="P411" s="17"/>
    </row>
    <row r="412" ht="13.5" customHeight="1">
      <c r="A412" s="11" t="str">
        <f t="shared" si="1"/>
        <v>TRW-XU30FY</v>
      </c>
      <c r="B412" s="32" t="s">
        <v>668</v>
      </c>
      <c r="C412" s="33" t="s">
        <v>669</v>
      </c>
      <c r="D412" s="33" t="s">
        <v>62</v>
      </c>
      <c r="E412" s="11" t="s">
        <v>123</v>
      </c>
      <c r="F412" s="33" t="s">
        <v>670</v>
      </c>
      <c r="G412" s="11"/>
      <c r="H412" s="11">
        <f>SUMIFS(X!$F$3:$F$5978,X!$D$3:$D$5978,'Current Stock'!A412)</f>
        <v>0</v>
      </c>
      <c r="I412" s="11">
        <f>SUMIFS(PENJUALAN!$E$4:$E$3651,PENJUALAN!$C$4:$C$3651,'Current Stock'!A412)</f>
        <v>0</v>
      </c>
      <c r="J412" s="15">
        <f t="shared" si="2"/>
        <v>0</v>
      </c>
      <c r="K412" s="11"/>
      <c r="L412" s="11"/>
      <c r="M412" s="11"/>
      <c r="N412" s="11"/>
      <c r="O412" s="17"/>
      <c r="P412" s="17"/>
    </row>
    <row r="413" ht="13.5" customHeight="1">
      <c r="A413" s="11" t="str">
        <f t="shared" si="1"/>
        <v>TRW-XU31FY</v>
      </c>
      <c r="B413" s="32" t="s">
        <v>671</v>
      </c>
      <c r="C413" s="33" t="s">
        <v>672</v>
      </c>
      <c r="D413" s="33" t="s">
        <v>62</v>
      </c>
      <c r="E413" s="11" t="s">
        <v>123</v>
      </c>
      <c r="F413" s="33" t="s">
        <v>670</v>
      </c>
      <c r="G413" s="11"/>
      <c r="H413" s="11">
        <f>SUMIFS(X!$F$3:$F$5978,X!$D$3:$D$5978,'Current Stock'!A413)</f>
        <v>0</v>
      </c>
      <c r="I413" s="11">
        <f>SUMIFS(PENJUALAN!$E$4:$E$3651,PENJUALAN!$C$4:$C$3651,'Current Stock'!A413)</f>
        <v>0</v>
      </c>
      <c r="J413" s="15">
        <f t="shared" si="2"/>
        <v>0</v>
      </c>
      <c r="K413" s="11"/>
      <c r="L413" s="11"/>
      <c r="M413" s="11"/>
      <c r="N413" s="11"/>
      <c r="O413" s="17"/>
      <c r="P413" s="17"/>
    </row>
    <row r="414" ht="13.5" customHeight="1">
      <c r="A414" s="11" t="str">
        <f t="shared" si="1"/>
        <v>FDL-XU30FY</v>
      </c>
      <c r="B414" s="32" t="s">
        <v>673</v>
      </c>
      <c r="C414" s="33" t="s">
        <v>666</v>
      </c>
      <c r="D414" s="33" t="s">
        <v>140</v>
      </c>
      <c r="E414" s="11" t="s">
        <v>123</v>
      </c>
      <c r="F414" s="33"/>
      <c r="G414" s="11"/>
      <c r="H414" s="11">
        <f>SUMIFS(X!$F$3:$F$5978,X!$D$3:$D$5978,'Current Stock'!A414)</f>
        <v>0</v>
      </c>
      <c r="I414" s="11">
        <f>SUMIFS(PENJUALAN!$E$4:$E$3651,PENJUALAN!$C$4:$C$3651,'Current Stock'!A414)</f>
        <v>0</v>
      </c>
      <c r="J414" s="15">
        <f t="shared" si="2"/>
        <v>0</v>
      </c>
      <c r="K414" s="11"/>
      <c r="L414" s="11"/>
      <c r="M414" s="11"/>
      <c r="N414" s="11"/>
      <c r="O414" s="17"/>
      <c r="P414" s="17"/>
    </row>
    <row r="415" ht="13.5" customHeight="1">
      <c r="A415" s="11" t="str">
        <f t="shared" si="1"/>
        <v>FDR-XU30FY</v>
      </c>
      <c r="B415" s="32" t="s">
        <v>674</v>
      </c>
      <c r="C415" s="33" t="s">
        <v>666</v>
      </c>
      <c r="D415" s="33" t="s">
        <v>142</v>
      </c>
      <c r="E415" s="11" t="s">
        <v>123</v>
      </c>
      <c r="F415" s="33"/>
      <c r="G415" s="11"/>
      <c r="H415" s="11">
        <f>SUMIFS(X!$F$3:$F$5978,X!$D$3:$D$5978,'Current Stock'!A415)</f>
        <v>0</v>
      </c>
      <c r="I415" s="11">
        <f>SUMIFS(PENJUALAN!$E$4:$E$3651,PENJUALAN!$C$4:$C$3651,'Current Stock'!A415)</f>
        <v>0</v>
      </c>
      <c r="J415" s="15">
        <f t="shared" si="2"/>
        <v>0</v>
      </c>
      <c r="K415" s="11"/>
      <c r="L415" s="11"/>
      <c r="M415" s="11"/>
      <c r="N415" s="11"/>
      <c r="O415" s="17"/>
      <c r="P415" s="17"/>
    </row>
    <row r="416" ht="13.5" customHeight="1">
      <c r="A416" s="11" t="str">
        <f t="shared" si="1"/>
        <v>RDL-XU30FY</v>
      </c>
      <c r="B416" s="32" t="s">
        <v>675</v>
      </c>
      <c r="C416" s="33" t="s">
        <v>666</v>
      </c>
      <c r="D416" s="33" t="s">
        <v>144</v>
      </c>
      <c r="E416" s="11" t="s">
        <v>123</v>
      </c>
      <c r="F416" s="33"/>
      <c r="G416" s="11"/>
      <c r="H416" s="11">
        <f>SUMIFS(X!$F$3:$F$5978,X!$D$3:$D$5978,'Current Stock'!A416)</f>
        <v>0</v>
      </c>
      <c r="I416" s="11">
        <f>SUMIFS(PENJUALAN!$E$4:$E$3651,PENJUALAN!$C$4:$C$3651,'Current Stock'!A416)</f>
        <v>0</v>
      </c>
      <c r="J416" s="15">
        <f t="shared" si="2"/>
        <v>0</v>
      </c>
      <c r="K416" s="11"/>
      <c r="L416" s="11"/>
      <c r="M416" s="11"/>
      <c r="N416" s="11"/>
      <c r="O416" s="17"/>
      <c r="P416" s="17"/>
    </row>
    <row r="417" ht="13.5" customHeight="1">
      <c r="A417" s="11" t="str">
        <f t="shared" si="1"/>
        <v>RDR-XU30FY</v>
      </c>
      <c r="B417" s="32" t="s">
        <v>676</v>
      </c>
      <c r="C417" s="33" t="s">
        <v>666</v>
      </c>
      <c r="D417" s="33" t="s">
        <v>146</v>
      </c>
      <c r="E417" s="11" t="s">
        <v>123</v>
      </c>
      <c r="F417" s="33"/>
      <c r="G417" s="11"/>
      <c r="H417" s="11">
        <f>SUMIFS(X!$F$3:$F$5978,X!$D$3:$D$5978,'Current Stock'!A417)</f>
        <v>0</v>
      </c>
      <c r="I417" s="11">
        <f>SUMIFS(PENJUALAN!$E$4:$E$3651,PENJUALAN!$C$4:$C$3651,'Current Stock'!A417)</f>
        <v>0</v>
      </c>
      <c r="J417" s="15">
        <f t="shared" si="2"/>
        <v>0</v>
      </c>
      <c r="K417" s="11"/>
      <c r="L417" s="11"/>
      <c r="M417" s="11"/>
      <c r="N417" s="11"/>
      <c r="O417" s="17"/>
      <c r="P417" s="17"/>
    </row>
    <row r="418" ht="13.5" customHeight="1">
      <c r="A418" s="11" t="str">
        <f t="shared" si="1"/>
        <v>RVL-XU30FY</v>
      </c>
      <c r="B418" s="32" t="s">
        <v>677</v>
      </c>
      <c r="C418" s="33" t="s">
        <v>666</v>
      </c>
      <c r="D418" s="33" t="s">
        <v>396</v>
      </c>
      <c r="E418" s="11" t="s">
        <v>123</v>
      </c>
      <c r="F418" s="33"/>
      <c r="G418" s="11"/>
      <c r="H418" s="11">
        <f>SUMIFS(X!$F$3:$F$5978,X!$D$3:$D$5978,'Current Stock'!A418)</f>
        <v>1</v>
      </c>
      <c r="I418" s="11">
        <f>SUMIFS(PENJUALAN!$E$4:$E$3651,PENJUALAN!$C$4:$C$3651,'Current Stock'!A418)</f>
        <v>1</v>
      </c>
      <c r="J418" s="15">
        <f t="shared" si="2"/>
        <v>0</v>
      </c>
      <c r="K418" s="11"/>
      <c r="L418" s="11"/>
      <c r="M418" s="11"/>
      <c r="N418" s="11"/>
      <c r="O418" s="17"/>
      <c r="P418" s="17"/>
    </row>
    <row r="419" ht="13.5" customHeight="1">
      <c r="A419" s="11" t="str">
        <f t="shared" si="1"/>
        <v>RVR-XU30FY</v>
      </c>
      <c r="B419" s="32" t="s">
        <v>678</v>
      </c>
      <c r="C419" s="33" t="s">
        <v>666</v>
      </c>
      <c r="D419" s="33" t="s">
        <v>398</v>
      </c>
      <c r="E419" s="11" t="s">
        <v>123</v>
      </c>
      <c r="F419" s="33"/>
      <c r="G419" s="11"/>
      <c r="H419" s="11">
        <f>SUMIFS(X!$F$3:$F$5978,X!$D$3:$D$5978,'Current Stock'!A419)</f>
        <v>0</v>
      </c>
      <c r="I419" s="11">
        <f>SUMIFS(PENJUALAN!$E$4:$E$3651,PENJUALAN!$C$4:$C$3651,'Current Stock'!A419)</f>
        <v>0</v>
      </c>
      <c r="J419" s="15">
        <f t="shared" si="2"/>
        <v>0</v>
      </c>
      <c r="K419" s="11"/>
      <c r="L419" s="11"/>
      <c r="M419" s="11"/>
      <c r="N419" s="11"/>
      <c r="O419" s="17"/>
      <c r="P419" s="17"/>
    </row>
    <row r="420" ht="13.5" customHeight="1">
      <c r="A420" s="11" t="str">
        <f t="shared" si="1"/>
        <v>RQL-XU30FY</v>
      </c>
      <c r="B420" s="32" t="s">
        <v>679</v>
      </c>
      <c r="C420" s="33" t="s">
        <v>666</v>
      </c>
      <c r="D420" s="33" t="s">
        <v>209</v>
      </c>
      <c r="E420" s="11" t="s">
        <v>123</v>
      </c>
      <c r="F420" s="33" t="s">
        <v>109</v>
      </c>
      <c r="G420" s="11"/>
      <c r="H420" s="11">
        <f>SUMIFS(X!$F$3:$F$5978,X!$D$3:$D$5978,'Current Stock'!A420)</f>
        <v>0</v>
      </c>
      <c r="I420" s="11">
        <f>SUMIFS(PENJUALAN!$E$4:$E$3651,PENJUALAN!$C$4:$C$3651,'Current Stock'!A420)</f>
        <v>0</v>
      </c>
      <c r="J420" s="15">
        <f t="shared" si="2"/>
        <v>0</v>
      </c>
      <c r="K420" s="11"/>
      <c r="L420" s="11"/>
      <c r="M420" s="11"/>
      <c r="N420" s="11"/>
      <c r="O420" s="17"/>
      <c r="P420" s="17"/>
    </row>
    <row r="421" ht="13.5" customHeight="1">
      <c r="A421" s="11" t="str">
        <f t="shared" si="1"/>
        <v>RQR-XU30FY</v>
      </c>
      <c r="B421" s="32" t="s">
        <v>680</v>
      </c>
      <c r="C421" s="33" t="s">
        <v>666</v>
      </c>
      <c r="D421" s="33" t="s">
        <v>243</v>
      </c>
      <c r="E421" s="11" t="s">
        <v>123</v>
      </c>
      <c r="F421" s="33" t="s">
        <v>109</v>
      </c>
      <c r="G421" s="11"/>
      <c r="H421" s="11">
        <f>SUMIFS(X!$F$3:$F$5978,X!$D$3:$D$5978,'Current Stock'!A421)</f>
        <v>0</v>
      </c>
      <c r="I421" s="11">
        <f>SUMIFS(PENJUALAN!$E$4:$E$3651,PENJUALAN!$C$4:$C$3651,'Current Stock'!A421)</f>
        <v>0</v>
      </c>
      <c r="J421" s="15">
        <f t="shared" si="2"/>
        <v>0</v>
      </c>
      <c r="K421" s="11"/>
      <c r="L421" s="11"/>
      <c r="M421" s="11"/>
      <c r="N421" s="11"/>
      <c r="O421" s="17"/>
      <c r="P421" s="17"/>
    </row>
    <row r="422" ht="13.5" customHeight="1">
      <c r="A422" s="11" t="str">
        <f t="shared" si="1"/>
        <v>LFW-AL10FY</v>
      </c>
      <c r="B422" s="32" t="s">
        <v>681</v>
      </c>
      <c r="C422" s="33" t="s">
        <v>682</v>
      </c>
      <c r="D422" s="33" t="s">
        <v>60</v>
      </c>
      <c r="E422" s="11" t="s">
        <v>123</v>
      </c>
      <c r="F422" s="33" t="s">
        <v>683</v>
      </c>
      <c r="G422" s="11"/>
      <c r="H422" s="11">
        <f>SUMIFS(X!$F$3:$F$5978,X!$D$3:$D$5978,'Current Stock'!A422)</f>
        <v>0</v>
      </c>
      <c r="I422" s="11">
        <f>SUMIFS(PENJUALAN!$E$4:$E$3651,PENJUALAN!$C$4:$C$3651,'Current Stock'!A422)</f>
        <v>0</v>
      </c>
      <c r="J422" s="15">
        <f t="shared" si="2"/>
        <v>0</v>
      </c>
      <c r="K422" s="11"/>
      <c r="L422" s="11"/>
      <c r="M422" s="11"/>
      <c r="N422" s="11"/>
      <c r="O422" s="17"/>
      <c r="P422" s="17"/>
    </row>
    <row r="423" ht="13.5" customHeight="1">
      <c r="A423" s="11" t="str">
        <f t="shared" si="1"/>
        <v>TRW-AL10FY</v>
      </c>
      <c r="B423" s="32" t="s">
        <v>684</v>
      </c>
      <c r="C423" s="33" t="s">
        <v>685</v>
      </c>
      <c r="D423" s="33" t="s">
        <v>62</v>
      </c>
      <c r="E423" s="11" t="s">
        <v>123</v>
      </c>
      <c r="F423" s="33" t="s">
        <v>126</v>
      </c>
      <c r="G423" s="11"/>
      <c r="H423" s="11">
        <f>SUMIFS(X!$F$3:$F$5978,X!$D$3:$D$5978,'Current Stock'!A423)</f>
        <v>0</v>
      </c>
      <c r="I423" s="11">
        <f>SUMIFS(PENJUALAN!$E$4:$E$3651,PENJUALAN!$C$4:$C$3651,'Current Stock'!A423)</f>
        <v>0</v>
      </c>
      <c r="J423" s="15">
        <f t="shared" si="2"/>
        <v>0</v>
      </c>
      <c r="K423" s="11"/>
      <c r="L423" s="11"/>
      <c r="M423" s="11"/>
      <c r="N423" s="11"/>
      <c r="O423" s="17"/>
      <c r="P423" s="17"/>
    </row>
    <row r="424" ht="13.5" customHeight="1">
      <c r="A424" s="11" t="str">
        <f t="shared" si="1"/>
        <v>TRW-MOBILIOXYG</v>
      </c>
      <c r="B424" s="32" t="s">
        <v>686</v>
      </c>
      <c r="C424" s="31" t="s">
        <v>687</v>
      </c>
      <c r="D424" s="33" t="s">
        <v>62</v>
      </c>
      <c r="E424" s="11" t="s">
        <v>16</v>
      </c>
      <c r="F424" s="33" t="s">
        <v>109</v>
      </c>
      <c r="G424" s="37">
        <v>46021.0</v>
      </c>
      <c r="H424" s="11">
        <f>SUMIFS(X!$F$3:$F$5978,X!$D$3:$D$5978,'Current Stock'!A424)</f>
        <v>5</v>
      </c>
      <c r="I424" s="11">
        <f>SUMIFS(PENJUALAN!$E$4:$E$3651,PENJUALAN!$C$4:$C$3651,'Current Stock'!A424)</f>
        <v>5</v>
      </c>
      <c r="J424" s="15">
        <f t="shared" si="2"/>
        <v>0</v>
      </c>
      <c r="K424" s="13" t="s">
        <v>606</v>
      </c>
      <c r="L424" s="13"/>
      <c r="M424" s="11"/>
      <c r="N424" s="11"/>
      <c r="O424" s="17"/>
      <c r="P424" s="17"/>
    </row>
    <row r="425" ht="13.5" customHeight="1">
      <c r="A425" s="11" t="str">
        <f t="shared" si="1"/>
        <v>TRW-CU6FY</v>
      </c>
      <c r="B425" s="32" t="s">
        <v>688</v>
      </c>
      <c r="C425" s="33" t="s">
        <v>689</v>
      </c>
      <c r="D425" s="33" t="s">
        <v>62</v>
      </c>
      <c r="E425" s="11" t="s">
        <v>123</v>
      </c>
      <c r="F425" s="33" t="s">
        <v>228</v>
      </c>
      <c r="G425" s="11"/>
      <c r="H425" s="11">
        <f>SUMIFS(X!$F$3:$F$5978,X!$D$3:$D$5978,'Current Stock'!A425)</f>
        <v>0</v>
      </c>
      <c r="I425" s="11">
        <f>SUMIFS(PENJUALAN!$E$4:$E$3651,PENJUALAN!$C$4:$C$3651,'Current Stock'!A425)</f>
        <v>0</v>
      </c>
      <c r="J425" s="15">
        <f t="shared" si="2"/>
        <v>0</v>
      </c>
      <c r="K425" s="11"/>
      <c r="L425" s="11"/>
      <c r="M425" s="11"/>
      <c r="N425" s="11"/>
      <c r="O425" s="17"/>
      <c r="P425" s="17"/>
    </row>
    <row r="426" ht="13.5" customHeight="1">
      <c r="A426" s="11" t="str">
        <f t="shared" si="1"/>
        <v>RDL-CU6FY</v>
      </c>
      <c r="B426" s="32" t="s">
        <v>690</v>
      </c>
      <c r="C426" s="33" t="s">
        <v>689</v>
      </c>
      <c r="D426" s="33" t="s">
        <v>144</v>
      </c>
      <c r="E426" s="11" t="s">
        <v>123</v>
      </c>
      <c r="F426" s="33"/>
      <c r="G426" s="11"/>
      <c r="H426" s="11">
        <f>SUMIFS(X!$F$3:$F$5978,X!$D$3:$D$5978,'Current Stock'!A426)</f>
        <v>0</v>
      </c>
      <c r="I426" s="11">
        <f>SUMIFS(PENJUALAN!$E$4:$E$3651,PENJUALAN!$C$4:$C$3651,'Current Stock'!A426)</f>
        <v>0</v>
      </c>
      <c r="J426" s="15">
        <f t="shared" si="2"/>
        <v>0</v>
      </c>
      <c r="K426" s="11"/>
      <c r="L426" s="11"/>
      <c r="M426" s="11"/>
      <c r="N426" s="11"/>
      <c r="O426" s="17"/>
      <c r="P426" s="17"/>
    </row>
    <row r="427" ht="13.5" customHeight="1">
      <c r="A427" s="11" t="str">
        <f t="shared" si="1"/>
        <v>RDR-CU6FY</v>
      </c>
      <c r="B427" s="32" t="s">
        <v>691</v>
      </c>
      <c r="C427" s="33" t="s">
        <v>689</v>
      </c>
      <c r="D427" s="33" t="s">
        <v>146</v>
      </c>
      <c r="E427" s="11" t="s">
        <v>123</v>
      </c>
      <c r="F427" s="33"/>
      <c r="G427" s="11"/>
      <c r="H427" s="11">
        <f>SUMIFS(X!$F$3:$F$5978,X!$D$3:$D$5978,'Current Stock'!A427)</f>
        <v>0</v>
      </c>
      <c r="I427" s="11">
        <f>SUMIFS(PENJUALAN!$E$4:$E$3651,PENJUALAN!$C$4:$C$3651,'Current Stock'!A427)</f>
        <v>0</v>
      </c>
      <c r="J427" s="15">
        <f t="shared" si="2"/>
        <v>0</v>
      </c>
      <c r="K427" s="11"/>
      <c r="L427" s="11"/>
      <c r="M427" s="11"/>
      <c r="N427" s="11"/>
      <c r="O427" s="17"/>
      <c r="P427" s="17"/>
    </row>
    <row r="428" ht="13.5" customHeight="1">
      <c r="A428" s="11" t="str">
        <f t="shared" si="1"/>
        <v>RVL-CU6FY</v>
      </c>
      <c r="B428" s="32" t="s">
        <v>692</v>
      </c>
      <c r="C428" s="33" t="s">
        <v>689</v>
      </c>
      <c r="D428" s="33" t="s">
        <v>396</v>
      </c>
      <c r="E428" s="11" t="s">
        <v>123</v>
      </c>
      <c r="F428" s="33"/>
      <c r="G428" s="11"/>
      <c r="H428" s="11">
        <f>SUMIFS(X!$F$3:$F$5978,X!$D$3:$D$5978,'Current Stock'!A428)</f>
        <v>0</v>
      </c>
      <c r="I428" s="11">
        <f>SUMIFS(PENJUALAN!$E$4:$E$3651,PENJUALAN!$C$4:$C$3651,'Current Stock'!A428)</f>
        <v>0</v>
      </c>
      <c r="J428" s="15">
        <f t="shared" si="2"/>
        <v>0</v>
      </c>
      <c r="K428" s="11"/>
      <c r="L428" s="11"/>
      <c r="M428" s="11"/>
      <c r="N428" s="11"/>
      <c r="O428" s="17"/>
      <c r="P428" s="17"/>
    </row>
    <row r="429" ht="13.5" customHeight="1">
      <c r="A429" s="11" t="str">
        <f t="shared" si="1"/>
        <v>RVR-CU6FY</v>
      </c>
      <c r="B429" s="32" t="s">
        <v>693</v>
      </c>
      <c r="C429" s="33" t="s">
        <v>689</v>
      </c>
      <c r="D429" s="33" t="s">
        <v>398</v>
      </c>
      <c r="E429" s="11" t="s">
        <v>123</v>
      </c>
      <c r="F429" s="33"/>
      <c r="G429" s="11"/>
      <c r="H429" s="11">
        <f>SUMIFS(X!$F$3:$F$5978,X!$D$3:$D$5978,'Current Stock'!A429)</f>
        <v>0</v>
      </c>
      <c r="I429" s="11">
        <f>SUMIFS(PENJUALAN!$E$4:$E$3651,PENJUALAN!$C$4:$C$3651,'Current Stock'!A429)</f>
        <v>0</v>
      </c>
      <c r="J429" s="15">
        <f t="shared" si="2"/>
        <v>0</v>
      </c>
      <c r="K429" s="11"/>
      <c r="L429" s="11"/>
      <c r="M429" s="11"/>
      <c r="N429" s="11"/>
      <c r="O429" s="17"/>
      <c r="P429" s="17"/>
    </row>
    <row r="430" ht="13.5" customHeight="1">
      <c r="A430" s="11" t="str">
        <f t="shared" si="1"/>
        <v>RQL-CU6FY</v>
      </c>
      <c r="B430" s="32" t="s">
        <v>694</v>
      </c>
      <c r="C430" s="33" t="s">
        <v>689</v>
      </c>
      <c r="D430" s="33" t="s">
        <v>209</v>
      </c>
      <c r="E430" s="11" t="s">
        <v>123</v>
      </c>
      <c r="F430" s="33" t="s">
        <v>109</v>
      </c>
      <c r="G430" s="11"/>
      <c r="H430" s="11">
        <f>SUMIFS(X!$F$3:$F$5978,X!$D$3:$D$5978,'Current Stock'!A430)</f>
        <v>0</v>
      </c>
      <c r="I430" s="11">
        <f>SUMIFS(PENJUALAN!$E$4:$E$3651,PENJUALAN!$C$4:$C$3651,'Current Stock'!A430)</f>
        <v>0</v>
      </c>
      <c r="J430" s="15">
        <f t="shared" si="2"/>
        <v>0</v>
      </c>
      <c r="K430" s="11"/>
      <c r="L430" s="11"/>
      <c r="M430" s="11"/>
      <c r="N430" s="11"/>
      <c r="O430" s="17"/>
      <c r="P430" s="17"/>
    </row>
    <row r="431" ht="13.5" customHeight="1">
      <c r="A431" s="11" t="str">
        <f t="shared" si="1"/>
        <v>RQR-CU6FY</v>
      </c>
      <c r="B431" s="32" t="s">
        <v>695</v>
      </c>
      <c r="C431" s="33" t="s">
        <v>689</v>
      </c>
      <c r="D431" s="33" t="s">
        <v>243</v>
      </c>
      <c r="E431" s="11" t="s">
        <v>123</v>
      </c>
      <c r="F431" s="33" t="s">
        <v>109</v>
      </c>
      <c r="G431" s="11"/>
      <c r="H431" s="11">
        <f>SUMIFS(X!$F$3:$F$5978,X!$D$3:$D$5978,'Current Stock'!A431)</f>
        <v>0</v>
      </c>
      <c r="I431" s="11">
        <f>SUMIFS(PENJUALAN!$E$4:$E$3651,PENJUALAN!$C$4:$C$3651,'Current Stock'!A431)</f>
        <v>0</v>
      </c>
      <c r="J431" s="15">
        <f t="shared" si="2"/>
        <v>0</v>
      </c>
      <c r="K431" s="11"/>
      <c r="L431" s="11"/>
      <c r="M431" s="11"/>
      <c r="N431" s="11"/>
      <c r="O431" s="17"/>
      <c r="P431" s="17"/>
    </row>
    <row r="432" ht="13.5" customHeight="1">
      <c r="A432" s="11" t="str">
        <f t="shared" si="1"/>
        <v>LFW-MAZDA209FY</v>
      </c>
      <c r="B432" s="32" t="s">
        <v>696</v>
      </c>
      <c r="C432" s="33" t="s">
        <v>697</v>
      </c>
      <c r="D432" s="33" t="s">
        <v>60</v>
      </c>
      <c r="E432" s="11" t="s">
        <v>123</v>
      </c>
      <c r="F432" s="33" t="s">
        <v>137</v>
      </c>
      <c r="G432" s="14">
        <v>45988.0</v>
      </c>
      <c r="H432" s="11">
        <f>SUMIFS(X!$F$3:$F$5978,X!$D$3:$D$5978,'Current Stock'!A432)</f>
        <v>2</v>
      </c>
      <c r="I432" s="11">
        <f>SUMIFS(PENJUALAN!$E$4:$E$3651,PENJUALAN!$C$4:$C$3651,'Current Stock'!A432)</f>
        <v>2</v>
      </c>
      <c r="J432" s="15">
        <f t="shared" si="2"/>
        <v>0</v>
      </c>
      <c r="K432" s="13" t="s">
        <v>698</v>
      </c>
      <c r="L432" s="11"/>
      <c r="M432" s="11"/>
      <c r="N432" s="11"/>
      <c r="O432" s="17"/>
      <c r="P432" s="17"/>
    </row>
    <row r="433" ht="13.5" customHeight="1">
      <c r="A433" s="11" t="str">
        <f t="shared" si="1"/>
        <v>TRW-MAZDA209FY</v>
      </c>
      <c r="B433" s="32" t="s">
        <v>699</v>
      </c>
      <c r="C433" s="33" t="s">
        <v>700</v>
      </c>
      <c r="D433" s="33" t="s">
        <v>62</v>
      </c>
      <c r="E433" s="11" t="s">
        <v>123</v>
      </c>
      <c r="F433" s="33" t="s">
        <v>83</v>
      </c>
      <c r="G433" s="11"/>
      <c r="H433" s="11">
        <f>SUMIFS(X!$F$3:$F$5978,X!$D$3:$D$5978,'Current Stock'!A433)</f>
        <v>0</v>
      </c>
      <c r="I433" s="11">
        <f>SUMIFS(PENJUALAN!$E$4:$E$3651,PENJUALAN!$C$4:$C$3651,'Current Stock'!A433)</f>
        <v>0</v>
      </c>
      <c r="J433" s="15">
        <f t="shared" si="2"/>
        <v>0</v>
      </c>
      <c r="K433" s="11"/>
      <c r="L433" s="11"/>
      <c r="M433" s="11"/>
      <c r="N433" s="11"/>
      <c r="O433" s="17"/>
      <c r="P433" s="17"/>
    </row>
    <row r="434" ht="13.5" customHeight="1">
      <c r="A434" s="11" t="str">
        <f t="shared" si="1"/>
        <v>FDL-MAZDA209FY</v>
      </c>
      <c r="B434" s="32" t="s">
        <v>701</v>
      </c>
      <c r="C434" s="33" t="s">
        <v>700</v>
      </c>
      <c r="D434" s="33" t="s">
        <v>140</v>
      </c>
      <c r="E434" s="11" t="s">
        <v>123</v>
      </c>
      <c r="F434" s="33" t="s">
        <v>152</v>
      </c>
      <c r="G434" s="11"/>
      <c r="H434" s="11">
        <f>SUMIFS(X!$F$3:$F$5978,X!$D$3:$D$5978,'Current Stock'!A434)</f>
        <v>0</v>
      </c>
      <c r="I434" s="11">
        <f>SUMIFS(PENJUALAN!$E$4:$E$3651,PENJUALAN!$C$4:$C$3651,'Current Stock'!A434)</f>
        <v>0</v>
      </c>
      <c r="J434" s="15">
        <f t="shared" si="2"/>
        <v>0</v>
      </c>
      <c r="K434" s="11"/>
      <c r="L434" s="11"/>
      <c r="M434" s="11"/>
      <c r="N434" s="11"/>
      <c r="O434" s="17"/>
      <c r="P434" s="17"/>
    </row>
    <row r="435" ht="13.5" customHeight="1">
      <c r="A435" s="11" t="str">
        <f t="shared" si="1"/>
        <v>FDR-MAZDA209FY</v>
      </c>
      <c r="B435" s="32" t="s">
        <v>702</v>
      </c>
      <c r="C435" s="33" t="s">
        <v>700</v>
      </c>
      <c r="D435" s="33" t="s">
        <v>142</v>
      </c>
      <c r="E435" s="11" t="s">
        <v>123</v>
      </c>
      <c r="F435" s="33" t="s">
        <v>152</v>
      </c>
      <c r="G435" s="11"/>
      <c r="H435" s="11">
        <f>SUMIFS(X!$F$3:$F$5978,X!$D$3:$D$5978,'Current Stock'!A435)</f>
        <v>0</v>
      </c>
      <c r="I435" s="11">
        <f>SUMIFS(PENJUALAN!$E$4:$E$3651,PENJUALAN!$C$4:$C$3651,'Current Stock'!A435)</f>
        <v>0</v>
      </c>
      <c r="J435" s="15">
        <f t="shared" si="2"/>
        <v>0</v>
      </c>
      <c r="K435" s="11"/>
      <c r="L435" s="11"/>
      <c r="M435" s="11"/>
      <c r="N435" s="11"/>
      <c r="O435" s="17"/>
      <c r="P435" s="17"/>
    </row>
    <row r="436" ht="13.5" customHeight="1">
      <c r="A436" s="11" t="str">
        <f t="shared" si="1"/>
        <v>RDL-MAZDA209FY</v>
      </c>
      <c r="B436" s="32" t="s">
        <v>703</v>
      </c>
      <c r="C436" s="33" t="s">
        <v>700</v>
      </c>
      <c r="D436" s="33" t="s">
        <v>144</v>
      </c>
      <c r="E436" s="11" t="s">
        <v>123</v>
      </c>
      <c r="F436" s="33" t="s">
        <v>152</v>
      </c>
      <c r="G436" s="11"/>
      <c r="H436" s="11">
        <f>SUMIFS(X!$F$3:$F$5978,X!$D$3:$D$5978,'Current Stock'!A436)</f>
        <v>0</v>
      </c>
      <c r="I436" s="11">
        <f>SUMIFS(PENJUALAN!$E$4:$E$3651,PENJUALAN!$C$4:$C$3651,'Current Stock'!A436)</f>
        <v>0</v>
      </c>
      <c r="J436" s="15">
        <f t="shared" si="2"/>
        <v>0</v>
      </c>
      <c r="K436" s="11"/>
      <c r="L436" s="11"/>
      <c r="M436" s="11"/>
      <c r="N436" s="11"/>
      <c r="O436" s="17"/>
      <c r="P436" s="17"/>
    </row>
    <row r="437" ht="13.5" customHeight="1">
      <c r="A437" s="11" t="str">
        <f t="shared" si="1"/>
        <v>RDR-MAZDA209FY</v>
      </c>
      <c r="B437" s="32" t="s">
        <v>704</v>
      </c>
      <c r="C437" s="33" t="s">
        <v>700</v>
      </c>
      <c r="D437" s="33" t="s">
        <v>146</v>
      </c>
      <c r="E437" s="11" t="s">
        <v>123</v>
      </c>
      <c r="F437" s="33" t="s">
        <v>152</v>
      </c>
      <c r="G437" s="11"/>
      <c r="H437" s="11">
        <f>SUMIFS(X!$F$3:$F$5978,X!$D$3:$D$5978,'Current Stock'!A437)</f>
        <v>0</v>
      </c>
      <c r="I437" s="11">
        <f>SUMIFS(PENJUALAN!$E$4:$E$3651,PENJUALAN!$C$4:$C$3651,'Current Stock'!A437)</f>
        <v>0</v>
      </c>
      <c r="J437" s="15">
        <f t="shared" si="2"/>
        <v>0</v>
      </c>
      <c r="K437" s="11"/>
      <c r="L437" s="11"/>
      <c r="M437" s="11"/>
      <c r="N437" s="11"/>
      <c r="O437" s="17"/>
      <c r="P437" s="17"/>
    </row>
    <row r="438" ht="13.5" customHeight="1">
      <c r="A438" s="11" t="str">
        <f t="shared" si="1"/>
        <v>LFW-MAZDA214FY</v>
      </c>
      <c r="B438" s="32" t="s">
        <v>705</v>
      </c>
      <c r="C438" s="33" t="s">
        <v>706</v>
      </c>
      <c r="D438" s="33" t="s">
        <v>60</v>
      </c>
      <c r="E438" s="11" t="s">
        <v>123</v>
      </c>
      <c r="F438" s="33" t="s">
        <v>137</v>
      </c>
      <c r="G438" s="11"/>
      <c r="H438" s="11">
        <f>SUMIFS(X!$F$3:$F$5978,X!$D$3:$D$5978,'Current Stock'!A438)</f>
        <v>0</v>
      </c>
      <c r="I438" s="11">
        <f>SUMIFS(PENJUALAN!$E$4:$E$3651,PENJUALAN!$C$4:$C$3651,'Current Stock'!A438)</f>
        <v>0</v>
      </c>
      <c r="J438" s="15">
        <f t="shared" si="2"/>
        <v>0</v>
      </c>
      <c r="K438" s="11"/>
      <c r="L438" s="11"/>
      <c r="M438" s="11"/>
      <c r="N438" s="11"/>
      <c r="O438" s="17"/>
      <c r="P438" s="17"/>
    </row>
    <row r="439" ht="13.5" customHeight="1">
      <c r="A439" s="11" t="str">
        <f t="shared" si="1"/>
        <v>LFW-MAZDA214RSFY</v>
      </c>
      <c r="B439" s="32" t="s">
        <v>707</v>
      </c>
      <c r="C439" s="33" t="s">
        <v>708</v>
      </c>
      <c r="D439" s="33" t="s">
        <v>60</v>
      </c>
      <c r="E439" s="11" t="s">
        <v>123</v>
      </c>
      <c r="F439" s="33" t="s">
        <v>709</v>
      </c>
      <c r="G439" s="11"/>
      <c r="H439" s="11">
        <f>SUMIFS(X!$F$3:$F$5978,X!$D$3:$D$5978,'Current Stock'!A439)</f>
        <v>0</v>
      </c>
      <c r="I439" s="11">
        <f>SUMIFS(PENJUALAN!$E$4:$E$3651,PENJUALAN!$C$4:$C$3651,'Current Stock'!A439)</f>
        <v>0</v>
      </c>
      <c r="J439" s="15">
        <f t="shared" si="2"/>
        <v>0</v>
      </c>
      <c r="K439" s="11"/>
      <c r="L439" s="11"/>
      <c r="M439" s="11"/>
      <c r="N439" s="11"/>
      <c r="O439" s="17"/>
      <c r="P439" s="17"/>
    </row>
    <row r="440" ht="13.5" customHeight="1">
      <c r="A440" s="11" t="str">
        <f t="shared" si="1"/>
        <v>TRW-MAZDA214FY</v>
      </c>
      <c r="B440" s="32" t="s">
        <v>710</v>
      </c>
      <c r="C440" s="33" t="s">
        <v>711</v>
      </c>
      <c r="D440" s="35" t="s">
        <v>62</v>
      </c>
      <c r="E440" s="11" t="s">
        <v>123</v>
      </c>
      <c r="F440" s="33" t="s">
        <v>83</v>
      </c>
      <c r="G440" s="11"/>
      <c r="H440" s="11">
        <f>SUMIFS(X!$F$3:$F$5978,X!$D$3:$D$5978,'Current Stock'!A440)</f>
        <v>0</v>
      </c>
      <c r="I440" s="11">
        <f>SUMIFS(PENJUALAN!$E$4:$E$3651,PENJUALAN!$C$4:$C$3651,'Current Stock'!A440)</f>
        <v>0</v>
      </c>
      <c r="J440" s="15">
        <f t="shared" si="2"/>
        <v>0</v>
      </c>
      <c r="K440" s="11"/>
      <c r="L440" s="11"/>
      <c r="M440" s="11"/>
      <c r="N440" s="11"/>
      <c r="O440" s="17"/>
      <c r="P440" s="17"/>
    </row>
    <row r="441" ht="13.5" customHeight="1">
      <c r="A441" s="11" t="str">
        <f t="shared" si="1"/>
        <v>FDL-MAZDA214FY</v>
      </c>
      <c r="B441" s="32" t="s">
        <v>712</v>
      </c>
      <c r="C441" s="33" t="s">
        <v>711</v>
      </c>
      <c r="D441" s="33" t="s">
        <v>140</v>
      </c>
      <c r="E441" s="11" t="s">
        <v>123</v>
      </c>
      <c r="F441" s="33" t="s">
        <v>406</v>
      </c>
      <c r="G441" s="11"/>
      <c r="H441" s="11">
        <f>SUMIFS(X!$F$3:$F$5978,X!$D$3:$D$5978,'Current Stock'!A441)</f>
        <v>0</v>
      </c>
      <c r="I441" s="11">
        <f>SUMIFS(PENJUALAN!$E$4:$E$3651,PENJUALAN!$C$4:$C$3651,'Current Stock'!A441)</f>
        <v>0</v>
      </c>
      <c r="J441" s="15">
        <f t="shared" si="2"/>
        <v>0</v>
      </c>
      <c r="K441" s="11"/>
      <c r="L441" s="11"/>
      <c r="M441" s="11"/>
      <c r="N441" s="11"/>
      <c r="O441" s="17"/>
      <c r="P441" s="17"/>
    </row>
    <row r="442" ht="13.5" customHeight="1">
      <c r="A442" s="11" t="str">
        <f t="shared" si="1"/>
        <v>FDR-MAZDA214FY</v>
      </c>
      <c r="B442" s="32" t="s">
        <v>713</v>
      </c>
      <c r="C442" s="33" t="s">
        <v>711</v>
      </c>
      <c r="D442" s="33" t="s">
        <v>142</v>
      </c>
      <c r="E442" s="11" t="s">
        <v>123</v>
      </c>
      <c r="F442" s="33" t="s">
        <v>406</v>
      </c>
      <c r="G442" s="11"/>
      <c r="H442" s="11">
        <f>SUMIFS(X!$F$3:$F$5978,X!$D$3:$D$5978,'Current Stock'!A442)</f>
        <v>0</v>
      </c>
      <c r="I442" s="11">
        <f>SUMIFS(PENJUALAN!$E$4:$E$3651,PENJUALAN!$C$4:$C$3651,'Current Stock'!A442)</f>
        <v>0</v>
      </c>
      <c r="J442" s="15">
        <f t="shared" si="2"/>
        <v>0</v>
      </c>
      <c r="K442" s="11"/>
      <c r="L442" s="11"/>
      <c r="M442" s="11"/>
      <c r="N442" s="11"/>
      <c r="O442" s="17"/>
      <c r="P442" s="17"/>
    </row>
    <row r="443" ht="13.5" customHeight="1">
      <c r="A443" s="11" t="str">
        <f t="shared" si="1"/>
        <v>RDL-MAZDA214FY</v>
      </c>
      <c r="B443" s="32" t="s">
        <v>714</v>
      </c>
      <c r="C443" s="33" t="s">
        <v>711</v>
      </c>
      <c r="D443" s="33" t="s">
        <v>144</v>
      </c>
      <c r="E443" s="11" t="s">
        <v>123</v>
      </c>
      <c r="F443" s="33"/>
      <c r="G443" s="11"/>
      <c r="H443" s="11">
        <f>SUMIFS(X!$F$3:$F$5978,X!$D$3:$D$5978,'Current Stock'!A443)</f>
        <v>0</v>
      </c>
      <c r="I443" s="11">
        <f>SUMIFS(PENJUALAN!$E$4:$E$3651,PENJUALAN!$C$4:$C$3651,'Current Stock'!A443)</f>
        <v>0</v>
      </c>
      <c r="J443" s="15">
        <f t="shared" si="2"/>
        <v>0</v>
      </c>
      <c r="K443" s="11"/>
      <c r="L443" s="11"/>
      <c r="M443" s="11"/>
      <c r="N443" s="11"/>
      <c r="O443" s="17"/>
      <c r="P443" s="17"/>
    </row>
    <row r="444" ht="13.5" customHeight="1">
      <c r="A444" s="11" t="str">
        <f t="shared" si="1"/>
        <v>RDR-MAZDA214FY</v>
      </c>
      <c r="B444" s="32" t="s">
        <v>715</v>
      </c>
      <c r="C444" s="33" t="s">
        <v>711</v>
      </c>
      <c r="D444" s="33" t="s">
        <v>146</v>
      </c>
      <c r="E444" s="11" t="s">
        <v>123</v>
      </c>
      <c r="F444" s="33"/>
      <c r="G444" s="11"/>
      <c r="H444" s="11">
        <f>SUMIFS(X!$F$3:$F$5978,X!$D$3:$D$5978,'Current Stock'!A444)</f>
        <v>0</v>
      </c>
      <c r="I444" s="11">
        <f>SUMIFS(PENJUALAN!$E$4:$E$3651,PENJUALAN!$C$4:$C$3651,'Current Stock'!A444)</f>
        <v>0</v>
      </c>
      <c r="J444" s="15">
        <f t="shared" si="2"/>
        <v>0</v>
      </c>
      <c r="K444" s="11"/>
      <c r="L444" s="11"/>
      <c r="M444" s="11"/>
      <c r="N444" s="11"/>
      <c r="O444" s="17"/>
      <c r="P444" s="17"/>
    </row>
    <row r="445" ht="13.5" customHeight="1">
      <c r="A445" s="11" t="str">
        <f t="shared" si="1"/>
        <v>LFW-MAZDA602FY</v>
      </c>
      <c r="B445" s="32" t="s">
        <v>716</v>
      </c>
      <c r="C445" s="33" t="s">
        <v>717</v>
      </c>
      <c r="D445" s="33" t="s">
        <v>60</v>
      </c>
      <c r="E445" s="11" t="s">
        <v>123</v>
      </c>
      <c r="F445" s="33" t="s">
        <v>137</v>
      </c>
      <c r="G445" s="11"/>
      <c r="H445" s="11">
        <f>SUMIFS(X!$F$3:$F$5978,X!$D$3:$D$5978,'Current Stock'!A445)</f>
        <v>0</v>
      </c>
      <c r="I445" s="11">
        <f>SUMIFS(PENJUALAN!$E$4:$E$3651,PENJUALAN!$C$4:$C$3651,'Current Stock'!A445)</f>
        <v>0</v>
      </c>
      <c r="J445" s="15">
        <f t="shared" si="2"/>
        <v>0</v>
      </c>
      <c r="K445" s="11"/>
      <c r="L445" s="11"/>
      <c r="M445" s="11"/>
      <c r="N445" s="11"/>
      <c r="O445" s="17"/>
      <c r="P445" s="17"/>
    </row>
    <row r="446" ht="13.5" customHeight="1">
      <c r="A446" s="11" t="str">
        <f t="shared" si="1"/>
        <v>TRW-MAZDA602FY</v>
      </c>
      <c r="B446" s="32" t="s">
        <v>718</v>
      </c>
      <c r="C446" s="33" t="s">
        <v>717</v>
      </c>
      <c r="D446" s="33" t="s">
        <v>62</v>
      </c>
      <c r="E446" s="11" t="s">
        <v>123</v>
      </c>
      <c r="F446" s="33" t="s">
        <v>126</v>
      </c>
      <c r="G446" s="11"/>
      <c r="H446" s="11">
        <f>SUMIFS(X!$F$3:$F$5978,X!$D$3:$D$5978,'Current Stock'!A446)</f>
        <v>0</v>
      </c>
      <c r="I446" s="11">
        <f>SUMIFS(PENJUALAN!$E$4:$E$3651,PENJUALAN!$C$4:$C$3651,'Current Stock'!A446)</f>
        <v>0</v>
      </c>
      <c r="J446" s="15">
        <f t="shared" si="2"/>
        <v>0</v>
      </c>
      <c r="K446" s="11"/>
      <c r="L446" s="11"/>
      <c r="M446" s="11"/>
      <c r="N446" s="11"/>
      <c r="O446" s="17"/>
      <c r="P446" s="17"/>
    </row>
    <row r="447" ht="13.5" customHeight="1">
      <c r="A447" s="11" t="str">
        <f t="shared" si="1"/>
        <v>LFW-MAZDA608FY</v>
      </c>
      <c r="B447" s="32" t="s">
        <v>719</v>
      </c>
      <c r="C447" s="33" t="s">
        <v>720</v>
      </c>
      <c r="D447" s="33" t="s">
        <v>60</v>
      </c>
      <c r="E447" s="11" t="s">
        <v>123</v>
      </c>
      <c r="F447" s="33" t="s">
        <v>137</v>
      </c>
      <c r="G447" s="11"/>
      <c r="H447" s="11">
        <f>SUMIFS(X!$F$3:$F$5978,X!$D$3:$D$5978,'Current Stock'!A447)</f>
        <v>0</v>
      </c>
      <c r="I447" s="11">
        <f>SUMIFS(PENJUALAN!$E$4:$E$3651,PENJUALAN!$C$4:$C$3651,'Current Stock'!A447)</f>
        <v>0</v>
      </c>
      <c r="J447" s="15">
        <f t="shared" si="2"/>
        <v>0</v>
      </c>
      <c r="K447" s="11"/>
      <c r="L447" s="11"/>
      <c r="M447" s="11"/>
      <c r="N447" s="11"/>
      <c r="O447" s="17"/>
      <c r="P447" s="17"/>
    </row>
    <row r="448" ht="13.5" customHeight="1">
      <c r="A448" s="11" t="str">
        <f t="shared" si="1"/>
        <v>TRW-MAZDA608FY</v>
      </c>
      <c r="B448" s="32" t="s">
        <v>721</v>
      </c>
      <c r="C448" s="33" t="s">
        <v>720</v>
      </c>
      <c r="D448" s="33" t="s">
        <v>62</v>
      </c>
      <c r="E448" s="11" t="s">
        <v>123</v>
      </c>
      <c r="F448" s="33" t="s">
        <v>83</v>
      </c>
      <c r="G448" s="11"/>
      <c r="H448" s="11">
        <f>SUMIFS(X!$F$3:$F$5978,X!$D$3:$D$5978,'Current Stock'!A448)</f>
        <v>0</v>
      </c>
      <c r="I448" s="11">
        <f>SUMIFS(PENJUALAN!$E$4:$E$3651,PENJUALAN!$C$4:$C$3651,'Current Stock'!A448)</f>
        <v>0</v>
      </c>
      <c r="J448" s="15">
        <f t="shared" si="2"/>
        <v>0</v>
      </c>
      <c r="K448" s="11"/>
      <c r="L448" s="11"/>
      <c r="M448" s="11"/>
      <c r="N448" s="11"/>
      <c r="O448" s="17"/>
      <c r="P448" s="17"/>
    </row>
    <row r="449" ht="13.5" customHeight="1">
      <c r="A449" s="11" t="str">
        <f t="shared" si="1"/>
        <v>FDL-MAZDA608FY</v>
      </c>
      <c r="B449" s="32" t="s">
        <v>722</v>
      </c>
      <c r="C449" s="33" t="s">
        <v>720</v>
      </c>
      <c r="D449" s="33" t="s">
        <v>140</v>
      </c>
      <c r="E449" s="11" t="s">
        <v>123</v>
      </c>
      <c r="F449" s="33"/>
      <c r="G449" s="11"/>
      <c r="H449" s="11">
        <f>SUMIFS(X!$F$3:$F$5978,X!$D$3:$D$5978,'Current Stock'!A449)</f>
        <v>0</v>
      </c>
      <c r="I449" s="11">
        <f>SUMIFS(PENJUALAN!$E$4:$E$3651,PENJUALAN!$C$4:$C$3651,'Current Stock'!A449)</f>
        <v>0</v>
      </c>
      <c r="J449" s="15">
        <f t="shared" si="2"/>
        <v>0</v>
      </c>
      <c r="K449" s="11"/>
      <c r="L449" s="11"/>
      <c r="M449" s="11"/>
      <c r="N449" s="11"/>
      <c r="O449" s="17"/>
      <c r="P449" s="17"/>
    </row>
    <row r="450" ht="13.5" customHeight="1">
      <c r="A450" s="11" t="str">
        <f t="shared" si="1"/>
        <v>FDR-MAZDA608FY</v>
      </c>
      <c r="B450" s="32" t="s">
        <v>723</v>
      </c>
      <c r="C450" s="33" t="s">
        <v>720</v>
      </c>
      <c r="D450" s="33" t="s">
        <v>142</v>
      </c>
      <c r="E450" s="11" t="s">
        <v>123</v>
      </c>
      <c r="F450" s="33"/>
      <c r="G450" s="11"/>
      <c r="H450" s="11">
        <f>SUMIFS(X!$F$3:$F$5978,X!$D$3:$D$5978,'Current Stock'!A450)</f>
        <v>0</v>
      </c>
      <c r="I450" s="11">
        <f>SUMIFS(PENJUALAN!$E$4:$E$3651,PENJUALAN!$C$4:$C$3651,'Current Stock'!A450)</f>
        <v>0</v>
      </c>
      <c r="J450" s="15">
        <f t="shared" si="2"/>
        <v>0</v>
      </c>
      <c r="K450" s="11"/>
      <c r="L450" s="11"/>
      <c r="M450" s="11"/>
      <c r="N450" s="11"/>
      <c r="O450" s="17"/>
      <c r="P450" s="17"/>
    </row>
    <row r="451" ht="13.5" customHeight="1">
      <c r="A451" s="11" t="str">
        <f t="shared" si="1"/>
        <v>LFW-MAZDA608RSFY</v>
      </c>
      <c r="B451" s="32" t="s">
        <v>724</v>
      </c>
      <c r="C451" s="33" t="s">
        <v>720</v>
      </c>
      <c r="D451" s="33" t="s">
        <v>60</v>
      </c>
      <c r="E451" s="11" t="s">
        <v>123</v>
      </c>
      <c r="F451" s="33" t="s">
        <v>314</v>
      </c>
      <c r="G451" s="11"/>
      <c r="H451" s="11">
        <f>SUMIFS(X!$F$3:$F$5978,X!$D$3:$D$5978,'Current Stock'!A451)</f>
        <v>0</v>
      </c>
      <c r="I451" s="11">
        <f>SUMIFS(PENJUALAN!$E$4:$E$3651,PENJUALAN!$C$4:$C$3651,'Current Stock'!A451)</f>
        <v>0</v>
      </c>
      <c r="J451" s="15">
        <f t="shared" si="2"/>
        <v>0</v>
      </c>
      <c r="K451" s="11"/>
      <c r="L451" s="11"/>
      <c r="M451" s="11"/>
      <c r="N451" s="11"/>
      <c r="O451" s="17"/>
      <c r="P451" s="17"/>
    </row>
    <row r="452" ht="13.5" customHeight="1">
      <c r="A452" s="11" t="str">
        <f t="shared" si="1"/>
        <v>LFW-MAZDA612FY</v>
      </c>
      <c r="B452" s="32" t="s">
        <v>725</v>
      </c>
      <c r="C452" s="33" t="s">
        <v>726</v>
      </c>
      <c r="D452" s="33" t="s">
        <v>60</v>
      </c>
      <c r="E452" s="11" t="s">
        <v>123</v>
      </c>
      <c r="F452" s="33" t="s">
        <v>137</v>
      </c>
      <c r="G452" s="11"/>
      <c r="H452" s="11">
        <f>SUMIFS(X!$F$3:$F$5978,X!$D$3:$D$5978,'Current Stock'!A452)</f>
        <v>0</v>
      </c>
      <c r="I452" s="11">
        <f>SUMIFS(PENJUALAN!$E$4:$E$3651,PENJUALAN!$C$4:$C$3651,'Current Stock'!A452)</f>
        <v>0</v>
      </c>
      <c r="J452" s="15">
        <f t="shared" si="2"/>
        <v>0</v>
      </c>
      <c r="K452" s="11"/>
      <c r="L452" s="11"/>
      <c r="M452" s="11"/>
      <c r="N452" s="11"/>
      <c r="O452" s="17"/>
      <c r="P452" s="17"/>
    </row>
    <row r="453" ht="13.5" customHeight="1">
      <c r="A453" s="11" t="str">
        <f t="shared" si="1"/>
        <v>LFW-MAZDA612RSFY</v>
      </c>
      <c r="B453" s="32" t="s">
        <v>727</v>
      </c>
      <c r="C453" s="33" t="s">
        <v>726</v>
      </c>
      <c r="D453" s="33" t="s">
        <v>60</v>
      </c>
      <c r="E453" s="11" t="s">
        <v>123</v>
      </c>
      <c r="F453" s="33" t="s">
        <v>90</v>
      </c>
      <c r="G453" s="11"/>
      <c r="H453" s="11">
        <f>SUMIFS(X!$F$3:$F$5978,X!$D$3:$D$5978,'Current Stock'!A453)</f>
        <v>0</v>
      </c>
      <c r="I453" s="11">
        <f>SUMIFS(PENJUALAN!$E$4:$E$3651,PENJUALAN!$C$4:$C$3651,'Current Stock'!A453)</f>
        <v>0</v>
      </c>
      <c r="J453" s="15">
        <f t="shared" si="2"/>
        <v>0</v>
      </c>
      <c r="K453" s="11"/>
      <c r="L453" s="11"/>
      <c r="M453" s="11"/>
      <c r="N453" s="11"/>
      <c r="O453" s="17"/>
      <c r="P453" s="17"/>
    </row>
    <row r="454" ht="13.5" customHeight="1">
      <c r="A454" s="11" t="str">
        <f t="shared" si="1"/>
        <v>TRW-MAZDA612FY</v>
      </c>
      <c r="B454" s="32" t="s">
        <v>728</v>
      </c>
      <c r="C454" s="33" t="s">
        <v>726</v>
      </c>
      <c r="D454" s="33" t="s">
        <v>62</v>
      </c>
      <c r="E454" s="11" t="s">
        <v>123</v>
      </c>
      <c r="F454" s="33" t="s">
        <v>83</v>
      </c>
      <c r="G454" s="11"/>
      <c r="H454" s="11">
        <f>SUMIFS(X!$F$3:$F$5978,X!$D$3:$D$5978,'Current Stock'!A454)</f>
        <v>0</v>
      </c>
      <c r="I454" s="11">
        <f>SUMIFS(PENJUALAN!$E$4:$E$3651,PENJUALAN!$C$4:$C$3651,'Current Stock'!A454)</f>
        <v>0</v>
      </c>
      <c r="J454" s="15">
        <f t="shared" si="2"/>
        <v>0</v>
      </c>
      <c r="K454" s="11"/>
      <c r="L454" s="11"/>
      <c r="M454" s="11"/>
      <c r="N454" s="11"/>
      <c r="O454" s="17"/>
      <c r="P454" s="17"/>
    </row>
    <row r="455" ht="13.5" customHeight="1">
      <c r="A455" s="11" t="str">
        <f t="shared" si="1"/>
        <v>FDL-MAZDA612FY</v>
      </c>
      <c r="B455" s="32" t="s">
        <v>729</v>
      </c>
      <c r="C455" s="33" t="s">
        <v>726</v>
      </c>
      <c r="D455" s="33" t="s">
        <v>140</v>
      </c>
      <c r="E455" s="11" t="s">
        <v>123</v>
      </c>
      <c r="F455" s="33"/>
      <c r="G455" s="11"/>
      <c r="H455" s="11">
        <f>SUMIFS(X!$F$3:$F$5978,X!$D$3:$D$5978,'Current Stock'!A455)</f>
        <v>0</v>
      </c>
      <c r="I455" s="11">
        <f>SUMIFS(PENJUALAN!$E$4:$E$3651,PENJUALAN!$C$4:$C$3651,'Current Stock'!A455)</f>
        <v>0</v>
      </c>
      <c r="J455" s="15">
        <f t="shared" si="2"/>
        <v>0</v>
      </c>
      <c r="K455" s="11"/>
      <c r="L455" s="11"/>
      <c r="M455" s="11"/>
      <c r="N455" s="11"/>
      <c r="O455" s="17"/>
      <c r="P455" s="17"/>
    </row>
    <row r="456" ht="13.5" customHeight="1">
      <c r="A456" s="11" t="str">
        <f t="shared" si="1"/>
        <v>TRW-JAZZ07XYG</v>
      </c>
      <c r="B456" s="32" t="s">
        <v>484</v>
      </c>
      <c r="C456" s="33" t="s">
        <v>483</v>
      </c>
      <c r="D456" s="33" t="s">
        <v>62</v>
      </c>
      <c r="E456" s="11" t="s">
        <v>16</v>
      </c>
      <c r="F456" s="33" t="s">
        <v>83</v>
      </c>
      <c r="G456" s="11"/>
      <c r="H456" s="11">
        <f>SUMIFS(X!$F$3:$F$5978,X!$D$3:$D$5978,'Current Stock'!A456)</f>
        <v>2</v>
      </c>
      <c r="I456" s="11">
        <f>SUMIFS(PENJUALAN!$E$4:$E$3651,PENJUALAN!$C$4:$C$3651,'Current Stock'!A456)</f>
        <v>1</v>
      </c>
      <c r="J456" s="15">
        <f t="shared" si="2"/>
        <v>1</v>
      </c>
      <c r="K456" s="13" t="s">
        <v>606</v>
      </c>
      <c r="L456" s="13"/>
      <c r="M456" s="16">
        <v>1.0</v>
      </c>
      <c r="N456" s="11"/>
      <c r="O456" s="17"/>
      <c r="P456" s="17"/>
    </row>
    <row r="457" ht="13.5" customHeight="1">
      <c r="A457" s="11" t="str">
        <f t="shared" si="1"/>
        <v>LFW-MAZDA8FY</v>
      </c>
      <c r="B457" s="32" t="s">
        <v>730</v>
      </c>
      <c r="C457" s="33" t="s">
        <v>731</v>
      </c>
      <c r="D457" s="33" t="s">
        <v>60</v>
      </c>
      <c r="E457" s="11" t="s">
        <v>123</v>
      </c>
      <c r="F457" s="33" t="s">
        <v>137</v>
      </c>
      <c r="G457" s="11"/>
      <c r="H457" s="11">
        <f>SUMIFS(X!$F$3:$F$5978,X!$D$3:$D$5978,'Current Stock'!A457)</f>
        <v>0</v>
      </c>
      <c r="I457" s="11">
        <f>SUMIFS(PENJUALAN!$E$4:$E$3651,PENJUALAN!$C$4:$C$3651,'Current Stock'!A457)</f>
        <v>0</v>
      </c>
      <c r="J457" s="15">
        <f t="shared" si="2"/>
        <v>0</v>
      </c>
      <c r="K457" s="11"/>
      <c r="L457" s="11"/>
      <c r="M457" s="11"/>
      <c r="N457" s="11"/>
      <c r="O457" s="17"/>
      <c r="P457" s="17"/>
    </row>
    <row r="458" ht="13.5" customHeight="1">
      <c r="A458" s="11" t="str">
        <f t="shared" si="1"/>
        <v>TRW-MAZDA8FY</v>
      </c>
      <c r="B458" s="32" t="s">
        <v>732</v>
      </c>
      <c r="C458" s="33" t="s">
        <v>731</v>
      </c>
      <c r="D458" s="33" t="s">
        <v>62</v>
      </c>
      <c r="E458" s="11" t="s">
        <v>123</v>
      </c>
      <c r="F458" s="33" t="s">
        <v>228</v>
      </c>
      <c r="G458" s="11"/>
      <c r="H458" s="11">
        <f>SUMIFS(X!$F$3:$F$5978,X!$D$3:$D$5978,'Current Stock'!A458)</f>
        <v>0</v>
      </c>
      <c r="I458" s="11">
        <f>SUMIFS(PENJUALAN!$E$4:$E$3651,PENJUALAN!$C$4:$C$3651,'Current Stock'!A458)</f>
        <v>0</v>
      </c>
      <c r="J458" s="15">
        <f t="shared" si="2"/>
        <v>0</v>
      </c>
      <c r="K458" s="11"/>
      <c r="L458" s="11"/>
      <c r="M458" s="11"/>
      <c r="N458" s="11"/>
      <c r="O458" s="17"/>
      <c r="P458" s="17"/>
    </row>
    <row r="459" ht="13.5" customHeight="1">
      <c r="A459" s="11" t="str">
        <f t="shared" si="1"/>
        <v>LFW-BIANTERSFY</v>
      </c>
      <c r="B459" s="32" t="s">
        <v>733</v>
      </c>
      <c r="C459" s="33" t="s">
        <v>734</v>
      </c>
      <c r="D459" s="33" t="s">
        <v>60</v>
      </c>
      <c r="E459" s="11" t="s">
        <v>123</v>
      </c>
      <c r="F459" s="33" t="s">
        <v>314</v>
      </c>
      <c r="G459" s="11"/>
      <c r="H459" s="11">
        <f>SUMIFS(X!$F$3:$F$5978,X!$D$3:$D$5978,'Current Stock'!A459)</f>
        <v>0</v>
      </c>
      <c r="I459" s="11">
        <f>SUMIFS(PENJUALAN!$E$4:$E$3651,PENJUALAN!$C$4:$C$3651,'Current Stock'!A459)</f>
        <v>0</v>
      </c>
      <c r="J459" s="15">
        <f t="shared" si="2"/>
        <v>0</v>
      </c>
      <c r="K459" s="11"/>
      <c r="L459" s="11"/>
      <c r="M459" s="11"/>
      <c r="N459" s="11"/>
      <c r="O459" s="17"/>
      <c r="P459" s="17"/>
    </row>
    <row r="460" ht="13.5" customHeight="1">
      <c r="A460" s="11" t="str">
        <f t="shared" si="1"/>
        <v>LFW-BIANTEFY</v>
      </c>
      <c r="B460" s="32" t="s">
        <v>735</v>
      </c>
      <c r="C460" s="33" t="s">
        <v>734</v>
      </c>
      <c r="D460" s="33" t="s">
        <v>60</v>
      </c>
      <c r="E460" s="11" t="s">
        <v>123</v>
      </c>
      <c r="F460" s="33" t="s">
        <v>137</v>
      </c>
      <c r="G460" s="11"/>
      <c r="H460" s="11">
        <f>SUMIFS(X!$F$3:$F$5978,X!$D$3:$D$5978,'Current Stock'!A460)</f>
        <v>0</v>
      </c>
      <c r="I460" s="11">
        <f>SUMIFS(PENJUALAN!$E$4:$E$3651,PENJUALAN!$C$4:$C$3651,'Current Stock'!A460)</f>
        <v>0</v>
      </c>
      <c r="J460" s="15">
        <f t="shared" si="2"/>
        <v>0</v>
      </c>
      <c r="K460" s="11"/>
      <c r="L460" s="11"/>
      <c r="M460" s="11"/>
      <c r="N460" s="11"/>
      <c r="O460" s="17"/>
      <c r="P460" s="17"/>
    </row>
    <row r="461" ht="13.5" customHeight="1">
      <c r="A461" s="11" t="str">
        <f t="shared" si="1"/>
        <v>TRW-BIANTEFY</v>
      </c>
      <c r="B461" s="32" t="s">
        <v>736</v>
      </c>
      <c r="C461" s="33" t="s">
        <v>734</v>
      </c>
      <c r="D461" s="33" t="s">
        <v>62</v>
      </c>
      <c r="E461" s="11" t="s">
        <v>123</v>
      </c>
      <c r="F461" s="33" t="s">
        <v>228</v>
      </c>
      <c r="G461" s="11"/>
      <c r="H461" s="11">
        <f>SUMIFS(X!$F$3:$F$5978,X!$D$3:$D$5978,'Current Stock'!A461)</f>
        <v>0</v>
      </c>
      <c r="I461" s="11">
        <f>SUMIFS(PENJUALAN!$E$4:$E$3651,PENJUALAN!$C$4:$C$3651,'Current Stock'!A461)</f>
        <v>0</v>
      </c>
      <c r="J461" s="15">
        <f t="shared" si="2"/>
        <v>0</v>
      </c>
      <c r="K461" s="11"/>
      <c r="L461" s="11"/>
      <c r="M461" s="11"/>
      <c r="N461" s="11"/>
      <c r="O461" s="17"/>
      <c r="P461" s="17"/>
    </row>
    <row r="462" ht="13.5" customHeight="1">
      <c r="A462" s="11" t="str">
        <f t="shared" si="1"/>
        <v>TRW-BIANTEBLACKFY</v>
      </c>
      <c r="B462" s="32" t="s">
        <v>737</v>
      </c>
      <c r="C462" s="33" t="s">
        <v>738</v>
      </c>
      <c r="D462" s="33" t="s">
        <v>62</v>
      </c>
      <c r="E462" s="11" t="s">
        <v>123</v>
      </c>
      <c r="F462" s="33" t="s">
        <v>450</v>
      </c>
      <c r="G462" s="11"/>
      <c r="H462" s="11">
        <f>SUMIFS(X!$F$3:$F$5978,X!$D$3:$D$5978,'Current Stock'!A462)</f>
        <v>0</v>
      </c>
      <c r="I462" s="11">
        <f>SUMIFS(PENJUALAN!$E$4:$E$3651,PENJUALAN!$C$4:$C$3651,'Current Stock'!A462)</f>
        <v>0</v>
      </c>
      <c r="J462" s="15">
        <f t="shared" si="2"/>
        <v>0</v>
      </c>
      <c r="K462" s="11"/>
      <c r="L462" s="11"/>
      <c r="M462" s="11"/>
      <c r="N462" s="11"/>
      <c r="O462" s="17"/>
      <c r="P462" s="17"/>
    </row>
    <row r="463" ht="13.5" customHeight="1">
      <c r="A463" s="11" t="str">
        <f t="shared" si="1"/>
        <v>RDL-BIANTEFY</v>
      </c>
      <c r="B463" s="32" t="s">
        <v>739</v>
      </c>
      <c r="C463" s="33" t="s">
        <v>734</v>
      </c>
      <c r="D463" s="33" t="s">
        <v>144</v>
      </c>
      <c r="E463" s="11" t="s">
        <v>123</v>
      </c>
      <c r="F463" s="33"/>
      <c r="G463" s="11"/>
      <c r="H463" s="11">
        <f>SUMIFS(X!$F$3:$F$5978,X!$D$3:$D$5978,'Current Stock'!A463)</f>
        <v>0</v>
      </c>
      <c r="I463" s="11">
        <f>SUMIFS(PENJUALAN!$E$4:$E$3651,PENJUALAN!$C$4:$C$3651,'Current Stock'!A463)</f>
        <v>0</v>
      </c>
      <c r="J463" s="15">
        <f t="shared" si="2"/>
        <v>0</v>
      </c>
      <c r="K463" s="11"/>
      <c r="L463" s="11"/>
      <c r="M463" s="11"/>
      <c r="N463" s="11"/>
      <c r="O463" s="17"/>
      <c r="P463" s="17"/>
    </row>
    <row r="464" ht="13.5" customHeight="1">
      <c r="A464" s="11" t="str">
        <f t="shared" si="1"/>
        <v>RDR-BIANTEFY</v>
      </c>
      <c r="B464" s="32" t="s">
        <v>740</v>
      </c>
      <c r="C464" s="33" t="s">
        <v>734</v>
      </c>
      <c r="D464" s="33" t="s">
        <v>146</v>
      </c>
      <c r="E464" s="11" t="s">
        <v>123</v>
      </c>
      <c r="F464" s="33"/>
      <c r="G464" s="11"/>
      <c r="H464" s="11">
        <f>SUMIFS(X!$F$3:$F$5978,X!$D$3:$D$5978,'Current Stock'!A464)</f>
        <v>0</v>
      </c>
      <c r="I464" s="11">
        <f>SUMIFS(PENJUALAN!$E$4:$E$3651,PENJUALAN!$C$4:$C$3651,'Current Stock'!A464)</f>
        <v>0</v>
      </c>
      <c r="J464" s="15">
        <f t="shared" si="2"/>
        <v>0</v>
      </c>
      <c r="K464" s="11"/>
      <c r="L464" s="11"/>
      <c r="M464" s="11"/>
      <c r="N464" s="11"/>
      <c r="O464" s="17"/>
      <c r="P464" s="17"/>
    </row>
    <row r="465" ht="13.5" customHeight="1">
      <c r="A465" s="11" t="str">
        <f t="shared" si="1"/>
        <v>SWL-BIANTEFY</v>
      </c>
      <c r="B465" s="32" t="s">
        <v>741</v>
      </c>
      <c r="C465" s="33" t="s">
        <v>734</v>
      </c>
      <c r="D465" s="33" t="s">
        <v>209</v>
      </c>
      <c r="E465" s="11" t="s">
        <v>123</v>
      </c>
      <c r="F465" s="33" t="s">
        <v>109</v>
      </c>
      <c r="G465" s="11"/>
      <c r="H465" s="11">
        <f>SUMIFS(X!$F$3:$F$5978,X!$D$3:$D$5978,'Current Stock'!A465)</f>
        <v>0</v>
      </c>
      <c r="I465" s="11">
        <f>SUMIFS(PENJUALAN!$E$4:$E$3651,PENJUALAN!$C$4:$C$3651,'Current Stock'!A465)</f>
        <v>0</v>
      </c>
      <c r="J465" s="15">
        <f t="shared" si="2"/>
        <v>0</v>
      </c>
      <c r="K465" s="11"/>
      <c r="L465" s="11"/>
      <c r="M465" s="11"/>
      <c r="N465" s="11"/>
      <c r="O465" s="17"/>
      <c r="P465" s="17"/>
    </row>
    <row r="466" ht="13.5" customHeight="1">
      <c r="A466" s="11" t="str">
        <f t="shared" si="1"/>
        <v>SWR-BIANTEFY</v>
      </c>
      <c r="B466" s="32" t="s">
        <v>742</v>
      </c>
      <c r="C466" s="33" t="s">
        <v>734</v>
      </c>
      <c r="D466" s="33" t="s">
        <v>243</v>
      </c>
      <c r="E466" s="11" t="s">
        <v>123</v>
      </c>
      <c r="F466" s="33" t="s">
        <v>241</v>
      </c>
      <c r="G466" s="11"/>
      <c r="H466" s="11">
        <f>SUMIFS(X!$F$3:$F$5978,X!$D$3:$D$5978,'Current Stock'!A466)</f>
        <v>0</v>
      </c>
      <c r="I466" s="11">
        <f>SUMIFS(PENJUALAN!$E$4:$E$3651,PENJUALAN!$C$4:$C$3651,'Current Stock'!A466)</f>
        <v>0</v>
      </c>
      <c r="J466" s="15">
        <f t="shared" si="2"/>
        <v>0</v>
      </c>
      <c r="K466" s="11"/>
      <c r="L466" s="11"/>
      <c r="M466" s="11"/>
      <c r="N466" s="11"/>
      <c r="O466" s="17"/>
      <c r="P466" s="17"/>
    </row>
    <row r="467" ht="13.5" customHeight="1">
      <c r="A467" s="11" t="str">
        <f t="shared" si="1"/>
        <v>LFW-CX5GEN1FY</v>
      </c>
      <c r="B467" s="32" t="s">
        <v>743</v>
      </c>
      <c r="C467" s="33" t="s">
        <v>744</v>
      </c>
      <c r="D467" s="33" t="s">
        <v>60</v>
      </c>
      <c r="E467" s="11" t="s">
        <v>123</v>
      </c>
      <c r="F467" s="33" t="s">
        <v>745</v>
      </c>
      <c r="G467" s="11"/>
      <c r="H467" s="11">
        <f>SUMIFS(X!$F$3:$F$5978,X!$D$3:$D$5978,'Current Stock'!A467)</f>
        <v>0</v>
      </c>
      <c r="I467" s="11">
        <f>SUMIFS(PENJUALAN!$E$4:$E$3651,PENJUALAN!$C$4:$C$3651,'Current Stock'!A467)</f>
        <v>0</v>
      </c>
      <c r="J467" s="15">
        <f t="shared" si="2"/>
        <v>0</v>
      </c>
      <c r="K467" s="11"/>
      <c r="L467" s="11"/>
      <c r="M467" s="11"/>
      <c r="N467" s="11"/>
      <c r="O467" s="17"/>
      <c r="P467" s="17"/>
    </row>
    <row r="468" ht="13.5" customHeight="1">
      <c r="A468" s="11" t="str">
        <f t="shared" si="1"/>
        <v>LFW-ODYSSEY13XYG</v>
      </c>
      <c r="B468" s="32" t="s">
        <v>513</v>
      </c>
      <c r="C468" s="33" t="s">
        <v>514</v>
      </c>
      <c r="D468" s="33" t="s">
        <v>60</v>
      </c>
      <c r="E468" s="11" t="s">
        <v>16</v>
      </c>
      <c r="F468" s="33" t="s">
        <v>137</v>
      </c>
      <c r="G468" s="11"/>
      <c r="H468" s="11">
        <f>SUMIFS(X!$F$3:$F$5978,X!$D$3:$D$5978,'Current Stock'!A468)</f>
        <v>3</v>
      </c>
      <c r="I468" s="11">
        <f>SUMIFS(PENJUALAN!$E$4:$E$3651,PENJUALAN!$C$4:$C$3651,'Current Stock'!A468)</f>
        <v>2</v>
      </c>
      <c r="J468" s="15">
        <f t="shared" si="2"/>
        <v>1</v>
      </c>
      <c r="K468" s="13" t="s">
        <v>430</v>
      </c>
      <c r="L468" s="11"/>
      <c r="M468" s="11"/>
      <c r="N468" s="11"/>
      <c r="O468" s="17"/>
      <c r="P468" s="17"/>
    </row>
    <row r="469" ht="13.5" customHeight="1">
      <c r="A469" s="11" t="str">
        <f t="shared" si="1"/>
        <v>LFW-CX5GEN1RSFY</v>
      </c>
      <c r="B469" s="32" t="s">
        <v>746</v>
      </c>
      <c r="C469" s="33" t="s">
        <v>747</v>
      </c>
      <c r="D469" s="33" t="s">
        <v>60</v>
      </c>
      <c r="E469" s="11" t="s">
        <v>123</v>
      </c>
      <c r="F469" s="33" t="s">
        <v>314</v>
      </c>
      <c r="G469" s="11"/>
      <c r="H469" s="11">
        <f>SUMIFS(X!$F$3:$F$5978,X!$D$3:$D$5978,'Current Stock'!A469)</f>
        <v>0</v>
      </c>
      <c r="I469" s="11">
        <f>SUMIFS(PENJUALAN!$E$4:$E$3651,PENJUALAN!$C$4:$C$3651,'Current Stock'!A469)</f>
        <v>0</v>
      </c>
      <c r="J469" s="15">
        <f t="shared" si="2"/>
        <v>0</v>
      </c>
      <c r="K469" s="11"/>
      <c r="L469" s="11"/>
      <c r="M469" s="16">
        <v>1.0</v>
      </c>
      <c r="N469" s="11"/>
      <c r="O469" s="17"/>
      <c r="P469" s="17"/>
    </row>
    <row r="470" ht="13.5" customHeight="1">
      <c r="A470" s="11" t="str">
        <f t="shared" si="1"/>
        <v>LFW-CX5GEN1RS3XYG</v>
      </c>
      <c r="B470" s="32" t="s">
        <v>748</v>
      </c>
      <c r="C470" s="33" t="s">
        <v>749</v>
      </c>
      <c r="D470" s="33" t="s">
        <v>60</v>
      </c>
      <c r="E470" s="11" t="s">
        <v>16</v>
      </c>
      <c r="F470" s="33" t="s">
        <v>314</v>
      </c>
      <c r="G470" s="11"/>
      <c r="H470" s="11">
        <f>SUMIFS(X!$F$3:$F$5978,X!$D$3:$D$5978,'Current Stock'!A470)</f>
        <v>0</v>
      </c>
      <c r="I470" s="11">
        <f>SUMIFS(PENJUALAN!$E$4:$E$3651,PENJUALAN!$C$4:$C$3651,'Current Stock'!A470)</f>
        <v>0</v>
      </c>
      <c r="J470" s="15">
        <f t="shared" si="2"/>
        <v>0</v>
      </c>
      <c r="K470" s="11"/>
      <c r="L470" s="11"/>
      <c r="M470" s="11"/>
      <c r="N470" s="11"/>
      <c r="O470" s="17"/>
      <c r="P470" s="17"/>
    </row>
    <row r="471" ht="13.5" customHeight="1">
      <c r="A471" s="11" t="str">
        <f t="shared" si="1"/>
        <v>TRW-CX5GEN1FY</v>
      </c>
      <c r="B471" s="32" t="s">
        <v>750</v>
      </c>
      <c r="C471" s="33" t="s">
        <v>751</v>
      </c>
      <c r="D471" s="33" t="s">
        <v>62</v>
      </c>
      <c r="E471" s="11" t="s">
        <v>123</v>
      </c>
      <c r="F471" s="33" t="s">
        <v>228</v>
      </c>
      <c r="G471" s="11"/>
      <c r="H471" s="11">
        <f>SUMIFS(X!$F$3:$F$5978,X!$D$3:$D$5978,'Current Stock'!A471)</f>
        <v>0</v>
      </c>
      <c r="I471" s="11">
        <f>SUMIFS(PENJUALAN!$E$4:$E$3651,PENJUALAN!$C$4:$C$3651,'Current Stock'!A471)</f>
        <v>0</v>
      </c>
      <c r="J471" s="15">
        <f t="shared" si="2"/>
        <v>0</v>
      </c>
      <c r="K471" s="11"/>
      <c r="L471" s="11"/>
      <c r="M471" s="11"/>
      <c r="N471" s="11"/>
      <c r="O471" s="17"/>
      <c r="P471" s="17"/>
    </row>
    <row r="472" ht="13.5" customHeight="1">
      <c r="A472" s="11" t="str">
        <f t="shared" si="1"/>
        <v>FDL-CX5GEN1FY</v>
      </c>
      <c r="B472" s="32" t="s">
        <v>752</v>
      </c>
      <c r="C472" s="33" t="s">
        <v>751</v>
      </c>
      <c r="D472" s="33" t="s">
        <v>140</v>
      </c>
      <c r="E472" s="11" t="s">
        <v>123</v>
      </c>
      <c r="F472" s="33"/>
      <c r="G472" s="11"/>
      <c r="H472" s="11">
        <f>SUMIFS(X!$F$3:$F$5978,X!$D$3:$D$5978,'Current Stock'!A472)</f>
        <v>0</v>
      </c>
      <c r="I472" s="11">
        <f>SUMIFS(PENJUALAN!$E$4:$E$3651,PENJUALAN!$C$4:$C$3651,'Current Stock'!A472)</f>
        <v>0</v>
      </c>
      <c r="J472" s="15">
        <f t="shared" si="2"/>
        <v>0</v>
      </c>
      <c r="K472" s="11"/>
      <c r="L472" s="11"/>
      <c r="M472" s="11"/>
      <c r="N472" s="11"/>
      <c r="O472" s="17"/>
      <c r="P472" s="17"/>
    </row>
    <row r="473" ht="13.5" customHeight="1">
      <c r="A473" s="11" t="str">
        <f t="shared" si="1"/>
        <v>FDR-CX5GEN1FY</v>
      </c>
      <c r="B473" s="32" t="s">
        <v>753</v>
      </c>
      <c r="C473" s="33" t="s">
        <v>751</v>
      </c>
      <c r="D473" s="33" t="s">
        <v>142</v>
      </c>
      <c r="E473" s="11" t="s">
        <v>123</v>
      </c>
      <c r="F473" s="33"/>
      <c r="G473" s="11"/>
      <c r="H473" s="11">
        <f>SUMIFS(X!$F$3:$F$5978,X!$D$3:$D$5978,'Current Stock'!A473)</f>
        <v>0</v>
      </c>
      <c r="I473" s="11">
        <f>SUMIFS(PENJUALAN!$E$4:$E$3651,PENJUALAN!$C$4:$C$3651,'Current Stock'!A473)</f>
        <v>0</v>
      </c>
      <c r="J473" s="15">
        <f t="shared" si="2"/>
        <v>0</v>
      </c>
      <c r="K473" s="11"/>
      <c r="L473" s="11"/>
      <c r="M473" s="11"/>
      <c r="N473" s="11"/>
      <c r="O473" s="17"/>
      <c r="P473" s="17"/>
    </row>
    <row r="474" ht="13.5" customHeight="1">
      <c r="A474" s="11" t="str">
        <f t="shared" si="1"/>
        <v>RDR-FJ80FY</v>
      </c>
      <c r="B474" s="32" t="s">
        <v>754</v>
      </c>
      <c r="C474" s="33" t="s">
        <v>755</v>
      </c>
      <c r="D474" s="33" t="s">
        <v>146</v>
      </c>
      <c r="E474" s="11" t="s">
        <v>123</v>
      </c>
      <c r="F474" s="33"/>
      <c r="G474" s="11"/>
      <c r="H474" s="11">
        <f>SUMIFS(X!$F$3:$F$5978,X!$D$3:$D$5978,'Current Stock'!A474)</f>
        <v>1</v>
      </c>
      <c r="I474" s="11">
        <f>SUMIFS(PENJUALAN!$E$4:$E$3651,PENJUALAN!$C$4:$C$3651,'Current Stock'!A474)</f>
        <v>1</v>
      </c>
      <c r="J474" s="15">
        <f t="shared" si="2"/>
        <v>0</v>
      </c>
      <c r="K474" s="11"/>
      <c r="L474" s="11"/>
      <c r="M474" s="11"/>
      <c r="N474" s="11"/>
      <c r="O474" s="17"/>
      <c r="P474" s="17"/>
    </row>
    <row r="475" ht="13.5" customHeight="1">
      <c r="A475" s="11" t="str">
        <f t="shared" si="1"/>
        <v>RDR-CX5GEN1FY</v>
      </c>
      <c r="B475" s="32" t="s">
        <v>756</v>
      </c>
      <c r="C475" s="33" t="s">
        <v>751</v>
      </c>
      <c r="D475" s="33" t="s">
        <v>146</v>
      </c>
      <c r="E475" s="11" t="s">
        <v>123</v>
      </c>
      <c r="F475" s="33"/>
      <c r="G475" s="11"/>
      <c r="H475" s="11">
        <f>SUMIFS(X!$F$3:$F$5978,X!$D$3:$D$5978,'Current Stock'!A475)</f>
        <v>0</v>
      </c>
      <c r="I475" s="11">
        <f>SUMIFS(PENJUALAN!$E$4:$E$3651,PENJUALAN!$C$4:$C$3651,'Current Stock'!A475)</f>
        <v>0</v>
      </c>
      <c r="J475" s="15">
        <f t="shared" si="2"/>
        <v>0</v>
      </c>
      <c r="K475" s="11"/>
      <c r="L475" s="11"/>
      <c r="M475" s="11"/>
      <c r="N475" s="11"/>
      <c r="O475" s="17"/>
      <c r="P475" s="17"/>
    </row>
    <row r="476" ht="13.5" customHeight="1">
      <c r="A476" s="11" t="str">
        <f t="shared" si="1"/>
        <v>RVL-CX5GEN1FY</v>
      </c>
      <c r="B476" s="32" t="s">
        <v>757</v>
      </c>
      <c r="C476" s="33" t="s">
        <v>751</v>
      </c>
      <c r="D476" s="33" t="s">
        <v>396</v>
      </c>
      <c r="E476" s="11" t="s">
        <v>123</v>
      </c>
      <c r="F476" s="33"/>
      <c r="G476" s="11"/>
      <c r="H476" s="11">
        <f>SUMIFS(X!$F$3:$F$5978,X!$D$3:$D$5978,'Current Stock'!A476)</f>
        <v>0</v>
      </c>
      <c r="I476" s="11">
        <f>SUMIFS(PENJUALAN!$E$4:$E$3651,PENJUALAN!$C$4:$C$3651,'Current Stock'!A476)</f>
        <v>0</v>
      </c>
      <c r="J476" s="15">
        <f t="shared" si="2"/>
        <v>0</v>
      </c>
      <c r="K476" s="11"/>
      <c r="L476" s="11"/>
      <c r="M476" s="11"/>
      <c r="N476" s="11"/>
      <c r="O476" s="17"/>
      <c r="P476" s="17"/>
    </row>
    <row r="477" ht="13.5" customHeight="1">
      <c r="A477" s="11" t="str">
        <f t="shared" si="1"/>
        <v>RVR-CX5GEN1FY</v>
      </c>
      <c r="B477" s="32" t="s">
        <v>758</v>
      </c>
      <c r="C477" s="33" t="s">
        <v>751</v>
      </c>
      <c r="D477" s="33" t="s">
        <v>398</v>
      </c>
      <c r="E477" s="11" t="s">
        <v>123</v>
      </c>
      <c r="F477" s="33"/>
      <c r="G477" s="11"/>
      <c r="H477" s="11">
        <f>SUMIFS(X!$F$3:$F$5978,X!$D$3:$D$5978,'Current Stock'!A477)</f>
        <v>0</v>
      </c>
      <c r="I477" s="11">
        <f>SUMIFS(PENJUALAN!$E$4:$E$3651,PENJUALAN!$C$4:$C$3651,'Current Stock'!A477)</f>
        <v>0</v>
      </c>
      <c r="J477" s="15">
        <f t="shared" si="2"/>
        <v>0</v>
      </c>
      <c r="K477" s="11"/>
      <c r="L477" s="11"/>
      <c r="M477" s="11"/>
      <c r="N477" s="11"/>
      <c r="O477" s="17"/>
      <c r="P477" s="17"/>
    </row>
    <row r="478" ht="13.5" customHeight="1">
      <c r="A478" s="11" t="str">
        <f t="shared" si="1"/>
        <v>LFW-CX7RSFY</v>
      </c>
      <c r="B478" s="32" t="s">
        <v>759</v>
      </c>
      <c r="C478" s="33" t="s">
        <v>760</v>
      </c>
      <c r="D478" s="33" t="s">
        <v>60</v>
      </c>
      <c r="E478" s="11" t="s">
        <v>123</v>
      </c>
      <c r="F478" s="33" t="s">
        <v>90</v>
      </c>
      <c r="G478" s="11"/>
      <c r="H478" s="11">
        <f>SUMIFS(X!$F$3:$F$5978,X!$D$3:$D$5978,'Current Stock'!A478)</f>
        <v>0</v>
      </c>
      <c r="I478" s="11">
        <f>SUMIFS(PENJUALAN!$E$4:$E$3651,PENJUALAN!$C$4:$C$3651,'Current Stock'!A478)</f>
        <v>0</v>
      </c>
      <c r="J478" s="15">
        <f t="shared" si="2"/>
        <v>0</v>
      </c>
      <c r="K478" s="11"/>
      <c r="L478" s="11"/>
      <c r="M478" s="11"/>
      <c r="N478" s="11"/>
      <c r="O478" s="17"/>
      <c r="P478" s="17"/>
    </row>
    <row r="479" ht="13.5" customHeight="1">
      <c r="A479" s="11" t="str">
        <f t="shared" si="1"/>
        <v>LFW-CX7FY</v>
      </c>
      <c r="B479" s="32" t="s">
        <v>761</v>
      </c>
      <c r="C479" s="33" t="s">
        <v>762</v>
      </c>
      <c r="D479" s="33" t="s">
        <v>60</v>
      </c>
      <c r="E479" s="11" t="s">
        <v>123</v>
      </c>
      <c r="F479" s="33" t="s">
        <v>745</v>
      </c>
      <c r="G479" s="11"/>
      <c r="H479" s="11">
        <f>SUMIFS(X!$F$3:$F$5978,X!$D$3:$D$5978,'Current Stock'!A479)</f>
        <v>0</v>
      </c>
      <c r="I479" s="11">
        <f>SUMIFS(PENJUALAN!$E$4:$E$3651,PENJUALAN!$C$4:$C$3651,'Current Stock'!A479)</f>
        <v>0</v>
      </c>
      <c r="J479" s="15">
        <f t="shared" si="2"/>
        <v>0</v>
      </c>
      <c r="K479" s="11"/>
      <c r="L479" s="11"/>
      <c r="M479" s="11"/>
      <c r="N479" s="11"/>
      <c r="O479" s="17"/>
      <c r="P479" s="17"/>
    </row>
    <row r="480" ht="13.5" customHeight="1">
      <c r="A480" s="11" t="str">
        <f t="shared" si="1"/>
        <v>TRW-CX7FY</v>
      </c>
      <c r="B480" s="32" t="s">
        <v>763</v>
      </c>
      <c r="C480" s="33" t="s">
        <v>764</v>
      </c>
      <c r="D480" s="33" t="s">
        <v>62</v>
      </c>
      <c r="E480" s="11" t="s">
        <v>123</v>
      </c>
      <c r="F480" s="33" t="s">
        <v>765</v>
      </c>
      <c r="G480" s="11"/>
      <c r="H480" s="11">
        <f>SUMIFS(X!$F$3:$F$5978,X!$D$3:$D$5978,'Current Stock'!A480)</f>
        <v>0</v>
      </c>
      <c r="I480" s="11">
        <f>SUMIFS(PENJUALAN!$E$4:$E$3651,PENJUALAN!$C$4:$C$3651,'Current Stock'!A480)</f>
        <v>0</v>
      </c>
      <c r="J480" s="15">
        <f t="shared" si="2"/>
        <v>0</v>
      </c>
      <c r="K480" s="11"/>
      <c r="L480" s="11"/>
      <c r="M480" s="11"/>
      <c r="N480" s="11"/>
      <c r="O480" s="17"/>
      <c r="P480" s="17"/>
    </row>
    <row r="481" ht="13.5" customHeight="1">
      <c r="A481" s="11" t="str">
        <f t="shared" si="1"/>
        <v>FDR-CX7FY</v>
      </c>
      <c r="B481" s="32" t="s">
        <v>766</v>
      </c>
      <c r="C481" s="33" t="s">
        <v>764</v>
      </c>
      <c r="D481" s="33" t="s">
        <v>142</v>
      </c>
      <c r="E481" s="11" t="s">
        <v>123</v>
      </c>
      <c r="F481" s="33" t="s">
        <v>152</v>
      </c>
      <c r="G481" s="11"/>
      <c r="H481" s="11">
        <f>SUMIFS(X!$F$3:$F$5978,X!$D$3:$D$5978,'Current Stock'!A481)</f>
        <v>0</v>
      </c>
      <c r="I481" s="11">
        <f>SUMIFS(PENJUALAN!$E$4:$E$3651,PENJUALAN!$C$4:$C$3651,'Current Stock'!A481)</f>
        <v>0</v>
      </c>
      <c r="J481" s="15">
        <f t="shared" si="2"/>
        <v>0</v>
      </c>
      <c r="K481" s="11"/>
      <c r="L481" s="11"/>
      <c r="M481" s="11"/>
      <c r="N481" s="11"/>
      <c r="O481" s="17"/>
      <c r="P481" s="17"/>
    </row>
    <row r="482" ht="13.5" customHeight="1">
      <c r="A482" s="11" t="str">
        <f t="shared" si="1"/>
        <v>RDL-CX7FY</v>
      </c>
      <c r="B482" s="32" t="s">
        <v>767</v>
      </c>
      <c r="C482" s="33" t="s">
        <v>764</v>
      </c>
      <c r="D482" s="33" t="s">
        <v>144</v>
      </c>
      <c r="E482" s="11" t="s">
        <v>123</v>
      </c>
      <c r="F482" s="33" t="s">
        <v>155</v>
      </c>
      <c r="G482" s="11"/>
      <c r="H482" s="11">
        <f>SUMIFS(X!$F$3:$F$5978,X!$D$3:$D$5978,'Current Stock'!A482)</f>
        <v>0</v>
      </c>
      <c r="I482" s="11">
        <f>SUMIFS(PENJUALAN!$E$4:$E$3651,PENJUALAN!$C$4:$C$3651,'Current Stock'!A482)</f>
        <v>0</v>
      </c>
      <c r="J482" s="15">
        <f t="shared" si="2"/>
        <v>0</v>
      </c>
      <c r="K482" s="11"/>
      <c r="L482" s="11"/>
      <c r="M482" s="11"/>
      <c r="N482" s="11"/>
      <c r="O482" s="17"/>
      <c r="P482" s="17"/>
    </row>
    <row r="483" ht="13.5" customHeight="1">
      <c r="A483" s="11" t="str">
        <f t="shared" si="1"/>
        <v>RDR-CX7FY</v>
      </c>
      <c r="B483" s="32" t="s">
        <v>768</v>
      </c>
      <c r="C483" s="33" t="s">
        <v>764</v>
      </c>
      <c r="D483" s="33" t="s">
        <v>146</v>
      </c>
      <c r="E483" s="11" t="s">
        <v>123</v>
      </c>
      <c r="F483" s="33" t="s">
        <v>155</v>
      </c>
      <c r="G483" s="11"/>
      <c r="H483" s="11">
        <f>SUMIFS(X!$F$3:$F$5978,X!$D$3:$D$5978,'Current Stock'!A483)</f>
        <v>0</v>
      </c>
      <c r="I483" s="11">
        <f>SUMIFS(PENJUALAN!$E$4:$E$3651,PENJUALAN!$C$4:$C$3651,'Current Stock'!A483)</f>
        <v>0</v>
      </c>
      <c r="J483" s="15">
        <f t="shared" si="2"/>
        <v>0</v>
      </c>
      <c r="K483" s="11"/>
      <c r="L483" s="11"/>
      <c r="M483" s="11"/>
      <c r="N483" s="11"/>
      <c r="O483" s="17"/>
      <c r="P483" s="17"/>
    </row>
    <row r="484" ht="13.5" customHeight="1">
      <c r="A484" s="11" t="str">
        <f t="shared" si="1"/>
        <v>SWL-CX7FY</v>
      </c>
      <c r="B484" s="32" t="s">
        <v>769</v>
      </c>
      <c r="C484" s="33" t="s">
        <v>764</v>
      </c>
      <c r="D484" s="33" t="s">
        <v>209</v>
      </c>
      <c r="E484" s="11" t="s">
        <v>123</v>
      </c>
      <c r="F484" s="33" t="s">
        <v>109</v>
      </c>
      <c r="G484" s="11"/>
      <c r="H484" s="11">
        <f>SUMIFS(X!$F$3:$F$5978,X!$D$3:$D$5978,'Current Stock'!A484)</f>
        <v>0</v>
      </c>
      <c r="I484" s="11">
        <f>SUMIFS(PENJUALAN!$E$4:$E$3651,PENJUALAN!$C$4:$C$3651,'Current Stock'!A484)</f>
        <v>0</v>
      </c>
      <c r="J484" s="15">
        <f t="shared" si="2"/>
        <v>0</v>
      </c>
      <c r="K484" s="11"/>
      <c r="L484" s="11"/>
      <c r="M484" s="11"/>
      <c r="N484" s="11"/>
      <c r="O484" s="17"/>
      <c r="P484" s="17"/>
    </row>
    <row r="485" ht="13.5" customHeight="1">
      <c r="A485" s="11" t="str">
        <f t="shared" si="1"/>
        <v>SWR-CX7FY</v>
      </c>
      <c r="B485" s="32" t="s">
        <v>770</v>
      </c>
      <c r="C485" s="33" t="s">
        <v>764</v>
      </c>
      <c r="D485" s="33" t="s">
        <v>243</v>
      </c>
      <c r="E485" s="11" t="s">
        <v>123</v>
      </c>
      <c r="F485" s="33" t="s">
        <v>109</v>
      </c>
      <c r="G485" s="11"/>
      <c r="H485" s="11">
        <f>SUMIFS(X!$F$3:$F$5978,X!$D$3:$D$5978,'Current Stock'!A485)</f>
        <v>0</v>
      </c>
      <c r="I485" s="11">
        <f>SUMIFS(PENJUALAN!$E$4:$E$3651,PENJUALAN!$C$4:$C$3651,'Current Stock'!A485)</f>
        <v>0</v>
      </c>
      <c r="J485" s="15">
        <f t="shared" si="2"/>
        <v>0</v>
      </c>
      <c r="K485" s="11"/>
      <c r="L485" s="11"/>
      <c r="M485" s="11"/>
      <c r="N485" s="11"/>
      <c r="O485" s="17"/>
      <c r="P485" s="17"/>
    </row>
    <row r="486" ht="13.5" customHeight="1">
      <c r="A486" s="11" t="str">
        <f t="shared" si="1"/>
        <v>LFW-CX9GEN1FY</v>
      </c>
      <c r="B486" s="32" t="s">
        <v>771</v>
      </c>
      <c r="C486" s="33" t="s">
        <v>772</v>
      </c>
      <c r="D486" s="33" t="s">
        <v>60</v>
      </c>
      <c r="E486" s="11" t="s">
        <v>123</v>
      </c>
      <c r="F486" s="33" t="s">
        <v>196</v>
      </c>
      <c r="G486" s="11"/>
      <c r="H486" s="11">
        <f>SUMIFS(X!$F$3:$F$5978,X!$D$3:$D$5978,'Current Stock'!A486)</f>
        <v>0</v>
      </c>
      <c r="I486" s="11">
        <f>SUMIFS(PENJUALAN!$E$4:$E$3651,PENJUALAN!$C$4:$C$3651,'Current Stock'!A486)</f>
        <v>0</v>
      </c>
      <c r="J486" s="15">
        <f t="shared" si="2"/>
        <v>0</v>
      </c>
      <c r="K486" s="11"/>
      <c r="L486" s="11"/>
      <c r="M486" s="11"/>
      <c r="N486" s="11"/>
      <c r="O486" s="17"/>
      <c r="P486" s="17"/>
    </row>
    <row r="487" ht="13.5" customHeight="1">
      <c r="A487" s="11" t="str">
        <f t="shared" si="1"/>
        <v>TRW-CX9GEN1FY</v>
      </c>
      <c r="B487" s="32" t="s">
        <v>773</v>
      </c>
      <c r="C487" s="33" t="s">
        <v>772</v>
      </c>
      <c r="D487" s="33" t="s">
        <v>62</v>
      </c>
      <c r="E487" s="11" t="s">
        <v>123</v>
      </c>
      <c r="F487" s="33" t="s">
        <v>765</v>
      </c>
      <c r="G487" s="11"/>
      <c r="H487" s="11">
        <f>SUMIFS(X!$F$3:$F$5978,X!$D$3:$D$5978,'Current Stock'!A487)</f>
        <v>0</v>
      </c>
      <c r="I487" s="11">
        <f>SUMIFS(PENJUALAN!$E$4:$E$3651,PENJUALAN!$C$4:$C$3651,'Current Stock'!A487)</f>
        <v>0</v>
      </c>
      <c r="J487" s="15">
        <f t="shared" si="2"/>
        <v>0</v>
      </c>
      <c r="K487" s="11"/>
      <c r="L487" s="11"/>
      <c r="M487" s="11"/>
      <c r="N487" s="11"/>
      <c r="O487" s="17"/>
      <c r="P487" s="17"/>
    </row>
    <row r="488" ht="13.5" customHeight="1">
      <c r="A488" s="11" t="str">
        <f t="shared" si="1"/>
        <v>LFW-MX5FY</v>
      </c>
      <c r="B488" s="32" t="s">
        <v>774</v>
      </c>
      <c r="C488" s="33" t="s">
        <v>775</v>
      </c>
      <c r="D488" s="33" t="s">
        <v>60</v>
      </c>
      <c r="E488" s="11" t="s">
        <v>123</v>
      </c>
      <c r="F488" s="33" t="s">
        <v>137</v>
      </c>
      <c r="G488" s="11"/>
      <c r="H488" s="11">
        <f>SUMIFS(X!$F$3:$F$5978,X!$D$3:$D$5978,'Current Stock'!A488)</f>
        <v>0</v>
      </c>
      <c r="I488" s="11">
        <f>SUMIFS(PENJUALAN!$E$4:$E$3651,PENJUALAN!$C$4:$C$3651,'Current Stock'!A488)</f>
        <v>0</v>
      </c>
      <c r="J488" s="15">
        <f t="shared" si="2"/>
        <v>0</v>
      </c>
      <c r="K488" s="11"/>
      <c r="L488" s="11"/>
      <c r="M488" s="11"/>
      <c r="N488" s="11"/>
      <c r="O488" s="17"/>
      <c r="P488" s="17"/>
    </row>
    <row r="489" ht="13.5" customHeight="1">
      <c r="A489" s="11" t="str">
        <f t="shared" si="1"/>
        <v>LFW-W168FY</v>
      </c>
      <c r="B489" s="32" t="s">
        <v>776</v>
      </c>
      <c r="C489" s="33" t="s">
        <v>777</v>
      </c>
      <c r="D489" s="33" t="s">
        <v>60</v>
      </c>
      <c r="E489" s="11" t="s">
        <v>123</v>
      </c>
      <c r="F489" s="33" t="s">
        <v>137</v>
      </c>
      <c r="G489" s="11"/>
      <c r="H489" s="11">
        <f>SUMIFS(X!$F$3:$F$5978,X!$D$3:$D$5978,'Current Stock'!A489)</f>
        <v>0</v>
      </c>
      <c r="I489" s="11">
        <f>SUMIFS(PENJUALAN!$E$4:$E$3651,PENJUALAN!$C$4:$C$3651,'Current Stock'!A489)</f>
        <v>0</v>
      </c>
      <c r="J489" s="15">
        <f t="shared" si="2"/>
        <v>0</v>
      </c>
      <c r="K489" s="11"/>
      <c r="L489" s="11"/>
      <c r="M489" s="11"/>
      <c r="N489" s="11"/>
      <c r="O489" s="17"/>
      <c r="P489" s="17"/>
    </row>
    <row r="490" ht="13.5" customHeight="1">
      <c r="A490" s="11" t="str">
        <f t="shared" si="1"/>
        <v>TRW-W168FY</v>
      </c>
      <c r="B490" s="32" t="s">
        <v>778</v>
      </c>
      <c r="C490" s="33" t="s">
        <v>777</v>
      </c>
      <c r="D490" s="33" t="s">
        <v>62</v>
      </c>
      <c r="E490" s="11" t="s">
        <v>123</v>
      </c>
      <c r="F490" s="33" t="s">
        <v>83</v>
      </c>
      <c r="G490" s="11"/>
      <c r="H490" s="11">
        <f>SUMIFS(X!$F$3:$F$5978,X!$D$3:$D$5978,'Current Stock'!A490)</f>
        <v>0</v>
      </c>
      <c r="I490" s="11">
        <f>SUMIFS(PENJUALAN!$E$4:$E$3651,PENJUALAN!$C$4:$C$3651,'Current Stock'!A490)</f>
        <v>0</v>
      </c>
      <c r="J490" s="15">
        <f t="shared" si="2"/>
        <v>0</v>
      </c>
      <c r="K490" s="11"/>
      <c r="L490" s="11"/>
      <c r="M490" s="11"/>
      <c r="N490" s="11"/>
      <c r="O490" s="17"/>
      <c r="P490" s="17"/>
    </row>
    <row r="491" ht="13.5" customHeight="1">
      <c r="A491" s="11" t="str">
        <f t="shared" si="1"/>
        <v>LFW-W176FY</v>
      </c>
      <c r="B491" s="32" t="s">
        <v>779</v>
      </c>
      <c r="C491" s="31" t="s">
        <v>780</v>
      </c>
      <c r="D491" s="33" t="s">
        <v>60</v>
      </c>
      <c r="E491" s="11" t="s">
        <v>123</v>
      </c>
      <c r="F491" s="33" t="s">
        <v>314</v>
      </c>
      <c r="G491" s="11"/>
      <c r="H491" s="11">
        <f>SUMIFS(X!$F$3:$F$5978,X!$D$3:$D$5978,'Current Stock'!A491)</f>
        <v>1</v>
      </c>
      <c r="I491" s="11">
        <f>SUMIFS(PENJUALAN!$E$4:$E$3651,PENJUALAN!$C$4:$C$3651,'Current Stock'!A491)</f>
        <v>1</v>
      </c>
      <c r="J491" s="15">
        <f t="shared" si="2"/>
        <v>0</v>
      </c>
      <c r="K491" s="11"/>
      <c r="L491" s="11"/>
      <c r="M491" s="11"/>
      <c r="N491" s="11"/>
      <c r="O491" s="17"/>
      <c r="P491" s="17"/>
    </row>
    <row r="492" ht="13.5" customHeight="1">
      <c r="A492" s="11" t="str">
        <f t="shared" si="1"/>
        <v>LFW-CRETAXYG</v>
      </c>
      <c r="B492" s="38" t="s">
        <v>781</v>
      </c>
      <c r="C492" s="31" t="s">
        <v>782</v>
      </c>
      <c r="D492" s="39" t="s">
        <v>60</v>
      </c>
      <c r="E492" s="11" t="s">
        <v>16</v>
      </c>
      <c r="F492" s="40" t="s">
        <v>137</v>
      </c>
      <c r="G492" s="11"/>
      <c r="H492" s="11">
        <f>SUMIFS(X!$F$3:$F$5978,X!$D$3:$D$5978,'Current Stock'!A492)</f>
        <v>3</v>
      </c>
      <c r="I492" s="11">
        <f>SUMIFS(PENJUALAN!$E$4:$E$3651,PENJUALAN!$C$4:$C$3651,'Current Stock'!A492)</f>
        <v>3</v>
      </c>
      <c r="J492" s="15">
        <f t="shared" si="2"/>
        <v>0</v>
      </c>
      <c r="K492" s="13"/>
      <c r="L492" s="13"/>
      <c r="M492" s="11"/>
      <c r="N492" s="11"/>
      <c r="O492" s="17"/>
      <c r="P492" s="17"/>
    </row>
    <row r="493" ht="13.5" customHeight="1">
      <c r="A493" s="11" t="str">
        <f t="shared" si="1"/>
        <v>TRW-W203FY</v>
      </c>
      <c r="B493" s="32" t="s">
        <v>783</v>
      </c>
      <c r="C493" s="33" t="s">
        <v>784</v>
      </c>
      <c r="D493" s="33" t="s">
        <v>62</v>
      </c>
      <c r="E493" s="11" t="s">
        <v>123</v>
      </c>
      <c r="F493" s="33" t="s">
        <v>126</v>
      </c>
      <c r="G493" s="11"/>
      <c r="H493" s="11">
        <f>SUMIFS(X!$F$3:$F$5978,X!$D$3:$D$5978,'Current Stock'!A493)</f>
        <v>0</v>
      </c>
      <c r="I493" s="11">
        <f>SUMIFS(PENJUALAN!$E$4:$E$3651,PENJUALAN!$C$4:$C$3651,'Current Stock'!A493)</f>
        <v>0</v>
      </c>
      <c r="J493" s="15">
        <f t="shared" si="2"/>
        <v>0</v>
      </c>
      <c r="K493" s="11"/>
      <c r="L493" s="11"/>
      <c r="M493" s="11"/>
      <c r="N493" s="11"/>
      <c r="O493" s="17"/>
      <c r="P493" s="17"/>
    </row>
    <row r="494" ht="13.5" customHeight="1">
      <c r="A494" s="11" t="str">
        <f t="shared" si="1"/>
        <v>LFW-W204RSFY</v>
      </c>
      <c r="B494" s="32" t="s">
        <v>785</v>
      </c>
      <c r="C494" s="33" t="s">
        <v>786</v>
      </c>
      <c r="D494" s="33" t="s">
        <v>60</v>
      </c>
      <c r="E494" s="11" t="s">
        <v>123</v>
      </c>
      <c r="F494" s="33" t="s">
        <v>124</v>
      </c>
      <c r="G494" s="11"/>
      <c r="H494" s="11">
        <f>SUMIFS(X!$F$3:$F$5978,X!$D$3:$D$5978,'Current Stock'!A494)</f>
        <v>2</v>
      </c>
      <c r="I494" s="11">
        <f>SUMIFS(PENJUALAN!$E$4:$E$3651,PENJUALAN!$C$4:$C$3651,'Current Stock'!A494)</f>
        <v>2</v>
      </c>
      <c r="J494" s="15">
        <f t="shared" si="2"/>
        <v>0</v>
      </c>
      <c r="K494" s="13"/>
      <c r="L494" s="13"/>
      <c r="M494" s="11"/>
      <c r="N494" s="11"/>
      <c r="O494" s="17"/>
      <c r="P494" s="17"/>
    </row>
    <row r="495" ht="13.5" customHeight="1">
      <c r="A495" s="11" t="str">
        <f t="shared" si="1"/>
        <v>TRW-W204FY</v>
      </c>
      <c r="B495" s="32" t="s">
        <v>787</v>
      </c>
      <c r="C495" s="33" t="s">
        <v>788</v>
      </c>
      <c r="D495" s="33" t="s">
        <v>62</v>
      </c>
      <c r="E495" s="11" t="s">
        <v>123</v>
      </c>
      <c r="F495" s="33" t="s">
        <v>126</v>
      </c>
      <c r="G495" s="11"/>
      <c r="H495" s="11">
        <f>SUMIFS(X!$F$3:$F$5978,X!$D$3:$D$5978,'Current Stock'!A495)</f>
        <v>0</v>
      </c>
      <c r="I495" s="11">
        <f>SUMIFS(PENJUALAN!$E$4:$E$3651,PENJUALAN!$C$4:$C$3651,'Current Stock'!A495)</f>
        <v>0</v>
      </c>
      <c r="J495" s="15">
        <f t="shared" si="2"/>
        <v>0</v>
      </c>
      <c r="K495" s="11"/>
      <c r="L495" s="11"/>
      <c r="M495" s="11"/>
      <c r="N495" s="11"/>
      <c r="O495" s="17"/>
      <c r="P495" s="17"/>
    </row>
    <row r="496" ht="13.5" customHeight="1">
      <c r="A496" s="11" t="str">
        <f t="shared" si="1"/>
        <v>LFW-W205RSFY</v>
      </c>
      <c r="B496" s="32" t="s">
        <v>789</v>
      </c>
      <c r="C496" s="33" t="s">
        <v>790</v>
      </c>
      <c r="D496" s="33" t="s">
        <v>60</v>
      </c>
      <c r="E496" s="11" t="s">
        <v>123</v>
      </c>
      <c r="F496" s="33" t="s">
        <v>124</v>
      </c>
      <c r="G496" s="11"/>
      <c r="H496" s="11">
        <f>SUMIFS(X!$F$3:$F$5978,X!$D$3:$D$5978,'Current Stock'!A496)</f>
        <v>0</v>
      </c>
      <c r="I496" s="11">
        <f>SUMIFS(PENJUALAN!$E$4:$E$3651,PENJUALAN!$C$4:$C$3651,'Current Stock'!A496)</f>
        <v>0</v>
      </c>
      <c r="J496" s="15">
        <f t="shared" si="2"/>
        <v>0</v>
      </c>
      <c r="K496" s="11"/>
      <c r="L496" s="11"/>
      <c r="M496" s="11"/>
      <c r="N496" s="11"/>
      <c r="O496" s="17"/>
      <c r="P496" s="17"/>
    </row>
    <row r="497" ht="13.5" customHeight="1">
      <c r="A497" s="11" t="str">
        <f t="shared" si="1"/>
        <v>LFW-W205RS2FY</v>
      </c>
      <c r="B497" s="32" t="s">
        <v>791</v>
      </c>
      <c r="C497" s="33" t="s">
        <v>792</v>
      </c>
      <c r="D497" s="33" t="s">
        <v>60</v>
      </c>
      <c r="E497" s="11" t="s">
        <v>123</v>
      </c>
      <c r="F497" s="33" t="s">
        <v>793</v>
      </c>
      <c r="G497" s="11"/>
      <c r="H497" s="11">
        <f>SUMIFS(X!$F$3:$F$5978,X!$D$3:$D$5978,'Current Stock'!A497)</f>
        <v>0</v>
      </c>
      <c r="I497" s="11">
        <f>SUMIFS(PENJUALAN!$E$4:$E$3651,PENJUALAN!$C$4:$C$3651,'Current Stock'!A497)</f>
        <v>0</v>
      </c>
      <c r="J497" s="15">
        <f t="shared" si="2"/>
        <v>0</v>
      </c>
      <c r="K497" s="11"/>
      <c r="L497" s="11"/>
      <c r="M497" s="11"/>
      <c r="N497" s="11"/>
      <c r="O497" s="17"/>
      <c r="P497" s="17"/>
    </row>
    <row r="498" ht="13.5" customHeight="1">
      <c r="A498" s="11" t="str">
        <f t="shared" si="1"/>
        <v>RDR-GETZXYG</v>
      </c>
      <c r="B498" s="32" t="s">
        <v>534</v>
      </c>
      <c r="C498" s="33" t="s">
        <v>529</v>
      </c>
      <c r="D498" s="33" t="s">
        <v>146</v>
      </c>
      <c r="E498" s="11" t="s">
        <v>16</v>
      </c>
      <c r="F498" s="33"/>
      <c r="G498" s="11"/>
      <c r="H498" s="11">
        <f>SUMIFS(X!$F$3:$F$5978,X!$D$3:$D$5978,'Current Stock'!A498)</f>
        <v>1</v>
      </c>
      <c r="I498" s="11">
        <f>SUMIFS(PENJUALAN!$E$4:$E$3651,PENJUALAN!$C$4:$C$3651,'Current Stock'!A498)</f>
        <v>1</v>
      </c>
      <c r="J498" s="15">
        <f t="shared" si="2"/>
        <v>0</v>
      </c>
      <c r="K498" s="11"/>
      <c r="L498" s="11"/>
      <c r="M498" s="11"/>
      <c r="N498" s="11"/>
      <c r="O498" s="17"/>
      <c r="P498" s="17"/>
    </row>
    <row r="499" ht="13.5" customHeight="1">
      <c r="A499" s="11" t="str">
        <f t="shared" si="1"/>
        <v>LFW-W117FY</v>
      </c>
      <c r="B499" s="32" t="s">
        <v>794</v>
      </c>
      <c r="C499" s="35" t="s">
        <v>795</v>
      </c>
      <c r="D499" s="33" t="s">
        <v>60</v>
      </c>
      <c r="E499" s="11" t="s">
        <v>123</v>
      </c>
      <c r="F499" s="33" t="s">
        <v>314</v>
      </c>
      <c r="G499" s="11"/>
      <c r="H499" s="11">
        <f>SUMIFS(X!$F$3:$F$5978,X!$D$3:$D$5978,'Current Stock'!A499)</f>
        <v>0</v>
      </c>
      <c r="I499" s="11">
        <f>SUMIFS(PENJUALAN!$E$4:$E$3651,PENJUALAN!$C$4:$C$3651,'Current Stock'!A499)</f>
        <v>0</v>
      </c>
      <c r="J499" s="15">
        <f t="shared" si="2"/>
        <v>0</v>
      </c>
      <c r="K499" s="11"/>
      <c r="L499" s="11"/>
      <c r="M499" s="11"/>
      <c r="N499" s="11"/>
      <c r="O499" s="17"/>
      <c r="P499" s="17"/>
    </row>
    <row r="500" ht="13.5" customHeight="1">
      <c r="A500" s="11" t="str">
        <f t="shared" si="1"/>
        <v>TRW-W117XYG</v>
      </c>
      <c r="B500" s="36" t="s">
        <v>796</v>
      </c>
      <c r="C500" s="41" t="s">
        <v>797</v>
      </c>
      <c r="D500" s="31" t="s">
        <v>60</v>
      </c>
      <c r="E500" s="13" t="s">
        <v>16</v>
      </c>
      <c r="F500" s="31" t="s">
        <v>130</v>
      </c>
      <c r="G500" s="11"/>
      <c r="H500" s="11">
        <f>SUMIFS(X!$F$3:$F$5978,X!$D$3:$D$5978,'Current Stock'!A500)</f>
        <v>1</v>
      </c>
      <c r="I500" s="11">
        <f>SUMIFS(PENJUALAN!$E$4:$E$3651,PENJUALAN!$C$4:$C$3651,'Current Stock'!A500)</f>
        <v>1</v>
      </c>
      <c r="J500" s="15">
        <f t="shared" si="2"/>
        <v>0</v>
      </c>
      <c r="K500" s="11"/>
      <c r="L500" s="11"/>
      <c r="M500" s="11"/>
      <c r="N500" s="11"/>
      <c r="O500" s="17"/>
      <c r="P500" s="17"/>
    </row>
    <row r="501" ht="13.5" customHeight="1">
      <c r="A501" s="11" t="str">
        <f t="shared" si="1"/>
        <v>LRW-W124FY</v>
      </c>
      <c r="B501" s="32" t="s">
        <v>798</v>
      </c>
      <c r="C501" s="33" t="s">
        <v>799</v>
      </c>
      <c r="D501" s="33" t="s">
        <v>62</v>
      </c>
      <c r="E501" s="11" t="s">
        <v>123</v>
      </c>
      <c r="F501" s="33" t="s">
        <v>83</v>
      </c>
      <c r="G501" s="11"/>
      <c r="H501" s="11">
        <f>SUMIFS(X!$F$3:$F$5978,X!$D$3:$D$5978,'Current Stock'!A501)</f>
        <v>0</v>
      </c>
      <c r="I501" s="11">
        <f>SUMIFS(PENJUALAN!$E$4:$E$3651,PENJUALAN!$C$4:$C$3651,'Current Stock'!A501)</f>
        <v>0</v>
      </c>
      <c r="J501" s="15">
        <f t="shared" si="2"/>
        <v>0</v>
      </c>
      <c r="K501" s="11"/>
      <c r="L501" s="11"/>
      <c r="M501" s="11"/>
      <c r="N501" s="11"/>
      <c r="O501" s="17"/>
      <c r="P501" s="17"/>
    </row>
    <row r="502" ht="13.5" customHeight="1">
      <c r="A502" s="11" t="str">
        <f t="shared" si="1"/>
        <v>LFW-W210FY</v>
      </c>
      <c r="B502" s="32" t="s">
        <v>800</v>
      </c>
      <c r="C502" s="33" t="s">
        <v>801</v>
      </c>
      <c r="D502" s="33" t="s">
        <v>60</v>
      </c>
      <c r="E502" s="11" t="s">
        <v>123</v>
      </c>
      <c r="F502" s="33" t="s">
        <v>196</v>
      </c>
      <c r="G502" s="11"/>
      <c r="H502" s="11">
        <f>SUMIFS(X!$F$3:$F$5978,X!$D$3:$D$5978,'Current Stock'!A502)</f>
        <v>0</v>
      </c>
      <c r="I502" s="11">
        <f>SUMIFS(PENJUALAN!$E$4:$E$3651,PENJUALAN!$C$4:$C$3651,'Current Stock'!A502)</f>
        <v>0</v>
      </c>
      <c r="J502" s="15">
        <f t="shared" si="2"/>
        <v>0</v>
      </c>
      <c r="K502" s="11"/>
      <c r="L502" s="11"/>
      <c r="M502" s="11"/>
      <c r="N502" s="11"/>
      <c r="O502" s="17"/>
      <c r="P502" s="17"/>
    </row>
    <row r="503" ht="13.5" customHeight="1">
      <c r="A503" s="11" t="str">
        <f t="shared" si="1"/>
        <v>TRW-W210FY</v>
      </c>
      <c r="B503" s="32" t="s">
        <v>802</v>
      </c>
      <c r="C503" s="33" t="s">
        <v>801</v>
      </c>
      <c r="D503" s="33" t="s">
        <v>62</v>
      </c>
      <c r="E503" s="11" t="s">
        <v>123</v>
      </c>
      <c r="F503" s="33" t="s">
        <v>126</v>
      </c>
      <c r="G503" s="11"/>
      <c r="H503" s="11">
        <f>SUMIFS(X!$F$3:$F$5978,X!$D$3:$D$5978,'Current Stock'!A503)</f>
        <v>0</v>
      </c>
      <c r="I503" s="11">
        <f>SUMIFS(PENJUALAN!$E$4:$E$3651,PENJUALAN!$C$4:$C$3651,'Current Stock'!A503)</f>
        <v>0</v>
      </c>
      <c r="J503" s="15">
        <f t="shared" si="2"/>
        <v>0</v>
      </c>
      <c r="K503" s="11"/>
      <c r="L503" s="11"/>
      <c r="M503" s="11"/>
      <c r="N503" s="11"/>
      <c r="O503" s="17"/>
      <c r="P503" s="17"/>
    </row>
    <row r="504" ht="13.5" customHeight="1">
      <c r="A504" s="11" t="str">
        <f t="shared" si="1"/>
        <v>LFW-W211FY</v>
      </c>
      <c r="B504" s="32" t="s">
        <v>803</v>
      </c>
      <c r="C504" s="33" t="s">
        <v>804</v>
      </c>
      <c r="D504" s="33" t="s">
        <v>60</v>
      </c>
      <c r="E504" s="11" t="s">
        <v>123</v>
      </c>
      <c r="F504" s="33" t="s">
        <v>196</v>
      </c>
      <c r="G504" s="11"/>
      <c r="H504" s="11">
        <f>SUMIFS(X!$F$3:$F$5978,X!$D$3:$D$5978,'Current Stock'!A504)</f>
        <v>0</v>
      </c>
      <c r="I504" s="11">
        <f>SUMIFS(PENJUALAN!$E$4:$E$3651,PENJUALAN!$C$4:$C$3651,'Current Stock'!A504)</f>
        <v>0</v>
      </c>
      <c r="J504" s="15">
        <f t="shared" si="2"/>
        <v>0</v>
      </c>
      <c r="K504" s="11"/>
      <c r="L504" s="11"/>
      <c r="M504" s="11"/>
      <c r="N504" s="11"/>
      <c r="O504" s="17"/>
      <c r="P504" s="17"/>
    </row>
    <row r="505" ht="13.5" customHeight="1">
      <c r="A505" s="11" t="str">
        <f t="shared" si="1"/>
        <v>LFW-SANTAFE12XYG</v>
      </c>
      <c r="B505" s="32" t="s">
        <v>572</v>
      </c>
      <c r="C505" s="33" t="s">
        <v>573</v>
      </c>
      <c r="D505" s="33" t="s">
        <v>60</v>
      </c>
      <c r="E505" s="11" t="s">
        <v>16</v>
      </c>
      <c r="F505" s="33" t="s">
        <v>137</v>
      </c>
      <c r="G505" s="11"/>
      <c r="H505" s="11">
        <f>SUMIFS(X!$F$3:$F$5978,X!$D$3:$D$5978,'Current Stock'!A505)</f>
        <v>2</v>
      </c>
      <c r="I505" s="11">
        <f>SUMIFS(PENJUALAN!$E$4:$E$3651,PENJUALAN!$C$4:$C$3651,'Current Stock'!A505)</f>
        <v>2</v>
      </c>
      <c r="J505" s="15">
        <f t="shared" si="2"/>
        <v>0</v>
      </c>
      <c r="K505" s="11"/>
      <c r="L505" s="11"/>
      <c r="M505" s="11"/>
      <c r="N505" s="11"/>
      <c r="O505" s="17"/>
      <c r="P505" s="17"/>
    </row>
    <row r="506" ht="13.5" customHeight="1">
      <c r="A506" s="11" t="str">
        <f t="shared" si="1"/>
        <v>LFW-SANTAFE21RS2XYG</v>
      </c>
      <c r="B506" s="36" t="s">
        <v>805</v>
      </c>
      <c r="C506" s="31" t="s">
        <v>806</v>
      </c>
      <c r="D506" s="31" t="s">
        <v>60</v>
      </c>
      <c r="E506" s="13" t="s">
        <v>16</v>
      </c>
      <c r="F506" s="31" t="s">
        <v>90</v>
      </c>
      <c r="G506" s="11"/>
      <c r="H506" s="11">
        <f>SUMIFS(X!$F$3:$F$5978,X!$D$3:$D$5978,'Current Stock'!A506)</f>
        <v>2</v>
      </c>
      <c r="I506" s="11">
        <f>SUMIFS(PENJUALAN!$E$4:$E$3651,PENJUALAN!$C$4:$C$3651,'Current Stock'!A506)</f>
        <v>2</v>
      </c>
      <c r="J506" s="15">
        <f t="shared" si="2"/>
        <v>0</v>
      </c>
      <c r="K506" s="11"/>
      <c r="L506" s="11"/>
      <c r="M506" s="11"/>
      <c r="N506" s="11"/>
      <c r="O506" s="17"/>
      <c r="P506" s="17"/>
    </row>
    <row r="507" ht="13.5" customHeight="1">
      <c r="A507" s="11" t="str">
        <f t="shared" si="1"/>
        <v>LFW-W212RS2FY</v>
      </c>
      <c r="B507" s="32" t="s">
        <v>807</v>
      </c>
      <c r="C507" s="33" t="s">
        <v>808</v>
      </c>
      <c r="D507" s="33" t="s">
        <v>60</v>
      </c>
      <c r="E507" s="11" t="s">
        <v>123</v>
      </c>
      <c r="F507" s="33" t="s">
        <v>809</v>
      </c>
      <c r="G507" s="11"/>
      <c r="H507" s="11">
        <f>SUMIFS(X!$F$3:$F$5978,X!$D$3:$D$5978,'Current Stock'!A507)</f>
        <v>0</v>
      </c>
      <c r="I507" s="11">
        <f>SUMIFS(PENJUALAN!$E$4:$E$3651,PENJUALAN!$C$4:$C$3651,'Current Stock'!A507)</f>
        <v>0</v>
      </c>
      <c r="J507" s="15">
        <f t="shared" si="2"/>
        <v>0</v>
      </c>
      <c r="K507" s="11"/>
      <c r="L507" s="11"/>
      <c r="M507" s="11"/>
      <c r="N507" s="11"/>
      <c r="O507" s="17"/>
      <c r="P507" s="17"/>
    </row>
    <row r="508" ht="13.5" customHeight="1">
      <c r="A508" s="11" t="str">
        <f t="shared" si="1"/>
        <v>LFW-F30XYG</v>
      </c>
      <c r="B508" s="32" t="s">
        <v>167</v>
      </c>
      <c r="C508" s="31" t="s">
        <v>810</v>
      </c>
      <c r="D508" s="33" t="s">
        <v>60</v>
      </c>
      <c r="E508" s="11" t="s">
        <v>16</v>
      </c>
      <c r="F508" s="33" t="s">
        <v>124</v>
      </c>
      <c r="G508" s="37">
        <v>46021.0</v>
      </c>
      <c r="H508" s="11">
        <f>SUMIFS(X!$F$3:$F$5978,X!$D$3:$D$5978,'Current Stock'!A508)</f>
        <v>15</v>
      </c>
      <c r="I508" s="11">
        <f>SUMIFS(PENJUALAN!$E$4:$E$3651,PENJUALAN!$C$4:$C$3651,'Current Stock'!A508)</f>
        <v>13</v>
      </c>
      <c r="J508" s="15">
        <f t="shared" si="2"/>
        <v>2</v>
      </c>
      <c r="K508" s="13" t="s">
        <v>698</v>
      </c>
      <c r="L508" s="11"/>
      <c r="M508" s="11"/>
      <c r="N508" s="11"/>
      <c r="O508" s="17"/>
      <c r="P508" s="17"/>
    </row>
    <row r="509" ht="13.5" customHeight="1">
      <c r="A509" s="11" t="str">
        <f t="shared" si="1"/>
        <v>TRW-F30XYG</v>
      </c>
      <c r="B509" s="36" t="s">
        <v>169</v>
      </c>
      <c r="C509" s="33" t="s">
        <v>168</v>
      </c>
      <c r="D509" s="31" t="s">
        <v>62</v>
      </c>
      <c r="E509" s="13" t="s">
        <v>16</v>
      </c>
      <c r="F509" s="31" t="s">
        <v>83</v>
      </c>
      <c r="G509" s="11"/>
      <c r="H509" s="11">
        <f>SUMIFS(X!$F$3:$F$5978,X!$D$3:$D$5978,'Current Stock'!A509)</f>
        <v>1</v>
      </c>
      <c r="I509" s="11">
        <f>SUMIFS(PENJUALAN!$E$4:$E$3651,PENJUALAN!$C$4:$C$3651,'Current Stock'!A509)</f>
        <v>1</v>
      </c>
      <c r="J509" s="15">
        <f t="shared" si="2"/>
        <v>0</v>
      </c>
      <c r="K509" s="11"/>
      <c r="L509" s="11"/>
      <c r="M509" s="11"/>
      <c r="N509" s="11"/>
      <c r="O509" s="17"/>
      <c r="P509" s="17"/>
    </row>
    <row r="510" ht="13.5" customHeight="1">
      <c r="A510" s="11" t="str">
        <f t="shared" si="1"/>
        <v>LFW-W253FY</v>
      </c>
      <c r="B510" s="32" t="s">
        <v>811</v>
      </c>
      <c r="C510" s="33" t="s">
        <v>812</v>
      </c>
      <c r="D510" s="33" t="s">
        <v>60</v>
      </c>
      <c r="E510" s="11" t="s">
        <v>123</v>
      </c>
      <c r="F510" s="33" t="s">
        <v>124</v>
      </c>
      <c r="G510" s="11"/>
      <c r="H510" s="11">
        <f>SUMIFS(X!$F$3:$F$5978,X!$D$3:$D$5978,'Current Stock'!A510)</f>
        <v>0</v>
      </c>
      <c r="I510" s="11">
        <f>SUMIFS(PENJUALAN!$E$4:$E$3651,PENJUALAN!$C$4:$C$3651,'Current Stock'!A510)</f>
        <v>0</v>
      </c>
      <c r="J510" s="15">
        <f t="shared" si="2"/>
        <v>0</v>
      </c>
      <c r="K510" s="11"/>
      <c r="L510" s="11"/>
      <c r="M510" s="11"/>
      <c r="N510" s="11"/>
      <c r="O510" s="17"/>
      <c r="P510" s="17"/>
    </row>
    <row r="511" ht="13.5" customHeight="1">
      <c r="A511" s="11" t="str">
        <f t="shared" si="1"/>
        <v>TRW-W253FY</v>
      </c>
      <c r="B511" s="32" t="s">
        <v>813</v>
      </c>
      <c r="C511" s="33" t="s">
        <v>812</v>
      </c>
      <c r="D511" s="33" t="s">
        <v>62</v>
      </c>
      <c r="E511" s="11" t="s">
        <v>123</v>
      </c>
      <c r="F511" s="33" t="s">
        <v>228</v>
      </c>
      <c r="G511" s="11"/>
      <c r="H511" s="11">
        <f>SUMIFS(X!$F$3:$F$5978,X!$D$3:$D$5978,'Current Stock'!A511)</f>
        <v>0</v>
      </c>
      <c r="I511" s="11">
        <f>SUMIFS(PENJUALAN!$E$4:$E$3651,PENJUALAN!$C$4:$C$3651,'Current Stock'!A511)</f>
        <v>0</v>
      </c>
      <c r="J511" s="15">
        <f t="shared" si="2"/>
        <v>0</v>
      </c>
      <c r="K511" s="11"/>
      <c r="L511" s="11"/>
      <c r="M511" s="11"/>
      <c r="N511" s="11"/>
      <c r="O511" s="17"/>
      <c r="P511" s="17"/>
    </row>
    <row r="512" ht="13.5" customHeight="1">
      <c r="A512" s="11" t="str">
        <f t="shared" si="1"/>
        <v>LFW-W140FY</v>
      </c>
      <c r="B512" s="32" t="s">
        <v>814</v>
      </c>
      <c r="C512" s="33" t="s">
        <v>815</v>
      </c>
      <c r="D512" s="33" t="s">
        <v>60</v>
      </c>
      <c r="E512" s="11" t="s">
        <v>123</v>
      </c>
      <c r="F512" s="33" t="s">
        <v>109</v>
      </c>
      <c r="G512" s="11"/>
      <c r="H512" s="11">
        <f>SUMIFS(X!$F$3:$F$5978,X!$D$3:$D$5978,'Current Stock'!A512)</f>
        <v>0</v>
      </c>
      <c r="I512" s="11">
        <f>SUMIFS(PENJUALAN!$E$4:$E$3651,PENJUALAN!$C$4:$C$3651,'Current Stock'!A512)</f>
        <v>0</v>
      </c>
      <c r="J512" s="15">
        <f t="shared" si="2"/>
        <v>0</v>
      </c>
      <c r="K512" s="11"/>
      <c r="L512" s="11"/>
      <c r="M512" s="11"/>
      <c r="N512" s="11"/>
      <c r="O512" s="17"/>
      <c r="P512" s="17"/>
    </row>
    <row r="513" ht="13.5" customHeight="1">
      <c r="A513" s="11" t="str">
        <f t="shared" si="1"/>
        <v>LRW-W140FY</v>
      </c>
      <c r="B513" s="32" t="s">
        <v>816</v>
      </c>
      <c r="C513" s="33" t="s">
        <v>815</v>
      </c>
      <c r="D513" s="33" t="s">
        <v>62</v>
      </c>
      <c r="E513" s="11" t="s">
        <v>123</v>
      </c>
      <c r="F513" s="33" t="s">
        <v>83</v>
      </c>
      <c r="G513" s="11"/>
      <c r="H513" s="11">
        <f>SUMIFS(X!$F$3:$F$5978,X!$D$3:$D$5978,'Current Stock'!A513)</f>
        <v>0</v>
      </c>
      <c r="I513" s="11">
        <f>SUMIFS(PENJUALAN!$E$4:$E$3651,PENJUALAN!$C$4:$C$3651,'Current Stock'!A513)</f>
        <v>0</v>
      </c>
      <c r="J513" s="15">
        <f t="shared" si="2"/>
        <v>0</v>
      </c>
      <c r="K513" s="11"/>
      <c r="L513" s="11"/>
      <c r="M513" s="11"/>
      <c r="N513" s="11"/>
      <c r="O513" s="17"/>
      <c r="P513" s="17"/>
    </row>
    <row r="514" ht="13.5" customHeight="1">
      <c r="A514" s="11" t="str">
        <f t="shared" si="1"/>
        <v>TRW-W220FY</v>
      </c>
      <c r="B514" s="32" t="s">
        <v>817</v>
      </c>
      <c r="C514" s="33" t="s">
        <v>818</v>
      </c>
      <c r="D514" s="33" t="s">
        <v>62</v>
      </c>
      <c r="E514" s="11" t="s">
        <v>123</v>
      </c>
      <c r="F514" s="33" t="s">
        <v>126</v>
      </c>
      <c r="G514" s="11"/>
      <c r="H514" s="11">
        <f>SUMIFS(X!$F$3:$F$5978,X!$D$3:$D$5978,'Current Stock'!A514)</f>
        <v>0</v>
      </c>
      <c r="I514" s="11">
        <f>SUMIFS(PENJUALAN!$E$4:$E$3651,PENJUALAN!$C$4:$C$3651,'Current Stock'!A514)</f>
        <v>0</v>
      </c>
      <c r="J514" s="15">
        <f t="shared" si="2"/>
        <v>0</v>
      </c>
      <c r="K514" s="11"/>
      <c r="L514" s="11"/>
      <c r="M514" s="11"/>
      <c r="N514" s="11"/>
      <c r="O514" s="17"/>
      <c r="P514" s="17"/>
    </row>
    <row r="515" ht="13.5" customHeight="1">
      <c r="A515" s="11" t="str">
        <f t="shared" si="1"/>
        <v>LFW-DELICAFY</v>
      </c>
      <c r="B515" s="32" t="s">
        <v>819</v>
      </c>
      <c r="C515" s="33" t="s">
        <v>820</v>
      </c>
      <c r="D515" s="33" t="s">
        <v>60</v>
      </c>
      <c r="E515" s="11" t="s">
        <v>123</v>
      </c>
      <c r="F515" s="33" t="s">
        <v>137</v>
      </c>
      <c r="G515" s="11"/>
      <c r="H515" s="11">
        <f>SUMIFS(X!$F$3:$F$5978,X!$D$3:$D$5978,'Current Stock'!A515)</f>
        <v>0</v>
      </c>
      <c r="I515" s="11">
        <f>SUMIFS(PENJUALAN!$E$4:$E$3651,PENJUALAN!$C$4:$C$3651,'Current Stock'!A515)</f>
        <v>0</v>
      </c>
      <c r="J515" s="15">
        <f t="shared" si="2"/>
        <v>0</v>
      </c>
      <c r="K515" s="11"/>
      <c r="L515" s="11"/>
      <c r="M515" s="11"/>
      <c r="N515" s="11"/>
      <c r="O515" s="17"/>
      <c r="P515" s="17"/>
    </row>
    <row r="516" ht="13.5" customHeight="1">
      <c r="A516" s="11" t="str">
        <f t="shared" si="1"/>
        <v>TRW-ETERNAFY</v>
      </c>
      <c r="B516" s="32" t="s">
        <v>821</v>
      </c>
      <c r="C516" s="33" t="s">
        <v>822</v>
      </c>
      <c r="D516" s="33" t="s">
        <v>62</v>
      </c>
      <c r="E516" s="11" t="s">
        <v>123</v>
      </c>
      <c r="F516" s="33" t="s">
        <v>83</v>
      </c>
      <c r="G516" s="11"/>
      <c r="H516" s="11">
        <f>SUMIFS(X!$F$3:$F$5978,X!$D$3:$D$5978,'Current Stock'!A516)</f>
        <v>0</v>
      </c>
      <c r="I516" s="11">
        <f>SUMIFS(PENJUALAN!$E$4:$E$3651,PENJUALAN!$C$4:$C$3651,'Current Stock'!A516)</f>
        <v>0</v>
      </c>
      <c r="J516" s="15">
        <f t="shared" si="2"/>
        <v>0</v>
      </c>
      <c r="K516" s="11"/>
      <c r="L516" s="11"/>
      <c r="M516" s="11"/>
      <c r="N516" s="11"/>
      <c r="O516" s="17"/>
      <c r="P516" s="17"/>
    </row>
    <row r="517" ht="13.5" customHeight="1">
      <c r="A517" s="11" t="str">
        <f t="shared" si="1"/>
        <v>FDL-ETERNAFY</v>
      </c>
      <c r="B517" s="32" t="s">
        <v>823</v>
      </c>
      <c r="C517" s="33" t="s">
        <v>822</v>
      </c>
      <c r="D517" s="33" t="s">
        <v>140</v>
      </c>
      <c r="E517" s="11" t="s">
        <v>123</v>
      </c>
      <c r="F517" s="33" t="s">
        <v>152</v>
      </c>
      <c r="G517" s="11"/>
      <c r="H517" s="11">
        <f>SUMIFS(X!$F$3:$F$5978,X!$D$3:$D$5978,'Current Stock'!A517)</f>
        <v>0</v>
      </c>
      <c r="I517" s="11">
        <f>SUMIFS(PENJUALAN!$E$4:$E$3651,PENJUALAN!$C$4:$C$3651,'Current Stock'!A517)</f>
        <v>0</v>
      </c>
      <c r="J517" s="15">
        <f t="shared" si="2"/>
        <v>0</v>
      </c>
      <c r="K517" s="11"/>
      <c r="L517" s="11"/>
      <c r="M517" s="11"/>
      <c r="N517" s="11"/>
      <c r="O517" s="17"/>
      <c r="P517" s="17"/>
    </row>
    <row r="518" ht="13.5" customHeight="1">
      <c r="A518" s="11" t="str">
        <f t="shared" si="1"/>
        <v>FDR-ETERNAFY</v>
      </c>
      <c r="B518" s="32" t="s">
        <v>824</v>
      </c>
      <c r="C518" s="33" t="s">
        <v>822</v>
      </c>
      <c r="D518" s="33" t="s">
        <v>142</v>
      </c>
      <c r="E518" s="11" t="s">
        <v>123</v>
      </c>
      <c r="F518" s="33" t="s">
        <v>152</v>
      </c>
      <c r="G518" s="11"/>
      <c r="H518" s="11">
        <f>SUMIFS(X!$F$3:$F$5978,X!$D$3:$D$5978,'Current Stock'!A518)</f>
        <v>0</v>
      </c>
      <c r="I518" s="11">
        <f>SUMIFS(PENJUALAN!$E$4:$E$3651,PENJUALAN!$C$4:$C$3651,'Current Stock'!A518)</f>
        <v>0</v>
      </c>
      <c r="J518" s="15">
        <f t="shared" si="2"/>
        <v>0</v>
      </c>
      <c r="K518" s="11"/>
      <c r="L518" s="11"/>
      <c r="M518" s="11"/>
      <c r="N518" s="11"/>
      <c r="O518" s="17"/>
      <c r="P518" s="17"/>
    </row>
    <row r="519" ht="13.5" customHeight="1">
      <c r="A519" s="11" t="str">
        <f t="shared" si="1"/>
        <v>TRW-LELEFY</v>
      </c>
      <c r="B519" s="32" t="s">
        <v>825</v>
      </c>
      <c r="C519" s="33" t="s">
        <v>826</v>
      </c>
      <c r="D519" s="33" t="s">
        <v>62</v>
      </c>
      <c r="E519" s="11" t="s">
        <v>123</v>
      </c>
      <c r="F519" s="33" t="s">
        <v>83</v>
      </c>
      <c r="G519" s="11"/>
      <c r="H519" s="11">
        <f>SUMIFS(X!$F$3:$F$5978,X!$D$3:$D$5978,'Current Stock'!A519)</f>
        <v>0</v>
      </c>
      <c r="I519" s="11">
        <f>SUMIFS(PENJUALAN!$E$4:$E$3651,PENJUALAN!$C$4:$C$3651,'Current Stock'!A519)</f>
        <v>0</v>
      </c>
      <c r="J519" s="15">
        <f t="shared" si="2"/>
        <v>0</v>
      </c>
      <c r="K519" s="11"/>
      <c r="L519" s="11"/>
      <c r="M519" s="11"/>
      <c r="N519" s="11"/>
      <c r="O519" s="17"/>
      <c r="P519" s="17"/>
    </row>
    <row r="520" ht="13.5" customHeight="1">
      <c r="A520" s="11" t="str">
        <f t="shared" si="1"/>
        <v>FDL-LELEFY</v>
      </c>
      <c r="B520" s="32" t="s">
        <v>827</v>
      </c>
      <c r="C520" s="33" t="s">
        <v>826</v>
      </c>
      <c r="D520" s="33" t="s">
        <v>140</v>
      </c>
      <c r="E520" s="11" t="s">
        <v>123</v>
      </c>
      <c r="F520" s="33" t="s">
        <v>152</v>
      </c>
      <c r="G520" s="11"/>
      <c r="H520" s="11">
        <f>SUMIFS(X!$F$3:$F$5978,X!$D$3:$D$5978,'Current Stock'!A520)</f>
        <v>0</v>
      </c>
      <c r="I520" s="11">
        <f>SUMIFS(PENJUALAN!$E$4:$E$3651,PENJUALAN!$C$4:$C$3651,'Current Stock'!A520)</f>
        <v>0</v>
      </c>
      <c r="J520" s="15">
        <f t="shared" si="2"/>
        <v>0</v>
      </c>
      <c r="K520" s="11"/>
      <c r="L520" s="11"/>
      <c r="M520" s="11"/>
      <c r="N520" s="11"/>
      <c r="O520" s="17"/>
      <c r="P520" s="17"/>
    </row>
    <row r="521" ht="13.5" customHeight="1">
      <c r="A521" s="11" t="str">
        <f t="shared" si="1"/>
        <v>FDR-LELEFY</v>
      </c>
      <c r="B521" s="32" t="s">
        <v>828</v>
      </c>
      <c r="C521" s="33" t="s">
        <v>826</v>
      </c>
      <c r="D521" s="33" t="s">
        <v>142</v>
      </c>
      <c r="E521" s="11" t="s">
        <v>123</v>
      </c>
      <c r="F521" s="33" t="s">
        <v>152</v>
      </c>
      <c r="G521" s="11"/>
      <c r="H521" s="11">
        <f>SUMIFS(X!$F$3:$F$5978,X!$D$3:$D$5978,'Current Stock'!A521)</f>
        <v>0</v>
      </c>
      <c r="I521" s="11">
        <f>SUMIFS(PENJUALAN!$E$4:$E$3651,PENJUALAN!$C$4:$C$3651,'Current Stock'!A521)</f>
        <v>0</v>
      </c>
      <c r="J521" s="15">
        <f t="shared" si="2"/>
        <v>0</v>
      </c>
      <c r="K521" s="11"/>
      <c r="L521" s="11"/>
      <c r="M521" s="11"/>
      <c r="N521" s="11"/>
      <c r="O521" s="17"/>
      <c r="P521" s="17"/>
    </row>
    <row r="522" ht="13.5" customHeight="1">
      <c r="A522" s="11" t="str">
        <f t="shared" si="1"/>
        <v>RDL-LELEFY</v>
      </c>
      <c r="B522" s="32" t="s">
        <v>829</v>
      </c>
      <c r="C522" s="33" t="s">
        <v>826</v>
      </c>
      <c r="D522" s="33" t="s">
        <v>144</v>
      </c>
      <c r="E522" s="11" t="s">
        <v>123</v>
      </c>
      <c r="F522" s="33" t="s">
        <v>152</v>
      </c>
      <c r="G522" s="11"/>
      <c r="H522" s="11">
        <f>SUMIFS(X!$F$3:$F$5978,X!$D$3:$D$5978,'Current Stock'!A522)</f>
        <v>0</v>
      </c>
      <c r="I522" s="11">
        <f>SUMIFS(PENJUALAN!$E$4:$E$3651,PENJUALAN!$C$4:$C$3651,'Current Stock'!A522)</f>
        <v>0</v>
      </c>
      <c r="J522" s="15">
        <f t="shared" si="2"/>
        <v>0</v>
      </c>
      <c r="K522" s="11"/>
      <c r="L522" s="11"/>
      <c r="M522" s="11"/>
      <c r="N522" s="11"/>
      <c r="O522" s="17"/>
      <c r="P522" s="17"/>
    </row>
    <row r="523" ht="13.5" customHeight="1">
      <c r="A523" s="11" t="str">
        <f t="shared" si="1"/>
        <v>RDR-LELEFY</v>
      </c>
      <c r="B523" s="32" t="s">
        <v>830</v>
      </c>
      <c r="C523" s="33" t="s">
        <v>826</v>
      </c>
      <c r="D523" s="33" t="s">
        <v>146</v>
      </c>
      <c r="E523" s="11" t="s">
        <v>123</v>
      </c>
      <c r="F523" s="33" t="s">
        <v>152</v>
      </c>
      <c r="G523" s="11"/>
      <c r="H523" s="11">
        <f>SUMIFS(X!$F$3:$F$5978,X!$D$3:$D$5978,'Current Stock'!A523)</f>
        <v>0</v>
      </c>
      <c r="I523" s="11">
        <f>SUMIFS(PENJUALAN!$E$4:$E$3651,PENJUALAN!$C$4:$C$3651,'Current Stock'!A523)</f>
        <v>0</v>
      </c>
      <c r="J523" s="15">
        <f t="shared" si="2"/>
        <v>0</v>
      </c>
      <c r="K523" s="11"/>
      <c r="L523" s="11"/>
      <c r="M523" s="11"/>
      <c r="N523" s="11"/>
      <c r="O523" s="17"/>
      <c r="P523" s="17"/>
    </row>
    <row r="524" ht="13.5" customHeight="1">
      <c r="A524" s="11" t="str">
        <f t="shared" si="1"/>
        <v>LFW-HIUFY</v>
      </c>
      <c r="B524" s="32" t="s">
        <v>831</v>
      </c>
      <c r="C524" s="33" t="s">
        <v>832</v>
      </c>
      <c r="D524" s="33" t="s">
        <v>60</v>
      </c>
      <c r="E524" s="11" t="s">
        <v>123</v>
      </c>
      <c r="F524" s="33" t="s">
        <v>137</v>
      </c>
      <c r="G524" s="11"/>
      <c r="H524" s="11">
        <f>SUMIFS(X!$F$3:$F$5978,X!$D$3:$D$5978,'Current Stock'!A524)</f>
        <v>0</v>
      </c>
      <c r="I524" s="11">
        <f>SUMIFS(PENJUALAN!$E$4:$E$3651,PENJUALAN!$C$4:$C$3651,'Current Stock'!A524)</f>
        <v>0</v>
      </c>
      <c r="J524" s="15">
        <f t="shared" si="2"/>
        <v>0</v>
      </c>
      <c r="K524" s="11"/>
      <c r="L524" s="11"/>
      <c r="M524" s="11"/>
      <c r="N524" s="11"/>
      <c r="O524" s="17"/>
      <c r="P524" s="17"/>
    </row>
    <row r="525" ht="13.5" customHeight="1">
      <c r="A525" s="11" t="str">
        <f t="shared" si="1"/>
        <v>TRW-HIUFY</v>
      </c>
      <c r="B525" s="32" t="s">
        <v>833</v>
      </c>
      <c r="C525" s="33" t="s">
        <v>832</v>
      </c>
      <c r="D525" s="33" t="s">
        <v>62</v>
      </c>
      <c r="E525" s="11" t="s">
        <v>123</v>
      </c>
      <c r="F525" s="33" t="s">
        <v>83</v>
      </c>
      <c r="G525" s="11"/>
      <c r="H525" s="11">
        <f>SUMIFS(X!$F$3:$F$5978,X!$D$3:$D$5978,'Current Stock'!A525)</f>
        <v>0</v>
      </c>
      <c r="I525" s="11">
        <f>SUMIFS(PENJUALAN!$E$4:$E$3651,PENJUALAN!$C$4:$C$3651,'Current Stock'!A525)</f>
        <v>0</v>
      </c>
      <c r="J525" s="15">
        <f t="shared" si="2"/>
        <v>0</v>
      </c>
      <c r="K525" s="11"/>
      <c r="L525" s="11"/>
      <c r="M525" s="11"/>
      <c r="N525" s="11"/>
      <c r="O525" s="17"/>
      <c r="P525" s="17"/>
    </row>
    <row r="526" ht="13.5" customHeight="1">
      <c r="A526" s="11" t="str">
        <f t="shared" si="1"/>
        <v>FDL-HIUFY</v>
      </c>
      <c r="B526" s="32" t="s">
        <v>834</v>
      </c>
      <c r="C526" s="33" t="s">
        <v>832</v>
      </c>
      <c r="D526" s="33" t="s">
        <v>140</v>
      </c>
      <c r="E526" s="11" t="s">
        <v>123</v>
      </c>
      <c r="F526" s="33" t="s">
        <v>152</v>
      </c>
      <c r="G526" s="11"/>
      <c r="H526" s="11">
        <f>SUMIFS(X!$F$3:$F$5978,X!$D$3:$D$5978,'Current Stock'!A526)</f>
        <v>0</v>
      </c>
      <c r="I526" s="11">
        <f>SUMIFS(PENJUALAN!$E$4:$E$3651,PENJUALAN!$C$4:$C$3651,'Current Stock'!A526)</f>
        <v>0</v>
      </c>
      <c r="J526" s="15">
        <f t="shared" si="2"/>
        <v>0</v>
      </c>
      <c r="K526" s="11"/>
      <c r="L526" s="11"/>
      <c r="M526" s="11"/>
      <c r="N526" s="11"/>
      <c r="O526" s="17"/>
      <c r="P526" s="17"/>
    </row>
    <row r="527" ht="13.5" customHeight="1">
      <c r="A527" s="11" t="str">
        <f t="shared" si="1"/>
        <v>FDR-HIUFY</v>
      </c>
      <c r="B527" s="32" t="s">
        <v>835</v>
      </c>
      <c r="C527" s="33" t="s">
        <v>832</v>
      </c>
      <c r="D527" s="33" t="s">
        <v>142</v>
      </c>
      <c r="E527" s="11" t="s">
        <v>123</v>
      </c>
      <c r="F527" s="33" t="s">
        <v>152</v>
      </c>
      <c r="G527" s="11"/>
      <c r="H527" s="11">
        <f>SUMIFS(X!$F$3:$F$5978,X!$D$3:$D$5978,'Current Stock'!A527)</f>
        <v>0</v>
      </c>
      <c r="I527" s="11">
        <f>SUMIFS(PENJUALAN!$E$4:$E$3651,PENJUALAN!$C$4:$C$3651,'Current Stock'!A527)</f>
        <v>0</v>
      </c>
      <c r="J527" s="15">
        <f t="shared" si="2"/>
        <v>0</v>
      </c>
      <c r="K527" s="11"/>
      <c r="L527" s="11"/>
      <c r="M527" s="11"/>
      <c r="N527" s="11"/>
      <c r="O527" s="17"/>
      <c r="P527" s="17"/>
    </row>
    <row r="528" ht="13.5" customHeight="1">
      <c r="A528" s="11" t="str">
        <f t="shared" si="1"/>
        <v>RDL-HIUFY</v>
      </c>
      <c r="B528" s="32" t="s">
        <v>836</v>
      </c>
      <c r="C528" s="33" t="s">
        <v>832</v>
      </c>
      <c r="D528" s="33" t="s">
        <v>144</v>
      </c>
      <c r="E528" s="11" t="s">
        <v>123</v>
      </c>
      <c r="F528" s="33" t="s">
        <v>152</v>
      </c>
      <c r="G528" s="11"/>
      <c r="H528" s="11">
        <f>SUMIFS(X!$F$3:$F$5978,X!$D$3:$D$5978,'Current Stock'!A528)</f>
        <v>0</v>
      </c>
      <c r="I528" s="11">
        <f>SUMIFS(PENJUALAN!$E$4:$E$3651,PENJUALAN!$C$4:$C$3651,'Current Stock'!A528)</f>
        <v>0</v>
      </c>
      <c r="J528" s="15">
        <f t="shared" si="2"/>
        <v>0</v>
      </c>
      <c r="K528" s="11"/>
      <c r="L528" s="11"/>
      <c r="M528" s="11"/>
      <c r="N528" s="11"/>
      <c r="O528" s="17"/>
      <c r="P528" s="17"/>
    </row>
    <row r="529" ht="13.5" customHeight="1">
      <c r="A529" s="11" t="str">
        <f t="shared" si="1"/>
        <v>RDR-HIUFY</v>
      </c>
      <c r="B529" s="32" t="s">
        <v>837</v>
      </c>
      <c r="C529" s="33" t="s">
        <v>832</v>
      </c>
      <c r="D529" s="33" t="s">
        <v>146</v>
      </c>
      <c r="E529" s="11" t="s">
        <v>123</v>
      </c>
      <c r="F529" s="33" t="s">
        <v>152</v>
      </c>
      <c r="G529" s="11"/>
      <c r="H529" s="11">
        <f>SUMIFS(X!$F$3:$F$5978,X!$D$3:$D$5978,'Current Stock'!A529)</f>
        <v>0</v>
      </c>
      <c r="I529" s="11">
        <f>SUMIFS(PENJUALAN!$E$4:$E$3651,PENJUALAN!$C$4:$C$3651,'Current Stock'!A529)</f>
        <v>0</v>
      </c>
      <c r="J529" s="15">
        <f t="shared" si="2"/>
        <v>0</v>
      </c>
      <c r="K529" s="11"/>
      <c r="L529" s="11"/>
      <c r="M529" s="11"/>
      <c r="N529" s="11"/>
      <c r="O529" s="17"/>
      <c r="P529" s="17"/>
    </row>
    <row r="530" ht="13.5" customHeight="1">
      <c r="A530" s="11" t="str">
        <f t="shared" si="1"/>
        <v>LFW-GRANDISFY</v>
      </c>
      <c r="B530" s="32" t="s">
        <v>838</v>
      </c>
      <c r="C530" s="33" t="s">
        <v>839</v>
      </c>
      <c r="D530" s="33" t="s">
        <v>60</v>
      </c>
      <c r="E530" s="11" t="s">
        <v>123</v>
      </c>
      <c r="F530" s="33" t="s">
        <v>137</v>
      </c>
      <c r="G530" s="11"/>
      <c r="H530" s="11">
        <f>SUMIFS(X!$F$3:$F$5978,X!$D$3:$D$5978,'Current Stock'!A530)</f>
        <v>0</v>
      </c>
      <c r="I530" s="11">
        <f>SUMIFS(PENJUALAN!$E$4:$E$3651,PENJUALAN!$C$4:$C$3651,'Current Stock'!A530)</f>
        <v>0</v>
      </c>
      <c r="J530" s="15">
        <f t="shared" si="2"/>
        <v>0</v>
      </c>
      <c r="K530" s="11"/>
      <c r="L530" s="11"/>
      <c r="M530" s="11"/>
      <c r="N530" s="11"/>
      <c r="O530" s="17"/>
      <c r="P530" s="17"/>
    </row>
    <row r="531" ht="13.5" customHeight="1">
      <c r="A531" s="11" t="str">
        <f t="shared" si="1"/>
        <v>TRW-GRANDISFY</v>
      </c>
      <c r="B531" s="32" t="s">
        <v>840</v>
      </c>
      <c r="C531" s="33" t="s">
        <v>839</v>
      </c>
      <c r="D531" s="33" t="s">
        <v>62</v>
      </c>
      <c r="E531" s="11" t="s">
        <v>123</v>
      </c>
      <c r="F531" s="33" t="s">
        <v>228</v>
      </c>
      <c r="G531" s="11"/>
      <c r="H531" s="11">
        <f>SUMIFS(X!$F$3:$F$5978,X!$D$3:$D$5978,'Current Stock'!A531)</f>
        <v>0</v>
      </c>
      <c r="I531" s="11">
        <f>SUMIFS(PENJUALAN!$E$4:$E$3651,PENJUALAN!$C$4:$C$3651,'Current Stock'!A531)</f>
        <v>0</v>
      </c>
      <c r="J531" s="15">
        <f t="shared" si="2"/>
        <v>0</v>
      </c>
      <c r="K531" s="11"/>
      <c r="L531" s="11"/>
      <c r="M531" s="11"/>
      <c r="N531" s="11"/>
      <c r="O531" s="17"/>
      <c r="P531" s="17"/>
    </row>
    <row r="532" ht="13.5" customHeight="1">
      <c r="A532" s="11" t="str">
        <f t="shared" si="1"/>
        <v>FDL-GRANDISFY</v>
      </c>
      <c r="B532" s="32" t="s">
        <v>841</v>
      </c>
      <c r="C532" s="33" t="s">
        <v>839</v>
      </c>
      <c r="D532" s="33" t="s">
        <v>140</v>
      </c>
      <c r="E532" s="11" t="s">
        <v>123</v>
      </c>
      <c r="F532" s="33" t="s">
        <v>152</v>
      </c>
      <c r="G532" s="11"/>
      <c r="H532" s="11">
        <f>SUMIFS(X!$F$3:$F$5978,X!$D$3:$D$5978,'Current Stock'!A532)</f>
        <v>0</v>
      </c>
      <c r="I532" s="11">
        <f>SUMIFS(PENJUALAN!$E$4:$E$3651,PENJUALAN!$C$4:$C$3651,'Current Stock'!A532)</f>
        <v>0</v>
      </c>
      <c r="J532" s="15">
        <f t="shared" si="2"/>
        <v>0</v>
      </c>
      <c r="K532" s="11"/>
      <c r="L532" s="11"/>
      <c r="M532" s="11"/>
      <c r="N532" s="11"/>
      <c r="O532" s="17"/>
      <c r="P532" s="17"/>
    </row>
    <row r="533" ht="13.5" customHeight="1">
      <c r="A533" s="11" t="str">
        <f t="shared" si="1"/>
        <v>FDR-GRANDISFY</v>
      </c>
      <c r="B533" s="32" t="s">
        <v>842</v>
      </c>
      <c r="C533" s="33" t="s">
        <v>839</v>
      </c>
      <c r="D533" s="33" t="s">
        <v>142</v>
      </c>
      <c r="E533" s="11" t="s">
        <v>123</v>
      </c>
      <c r="F533" s="33" t="s">
        <v>152</v>
      </c>
      <c r="G533" s="11"/>
      <c r="H533" s="11">
        <f>SUMIFS(X!$F$3:$F$5978,X!$D$3:$D$5978,'Current Stock'!A533)</f>
        <v>0</v>
      </c>
      <c r="I533" s="11">
        <f>SUMIFS(PENJUALAN!$E$4:$E$3651,PENJUALAN!$C$4:$C$3651,'Current Stock'!A533)</f>
        <v>0</v>
      </c>
      <c r="J533" s="15">
        <f t="shared" si="2"/>
        <v>0</v>
      </c>
      <c r="K533" s="11"/>
      <c r="L533" s="11"/>
      <c r="M533" s="11"/>
      <c r="N533" s="11"/>
      <c r="O533" s="17"/>
      <c r="P533" s="17"/>
    </row>
    <row r="534" ht="13.5" customHeight="1">
      <c r="A534" s="11" t="str">
        <f t="shared" si="1"/>
        <v>RDL-GRANDISFY</v>
      </c>
      <c r="B534" s="32" t="s">
        <v>843</v>
      </c>
      <c r="C534" s="33" t="s">
        <v>839</v>
      </c>
      <c r="D534" s="33" t="s">
        <v>144</v>
      </c>
      <c r="E534" s="11" t="s">
        <v>123</v>
      </c>
      <c r="F534" s="33" t="s">
        <v>152</v>
      </c>
      <c r="G534" s="11"/>
      <c r="H534" s="11">
        <f>SUMIFS(X!$F$3:$F$5978,X!$D$3:$D$5978,'Current Stock'!A534)</f>
        <v>0</v>
      </c>
      <c r="I534" s="11">
        <f>SUMIFS(PENJUALAN!$E$4:$E$3651,PENJUALAN!$C$4:$C$3651,'Current Stock'!A534)</f>
        <v>0</v>
      </c>
      <c r="J534" s="15">
        <f t="shared" si="2"/>
        <v>0</v>
      </c>
      <c r="K534" s="11"/>
      <c r="L534" s="11"/>
      <c r="M534" s="11"/>
      <c r="N534" s="11"/>
      <c r="O534" s="17"/>
      <c r="P534" s="17"/>
    </row>
    <row r="535" ht="13.5" customHeight="1">
      <c r="A535" s="11" t="str">
        <f t="shared" si="1"/>
        <v>RDR-GRANDISFY</v>
      </c>
      <c r="B535" s="32" t="s">
        <v>844</v>
      </c>
      <c r="C535" s="33" t="s">
        <v>839</v>
      </c>
      <c r="D535" s="33" t="s">
        <v>146</v>
      </c>
      <c r="E535" s="11" t="s">
        <v>123</v>
      </c>
      <c r="F535" s="33" t="s">
        <v>152</v>
      </c>
      <c r="G535" s="11"/>
      <c r="H535" s="11">
        <f>SUMIFS(X!$F$3:$F$5978,X!$D$3:$D$5978,'Current Stock'!A535)</f>
        <v>0</v>
      </c>
      <c r="I535" s="11">
        <f>SUMIFS(PENJUALAN!$E$4:$E$3651,PENJUALAN!$C$4:$C$3651,'Current Stock'!A535)</f>
        <v>0</v>
      </c>
      <c r="J535" s="15">
        <f t="shared" si="2"/>
        <v>0</v>
      </c>
      <c r="K535" s="11"/>
      <c r="L535" s="11"/>
      <c r="M535" s="11"/>
      <c r="N535" s="11"/>
      <c r="O535" s="17"/>
      <c r="P535" s="17"/>
    </row>
    <row r="536" ht="13.5" customHeight="1">
      <c r="A536" s="11" t="str">
        <f t="shared" si="1"/>
        <v>SWL-GRANDISFY</v>
      </c>
      <c r="B536" s="32" t="s">
        <v>845</v>
      </c>
      <c r="C536" s="33" t="s">
        <v>839</v>
      </c>
      <c r="D536" s="33" t="s">
        <v>209</v>
      </c>
      <c r="E536" s="11" t="s">
        <v>123</v>
      </c>
      <c r="F536" s="33" t="s">
        <v>241</v>
      </c>
      <c r="G536" s="11"/>
      <c r="H536" s="11">
        <f>SUMIFS(X!$F$3:$F$5978,X!$D$3:$D$5978,'Current Stock'!A536)</f>
        <v>0</v>
      </c>
      <c r="I536" s="11">
        <f>SUMIFS(PENJUALAN!$E$4:$E$3651,PENJUALAN!$C$4:$C$3651,'Current Stock'!A536)</f>
        <v>0</v>
      </c>
      <c r="J536" s="15">
        <f t="shared" si="2"/>
        <v>0</v>
      </c>
      <c r="K536" s="11"/>
      <c r="L536" s="11"/>
      <c r="M536" s="11"/>
      <c r="N536" s="11"/>
      <c r="O536" s="17"/>
      <c r="P536" s="17"/>
    </row>
    <row r="537" ht="13.5" customHeight="1">
      <c r="A537" s="11" t="str">
        <f t="shared" si="1"/>
        <v>SWR-GRANDISFY</v>
      </c>
      <c r="B537" s="32" t="s">
        <v>846</v>
      </c>
      <c r="C537" s="33" t="s">
        <v>839</v>
      </c>
      <c r="D537" s="33" t="s">
        <v>243</v>
      </c>
      <c r="E537" s="11" t="s">
        <v>123</v>
      </c>
      <c r="F537" s="33" t="s">
        <v>109</v>
      </c>
      <c r="G537" s="11"/>
      <c r="H537" s="11">
        <f>SUMIFS(X!$F$3:$F$5978,X!$D$3:$D$5978,'Current Stock'!A537)</f>
        <v>0</v>
      </c>
      <c r="I537" s="11">
        <f>SUMIFS(PENJUALAN!$E$4:$E$3651,PENJUALAN!$C$4:$C$3651,'Current Stock'!A537)</f>
        <v>0</v>
      </c>
      <c r="J537" s="15">
        <f t="shared" si="2"/>
        <v>0</v>
      </c>
      <c r="K537" s="11"/>
      <c r="L537" s="11"/>
      <c r="M537" s="11"/>
      <c r="N537" s="11"/>
      <c r="O537" s="17"/>
      <c r="P537" s="17"/>
    </row>
    <row r="538" ht="13.5" customHeight="1">
      <c r="A538" s="11" t="str">
        <f t="shared" si="1"/>
        <v>LFW-EVO3FY</v>
      </c>
      <c r="B538" s="32" t="s">
        <v>847</v>
      </c>
      <c r="C538" s="33" t="s">
        <v>848</v>
      </c>
      <c r="D538" s="33" t="s">
        <v>60</v>
      </c>
      <c r="E538" s="11" t="s">
        <v>123</v>
      </c>
      <c r="F538" s="33" t="s">
        <v>109</v>
      </c>
      <c r="G538" s="11"/>
      <c r="H538" s="11">
        <f>SUMIFS(X!$F$3:$F$5978,X!$D$3:$D$5978,'Current Stock'!A538)</f>
        <v>0</v>
      </c>
      <c r="I538" s="11">
        <f>SUMIFS(PENJUALAN!$E$4:$E$3651,PENJUALAN!$C$4:$C$3651,'Current Stock'!A538)</f>
        <v>0</v>
      </c>
      <c r="J538" s="15">
        <f t="shared" si="2"/>
        <v>0</v>
      </c>
      <c r="K538" s="11"/>
      <c r="L538" s="11"/>
      <c r="M538" s="11"/>
      <c r="N538" s="11"/>
      <c r="O538" s="17"/>
      <c r="P538" s="17"/>
    </row>
    <row r="539" ht="13.5" customHeight="1">
      <c r="A539" s="11" t="str">
        <f t="shared" si="1"/>
        <v>TRW-EVO3FY</v>
      </c>
      <c r="B539" s="32" t="s">
        <v>849</v>
      </c>
      <c r="C539" s="33" t="s">
        <v>848</v>
      </c>
      <c r="D539" s="33" t="s">
        <v>62</v>
      </c>
      <c r="E539" s="11" t="s">
        <v>123</v>
      </c>
      <c r="F539" s="33" t="s">
        <v>83</v>
      </c>
      <c r="G539" s="11"/>
      <c r="H539" s="11">
        <f>SUMIFS(X!$F$3:$F$5978,X!$D$3:$D$5978,'Current Stock'!A539)</f>
        <v>0</v>
      </c>
      <c r="I539" s="11">
        <f>SUMIFS(PENJUALAN!$E$4:$E$3651,PENJUALAN!$C$4:$C$3651,'Current Stock'!A539)</f>
        <v>0</v>
      </c>
      <c r="J539" s="15">
        <f t="shared" si="2"/>
        <v>0</v>
      </c>
      <c r="K539" s="11"/>
      <c r="L539" s="11"/>
      <c r="M539" s="11"/>
      <c r="N539" s="11"/>
      <c r="O539" s="17"/>
      <c r="P539" s="17"/>
    </row>
    <row r="540" ht="13.5" customHeight="1">
      <c r="A540" s="11" t="str">
        <f t="shared" si="1"/>
        <v>FDL-EVO3FY</v>
      </c>
      <c r="B540" s="32" t="s">
        <v>850</v>
      </c>
      <c r="C540" s="33" t="s">
        <v>848</v>
      </c>
      <c r="D540" s="33" t="s">
        <v>140</v>
      </c>
      <c r="E540" s="11" t="s">
        <v>123</v>
      </c>
      <c r="F540" s="33" t="s">
        <v>152</v>
      </c>
      <c r="G540" s="11"/>
      <c r="H540" s="11">
        <f>SUMIFS(X!$F$3:$F$5978,X!$D$3:$D$5978,'Current Stock'!A540)</f>
        <v>0</v>
      </c>
      <c r="I540" s="11">
        <f>SUMIFS(PENJUALAN!$E$4:$E$3651,PENJUALAN!$C$4:$C$3651,'Current Stock'!A540)</f>
        <v>0</v>
      </c>
      <c r="J540" s="15">
        <f t="shared" si="2"/>
        <v>0</v>
      </c>
      <c r="K540" s="11"/>
      <c r="L540" s="11"/>
      <c r="M540" s="11"/>
      <c r="N540" s="11"/>
      <c r="O540" s="17"/>
      <c r="P540" s="17"/>
    </row>
    <row r="541" ht="13.5" customHeight="1">
      <c r="A541" s="11" t="str">
        <f t="shared" si="1"/>
        <v>FDR-EVO3FY</v>
      </c>
      <c r="B541" s="32" t="s">
        <v>851</v>
      </c>
      <c r="C541" s="33" t="s">
        <v>848</v>
      </c>
      <c r="D541" s="33" t="s">
        <v>142</v>
      </c>
      <c r="E541" s="11" t="s">
        <v>123</v>
      </c>
      <c r="F541" s="33" t="s">
        <v>152</v>
      </c>
      <c r="G541" s="11"/>
      <c r="H541" s="11">
        <f>SUMIFS(X!$F$3:$F$5978,X!$D$3:$D$5978,'Current Stock'!A541)</f>
        <v>0</v>
      </c>
      <c r="I541" s="11">
        <f>SUMIFS(PENJUALAN!$E$4:$E$3651,PENJUALAN!$C$4:$C$3651,'Current Stock'!A541)</f>
        <v>0</v>
      </c>
      <c r="J541" s="15">
        <f t="shared" si="2"/>
        <v>0</v>
      </c>
      <c r="K541" s="11"/>
      <c r="L541" s="11"/>
      <c r="M541" s="11"/>
      <c r="N541" s="11"/>
      <c r="O541" s="17"/>
      <c r="P541" s="17"/>
    </row>
    <row r="542" ht="13.5" customHeight="1">
      <c r="A542" s="11" t="str">
        <f t="shared" si="1"/>
        <v>RDL-EVO3FY</v>
      </c>
      <c r="B542" s="32" t="s">
        <v>852</v>
      </c>
      <c r="C542" s="33" t="s">
        <v>848</v>
      </c>
      <c r="D542" s="33" t="s">
        <v>144</v>
      </c>
      <c r="E542" s="11" t="s">
        <v>123</v>
      </c>
      <c r="F542" s="33" t="s">
        <v>152</v>
      </c>
      <c r="G542" s="11"/>
      <c r="H542" s="11">
        <f>SUMIFS(X!$F$3:$F$5978,X!$D$3:$D$5978,'Current Stock'!A542)</f>
        <v>0</v>
      </c>
      <c r="I542" s="11">
        <f>SUMIFS(PENJUALAN!$E$4:$E$3651,PENJUALAN!$C$4:$C$3651,'Current Stock'!A542)</f>
        <v>0</v>
      </c>
      <c r="J542" s="15">
        <f t="shared" si="2"/>
        <v>0</v>
      </c>
      <c r="K542" s="11"/>
      <c r="L542" s="11"/>
      <c r="M542" s="11"/>
      <c r="N542" s="11"/>
      <c r="O542" s="17"/>
      <c r="P542" s="17"/>
    </row>
    <row r="543" ht="13.5" customHeight="1">
      <c r="A543" s="11" t="str">
        <f t="shared" si="1"/>
        <v>RDR-EVO3FY</v>
      </c>
      <c r="B543" s="32" t="s">
        <v>853</v>
      </c>
      <c r="C543" s="33" t="s">
        <v>848</v>
      </c>
      <c r="D543" s="33" t="s">
        <v>146</v>
      </c>
      <c r="E543" s="11" t="s">
        <v>123</v>
      </c>
      <c r="F543" s="33" t="s">
        <v>152</v>
      </c>
      <c r="G543" s="11"/>
      <c r="H543" s="11">
        <f>SUMIFS(X!$F$3:$F$5978,X!$D$3:$D$5978,'Current Stock'!A543)</f>
        <v>0</v>
      </c>
      <c r="I543" s="11">
        <f>SUMIFS(PENJUALAN!$E$4:$E$3651,PENJUALAN!$C$4:$C$3651,'Current Stock'!A543)</f>
        <v>0</v>
      </c>
      <c r="J543" s="15">
        <f t="shared" si="2"/>
        <v>0</v>
      </c>
      <c r="K543" s="11"/>
      <c r="L543" s="11"/>
      <c r="M543" s="11"/>
      <c r="N543" s="11"/>
      <c r="O543" s="17"/>
      <c r="P543" s="17"/>
    </row>
    <row r="544" ht="13.5" customHeight="1">
      <c r="A544" s="11" t="str">
        <f t="shared" si="1"/>
        <v>RVL-EVO3FY</v>
      </c>
      <c r="B544" s="32" t="s">
        <v>854</v>
      </c>
      <c r="C544" s="33" t="s">
        <v>848</v>
      </c>
      <c r="D544" s="33" t="s">
        <v>396</v>
      </c>
      <c r="E544" s="11" t="s">
        <v>123</v>
      </c>
      <c r="F544" s="33"/>
      <c r="G544" s="11"/>
      <c r="H544" s="11">
        <f>SUMIFS(X!$F$3:$F$5978,X!$D$3:$D$5978,'Current Stock'!A544)</f>
        <v>0</v>
      </c>
      <c r="I544" s="11">
        <f>SUMIFS(PENJUALAN!$E$4:$E$3651,PENJUALAN!$C$4:$C$3651,'Current Stock'!A544)</f>
        <v>0</v>
      </c>
      <c r="J544" s="15">
        <f t="shared" si="2"/>
        <v>0</v>
      </c>
      <c r="K544" s="11"/>
      <c r="L544" s="11"/>
      <c r="M544" s="11"/>
      <c r="N544" s="11"/>
      <c r="O544" s="17"/>
      <c r="P544" s="17"/>
    </row>
    <row r="545" ht="13.5" customHeight="1">
      <c r="A545" s="11" t="str">
        <f t="shared" si="1"/>
        <v>RVR-EVO3FY</v>
      </c>
      <c r="B545" s="32" t="s">
        <v>855</v>
      </c>
      <c r="C545" s="33" t="s">
        <v>848</v>
      </c>
      <c r="D545" s="33" t="s">
        <v>398</v>
      </c>
      <c r="E545" s="11" t="s">
        <v>123</v>
      </c>
      <c r="F545" s="33"/>
      <c r="G545" s="11"/>
      <c r="H545" s="11">
        <f>SUMIFS(X!$F$3:$F$5978,X!$D$3:$D$5978,'Current Stock'!A545)</f>
        <v>0</v>
      </c>
      <c r="I545" s="11">
        <f>SUMIFS(PENJUALAN!$E$4:$E$3651,PENJUALAN!$C$4:$C$3651,'Current Stock'!A545)</f>
        <v>0</v>
      </c>
      <c r="J545" s="15">
        <f t="shared" si="2"/>
        <v>0</v>
      </c>
      <c r="K545" s="11"/>
      <c r="L545" s="11"/>
      <c r="M545" s="11"/>
      <c r="N545" s="11"/>
      <c r="O545" s="17"/>
      <c r="P545" s="17"/>
    </row>
    <row r="546" ht="13.5" customHeight="1">
      <c r="A546" s="11" t="str">
        <f t="shared" si="1"/>
        <v>LFW-EVO4FY</v>
      </c>
      <c r="B546" s="32" t="s">
        <v>856</v>
      </c>
      <c r="C546" s="33" t="s">
        <v>857</v>
      </c>
      <c r="D546" s="33" t="s">
        <v>60</v>
      </c>
      <c r="E546" s="11" t="s">
        <v>123</v>
      </c>
      <c r="F546" s="33" t="s">
        <v>137</v>
      </c>
      <c r="G546" s="11"/>
      <c r="H546" s="11">
        <f>SUMIFS(X!$F$3:$F$5978,X!$D$3:$D$5978,'Current Stock'!A546)</f>
        <v>0</v>
      </c>
      <c r="I546" s="11">
        <f>SUMIFS(PENJUALAN!$E$4:$E$3651,PENJUALAN!$C$4:$C$3651,'Current Stock'!A546)</f>
        <v>0</v>
      </c>
      <c r="J546" s="15">
        <f t="shared" si="2"/>
        <v>0</v>
      </c>
      <c r="K546" s="11"/>
      <c r="L546" s="11"/>
      <c r="M546" s="11"/>
      <c r="N546" s="11"/>
      <c r="O546" s="17"/>
      <c r="P546" s="17"/>
    </row>
    <row r="547" ht="13.5" customHeight="1">
      <c r="A547" s="11" t="str">
        <f t="shared" si="1"/>
        <v>TRW-EVO4FY</v>
      </c>
      <c r="B547" s="32" t="s">
        <v>858</v>
      </c>
      <c r="C547" s="33" t="s">
        <v>857</v>
      </c>
      <c r="D547" s="33" t="s">
        <v>62</v>
      </c>
      <c r="E547" s="11" t="s">
        <v>123</v>
      </c>
      <c r="F547" s="33" t="s">
        <v>83</v>
      </c>
      <c r="G547" s="11"/>
      <c r="H547" s="11">
        <f>SUMIFS(X!$F$3:$F$5978,X!$D$3:$D$5978,'Current Stock'!A547)</f>
        <v>0</v>
      </c>
      <c r="I547" s="11">
        <f>SUMIFS(PENJUALAN!$E$4:$E$3651,PENJUALAN!$C$4:$C$3651,'Current Stock'!A547)</f>
        <v>0</v>
      </c>
      <c r="J547" s="15">
        <f t="shared" si="2"/>
        <v>0</v>
      </c>
      <c r="K547" s="11"/>
      <c r="L547" s="11"/>
      <c r="M547" s="11"/>
      <c r="N547" s="11"/>
      <c r="O547" s="17"/>
      <c r="P547" s="17"/>
    </row>
    <row r="548" ht="13.5" customHeight="1">
      <c r="A548" s="11" t="str">
        <f t="shared" si="1"/>
        <v>FDL-EVO4FY</v>
      </c>
      <c r="B548" s="32" t="s">
        <v>859</v>
      </c>
      <c r="C548" s="33" t="s">
        <v>857</v>
      </c>
      <c r="D548" s="33" t="s">
        <v>140</v>
      </c>
      <c r="E548" s="11" t="s">
        <v>123</v>
      </c>
      <c r="F548" s="33" t="s">
        <v>152</v>
      </c>
      <c r="G548" s="11"/>
      <c r="H548" s="11">
        <f>SUMIFS(X!$F$3:$F$5978,X!$D$3:$D$5978,'Current Stock'!A548)</f>
        <v>0</v>
      </c>
      <c r="I548" s="11">
        <f>SUMIFS(PENJUALAN!$E$4:$E$3651,PENJUALAN!$C$4:$C$3651,'Current Stock'!A548)</f>
        <v>0</v>
      </c>
      <c r="J548" s="15">
        <f t="shared" si="2"/>
        <v>0</v>
      </c>
      <c r="K548" s="11"/>
      <c r="L548" s="11"/>
      <c r="M548" s="11"/>
      <c r="N548" s="11"/>
      <c r="O548" s="17"/>
      <c r="P548" s="17"/>
    </row>
    <row r="549" ht="13.5" customHeight="1">
      <c r="A549" s="11" t="str">
        <f t="shared" si="1"/>
        <v>FDR-EVO4FY</v>
      </c>
      <c r="B549" s="32" t="s">
        <v>860</v>
      </c>
      <c r="C549" s="33" t="s">
        <v>857</v>
      </c>
      <c r="D549" s="33" t="s">
        <v>142</v>
      </c>
      <c r="E549" s="11" t="s">
        <v>123</v>
      </c>
      <c r="F549" s="33" t="s">
        <v>152</v>
      </c>
      <c r="G549" s="11"/>
      <c r="H549" s="11">
        <f>SUMIFS(X!$F$3:$F$5978,X!$D$3:$D$5978,'Current Stock'!A549)</f>
        <v>0</v>
      </c>
      <c r="I549" s="11">
        <f>SUMIFS(PENJUALAN!$E$4:$E$3651,PENJUALAN!$C$4:$C$3651,'Current Stock'!A549)</f>
        <v>0</v>
      </c>
      <c r="J549" s="15">
        <f t="shared" si="2"/>
        <v>0</v>
      </c>
      <c r="K549" s="11"/>
      <c r="L549" s="11"/>
      <c r="M549" s="11"/>
      <c r="N549" s="11"/>
      <c r="O549" s="17"/>
      <c r="P549" s="17"/>
    </row>
    <row r="550" ht="13.5" customHeight="1">
      <c r="A550" s="11" t="str">
        <f t="shared" si="1"/>
        <v>LFW-EVO5FY</v>
      </c>
      <c r="B550" s="32" t="s">
        <v>861</v>
      </c>
      <c r="C550" s="33" t="s">
        <v>862</v>
      </c>
      <c r="D550" s="33" t="s">
        <v>60</v>
      </c>
      <c r="E550" s="11" t="s">
        <v>123</v>
      </c>
      <c r="F550" s="33" t="s">
        <v>137</v>
      </c>
      <c r="G550" s="11"/>
      <c r="H550" s="11">
        <f>SUMIFS(X!$F$3:$F$5978,X!$D$3:$D$5978,'Current Stock'!A550)</f>
        <v>0</v>
      </c>
      <c r="I550" s="11">
        <f>SUMIFS(PENJUALAN!$E$4:$E$3651,PENJUALAN!$C$4:$C$3651,'Current Stock'!A550)</f>
        <v>0</v>
      </c>
      <c r="J550" s="15">
        <f t="shared" si="2"/>
        <v>0</v>
      </c>
      <c r="K550" s="11"/>
      <c r="L550" s="11"/>
      <c r="M550" s="11"/>
      <c r="N550" s="11"/>
      <c r="O550" s="17"/>
      <c r="P550" s="17"/>
    </row>
    <row r="551" ht="13.5" customHeight="1">
      <c r="A551" s="11" t="str">
        <f t="shared" si="1"/>
        <v>TRW-EVO5FY</v>
      </c>
      <c r="B551" s="32" t="s">
        <v>863</v>
      </c>
      <c r="C551" s="33" t="s">
        <v>862</v>
      </c>
      <c r="D551" s="33" t="s">
        <v>62</v>
      </c>
      <c r="E551" s="11" t="s">
        <v>123</v>
      </c>
      <c r="F551" s="33" t="s">
        <v>83</v>
      </c>
      <c r="G551" s="11"/>
      <c r="H551" s="11">
        <f>SUMIFS(X!$F$3:$F$5978,X!$D$3:$D$5978,'Current Stock'!A551)</f>
        <v>0</v>
      </c>
      <c r="I551" s="11">
        <f>SUMIFS(PENJUALAN!$E$4:$E$3651,PENJUALAN!$C$4:$C$3651,'Current Stock'!A551)</f>
        <v>0</v>
      </c>
      <c r="J551" s="15">
        <f t="shared" si="2"/>
        <v>0</v>
      </c>
      <c r="K551" s="11"/>
      <c r="L551" s="11"/>
      <c r="M551" s="11"/>
      <c r="N551" s="11"/>
      <c r="O551" s="17"/>
      <c r="P551" s="17"/>
    </row>
    <row r="552" ht="13.5" customHeight="1">
      <c r="A552" s="11" t="str">
        <f t="shared" si="1"/>
        <v>FDL-EVO5FY</v>
      </c>
      <c r="B552" s="32" t="s">
        <v>864</v>
      </c>
      <c r="C552" s="33" t="s">
        <v>862</v>
      </c>
      <c r="D552" s="33" t="s">
        <v>140</v>
      </c>
      <c r="E552" s="11" t="s">
        <v>123</v>
      </c>
      <c r="F552" s="33"/>
      <c r="G552" s="11"/>
      <c r="H552" s="11">
        <f>SUMIFS(X!$F$3:$F$5978,X!$D$3:$D$5978,'Current Stock'!A552)</f>
        <v>0</v>
      </c>
      <c r="I552" s="11">
        <f>SUMIFS(PENJUALAN!$E$4:$E$3651,PENJUALAN!$C$4:$C$3651,'Current Stock'!A552)</f>
        <v>0</v>
      </c>
      <c r="J552" s="15">
        <f t="shared" si="2"/>
        <v>0</v>
      </c>
      <c r="K552" s="11"/>
      <c r="L552" s="11"/>
      <c r="M552" s="11"/>
      <c r="N552" s="11"/>
      <c r="O552" s="17"/>
      <c r="P552" s="17"/>
    </row>
    <row r="553" ht="13.5" customHeight="1">
      <c r="A553" s="11" t="str">
        <f t="shared" si="1"/>
        <v>FDR-EVO5FY</v>
      </c>
      <c r="B553" s="32" t="s">
        <v>865</v>
      </c>
      <c r="C553" s="33" t="s">
        <v>862</v>
      </c>
      <c r="D553" s="33" t="s">
        <v>142</v>
      </c>
      <c r="E553" s="11" t="s">
        <v>123</v>
      </c>
      <c r="F553" s="33" t="s">
        <v>406</v>
      </c>
      <c r="G553" s="11"/>
      <c r="H553" s="11">
        <f>SUMIFS(X!$F$3:$F$5978,X!$D$3:$D$5978,'Current Stock'!A553)</f>
        <v>0</v>
      </c>
      <c r="I553" s="11">
        <f>SUMIFS(PENJUALAN!$E$4:$E$3651,PENJUALAN!$C$4:$C$3651,'Current Stock'!A553)</f>
        <v>0</v>
      </c>
      <c r="J553" s="15">
        <f t="shared" si="2"/>
        <v>0</v>
      </c>
      <c r="K553" s="11"/>
      <c r="L553" s="11"/>
      <c r="M553" s="11"/>
      <c r="N553" s="11"/>
      <c r="O553" s="17"/>
      <c r="P553" s="17"/>
    </row>
    <row r="554" ht="13.5" customHeight="1">
      <c r="A554" s="11" t="str">
        <f t="shared" si="1"/>
        <v>RDL-EVO5FY</v>
      </c>
      <c r="B554" s="32" t="s">
        <v>866</v>
      </c>
      <c r="C554" s="33" t="s">
        <v>862</v>
      </c>
      <c r="D554" s="33" t="s">
        <v>144</v>
      </c>
      <c r="E554" s="11" t="s">
        <v>123</v>
      </c>
      <c r="F554" s="33"/>
      <c r="G554" s="11"/>
      <c r="H554" s="11">
        <f>SUMIFS(X!$F$3:$F$5978,X!$D$3:$D$5978,'Current Stock'!A554)</f>
        <v>0</v>
      </c>
      <c r="I554" s="11">
        <f>SUMIFS(PENJUALAN!$E$4:$E$3651,PENJUALAN!$C$4:$C$3651,'Current Stock'!A554)</f>
        <v>0</v>
      </c>
      <c r="J554" s="15">
        <f t="shared" si="2"/>
        <v>0</v>
      </c>
      <c r="K554" s="11"/>
      <c r="L554" s="11"/>
      <c r="M554" s="11"/>
      <c r="N554" s="11"/>
      <c r="O554" s="17"/>
      <c r="P554" s="17"/>
    </row>
    <row r="555" ht="13.5" customHeight="1">
      <c r="A555" s="11" t="str">
        <f t="shared" si="1"/>
        <v>RDR-EVO5FY</v>
      </c>
      <c r="B555" s="32" t="s">
        <v>867</v>
      </c>
      <c r="C555" s="33" t="s">
        <v>862</v>
      </c>
      <c r="D555" s="33" t="s">
        <v>146</v>
      </c>
      <c r="E555" s="11" t="s">
        <v>123</v>
      </c>
      <c r="F555" s="33"/>
      <c r="G555" s="11"/>
      <c r="H555" s="11">
        <f>SUMIFS(X!$F$3:$F$5978,X!$D$3:$D$5978,'Current Stock'!A555)</f>
        <v>0</v>
      </c>
      <c r="I555" s="11">
        <f>SUMIFS(PENJUALAN!$E$4:$E$3651,PENJUALAN!$C$4:$C$3651,'Current Stock'!A555)</f>
        <v>0</v>
      </c>
      <c r="J555" s="15">
        <f t="shared" si="2"/>
        <v>0</v>
      </c>
      <c r="K555" s="11"/>
      <c r="L555" s="11"/>
      <c r="M555" s="11"/>
      <c r="N555" s="11"/>
      <c r="O555" s="17"/>
      <c r="P555" s="17"/>
    </row>
    <row r="556" ht="13.5" customHeight="1">
      <c r="A556" s="11" t="str">
        <f t="shared" si="1"/>
        <v>LFW-EVO10FY</v>
      </c>
      <c r="B556" s="32" t="s">
        <v>868</v>
      </c>
      <c r="C556" s="33" t="s">
        <v>869</v>
      </c>
      <c r="D556" s="33" t="s">
        <v>60</v>
      </c>
      <c r="E556" s="11" t="s">
        <v>123</v>
      </c>
      <c r="F556" s="33" t="s">
        <v>137</v>
      </c>
      <c r="G556" s="11"/>
      <c r="H556" s="11">
        <f>SUMIFS(X!$F$3:$F$5978,X!$D$3:$D$5978,'Current Stock'!A556)</f>
        <v>0</v>
      </c>
      <c r="I556" s="11">
        <f>SUMIFS(PENJUALAN!$E$4:$E$3651,PENJUALAN!$C$4:$C$3651,'Current Stock'!A556)</f>
        <v>0</v>
      </c>
      <c r="J556" s="15">
        <f t="shared" si="2"/>
        <v>0</v>
      </c>
      <c r="K556" s="11"/>
      <c r="L556" s="11"/>
      <c r="M556" s="11"/>
      <c r="N556" s="11"/>
      <c r="O556" s="17"/>
      <c r="P556" s="17"/>
    </row>
    <row r="557" ht="13.5" customHeight="1">
      <c r="A557" s="11" t="str">
        <f t="shared" si="1"/>
        <v>LFW-EVO10RSFY</v>
      </c>
      <c r="B557" s="32" t="s">
        <v>870</v>
      </c>
      <c r="C557" s="33" t="s">
        <v>869</v>
      </c>
      <c r="D557" s="33" t="s">
        <v>60</v>
      </c>
      <c r="E557" s="11" t="s">
        <v>123</v>
      </c>
      <c r="F557" s="33" t="s">
        <v>90</v>
      </c>
      <c r="G557" s="11"/>
      <c r="H557" s="11">
        <f>SUMIFS(X!$F$3:$F$5978,X!$D$3:$D$5978,'Current Stock'!A557)</f>
        <v>0</v>
      </c>
      <c r="I557" s="11">
        <f>SUMIFS(PENJUALAN!$E$4:$E$3651,PENJUALAN!$C$4:$C$3651,'Current Stock'!A557)</f>
        <v>0</v>
      </c>
      <c r="J557" s="15">
        <f t="shared" si="2"/>
        <v>0</v>
      </c>
      <c r="K557" s="11"/>
      <c r="L557" s="11"/>
      <c r="M557" s="11"/>
      <c r="N557" s="11"/>
      <c r="O557" s="17"/>
      <c r="P557" s="17"/>
    </row>
    <row r="558" ht="13.5" customHeight="1">
      <c r="A558" s="11" t="str">
        <f t="shared" si="1"/>
        <v>TRW-EVO10FY</v>
      </c>
      <c r="B558" s="32" t="s">
        <v>871</v>
      </c>
      <c r="C558" s="33" t="s">
        <v>869</v>
      </c>
      <c r="D558" s="33" t="s">
        <v>62</v>
      </c>
      <c r="E558" s="11" t="s">
        <v>123</v>
      </c>
      <c r="F558" s="33" t="s">
        <v>83</v>
      </c>
      <c r="G558" s="11"/>
      <c r="H558" s="11">
        <f>SUMIFS(X!$F$3:$F$5978,X!$D$3:$D$5978,'Current Stock'!A558)</f>
        <v>0</v>
      </c>
      <c r="I558" s="11">
        <f>SUMIFS(PENJUALAN!$E$4:$E$3651,PENJUALAN!$C$4:$C$3651,'Current Stock'!A558)</f>
        <v>0</v>
      </c>
      <c r="J558" s="15">
        <f t="shared" si="2"/>
        <v>0</v>
      </c>
      <c r="K558" s="11"/>
      <c r="L558" s="11"/>
      <c r="M558" s="11"/>
      <c r="N558" s="11"/>
      <c r="O558" s="17"/>
      <c r="P558" s="17"/>
    </row>
    <row r="559" ht="13.5" customHeight="1">
      <c r="A559" s="11" t="str">
        <f t="shared" si="1"/>
        <v>FDL-EVO10FY</v>
      </c>
      <c r="B559" s="32" t="s">
        <v>872</v>
      </c>
      <c r="C559" s="33" t="s">
        <v>869</v>
      </c>
      <c r="D559" s="33" t="s">
        <v>140</v>
      </c>
      <c r="E559" s="11" t="s">
        <v>123</v>
      </c>
      <c r="F559" s="33"/>
      <c r="G559" s="11"/>
      <c r="H559" s="11">
        <f>SUMIFS(X!$F$3:$F$5978,X!$D$3:$D$5978,'Current Stock'!A559)</f>
        <v>0</v>
      </c>
      <c r="I559" s="11">
        <f>SUMIFS(PENJUALAN!$E$4:$E$3651,PENJUALAN!$C$4:$C$3651,'Current Stock'!A559)</f>
        <v>0</v>
      </c>
      <c r="J559" s="15">
        <f t="shared" si="2"/>
        <v>0</v>
      </c>
      <c r="K559" s="11"/>
      <c r="L559" s="11"/>
      <c r="M559" s="11"/>
      <c r="N559" s="11"/>
      <c r="O559" s="17"/>
      <c r="P559" s="17"/>
    </row>
    <row r="560" ht="13.5" customHeight="1">
      <c r="A560" s="11" t="str">
        <f t="shared" si="1"/>
        <v>FDR-EVO10FY</v>
      </c>
      <c r="B560" s="32" t="s">
        <v>873</v>
      </c>
      <c r="C560" s="33" t="s">
        <v>869</v>
      </c>
      <c r="D560" s="33" t="s">
        <v>142</v>
      </c>
      <c r="E560" s="11" t="s">
        <v>123</v>
      </c>
      <c r="F560" s="33"/>
      <c r="G560" s="11"/>
      <c r="H560" s="11">
        <f>SUMIFS(X!$F$3:$F$5978,X!$D$3:$D$5978,'Current Stock'!A560)</f>
        <v>0</v>
      </c>
      <c r="I560" s="11">
        <f>SUMIFS(PENJUALAN!$E$4:$E$3651,PENJUALAN!$C$4:$C$3651,'Current Stock'!A560)</f>
        <v>0</v>
      </c>
      <c r="J560" s="15">
        <f t="shared" si="2"/>
        <v>0</v>
      </c>
      <c r="K560" s="11"/>
      <c r="L560" s="11"/>
      <c r="M560" s="11"/>
      <c r="N560" s="11"/>
      <c r="O560" s="17"/>
      <c r="P560" s="17"/>
    </row>
    <row r="561" ht="13.5" customHeight="1">
      <c r="A561" s="11" t="str">
        <f t="shared" si="1"/>
        <v>RDL-EVO10FY</v>
      </c>
      <c r="B561" s="32" t="s">
        <v>874</v>
      </c>
      <c r="C561" s="33" t="s">
        <v>869</v>
      </c>
      <c r="D561" s="33" t="s">
        <v>144</v>
      </c>
      <c r="E561" s="11" t="s">
        <v>123</v>
      </c>
      <c r="F561" s="33"/>
      <c r="G561" s="11"/>
      <c r="H561" s="11">
        <f>SUMIFS(X!$F$3:$F$5978,X!$D$3:$D$5978,'Current Stock'!A561)</f>
        <v>0</v>
      </c>
      <c r="I561" s="11">
        <f>SUMIFS(PENJUALAN!$E$4:$E$3651,PENJUALAN!$C$4:$C$3651,'Current Stock'!A561)</f>
        <v>0</v>
      </c>
      <c r="J561" s="15">
        <f t="shared" si="2"/>
        <v>0</v>
      </c>
      <c r="K561" s="11"/>
      <c r="L561" s="11"/>
      <c r="M561" s="11"/>
      <c r="N561" s="11"/>
      <c r="O561" s="17"/>
      <c r="P561" s="17"/>
    </row>
    <row r="562" ht="13.5" customHeight="1">
      <c r="A562" s="11" t="str">
        <f t="shared" si="1"/>
        <v>RDR-EVO10FY</v>
      </c>
      <c r="B562" s="32" t="s">
        <v>875</v>
      </c>
      <c r="C562" s="33" t="s">
        <v>869</v>
      </c>
      <c r="D562" s="33" t="s">
        <v>146</v>
      </c>
      <c r="E562" s="11" t="s">
        <v>123</v>
      </c>
      <c r="F562" s="33"/>
      <c r="G562" s="11"/>
      <c r="H562" s="11">
        <f>SUMIFS(X!$F$3:$F$5978,X!$D$3:$D$5978,'Current Stock'!A562)</f>
        <v>0</v>
      </c>
      <c r="I562" s="11">
        <f>SUMIFS(PENJUALAN!$E$4:$E$3651,PENJUALAN!$C$4:$C$3651,'Current Stock'!A562)</f>
        <v>0</v>
      </c>
      <c r="J562" s="15">
        <f t="shared" si="2"/>
        <v>0</v>
      </c>
      <c r="K562" s="11"/>
      <c r="L562" s="11"/>
      <c r="M562" s="11"/>
      <c r="N562" s="11"/>
      <c r="O562" s="17"/>
      <c r="P562" s="17"/>
    </row>
    <row r="563" ht="13.5" customHeight="1">
      <c r="A563" s="11" t="str">
        <f t="shared" si="1"/>
        <v>LFW-MIRAGEFY</v>
      </c>
      <c r="B563" s="32" t="s">
        <v>876</v>
      </c>
      <c r="C563" s="33" t="s">
        <v>877</v>
      </c>
      <c r="D563" s="33" t="s">
        <v>60</v>
      </c>
      <c r="E563" s="11" t="s">
        <v>123</v>
      </c>
      <c r="F563" s="33" t="s">
        <v>137</v>
      </c>
      <c r="G563" s="11"/>
      <c r="H563" s="11">
        <f>SUMIFS(X!$F$3:$F$5978,X!$D$3:$D$5978,'Current Stock'!A563)</f>
        <v>0</v>
      </c>
      <c r="I563" s="11">
        <f>SUMIFS(PENJUALAN!$E$4:$E$3651,PENJUALAN!$C$4:$C$3651,'Current Stock'!A563)</f>
        <v>0</v>
      </c>
      <c r="J563" s="15">
        <f t="shared" si="2"/>
        <v>0</v>
      </c>
      <c r="K563" s="11"/>
      <c r="L563" s="11"/>
      <c r="M563" s="11"/>
      <c r="N563" s="11"/>
      <c r="O563" s="17"/>
      <c r="P563" s="17"/>
    </row>
    <row r="564" ht="13.5" customHeight="1">
      <c r="A564" s="11" t="str">
        <f t="shared" si="1"/>
        <v>TRW-MIRAGEFY</v>
      </c>
      <c r="B564" s="32" t="s">
        <v>878</v>
      </c>
      <c r="C564" s="33" t="s">
        <v>877</v>
      </c>
      <c r="D564" s="33" t="s">
        <v>62</v>
      </c>
      <c r="E564" s="11" t="s">
        <v>123</v>
      </c>
      <c r="F564" s="33" t="s">
        <v>83</v>
      </c>
      <c r="G564" s="14">
        <v>45988.0</v>
      </c>
      <c r="H564" s="11">
        <f>SUMIFS(X!$F$3:$F$5978,X!$D$3:$D$5978,'Current Stock'!A564)</f>
        <v>0</v>
      </c>
      <c r="I564" s="11">
        <f>SUMIFS(PENJUALAN!$E$4:$E$3651,PENJUALAN!$C$4:$C$3651,'Current Stock'!A564)</f>
        <v>0</v>
      </c>
      <c r="J564" s="15">
        <f t="shared" si="2"/>
        <v>0</v>
      </c>
      <c r="K564" s="13" t="s">
        <v>698</v>
      </c>
      <c r="L564" s="11"/>
      <c r="M564" s="11"/>
      <c r="N564" s="11"/>
      <c r="O564" s="17"/>
      <c r="P564" s="17"/>
    </row>
    <row r="565" ht="13.5" customHeight="1">
      <c r="A565" s="11" t="str">
        <f t="shared" si="1"/>
        <v>LFW-OUTLANDERFY</v>
      </c>
      <c r="B565" s="32" t="s">
        <v>879</v>
      </c>
      <c r="C565" s="33" t="s">
        <v>880</v>
      </c>
      <c r="D565" s="33" t="s">
        <v>60</v>
      </c>
      <c r="E565" s="11" t="s">
        <v>123</v>
      </c>
      <c r="F565" s="33" t="s">
        <v>137</v>
      </c>
      <c r="G565" s="14"/>
      <c r="H565" s="11">
        <f>SUMIFS(X!$F$3:$F$5978,X!$D$3:$D$5978,'Current Stock'!A565)</f>
        <v>3</v>
      </c>
      <c r="I565" s="11">
        <f>SUMIFS(PENJUALAN!$E$4:$E$3651,PENJUALAN!$C$4:$C$3651,'Current Stock'!A565)</f>
        <v>3</v>
      </c>
      <c r="J565" s="15">
        <f t="shared" si="2"/>
        <v>0</v>
      </c>
      <c r="K565" s="13"/>
      <c r="L565" s="11"/>
      <c r="M565" s="11"/>
      <c r="N565" s="11"/>
      <c r="O565" s="17"/>
      <c r="P565" s="17"/>
    </row>
    <row r="566" ht="13.5" customHeight="1">
      <c r="A566" s="11" t="str">
        <f t="shared" si="1"/>
        <v>TRW-OUTLANDERFY</v>
      </c>
      <c r="B566" s="32" t="s">
        <v>881</v>
      </c>
      <c r="C566" s="33" t="s">
        <v>880</v>
      </c>
      <c r="D566" s="33" t="s">
        <v>62</v>
      </c>
      <c r="E566" s="11" t="s">
        <v>123</v>
      </c>
      <c r="F566" s="33" t="s">
        <v>228</v>
      </c>
      <c r="G566" s="11"/>
      <c r="H566" s="11">
        <f>SUMIFS(X!$F$3:$F$5978,X!$D$3:$D$5978,'Current Stock'!A566)</f>
        <v>0</v>
      </c>
      <c r="I566" s="11">
        <f>SUMIFS(PENJUALAN!$E$4:$E$3651,PENJUALAN!$C$4:$C$3651,'Current Stock'!A566)</f>
        <v>0</v>
      </c>
      <c r="J566" s="15">
        <f t="shared" si="2"/>
        <v>0</v>
      </c>
      <c r="K566" s="11"/>
      <c r="L566" s="11"/>
      <c r="M566" s="11"/>
      <c r="N566" s="11"/>
      <c r="O566" s="17"/>
      <c r="P566" s="17"/>
    </row>
    <row r="567" ht="13.5" customHeight="1">
      <c r="A567" s="11" t="str">
        <f t="shared" si="1"/>
        <v>LFW-PAJERO08FY</v>
      </c>
      <c r="B567" s="32" t="s">
        <v>882</v>
      </c>
      <c r="C567" s="33" t="s">
        <v>883</v>
      </c>
      <c r="D567" s="33" t="s">
        <v>60</v>
      </c>
      <c r="E567" s="11" t="s">
        <v>123</v>
      </c>
      <c r="F567" s="33" t="s">
        <v>137</v>
      </c>
      <c r="G567" s="11"/>
      <c r="H567" s="11">
        <f>SUMIFS(X!$F$3:$F$5978,X!$D$3:$D$5978,'Current Stock'!A567)</f>
        <v>0</v>
      </c>
      <c r="I567" s="11">
        <f>SUMIFS(PENJUALAN!$E$4:$E$3651,PENJUALAN!$C$4:$C$3651,'Current Stock'!A567)</f>
        <v>0</v>
      </c>
      <c r="J567" s="15">
        <f t="shared" si="2"/>
        <v>0</v>
      </c>
      <c r="K567" s="11"/>
      <c r="L567" s="11"/>
      <c r="M567" s="11"/>
      <c r="N567" s="11"/>
      <c r="O567" s="17"/>
      <c r="P567" s="17"/>
    </row>
    <row r="568" ht="13.5" customHeight="1">
      <c r="A568" s="11" t="str">
        <f t="shared" si="1"/>
        <v>TRW-PAJERO08FY</v>
      </c>
      <c r="B568" s="32" t="s">
        <v>884</v>
      </c>
      <c r="C568" s="33" t="s">
        <v>883</v>
      </c>
      <c r="D568" s="33" t="s">
        <v>62</v>
      </c>
      <c r="E568" s="11" t="s">
        <v>123</v>
      </c>
      <c r="F568" s="33" t="s">
        <v>228</v>
      </c>
      <c r="G568" s="11"/>
      <c r="H568" s="11">
        <f>SUMIFS(X!$F$3:$F$5978,X!$D$3:$D$5978,'Current Stock'!A568)</f>
        <v>0</v>
      </c>
      <c r="I568" s="11">
        <f>SUMIFS(PENJUALAN!$E$4:$E$3651,PENJUALAN!$C$4:$C$3651,'Current Stock'!A568)</f>
        <v>0</v>
      </c>
      <c r="J568" s="15">
        <f t="shared" si="2"/>
        <v>0</v>
      </c>
      <c r="K568" s="11"/>
      <c r="L568" s="11"/>
      <c r="M568" s="11"/>
      <c r="N568" s="11"/>
      <c r="O568" s="17"/>
      <c r="P568" s="17"/>
    </row>
    <row r="569" ht="13.5" customHeight="1">
      <c r="A569" s="11" t="str">
        <f t="shared" si="1"/>
        <v>LFW-PAJERO16FY</v>
      </c>
      <c r="B569" s="32" t="s">
        <v>885</v>
      </c>
      <c r="C569" s="33" t="s">
        <v>886</v>
      </c>
      <c r="D569" s="33" t="s">
        <v>60</v>
      </c>
      <c r="E569" s="11" t="s">
        <v>123</v>
      </c>
      <c r="F569" s="33" t="s">
        <v>137</v>
      </c>
      <c r="G569" s="11"/>
      <c r="H569" s="11">
        <f>SUMIFS(X!$F$3:$F$5978,X!$D$3:$D$5978,'Current Stock'!A569)</f>
        <v>0</v>
      </c>
      <c r="I569" s="11">
        <f>SUMIFS(PENJUALAN!$E$4:$E$3651,PENJUALAN!$C$4:$C$3651,'Current Stock'!A569)</f>
        <v>0</v>
      </c>
      <c r="J569" s="15">
        <f t="shared" si="2"/>
        <v>0</v>
      </c>
      <c r="K569" s="11"/>
      <c r="L569" s="11"/>
      <c r="M569" s="11"/>
      <c r="N569" s="11"/>
      <c r="O569" s="17"/>
      <c r="P569" s="17"/>
    </row>
    <row r="570" ht="13.5" customHeight="1">
      <c r="A570" s="11" t="str">
        <f t="shared" si="1"/>
        <v>TRW-PAJERO16FY</v>
      </c>
      <c r="B570" s="32" t="s">
        <v>887</v>
      </c>
      <c r="C570" s="33" t="s">
        <v>886</v>
      </c>
      <c r="D570" s="33" t="s">
        <v>62</v>
      </c>
      <c r="E570" s="11" t="s">
        <v>123</v>
      </c>
      <c r="F570" s="33" t="s">
        <v>228</v>
      </c>
      <c r="G570" s="11"/>
      <c r="H570" s="11">
        <f>SUMIFS(X!$F$3:$F$5978,X!$D$3:$D$5978,'Current Stock'!A570)</f>
        <v>0</v>
      </c>
      <c r="I570" s="11">
        <f>SUMIFS(PENJUALAN!$E$4:$E$3651,PENJUALAN!$C$4:$C$3651,'Current Stock'!A570)</f>
        <v>0</v>
      </c>
      <c r="J570" s="15">
        <f t="shared" si="2"/>
        <v>0</v>
      </c>
      <c r="K570" s="11"/>
      <c r="L570" s="11"/>
      <c r="M570" s="11"/>
      <c r="N570" s="11"/>
      <c r="O570" s="17"/>
      <c r="P570" s="17"/>
    </row>
    <row r="571" ht="13.5" customHeight="1">
      <c r="A571" s="11" t="str">
        <f t="shared" si="1"/>
        <v>LFW-TRITON05FY</v>
      </c>
      <c r="B571" s="32" t="s">
        <v>888</v>
      </c>
      <c r="C571" s="33" t="s">
        <v>889</v>
      </c>
      <c r="D571" s="33" t="s">
        <v>60</v>
      </c>
      <c r="E571" s="11" t="s">
        <v>123</v>
      </c>
      <c r="F571" s="33" t="s">
        <v>137</v>
      </c>
      <c r="G571" s="11"/>
      <c r="H571" s="11">
        <f>SUMIFS(X!$F$3:$F$5978,X!$D$3:$D$5978,'Current Stock'!A571)</f>
        <v>0</v>
      </c>
      <c r="I571" s="11">
        <f>SUMIFS(PENJUALAN!$E$4:$E$3651,PENJUALAN!$C$4:$C$3651,'Current Stock'!A571)</f>
        <v>0</v>
      </c>
      <c r="J571" s="15">
        <f t="shared" si="2"/>
        <v>0</v>
      </c>
      <c r="K571" s="11"/>
      <c r="L571" s="11"/>
      <c r="M571" s="11"/>
      <c r="N571" s="11"/>
      <c r="O571" s="17"/>
      <c r="P571" s="17"/>
    </row>
    <row r="572" ht="13.5" customHeight="1">
      <c r="A572" s="11" t="str">
        <f t="shared" si="1"/>
        <v>TRW-TRITON05FY</v>
      </c>
      <c r="B572" s="32" t="s">
        <v>890</v>
      </c>
      <c r="C572" s="33" t="s">
        <v>889</v>
      </c>
      <c r="D572" s="33" t="s">
        <v>62</v>
      </c>
      <c r="E572" s="11" t="s">
        <v>123</v>
      </c>
      <c r="F572" s="33" t="s">
        <v>83</v>
      </c>
      <c r="G572" s="11"/>
      <c r="H572" s="11">
        <f>SUMIFS(X!$F$3:$F$5978,X!$D$3:$D$5978,'Current Stock'!A572)</f>
        <v>0</v>
      </c>
      <c r="I572" s="11">
        <f>SUMIFS(PENJUALAN!$E$4:$E$3651,PENJUALAN!$C$4:$C$3651,'Current Stock'!A572)</f>
        <v>0</v>
      </c>
      <c r="J572" s="15">
        <f t="shared" si="2"/>
        <v>0</v>
      </c>
      <c r="K572" s="11"/>
      <c r="L572" s="11"/>
      <c r="M572" s="11"/>
      <c r="N572" s="11"/>
      <c r="O572" s="17"/>
      <c r="P572" s="17"/>
    </row>
    <row r="573" ht="13.5" customHeight="1">
      <c r="A573" s="11" t="str">
        <f t="shared" si="1"/>
        <v>LFW-TRITON14FY</v>
      </c>
      <c r="B573" s="32" t="s">
        <v>891</v>
      </c>
      <c r="C573" s="33" t="s">
        <v>892</v>
      </c>
      <c r="D573" s="33" t="s">
        <v>60</v>
      </c>
      <c r="E573" s="11" t="s">
        <v>123</v>
      </c>
      <c r="F573" s="33" t="s">
        <v>137</v>
      </c>
      <c r="G573" s="11"/>
      <c r="H573" s="11">
        <f>SUMIFS(X!$F$3:$F$5978,X!$D$3:$D$5978,'Current Stock'!A573)</f>
        <v>0</v>
      </c>
      <c r="I573" s="11">
        <f>SUMIFS(PENJUALAN!$E$4:$E$3651,PENJUALAN!$C$4:$C$3651,'Current Stock'!A573)</f>
        <v>0</v>
      </c>
      <c r="J573" s="15">
        <f t="shared" si="2"/>
        <v>0</v>
      </c>
      <c r="K573" s="11"/>
      <c r="L573" s="11"/>
      <c r="M573" s="11"/>
      <c r="N573" s="11"/>
      <c r="O573" s="17"/>
      <c r="P573" s="17"/>
    </row>
    <row r="574" ht="13.5" customHeight="1">
      <c r="A574" s="11" t="str">
        <f t="shared" si="1"/>
        <v>TRW-TRITON14HFY</v>
      </c>
      <c r="B574" s="32" t="s">
        <v>893</v>
      </c>
      <c r="C574" s="33" t="s">
        <v>892</v>
      </c>
      <c r="D574" s="33" t="s">
        <v>62</v>
      </c>
      <c r="E574" s="11" t="s">
        <v>123</v>
      </c>
      <c r="F574" s="33" t="s">
        <v>83</v>
      </c>
      <c r="G574" s="11"/>
      <c r="H574" s="11">
        <f>SUMIFS(X!$F$3:$F$5978,X!$D$3:$D$5978,'Current Stock'!A574)</f>
        <v>0</v>
      </c>
      <c r="I574" s="11">
        <f>SUMIFS(PENJUALAN!$E$4:$E$3651,PENJUALAN!$C$4:$C$3651,'Current Stock'!A574)</f>
        <v>0</v>
      </c>
      <c r="J574" s="15">
        <f t="shared" si="2"/>
        <v>0</v>
      </c>
      <c r="K574" s="11"/>
      <c r="L574" s="11"/>
      <c r="M574" s="11"/>
      <c r="N574" s="11"/>
      <c r="O574" s="17"/>
      <c r="P574" s="17"/>
    </row>
    <row r="575" ht="13.5" customHeight="1">
      <c r="A575" s="11" t="str">
        <f t="shared" si="1"/>
        <v>RDL-TRITON14FY</v>
      </c>
      <c r="B575" s="32" t="s">
        <v>894</v>
      </c>
      <c r="C575" s="33" t="s">
        <v>892</v>
      </c>
      <c r="D575" s="33" t="s">
        <v>144</v>
      </c>
      <c r="E575" s="11" t="s">
        <v>123</v>
      </c>
      <c r="F575" s="33" t="s">
        <v>406</v>
      </c>
      <c r="G575" s="11"/>
      <c r="H575" s="11">
        <f>SUMIFS(X!$F$3:$F$5978,X!$D$3:$D$5978,'Current Stock'!A575)</f>
        <v>0</v>
      </c>
      <c r="I575" s="11">
        <f>SUMIFS(PENJUALAN!$E$4:$E$3651,PENJUALAN!$C$4:$C$3651,'Current Stock'!A575)</f>
        <v>0</v>
      </c>
      <c r="J575" s="15">
        <f t="shared" si="2"/>
        <v>0</v>
      </c>
      <c r="K575" s="11"/>
      <c r="L575" s="11"/>
      <c r="M575" s="11"/>
      <c r="N575" s="11"/>
      <c r="O575" s="17"/>
      <c r="P575" s="17"/>
    </row>
    <row r="576" ht="13.5" customHeight="1">
      <c r="A576" s="11" t="str">
        <f t="shared" si="1"/>
        <v>RDR-TRITON14FY</v>
      </c>
      <c r="B576" s="32" t="s">
        <v>895</v>
      </c>
      <c r="C576" s="33" t="s">
        <v>892</v>
      </c>
      <c r="D576" s="33" t="s">
        <v>146</v>
      </c>
      <c r="E576" s="11" t="s">
        <v>123</v>
      </c>
      <c r="F576" s="33" t="s">
        <v>406</v>
      </c>
      <c r="G576" s="11"/>
      <c r="H576" s="11">
        <f>SUMIFS(X!$F$3:$F$5978,X!$D$3:$D$5978,'Current Stock'!A576)</f>
        <v>0</v>
      </c>
      <c r="I576" s="11">
        <f>SUMIFS(PENJUALAN!$E$4:$E$3651,PENJUALAN!$C$4:$C$3651,'Current Stock'!A576)</f>
        <v>0</v>
      </c>
      <c r="J576" s="15">
        <f t="shared" si="2"/>
        <v>0</v>
      </c>
      <c r="K576" s="11"/>
      <c r="L576" s="11"/>
      <c r="M576" s="11"/>
      <c r="N576" s="11"/>
      <c r="O576" s="17"/>
      <c r="P576" s="17"/>
    </row>
    <row r="577" ht="13.5" customHeight="1">
      <c r="A577" s="11" t="str">
        <f t="shared" si="1"/>
        <v>FDL-DATSUNFY</v>
      </c>
      <c r="B577" s="32" t="s">
        <v>896</v>
      </c>
      <c r="C577" s="33" t="s">
        <v>897</v>
      </c>
      <c r="D577" s="33" t="s">
        <v>140</v>
      </c>
      <c r="E577" s="11" t="s">
        <v>123</v>
      </c>
      <c r="F577" s="33"/>
      <c r="G577" s="11"/>
      <c r="H577" s="11">
        <f>SUMIFS(X!$F$3:$F$5978,X!$D$3:$D$5978,'Current Stock'!A577)</f>
        <v>0</v>
      </c>
      <c r="I577" s="11">
        <f>SUMIFS(PENJUALAN!$E$4:$E$3651,PENJUALAN!$C$4:$C$3651,'Current Stock'!A577)</f>
        <v>0</v>
      </c>
      <c r="J577" s="15">
        <f t="shared" si="2"/>
        <v>0</v>
      </c>
      <c r="K577" s="11"/>
      <c r="L577" s="11"/>
      <c r="M577" s="11"/>
      <c r="N577" s="11"/>
      <c r="O577" s="17"/>
      <c r="P577" s="17"/>
    </row>
    <row r="578" ht="13.5" customHeight="1">
      <c r="A578" s="11" t="str">
        <f t="shared" si="1"/>
        <v>RDL-DATSUNFY</v>
      </c>
      <c r="B578" s="32" t="s">
        <v>898</v>
      </c>
      <c r="C578" s="33" t="s">
        <v>897</v>
      </c>
      <c r="D578" s="33" t="s">
        <v>144</v>
      </c>
      <c r="E578" s="11" t="s">
        <v>123</v>
      </c>
      <c r="F578" s="33"/>
      <c r="G578" s="11"/>
      <c r="H578" s="11">
        <f>SUMIFS(X!$F$3:$F$5978,X!$D$3:$D$5978,'Current Stock'!A578)</f>
        <v>0</v>
      </c>
      <c r="I578" s="11">
        <f>SUMIFS(PENJUALAN!$E$4:$E$3651,PENJUALAN!$C$4:$C$3651,'Current Stock'!A578)</f>
        <v>0</v>
      </c>
      <c r="J578" s="15">
        <f t="shared" si="2"/>
        <v>0</v>
      </c>
      <c r="K578" s="11"/>
      <c r="L578" s="11"/>
      <c r="M578" s="11"/>
      <c r="N578" s="11"/>
      <c r="O578" s="17"/>
      <c r="P578" s="17"/>
    </row>
    <row r="579" ht="13.5" customHeight="1">
      <c r="A579" s="11" t="str">
        <f t="shared" si="1"/>
        <v>RDR-DATSUNFY</v>
      </c>
      <c r="B579" s="32" t="s">
        <v>899</v>
      </c>
      <c r="C579" s="33" t="s">
        <v>897</v>
      </c>
      <c r="D579" s="33" t="s">
        <v>146</v>
      </c>
      <c r="E579" s="11" t="s">
        <v>123</v>
      </c>
      <c r="F579" s="33"/>
      <c r="G579" s="11"/>
      <c r="H579" s="11">
        <f>SUMIFS(X!$F$3:$F$5978,X!$D$3:$D$5978,'Current Stock'!A579)</f>
        <v>0</v>
      </c>
      <c r="I579" s="11">
        <f>SUMIFS(PENJUALAN!$E$4:$E$3651,PENJUALAN!$C$4:$C$3651,'Current Stock'!A579)</f>
        <v>0</v>
      </c>
      <c r="J579" s="15">
        <f t="shared" si="2"/>
        <v>0</v>
      </c>
      <c r="K579" s="11"/>
      <c r="L579" s="11"/>
      <c r="M579" s="11"/>
      <c r="N579" s="11"/>
      <c r="O579" s="17"/>
      <c r="P579" s="17"/>
    </row>
    <row r="580" ht="13.5" customHeight="1">
      <c r="A580" s="11" t="str">
        <f t="shared" si="1"/>
        <v>LFW-ELGRAND02FY</v>
      </c>
      <c r="B580" s="32" t="s">
        <v>900</v>
      </c>
      <c r="C580" s="33" t="s">
        <v>901</v>
      </c>
      <c r="D580" s="33" t="s">
        <v>60</v>
      </c>
      <c r="E580" s="11" t="s">
        <v>123</v>
      </c>
      <c r="F580" s="33" t="s">
        <v>109</v>
      </c>
      <c r="G580" s="11"/>
      <c r="H580" s="11">
        <f>SUMIFS(X!$F$3:$F$5978,X!$D$3:$D$5978,'Current Stock'!A580)</f>
        <v>0</v>
      </c>
      <c r="I580" s="11">
        <f>SUMIFS(PENJUALAN!$E$4:$E$3651,PENJUALAN!$C$4:$C$3651,'Current Stock'!A580)</f>
        <v>0</v>
      </c>
      <c r="J580" s="15">
        <f t="shared" si="2"/>
        <v>0</v>
      </c>
      <c r="K580" s="11"/>
      <c r="L580" s="11"/>
      <c r="M580" s="11"/>
      <c r="N580" s="11"/>
      <c r="O580" s="17"/>
      <c r="P580" s="17"/>
    </row>
    <row r="581" ht="13.5" customHeight="1">
      <c r="A581" s="11" t="str">
        <f t="shared" si="1"/>
        <v>TRW-ELGRAND02FY</v>
      </c>
      <c r="B581" s="32" t="s">
        <v>902</v>
      </c>
      <c r="C581" s="33" t="s">
        <v>901</v>
      </c>
      <c r="D581" s="33" t="s">
        <v>62</v>
      </c>
      <c r="E581" s="11" t="s">
        <v>123</v>
      </c>
      <c r="F581" s="33" t="s">
        <v>83</v>
      </c>
      <c r="G581" s="11"/>
      <c r="H581" s="11">
        <f>SUMIFS(X!$F$3:$F$5978,X!$D$3:$D$5978,'Current Stock'!A581)</f>
        <v>0</v>
      </c>
      <c r="I581" s="11">
        <f>SUMIFS(PENJUALAN!$E$4:$E$3651,PENJUALAN!$C$4:$C$3651,'Current Stock'!A581)</f>
        <v>0</v>
      </c>
      <c r="J581" s="15">
        <f t="shared" si="2"/>
        <v>0</v>
      </c>
      <c r="K581" s="11"/>
      <c r="L581" s="11"/>
      <c r="M581" s="11"/>
      <c r="N581" s="11"/>
      <c r="O581" s="17"/>
      <c r="P581" s="17"/>
    </row>
    <row r="582" ht="13.5" customHeight="1">
      <c r="A582" s="11" t="str">
        <f t="shared" si="1"/>
        <v>FDL-ELGRAND02FY</v>
      </c>
      <c r="B582" s="32" t="s">
        <v>903</v>
      </c>
      <c r="C582" s="33" t="s">
        <v>901</v>
      </c>
      <c r="D582" s="33" t="s">
        <v>140</v>
      </c>
      <c r="E582" s="11" t="s">
        <v>123</v>
      </c>
      <c r="F582" s="33"/>
      <c r="G582" s="11"/>
      <c r="H582" s="11">
        <f>SUMIFS(X!$F$3:$F$5978,X!$D$3:$D$5978,'Current Stock'!A582)</f>
        <v>0</v>
      </c>
      <c r="I582" s="11">
        <f>SUMIFS(PENJUALAN!$E$4:$E$3651,PENJUALAN!$C$4:$C$3651,'Current Stock'!A582)</f>
        <v>0</v>
      </c>
      <c r="J582" s="15">
        <f t="shared" si="2"/>
        <v>0</v>
      </c>
      <c r="K582" s="11"/>
      <c r="L582" s="11"/>
      <c r="M582" s="11"/>
      <c r="N582" s="11"/>
      <c r="O582" s="17"/>
      <c r="P582" s="17"/>
    </row>
    <row r="583" ht="13.5" customHeight="1">
      <c r="A583" s="11" t="str">
        <f t="shared" si="1"/>
        <v>FDR-ELGRAND02FY</v>
      </c>
      <c r="B583" s="32" t="s">
        <v>904</v>
      </c>
      <c r="C583" s="33" t="s">
        <v>901</v>
      </c>
      <c r="D583" s="33" t="s">
        <v>142</v>
      </c>
      <c r="E583" s="11" t="s">
        <v>123</v>
      </c>
      <c r="F583" s="33"/>
      <c r="G583" s="11"/>
      <c r="H583" s="11">
        <f>SUMIFS(X!$F$3:$F$5978,X!$D$3:$D$5978,'Current Stock'!A583)</f>
        <v>0</v>
      </c>
      <c r="I583" s="11">
        <f>SUMIFS(PENJUALAN!$E$4:$E$3651,PENJUALAN!$C$4:$C$3651,'Current Stock'!A583)</f>
        <v>0</v>
      </c>
      <c r="J583" s="15">
        <f t="shared" si="2"/>
        <v>0</v>
      </c>
      <c r="K583" s="11"/>
      <c r="L583" s="11"/>
      <c r="M583" s="11"/>
      <c r="N583" s="11"/>
      <c r="O583" s="17"/>
      <c r="P583" s="17"/>
    </row>
    <row r="584" ht="13.5" customHeight="1">
      <c r="A584" s="11" t="str">
        <f t="shared" si="1"/>
        <v>SFL-ELGRAND02FY</v>
      </c>
      <c r="B584" s="32" t="s">
        <v>905</v>
      </c>
      <c r="C584" s="33" t="s">
        <v>901</v>
      </c>
      <c r="D584" s="33" t="s">
        <v>906</v>
      </c>
      <c r="E584" s="11" t="s">
        <v>123</v>
      </c>
      <c r="F584" s="33" t="s">
        <v>546</v>
      </c>
      <c r="G584" s="11"/>
      <c r="H584" s="11">
        <f>SUMIFS(X!$F$3:$F$5978,X!$D$3:$D$5978,'Current Stock'!A584)</f>
        <v>0</v>
      </c>
      <c r="I584" s="11">
        <f>SUMIFS(PENJUALAN!$E$4:$E$3651,PENJUALAN!$C$4:$C$3651,'Current Stock'!A584)</f>
        <v>0</v>
      </c>
      <c r="J584" s="15">
        <f t="shared" si="2"/>
        <v>0</v>
      </c>
      <c r="K584" s="11"/>
      <c r="L584" s="11"/>
      <c r="M584" s="11"/>
      <c r="N584" s="11"/>
      <c r="O584" s="17"/>
      <c r="P584" s="17"/>
    </row>
    <row r="585" ht="13.5" customHeight="1">
      <c r="A585" s="11" t="str">
        <f t="shared" si="1"/>
        <v>SFR-ELGRAND02FY</v>
      </c>
      <c r="B585" s="32" t="s">
        <v>907</v>
      </c>
      <c r="C585" s="33" t="s">
        <v>901</v>
      </c>
      <c r="D585" s="33" t="s">
        <v>908</v>
      </c>
      <c r="E585" s="11" t="s">
        <v>123</v>
      </c>
      <c r="F585" s="33" t="s">
        <v>546</v>
      </c>
      <c r="G585" s="11"/>
      <c r="H585" s="11">
        <f>SUMIFS(X!$F$3:$F$5978,X!$D$3:$D$5978,'Current Stock'!A585)</f>
        <v>0</v>
      </c>
      <c r="I585" s="11">
        <f>SUMIFS(PENJUALAN!$E$4:$E$3651,PENJUALAN!$C$4:$C$3651,'Current Stock'!A585)</f>
        <v>0</v>
      </c>
      <c r="J585" s="15">
        <f t="shared" si="2"/>
        <v>0</v>
      </c>
      <c r="K585" s="11"/>
      <c r="L585" s="11"/>
      <c r="M585" s="11"/>
      <c r="N585" s="11"/>
      <c r="O585" s="17"/>
      <c r="P585" s="17"/>
    </row>
    <row r="586" ht="13.5" customHeight="1">
      <c r="A586" s="11" t="str">
        <f t="shared" si="1"/>
        <v>SRL-ELGRAND02FY</v>
      </c>
      <c r="B586" s="32" t="s">
        <v>909</v>
      </c>
      <c r="C586" s="33" t="s">
        <v>901</v>
      </c>
      <c r="D586" s="33" t="s">
        <v>910</v>
      </c>
      <c r="E586" s="11" t="s">
        <v>123</v>
      </c>
      <c r="F586" s="33" t="s">
        <v>911</v>
      </c>
      <c r="G586" s="11"/>
      <c r="H586" s="11">
        <f>SUMIFS(X!$F$3:$F$5978,X!$D$3:$D$5978,'Current Stock'!A586)</f>
        <v>0</v>
      </c>
      <c r="I586" s="11">
        <f>SUMIFS(PENJUALAN!$E$4:$E$3651,PENJUALAN!$C$4:$C$3651,'Current Stock'!A586)</f>
        <v>0</v>
      </c>
      <c r="J586" s="15">
        <f t="shared" si="2"/>
        <v>0</v>
      </c>
      <c r="K586" s="11"/>
      <c r="L586" s="11"/>
      <c r="M586" s="11"/>
      <c r="N586" s="11"/>
      <c r="O586" s="17"/>
      <c r="P586" s="17"/>
    </row>
    <row r="587" ht="13.5" customHeight="1">
      <c r="A587" s="11" t="str">
        <f t="shared" si="1"/>
        <v>SRR-ELGRAND02FY</v>
      </c>
      <c r="B587" s="32" t="s">
        <v>912</v>
      </c>
      <c r="C587" s="33" t="s">
        <v>901</v>
      </c>
      <c r="D587" s="33" t="s">
        <v>913</v>
      </c>
      <c r="E587" s="11" t="s">
        <v>123</v>
      </c>
      <c r="F587" s="33" t="s">
        <v>911</v>
      </c>
      <c r="G587" s="11"/>
      <c r="H587" s="11">
        <f>SUMIFS(X!$F$3:$F$5978,X!$D$3:$D$5978,'Current Stock'!A587)</f>
        <v>0</v>
      </c>
      <c r="I587" s="11">
        <f>SUMIFS(PENJUALAN!$E$4:$E$3651,PENJUALAN!$C$4:$C$3651,'Current Stock'!A587)</f>
        <v>0</v>
      </c>
      <c r="J587" s="15">
        <f t="shared" si="2"/>
        <v>0</v>
      </c>
      <c r="K587" s="11"/>
      <c r="L587" s="11"/>
      <c r="M587" s="11"/>
      <c r="N587" s="11"/>
      <c r="O587" s="17"/>
      <c r="P587" s="17"/>
    </row>
    <row r="588" ht="13.5" customHeight="1">
      <c r="A588" s="11" t="str">
        <f t="shared" si="1"/>
        <v>LFW-ELGRAND10FY</v>
      </c>
      <c r="B588" s="32" t="s">
        <v>914</v>
      </c>
      <c r="C588" s="33" t="s">
        <v>915</v>
      </c>
      <c r="D588" s="33" t="s">
        <v>60</v>
      </c>
      <c r="E588" s="11" t="s">
        <v>123</v>
      </c>
      <c r="F588" s="33" t="s">
        <v>137</v>
      </c>
      <c r="G588" s="11"/>
      <c r="H588" s="11">
        <f>SUMIFS(X!$F$3:$F$5978,X!$D$3:$D$5978,'Current Stock'!A588)</f>
        <v>0</v>
      </c>
      <c r="I588" s="11">
        <f>SUMIFS(PENJUALAN!$E$4:$E$3651,PENJUALAN!$C$4:$C$3651,'Current Stock'!A588)</f>
        <v>0</v>
      </c>
      <c r="J588" s="15">
        <f t="shared" si="2"/>
        <v>0</v>
      </c>
      <c r="K588" s="11"/>
      <c r="L588" s="11"/>
      <c r="M588" s="11"/>
      <c r="N588" s="11"/>
      <c r="O588" s="17"/>
      <c r="P588" s="17"/>
    </row>
    <row r="589" ht="13.5" customHeight="1">
      <c r="A589" s="11" t="str">
        <f t="shared" si="1"/>
        <v>TRW-ELGRAND10FY</v>
      </c>
      <c r="B589" s="32" t="s">
        <v>916</v>
      </c>
      <c r="C589" s="33" t="s">
        <v>915</v>
      </c>
      <c r="D589" s="33" t="s">
        <v>62</v>
      </c>
      <c r="E589" s="11" t="s">
        <v>123</v>
      </c>
      <c r="F589" s="33" t="s">
        <v>228</v>
      </c>
      <c r="G589" s="11"/>
      <c r="H589" s="11">
        <f>SUMIFS(X!$F$3:$F$5978,X!$D$3:$D$5978,'Current Stock'!A589)</f>
        <v>0</v>
      </c>
      <c r="I589" s="11">
        <f>SUMIFS(PENJUALAN!$E$4:$E$3651,PENJUALAN!$C$4:$C$3651,'Current Stock'!A589)</f>
        <v>0</v>
      </c>
      <c r="J589" s="15">
        <f t="shared" si="2"/>
        <v>0</v>
      </c>
      <c r="K589" s="11"/>
      <c r="L589" s="11"/>
      <c r="M589" s="11"/>
      <c r="N589" s="11"/>
      <c r="O589" s="17"/>
      <c r="P589" s="17"/>
    </row>
    <row r="590" ht="13.5" customHeight="1">
      <c r="A590" s="11" t="str">
        <f t="shared" si="1"/>
        <v>RDL-ELGRAND10FY</v>
      </c>
      <c r="B590" s="32" t="s">
        <v>917</v>
      </c>
      <c r="C590" s="33" t="s">
        <v>915</v>
      </c>
      <c r="D590" s="33" t="s">
        <v>144</v>
      </c>
      <c r="E590" s="11" t="s">
        <v>123</v>
      </c>
      <c r="F590" s="33" t="s">
        <v>478</v>
      </c>
      <c r="G590" s="11"/>
      <c r="H590" s="11">
        <f>SUMIFS(X!$F$3:$F$5978,X!$D$3:$D$5978,'Current Stock'!A590)</f>
        <v>0</v>
      </c>
      <c r="I590" s="11">
        <f>SUMIFS(PENJUALAN!$E$4:$E$3651,PENJUALAN!$C$4:$C$3651,'Current Stock'!A590)</f>
        <v>0</v>
      </c>
      <c r="J590" s="15">
        <f t="shared" si="2"/>
        <v>0</v>
      </c>
      <c r="K590" s="11"/>
      <c r="L590" s="11"/>
      <c r="M590" s="11"/>
      <c r="N590" s="11"/>
      <c r="O590" s="17"/>
      <c r="P590" s="17"/>
    </row>
    <row r="591" ht="13.5" customHeight="1">
      <c r="A591" s="11" t="str">
        <f t="shared" si="1"/>
        <v>RDR-ELGRAND10FY</v>
      </c>
      <c r="B591" s="32" t="s">
        <v>918</v>
      </c>
      <c r="C591" s="33" t="s">
        <v>915</v>
      </c>
      <c r="D591" s="33" t="s">
        <v>146</v>
      </c>
      <c r="E591" s="11" t="s">
        <v>123</v>
      </c>
      <c r="F591" s="33" t="s">
        <v>478</v>
      </c>
      <c r="G591" s="11"/>
      <c r="H591" s="11">
        <f>SUMIFS(X!$F$3:$F$5978,X!$D$3:$D$5978,'Current Stock'!A591)</f>
        <v>0</v>
      </c>
      <c r="I591" s="11">
        <f>SUMIFS(PENJUALAN!$E$4:$E$3651,PENJUALAN!$C$4:$C$3651,'Current Stock'!A591)</f>
        <v>0</v>
      </c>
      <c r="J591" s="15">
        <f t="shared" si="2"/>
        <v>0</v>
      </c>
      <c r="K591" s="11"/>
      <c r="L591" s="11"/>
      <c r="M591" s="11"/>
      <c r="N591" s="11"/>
      <c r="O591" s="17"/>
      <c r="P591" s="17"/>
    </row>
    <row r="592" ht="13.5" customHeight="1">
      <c r="A592" s="11" t="str">
        <f t="shared" si="1"/>
        <v>SWL-ELGRAND10FY</v>
      </c>
      <c r="B592" s="32" t="s">
        <v>919</v>
      </c>
      <c r="C592" s="33" t="s">
        <v>915</v>
      </c>
      <c r="D592" s="33" t="s">
        <v>209</v>
      </c>
      <c r="E592" s="11" t="s">
        <v>123</v>
      </c>
      <c r="F592" s="33" t="s">
        <v>109</v>
      </c>
      <c r="G592" s="11"/>
      <c r="H592" s="11">
        <f>SUMIFS(X!$F$3:$F$5978,X!$D$3:$D$5978,'Current Stock'!A592)</f>
        <v>0</v>
      </c>
      <c r="I592" s="11">
        <f>SUMIFS(PENJUALAN!$E$4:$E$3651,PENJUALAN!$C$4:$C$3651,'Current Stock'!A592)</f>
        <v>0</v>
      </c>
      <c r="J592" s="15">
        <f t="shared" si="2"/>
        <v>0</v>
      </c>
      <c r="K592" s="11"/>
      <c r="L592" s="11"/>
      <c r="M592" s="11"/>
      <c r="N592" s="11"/>
      <c r="O592" s="17"/>
      <c r="P592" s="17"/>
    </row>
    <row r="593" ht="13.5" customHeight="1">
      <c r="A593" s="11" t="str">
        <f t="shared" si="1"/>
        <v>SWR-ELGRAND10FY</v>
      </c>
      <c r="B593" s="32" t="s">
        <v>920</v>
      </c>
      <c r="C593" s="33" t="s">
        <v>915</v>
      </c>
      <c r="D593" s="33" t="s">
        <v>243</v>
      </c>
      <c r="E593" s="11" t="s">
        <v>123</v>
      </c>
      <c r="F593" s="33" t="s">
        <v>109</v>
      </c>
      <c r="G593" s="11"/>
      <c r="H593" s="11">
        <f>SUMIFS(X!$F$3:$F$5978,X!$D$3:$D$5978,'Current Stock'!A593)</f>
        <v>0</v>
      </c>
      <c r="I593" s="11">
        <f>SUMIFS(PENJUALAN!$E$4:$E$3651,PENJUALAN!$C$4:$C$3651,'Current Stock'!A593)</f>
        <v>0</v>
      </c>
      <c r="J593" s="15">
        <f t="shared" si="2"/>
        <v>0</v>
      </c>
      <c r="K593" s="11"/>
      <c r="L593" s="11"/>
      <c r="M593" s="11"/>
      <c r="N593" s="11"/>
      <c r="O593" s="17"/>
      <c r="P593" s="17"/>
    </row>
    <row r="594" ht="13.5" customHeight="1">
      <c r="A594" s="11" t="str">
        <f t="shared" si="1"/>
        <v>LFW-EVALIAFY</v>
      </c>
      <c r="B594" s="32" t="s">
        <v>921</v>
      </c>
      <c r="C594" s="33" t="s">
        <v>922</v>
      </c>
      <c r="D594" s="33" t="s">
        <v>60</v>
      </c>
      <c r="E594" s="11" t="s">
        <v>123</v>
      </c>
      <c r="F594" s="33" t="s">
        <v>109</v>
      </c>
      <c r="G594" s="11"/>
      <c r="H594" s="11">
        <f>SUMIFS(X!$F$3:$F$5978,X!$D$3:$D$5978,'Current Stock'!A594)</f>
        <v>0</v>
      </c>
      <c r="I594" s="11">
        <f>SUMIFS(PENJUALAN!$E$4:$E$3651,PENJUALAN!$C$4:$C$3651,'Current Stock'!A594)</f>
        <v>0</v>
      </c>
      <c r="J594" s="15">
        <f t="shared" si="2"/>
        <v>0</v>
      </c>
      <c r="K594" s="11"/>
      <c r="L594" s="11"/>
      <c r="M594" s="11"/>
      <c r="N594" s="11"/>
      <c r="O594" s="17"/>
      <c r="P594" s="17"/>
    </row>
    <row r="595" ht="13.5" customHeight="1">
      <c r="A595" s="11" t="str">
        <f t="shared" si="1"/>
        <v>SRL-EVALIAFY</v>
      </c>
      <c r="B595" s="32" t="s">
        <v>923</v>
      </c>
      <c r="C595" s="33" t="s">
        <v>922</v>
      </c>
      <c r="D595" s="33" t="s">
        <v>910</v>
      </c>
      <c r="E595" s="11" t="s">
        <v>123</v>
      </c>
      <c r="F595" s="33" t="s">
        <v>109</v>
      </c>
      <c r="G595" s="11"/>
      <c r="H595" s="11">
        <f>SUMIFS(X!$F$3:$F$5978,X!$D$3:$D$5978,'Current Stock'!A595)</f>
        <v>0</v>
      </c>
      <c r="I595" s="11">
        <f>SUMIFS(PENJUALAN!$E$4:$E$3651,PENJUALAN!$C$4:$C$3651,'Current Stock'!A595)</f>
        <v>0</v>
      </c>
      <c r="J595" s="15">
        <f t="shared" si="2"/>
        <v>0</v>
      </c>
      <c r="K595" s="11"/>
      <c r="L595" s="11"/>
      <c r="M595" s="11"/>
      <c r="N595" s="11"/>
      <c r="O595" s="17"/>
      <c r="P595" s="17"/>
    </row>
    <row r="596" ht="13.5" customHeight="1">
      <c r="A596" s="11" t="str">
        <f t="shared" si="1"/>
        <v>TRW-NAVARA97FY</v>
      </c>
      <c r="B596" s="32" t="s">
        <v>924</v>
      </c>
      <c r="C596" s="33" t="s">
        <v>925</v>
      </c>
      <c r="D596" s="33" t="s">
        <v>62</v>
      </c>
      <c r="E596" s="11" t="s">
        <v>123</v>
      </c>
      <c r="F596" s="33"/>
      <c r="G596" s="11"/>
      <c r="H596" s="11">
        <f>SUMIFS(X!$F$3:$F$5978,X!$D$3:$D$5978,'Current Stock'!A596)</f>
        <v>0</v>
      </c>
      <c r="I596" s="11">
        <f>SUMIFS(PENJUALAN!$E$4:$E$3651,PENJUALAN!$C$4:$C$3651,'Current Stock'!A596)</f>
        <v>0</v>
      </c>
      <c r="J596" s="15">
        <f t="shared" si="2"/>
        <v>0</v>
      </c>
      <c r="K596" s="11"/>
      <c r="L596" s="11"/>
      <c r="M596" s="11"/>
      <c r="N596" s="11"/>
      <c r="O596" s="17"/>
      <c r="P596" s="17"/>
    </row>
    <row r="597" ht="13.5" customHeight="1">
      <c r="A597" s="11" t="str">
        <f t="shared" si="1"/>
        <v>LFW-NAVARA04FY</v>
      </c>
      <c r="B597" s="32" t="s">
        <v>926</v>
      </c>
      <c r="C597" s="33" t="s">
        <v>927</v>
      </c>
      <c r="D597" s="33" t="s">
        <v>60</v>
      </c>
      <c r="E597" s="11" t="s">
        <v>123</v>
      </c>
      <c r="F597" s="33" t="s">
        <v>137</v>
      </c>
      <c r="G597" s="11"/>
      <c r="H597" s="11">
        <f>SUMIFS(X!$F$3:$F$5978,X!$D$3:$D$5978,'Current Stock'!A597)</f>
        <v>0</v>
      </c>
      <c r="I597" s="11">
        <f>SUMIFS(PENJUALAN!$E$4:$E$3651,PENJUALAN!$C$4:$C$3651,'Current Stock'!A597)</f>
        <v>0</v>
      </c>
      <c r="J597" s="15">
        <f t="shared" si="2"/>
        <v>0</v>
      </c>
      <c r="K597" s="11"/>
      <c r="L597" s="11"/>
      <c r="M597" s="11"/>
      <c r="N597" s="11"/>
      <c r="O597" s="17"/>
      <c r="P597" s="17"/>
    </row>
    <row r="598" ht="13.5" customHeight="1">
      <c r="A598" s="11" t="str">
        <f t="shared" si="1"/>
        <v>TRW-NAVARA04FY</v>
      </c>
      <c r="B598" s="32" t="s">
        <v>928</v>
      </c>
      <c r="C598" s="33" t="s">
        <v>927</v>
      </c>
      <c r="D598" s="33" t="s">
        <v>62</v>
      </c>
      <c r="E598" s="11" t="s">
        <v>123</v>
      </c>
      <c r="F598" s="33" t="s">
        <v>83</v>
      </c>
      <c r="G598" s="11"/>
      <c r="H598" s="11">
        <f>SUMIFS(X!$F$3:$F$5978,X!$D$3:$D$5978,'Current Stock'!A598)</f>
        <v>0</v>
      </c>
      <c r="I598" s="11">
        <f>SUMIFS(PENJUALAN!$E$4:$E$3651,PENJUALAN!$C$4:$C$3651,'Current Stock'!A598)</f>
        <v>0</v>
      </c>
      <c r="J598" s="15">
        <f t="shared" si="2"/>
        <v>0</v>
      </c>
      <c r="K598" s="11"/>
      <c r="L598" s="11"/>
      <c r="M598" s="11"/>
      <c r="N598" s="11"/>
      <c r="O598" s="17"/>
      <c r="P598" s="17"/>
    </row>
    <row r="599" ht="13.5" customHeight="1">
      <c r="A599" s="11" t="str">
        <f t="shared" si="1"/>
        <v>LFW-JUKEFY</v>
      </c>
      <c r="B599" s="32" t="s">
        <v>929</v>
      </c>
      <c r="C599" s="33" t="s">
        <v>930</v>
      </c>
      <c r="D599" s="33" t="s">
        <v>60</v>
      </c>
      <c r="E599" s="11" t="s">
        <v>123</v>
      </c>
      <c r="F599" s="33" t="s">
        <v>137</v>
      </c>
      <c r="G599" s="11"/>
      <c r="H599" s="11">
        <f>SUMIFS(X!$F$3:$F$5978,X!$D$3:$D$5978,'Current Stock'!A599)</f>
        <v>0</v>
      </c>
      <c r="I599" s="11">
        <f>SUMIFS(PENJUALAN!$E$4:$E$3651,PENJUALAN!$C$4:$C$3651,'Current Stock'!A599)</f>
        <v>0</v>
      </c>
      <c r="J599" s="15">
        <f t="shared" si="2"/>
        <v>0</v>
      </c>
      <c r="K599" s="11"/>
      <c r="L599" s="11"/>
      <c r="M599" s="11"/>
      <c r="N599" s="11"/>
      <c r="O599" s="17"/>
      <c r="P599" s="17"/>
    </row>
    <row r="600" ht="13.5" customHeight="1">
      <c r="A600" s="11" t="str">
        <f t="shared" si="1"/>
        <v>TRW-JUKEFY</v>
      </c>
      <c r="B600" s="32" t="s">
        <v>931</v>
      </c>
      <c r="C600" s="33" t="s">
        <v>930</v>
      </c>
      <c r="D600" s="33" t="s">
        <v>62</v>
      </c>
      <c r="E600" s="11" t="s">
        <v>123</v>
      </c>
      <c r="F600" s="33" t="s">
        <v>228</v>
      </c>
      <c r="G600" s="11"/>
      <c r="H600" s="11">
        <f>SUMIFS(X!$F$3:$F$5978,X!$D$3:$D$5978,'Current Stock'!A600)</f>
        <v>0</v>
      </c>
      <c r="I600" s="11">
        <f>SUMIFS(PENJUALAN!$E$4:$E$3651,PENJUALAN!$C$4:$C$3651,'Current Stock'!A600)</f>
        <v>0</v>
      </c>
      <c r="J600" s="15">
        <f t="shared" si="2"/>
        <v>0</v>
      </c>
      <c r="K600" s="11"/>
      <c r="L600" s="11"/>
      <c r="M600" s="11"/>
      <c r="N600" s="11"/>
      <c r="O600" s="17"/>
      <c r="P600" s="17"/>
    </row>
    <row r="601" ht="13.5" customHeight="1">
      <c r="A601" s="11" t="str">
        <f t="shared" si="1"/>
        <v>FDL-JUKEFY</v>
      </c>
      <c r="B601" s="32" t="s">
        <v>932</v>
      </c>
      <c r="C601" s="33" t="s">
        <v>930</v>
      </c>
      <c r="D601" s="33" t="s">
        <v>140</v>
      </c>
      <c r="E601" s="11" t="s">
        <v>123</v>
      </c>
      <c r="F601" s="33"/>
      <c r="G601" s="11"/>
      <c r="H601" s="11">
        <f>SUMIFS(X!$F$3:$F$5978,X!$D$3:$D$5978,'Current Stock'!A601)</f>
        <v>0</v>
      </c>
      <c r="I601" s="11">
        <f>SUMIFS(PENJUALAN!$E$4:$E$3651,PENJUALAN!$C$4:$C$3651,'Current Stock'!A601)</f>
        <v>0</v>
      </c>
      <c r="J601" s="15">
        <f t="shared" si="2"/>
        <v>0</v>
      </c>
      <c r="K601" s="11"/>
      <c r="L601" s="11"/>
      <c r="M601" s="11"/>
      <c r="N601" s="11"/>
      <c r="O601" s="17"/>
      <c r="P601" s="17"/>
    </row>
    <row r="602" ht="13.5" customHeight="1">
      <c r="A602" s="11" t="str">
        <f t="shared" si="1"/>
        <v>FDR-JUKEFY</v>
      </c>
      <c r="B602" s="32" t="s">
        <v>933</v>
      </c>
      <c r="C602" s="33" t="s">
        <v>930</v>
      </c>
      <c r="D602" s="33" t="s">
        <v>142</v>
      </c>
      <c r="E602" s="11" t="s">
        <v>123</v>
      </c>
      <c r="F602" s="33"/>
      <c r="G602" s="11"/>
      <c r="H602" s="11">
        <f>SUMIFS(X!$F$3:$F$5978,X!$D$3:$D$5978,'Current Stock'!A602)</f>
        <v>0</v>
      </c>
      <c r="I602" s="11">
        <f>SUMIFS(PENJUALAN!$E$4:$E$3651,PENJUALAN!$C$4:$C$3651,'Current Stock'!A602)</f>
        <v>0</v>
      </c>
      <c r="J602" s="15">
        <f t="shared" si="2"/>
        <v>0</v>
      </c>
      <c r="K602" s="11"/>
      <c r="L602" s="11"/>
      <c r="M602" s="11"/>
      <c r="N602" s="11"/>
      <c r="O602" s="17"/>
      <c r="P602" s="17"/>
    </row>
    <row r="603" ht="13.5" customHeight="1">
      <c r="A603" s="11" t="str">
        <f t="shared" si="1"/>
        <v>RDL-JUKEFY</v>
      </c>
      <c r="B603" s="32" t="s">
        <v>934</v>
      </c>
      <c r="C603" s="33" t="s">
        <v>930</v>
      </c>
      <c r="D603" s="33" t="s">
        <v>144</v>
      </c>
      <c r="E603" s="11" t="s">
        <v>123</v>
      </c>
      <c r="F603" s="33"/>
      <c r="G603" s="11"/>
      <c r="H603" s="11">
        <f>SUMIFS(X!$F$3:$F$5978,X!$D$3:$D$5978,'Current Stock'!A603)</f>
        <v>0</v>
      </c>
      <c r="I603" s="11">
        <f>SUMIFS(PENJUALAN!$E$4:$E$3651,PENJUALAN!$C$4:$C$3651,'Current Stock'!A603)</f>
        <v>0</v>
      </c>
      <c r="J603" s="15">
        <f t="shared" si="2"/>
        <v>0</v>
      </c>
      <c r="K603" s="11"/>
      <c r="L603" s="11"/>
      <c r="M603" s="11"/>
      <c r="N603" s="11"/>
      <c r="O603" s="17"/>
      <c r="P603" s="17"/>
    </row>
    <row r="604" ht="13.5" customHeight="1">
      <c r="A604" s="11" t="str">
        <f t="shared" si="1"/>
        <v>RDR-JUKEFY</v>
      </c>
      <c r="B604" s="32" t="s">
        <v>935</v>
      </c>
      <c r="C604" s="33" t="s">
        <v>930</v>
      </c>
      <c r="D604" s="33" t="s">
        <v>146</v>
      </c>
      <c r="E604" s="11" t="s">
        <v>123</v>
      </c>
      <c r="F604" s="33"/>
      <c r="G604" s="11"/>
      <c r="H604" s="11">
        <f>SUMIFS(X!$F$3:$F$5978,X!$D$3:$D$5978,'Current Stock'!A604)</f>
        <v>0</v>
      </c>
      <c r="I604" s="11">
        <f>SUMIFS(PENJUALAN!$E$4:$E$3651,PENJUALAN!$C$4:$C$3651,'Current Stock'!A604)</f>
        <v>0</v>
      </c>
      <c r="J604" s="15">
        <f t="shared" si="2"/>
        <v>0</v>
      </c>
      <c r="K604" s="11"/>
      <c r="L604" s="11"/>
      <c r="M604" s="11"/>
      <c r="N604" s="11"/>
      <c r="O604" s="17"/>
      <c r="P604" s="17"/>
    </row>
    <row r="605" ht="13.5" customHeight="1">
      <c r="A605" s="11" t="str">
        <f t="shared" si="1"/>
        <v>LFW-LIVINA07FY</v>
      </c>
      <c r="B605" s="32" t="s">
        <v>936</v>
      </c>
      <c r="C605" s="33" t="s">
        <v>937</v>
      </c>
      <c r="D605" s="33" t="s">
        <v>60</v>
      </c>
      <c r="E605" s="11" t="s">
        <v>123</v>
      </c>
      <c r="F605" s="33" t="s">
        <v>137</v>
      </c>
      <c r="G605" s="11"/>
      <c r="H605" s="11">
        <f>SUMIFS(X!$F$3:$F$5978,X!$D$3:$D$5978,'Current Stock'!A605)</f>
        <v>0</v>
      </c>
      <c r="I605" s="11">
        <f>SUMIFS(PENJUALAN!$E$4:$E$3651,PENJUALAN!$C$4:$C$3651,'Current Stock'!A605)</f>
        <v>0</v>
      </c>
      <c r="J605" s="15">
        <f t="shared" si="2"/>
        <v>0</v>
      </c>
      <c r="K605" s="11"/>
      <c r="L605" s="11"/>
      <c r="M605" s="11"/>
      <c r="N605" s="11"/>
      <c r="O605" s="17"/>
      <c r="P605" s="17"/>
    </row>
    <row r="606" ht="13.5" customHeight="1">
      <c r="A606" s="11" t="str">
        <f t="shared" si="1"/>
        <v>TRW-LIVINA07FY</v>
      </c>
      <c r="B606" s="32" t="s">
        <v>938</v>
      </c>
      <c r="C606" s="33" t="s">
        <v>939</v>
      </c>
      <c r="D606" s="33" t="s">
        <v>62</v>
      </c>
      <c r="E606" s="11" t="s">
        <v>123</v>
      </c>
      <c r="F606" s="33" t="s">
        <v>83</v>
      </c>
      <c r="G606" s="11"/>
      <c r="H606" s="11">
        <f>SUMIFS(X!$F$3:$F$5978,X!$D$3:$D$5978,'Current Stock'!A606)</f>
        <v>0</v>
      </c>
      <c r="I606" s="11">
        <f>SUMIFS(PENJUALAN!$E$4:$E$3651,PENJUALAN!$C$4:$C$3651,'Current Stock'!A606)</f>
        <v>0</v>
      </c>
      <c r="J606" s="15">
        <f t="shared" si="2"/>
        <v>0</v>
      </c>
      <c r="K606" s="11"/>
      <c r="L606" s="11"/>
      <c r="M606" s="11"/>
      <c r="N606" s="11"/>
      <c r="O606" s="17"/>
      <c r="P606" s="17"/>
    </row>
    <row r="607" ht="13.5" customHeight="1">
      <c r="A607" s="11" t="str">
        <f t="shared" si="1"/>
        <v>FDL-LIVINA07FY</v>
      </c>
      <c r="B607" s="32" t="s">
        <v>940</v>
      </c>
      <c r="C607" s="33" t="s">
        <v>937</v>
      </c>
      <c r="D607" s="33" t="s">
        <v>140</v>
      </c>
      <c r="E607" s="11" t="s">
        <v>123</v>
      </c>
      <c r="F607" s="33"/>
      <c r="G607" s="11"/>
      <c r="H607" s="11">
        <f>SUMIFS(X!$F$3:$F$5978,X!$D$3:$D$5978,'Current Stock'!A607)</f>
        <v>0</v>
      </c>
      <c r="I607" s="11">
        <f>SUMIFS(PENJUALAN!$E$4:$E$3651,PENJUALAN!$C$4:$C$3651,'Current Stock'!A607)</f>
        <v>0</v>
      </c>
      <c r="J607" s="15">
        <f t="shared" si="2"/>
        <v>0</v>
      </c>
      <c r="K607" s="11"/>
      <c r="L607" s="11"/>
      <c r="M607" s="11"/>
      <c r="N607" s="11"/>
      <c r="O607" s="17"/>
      <c r="P607" s="17"/>
    </row>
    <row r="608" ht="13.5" customHeight="1">
      <c r="A608" s="11" t="str">
        <f t="shared" si="1"/>
        <v>LFW-MARCHFY</v>
      </c>
      <c r="B608" s="32" t="s">
        <v>941</v>
      </c>
      <c r="C608" s="33" t="s">
        <v>942</v>
      </c>
      <c r="D608" s="33" t="s">
        <v>60</v>
      </c>
      <c r="E608" s="11" t="s">
        <v>123</v>
      </c>
      <c r="F608" s="33" t="s">
        <v>137</v>
      </c>
      <c r="G608" s="11"/>
      <c r="H608" s="11">
        <f>SUMIFS(X!$F$3:$F$5978,X!$D$3:$D$5978,'Current Stock'!A608)</f>
        <v>1</v>
      </c>
      <c r="I608" s="11">
        <f>SUMIFS(PENJUALAN!$E$4:$E$3651,PENJUALAN!$C$4:$C$3651,'Current Stock'!A608)</f>
        <v>1</v>
      </c>
      <c r="J608" s="15">
        <f t="shared" si="2"/>
        <v>0</v>
      </c>
      <c r="K608" s="11"/>
      <c r="L608" s="11"/>
      <c r="M608" s="11"/>
      <c r="N608" s="11"/>
      <c r="O608" s="17"/>
      <c r="P608" s="17"/>
    </row>
    <row r="609" ht="13.5" customHeight="1">
      <c r="A609" s="11" t="str">
        <f t="shared" si="1"/>
        <v>TRW-MARCHFY</v>
      </c>
      <c r="B609" s="32" t="s">
        <v>943</v>
      </c>
      <c r="C609" s="33" t="s">
        <v>942</v>
      </c>
      <c r="D609" s="33" t="s">
        <v>62</v>
      </c>
      <c r="E609" s="11" t="s">
        <v>123</v>
      </c>
      <c r="F609" s="33" t="s">
        <v>83</v>
      </c>
      <c r="G609" s="11"/>
      <c r="H609" s="11">
        <f>SUMIFS(X!$F$3:$F$5978,X!$D$3:$D$5978,'Current Stock'!A609)</f>
        <v>0</v>
      </c>
      <c r="I609" s="11">
        <f>SUMIFS(PENJUALAN!$E$4:$E$3651,PENJUALAN!$C$4:$C$3651,'Current Stock'!A609)</f>
        <v>0</v>
      </c>
      <c r="J609" s="15">
        <f t="shared" si="2"/>
        <v>0</v>
      </c>
      <c r="K609" s="11"/>
      <c r="L609" s="11"/>
      <c r="M609" s="11"/>
      <c r="N609" s="11"/>
      <c r="O609" s="17"/>
      <c r="P609" s="17"/>
    </row>
    <row r="610" ht="13.5" customHeight="1">
      <c r="A610" s="11" t="str">
        <f t="shared" si="1"/>
        <v>FDL-MARCHFY</v>
      </c>
      <c r="B610" s="32" t="s">
        <v>944</v>
      </c>
      <c r="C610" s="33" t="s">
        <v>942</v>
      </c>
      <c r="D610" s="33" t="s">
        <v>140</v>
      </c>
      <c r="E610" s="11" t="s">
        <v>123</v>
      </c>
      <c r="F610" s="33"/>
      <c r="G610" s="11"/>
      <c r="H610" s="11">
        <f>SUMIFS(X!$F$3:$F$5978,X!$D$3:$D$5978,'Current Stock'!A610)</f>
        <v>0</v>
      </c>
      <c r="I610" s="11">
        <f>SUMIFS(PENJUALAN!$E$4:$E$3651,PENJUALAN!$C$4:$C$3651,'Current Stock'!A610)</f>
        <v>0</v>
      </c>
      <c r="J610" s="15">
        <f t="shared" si="2"/>
        <v>0</v>
      </c>
      <c r="K610" s="11"/>
      <c r="L610" s="11"/>
      <c r="M610" s="11"/>
      <c r="N610" s="11"/>
      <c r="O610" s="17"/>
      <c r="P610" s="17"/>
    </row>
    <row r="611" ht="13.5" customHeight="1">
      <c r="A611" s="11" t="str">
        <f t="shared" si="1"/>
        <v>FDR-MARCHFY</v>
      </c>
      <c r="B611" s="32" t="s">
        <v>945</v>
      </c>
      <c r="C611" s="33" t="s">
        <v>942</v>
      </c>
      <c r="D611" s="33" t="s">
        <v>142</v>
      </c>
      <c r="E611" s="11" t="s">
        <v>123</v>
      </c>
      <c r="F611" s="33"/>
      <c r="G611" s="11"/>
      <c r="H611" s="11">
        <f>SUMIFS(X!$F$3:$F$5978,X!$D$3:$D$5978,'Current Stock'!A611)</f>
        <v>0</v>
      </c>
      <c r="I611" s="11">
        <f>SUMIFS(PENJUALAN!$E$4:$E$3651,PENJUALAN!$C$4:$C$3651,'Current Stock'!A611)</f>
        <v>0</v>
      </c>
      <c r="J611" s="15">
        <f t="shared" si="2"/>
        <v>0</v>
      </c>
      <c r="K611" s="11"/>
      <c r="L611" s="11"/>
      <c r="M611" s="11"/>
      <c r="N611" s="11"/>
      <c r="O611" s="17"/>
      <c r="P611" s="17"/>
    </row>
    <row r="612" ht="13.5" customHeight="1">
      <c r="A612" s="11" t="str">
        <f t="shared" si="1"/>
        <v>RDL-MARCHFY</v>
      </c>
      <c r="B612" s="32" t="s">
        <v>946</v>
      </c>
      <c r="C612" s="33" t="s">
        <v>942</v>
      </c>
      <c r="D612" s="33" t="s">
        <v>144</v>
      </c>
      <c r="E612" s="11" t="s">
        <v>123</v>
      </c>
      <c r="F612" s="33"/>
      <c r="G612" s="11"/>
      <c r="H612" s="11">
        <f>SUMIFS(X!$F$3:$F$5978,X!$D$3:$D$5978,'Current Stock'!A612)</f>
        <v>1</v>
      </c>
      <c r="I612" s="11">
        <f>SUMIFS(PENJUALAN!$E$4:$E$3651,PENJUALAN!$C$4:$C$3651,'Current Stock'!A612)</f>
        <v>1</v>
      </c>
      <c r="J612" s="15">
        <f t="shared" si="2"/>
        <v>0</v>
      </c>
      <c r="K612" s="11"/>
      <c r="L612" s="11"/>
      <c r="M612" s="11"/>
      <c r="N612" s="11"/>
      <c r="O612" s="17"/>
      <c r="P612" s="17"/>
    </row>
    <row r="613" ht="13.5" customHeight="1">
      <c r="A613" s="11" t="str">
        <f t="shared" si="1"/>
        <v>RDR-MARCHFY</v>
      </c>
      <c r="B613" s="32" t="s">
        <v>947</v>
      </c>
      <c r="C613" s="33" t="s">
        <v>942</v>
      </c>
      <c r="D613" s="33" t="s">
        <v>146</v>
      </c>
      <c r="E613" s="11" t="s">
        <v>123</v>
      </c>
      <c r="F613" s="33"/>
      <c r="G613" s="11"/>
      <c r="H613" s="11">
        <f>SUMIFS(X!$F$3:$F$5978,X!$D$3:$D$5978,'Current Stock'!A613)</f>
        <v>0</v>
      </c>
      <c r="I613" s="11">
        <f>SUMIFS(PENJUALAN!$E$4:$E$3651,PENJUALAN!$C$4:$C$3651,'Current Stock'!A613)</f>
        <v>0</v>
      </c>
      <c r="J613" s="15">
        <f t="shared" si="2"/>
        <v>0</v>
      </c>
      <c r="K613" s="11"/>
      <c r="L613" s="11"/>
      <c r="M613" s="11"/>
      <c r="N613" s="11"/>
      <c r="O613" s="17"/>
      <c r="P613" s="17"/>
    </row>
    <row r="614" ht="13.5" customHeight="1">
      <c r="A614" s="11" t="str">
        <f t="shared" si="1"/>
        <v>LFW-MURANO02FY</v>
      </c>
      <c r="B614" s="32" t="s">
        <v>948</v>
      </c>
      <c r="C614" s="33" t="s">
        <v>949</v>
      </c>
      <c r="D614" s="33" t="s">
        <v>60</v>
      </c>
      <c r="E614" s="11" t="s">
        <v>123</v>
      </c>
      <c r="F614" s="33" t="s">
        <v>137</v>
      </c>
      <c r="G614" s="11"/>
      <c r="H614" s="11">
        <f>SUMIFS(X!$F$3:$F$5978,X!$D$3:$D$5978,'Current Stock'!A614)</f>
        <v>0</v>
      </c>
      <c r="I614" s="11">
        <f>SUMIFS(PENJUALAN!$E$4:$E$3651,PENJUALAN!$C$4:$C$3651,'Current Stock'!A614)</f>
        <v>0</v>
      </c>
      <c r="J614" s="15">
        <f t="shared" si="2"/>
        <v>0</v>
      </c>
      <c r="K614" s="11"/>
      <c r="L614" s="11"/>
      <c r="M614" s="11"/>
      <c r="N614" s="11"/>
      <c r="O614" s="17"/>
      <c r="P614" s="17"/>
    </row>
    <row r="615" ht="13.5" customHeight="1">
      <c r="A615" s="11" t="str">
        <f t="shared" si="1"/>
        <v>TRW-MURANO02FY</v>
      </c>
      <c r="B615" s="32" t="s">
        <v>950</v>
      </c>
      <c r="C615" s="33" t="s">
        <v>949</v>
      </c>
      <c r="D615" s="33" t="s">
        <v>62</v>
      </c>
      <c r="E615" s="11" t="s">
        <v>123</v>
      </c>
      <c r="F615" s="33" t="s">
        <v>228</v>
      </c>
      <c r="G615" s="11"/>
      <c r="H615" s="11">
        <f>SUMIFS(X!$F$3:$F$5978,X!$D$3:$D$5978,'Current Stock'!A615)</f>
        <v>0</v>
      </c>
      <c r="I615" s="11">
        <f>SUMIFS(PENJUALAN!$E$4:$E$3651,PENJUALAN!$C$4:$C$3651,'Current Stock'!A615)</f>
        <v>0</v>
      </c>
      <c r="J615" s="15">
        <f t="shared" si="2"/>
        <v>0</v>
      </c>
      <c r="K615" s="11"/>
      <c r="L615" s="11"/>
      <c r="M615" s="11"/>
      <c r="N615" s="11"/>
      <c r="O615" s="17"/>
      <c r="P615" s="17"/>
    </row>
    <row r="616" ht="13.5" customHeight="1">
      <c r="A616" s="11" t="str">
        <f t="shared" si="1"/>
        <v>LFW-MURANO08FY</v>
      </c>
      <c r="B616" s="32" t="s">
        <v>951</v>
      </c>
      <c r="C616" s="33" t="s">
        <v>952</v>
      </c>
      <c r="D616" s="33" t="s">
        <v>60</v>
      </c>
      <c r="E616" s="11" t="s">
        <v>123</v>
      </c>
      <c r="F616" s="33" t="s">
        <v>137</v>
      </c>
      <c r="G616" s="11"/>
      <c r="H616" s="11">
        <f>SUMIFS(X!$F$3:$F$5978,X!$D$3:$D$5978,'Current Stock'!A616)</f>
        <v>0</v>
      </c>
      <c r="I616" s="11">
        <f>SUMIFS(PENJUALAN!$E$4:$E$3651,PENJUALAN!$C$4:$C$3651,'Current Stock'!A616)</f>
        <v>0</v>
      </c>
      <c r="J616" s="15">
        <f t="shared" si="2"/>
        <v>0</v>
      </c>
      <c r="K616" s="11"/>
      <c r="L616" s="11"/>
      <c r="M616" s="11"/>
      <c r="N616" s="11"/>
      <c r="O616" s="17"/>
      <c r="P616" s="17"/>
    </row>
    <row r="617" ht="13.5" customHeight="1">
      <c r="A617" s="11" t="str">
        <f t="shared" si="1"/>
        <v>TRW-MURANO08FY</v>
      </c>
      <c r="B617" s="32" t="s">
        <v>953</v>
      </c>
      <c r="C617" s="33" t="s">
        <v>952</v>
      </c>
      <c r="D617" s="33" t="s">
        <v>62</v>
      </c>
      <c r="E617" s="11" t="s">
        <v>123</v>
      </c>
      <c r="F617" s="33" t="s">
        <v>228</v>
      </c>
      <c r="G617" s="11"/>
      <c r="H617" s="11">
        <f>SUMIFS(X!$F$3:$F$5978,X!$D$3:$D$5978,'Current Stock'!A617)</f>
        <v>0</v>
      </c>
      <c r="I617" s="11">
        <f>SUMIFS(PENJUALAN!$E$4:$E$3651,PENJUALAN!$C$4:$C$3651,'Current Stock'!A617)</f>
        <v>0</v>
      </c>
      <c r="J617" s="15">
        <f t="shared" si="2"/>
        <v>0</v>
      </c>
      <c r="K617" s="11"/>
      <c r="L617" s="11"/>
      <c r="M617" s="11"/>
      <c r="N617" s="11"/>
      <c r="O617" s="17"/>
      <c r="P617" s="17"/>
    </row>
    <row r="618" ht="13.5" customHeight="1">
      <c r="A618" s="11" t="str">
        <f t="shared" si="1"/>
        <v>RDL-MURANO08FY</v>
      </c>
      <c r="B618" s="32" t="s">
        <v>954</v>
      </c>
      <c r="C618" s="33" t="s">
        <v>952</v>
      </c>
      <c r="D618" s="33" t="s">
        <v>144</v>
      </c>
      <c r="E618" s="11" t="s">
        <v>123</v>
      </c>
      <c r="F618" s="33"/>
      <c r="G618" s="11"/>
      <c r="H618" s="11">
        <f>SUMIFS(X!$F$3:$F$5978,X!$D$3:$D$5978,'Current Stock'!A618)</f>
        <v>0</v>
      </c>
      <c r="I618" s="11">
        <f>SUMIFS(PENJUALAN!$E$4:$E$3651,PENJUALAN!$C$4:$C$3651,'Current Stock'!A618)</f>
        <v>0</v>
      </c>
      <c r="J618" s="15">
        <f t="shared" si="2"/>
        <v>0</v>
      </c>
      <c r="K618" s="11"/>
      <c r="L618" s="11"/>
      <c r="M618" s="11"/>
      <c r="N618" s="11"/>
      <c r="O618" s="17"/>
      <c r="P618" s="17"/>
    </row>
    <row r="619" ht="13.5" customHeight="1">
      <c r="A619" s="11" t="str">
        <f t="shared" si="1"/>
        <v>RDR-MURANO08FY</v>
      </c>
      <c r="B619" s="32" t="s">
        <v>955</v>
      </c>
      <c r="C619" s="33" t="s">
        <v>952</v>
      </c>
      <c r="D619" s="33" t="s">
        <v>146</v>
      </c>
      <c r="E619" s="11" t="s">
        <v>123</v>
      </c>
      <c r="F619" s="33"/>
      <c r="G619" s="11"/>
      <c r="H619" s="11">
        <f>SUMIFS(X!$F$3:$F$5978,X!$D$3:$D$5978,'Current Stock'!A619)</f>
        <v>0</v>
      </c>
      <c r="I619" s="11">
        <f>SUMIFS(PENJUALAN!$E$4:$E$3651,PENJUALAN!$C$4:$C$3651,'Current Stock'!A619)</f>
        <v>0</v>
      </c>
      <c r="J619" s="15">
        <f t="shared" si="2"/>
        <v>0</v>
      </c>
      <c r="K619" s="11"/>
      <c r="L619" s="11"/>
      <c r="M619" s="11"/>
      <c r="N619" s="11"/>
      <c r="O619" s="17"/>
      <c r="P619" s="17"/>
    </row>
    <row r="620" ht="13.5" customHeight="1">
      <c r="A620" s="11" t="str">
        <f t="shared" si="1"/>
        <v>LFW-NAVARA15FY</v>
      </c>
      <c r="B620" s="32" t="s">
        <v>956</v>
      </c>
      <c r="C620" s="33" t="s">
        <v>957</v>
      </c>
      <c r="D620" s="33" t="s">
        <v>60</v>
      </c>
      <c r="E620" s="11" t="s">
        <v>123</v>
      </c>
      <c r="F620" s="33" t="s">
        <v>137</v>
      </c>
      <c r="G620" s="11"/>
      <c r="H620" s="11">
        <f>SUMIFS(X!$F$3:$F$5978,X!$D$3:$D$5978,'Current Stock'!A620)</f>
        <v>0</v>
      </c>
      <c r="I620" s="11">
        <f>SUMIFS(PENJUALAN!$E$4:$E$3651,PENJUALAN!$C$4:$C$3651,'Current Stock'!A620)</f>
        <v>0</v>
      </c>
      <c r="J620" s="15">
        <f t="shared" si="2"/>
        <v>0</v>
      </c>
      <c r="K620" s="11"/>
      <c r="L620" s="11"/>
      <c r="M620" s="11"/>
      <c r="N620" s="11"/>
      <c r="O620" s="17"/>
      <c r="P620" s="17"/>
    </row>
    <row r="621" ht="13.5" customHeight="1">
      <c r="A621" s="11" t="str">
        <f t="shared" si="1"/>
        <v>TRW-NAVARA15FY</v>
      </c>
      <c r="B621" s="32" t="s">
        <v>958</v>
      </c>
      <c r="C621" s="33" t="s">
        <v>957</v>
      </c>
      <c r="D621" s="33" t="s">
        <v>62</v>
      </c>
      <c r="E621" s="11" t="s">
        <v>123</v>
      </c>
      <c r="F621" s="33" t="s">
        <v>83</v>
      </c>
      <c r="G621" s="11"/>
      <c r="H621" s="11">
        <f>SUMIFS(X!$F$3:$F$5978,X!$D$3:$D$5978,'Current Stock'!A621)</f>
        <v>0</v>
      </c>
      <c r="I621" s="11">
        <f>SUMIFS(PENJUALAN!$E$4:$E$3651,PENJUALAN!$C$4:$C$3651,'Current Stock'!A621)</f>
        <v>0</v>
      </c>
      <c r="J621" s="15">
        <f t="shared" si="2"/>
        <v>0</v>
      </c>
      <c r="K621" s="11"/>
      <c r="L621" s="11"/>
      <c r="M621" s="11"/>
      <c r="N621" s="11"/>
      <c r="O621" s="17"/>
      <c r="P621" s="17"/>
    </row>
    <row r="622" ht="13.5" customHeight="1">
      <c r="A622" s="11" t="str">
        <f t="shared" si="1"/>
        <v>FDL-NAVARA15FY</v>
      </c>
      <c r="B622" s="32" t="s">
        <v>959</v>
      </c>
      <c r="C622" s="33" t="s">
        <v>957</v>
      </c>
      <c r="D622" s="33" t="s">
        <v>140</v>
      </c>
      <c r="E622" s="11" t="s">
        <v>123</v>
      </c>
      <c r="F622" s="33"/>
      <c r="G622" s="11"/>
      <c r="H622" s="11">
        <f>SUMIFS(X!$F$3:$F$5978,X!$D$3:$D$5978,'Current Stock'!A622)</f>
        <v>0</v>
      </c>
      <c r="I622" s="11">
        <f>SUMIFS(PENJUALAN!$E$4:$E$3651,PENJUALAN!$C$4:$C$3651,'Current Stock'!A622)</f>
        <v>0</v>
      </c>
      <c r="J622" s="15">
        <f t="shared" si="2"/>
        <v>0</v>
      </c>
      <c r="K622" s="11"/>
      <c r="L622" s="11"/>
      <c r="M622" s="11"/>
      <c r="N622" s="11"/>
      <c r="O622" s="17"/>
      <c r="P622" s="17"/>
    </row>
    <row r="623" ht="13.5" customHeight="1">
      <c r="A623" s="11" t="str">
        <f t="shared" si="1"/>
        <v>FDR-NAVARA15FY</v>
      </c>
      <c r="B623" s="32" t="s">
        <v>960</v>
      </c>
      <c r="C623" s="33" t="s">
        <v>957</v>
      </c>
      <c r="D623" s="33" t="s">
        <v>142</v>
      </c>
      <c r="E623" s="11" t="s">
        <v>123</v>
      </c>
      <c r="F623" s="33"/>
      <c r="G623" s="11"/>
      <c r="H623" s="11">
        <f>SUMIFS(X!$F$3:$F$5978,X!$D$3:$D$5978,'Current Stock'!A623)</f>
        <v>0</v>
      </c>
      <c r="I623" s="11">
        <f>SUMIFS(PENJUALAN!$E$4:$E$3651,PENJUALAN!$C$4:$C$3651,'Current Stock'!A623)</f>
        <v>0</v>
      </c>
      <c r="J623" s="15">
        <f t="shared" si="2"/>
        <v>0</v>
      </c>
      <c r="K623" s="11"/>
      <c r="L623" s="11"/>
      <c r="M623" s="11"/>
      <c r="N623" s="11"/>
      <c r="O623" s="17"/>
      <c r="P623" s="17"/>
    </row>
    <row r="624" ht="13.5" customHeight="1">
      <c r="A624" s="11" t="str">
        <f t="shared" si="1"/>
        <v>RDL-NAVARA15FY</v>
      </c>
      <c r="B624" s="32" t="s">
        <v>961</v>
      </c>
      <c r="C624" s="33" t="s">
        <v>957</v>
      </c>
      <c r="D624" s="33" t="s">
        <v>144</v>
      </c>
      <c r="E624" s="11" t="s">
        <v>123</v>
      </c>
      <c r="F624" s="33"/>
      <c r="G624" s="11"/>
      <c r="H624" s="11">
        <f>SUMIFS(X!$F$3:$F$5978,X!$D$3:$D$5978,'Current Stock'!A624)</f>
        <v>0</v>
      </c>
      <c r="I624" s="11">
        <f>SUMIFS(PENJUALAN!$E$4:$E$3651,PENJUALAN!$C$4:$C$3651,'Current Stock'!A624)</f>
        <v>0</v>
      </c>
      <c r="J624" s="15">
        <f t="shared" si="2"/>
        <v>0</v>
      </c>
      <c r="K624" s="11"/>
      <c r="L624" s="11"/>
      <c r="M624" s="11"/>
      <c r="N624" s="11"/>
      <c r="O624" s="17"/>
      <c r="P624" s="17"/>
    </row>
    <row r="625" ht="13.5" customHeight="1">
      <c r="A625" s="11" t="str">
        <f t="shared" si="1"/>
        <v>RDR-NAVARA15FY</v>
      </c>
      <c r="B625" s="32" t="s">
        <v>962</v>
      </c>
      <c r="C625" s="33" t="s">
        <v>957</v>
      </c>
      <c r="D625" s="33" t="s">
        <v>146</v>
      </c>
      <c r="E625" s="11" t="s">
        <v>123</v>
      </c>
      <c r="F625" s="33"/>
      <c r="G625" s="11"/>
      <c r="H625" s="11">
        <f>SUMIFS(X!$F$3:$F$5978,X!$D$3:$D$5978,'Current Stock'!A625)</f>
        <v>0</v>
      </c>
      <c r="I625" s="11">
        <f>SUMIFS(PENJUALAN!$E$4:$E$3651,PENJUALAN!$C$4:$C$3651,'Current Stock'!A625)</f>
        <v>0</v>
      </c>
      <c r="J625" s="15">
        <f t="shared" si="2"/>
        <v>0</v>
      </c>
      <c r="K625" s="11"/>
      <c r="L625" s="11"/>
      <c r="M625" s="11"/>
      <c r="N625" s="11"/>
      <c r="O625" s="17"/>
      <c r="P625" s="17"/>
    </row>
    <row r="626" ht="13.5" customHeight="1">
      <c r="A626" s="11" t="str">
        <f t="shared" si="1"/>
        <v>TRW-C23FY</v>
      </c>
      <c r="B626" s="32" t="s">
        <v>963</v>
      </c>
      <c r="C626" s="33" t="s">
        <v>964</v>
      </c>
      <c r="D626" s="33" t="s">
        <v>62</v>
      </c>
      <c r="E626" s="11" t="s">
        <v>123</v>
      </c>
      <c r="F626" s="33" t="s">
        <v>83</v>
      </c>
      <c r="G626" s="11"/>
      <c r="H626" s="11">
        <f>SUMIFS(X!$F$3:$F$5978,X!$D$3:$D$5978,'Current Stock'!A626)</f>
        <v>0</v>
      </c>
      <c r="I626" s="11">
        <f>SUMIFS(PENJUALAN!$E$4:$E$3651,PENJUALAN!$C$4:$C$3651,'Current Stock'!A626)</f>
        <v>0</v>
      </c>
      <c r="J626" s="15">
        <f t="shared" si="2"/>
        <v>0</v>
      </c>
      <c r="K626" s="11"/>
      <c r="L626" s="11"/>
      <c r="M626" s="11"/>
      <c r="N626" s="11"/>
      <c r="O626" s="17"/>
      <c r="P626" s="17"/>
    </row>
    <row r="627" ht="13.5" customHeight="1">
      <c r="A627" s="11" t="str">
        <f t="shared" si="1"/>
        <v>LFW-C24FY</v>
      </c>
      <c r="B627" s="32" t="s">
        <v>965</v>
      </c>
      <c r="C627" s="33" t="s">
        <v>966</v>
      </c>
      <c r="D627" s="33" t="s">
        <v>60</v>
      </c>
      <c r="E627" s="11" t="s">
        <v>123</v>
      </c>
      <c r="F627" s="33" t="s">
        <v>109</v>
      </c>
      <c r="G627" s="11"/>
      <c r="H627" s="11">
        <f>SUMIFS(X!$F$3:$F$5978,X!$D$3:$D$5978,'Current Stock'!A627)</f>
        <v>0</v>
      </c>
      <c r="I627" s="11">
        <f>SUMIFS(PENJUALAN!$E$4:$E$3651,PENJUALAN!$C$4:$C$3651,'Current Stock'!A627)</f>
        <v>0</v>
      </c>
      <c r="J627" s="15">
        <f t="shared" si="2"/>
        <v>0</v>
      </c>
      <c r="K627" s="11"/>
      <c r="L627" s="11"/>
      <c r="M627" s="11"/>
      <c r="N627" s="11"/>
      <c r="O627" s="17"/>
      <c r="P627" s="17"/>
    </row>
    <row r="628" ht="13.5" customHeight="1">
      <c r="A628" s="11" t="str">
        <f t="shared" si="1"/>
        <v>TRW-C24FY</v>
      </c>
      <c r="B628" s="32" t="s">
        <v>967</v>
      </c>
      <c r="C628" s="33" t="s">
        <v>966</v>
      </c>
      <c r="D628" s="33" t="s">
        <v>62</v>
      </c>
      <c r="E628" s="11" t="s">
        <v>123</v>
      </c>
      <c r="F628" s="33" t="s">
        <v>83</v>
      </c>
      <c r="G628" s="11"/>
      <c r="H628" s="11">
        <f>SUMIFS(X!$F$3:$F$5978,X!$D$3:$D$5978,'Current Stock'!A628)</f>
        <v>0</v>
      </c>
      <c r="I628" s="11">
        <f>SUMIFS(PENJUALAN!$E$4:$E$3651,PENJUALAN!$C$4:$C$3651,'Current Stock'!A628)</f>
        <v>0</v>
      </c>
      <c r="J628" s="15">
        <f t="shared" si="2"/>
        <v>0</v>
      </c>
      <c r="K628" s="11"/>
      <c r="L628" s="11"/>
      <c r="M628" s="11"/>
      <c r="N628" s="11"/>
      <c r="O628" s="17"/>
      <c r="P628" s="17"/>
    </row>
    <row r="629" ht="13.5" customHeight="1">
      <c r="A629" s="11" t="str">
        <f t="shared" si="1"/>
        <v>LFW-C25FY</v>
      </c>
      <c r="B629" s="32" t="s">
        <v>968</v>
      </c>
      <c r="C629" s="33" t="s">
        <v>969</v>
      </c>
      <c r="D629" s="33" t="s">
        <v>60</v>
      </c>
      <c r="E629" s="11" t="s">
        <v>123</v>
      </c>
      <c r="F629" s="33" t="s">
        <v>745</v>
      </c>
      <c r="G629" s="11"/>
      <c r="H629" s="11">
        <f>SUMIFS(X!$F$3:$F$5978,X!$D$3:$D$5978,'Current Stock'!A629)</f>
        <v>0</v>
      </c>
      <c r="I629" s="11">
        <f>SUMIFS(PENJUALAN!$E$4:$E$3651,PENJUALAN!$C$4:$C$3651,'Current Stock'!A629)</f>
        <v>0</v>
      </c>
      <c r="J629" s="15">
        <f t="shared" si="2"/>
        <v>0</v>
      </c>
      <c r="K629" s="11"/>
      <c r="L629" s="11"/>
      <c r="M629" s="11"/>
      <c r="N629" s="11"/>
      <c r="O629" s="17"/>
      <c r="P629" s="17"/>
    </row>
    <row r="630" ht="13.5" customHeight="1">
      <c r="A630" s="11" t="str">
        <f t="shared" si="1"/>
        <v>TRW-C25FY</v>
      </c>
      <c r="B630" s="32" t="s">
        <v>970</v>
      </c>
      <c r="C630" s="33" t="s">
        <v>969</v>
      </c>
      <c r="D630" s="33" t="s">
        <v>62</v>
      </c>
      <c r="E630" s="11" t="s">
        <v>123</v>
      </c>
      <c r="F630" s="33" t="s">
        <v>228</v>
      </c>
      <c r="G630" s="11"/>
      <c r="H630" s="11">
        <f>SUMIFS(X!$F$3:$F$5978,X!$D$3:$D$5978,'Current Stock'!A630)</f>
        <v>0</v>
      </c>
      <c r="I630" s="11">
        <f>SUMIFS(PENJUALAN!$E$4:$E$3651,PENJUALAN!$C$4:$C$3651,'Current Stock'!A630)</f>
        <v>0</v>
      </c>
      <c r="J630" s="15">
        <f t="shared" si="2"/>
        <v>0</v>
      </c>
      <c r="K630" s="11"/>
      <c r="L630" s="11"/>
      <c r="M630" s="11"/>
      <c r="N630" s="11"/>
      <c r="O630" s="17"/>
      <c r="P630" s="17"/>
    </row>
    <row r="631" ht="13.5" customHeight="1">
      <c r="A631" s="11" t="str">
        <f t="shared" si="1"/>
        <v>RDL-C25FY</v>
      </c>
      <c r="B631" s="32" t="s">
        <v>971</v>
      </c>
      <c r="C631" s="33" t="s">
        <v>969</v>
      </c>
      <c r="D631" s="33" t="s">
        <v>144</v>
      </c>
      <c r="E631" s="11" t="s">
        <v>123</v>
      </c>
      <c r="F631" s="33"/>
      <c r="G631" s="11"/>
      <c r="H631" s="11">
        <f>SUMIFS(X!$F$3:$F$5978,X!$D$3:$D$5978,'Current Stock'!A631)</f>
        <v>0</v>
      </c>
      <c r="I631" s="11">
        <f>SUMIFS(PENJUALAN!$E$4:$E$3651,PENJUALAN!$C$4:$C$3651,'Current Stock'!A631)</f>
        <v>0</v>
      </c>
      <c r="J631" s="15">
        <f t="shared" si="2"/>
        <v>0</v>
      </c>
      <c r="K631" s="11"/>
      <c r="L631" s="11"/>
      <c r="M631" s="11"/>
      <c r="N631" s="11"/>
      <c r="O631" s="17"/>
      <c r="P631" s="17"/>
    </row>
    <row r="632" ht="13.5" customHeight="1">
      <c r="A632" s="11" t="str">
        <f t="shared" si="1"/>
        <v>RDR-C25FY</v>
      </c>
      <c r="B632" s="32" t="s">
        <v>972</v>
      </c>
      <c r="C632" s="33" t="s">
        <v>969</v>
      </c>
      <c r="D632" s="33" t="s">
        <v>146</v>
      </c>
      <c r="E632" s="11" t="s">
        <v>123</v>
      </c>
      <c r="F632" s="33"/>
      <c r="G632" s="11"/>
      <c r="H632" s="11">
        <f>SUMIFS(X!$F$3:$F$5978,X!$D$3:$D$5978,'Current Stock'!A632)</f>
        <v>0</v>
      </c>
      <c r="I632" s="11">
        <f>SUMIFS(PENJUALAN!$E$4:$E$3651,PENJUALAN!$C$4:$C$3651,'Current Stock'!A632)</f>
        <v>0</v>
      </c>
      <c r="J632" s="15">
        <f t="shared" si="2"/>
        <v>0</v>
      </c>
      <c r="K632" s="11"/>
      <c r="L632" s="11"/>
      <c r="M632" s="11"/>
      <c r="N632" s="11"/>
      <c r="O632" s="17"/>
      <c r="P632" s="17"/>
    </row>
    <row r="633" ht="13.5" customHeight="1">
      <c r="A633" s="11" t="str">
        <f t="shared" si="1"/>
        <v>SWL-C25FY</v>
      </c>
      <c r="B633" s="32" t="s">
        <v>973</v>
      </c>
      <c r="C633" s="33" t="s">
        <v>969</v>
      </c>
      <c r="D633" s="33" t="s">
        <v>209</v>
      </c>
      <c r="E633" s="11" t="s">
        <v>123</v>
      </c>
      <c r="F633" s="33" t="s">
        <v>241</v>
      </c>
      <c r="G633" s="11"/>
      <c r="H633" s="11">
        <f>SUMIFS(X!$F$3:$F$5978,X!$D$3:$D$5978,'Current Stock'!A633)</f>
        <v>0</v>
      </c>
      <c r="I633" s="11">
        <f>SUMIFS(PENJUALAN!$E$4:$E$3651,PENJUALAN!$C$4:$C$3651,'Current Stock'!A633)</f>
        <v>0</v>
      </c>
      <c r="J633" s="15">
        <f t="shared" si="2"/>
        <v>0</v>
      </c>
      <c r="K633" s="11"/>
      <c r="L633" s="11"/>
      <c r="M633" s="11"/>
      <c r="N633" s="11"/>
      <c r="O633" s="17"/>
      <c r="P633" s="17"/>
    </row>
    <row r="634" ht="13.5" customHeight="1">
      <c r="A634" s="11" t="str">
        <f t="shared" si="1"/>
        <v>SWR-C25FY</v>
      </c>
      <c r="B634" s="32" t="s">
        <v>974</v>
      </c>
      <c r="C634" s="33" t="s">
        <v>969</v>
      </c>
      <c r="D634" s="33" t="s">
        <v>243</v>
      </c>
      <c r="E634" s="11" t="s">
        <v>123</v>
      </c>
      <c r="F634" s="33" t="s">
        <v>241</v>
      </c>
      <c r="G634" s="11"/>
      <c r="H634" s="11">
        <f>SUMIFS(X!$F$3:$F$5978,X!$D$3:$D$5978,'Current Stock'!A634)</f>
        <v>0</v>
      </c>
      <c r="I634" s="11">
        <f>SUMIFS(PENJUALAN!$E$4:$E$3651,PENJUALAN!$C$4:$C$3651,'Current Stock'!A634)</f>
        <v>0</v>
      </c>
      <c r="J634" s="15">
        <f t="shared" si="2"/>
        <v>0</v>
      </c>
      <c r="K634" s="11"/>
      <c r="L634" s="11"/>
      <c r="M634" s="11"/>
      <c r="N634" s="11"/>
      <c r="O634" s="17"/>
      <c r="P634" s="17"/>
    </row>
    <row r="635" ht="13.5" customHeight="1">
      <c r="A635" s="11" t="str">
        <f t="shared" si="1"/>
        <v>LFW-C26FY</v>
      </c>
      <c r="B635" s="32" t="s">
        <v>975</v>
      </c>
      <c r="C635" s="33" t="s">
        <v>976</v>
      </c>
      <c r="D635" s="33" t="s">
        <v>60</v>
      </c>
      <c r="E635" s="11" t="s">
        <v>123</v>
      </c>
      <c r="F635" s="33" t="s">
        <v>137</v>
      </c>
      <c r="G635" s="11"/>
      <c r="H635" s="11">
        <f>SUMIFS(X!$F$3:$F$5978,X!$D$3:$D$5978,'Current Stock'!A635)</f>
        <v>0</v>
      </c>
      <c r="I635" s="11">
        <f>SUMIFS(PENJUALAN!$E$4:$E$3651,PENJUALAN!$C$4:$C$3651,'Current Stock'!A635)</f>
        <v>0</v>
      </c>
      <c r="J635" s="15">
        <f t="shared" si="2"/>
        <v>0</v>
      </c>
      <c r="K635" s="11"/>
      <c r="L635" s="11"/>
      <c r="M635" s="11"/>
      <c r="N635" s="11"/>
      <c r="O635" s="17"/>
      <c r="P635" s="17"/>
    </row>
    <row r="636" ht="13.5" customHeight="1">
      <c r="A636" s="11" t="str">
        <f t="shared" si="1"/>
        <v>TRW-C26FY</v>
      </c>
      <c r="B636" s="32" t="s">
        <v>977</v>
      </c>
      <c r="C636" s="33" t="s">
        <v>976</v>
      </c>
      <c r="D636" s="33" t="s">
        <v>62</v>
      </c>
      <c r="E636" s="11" t="s">
        <v>123</v>
      </c>
      <c r="F636" s="33" t="s">
        <v>83</v>
      </c>
      <c r="G636" s="11"/>
      <c r="H636" s="11">
        <f>SUMIFS(X!$F$3:$F$5978,X!$D$3:$D$5978,'Current Stock'!A636)</f>
        <v>0</v>
      </c>
      <c r="I636" s="11">
        <f>SUMIFS(PENJUALAN!$E$4:$E$3651,PENJUALAN!$C$4:$C$3651,'Current Stock'!A636)</f>
        <v>0</v>
      </c>
      <c r="J636" s="15">
        <f t="shared" si="2"/>
        <v>0</v>
      </c>
      <c r="K636" s="11"/>
      <c r="L636" s="11"/>
      <c r="M636" s="11"/>
      <c r="N636" s="11"/>
      <c r="O636" s="17"/>
      <c r="P636" s="17"/>
    </row>
    <row r="637" ht="13.5" customHeight="1">
      <c r="A637" s="11" t="str">
        <f t="shared" si="1"/>
        <v>FDL-C26FY</v>
      </c>
      <c r="B637" s="32" t="s">
        <v>978</v>
      </c>
      <c r="C637" s="33" t="s">
        <v>976</v>
      </c>
      <c r="D637" s="33" t="s">
        <v>140</v>
      </c>
      <c r="E637" s="11" t="s">
        <v>123</v>
      </c>
      <c r="F637" s="33"/>
      <c r="G637" s="11"/>
      <c r="H637" s="11">
        <f>SUMIFS(X!$F$3:$F$5978,X!$D$3:$D$5978,'Current Stock'!A637)</f>
        <v>0</v>
      </c>
      <c r="I637" s="11">
        <f>SUMIFS(PENJUALAN!$E$4:$E$3651,PENJUALAN!$C$4:$C$3651,'Current Stock'!A637)</f>
        <v>0</v>
      </c>
      <c r="J637" s="15">
        <f t="shared" si="2"/>
        <v>0</v>
      </c>
      <c r="K637" s="11"/>
      <c r="L637" s="11"/>
      <c r="M637" s="11"/>
      <c r="N637" s="11"/>
      <c r="O637" s="17"/>
      <c r="P637" s="17"/>
    </row>
    <row r="638" ht="13.5" customHeight="1">
      <c r="A638" s="11" t="str">
        <f t="shared" si="1"/>
        <v>FDR-C26FY</v>
      </c>
      <c r="B638" s="32" t="s">
        <v>979</v>
      </c>
      <c r="C638" s="33" t="s">
        <v>976</v>
      </c>
      <c r="D638" s="33" t="s">
        <v>142</v>
      </c>
      <c r="E638" s="11" t="s">
        <v>123</v>
      </c>
      <c r="F638" s="33"/>
      <c r="G638" s="11"/>
      <c r="H638" s="11">
        <f>SUMIFS(X!$F$3:$F$5978,X!$D$3:$D$5978,'Current Stock'!A638)</f>
        <v>0</v>
      </c>
      <c r="I638" s="11">
        <f>SUMIFS(PENJUALAN!$E$4:$E$3651,PENJUALAN!$C$4:$C$3651,'Current Stock'!A638)</f>
        <v>0</v>
      </c>
      <c r="J638" s="15">
        <f t="shared" si="2"/>
        <v>0</v>
      </c>
      <c r="K638" s="11"/>
      <c r="L638" s="11"/>
      <c r="M638" s="11"/>
      <c r="N638" s="11"/>
      <c r="O638" s="17"/>
      <c r="P638" s="17"/>
    </row>
    <row r="639" ht="13.5" customHeight="1">
      <c r="A639" s="11" t="str">
        <f t="shared" si="1"/>
        <v>RDL-C26FY</v>
      </c>
      <c r="B639" s="32" t="s">
        <v>980</v>
      </c>
      <c r="C639" s="33" t="s">
        <v>976</v>
      </c>
      <c r="D639" s="33" t="s">
        <v>144</v>
      </c>
      <c r="E639" s="11" t="s">
        <v>123</v>
      </c>
      <c r="F639" s="33"/>
      <c r="G639" s="11"/>
      <c r="H639" s="11">
        <f>SUMIFS(X!$F$3:$F$5978,X!$D$3:$D$5978,'Current Stock'!A639)</f>
        <v>0</v>
      </c>
      <c r="I639" s="11">
        <f>SUMIFS(PENJUALAN!$E$4:$E$3651,PENJUALAN!$C$4:$C$3651,'Current Stock'!A639)</f>
        <v>0</v>
      </c>
      <c r="J639" s="15">
        <f t="shared" si="2"/>
        <v>0</v>
      </c>
      <c r="K639" s="11"/>
      <c r="L639" s="11"/>
      <c r="M639" s="11"/>
      <c r="N639" s="11"/>
      <c r="O639" s="17"/>
      <c r="P639" s="17"/>
    </row>
    <row r="640" ht="13.5" customHeight="1">
      <c r="A640" s="11" t="str">
        <f t="shared" si="1"/>
        <v>RDR-C26FY</v>
      </c>
      <c r="B640" s="32" t="s">
        <v>981</v>
      </c>
      <c r="C640" s="33" t="s">
        <v>976</v>
      </c>
      <c r="D640" s="33" t="s">
        <v>146</v>
      </c>
      <c r="E640" s="11" t="s">
        <v>123</v>
      </c>
      <c r="F640" s="33"/>
      <c r="G640" s="11"/>
      <c r="H640" s="11">
        <f>SUMIFS(X!$F$3:$F$5978,X!$D$3:$D$5978,'Current Stock'!A640)</f>
        <v>0</v>
      </c>
      <c r="I640" s="11">
        <f>SUMIFS(PENJUALAN!$E$4:$E$3651,PENJUALAN!$C$4:$C$3651,'Current Stock'!A640)</f>
        <v>0</v>
      </c>
      <c r="J640" s="15">
        <f t="shared" si="2"/>
        <v>0</v>
      </c>
      <c r="K640" s="11"/>
      <c r="L640" s="11"/>
      <c r="M640" s="11"/>
      <c r="N640" s="11"/>
      <c r="O640" s="17"/>
      <c r="P640" s="17"/>
    </row>
    <row r="641" ht="13.5" customHeight="1">
      <c r="A641" s="11" t="str">
        <f t="shared" si="1"/>
        <v>SWL-C26FY</v>
      </c>
      <c r="B641" s="32" t="s">
        <v>982</v>
      </c>
      <c r="C641" s="33" t="s">
        <v>976</v>
      </c>
      <c r="D641" s="33" t="s">
        <v>209</v>
      </c>
      <c r="E641" s="11" t="s">
        <v>123</v>
      </c>
      <c r="F641" s="33" t="s">
        <v>241</v>
      </c>
      <c r="G641" s="11"/>
      <c r="H641" s="11">
        <f>SUMIFS(X!$F$3:$F$5978,X!$D$3:$D$5978,'Current Stock'!A641)</f>
        <v>0</v>
      </c>
      <c r="I641" s="11">
        <f>SUMIFS(PENJUALAN!$E$4:$E$3651,PENJUALAN!$C$4:$C$3651,'Current Stock'!A641)</f>
        <v>0</v>
      </c>
      <c r="J641" s="15">
        <f t="shared" si="2"/>
        <v>0</v>
      </c>
      <c r="K641" s="11"/>
      <c r="L641" s="11"/>
      <c r="M641" s="11"/>
      <c r="N641" s="11"/>
      <c r="O641" s="17"/>
      <c r="P641" s="17"/>
    </row>
    <row r="642" ht="13.5" customHeight="1">
      <c r="A642" s="11" t="str">
        <f t="shared" si="1"/>
        <v>SWR-C26FY</v>
      </c>
      <c r="B642" s="32" t="s">
        <v>983</v>
      </c>
      <c r="C642" s="33" t="s">
        <v>976</v>
      </c>
      <c r="D642" s="33" t="s">
        <v>243</v>
      </c>
      <c r="E642" s="11" t="s">
        <v>123</v>
      </c>
      <c r="F642" s="33" t="s">
        <v>241</v>
      </c>
      <c r="G642" s="11"/>
      <c r="H642" s="11">
        <f>SUMIFS(X!$F$3:$F$5978,X!$D$3:$D$5978,'Current Stock'!A642)</f>
        <v>0</v>
      </c>
      <c r="I642" s="11">
        <f>SUMIFS(PENJUALAN!$E$4:$E$3651,PENJUALAN!$C$4:$C$3651,'Current Stock'!A642)</f>
        <v>0</v>
      </c>
      <c r="J642" s="15">
        <f t="shared" si="2"/>
        <v>0</v>
      </c>
      <c r="K642" s="11"/>
      <c r="L642" s="11"/>
      <c r="M642" s="11"/>
      <c r="N642" s="11"/>
      <c r="O642" s="17"/>
      <c r="P642" s="17"/>
    </row>
    <row r="643" ht="13.5" customHeight="1">
      <c r="A643" s="11" t="str">
        <f t="shared" si="1"/>
        <v>LFW-T30FY</v>
      </c>
      <c r="B643" s="32" t="s">
        <v>984</v>
      </c>
      <c r="C643" s="33" t="s">
        <v>985</v>
      </c>
      <c r="D643" s="33" t="s">
        <v>60</v>
      </c>
      <c r="E643" s="11" t="s">
        <v>123</v>
      </c>
      <c r="F643" s="33" t="s">
        <v>109</v>
      </c>
      <c r="G643" s="11"/>
      <c r="H643" s="11">
        <f>SUMIFS(X!$F$3:$F$5978,X!$D$3:$D$5978,'Current Stock'!A643)</f>
        <v>2</v>
      </c>
      <c r="I643" s="11">
        <f>SUMIFS(PENJUALAN!$E$4:$E$3651,PENJUALAN!$C$4:$C$3651,'Current Stock'!A643)</f>
        <v>2</v>
      </c>
      <c r="J643" s="15">
        <f t="shared" si="2"/>
        <v>0</v>
      </c>
      <c r="K643" s="11"/>
      <c r="L643" s="11"/>
      <c r="M643" s="11"/>
      <c r="N643" s="11"/>
      <c r="O643" s="17"/>
      <c r="P643" s="17"/>
    </row>
    <row r="644" ht="13.5" customHeight="1">
      <c r="A644" s="11" t="str">
        <f t="shared" si="1"/>
        <v>TRW-T30FY</v>
      </c>
      <c r="B644" s="32" t="s">
        <v>986</v>
      </c>
      <c r="C644" s="33" t="s">
        <v>985</v>
      </c>
      <c r="D644" s="33" t="s">
        <v>62</v>
      </c>
      <c r="E644" s="11" t="s">
        <v>123</v>
      </c>
      <c r="F644" s="33" t="s">
        <v>228</v>
      </c>
      <c r="G644" s="11"/>
      <c r="H644" s="11">
        <f>SUMIFS(X!$F$3:$F$5978,X!$D$3:$D$5978,'Current Stock'!A644)</f>
        <v>0</v>
      </c>
      <c r="I644" s="11">
        <f>SUMIFS(PENJUALAN!$E$4:$E$3651,PENJUALAN!$C$4:$C$3651,'Current Stock'!A644)</f>
        <v>0</v>
      </c>
      <c r="J644" s="15">
        <f t="shared" si="2"/>
        <v>0</v>
      </c>
      <c r="K644" s="11"/>
      <c r="L644" s="11"/>
      <c r="M644" s="11"/>
      <c r="N644" s="11"/>
      <c r="O644" s="17"/>
      <c r="P644" s="17"/>
    </row>
    <row r="645" ht="13.5" customHeight="1">
      <c r="A645" s="11" t="str">
        <f t="shared" si="1"/>
        <v>FDL-T30FY</v>
      </c>
      <c r="B645" s="32" t="s">
        <v>987</v>
      </c>
      <c r="C645" s="33" t="s">
        <v>985</v>
      </c>
      <c r="D645" s="33" t="s">
        <v>140</v>
      </c>
      <c r="E645" s="11" t="s">
        <v>123</v>
      </c>
      <c r="F645" s="33"/>
      <c r="G645" s="11"/>
      <c r="H645" s="11">
        <f>SUMIFS(X!$F$3:$F$5978,X!$D$3:$D$5978,'Current Stock'!A645)</f>
        <v>0</v>
      </c>
      <c r="I645" s="11">
        <f>SUMIFS(PENJUALAN!$E$4:$E$3651,PENJUALAN!$C$4:$C$3651,'Current Stock'!A645)</f>
        <v>0</v>
      </c>
      <c r="J645" s="15">
        <f t="shared" si="2"/>
        <v>0</v>
      </c>
      <c r="K645" s="11"/>
      <c r="L645" s="11"/>
      <c r="M645" s="11"/>
      <c r="N645" s="11"/>
      <c r="O645" s="17"/>
      <c r="P645" s="17"/>
    </row>
    <row r="646" ht="13.5" customHeight="1">
      <c r="A646" s="11" t="str">
        <f t="shared" si="1"/>
        <v>RDL-T30FY</v>
      </c>
      <c r="B646" s="32" t="s">
        <v>988</v>
      </c>
      <c r="C646" s="33" t="s">
        <v>985</v>
      </c>
      <c r="D646" s="33" t="s">
        <v>144</v>
      </c>
      <c r="E646" s="11" t="s">
        <v>123</v>
      </c>
      <c r="F646" s="33"/>
      <c r="G646" s="11"/>
      <c r="H646" s="11">
        <f>SUMIFS(X!$F$3:$F$5978,X!$D$3:$D$5978,'Current Stock'!A646)</f>
        <v>0</v>
      </c>
      <c r="I646" s="11">
        <f>SUMIFS(PENJUALAN!$E$4:$E$3651,PENJUALAN!$C$4:$C$3651,'Current Stock'!A646)</f>
        <v>0</v>
      </c>
      <c r="J646" s="15">
        <f t="shared" si="2"/>
        <v>0</v>
      </c>
      <c r="K646" s="11"/>
      <c r="L646" s="11"/>
      <c r="M646" s="11"/>
      <c r="N646" s="11"/>
      <c r="O646" s="17"/>
      <c r="P646" s="17"/>
    </row>
    <row r="647" ht="13.5" customHeight="1">
      <c r="A647" s="11" t="str">
        <f t="shared" si="1"/>
        <v>RDR-T30FY</v>
      </c>
      <c r="B647" s="32" t="s">
        <v>989</v>
      </c>
      <c r="C647" s="33" t="s">
        <v>985</v>
      </c>
      <c r="D647" s="33" t="s">
        <v>146</v>
      </c>
      <c r="E647" s="11" t="s">
        <v>123</v>
      </c>
      <c r="F647" s="33"/>
      <c r="G647" s="11"/>
      <c r="H647" s="11">
        <f>SUMIFS(X!$F$3:$F$5978,X!$D$3:$D$5978,'Current Stock'!A647)</f>
        <v>0</v>
      </c>
      <c r="I647" s="11">
        <f>SUMIFS(PENJUALAN!$E$4:$E$3651,PENJUALAN!$C$4:$C$3651,'Current Stock'!A647)</f>
        <v>0</v>
      </c>
      <c r="J647" s="15">
        <f t="shared" si="2"/>
        <v>0</v>
      </c>
      <c r="K647" s="11"/>
      <c r="L647" s="11"/>
      <c r="M647" s="11"/>
      <c r="N647" s="11"/>
      <c r="O647" s="17"/>
      <c r="P647" s="17"/>
    </row>
    <row r="648" ht="13.5" customHeight="1">
      <c r="A648" s="11" t="str">
        <f t="shared" si="1"/>
        <v>SWL-T30FY</v>
      </c>
      <c r="B648" s="32" t="s">
        <v>990</v>
      </c>
      <c r="C648" s="33" t="s">
        <v>985</v>
      </c>
      <c r="D648" s="33" t="s">
        <v>209</v>
      </c>
      <c r="E648" s="11" t="s">
        <v>123</v>
      </c>
      <c r="F648" s="33" t="s">
        <v>109</v>
      </c>
      <c r="G648" s="11"/>
      <c r="H648" s="11">
        <f>SUMIFS(X!$F$3:$F$5978,X!$D$3:$D$5978,'Current Stock'!A648)</f>
        <v>0</v>
      </c>
      <c r="I648" s="11">
        <f>SUMIFS(PENJUALAN!$E$4:$E$3651,PENJUALAN!$C$4:$C$3651,'Current Stock'!A648)</f>
        <v>0</v>
      </c>
      <c r="J648" s="15">
        <f t="shared" si="2"/>
        <v>0</v>
      </c>
      <c r="K648" s="11"/>
      <c r="L648" s="11"/>
      <c r="M648" s="11"/>
      <c r="N648" s="11"/>
      <c r="O648" s="17"/>
      <c r="P648" s="17"/>
    </row>
    <row r="649" ht="13.5" customHeight="1">
      <c r="A649" s="11" t="str">
        <f t="shared" si="1"/>
        <v>SWR-T30FY</v>
      </c>
      <c r="B649" s="32" t="s">
        <v>991</v>
      </c>
      <c r="C649" s="33" t="s">
        <v>985</v>
      </c>
      <c r="D649" s="33" t="s">
        <v>243</v>
      </c>
      <c r="E649" s="11" t="s">
        <v>123</v>
      </c>
      <c r="F649" s="33" t="s">
        <v>109</v>
      </c>
      <c r="G649" s="11"/>
      <c r="H649" s="11">
        <f>SUMIFS(X!$F$3:$F$5978,X!$D$3:$D$5978,'Current Stock'!A649)</f>
        <v>0</v>
      </c>
      <c r="I649" s="11">
        <f>SUMIFS(PENJUALAN!$E$4:$E$3651,PENJUALAN!$C$4:$C$3651,'Current Stock'!A649)</f>
        <v>0</v>
      </c>
      <c r="J649" s="15">
        <f t="shared" si="2"/>
        <v>0</v>
      </c>
      <c r="K649" s="11"/>
      <c r="L649" s="11"/>
      <c r="M649" s="11"/>
      <c r="N649" s="11"/>
      <c r="O649" s="17"/>
      <c r="P649" s="17"/>
    </row>
    <row r="650" ht="13.5" customHeight="1">
      <c r="A650" s="11" t="str">
        <f t="shared" si="1"/>
        <v>LFW-T31FY</v>
      </c>
      <c r="B650" s="32" t="s">
        <v>992</v>
      </c>
      <c r="C650" s="33" t="s">
        <v>993</v>
      </c>
      <c r="D650" s="33" t="s">
        <v>60</v>
      </c>
      <c r="E650" s="11" t="s">
        <v>123</v>
      </c>
      <c r="F650" s="33" t="s">
        <v>137</v>
      </c>
      <c r="G650" s="11"/>
      <c r="H650" s="11">
        <f>SUMIFS(X!$F$3:$F$5978,X!$D$3:$D$5978,'Current Stock'!A650)</f>
        <v>0</v>
      </c>
      <c r="I650" s="11">
        <f>SUMIFS(PENJUALAN!$E$4:$E$3651,PENJUALAN!$C$4:$C$3651,'Current Stock'!A650)</f>
        <v>0</v>
      </c>
      <c r="J650" s="15">
        <f t="shared" si="2"/>
        <v>0</v>
      </c>
      <c r="K650" s="11"/>
      <c r="L650" s="11"/>
      <c r="M650" s="11"/>
      <c r="N650" s="11"/>
      <c r="O650" s="17"/>
      <c r="P650" s="17"/>
    </row>
    <row r="651" ht="13.5" customHeight="1">
      <c r="A651" s="11" t="str">
        <f t="shared" si="1"/>
        <v>TRW-T31FY</v>
      </c>
      <c r="B651" s="32" t="s">
        <v>994</v>
      </c>
      <c r="C651" s="33" t="s">
        <v>993</v>
      </c>
      <c r="D651" s="33" t="s">
        <v>62</v>
      </c>
      <c r="E651" s="11" t="s">
        <v>123</v>
      </c>
      <c r="F651" s="33" t="s">
        <v>228</v>
      </c>
      <c r="G651" s="11"/>
      <c r="H651" s="11">
        <f>SUMIFS(X!$F$3:$F$5978,X!$D$3:$D$5978,'Current Stock'!A651)</f>
        <v>0</v>
      </c>
      <c r="I651" s="11">
        <f>SUMIFS(PENJUALAN!$E$4:$E$3651,PENJUALAN!$C$4:$C$3651,'Current Stock'!A651)</f>
        <v>0</v>
      </c>
      <c r="J651" s="15">
        <f t="shared" si="2"/>
        <v>0</v>
      </c>
      <c r="K651" s="11"/>
      <c r="L651" s="11"/>
      <c r="M651" s="11"/>
      <c r="N651" s="11"/>
      <c r="O651" s="17"/>
      <c r="P651" s="17"/>
    </row>
    <row r="652" ht="13.5" customHeight="1">
      <c r="A652" s="11" t="str">
        <f t="shared" si="1"/>
        <v>FDL-T31FY</v>
      </c>
      <c r="B652" s="32" t="s">
        <v>995</v>
      </c>
      <c r="C652" s="33" t="s">
        <v>993</v>
      </c>
      <c r="D652" s="33" t="s">
        <v>140</v>
      </c>
      <c r="E652" s="11" t="s">
        <v>123</v>
      </c>
      <c r="F652" s="33"/>
      <c r="G652" s="11"/>
      <c r="H652" s="11">
        <f>SUMIFS(X!$F$3:$F$5978,X!$D$3:$D$5978,'Current Stock'!A652)</f>
        <v>0</v>
      </c>
      <c r="I652" s="11">
        <f>SUMIFS(PENJUALAN!$E$4:$E$3651,PENJUALAN!$C$4:$C$3651,'Current Stock'!A652)</f>
        <v>0</v>
      </c>
      <c r="J652" s="15">
        <f t="shared" si="2"/>
        <v>0</v>
      </c>
      <c r="K652" s="11"/>
      <c r="L652" s="11"/>
      <c r="M652" s="11"/>
      <c r="N652" s="11"/>
      <c r="O652" s="17"/>
      <c r="P652" s="17"/>
    </row>
    <row r="653" ht="13.5" customHeight="1">
      <c r="A653" s="11" t="str">
        <f t="shared" si="1"/>
        <v>FDR-T31FY</v>
      </c>
      <c r="B653" s="32" t="s">
        <v>996</v>
      </c>
      <c r="C653" s="33" t="s">
        <v>993</v>
      </c>
      <c r="D653" s="33" t="s">
        <v>142</v>
      </c>
      <c r="E653" s="11" t="s">
        <v>123</v>
      </c>
      <c r="F653" s="33"/>
      <c r="G653" s="11"/>
      <c r="H653" s="11">
        <f>SUMIFS(X!$F$3:$F$5978,X!$D$3:$D$5978,'Current Stock'!A653)</f>
        <v>0</v>
      </c>
      <c r="I653" s="11">
        <f>SUMIFS(PENJUALAN!$E$4:$E$3651,PENJUALAN!$C$4:$C$3651,'Current Stock'!A653)</f>
        <v>0</v>
      </c>
      <c r="J653" s="15">
        <f t="shared" si="2"/>
        <v>0</v>
      </c>
      <c r="K653" s="11"/>
      <c r="L653" s="11"/>
      <c r="M653" s="11"/>
      <c r="N653" s="11"/>
      <c r="O653" s="17"/>
      <c r="P653" s="17"/>
    </row>
    <row r="654" ht="13.5" customHeight="1">
      <c r="A654" s="11" t="str">
        <f t="shared" si="1"/>
        <v>RDL-T31FY</v>
      </c>
      <c r="B654" s="32" t="s">
        <v>997</v>
      </c>
      <c r="C654" s="33" t="s">
        <v>993</v>
      </c>
      <c r="D654" s="33" t="s">
        <v>144</v>
      </c>
      <c r="E654" s="11" t="s">
        <v>123</v>
      </c>
      <c r="F654" s="33"/>
      <c r="G654" s="11"/>
      <c r="H654" s="11">
        <f>SUMIFS(X!$F$3:$F$5978,X!$D$3:$D$5978,'Current Stock'!A654)</f>
        <v>0</v>
      </c>
      <c r="I654" s="11">
        <f>SUMIFS(PENJUALAN!$E$4:$E$3651,PENJUALAN!$C$4:$C$3651,'Current Stock'!A654)</f>
        <v>0</v>
      </c>
      <c r="J654" s="15">
        <f t="shared" si="2"/>
        <v>0</v>
      </c>
      <c r="K654" s="11"/>
      <c r="L654" s="11"/>
      <c r="M654" s="11"/>
      <c r="N654" s="11"/>
      <c r="O654" s="17"/>
      <c r="P654" s="17"/>
    </row>
    <row r="655" ht="13.5" customHeight="1">
      <c r="A655" s="11" t="str">
        <f t="shared" si="1"/>
        <v>RDR-T31FY</v>
      </c>
      <c r="B655" s="32" t="s">
        <v>998</v>
      </c>
      <c r="C655" s="33" t="s">
        <v>993</v>
      </c>
      <c r="D655" s="33" t="s">
        <v>146</v>
      </c>
      <c r="E655" s="11" t="s">
        <v>123</v>
      </c>
      <c r="F655" s="33"/>
      <c r="G655" s="11"/>
      <c r="H655" s="11">
        <f>SUMIFS(X!$F$3:$F$5978,X!$D$3:$D$5978,'Current Stock'!A655)</f>
        <v>0</v>
      </c>
      <c r="I655" s="11">
        <f>SUMIFS(PENJUALAN!$E$4:$E$3651,PENJUALAN!$C$4:$C$3651,'Current Stock'!A655)</f>
        <v>0</v>
      </c>
      <c r="J655" s="15">
        <f t="shared" si="2"/>
        <v>0</v>
      </c>
      <c r="K655" s="11"/>
      <c r="L655" s="11"/>
      <c r="M655" s="11"/>
      <c r="N655" s="11"/>
      <c r="O655" s="17"/>
      <c r="P655" s="17"/>
    </row>
    <row r="656" ht="13.5" customHeight="1">
      <c r="A656" s="11" t="str">
        <f t="shared" si="1"/>
        <v>LFW-T32FY</v>
      </c>
      <c r="B656" s="32" t="s">
        <v>999</v>
      </c>
      <c r="C656" s="33" t="s">
        <v>1000</v>
      </c>
      <c r="D656" s="33" t="s">
        <v>60</v>
      </c>
      <c r="E656" s="11" t="s">
        <v>123</v>
      </c>
      <c r="F656" s="33" t="s">
        <v>90</v>
      </c>
      <c r="G656" s="11"/>
      <c r="H656" s="11">
        <f>SUMIFS(X!$F$3:$F$5978,X!$D$3:$D$5978,'Current Stock'!A656)</f>
        <v>0</v>
      </c>
      <c r="I656" s="11">
        <f>SUMIFS(PENJUALAN!$E$4:$E$3651,PENJUALAN!$C$4:$C$3651,'Current Stock'!A656)</f>
        <v>0</v>
      </c>
      <c r="J656" s="15">
        <f t="shared" si="2"/>
        <v>0</v>
      </c>
      <c r="K656" s="11"/>
      <c r="L656" s="11"/>
      <c r="M656" s="11"/>
      <c r="N656" s="11"/>
      <c r="O656" s="17"/>
      <c r="P656" s="17"/>
    </row>
    <row r="657" ht="13.5" customHeight="1">
      <c r="A657" s="11" t="str">
        <f t="shared" si="1"/>
        <v>TRW-T32FY</v>
      </c>
      <c r="B657" s="32" t="s">
        <v>1001</v>
      </c>
      <c r="C657" s="33" t="s">
        <v>1002</v>
      </c>
      <c r="D657" s="33" t="s">
        <v>62</v>
      </c>
      <c r="E657" s="11" t="s">
        <v>123</v>
      </c>
      <c r="F657" s="33" t="s">
        <v>228</v>
      </c>
      <c r="G657" s="11"/>
      <c r="H657" s="11">
        <f>SUMIFS(X!$F$3:$F$5978,X!$D$3:$D$5978,'Current Stock'!A657)</f>
        <v>0</v>
      </c>
      <c r="I657" s="11">
        <f>SUMIFS(PENJUALAN!$E$4:$E$3651,PENJUALAN!$C$4:$C$3651,'Current Stock'!A657)</f>
        <v>0</v>
      </c>
      <c r="J657" s="15">
        <f t="shared" si="2"/>
        <v>0</v>
      </c>
      <c r="K657" s="11"/>
      <c r="L657" s="11"/>
      <c r="M657" s="11"/>
      <c r="N657" s="11"/>
      <c r="O657" s="17"/>
      <c r="P657" s="17"/>
    </row>
    <row r="658" ht="13.5" customHeight="1">
      <c r="A658" s="11" t="str">
        <f t="shared" si="1"/>
        <v>FDL-T32FY</v>
      </c>
      <c r="B658" s="32" t="s">
        <v>1003</v>
      </c>
      <c r="C658" s="33" t="s">
        <v>1002</v>
      </c>
      <c r="D658" s="33" t="s">
        <v>140</v>
      </c>
      <c r="E658" s="11" t="s">
        <v>123</v>
      </c>
      <c r="F658" s="33"/>
      <c r="G658" s="11"/>
      <c r="H658" s="11">
        <f>SUMIFS(X!$F$3:$F$5978,X!$D$3:$D$5978,'Current Stock'!A658)</f>
        <v>0</v>
      </c>
      <c r="I658" s="11">
        <f>SUMIFS(PENJUALAN!$E$4:$E$3651,PENJUALAN!$C$4:$C$3651,'Current Stock'!A658)</f>
        <v>0</v>
      </c>
      <c r="J658" s="15">
        <f t="shared" si="2"/>
        <v>0</v>
      </c>
      <c r="K658" s="11"/>
      <c r="L658" s="11"/>
      <c r="M658" s="11"/>
      <c r="N658" s="11"/>
      <c r="O658" s="17"/>
      <c r="P658" s="17"/>
    </row>
    <row r="659" ht="13.5" customHeight="1">
      <c r="A659" s="11" t="str">
        <f t="shared" si="1"/>
        <v>FDR-T32FY</v>
      </c>
      <c r="B659" s="32" t="s">
        <v>1004</v>
      </c>
      <c r="C659" s="33" t="s">
        <v>1002</v>
      </c>
      <c r="D659" s="33" t="s">
        <v>142</v>
      </c>
      <c r="E659" s="11" t="s">
        <v>123</v>
      </c>
      <c r="F659" s="33"/>
      <c r="G659" s="11"/>
      <c r="H659" s="11">
        <f>SUMIFS(X!$F$3:$F$5978,X!$D$3:$D$5978,'Current Stock'!A659)</f>
        <v>0</v>
      </c>
      <c r="I659" s="11">
        <f>SUMIFS(PENJUALAN!$E$4:$E$3651,PENJUALAN!$C$4:$C$3651,'Current Stock'!A659)</f>
        <v>0</v>
      </c>
      <c r="J659" s="15">
        <f t="shared" si="2"/>
        <v>0</v>
      </c>
      <c r="K659" s="11"/>
      <c r="L659" s="11"/>
      <c r="M659" s="11"/>
      <c r="N659" s="11"/>
      <c r="O659" s="17"/>
      <c r="P659" s="17"/>
    </row>
    <row r="660" ht="13.5" customHeight="1">
      <c r="A660" s="11" t="str">
        <f t="shared" si="1"/>
        <v>RDL-T32FY</v>
      </c>
      <c r="B660" s="32" t="s">
        <v>1005</v>
      </c>
      <c r="C660" s="33" t="s">
        <v>1002</v>
      </c>
      <c r="D660" s="33" t="s">
        <v>144</v>
      </c>
      <c r="E660" s="11" t="s">
        <v>123</v>
      </c>
      <c r="F660" s="33"/>
      <c r="G660" s="11"/>
      <c r="H660" s="11">
        <f>SUMIFS(X!$F$3:$F$5978,X!$D$3:$D$5978,'Current Stock'!A660)</f>
        <v>0</v>
      </c>
      <c r="I660" s="11">
        <f>SUMIFS(PENJUALAN!$E$4:$E$3651,PENJUALAN!$C$4:$C$3651,'Current Stock'!A660)</f>
        <v>0</v>
      </c>
      <c r="J660" s="15">
        <f t="shared" si="2"/>
        <v>0</v>
      </c>
      <c r="K660" s="11"/>
      <c r="L660" s="11"/>
      <c r="M660" s="11"/>
      <c r="N660" s="11"/>
      <c r="O660" s="17"/>
      <c r="P660" s="17"/>
    </row>
    <row r="661" ht="13.5" customHeight="1">
      <c r="A661" s="11" t="str">
        <f t="shared" si="1"/>
        <v>RDR-T32FY</v>
      </c>
      <c r="B661" s="32" t="s">
        <v>1006</v>
      </c>
      <c r="C661" s="33" t="s">
        <v>1002</v>
      </c>
      <c r="D661" s="33" t="s">
        <v>146</v>
      </c>
      <c r="E661" s="11" t="s">
        <v>123</v>
      </c>
      <c r="F661" s="33"/>
      <c r="G661" s="11"/>
      <c r="H661" s="11">
        <f>SUMIFS(X!$F$3:$F$5978,X!$D$3:$D$5978,'Current Stock'!A661)</f>
        <v>0</v>
      </c>
      <c r="I661" s="11">
        <f>SUMIFS(PENJUALAN!$E$4:$E$3651,PENJUALAN!$C$4:$C$3651,'Current Stock'!A661)</f>
        <v>0</v>
      </c>
      <c r="J661" s="15">
        <f t="shared" si="2"/>
        <v>0</v>
      </c>
      <c r="K661" s="11"/>
      <c r="L661" s="11"/>
      <c r="M661" s="11"/>
      <c r="N661" s="11"/>
      <c r="O661" s="17"/>
      <c r="P661" s="17"/>
    </row>
    <row r="662" ht="13.5" customHeight="1">
      <c r="A662" s="11" t="str">
        <f t="shared" si="1"/>
        <v>LFW-OPELFY</v>
      </c>
      <c r="B662" s="32" t="s">
        <v>1007</v>
      </c>
      <c r="C662" s="33" t="s">
        <v>1008</v>
      </c>
      <c r="D662" s="33" t="s">
        <v>60</v>
      </c>
      <c r="E662" s="11" t="s">
        <v>123</v>
      </c>
      <c r="F662" s="33" t="s">
        <v>137</v>
      </c>
      <c r="G662" s="11"/>
      <c r="H662" s="11">
        <f>SUMIFS(X!$F$3:$F$5978,X!$D$3:$D$5978,'Current Stock'!A662)</f>
        <v>0</v>
      </c>
      <c r="I662" s="11">
        <f>SUMIFS(PENJUALAN!$E$4:$E$3651,PENJUALAN!$C$4:$C$3651,'Current Stock'!A662)</f>
        <v>0</v>
      </c>
      <c r="J662" s="15">
        <f t="shared" si="2"/>
        <v>0</v>
      </c>
      <c r="K662" s="11"/>
      <c r="L662" s="11"/>
      <c r="M662" s="11"/>
      <c r="N662" s="11"/>
      <c r="O662" s="17"/>
      <c r="P662" s="17"/>
    </row>
    <row r="663" ht="13.5" customHeight="1">
      <c r="A663" s="11" t="str">
        <f t="shared" si="1"/>
        <v>LFW-PEU307RSBULATFY</v>
      </c>
      <c r="B663" s="32" t="s">
        <v>1009</v>
      </c>
      <c r="C663" s="33" t="s">
        <v>1010</v>
      </c>
      <c r="D663" s="33" t="s">
        <v>60</v>
      </c>
      <c r="E663" s="11" t="s">
        <v>123</v>
      </c>
      <c r="F663" s="33" t="s">
        <v>314</v>
      </c>
      <c r="G663" s="11"/>
      <c r="H663" s="11">
        <f>SUMIFS(X!$F$3:$F$5978,X!$D$3:$D$5978,'Current Stock'!A663)</f>
        <v>0</v>
      </c>
      <c r="I663" s="11">
        <f>SUMIFS(PENJUALAN!$E$4:$E$3651,PENJUALAN!$C$4:$C$3651,'Current Stock'!A663)</f>
        <v>0</v>
      </c>
      <c r="J663" s="15">
        <f t="shared" si="2"/>
        <v>0</v>
      </c>
      <c r="K663" s="11"/>
      <c r="L663" s="11"/>
      <c r="M663" s="11"/>
      <c r="N663" s="11"/>
      <c r="O663" s="17"/>
      <c r="P663" s="17"/>
    </row>
    <row r="664" ht="13.5" customHeight="1">
      <c r="A664" s="11" t="str">
        <f t="shared" si="1"/>
        <v>LFW-PEU307RSKOTAKFY</v>
      </c>
      <c r="B664" s="32" t="s">
        <v>1011</v>
      </c>
      <c r="C664" s="33" t="s">
        <v>1012</v>
      </c>
      <c r="D664" s="33" t="s">
        <v>60</v>
      </c>
      <c r="E664" s="11" t="s">
        <v>123</v>
      </c>
      <c r="F664" s="33" t="s">
        <v>314</v>
      </c>
      <c r="G664" s="11"/>
      <c r="H664" s="11">
        <f>SUMIFS(X!$F$3:$F$5978,X!$D$3:$D$5978,'Current Stock'!A664)</f>
        <v>0</v>
      </c>
      <c r="I664" s="11">
        <f>SUMIFS(PENJUALAN!$E$4:$E$3651,PENJUALAN!$C$4:$C$3651,'Current Stock'!A664)</f>
        <v>0</v>
      </c>
      <c r="J664" s="15">
        <f t="shared" si="2"/>
        <v>0</v>
      </c>
      <c r="K664" s="11"/>
      <c r="L664" s="11"/>
      <c r="M664" s="11"/>
      <c r="N664" s="11"/>
      <c r="O664" s="17"/>
      <c r="P664" s="17"/>
    </row>
    <row r="665" ht="13.5" customHeight="1">
      <c r="A665" s="11" t="str">
        <f t="shared" si="1"/>
        <v>TRW-PEU307HATCHFY</v>
      </c>
      <c r="B665" s="32" t="s">
        <v>1013</v>
      </c>
      <c r="C665" s="33" t="s">
        <v>1014</v>
      </c>
      <c r="D665" s="33" t="s">
        <v>62</v>
      </c>
      <c r="E665" s="11" t="s">
        <v>123</v>
      </c>
      <c r="F665" s="33" t="s">
        <v>228</v>
      </c>
      <c r="G665" s="11"/>
      <c r="H665" s="11">
        <f>SUMIFS(X!$F$3:$F$5978,X!$D$3:$D$5978,'Current Stock'!A665)</f>
        <v>0</v>
      </c>
      <c r="I665" s="11">
        <f>SUMIFS(PENJUALAN!$E$4:$E$3651,PENJUALAN!$C$4:$C$3651,'Current Stock'!A665)</f>
        <v>0</v>
      </c>
      <c r="J665" s="15">
        <f t="shared" si="2"/>
        <v>0</v>
      </c>
      <c r="K665" s="11"/>
      <c r="L665" s="11"/>
      <c r="M665" s="11"/>
      <c r="N665" s="11"/>
      <c r="O665" s="17"/>
      <c r="P665" s="17"/>
    </row>
    <row r="666" ht="13.5" customHeight="1">
      <c r="A666" s="11" t="str">
        <f t="shared" si="1"/>
        <v>TRW-PEU307SEDANFY</v>
      </c>
      <c r="B666" s="32" t="s">
        <v>1015</v>
      </c>
      <c r="C666" s="33" t="s">
        <v>1016</v>
      </c>
      <c r="D666" s="33" t="s">
        <v>62</v>
      </c>
      <c r="E666" s="11" t="s">
        <v>123</v>
      </c>
      <c r="F666" s="33" t="s">
        <v>228</v>
      </c>
      <c r="G666" s="11"/>
      <c r="H666" s="11">
        <f>SUMIFS(X!$F$3:$F$5978,X!$D$3:$D$5978,'Current Stock'!A666)</f>
        <v>0</v>
      </c>
      <c r="I666" s="11">
        <f>SUMIFS(PENJUALAN!$E$4:$E$3651,PENJUALAN!$C$4:$C$3651,'Current Stock'!A666)</f>
        <v>0</v>
      </c>
      <c r="J666" s="15">
        <f t="shared" si="2"/>
        <v>0</v>
      </c>
      <c r="K666" s="11"/>
      <c r="L666" s="11"/>
      <c r="M666" s="11"/>
      <c r="N666" s="11"/>
      <c r="O666" s="17"/>
      <c r="P666" s="17"/>
    </row>
    <row r="667" ht="13.5" customHeight="1">
      <c r="A667" s="11" t="str">
        <f t="shared" si="1"/>
        <v>LFW-RANGEROVER4DFY</v>
      </c>
      <c r="B667" s="32" t="s">
        <v>1017</v>
      </c>
      <c r="C667" s="35" t="s">
        <v>1018</v>
      </c>
      <c r="D667" s="33" t="s">
        <v>60</v>
      </c>
      <c r="E667" s="11" t="s">
        <v>123</v>
      </c>
      <c r="F667" s="33" t="s">
        <v>314</v>
      </c>
      <c r="G667" s="11"/>
      <c r="H667" s="11">
        <f>SUMIFS(X!$F$3:$F$5978,X!$D$3:$D$5978,'Current Stock'!A667)</f>
        <v>0</v>
      </c>
      <c r="I667" s="11">
        <f>SUMIFS(PENJUALAN!$E$4:$E$3651,PENJUALAN!$C$4:$C$3651,'Current Stock'!A667)</f>
        <v>0</v>
      </c>
      <c r="J667" s="15">
        <f t="shared" si="2"/>
        <v>0</v>
      </c>
      <c r="K667" s="11"/>
      <c r="L667" s="11"/>
      <c r="M667" s="11"/>
      <c r="N667" s="11"/>
      <c r="O667" s="17"/>
      <c r="P667" s="17"/>
    </row>
    <row r="668" ht="13.5" customHeight="1">
      <c r="A668" s="11" t="str">
        <f t="shared" si="1"/>
        <v>TRW-RANGEROVERFY</v>
      </c>
      <c r="B668" s="32" t="s">
        <v>1019</v>
      </c>
      <c r="C668" s="33" t="s">
        <v>1020</v>
      </c>
      <c r="D668" s="33" t="s">
        <v>62</v>
      </c>
      <c r="E668" s="11" t="s">
        <v>123</v>
      </c>
      <c r="F668" s="33" t="s">
        <v>83</v>
      </c>
      <c r="G668" s="11"/>
      <c r="H668" s="11">
        <f>SUMIFS(X!$F$3:$F$5978,X!$D$3:$D$5978,'Current Stock'!A668)</f>
        <v>0</v>
      </c>
      <c r="I668" s="11">
        <f>SUMIFS(PENJUALAN!$E$4:$E$3651,PENJUALAN!$C$4:$C$3651,'Current Stock'!A668)</f>
        <v>0</v>
      </c>
      <c r="J668" s="15">
        <f t="shared" si="2"/>
        <v>0</v>
      </c>
      <c r="K668" s="11"/>
      <c r="L668" s="11"/>
      <c r="M668" s="11"/>
      <c r="N668" s="11"/>
      <c r="O668" s="17"/>
      <c r="P668" s="17"/>
    </row>
    <row r="669" ht="13.5" customHeight="1">
      <c r="A669" s="11" t="str">
        <f t="shared" si="1"/>
        <v>TRW-AERIOFY</v>
      </c>
      <c r="B669" s="32" t="s">
        <v>1021</v>
      </c>
      <c r="C669" s="33" t="s">
        <v>1022</v>
      </c>
      <c r="D669" s="33" t="s">
        <v>62</v>
      </c>
      <c r="E669" s="11" t="s">
        <v>123</v>
      </c>
      <c r="F669" s="33" t="s">
        <v>83</v>
      </c>
      <c r="G669" s="11"/>
      <c r="H669" s="11">
        <f>SUMIFS(X!$F$3:$F$5978,X!$D$3:$D$5978,'Current Stock'!A669)</f>
        <v>0</v>
      </c>
      <c r="I669" s="11">
        <f>SUMIFS(PENJUALAN!$E$4:$E$3651,PENJUALAN!$C$4:$C$3651,'Current Stock'!A669)</f>
        <v>0</v>
      </c>
      <c r="J669" s="15">
        <f t="shared" si="2"/>
        <v>0</v>
      </c>
      <c r="K669" s="11"/>
      <c r="L669" s="11"/>
      <c r="M669" s="11"/>
      <c r="N669" s="11"/>
      <c r="O669" s="17"/>
      <c r="P669" s="17"/>
    </row>
    <row r="670" ht="13.5" customHeight="1">
      <c r="A670" s="11" t="str">
        <f t="shared" si="1"/>
        <v>LFW-APVFY</v>
      </c>
      <c r="B670" s="32" t="s">
        <v>1023</v>
      </c>
      <c r="C670" s="33" t="s">
        <v>1024</v>
      </c>
      <c r="D670" s="33" t="s">
        <v>60</v>
      </c>
      <c r="E670" s="11" t="s">
        <v>123</v>
      </c>
      <c r="F670" s="33" t="s">
        <v>109</v>
      </c>
      <c r="G670" s="11"/>
      <c r="H670" s="11">
        <f>SUMIFS(X!$F$3:$F$5978,X!$D$3:$D$5978,'Current Stock'!A670)</f>
        <v>0</v>
      </c>
      <c r="I670" s="11">
        <f>SUMIFS(PENJUALAN!$E$4:$E$3651,PENJUALAN!$C$4:$C$3651,'Current Stock'!A670)</f>
        <v>0</v>
      </c>
      <c r="J670" s="15">
        <f t="shared" si="2"/>
        <v>0</v>
      </c>
      <c r="K670" s="11"/>
      <c r="L670" s="11"/>
      <c r="M670" s="11"/>
      <c r="N670" s="11"/>
      <c r="O670" s="17"/>
      <c r="P670" s="17"/>
    </row>
    <row r="671" ht="13.5" customHeight="1">
      <c r="A671" s="11" t="str">
        <f t="shared" si="1"/>
        <v>LFW-ERTIGA12FY</v>
      </c>
      <c r="B671" s="32" t="s">
        <v>1025</v>
      </c>
      <c r="C671" s="33" t="s">
        <v>1026</v>
      </c>
      <c r="D671" s="33" t="s">
        <v>60</v>
      </c>
      <c r="E671" s="11" t="s">
        <v>123</v>
      </c>
      <c r="F671" s="33" t="s">
        <v>109</v>
      </c>
      <c r="G671" s="11"/>
      <c r="H671" s="11">
        <f>SUMIFS(X!$F$3:$F$5978,X!$D$3:$D$5978,'Current Stock'!A671)</f>
        <v>0</v>
      </c>
      <c r="I671" s="11">
        <f>SUMIFS(PENJUALAN!$E$4:$E$3651,PENJUALAN!$C$4:$C$3651,'Current Stock'!A671)</f>
        <v>0</v>
      </c>
      <c r="J671" s="15">
        <f t="shared" si="2"/>
        <v>0</v>
      </c>
      <c r="K671" s="11"/>
      <c r="L671" s="11"/>
      <c r="M671" s="11"/>
      <c r="N671" s="11"/>
      <c r="O671" s="17"/>
      <c r="P671" s="17"/>
    </row>
    <row r="672" ht="13.5" customHeight="1">
      <c r="A672" s="11" t="str">
        <f t="shared" si="1"/>
        <v>LFW-SPLASHFY</v>
      </c>
      <c r="B672" s="32" t="s">
        <v>1027</v>
      </c>
      <c r="C672" s="33" t="s">
        <v>1028</v>
      </c>
      <c r="D672" s="33" t="s">
        <v>60</v>
      </c>
      <c r="E672" s="11" t="s">
        <v>123</v>
      </c>
      <c r="F672" s="33" t="s">
        <v>109</v>
      </c>
      <c r="G672" s="11"/>
      <c r="H672" s="11">
        <f>SUMIFS(X!$F$3:$F$5978,X!$D$3:$D$5978,'Current Stock'!A672)</f>
        <v>0</v>
      </c>
      <c r="I672" s="11">
        <f>SUMIFS(PENJUALAN!$E$4:$E$3651,PENJUALAN!$C$4:$C$3651,'Current Stock'!A672)</f>
        <v>0</v>
      </c>
      <c r="J672" s="15">
        <f t="shared" si="2"/>
        <v>0</v>
      </c>
      <c r="K672" s="11"/>
      <c r="L672" s="11"/>
      <c r="M672" s="11"/>
      <c r="N672" s="11"/>
      <c r="O672" s="17"/>
      <c r="P672" s="17"/>
    </row>
    <row r="673" ht="13.5" customHeight="1">
      <c r="A673" s="11" t="str">
        <f t="shared" si="1"/>
        <v>LFW-ALPHARD02PIL</v>
      </c>
      <c r="B673" s="32" t="s">
        <v>1029</v>
      </c>
      <c r="C673" s="33" t="s">
        <v>1030</v>
      </c>
      <c r="D673" s="33" t="s">
        <v>60</v>
      </c>
      <c r="E673" s="11" t="s">
        <v>89</v>
      </c>
      <c r="F673" s="33" t="s">
        <v>137</v>
      </c>
      <c r="G673" s="11"/>
      <c r="H673" s="11">
        <f>SUMIFS(X!$F$3:$F$5978,X!$D$3:$D$5978,'Current Stock'!A673)</f>
        <v>0</v>
      </c>
      <c r="I673" s="11">
        <f>SUMIFS(PENJUALAN!$E$4:$E$3651,PENJUALAN!$C$4:$C$3651,'Current Stock'!A673)</f>
        <v>0</v>
      </c>
      <c r="J673" s="15">
        <f t="shared" si="2"/>
        <v>0</v>
      </c>
      <c r="K673" s="13"/>
      <c r="L673" s="13"/>
      <c r="M673" s="11"/>
      <c r="N673" s="11"/>
      <c r="O673" s="17"/>
      <c r="P673" s="17"/>
    </row>
    <row r="674" ht="13.5" customHeight="1">
      <c r="A674" s="11" t="str">
        <f t="shared" si="1"/>
        <v>LFW-ALPHARD02FY</v>
      </c>
      <c r="B674" s="32" t="s">
        <v>1029</v>
      </c>
      <c r="C674" s="33" t="s">
        <v>1030</v>
      </c>
      <c r="D674" s="33" t="s">
        <v>60</v>
      </c>
      <c r="E674" s="11" t="s">
        <v>123</v>
      </c>
      <c r="F674" s="33" t="s">
        <v>137</v>
      </c>
      <c r="G674" s="11"/>
      <c r="H674" s="11">
        <f>SUMIFS(X!$F$3:$F$5978,X!$D$3:$D$5978,'Current Stock'!A674)</f>
        <v>0</v>
      </c>
      <c r="I674" s="11">
        <f>SUMIFS(PENJUALAN!$E$4:$E$3651,PENJUALAN!$C$4:$C$3651,'Current Stock'!A674)</f>
        <v>0</v>
      </c>
      <c r="J674" s="15">
        <f t="shared" si="2"/>
        <v>0</v>
      </c>
      <c r="K674" s="11"/>
      <c r="L674" s="11"/>
      <c r="M674" s="11"/>
      <c r="N674" s="11"/>
      <c r="O674" s="17"/>
      <c r="P674" s="17"/>
    </row>
    <row r="675" ht="13.5" customHeight="1">
      <c r="A675" s="11" t="str">
        <f t="shared" si="1"/>
        <v>TRW-ALPHARD02FY</v>
      </c>
      <c r="B675" s="32" t="s">
        <v>1031</v>
      </c>
      <c r="C675" s="33" t="s">
        <v>1030</v>
      </c>
      <c r="D675" s="33" t="s">
        <v>62</v>
      </c>
      <c r="E675" s="11" t="s">
        <v>123</v>
      </c>
      <c r="F675" s="33" t="s">
        <v>83</v>
      </c>
      <c r="G675" s="11"/>
      <c r="H675" s="11">
        <f>SUMIFS(X!$F$3:$F$5978,X!$D$3:$D$5978,'Current Stock'!A675)</f>
        <v>0</v>
      </c>
      <c r="I675" s="11">
        <f>SUMIFS(PENJUALAN!$E$4:$E$3651,PENJUALAN!$C$4:$C$3651,'Current Stock'!A675)</f>
        <v>0</v>
      </c>
      <c r="J675" s="15">
        <f t="shared" si="2"/>
        <v>0</v>
      </c>
      <c r="K675" s="11"/>
      <c r="L675" s="11"/>
      <c r="M675" s="11"/>
      <c r="N675" s="11"/>
      <c r="O675" s="17"/>
      <c r="P675" s="17"/>
    </row>
    <row r="676" ht="13.5" customHeight="1">
      <c r="A676" s="11" t="str">
        <f t="shared" si="1"/>
        <v>TRW-ALPHARD02BLACKFY</v>
      </c>
      <c r="B676" s="32" t="s">
        <v>1032</v>
      </c>
      <c r="C676" s="33" t="s">
        <v>1033</v>
      </c>
      <c r="D676" s="33" t="s">
        <v>62</v>
      </c>
      <c r="E676" s="11" t="s">
        <v>123</v>
      </c>
      <c r="F676" s="33" t="s">
        <v>83</v>
      </c>
      <c r="G676" s="11"/>
      <c r="H676" s="11">
        <f>SUMIFS(X!$F$3:$F$5978,X!$D$3:$D$5978,'Current Stock'!A676)</f>
        <v>0</v>
      </c>
      <c r="I676" s="11">
        <f>SUMIFS(PENJUALAN!$E$4:$E$3651,PENJUALAN!$C$4:$C$3651,'Current Stock'!A676)</f>
        <v>0</v>
      </c>
      <c r="J676" s="15">
        <f t="shared" si="2"/>
        <v>0</v>
      </c>
      <c r="K676" s="11"/>
      <c r="L676" s="11"/>
      <c r="M676" s="11"/>
      <c r="N676" s="11"/>
      <c r="O676" s="17"/>
      <c r="P676" s="17"/>
    </row>
    <row r="677" ht="13.5" customHeight="1">
      <c r="A677" s="11" t="str">
        <f t="shared" si="1"/>
        <v>FDL-ALPHARD02FY</v>
      </c>
      <c r="B677" s="32" t="s">
        <v>1034</v>
      </c>
      <c r="C677" s="33" t="s">
        <v>1030</v>
      </c>
      <c r="D677" s="33" t="s">
        <v>140</v>
      </c>
      <c r="E677" s="11" t="s">
        <v>123</v>
      </c>
      <c r="F677" s="33"/>
      <c r="G677" s="11"/>
      <c r="H677" s="11">
        <f>SUMIFS(X!$F$3:$F$5978,X!$D$3:$D$5978,'Current Stock'!A677)</f>
        <v>0</v>
      </c>
      <c r="I677" s="11">
        <f>SUMIFS(PENJUALAN!$E$4:$E$3651,PENJUALAN!$C$4:$C$3651,'Current Stock'!A677)</f>
        <v>0</v>
      </c>
      <c r="J677" s="15">
        <f t="shared" si="2"/>
        <v>0</v>
      </c>
      <c r="K677" s="11"/>
      <c r="L677" s="11"/>
      <c r="M677" s="11"/>
      <c r="N677" s="11"/>
      <c r="O677" s="17"/>
      <c r="P677" s="17"/>
    </row>
    <row r="678" ht="13.5" customHeight="1">
      <c r="A678" s="11" t="str">
        <f t="shared" si="1"/>
        <v>FDR-ALPHARD02FY</v>
      </c>
      <c r="B678" s="32" t="s">
        <v>1035</v>
      </c>
      <c r="C678" s="33" t="s">
        <v>1030</v>
      </c>
      <c r="D678" s="33" t="s">
        <v>142</v>
      </c>
      <c r="E678" s="11" t="s">
        <v>123</v>
      </c>
      <c r="F678" s="33"/>
      <c r="G678" s="11"/>
      <c r="H678" s="11">
        <f>SUMIFS(X!$F$3:$F$5978,X!$D$3:$D$5978,'Current Stock'!A678)</f>
        <v>0</v>
      </c>
      <c r="I678" s="11">
        <f>SUMIFS(PENJUALAN!$E$4:$E$3651,PENJUALAN!$C$4:$C$3651,'Current Stock'!A678)</f>
        <v>0</v>
      </c>
      <c r="J678" s="15">
        <f t="shared" si="2"/>
        <v>0</v>
      </c>
      <c r="K678" s="11"/>
      <c r="L678" s="11"/>
      <c r="M678" s="11"/>
      <c r="N678" s="11"/>
      <c r="O678" s="17"/>
      <c r="P678" s="17"/>
    </row>
    <row r="679" ht="13.5" customHeight="1">
      <c r="A679" s="11" t="str">
        <f t="shared" si="1"/>
        <v>RDL-ALPHARD02FY</v>
      </c>
      <c r="B679" s="32" t="s">
        <v>1036</v>
      </c>
      <c r="C679" s="33" t="s">
        <v>1030</v>
      </c>
      <c r="D679" s="33" t="s">
        <v>144</v>
      </c>
      <c r="E679" s="11" t="s">
        <v>123</v>
      </c>
      <c r="F679" s="33"/>
      <c r="G679" s="11"/>
      <c r="H679" s="11">
        <f>SUMIFS(X!$F$3:$F$5978,X!$D$3:$D$5978,'Current Stock'!A679)</f>
        <v>0</v>
      </c>
      <c r="I679" s="11">
        <f>SUMIFS(PENJUALAN!$E$4:$E$3651,PENJUALAN!$C$4:$C$3651,'Current Stock'!A679)</f>
        <v>0</v>
      </c>
      <c r="J679" s="15">
        <f t="shared" si="2"/>
        <v>0</v>
      </c>
      <c r="K679" s="11"/>
      <c r="L679" s="11"/>
      <c r="M679" s="11"/>
      <c r="N679" s="11"/>
      <c r="O679" s="17"/>
      <c r="P679" s="17"/>
    </row>
    <row r="680" ht="13.5" customHeight="1">
      <c r="A680" s="11" t="str">
        <f t="shared" si="1"/>
        <v>RDR-ALPHARD02FY</v>
      </c>
      <c r="B680" s="32" t="s">
        <v>1037</v>
      </c>
      <c r="C680" s="33" t="s">
        <v>1030</v>
      </c>
      <c r="D680" s="33" t="s">
        <v>146</v>
      </c>
      <c r="E680" s="11" t="s">
        <v>123</v>
      </c>
      <c r="F680" s="33"/>
      <c r="G680" s="11"/>
      <c r="H680" s="11">
        <f>SUMIFS(X!$F$3:$F$5978,X!$D$3:$D$5978,'Current Stock'!A680)</f>
        <v>0</v>
      </c>
      <c r="I680" s="11">
        <f>SUMIFS(PENJUALAN!$E$4:$E$3651,PENJUALAN!$C$4:$C$3651,'Current Stock'!A680)</f>
        <v>0</v>
      </c>
      <c r="J680" s="15">
        <f t="shared" si="2"/>
        <v>0</v>
      </c>
      <c r="K680" s="11"/>
      <c r="L680" s="11"/>
      <c r="M680" s="11"/>
      <c r="N680" s="11"/>
      <c r="O680" s="17"/>
      <c r="P680" s="17"/>
    </row>
    <row r="681" ht="13.5" customHeight="1">
      <c r="A681" s="11" t="str">
        <f t="shared" si="1"/>
        <v>SWL-ALPHARD02COAKFY</v>
      </c>
      <c r="B681" s="32" t="s">
        <v>1038</v>
      </c>
      <c r="C681" s="33" t="s">
        <v>1039</v>
      </c>
      <c r="D681" s="33" t="s">
        <v>209</v>
      </c>
      <c r="E681" s="11" t="s">
        <v>123</v>
      </c>
      <c r="F681" s="33" t="s">
        <v>241</v>
      </c>
      <c r="G681" s="11"/>
      <c r="H681" s="11">
        <f>SUMIFS(X!$F$3:$F$5978,X!$D$3:$D$5978,'Current Stock'!A681)</f>
        <v>0</v>
      </c>
      <c r="I681" s="11">
        <f>SUMIFS(PENJUALAN!$E$4:$E$3651,PENJUALAN!$C$4:$C$3651,'Current Stock'!A681)</f>
        <v>0</v>
      </c>
      <c r="J681" s="15">
        <f t="shared" si="2"/>
        <v>0</v>
      </c>
      <c r="K681" s="11"/>
      <c r="L681" s="11"/>
      <c r="M681" s="11"/>
      <c r="N681" s="11"/>
      <c r="O681" s="17"/>
      <c r="P681" s="17"/>
    </row>
    <row r="682" ht="13.5" customHeight="1">
      <c r="A682" s="11" t="str">
        <f t="shared" si="1"/>
        <v>SWR-ALPHARD02COAKFY</v>
      </c>
      <c r="B682" s="32" t="s">
        <v>1040</v>
      </c>
      <c r="C682" s="33" t="s">
        <v>1039</v>
      </c>
      <c r="D682" s="33" t="s">
        <v>243</v>
      </c>
      <c r="E682" s="11" t="s">
        <v>123</v>
      </c>
      <c r="F682" s="33" t="s">
        <v>241</v>
      </c>
      <c r="G682" s="11"/>
      <c r="H682" s="11">
        <f>SUMIFS(X!$F$3:$F$5978,X!$D$3:$D$5978,'Current Stock'!A682)</f>
        <v>0</v>
      </c>
      <c r="I682" s="11">
        <f>SUMIFS(PENJUALAN!$E$4:$E$3651,PENJUALAN!$C$4:$C$3651,'Current Stock'!A682)</f>
        <v>0</v>
      </c>
      <c r="J682" s="15">
        <f t="shared" si="2"/>
        <v>0</v>
      </c>
      <c r="K682" s="11"/>
      <c r="L682" s="11"/>
      <c r="M682" s="11"/>
      <c r="N682" s="11"/>
      <c r="O682" s="17"/>
      <c r="P682" s="17"/>
    </row>
    <row r="683" ht="13.5" customHeight="1">
      <c r="A683" s="11" t="str">
        <f t="shared" si="1"/>
        <v>SWL-ALPHARD02COAKHITAMFY</v>
      </c>
      <c r="B683" s="32" t="s">
        <v>1041</v>
      </c>
      <c r="C683" s="33" t="s">
        <v>1042</v>
      </c>
      <c r="D683" s="33" t="s">
        <v>209</v>
      </c>
      <c r="E683" s="11" t="s">
        <v>123</v>
      </c>
      <c r="F683" s="33" t="s">
        <v>241</v>
      </c>
      <c r="G683" s="11"/>
      <c r="H683" s="11">
        <f>SUMIFS(X!$F$3:$F$5978,X!$D$3:$D$5978,'Current Stock'!A683)</f>
        <v>0</v>
      </c>
      <c r="I683" s="11">
        <f>SUMIFS(PENJUALAN!$E$4:$E$3651,PENJUALAN!$C$4:$C$3651,'Current Stock'!A683)</f>
        <v>0</v>
      </c>
      <c r="J683" s="15">
        <f t="shared" si="2"/>
        <v>0</v>
      </c>
      <c r="K683" s="11"/>
      <c r="L683" s="11"/>
      <c r="M683" s="11"/>
      <c r="N683" s="11"/>
      <c r="O683" s="17"/>
      <c r="P683" s="17"/>
    </row>
    <row r="684" ht="13.5" customHeight="1">
      <c r="A684" s="11" t="str">
        <f t="shared" si="1"/>
        <v>SWR-ALPHARD02COAKHITAMFY</v>
      </c>
      <c r="B684" s="32" t="s">
        <v>1043</v>
      </c>
      <c r="C684" s="33" t="s">
        <v>1042</v>
      </c>
      <c r="D684" s="33" t="s">
        <v>243</v>
      </c>
      <c r="E684" s="11" t="s">
        <v>123</v>
      </c>
      <c r="F684" s="33" t="s">
        <v>241</v>
      </c>
      <c r="G684" s="11"/>
      <c r="H684" s="11">
        <f>SUMIFS(X!$F$3:$F$5978,X!$D$3:$D$5978,'Current Stock'!A684)</f>
        <v>0</v>
      </c>
      <c r="I684" s="11">
        <f>SUMIFS(PENJUALAN!$E$4:$E$3651,PENJUALAN!$C$4:$C$3651,'Current Stock'!A684)</f>
        <v>0</v>
      </c>
      <c r="J684" s="15">
        <f t="shared" si="2"/>
        <v>0</v>
      </c>
      <c r="K684" s="11"/>
      <c r="L684" s="11"/>
      <c r="M684" s="11"/>
      <c r="N684" s="11"/>
      <c r="O684" s="17"/>
      <c r="P684" s="17"/>
    </row>
    <row r="685" ht="13.5" customHeight="1">
      <c r="A685" s="11" t="str">
        <f t="shared" si="1"/>
        <v>RDL-ALPHARD02HITAMFY</v>
      </c>
      <c r="B685" s="32" t="s">
        <v>1044</v>
      </c>
      <c r="C685" s="33" t="s">
        <v>1033</v>
      </c>
      <c r="D685" s="33" t="s">
        <v>144</v>
      </c>
      <c r="E685" s="11" t="s">
        <v>123</v>
      </c>
      <c r="F685" s="33"/>
      <c r="G685" s="11"/>
      <c r="H685" s="11">
        <f>SUMIFS(X!$F$3:$F$5978,X!$D$3:$D$5978,'Current Stock'!A685)</f>
        <v>0</v>
      </c>
      <c r="I685" s="11">
        <f>SUMIFS(PENJUALAN!$E$4:$E$3651,PENJUALAN!$C$4:$C$3651,'Current Stock'!A685)</f>
        <v>0</v>
      </c>
      <c r="J685" s="15">
        <f t="shared" si="2"/>
        <v>0</v>
      </c>
      <c r="K685" s="11"/>
      <c r="L685" s="11"/>
      <c r="M685" s="11"/>
      <c r="N685" s="11"/>
      <c r="O685" s="17"/>
      <c r="P685" s="17"/>
    </row>
    <row r="686" ht="13.5" customHeight="1">
      <c r="A686" s="11" t="str">
        <f t="shared" si="1"/>
        <v>RDR-ALPHARD02HITAMFY</v>
      </c>
      <c r="B686" s="32" t="s">
        <v>1045</v>
      </c>
      <c r="C686" s="33" t="s">
        <v>1033</v>
      </c>
      <c r="D686" s="33" t="s">
        <v>146</v>
      </c>
      <c r="E686" s="11" t="s">
        <v>123</v>
      </c>
      <c r="F686" s="33"/>
      <c r="G686" s="11"/>
      <c r="H686" s="11">
        <f>SUMIFS(X!$F$3:$F$5978,X!$D$3:$D$5978,'Current Stock'!A686)</f>
        <v>0</v>
      </c>
      <c r="I686" s="11">
        <f>SUMIFS(PENJUALAN!$E$4:$E$3651,PENJUALAN!$C$4:$C$3651,'Current Stock'!A686)</f>
        <v>0</v>
      </c>
      <c r="J686" s="15">
        <f t="shared" si="2"/>
        <v>0</v>
      </c>
      <c r="K686" s="11"/>
      <c r="L686" s="11"/>
      <c r="M686" s="11"/>
      <c r="N686" s="11"/>
      <c r="O686" s="17"/>
      <c r="P686" s="17"/>
    </row>
    <row r="687" ht="13.5" customHeight="1">
      <c r="A687" s="11" t="str">
        <f t="shared" si="1"/>
        <v>LFW-ALPHARD08RSFY</v>
      </c>
      <c r="B687" s="32" t="s">
        <v>87</v>
      </c>
      <c r="C687" s="33" t="s">
        <v>88</v>
      </c>
      <c r="D687" s="33" t="s">
        <v>60</v>
      </c>
      <c r="E687" s="11" t="s">
        <v>123</v>
      </c>
      <c r="F687" s="33" t="s">
        <v>90</v>
      </c>
      <c r="G687" s="11"/>
      <c r="H687" s="11">
        <f>SUMIFS(X!$F$3:$F$5978,X!$D$3:$D$5978,'Current Stock'!A687)</f>
        <v>1</v>
      </c>
      <c r="I687" s="11">
        <f>SUMIFS(PENJUALAN!$E$4:$E$3651,PENJUALAN!$C$4:$C$3651,'Current Stock'!A687)</f>
        <v>1</v>
      </c>
      <c r="J687" s="15">
        <f t="shared" si="2"/>
        <v>0</v>
      </c>
      <c r="K687" s="11"/>
      <c r="L687" s="11"/>
      <c r="M687" s="16">
        <v>1.0</v>
      </c>
      <c r="N687" s="11"/>
      <c r="O687" s="17"/>
      <c r="P687" s="17"/>
    </row>
    <row r="688" ht="13.5" customHeight="1">
      <c r="A688" s="11" t="str">
        <f t="shared" si="1"/>
        <v>LFW-ALPHARD08FY</v>
      </c>
      <c r="B688" s="32" t="s">
        <v>1046</v>
      </c>
      <c r="C688" s="33" t="s">
        <v>88</v>
      </c>
      <c r="D688" s="33" t="s">
        <v>60</v>
      </c>
      <c r="E688" s="11" t="s">
        <v>123</v>
      </c>
      <c r="F688" s="33" t="s">
        <v>137</v>
      </c>
      <c r="G688" s="11"/>
      <c r="H688" s="11">
        <f>SUMIFS(X!$F$3:$F$5978,X!$D$3:$D$5978,'Current Stock'!A688)</f>
        <v>0</v>
      </c>
      <c r="I688" s="11">
        <f>SUMIFS(PENJUALAN!$E$4:$E$3651,PENJUALAN!$C$4:$C$3651,'Current Stock'!A688)</f>
        <v>0</v>
      </c>
      <c r="J688" s="15">
        <f t="shared" si="2"/>
        <v>0</v>
      </c>
      <c r="K688" s="11"/>
      <c r="L688" s="11"/>
      <c r="M688" s="11"/>
      <c r="N688" s="11"/>
      <c r="O688" s="17"/>
      <c r="P688" s="17"/>
    </row>
    <row r="689" ht="13.5" customHeight="1">
      <c r="A689" s="11" t="str">
        <f t="shared" si="1"/>
        <v>FDL-ALPHARD08FY</v>
      </c>
      <c r="B689" s="32" t="s">
        <v>1047</v>
      </c>
      <c r="C689" s="33" t="s">
        <v>88</v>
      </c>
      <c r="D689" s="33" t="s">
        <v>140</v>
      </c>
      <c r="E689" s="11" t="s">
        <v>123</v>
      </c>
      <c r="F689" s="33"/>
      <c r="G689" s="11"/>
      <c r="H689" s="11">
        <f>SUMIFS(X!$F$3:$F$5978,X!$D$3:$D$5978,'Current Stock'!A689)</f>
        <v>0</v>
      </c>
      <c r="I689" s="11">
        <f>SUMIFS(PENJUALAN!$E$4:$E$3651,PENJUALAN!$C$4:$C$3651,'Current Stock'!A689)</f>
        <v>0</v>
      </c>
      <c r="J689" s="15">
        <f t="shared" si="2"/>
        <v>0</v>
      </c>
      <c r="K689" s="11"/>
      <c r="L689" s="11"/>
      <c r="M689" s="11"/>
      <c r="N689" s="11"/>
      <c r="O689" s="17"/>
      <c r="P689" s="17"/>
    </row>
    <row r="690" ht="13.5" customHeight="1">
      <c r="A690" s="11" t="str">
        <f t="shared" si="1"/>
        <v>FDR-ALPHARD08FY</v>
      </c>
      <c r="B690" s="32" t="s">
        <v>1048</v>
      </c>
      <c r="C690" s="33" t="s">
        <v>88</v>
      </c>
      <c r="D690" s="33" t="s">
        <v>142</v>
      </c>
      <c r="E690" s="11" t="s">
        <v>123</v>
      </c>
      <c r="F690" s="33"/>
      <c r="G690" s="11"/>
      <c r="H690" s="11">
        <f>SUMIFS(X!$F$3:$F$5978,X!$D$3:$D$5978,'Current Stock'!A690)</f>
        <v>0</v>
      </c>
      <c r="I690" s="11">
        <f>SUMIFS(PENJUALAN!$E$4:$E$3651,PENJUALAN!$C$4:$C$3651,'Current Stock'!A690)</f>
        <v>0</v>
      </c>
      <c r="J690" s="15">
        <f t="shared" si="2"/>
        <v>0</v>
      </c>
      <c r="K690" s="11"/>
      <c r="L690" s="11"/>
      <c r="M690" s="11"/>
      <c r="N690" s="11"/>
      <c r="O690" s="17"/>
      <c r="P690" s="17"/>
    </row>
    <row r="691" ht="13.5" customHeight="1">
      <c r="A691" s="11" t="str">
        <f t="shared" si="1"/>
        <v>SWL-ALPHARD08FY</v>
      </c>
      <c r="B691" s="32" t="s">
        <v>1049</v>
      </c>
      <c r="C691" s="33" t="s">
        <v>88</v>
      </c>
      <c r="D691" s="33" t="s">
        <v>209</v>
      </c>
      <c r="E691" s="11" t="s">
        <v>123</v>
      </c>
      <c r="F691" s="33" t="s">
        <v>241</v>
      </c>
      <c r="G691" s="11"/>
      <c r="H691" s="11">
        <f>SUMIFS(X!$F$3:$F$5978,X!$D$3:$D$5978,'Current Stock'!A691)</f>
        <v>0</v>
      </c>
      <c r="I691" s="11">
        <f>SUMIFS(PENJUALAN!$E$4:$E$3651,PENJUALAN!$C$4:$C$3651,'Current Stock'!A691)</f>
        <v>0</v>
      </c>
      <c r="J691" s="15">
        <f t="shared" si="2"/>
        <v>0</v>
      </c>
      <c r="K691" s="11"/>
      <c r="L691" s="11"/>
      <c r="M691" s="11"/>
      <c r="N691" s="11"/>
      <c r="O691" s="17"/>
      <c r="P691" s="17"/>
    </row>
    <row r="692" ht="13.5" customHeight="1">
      <c r="A692" s="11" t="str">
        <f t="shared" si="1"/>
        <v>SWR-ALPHARD08FY</v>
      </c>
      <c r="B692" s="32" t="s">
        <v>1050</v>
      </c>
      <c r="C692" s="33" t="s">
        <v>88</v>
      </c>
      <c r="D692" s="33" t="s">
        <v>243</v>
      </c>
      <c r="E692" s="11" t="s">
        <v>123</v>
      </c>
      <c r="F692" s="33" t="s">
        <v>241</v>
      </c>
      <c r="G692" s="11"/>
      <c r="H692" s="11">
        <f>SUMIFS(X!$F$3:$F$5978,X!$D$3:$D$5978,'Current Stock'!A692)</f>
        <v>0</v>
      </c>
      <c r="I692" s="11">
        <f>SUMIFS(PENJUALAN!$E$4:$E$3651,PENJUALAN!$C$4:$C$3651,'Current Stock'!A692)</f>
        <v>0</v>
      </c>
      <c r="J692" s="15">
        <f t="shared" si="2"/>
        <v>0</v>
      </c>
      <c r="K692" s="11"/>
      <c r="L692" s="11"/>
      <c r="M692" s="11"/>
      <c r="N692" s="11"/>
      <c r="O692" s="17"/>
      <c r="P692" s="17"/>
    </row>
    <row r="693" ht="13.5" customHeight="1">
      <c r="A693" s="11" t="str">
        <f t="shared" si="1"/>
        <v>RDL-ALPHARD08FY</v>
      </c>
      <c r="B693" s="32" t="s">
        <v>1051</v>
      </c>
      <c r="C693" s="33" t="s">
        <v>88</v>
      </c>
      <c r="D693" s="33" t="s">
        <v>144</v>
      </c>
      <c r="E693" s="11" t="s">
        <v>123</v>
      </c>
      <c r="F693" s="33"/>
      <c r="G693" s="11"/>
      <c r="H693" s="11">
        <f>SUMIFS(X!$F$3:$F$5978,X!$D$3:$D$5978,'Current Stock'!A693)</f>
        <v>0</v>
      </c>
      <c r="I693" s="11">
        <f>SUMIFS(PENJUALAN!$E$4:$E$3651,PENJUALAN!$C$4:$C$3651,'Current Stock'!A693)</f>
        <v>0</v>
      </c>
      <c r="J693" s="15">
        <f t="shared" si="2"/>
        <v>0</v>
      </c>
      <c r="K693" s="11"/>
      <c r="L693" s="11"/>
      <c r="M693" s="11"/>
      <c r="N693" s="11"/>
      <c r="O693" s="17"/>
      <c r="P693" s="17"/>
    </row>
    <row r="694" ht="13.5" customHeight="1">
      <c r="A694" s="11" t="str">
        <f t="shared" si="1"/>
        <v>RDR-ALPHARD08FY</v>
      </c>
      <c r="B694" s="32" t="s">
        <v>1052</v>
      </c>
      <c r="C694" s="33" t="s">
        <v>88</v>
      </c>
      <c r="D694" s="33" t="s">
        <v>146</v>
      </c>
      <c r="E694" s="11" t="s">
        <v>123</v>
      </c>
      <c r="F694" s="33"/>
      <c r="G694" s="11"/>
      <c r="H694" s="11">
        <f>SUMIFS(X!$F$3:$F$5978,X!$D$3:$D$5978,'Current Stock'!A694)</f>
        <v>0</v>
      </c>
      <c r="I694" s="11">
        <f>SUMIFS(PENJUALAN!$E$4:$E$3651,PENJUALAN!$C$4:$C$3651,'Current Stock'!A694)</f>
        <v>0</v>
      </c>
      <c r="J694" s="15">
        <f t="shared" si="2"/>
        <v>0</v>
      </c>
      <c r="K694" s="11"/>
      <c r="L694" s="11"/>
      <c r="M694" s="11"/>
      <c r="N694" s="11"/>
      <c r="O694" s="17"/>
      <c r="P694" s="17"/>
    </row>
    <row r="695" ht="13.5" customHeight="1">
      <c r="A695" s="11" t="str">
        <f t="shared" si="1"/>
        <v>TRW-ALPHARD08BLACKFY</v>
      </c>
      <c r="B695" s="32" t="s">
        <v>1053</v>
      </c>
      <c r="C695" s="33" t="s">
        <v>1054</v>
      </c>
      <c r="D695" s="33" t="s">
        <v>62</v>
      </c>
      <c r="E695" s="11" t="s">
        <v>123</v>
      </c>
      <c r="F695" s="33" t="s">
        <v>83</v>
      </c>
      <c r="G695" s="11"/>
      <c r="H695" s="11">
        <f>SUMIFS(X!$F$3:$F$5978,X!$D$3:$D$5978,'Current Stock'!A695)</f>
        <v>0</v>
      </c>
      <c r="I695" s="11">
        <f>SUMIFS(PENJUALAN!$E$4:$E$3651,PENJUALAN!$C$4:$C$3651,'Current Stock'!A695)</f>
        <v>0</v>
      </c>
      <c r="J695" s="15">
        <f t="shared" si="2"/>
        <v>0</v>
      </c>
      <c r="K695" s="11"/>
      <c r="L695" s="11"/>
      <c r="M695" s="11"/>
      <c r="N695" s="11"/>
      <c r="O695" s="17"/>
      <c r="P695" s="17"/>
    </row>
    <row r="696" ht="13.5" customHeight="1">
      <c r="A696" s="11" t="str">
        <f t="shared" si="1"/>
        <v>SWL-ALPHARD08HITAMFY</v>
      </c>
      <c r="B696" s="32" t="s">
        <v>1055</v>
      </c>
      <c r="C696" s="33" t="s">
        <v>1054</v>
      </c>
      <c r="D696" s="33" t="s">
        <v>209</v>
      </c>
      <c r="E696" s="11" t="s">
        <v>123</v>
      </c>
      <c r="F696" s="33" t="s">
        <v>241</v>
      </c>
      <c r="G696" s="11"/>
      <c r="H696" s="11">
        <f>SUMIFS(X!$F$3:$F$5978,X!$D$3:$D$5978,'Current Stock'!A696)</f>
        <v>0</v>
      </c>
      <c r="I696" s="11">
        <f>SUMIFS(PENJUALAN!$E$4:$E$3651,PENJUALAN!$C$4:$C$3651,'Current Stock'!A696)</f>
        <v>0</v>
      </c>
      <c r="J696" s="15">
        <f t="shared" si="2"/>
        <v>0</v>
      </c>
      <c r="K696" s="11"/>
      <c r="L696" s="11"/>
      <c r="M696" s="11"/>
      <c r="N696" s="11"/>
      <c r="O696" s="17"/>
      <c r="P696" s="17"/>
    </row>
    <row r="697" ht="13.5" customHeight="1">
      <c r="A697" s="11" t="str">
        <f t="shared" si="1"/>
        <v>SWR-ALPHARD08HITAMFY</v>
      </c>
      <c r="B697" s="32" t="s">
        <v>1056</v>
      </c>
      <c r="C697" s="33" t="s">
        <v>1054</v>
      </c>
      <c r="D697" s="33" t="s">
        <v>243</v>
      </c>
      <c r="E697" s="11" t="s">
        <v>123</v>
      </c>
      <c r="F697" s="33" t="s">
        <v>241</v>
      </c>
      <c r="G697" s="11"/>
      <c r="H697" s="11">
        <f>SUMIFS(X!$F$3:$F$5978,X!$D$3:$D$5978,'Current Stock'!A697)</f>
        <v>0</v>
      </c>
      <c r="I697" s="11">
        <f>SUMIFS(PENJUALAN!$E$4:$E$3651,PENJUALAN!$C$4:$C$3651,'Current Stock'!A697)</f>
        <v>0</v>
      </c>
      <c r="J697" s="15">
        <f t="shared" si="2"/>
        <v>0</v>
      </c>
      <c r="K697" s="11"/>
      <c r="L697" s="11"/>
      <c r="M697" s="11"/>
      <c r="N697" s="11"/>
      <c r="O697" s="17"/>
      <c r="P697" s="17"/>
    </row>
    <row r="698" ht="13.5" customHeight="1">
      <c r="A698" s="11" t="str">
        <f t="shared" si="1"/>
        <v>FDL-ALPHARD15FY</v>
      </c>
      <c r="B698" s="32" t="s">
        <v>1057</v>
      </c>
      <c r="C698" s="33" t="s">
        <v>1058</v>
      </c>
      <c r="D698" s="33" t="s">
        <v>140</v>
      </c>
      <c r="E698" s="11" t="s">
        <v>123</v>
      </c>
      <c r="F698" s="33"/>
      <c r="G698" s="11"/>
      <c r="H698" s="11">
        <f>SUMIFS(X!$F$3:$F$5978,X!$D$3:$D$5978,'Current Stock'!A698)</f>
        <v>0</v>
      </c>
      <c r="I698" s="11">
        <f>SUMIFS(PENJUALAN!$E$4:$E$3651,PENJUALAN!$C$4:$C$3651,'Current Stock'!A698)</f>
        <v>0</v>
      </c>
      <c r="J698" s="15">
        <f t="shared" si="2"/>
        <v>0</v>
      </c>
      <c r="K698" s="11"/>
      <c r="L698" s="11"/>
      <c r="M698" s="11"/>
      <c r="N698" s="11"/>
      <c r="O698" s="17"/>
      <c r="P698" s="17"/>
    </row>
    <row r="699" ht="13.5" customHeight="1">
      <c r="A699" s="11" t="str">
        <f t="shared" si="1"/>
        <v>FDR-ALPHARD15FY</v>
      </c>
      <c r="B699" s="32" t="s">
        <v>1059</v>
      </c>
      <c r="C699" s="33" t="s">
        <v>1058</v>
      </c>
      <c r="D699" s="33" t="s">
        <v>142</v>
      </c>
      <c r="E699" s="11" t="s">
        <v>123</v>
      </c>
      <c r="F699" s="33"/>
      <c r="G699" s="11"/>
      <c r="H699" s="11">
        <f>SUMIFS(X!$F$3:$F$5978,X!$D$3:$D$5978,'Current Stock'!A699)</f>
        <v>0</v>
      </c>
      <c r="I699" s="11">
        <f>SUMIFS(PENJUALAN!$E$4:$E$3651,PENJUALAN!$C$4:$C$3651,'Current Stock'!A699)</f>
        <v>0</v>
      </c>
      <c r="J699" s="15">
        <f t="shared" si="2"/>
        <v>0</v>
      </c>
      <c r="K699" s="11"/>
      <c r="L699" s="11"/>
      <c r="M699" s="11"/>
      <c r="N699" s="11"/>
      <c r="O699" s="17"/>
      <c r="P699" s="17"/>
    </row>
    <row r="700" ht="13.5" customHeight="1">
      <c r="A700" s="11" t="str">
        <f t="shared" si="1"/>
        <v>RDL-ALPHARD15FY</v>
      </c>
      <c r="B700" s="32" t="s">
        <v>1060</v>
      </c>
      <c r="C700" s="33" t="s">
        <v>1058</v>
      </c>
      <c r="D700" s="33" t="s">
        <v>144</v>
      </c>
      <c r="E700" s="11" t="s">
        <v>123</v>
      </c>
      <c r="F700" s="33"/>
      <c r="G700" s="11"/>
      <c r="H700" s="11">
        <f>SUMIFS(X!$F$3:$F$5978,X!$D$3:$D$5978,'Current Stock'!A700)</f>
        <v>1</v>
      </c>
      <c r="I700" s="11">
        <f>SUMIFS(PENJUALAN!$E$4:$E$3651,PENJUALAN!$C$4:$C$3651,'Current Stock'!A700)</f>
        <v>1</v>
      </c>
      <c r="J700" s="15">
        <f t="shared" si="2"/>
        <v>0</v>
      </c>
      <c r="K700" s="11"/>
      <c r="L700" s="11"/>
      <c r="M700" s="11"/>
      <c r="N700" s="11"/>
      <c r="O700" s="17"/>
      <c r="P700" s="17"/>
    </row>
    <row r="701" ht="13.5" customHeight="1">
      <c r="A701" s="11" t="str">
        <f t="shared" si="1"/>
        <v>RDR-ALPHARD15FY</v>
      </c>
      <c r="B701" s="32" t="s">
        <v>1061</v>
      </c>
      <c r="C701" s="33" t="s">
        <v>1058</v>
      </c>
      <c r="D701" s="33" t="s">
        <v>146</v>
      </c>
      <c r="E701" s="11" t="s">
        <v>123</v>
      </c>
      <c r="F701" s="33"/>
      <c r="G701" s="11"/>
      <c r="H701" s="11">
        <f>SUMIFS(X!$F$3:$F$5978,X!$D$3:$D$5978,'Current Stock'!A701)</f>
        <v>0</v>
      </c>
      <c r="I701" s="11">
        <f>SUMIFS(PENJUALAN!$E$4:$E$3651,PENJUALAN!$C$4:$C$3651,'Current Stock'!A701)</f>
        <v>0</v>
      </c>
      <c r="J701" s="15">
        <f t="shared" si="2"/>
        <v>0</v>
      </c>
      <c r="K701" s="11"/>
      <c r="L701" s="11"/>
      <c r="M701" s="11"/>
      <c r="N701" s="11"/>
      <c r="O701" s="17"/>
      <c r="P701" s="17"/>
    </row>
    <row r="702" ht="13.5" customHeight="1">
      <c r="A702" s="11" t="str">
        <f t="shared" si="1"/>
        <v>SWL-ALPHARD15FY</v>
      </c>
      <c r="B702" s="32" t="s">
        <v>1062</v>
      </c>
      <c r="C702" s="33" t="s">
        <v>1058</v>
      </c>
      <c r="D702" s="33" t="s">
        <v>209</v>
      </c>
      <c r="E702" s="11" t="s">
        <v>123</v>
      </c>
      <c r="F702" s="33" t="s">
        <v>241</v>
      </c>
      <c r="G702" s="11"/>
      <c r="H702" s="11">
        <f>SUMIFS(X!$F$3:$F$5978,X!$D$3:$D$5978,'Current Stock'!A702)</f>
        <v>0</v>
      </c>
      <c r="I702" s="11">
        <f>SUMIFS(PENJUALAN!$E$4:$E$3651,PENJUALAN!$C$4:$C$3651,'Current Stock'!A702)</f>
        <v>0</v>
      </c>
      <c r="J702" s="15">
        <f t="shared" si="2"/>
        <v>0</v>
      </c>
      <c r="K702" s="11"/>
      <c r="L702" s="11"/>
      <c r="M702" s="11"/>
      <c r="N702" s="11"/>
      <c r="O702" s="17"/>
      <c r="P702" s="17"/>
    </row>
    <row r="703" ht="13.5" customHeight="1">
      <c r="A703" s="11" t="str">
        <f t="shared" si="1"/>
        <v>SWR-ALPHARD15FY</v>
      </c>
      <c r="B703" s="32" t="s">
        <v>1063</v>
      </c>
      <c r="C703" s="33" t="s">
        <v>1058</v>
      </c>
      <c r="D703" s="33" t="s">
        <v>243</v>
      </c>
      <c r="E703" s="11" t="s">
        <v>123</v>
      </c>
      <c r="F703" s="33" t="s">
        <v>241</v>
      </c>
      <c r="G703" s="11"/>
      <c r="H703" s="11">
        <f>SUMIFS(X!$F$3:$F$5978,X!$D$3:$D$5978,'Current Stock'!A703)</f>
        <v>0</v>
      </c>
      <c r="I703" s="11">
        <f>SUMIFS(PENJUALAN!$E$4:$E$3651,PENJUALAN!$C$4:$C$3651,'Current Stock'!A703)</f>
        <v>0</v>
      </c>
      <c r="J703" s="15">
        <f t="shared" si="2"/>
        <v>0</v>
      </c>
      <c r="K703" s="11"/>
      <c r="L703" s="11"/>
      <c r="M703" s="11"/>
      <c r="N703" s="11"/>
      <c r="O703" s="17"/>
      <c r="P703" s="17"/>
    </row>
    <row r="704" ht="13.5" customHeight="1">
      <c r="A704" s="11" t="str">
        <f t="shared" si="1"/>
        <v>RDL-ALPHARD15HITAMFY</v>
      </c>
      <c r="B704" s="32" t="s">
        <v>1064</v>
      </c>
      <c r="C704" s="33" t="s">
        <v>1065</v>
      </c>
      <c r="D704" s="33" t="s">
        <v>144</v>
      </c>
      <c r="E704" s="11" t="s">
        <v>123</v>
      </c>
      <c r="F704" s="33"/>
      <c r="G704" s="11"/>
      <c r="H704" s="11">
        <f>SUMIFS(X!$F$3:$F$5978,X!$D$3:$D$5978,'Current Stock'!A704)</f>
        <v>0</v>
      </c>
      <c r="I704" s="11">
        <f>SUMIFS(PENJUALAN!$E$4:$E$3651,PENJUALAN!$C$4:$C$3651,'Current Stock'!A704)</f>
        <v>0</v>
      </c>
      <c r="J704" s="15">
        <f t="shared" si="2"/>
        <v>0</v>
      </c>
      <c r="K704" s="11"/>
      <c r="L704" s="11"/>
      <c r="M704" s="11"/>
      <c r="N704" s="11"/>
      <c r="O704" s="17"/>
      <c r="P704" s="17"/>
    </row>
    <row r="705" ht="13.5" customHeight="1">
      <c r="A705" s="11" t="str">
        <f t="shared" si="1"/>
        <v>RDR-ALPHARD15HITAMFY</v>
      </c>
      <c r="B705" s="32" t="s">
        <v>1066</v>
      </c>
      <c r="C705" s="33" t="s">
        <v>1065</v>
      </c>
      <c r="D705" s="33" t="s">
        <v>146</v>
      </c>
      <c r="E705" s="11" t="s">
        <v>123</v>
      </c>
      <c r="F705" s="33"/>
      <c r="G705" s="11"/>
      <c r="H705" s="11">
        <f>SUMIFS(X!$F$3:$F$5978,X!$D$3:$D$5978,'Current Stock'!A705)</f>
        <v>0</v>
      </c>
      <c r="I705" s="11">
        <f>SUMIFS(PENJUALAN!$E$4:$E$3651,PENJUALAN!$C$4:$C$3651,'Current Stock'!A705)</f>
        <v>0</v>
      </c>
      <c r="J705" s="15">
        <f t="shared" si="2"/>
        <v>0</v>
      </c>
      <c r="K705" s="11"/>
      <c r="L705" s="11"/>
      <c r="M705" s="11"/>
      <c r="N705" s="11"/>
      <c r="O705" s="17"/>
      <c r="P705" s="17"/>
    </row>
    <row r="706" ht="13.5" customHeight="1">
      <c r="A706" s="11" t="str">
        <f t="shared" si="1"/>
        <v>TRW-ALPHARD15BLACKFY</v>
      </c>
      <c r="B706" s="32" t="s">
        <v>1067</v>
      </c>
      <c r="C706" s="33" t="s">
        <v>1068</v>
      </c>
      <c r="D706" s="33" t="s">
        <v>62</v>
      </c>
      <c r="E706" s="11" t="s">
        <v>123</v>
      </c>
      <c r="F706" s="33" t="s">
        <v>83</v>
      </c>
      <c r="G706" s="11"/>
      <c r="H706" s="11">
        <f>SUMIFS(X!$F$3:$F$5978,X!$D$3:$D$5978,'Current Stock'!A706)</f>
        <v>0</v>
      </c>
      <c r="I706" s="11">
        <f>SUMIFS(PENJUALAN!$E$4:$E$3651,PENJUALAN!$C$4:$C$3651,'Current Stock'!A706)</f>
        <v>0</v>
      </c>
      <c r="J706" s="15">
        <f t="shared" si="2"/>
        <v>0</v>
      </c>
      <c r="K706" s="11"/>
      <c r="L706" s="11"/>
      <c r="M706" s="11"/>
      <c r="N706" s="11"/>
      <c r="O706" s="17"/>
      <c r="P706" s="17"/>
    </row>
    <row r="707" ht="13.5" customHeight="1">
      <c r="A707" s="11" t="str">
        <f t="shared" si="1"/>
        <v>TRW-ALPHARD15FY</v>
      </c>
      <c r="B707" s="32" t="s">
        <v>1069</v>
      </c>
      <c r="C707" s="33" t="s">
        <v>1070</v>
      </c>
      <c r="D707" s="33" t="s">
        <v>62</v>
      </c>
      <c r="E707" s="11" t="s">
        <v>123</v>
      </c>
      <c r="F707" s="33" t="s">
        <v>83</v>
      </c>
      <c r="G707" s="11"/>
      <c r="H707" s="11">
        <f>SUMIFS(X!$F$3:$F$5978,X!$D$3:$D$5978,'Current Stock'!A707)</f>
        <v>0</v>
      </c>
      <c r="I707" s="11">
        <f>SUMIFS(PENJUALAN!$E$4:$E$3651,PENJUALAN!$C$4:$C$3651,'Current Stock'!A707)</f>
        <v>0</v>
      </c>
      <c r="J707" s="15">
        <f t="shared" si="2"/>
        <v>0</v>
      </c>
      <c r="K707" s="11"/>
      <c r="L707" s="11"/>
      <c r="M707" s="11"/>
      <c r="N707" s="11"/>
      <c r="O707" s="17"/>
      <c r="P707" s="17"/>
    </row>
    <row r="708" ht="13.5" customHeight="1">
      <c r="A708" s="11" t="str">
        <f t="shared" si="1"/>
        <v>LFW-ALPHARD15FY</v>
      </c>
      <c r="B708" s="32" t="s">
        <v>1071</v>
      </c>
      <c r="C708" s="33" t="s">
        <v>1072</v>
      </c>
      <c r="D708" s="33" t="s">
        <v>60</v>
      </c>
      <c r="E708" s="11" t="s">
        <v>123</v>
      </c>
      <c r="F708" s="33" t="s">
        <v>90</v>
      </c>
      <c r="G708" s="11"/>
      <c r="H708" s="11">
        <f>SUMIFS(X!$F$3:$F$5978,X!$D$3:$D$5978,'Current Stock'!A708)</f>
        <v>1</v>
      </c>
      <c r="I708" s="11">
        <f>SUMIFS(PENJUALAN!$E$4:$E$3651,PENJUALAN!$C$4:$C$3651,'Current Stock'!A708)</f>
        <v>1</v>
      </c>
      <c r="J708" s="15">
        <f t="shared" si="2"/>
        <v>0</v>
      </c>
      <c r="K708" s="11"/>
      <c r="L708" s="11"/>
      <c r="M708" s="11"/>
      <c r="N708" s="11"/>
      <c r="O708" s="17"/>
      <c r="P708" s="17"/>
    </row>
    <row r="709" ht="13.5" customHeight="1">
      <c r="A709" s="11" t="str">
        <f t="shared" si="1"/>
        <v>LFW-ALTIS00FY</v>
      </c>
      <c r="B709" s="32" t="s">
        <v>1073</v>
      </c>
      <c r="C709" s="33" t="s">
        <v>1074</v>
      </c>
      <c r="D709" s="33" t="s">
        <v>60</v>
      </c>
      <c r="E709" s="11" t="s">
        <v>123</v>
      </c>
      <c r="F709" s="33" t="s">
        <v>109</v>
      </c>
      <c r="G709" s="11"/>
      <c r="H709" s="11">
        <f>SUMIFS(X!$F$3:$F$5978,X!$D$3:$D$5978,'Current Stock'!A709)</f>
        <v>0</v>
      </c>
      <c r="I709" s="11">
        <f>SUMIFS(PENJUALAN!$E$4:$E$3651,PENJUALAN!$C$4:$C$3651,'Current Stock'!A709)</f>
        <v>0</v>
      </c>
      <c r="J709" s="15">
        <f t="shared" si="2"/>
        <v>0</v>
      </c>
      <c r="K709" s="11"/>
      <c r="L709" s="11"/>
      <c r="M709" s="11"/>
      <c r="N709" s="11"/>
      <c r="O709" s="17"/>
      <c r="P709" s="17"/>
    </row>
    <row r="710" ht="13.5" customHeight="1">
      <c r="A710" s="11" t="str">
        <f t="shared" si="1"/>
        <v>TRW-ALTIS00FY</v>
      </c>
      <c r="B710" s="32" t="s">
        <v>1075</v>
      </c>
      <c r="C710" s="33" t="s">
        <v>1074</v>
      </c>
      <c r="D710" s="33" t="s">
        <v>62</v>
      </c>
      <c r="E710" s="11" t="s">
        <v>123</v>
      </c>
      <c r="F710" s="33" t="s">
        <v>83</v>
      </c>
      <c r="G710" s="11"/>
      <c r="H710" s="11">
        <f>SUMIFS(X!$F$3:$F$5978,X!$D$3:$D$5978,'Current Stock'!A710)</f>
        <v>0</v>
      </c>
      <c r="I710" s="11">
        <f>SUMIFS(PENJUALAN!$E$4:$E$3651,PENJUALAN!$C$4:$C$3651,'Current Stock'!A710)</f>
        <v>0</v>
      </c>
      <c r="J710" s="15">
        <f t="shared" si="2"/>
        <v>0</v>
      </c>
      <c r="K710" s="11"/>
      <c r="L710" s="11"/>
      <c r="M710" s="11"/>
      <c r="N710" s="11"/>
      <c r="O710" s="17"/>
      <c r="P710" s="17"/>
    </row>
    <row r="711" ht="13.5" customHeight="1">
      <c r="A711" s="11" t="str">
        <f t="shared" si="1"/>
        <v>LFW-ALTIS06FY</v>
      </c>
      <c r="B711" s="32" t="s">
        <v>1076</v>
      </c>
      <c r="C711" s="33" t="s">
        <v>1077</v>
      </c>
      <c r="D711" s="33" t="s">
        <v>60</v>
      </c>
      <c r="E711" s="11" t="s">
        <v>123</v>
      </c>
      <c r="F711" s="33" t="s">
        <v>137</v>
      </c>
      <c r="G711" s="11"/>
      <c r="H711" s="11">
        <f>SUMIFS(X!$F$3:$F$5978,X!$D$3:$D$5978,'Current Stock'!A711)</f>
        <v>0</v>
      </c>
      <c r="I711" s="11">
        <f>SUMIFS(PENJUALAN!$E$4:$E$3651,PENJUALAN!$C$4:$C$3651,'Current Stock'!A711)</f>
        <v>0</v>
      </c>
      <c r="J711" s="15">
        <f t="shared" si="2"/>
        <v>0</v>
      </c>
      <c r="K711" s="11"/>
      <c r="L711" s="11"/>
      <c r="M711" s="11"/>
      <c r="N711" s="11"/>
      <c r="O711" s="17"/>
      <c r="P711" s="17"/>
    </row>
    <row r="712" ht="13.5" customHeight="1">
      <c r="A712" s="11" t="str">
        <f t="shared" si="1"/>
        <v>LFW-ALTIS06RSFY</v>
      </c>
      <c r="B712" s="32" t="s">
        <v>1078</v>
      </c>
      <c r="C712" s="33" t="s">
        <v>1079</v>
      </c>
      <c r="D712" s="33" t="s">
        <v>60</v>
      </c>
      <c r="E712" s="11" t="s">
        <v>123</v>
      </c>
      <c r="F712" s="33" t="s">
        <v>90</v>
      </c>
      <c r="G712" s="11"/>
      <c r="H712" s="11">
        <f>SUMIFS(X!$F$3:$F$5978,X!$D$3:$D$5978,'Current Stock'!A712)</f>
        <v>0</v>
      </c>
      <c r="I712" s="11">
        <f>SUMIFS(PENJUALAN!$E$4:$E$3651,PENJUALAN!$C$4:$C$3651,'Current Stock'!A712)</f>
        <v>0</v>
      </c>
      <c r="J712" s="15">
        <f t="shared" si="2"/>
        <v>0</v>
      </c>
      <c r="K712" s="11"/>
      <c r="L712" s="11"/>
      <c r="M712" s="11"/>
      <c r="N712" s="11"/>
      <c r="O712" s="17"/>
      <c r="P712" s="17"/>
    </row>
    <row r="713" ht="13.5" customHeight="1">
      <c r="A713" s="11" t="str">
        <f t="shared" si="1"/>
        <v>TRW-ALTIS06FY</v>
      </c>
      <c r="B713" s="32" t="s">
        <v>1080</v>
      </c>
      <c r="C713" s="33" t="s">
        <v>1079</v>
      </c>
      <c r="D713" s="33" t="s">
        <v>62</v>
      </c>
      <c r="E713" s="11" t="s">
        <v>123</v>
      </c>
      <c r="F713" s="33" t="s">
        <v>1081</v>
      </c>
      <c r="G713" s="11"/>
      <c r="H713" s="11">
        <f>SUMIFS(X!$F$3:$F$5978,X!$D$3:$D$5978,'Current Stock'!A713)</f>
        <v>0</v>
      </c>
      <c r="I713" s="11">
        <f>SUMIFS(PENJUALAN!$E$4:$E$3651,PENJUALAN!$C$4:$C$3651,'Current Stock'!A713)</f>
        <v>0</v>
      </c>
      <c r="J713" s="15">
        <f t="shared" si="2"/>
        <v>0</v>
      </c>
      <c r="K713" s="11"/>
      <c r="L713" s="11"/>
      <c r="M713" s="11"/>
      <c r="N713" s="11"/>
      <c r="O713" s="17"/>
      <c r="P713" s="17"/>
    </row>
    <row r="714" ht="13.5" customHeight="1">
      <c r="A714" s="11" t="str">
        <f t="shared" si="1"/>
        <v>FDL-ALTIS06FY</v>
      </c>
      <c r="B714" s="32" t="s">
        <v>1082</v>
      </c>
      <c r="C714" s="33" t="s">
        <v>1079</v>
      </c>
      <c r="D714" s="33" t="s">
        <v>140</v>
      </c>
      <c r="E714" s="11" t="s">
        <v>123</v>
      </c>
      <c r="F714" s="33" t="s">
        <v>406</v>
      </c>
      <c r="G714" s="11"/>
      <c r="H714" s="11">
        <f>SUMIFS(X!$F$3:$F$5978,X!$D$3:$D$5978,'Current Stock'!A714)</f>
        <v>0</v>
      </c>
      <c r="I714" s="11">
        <f>SUMIFS(PENJUALAN!$E$4:$E$3651,PENJUALAN!$C$4:$C$3651,'Current Stock'!A714)</f>
        <v>0</v>
      </c>
      <c r="J714" s="15">
        <f t="shared" si="2"/>
        <v>0</v>
      </c>
      <c r="K714" s="11"/>
      <c r="L714" s="11"/>
      <c r="M714" s="11"/>
      <c r="N714" s="11"/>
      <c r="O714" s="17"/>
      <c r="P714" s="17"/>
    </row>
    <row r="715" ht="13.5" customHeight="1">
      <c r="A715" s="11" t="str">
        <f t="shared" si="1"/>
        <v>FDR-ALTIS06FY</v>
      </c>
      <c r="B715" s="32" t="s">
        <v>1083</v>
      </c>
      <c r="C715" s="33" t="s">
        <v>1079</v>
      </c>
      <c r="D715" s="33" t="s">
        <v>142</v>
      </c>
      <c r="E715" s="11" t="s">
        <v>123</v>
      </c>
      <c r="F715" s="33" t="s">
        <v>406</v>
      </c>
      <c r="G715" s="11"/>
      <c r="H715" s="11">
        <f>SUMIFS(X!$F$3:$F$5978,X!$D$3:$D$5978,'Current Stock'!A715)</f>
        <v>0</v>
      </c>
      <c r="I715" s="11">
        <f>SUMIFS(PENJUALAN!$E$4:$E$3651,PENJUALAN!$C$4:$C$3651,'Current Stock'!A715)</f>
        <v>0</v>
      </c>
      <c r="J715" s="15">
        <f t="shared" si="2"/>
        <v>0</v>
      </c>
      <c r="K715" s="11"/>
      <c r="L715" s="11"/>
      <c r="M715" s="11"/>
      <c r="N715" s="11"/>
      <c r="O715" s="17"/>
      <c r="P715" s="17"/>
    </row>
    <row r="716" ht="13.5" customHeight="1">
      <c r="A716" s="11" t="str">
        <f t="shared" si="1"/>
        <v>RDL-ALTIS06FY</v>
      </c>
      <c r="B716" s="32" t="s">
        <v>1084</v>
      </c>
      <c r="C716" s="33" t="s">
        <v>1079</v>
      </c>
      <c r="D716" s="33" t="s">
        <v>144</v>
      </c>
      <c r="E716" s="11" t="s">
        <v>123</v>
      </c>
      <c r="F716" s="33"/>
      <c r="G716" s="11"/>
      <c r="H716" s="11">
        <f>SUMIFS(X!$F$3:$F$5978,X!$D$3:$D$5978,'Current Stock'!A716)</f>
        <v>0</v>
      </c>
      <c r="I716" s="11">
        <f>SUMIFS(PENJUALAN!$E$4:$E$3651,PENJUALAN!$C$4:$C$3651,'Current Stock'!A716)</f>
        <v>0</v>
      </c>
      <c r="J716" s="15">
        <f t="shared" si="2"/>
        <v>0</v>
      </c>
      <c r="K716" s="11"/>
      <c r="L716" s="11"/>
      <c r="M716" s="11"/>
      <c r="N716" s="11"/>
      <c r="O716" s="17"/>
      <c r="P716" s="17"/>
    </row>
    <row r="717" ht="13.5" customHeight="1">
      <c r="A717" s="11" t="str">
        <f t="shared" si="1"/>
        <v>RDR-ALTIS06FY</v>
      </c>
      <c r="B717" s="32" t="s">
        <v>1085</v>
      </c>
      <c r="C717" s="33" t="s">
        <v>1079</v>
      </c>
      <c r="D717" s="33" t="s">
        <v>146</v>
      </c>
      <c r="E717" s="11" t="s">
        <v>123</v>
      </c>
      <c r="F717" s="33"/>
      <c r="G717" s="11"/>
      <c r="H717" s="11">
        <f>SUMIFS(X!$F$3:$F$5978,X!$D$3:$D$5978,'Current Stock'!A717)</f>
        <v>0</v>
      </c>
      <c r="I717" s="11">
        <f>SUMIFS(PENJUALAN!$E$4:$E$3651,PENJUALAN!$C$4:$C$3651,'Current Stock'!A717)</f>
        <v>0</v>
      </c>
      <c r="J717" s="15">
        <f t="shared" si="2"/>
        <v>0</v>
      </c>
      <c r="K717" s="11"/>
      <c r="L717" s="11"/>
      <c r="M717" s="11"/>
      <c r="N717" s="11"/>
      <c r="O717" s="17"/>
      <c r="P717" s="17"/>
    </row>
    <row r="718" ht="13.5" customHeight="1">
      <c r="A718" s="11" t="str">
        <f t="shared" si="1"/>
        <v>RVL-ALTIS06FY</v>
      </c>
      <c r="B718" s="32" t="s">
        <v>1086</v>
      </c>
      <c r="C718" s="33" t="s">
        <v>1079</v>
      </c>
      <c r="D718" s="33" t="s">
        <v>396</v>
      </c>
      <c r="E718" s="11" t="s">
        <v>123</v>
      </c>
      <c r="F718" s="33"/>
      <c r="G718" s="11"/>
      <c r="H718" s="11">
        <f>SUMIFS(X!$F$3:$F$5978,X!$D$3:$D$5978,'Current Stock'!A718)</f>
        <v>0</v>
      </c>
      <c r="I718" s="11">
        <f>SUMIFS(PENJUALAN!$E$4:$E$3651,PENJUALAN!$C$4:$C$3651,'Current Stock'!A718)</f>
        <v>0</v>
      </c>
      <c r="J718" s="15">
        <f t="shared" si="2"/>
        <v>0</v>
      </c>
      <c r="K718" s="11"/>
      <c r="L718" s="11"/>
      <c r="M718" s="11"/>
      <c r="N718" s="11"/>
      <c r="O718" s="17"/>
      <c r="P718" s="17"/>
    </row>
    <row r="719" ht="13.5" customHeight="1">
      <c r="A719" s="11" t="str">
        <f t="shared" si="1"/>
        <v>RVR-ALTIS06FY</v>
      </c>
      <c r="B719" s="32" t="s">
        <v>1087</v>
      </c>
      <c r="C719" s="33" t="s">
        <v>1079</v>
      </c>
      <c r="D719" s="33" t="s">
        <v>398</v>
      </c>
      <c r="E719" s="11" t="s">
        <v>123</v>
      </c>
      <c r="F719" s="33"/>
      <c r="G719" s="11"/>
      <c r="H719" s="11">
        <f>SUMIFS(X!$F$3:$F$5978,X!$D$3:$D$5978,'Current Stock'!A719)</f>
        <v>0</v>
      </c>
      <c r="I719" s="11">
        <f>SUMIFS(PENJUALAN!$E$4:$E$3651,PENJUALAN!$C$4:$C$3651,'Current Stock'!A719)</f>
        <v>0</v>
      </c>
      <c r="J719" s="15">
        <f t="shared" si="2"/>
        <v>0</v>
      </c>
      <c r="K719" s="11"/>
      <c r="L719" s="11"/>
      <c r="M719" s="11"/>
      <c r="N719" s="11"/>
      <c r="O719" s="17"/>
      <c r="P719" s="17"/>
    </row>
    <row r="720" ht="13.5" customHeight="1">
      <c r="A720" s="11" t="str">
        <f t="shared" si="1"/>
        <v>LFW-ALTIS13RSFY</v>
      </c>
      <c r="B720" s="32" t="s">
        <v>1088</v>
      </c>
      <c r="C720" s="33" t="s">
        <v>1089</v>
      </c>
      <c r="D720" s="33" t="s">
        <v>60</v>
      </c>
      <c r="E720" s="11" t="s">
        <v>123</v>
      </c>
      <c r="F720" s="33" t="s">
        <v>90</v>
      </c>
      <c r="G720" s="11"/>
      <c r="H720" s="11">
        <f>SUMIFS(X!$F$3:$F$5978,X!$D$3:$D$5978,'Current Stock'!A720)</f>
        <v>0</v>
      </c>
      <c r="I720" s="11">
        <f>SUMIFS(PENJUALAN!$E$4:$E$3651,PENJUALAN!$C$4:$C$3651,'Current Stock'!A720)</f>
        <v>0</v>
      </c>
      <c r="J720" s="15">
        <f t="shared" si="2"/>
        <v>0</v>
      </c>
      <c r="K720" s="11"/>
      <c r="L720" s="11"/>
      <c r="M720" s="11"/>
      <c r="N720" s="11"/>
      <c r="O720" s="17"/>
      <c r="P720" s="17"/>
    </row>
    <row r="721" ht="13.5" customHeight="1">
      <c r="A721" s="11" t="str">
        <f t="shared" si="1"/>
        <v>TRW-ALTIS13FY</v>
      </c>
      <c r="B721" s="32" t="s">
        <v>1090</v>
      </c>
      <c r="C721" s="33" t="s">
        <v>1089</v>
      </c>
      <c r="D721" s="33" t="s">
        <v>62</v>
      </c>
      <c r="E721" s="11" t="s">
        <v>123</v>
      </c>
      <c r="F721" s="33" t="s">
        <v>126</v>
      </c>
      <c r="G721" s="11"/>
      <c r="H721" s="11">
        <f>SUMIFS(X!$F$3:$F$5978,X!$D$3:$D$5978,'Current Stock'!A721)</f>
        <v>0</v>
      </c>
      <c r="I721" s="11">
        <f>SUMIFS(PENJUALAN!$E$4:$E$3651,PENJUALAN!$C$4:$C$3651,'Current Stock'!A721)</f>
        <v>0</v>
      </c>
      <c r="J721" s="15">
        <f t="shared" si="2"/>
        <v>0</v>
      </c>
      <c r="K721" s="11"/>
      <c r="L721" s="11"/>
      <c r="M721" s="11"/>
      <c r="N721" s="11"/>
      <c r="O721" s="17"/>
      <c r="P721" s="17"/>
    </row>
    <row r="722" ht="13.5" customHeight="1">
      <c r="A722" s="11" t="str">
        <f t="shared" si="1"/>
        <v>FDL-ALTIS13FY</v>
      </c>
      <c r="B722" s="32" t="s">
        <v>1091</v>
      </c>
      <c r="C722" s="33" t="s">
        <v>1089</v>
      </c>
      <c r="D722" s="33" t="s">
        <v>140</v>
      </c>
      <c r="E722" s="11" t="s">
        <v>123</v>
      </c>
      <c r="F722" s="33"/>
      <c r="G722" s="11"/>
      <c r="H722" s="11">
        <f>SUMIFS(X!$F$3:$F$5978,X!$D$3:$D$5978,'Current Stock'!A722)</f>
        <v>0</v>
      </c>
      <c r="I722" s="11">
        <f>SUMIFS(PENJUALAN!$E$4:$E$3651,PENJUALAN!$C$4:$C$3651,'Current Stock'!A722)</f>
        <v>0</v>
      </c>
      <c r="J722" s="15">
        <f t="shared" si="2"/>
        <v>0</v>
      </c>
      <c r="K722" s="11"/>
      <c r="L722" s="11"/>
      <c r="M722" s="11"/>
      <c r="N722" s="11"/>
      <c r="O722" s="17"/>
      <c r="P722" s="17"/>
    </row>
    <row r="723" ht="13.5" customHeight="1">
      <c r="A723" s="11" t="str">
        <f t="shared" si="1"/>
        <v>FDR-ALTIS13FY</v>
      </c>
      <c r="B723" s="32" t="s">
        <v>1092</v>
      </c>
      <c r="C723" s="33" t="s">
        <v>1089</v>
      </c>
      <c r="D723" s="33" t="s">
        <v>142</v>
      </c>
      <c r="E723" s="11" t="s">
        <v>123</v>
      </c>
      <c r="F723" s="33"/>
      <c r="G723" s="11"/>
      <c r="H723" s="11">
        <f>SUMIFS(X!$F$3:$F$5978,X!$D$3:$D$5978,'Current Stock'!A723)</f>
        <v>0</v>
      </c>
      <c r="I723" s="11">
        <f>SUMIFS(PENJUALAN!$E$4:$E$3651,PENJUALAN!$C$4:$C$3651,'Current Stock'!A723)</f>
        <v>0</v>
      </c>
      <c r="J723" s="15">
        <f t="shared" si="2"/>
        <v>0</v>
      </c>
      <c r="K723" s="11"/>
      <c r="L723" s="11"/>
      <c r="M723" s="11"/>
      <c r="N723" s="11"/>
      <c r="O723" s="17"/>
      <c r="P723" s="17"/>
    </row>
    <row r="724" ht="13.5" customHeight="1">
      <c r="A724" s="11" t="str">
        <f t="shared" si="1"/>
        <v>RDL-ALTIS13FY</v>
      </c>
      <c r="B724" s="32" t="s">
        <v>1093</v>
      </c>
      <c r="C724" s="33" t="s">
        <v>1089</v>
      </c>
      <c r="D724" s="33" t="s">
        <v>144</v>
      </c>
      <c r="E724" s="11" t="s">
        <v>123</v>
      </c>
      <c r="F724" s="33"/>
      <c r="G724" s="11"/>
      <c r="H724" s="11">
        <f>SUMIFS(X!$F$3:$F$5978,X!$D$3:$D$5978,'Current Stock'!A724)</f>
        <v>0</v>
      </c>
      <c r="I724" s="11">
        <f>SUMIFS(PENJUALAN!$E$4:$E$3651,PENJUALAN!$C$4:$C$3651,'Current Stock'!A724)</f>
        <v>0</v>
      </c>
      <c r="J724" s="15">
        <f t="shared" si="2"/>
        <v>0</v>
      </c>
      <c r="K724" s="11"/>
      <c r="L724" s="11"/>
      <c r="M724" s="11"/>
      <c r="N724" s="11"/>
      <c r="O724" s="17"/>
      <c r="P724" s="17"/>
    </row>
    <row r="725" ht="13.5" customHeight="1">
      <c r="A725" s="11" t="str">
        <f t="shared" si="1"/>
        <v>RDR-ALTIS13FY</v>
      </c>
      <c r="B725" s="32" t="s">
        <v>1094</v>
      </c>
      <c r="C725" s="33" t="s">
        <v>1089</v>
      </c>
      <c r="D725" s="33" t="s">
        <v>146</v>
      </c>
      <c r="E725" s="11" t="s">
        <v>123</v>
      </c>
      <c r="F725" s="33"/>
      <c r="G725" s="11"/>
      <c r="H725" s="11">
        <f>SUMIFS(X!$F$3:$F$5978,X!$D$3:$D$5978,'Current Stock'!A725)</f>
        <v>0</v>
      </c>
      <c r="I725" s="11">
        <f>SUMIFS(PENJUALAN!$E$4:$E$3651,PENJUALAN!$C$4:$C$3651,'Current Stock'!A725)</f>
        <v>0</v>
      </c>
      <c r="J725" s="15">
        <f t="shared" si="2"/>
        <v>0</v>
      </c>
      <c r="K725" s="11"/>
      <c r="L725" s="11"/>
      <c r="M725" s="11"/>
      <c r="N725" s="11"/>
      <c r="O725" s="17"/>
      <c r="P725" s="17"/>
    </row>
    <row r="726" ht="13.5" customHeight="1">
      <c r="A726" s="11" t="str">
        <f t="shared" si="1"/>
        <v>RVL-ALTIS13FY</v>
      </c>
      <c r="B726" s="32" t="s">
        <v>1095</v>
      </c>
      <c r="C726" s="33" t="s">
        <v>1089</v>
      </c>
      <c r="D726" s="33" t="s">
        <v>396</v>
      </c>
      <c r="E726" s="11" t="s">
        <v>123</v>
      </c>
      <c r="F726" s="33"/>
      <c r="G726" s="11"/>
      <c r="H726" s="11">
        <f>SUMIFS(X!$F$3:$F$5978,X!$D$3:$D$5978,'Current Stock'!A726)</f>
        <v>0</v>
      </c>
      <c r="I726" s="11">
        <f>SUMIFS(PENJUALAN!$E$4:$E$3651,PENJUALAN!$C$4:$C$3651,'Current Stock'!A726)</f>
        <v>0</v>
      </c>
      <c r="J726" s="15">
        <f t="shared" si="2"/>
        <v>0</v>
      </c>
      <c r="K726" s="11"/>
      <c r="L726" s="11"/>
      <c r="M726" s="11"/>
      <c r="N726" s="11"/>
      <c r="O726" s="17"/>
      <c r="P726" s="17"/>
    </row>
    <row r="727" ht="13.5" customHeight="1">
      <c r="A727" s="11" t="str">
        <f t="shared" si="1"/>
        <v>RVR-ALTIS13FY</v>
      </c>
      <c r="B727" s="32" t="s">
        <v>1096</v>
      </c>
      <c r="C727" s="33" t="s">
        <v>1089</v>
      </c>
      <c r="D727" s="33" t="s">
        <v>398</v>
      </c>
      <c r="E727" s="11" t="s">
        <v>123</v>
      </c>
      <c r="F727" s="33"/>
      <c r="G727" s="11"/>
      <c r="H727" s="11">
        <f>SUMIFS(X!$F$3:$F$5978,X!$D$3:$D$5978,'Current Stock'!A727)</f>
        <v>0</v>
      </c>
      <c r="I727" s="11">
        <f>SUMIFS(PENJUALAN!$E$4:$E$3651,PENJUALAN!$C$4:$C$3651,'Current Stock'!A727)</f>
        <v>0</v>
      </c>
      <c r="J727" s="15">
        <f t="shared" si="2"/>
        <v>0</v>
      </c>
      <c r="K727" s="11"/>
      <c r="L727" s="11"/>
      <c r="M727" s="11"/>
      <c r="N727" s="11"/>
      <c r="O727" s="17"/>
      <c r="P727" s="17"/>
    </row>
    <row r="728" ht="13.5" customHeight="1">
      <c r="A728" s="11" t="str">
        <f t="shared" si="1"/>
        <v>LFW-AVANZA03FY</v>
      </c>
      <c r="B728" s="32" t="s">
        <v>1097</v>
      </c>
      <c r="C728" s="33" t="s">
        <v>81</v>
      </c>
      <c r="D728" s="33" t="s">
        <v>60</v>
      </c>
      <c r="E728" s="11" t="s">
        <v>123</v>
      </c>
      <c r="F728" s="33" t="s">
        <v>109</v>
      </c>
      <c r="G728" s="11"/>
      <c r="H728" s="11">
        <f>SUMIFS(X!$F$3:$F$5978,X!$D$3:$D$5978,'Current Stock'!A728)</f>
        <v>0</v>
      </c>
      <c r="I728" s="11">
        <f>SUMIFS(PENJUALAN!$E$4:$E$3651,PENJUALAN!$C$4:$C$3651,'Current Stock'!A728)</f>
        <v>0</v>
      </c>
      <c r="J728" s="15">
        <f t="shared" si="2"/>
        <v>0</v>
      </c>
      <c r="K728" s="11"/>
      <c r="L728" s="11"/>
      <c r="M728" s="11"/>
      <c r="N728" s="11"/>
      <c r="O728" s="17"/>
      <c r="P728" s="17"/>
    </row>
    <row r="729" ht="13.5" customHeight="1">
      <c r="A729" s="11" t="str">
        <f t="shared" si="1"/>
        <v>TRW-AVANZA03FY</v>
      </c>
      <c r="B729" s="32" t="s">
        <v>1098</v>
      </c>
      <c r="C729" s="33" t="s">
        <v>81</v>
      </c>
      <c r="D729" s="33" t="s">
        <v>62</v>
      </c>
      <c r="E729" s="11" t="s">
        <v>123</v>
      </c>
      <c r="F729" s="33" t="s">
        <v>109</v>
      </c>
      <c r="G729" s="11"/>
      <c r="H729" s="11">
        <f>SUMIFS(X!$F$3:$F$5978,X!$D$3:$D$5978,'Current Stock'!A729)</f>
        <v>0</v>
      </c>
      <c r="I729" s="11">
        <f>SUMIFS(PENJUALAN!$E$4:$E$3651,PENJUALAN!$C$4:$C$3651,'Current Stock'!A729)</f>
        <v>0</v>
      </c>
      <c r="J729" s="15">
        <f t="shared" si="2"/>
        <v>0</v>
      </c>
      <c r="K729" s="11"/>
      <c r="L729" s="11"/>
      <c r="M729" s="11"/>
      <c r="N729" s="11"/>
      <c r="O729" s="17"/>
      <c r="P729" s="17"/>
    </row>
    <row r="730" ht="13.5" customHeight="1">
      <c r="A730" s="11" t="str">
        <f t="shared" si="1"/>
        <v>TRW-AVANZA03HFY</v>
      </c>
      <c r="B730" s="32" t="s">
        <v>80</v>
      </c>
      <c r="C730" s="33" t="s">
        <v>81</v>
      </c>
      <c r="D730" s="33" t="s">
        <v>62</v>
      </c>
      <c r="E730" s="11" t="s">
        <v>123</v>
      </c>
      <c r="F730" s="33" t="s">
        <v>83</v>
      </c>
      <c r="G730" s="11"/>
      <c r="H730" s="11">
        <f>SUMIFS(X!$F$3:$F$5978,X!$D$3:$D$5978,'Current Stock'!A730)</f>
        <v>0</v>
      </c>
      <c r="I730" s="11">
        <f>SUMIFS(PENJUALAN!$E$4:$E$3651,PENJUALAN!$C$4:$C$3651,'Current Stock'!A730)</f>
        <v>0</v>
      </c>
      <c r="J730" s="15">
        <f t="shared" si="2"/>
        <v>0</v>
      </c>
      <c r="K730" s="11"/>
      <c r="L730" s="11"/>
      <c r="M730" s="11"/>
      <c r="N730" s="11"/>
      <c r="O730" s="17"/>
      <c r="P730" s="17"/>
    </row>
    <row r="731" ht="13.5" customHeight="1">
      <c r="A731" s="11" t="str">
        <f t="shared" si="1"/>
        <v>LFW-AVANZA11FY</v>
      </c>
      <c r="B731" s="32" t="s">
        <v>1099</v>
      </c>
      <c r="C731" s="33" t="s">
        <v>1100</v>
      </c>
      <c r="D731" s="33" t="s">
        <v>60</v>
      </c>
      <c r="E731" s="11" t="s">
        <v>123</v>
      </c>
      <c r="F731" s="33" t="s">
        <v>109</v>
      </c>
      <c r="G731" s="11"/>
      <c r="H731" s="11">
        <f>SUMIFS(X!$F$3:$F$5978,X!$D$3:$D$5978,'Current Stock'!A731)</f>
        <v>0</v>
      </c>
      <c r="I731" s="11">
        <f>SUMIFS(PENJUALAN!$E$4:$E$3651,PENJUALAN!$C$4:$C$3651,'Current Stock'!A731)</f>
        <v>0</v>
      </c>
      <c r="J731" s="15">
        <f t="shared" si="2"/>
        <v>0</v>
      </c>
      <c r="K731" s="11"/>
      <c r="L731" s="11"/>
      <c r="M731" s="11"/>
      <c r="N731" s="11"/>
      <c r="O731" s="17"/>
      <c r="P731" s="17"/>
    </row>
    <row r="732" ht="13.5" customHeight="1">
      <c r="A732" s="11" t="str">
        <f t="shared" si="1"/>
        <v>TRW-AVANZA11FY</v>
      </c>
      <c r="B732" s="32" t="s">
        <v>98</v>
      </c>
      <c r="C732" s="33" t="s">
        <v>95</v>
      </c>
      <c r="D732" s="33" t="s">
        <v>62</v>
      </c>
      <c r="E732" s="11" t="s">
        <v>123</v>
      </c>
      <c r="F732" s="33" t="s">
        <v>109</v>
      </c>
      <c r="G732" s="11"/>
      <c r="H732" s="11">
        <f>SUMIFS(X!$F$3:$F$5978,X!$D$3:$D$5978,'Current Stock'!A732)</f>
        <v>0</v>
      </c>
      <c r="I732" s="11">
        <f>SUMIFS(PENJUALAN!$E$4:$E$3651,PENJUALAN!$C$4:$C$3651,'Current Stock'!A732)</f>
        <v>0</v>
      </c>
      <c r="J732" s="15">
        <f t="shared" si="2"/>
        <v>0</v>
      </c>
      <c r="K732" s="11"/>
      <c r="L732" s="11"/>
      <c r="M732" s="11"/>
      <c r="N732" s="11"/>
      <c r="O732" s="17"/>
      <c r="P732" s="17"/>
    </row>
    <row r="733" ht="13.5" customHeight="1">
      <c r="A733" s="11" t="str">
        <f t="shared" si="1"/>
        <v>TRW-AVANZA11HFY</v>
      </c>
      <c r="B733" s="32" t="s">
        <v>1101</v>
      </c>
      <c r="C733" s="33" t="s">
        <v>95</v>
      </c>
      <c r="D733" s="33" t="s">
        <v>62</v>
      </c>
      <c r="E733" s="11" t="s">
        <v>123</v>
      </c>
      <c r="F733" s="33" t="s">
        <v>83</v>
      </c>
      <c r="G733" s="11"/>
      <c r="H733" s="11">
        <f>SUMIFS(X!$F$3:$F$5978,X!$D$3:$D$5978,'Current Stock'!A733)</f>
        <v>0</v>
      </c>
      <c r="I733" s="11">
        <f>SUMIFS(PENJUALAN!$E$4:$E$3651,PENJUALAN!$C$4:$C$3651,'Current Stock'!A733)</f>
        <v>0</v>
      </c>
      <c r="J733" s="15">
        <f t="shared" si="2"/>
        <v>0</v>
      </c>
      <c r="K733" s="11"/>
      <c r="L733" s="11"/>
      <c r="M733" s="11"/>
      <c r="N733" s="11"/>
      <c r="O733" s="17"/>
      <c r="P733" s="17"/>
    </row>
    <row r="734" ht="13.5" customHeight="1">
      <c r="A734" s="11" t="str">
        <f t="shared" si="1"/>
        <v>LFW-AVANZA16FY</v>
      </c>
      <c r="B734" s="32" t="s">
        <v>1102</v>
      </c>
      <c r="C734" s="33" t="s">
        <v>1103</v>
      </c>
      <c r="D734" s="33" t="s">
        <v>60</v>
      </c>
      <c r="E734" s="11" t="s">
        <v>123</v>
      </c>
      <c r="F734" s="33" t="s">
        <v>109</v>
      </c>
      <c r="G734" s="11"/>
      <c r="H734" s="11">
        <f>SUMIFS(X!$F$3:$F$5978,X!$D$3:$D$5978,'Current Stock'!A734)</f>
        <v>0</v>
      </c>
      <c r="I734" s="11">
        <f>SUMIFS(PENJUALAN!$E$4:$E$3651,PENJUALAN!$C$4:$C$3651,'Current Stock'!A734)</f>
        <v>0</v>
      </c>
      <c r="J734" s="15">
        <f t="shared" si="2"/>
        <v>0</v>
      </c>
      <c r="K734" s="11"/>
      <c r="L734" s="11"/>
      <c r="M734" s="11"/>
      <c r="N734" s="11"/>
      <c r="O734" s="17"/>
      <c r="P734" s="17"/>
    </row>
    <row r="735" ht="13.5" customHeight="1">
      <c r="A735" s="11" t="str">
        <f t="shared" si="1"/>
        <v>LFW-CAMRY96FY</v>
      </c>
      <c r="B735" s="32" t="s">
        <v>1104</v>
      </c>
      <c r="C735" s="33" t="s">
        <v>1105</v>
      </c>
      <c r="D735" s="33" t="s">
        <v>60</v>
      </c>
      <c r="E735" s="11" t="s">
        <v>123</v>
      </c>
      <c r="F735" s="33" t="s">
        <v>137</v>
      </c>
      <c r="G735" s="11"/>
      <c r="H735" s="11">
        <f>SUMIFS(X!$F$3:$F$5978,X!$D$3:$D$5978,'Current Stock'!A735)</f>
        <v>0</v>
      </c>
      <c r="I735" s="11">
        <f>SUMIFS(PENJUALAN!$E$4:$E$3651,PENJUALAN!$C$4:$C$3651,'Current Stock'!A735)</f>
        <v>0</v>
      </c>
      <c r="J735" s="15">
        <f t="shared" si="2"/>
        <v>0</v>
      </c>
      <c r="K735" s="11"/>
      <c r="L735" s="11"/>
      <c r="M735" s="11"/>
      <c r="N735" s="11"/>
      <c r="O735" s="17"/>
      <c r="P735" s="17"/>
    </row>
    <row r="736" ht="13.5" customHeight="1">
      <c r="A736" s="11" t="str">
        <f t="shared" si="1"/>
        <v>TRW-CAMRY96FY</v>
      </c>
      <c r="B736" s="32" t="s">
        <v>1106</v>
      </c>
      <c r="C736" s="33" t="s">
        <v>1105</v>
      </c>
      <c r="D736" s="33" t="s">
        <v>62</v>
      </c>
      <c r="E736" s="11" t="s">
        <v>123</v>
      </c>
      <c r="F736" s="33" t="s">
        <v>83</v>
      </c>
      <c r="G736" s="11"/>
      <c r="H736" s="11">
        <f>SUMIFS(X!$F$3:$F$5978,X!$D$3:$D$5978,'Current Stock'!A736)</f>
        <v>0</v>
      </c>
      <c r="I736" s="11">
        <f>SUMIFS(PENJUALAN!$E$4:$E$3651,PENJUALAN!$C$4:$C$3651,'Current Stock'!A736)</f>
        <v>0</v>
      </c>
      <c r="J736" s="15">
        <f t="shared" si="2"/>
        <v>0</v>
      </c>
      <c r="K736" s="11"/>
      <c r="L736" s="11"/>
      <c r="M736" s="11"/>
      <c r="N736" s="11"/>
      <c r="O736" s="17"/>
      <c r="P736" s="17"/>
    </row>
    <row r="737" ht="13.5" customHeight="1">
      <c r="A737" s="11" t="str">
        <f t="shared" si="1"/>
        <v>LFW-CAMRY02FY</v>
      </c>
      <c r="B737" s="32" t="s">
        <v>1107</v>
      </c>
      <c r="C737" s="33" t="s">
        <v>1108</v>
      </c>
      <c r="D737" s="33" t="s">
        <v>60</v>
      </c>
      <c r="E737" s="11" t="s">
        <v>123</v>
      </c>
      <c r="F737" s="33" t="s">
        <v>137</v>
      </c>
      <c r="G737" s="11"/>
      <c r="H737" s="11">
        <f>SUMIFS(X!$F$3:$F$5978,X!$D$3:$D$5978,'Current Stock'!A737)</f>
        <v>1</v>
      </c>
      <c r="I737" s="11">
        <f>SUMIFS(PENJUALAN!$E$4:$E$3651,PENJUALAN!$C$4:$C$3651,'Current Stock'!A737)</f>
        <v>1</v>
      </c>
      <c r="J737" s="15">
        <f t="shared" si="2"/>
        <v>0</v>
      </c>
      <c r="K737" s="11"/>
      <c r="L737" s="11"/>
      <c r="M737" s="11"/>
      <c r="N737" s="11"/>
      <c r="O737" s="17"/>
      <c r="P737" s="17"/>
    </row>
    <row r="738" ht="13.5" customHeight="1">
      <c r="A738" s="11" t="str">
        <f t="shared" si="1"/>
        <v>TRW-CAMRY02FY</v>
      </c>
      <c r="B738" s="32" t="s">
        <v>1109</v>
      </c>
      <c r="C738" s="33" t="s">
        <v>1108</v>
      </c>
      <c r="D738" s="33" t="s">
        <v>62</v>
      </c>
      <c r="E738" s="11" t="s">
        <v>123</v>
      </c>
      <c r="F738" s="33" t="s">
        <v>126</v>
      </c>
      <c r="G738" s="11"/>
      <c r="H738" s="11">
        <f>SUMIFS(X!$F$3:$F$5978,X!$D$3:$D$5978,'Current Stock'!A738)</f>
        <v>0</v>
      </c>
      <c r="I738" s="11">
        <f>SUMIFS(PENJUALAN!$E$4:$E$3651,PENJUALAN!$C$4:$C$3651,'Current Stock'!A738)</f>
        <v>0</v>
      </c>
      <c r="J738" s="15">
        <f t="shared" si="2"/>
        <v>0</v>
      </c>
      <c r="K738" s="11"/>
      <c r="L738" s="11"/>
      <c r="M738" s="11"/>
      <c r="N738" s="11"/>
      <c r="O738" s="17"/>
      <c r="P738" s="17"/>
    </row>
    <row r="739" ht="13.5" customHeight="1">
      <c r="A739" s="11" t="str">
        <f t="shared" si="1"/>
        <v>FDL-CAMRY02FY</v>
      </c>
      <c r="B739" s="32" t="s">
        <v>1110</v>
      </c>
      <c r="C739" s="33" t="s">
        <v>1108</v>
      </c>
      <c r="D739" s="33" t="s">
        <v>140</v>
      </c>
      <c r="E739" s="11" t="s">
        <v>123</v>
      </c>
      <c r="F739" s="33"/>
      <c r="G739" s="11"/>
      <c r="H739" s="11">
        <f>SUMIFS(X!$F$3:$F$5978,X!$D$3:$D$5978,'Current Stock'!A739)</f>
        <v>0</v>
      </c>
      <c r="I739" s="11">
        <f>SUMIFS(PENJUALAN!$E$4:$E$3651,PENJUALAN!$C$4:$C$3651,'Current Stock'!A739)</f>
        <v>0</v>
      </c>
      <c r="J739" s="15">
        <f t="shared" si="2"/>
        <v>0</v>
      </c>
      <c r="K739" s="11"/>
      <c r="L739" s="11"/>
      <c r="M739" s="11"/>
      <c r="N739" s="11"/>
      <c r="O739" s="17"/>
      <c r="P739" s="17"/>
    </row>
    <row r="740" ht="13.5" customHeight="1">
      <c r="A740" s="11" t="str">
        <f t="shared" si="1"/>
        <v>FDR-CAMRY02FY</v>
      </c>
      <c r="B740" s="32" t="s">
        <v>1111</v>
      </c>
      <c r="C740" s="33" t="s">
        <v>1108</v>
      </c>
      <c r="D740" s="33" t="s">
        <v>142</v>
      </c>
      <c r="E740" s="11" t="s">
        <v>123</v>
      </c>
      <c r="F740" s="33"/>
      <c r="G740" s="11"/>
      <c r="H740" s="11">
        <f>SUMIFS(X!$F$3:$F$5978,X!$D$3:$D$5978,'Current Stock'!A740)</f>
        <v>0</v>
      </c>
      <c r="I740" s="11">
        <f>SUMIFS(PENJUALAN!$E$4:$E$3651,PENJUALAN!$C$4:$C$3651,'Current Stock'!A740)</f>
        <v>0</v>
      </c>
      <c r="J740" s="15">
        <f t="shared" si="2"/>
        <v>0</v>
      </c>
      <c r="K740" s="11"/>
      <c r="L740" s="11"/>
      <c r="M740" s="11"/>
      <c r="N740" s="11"/>
      <c r="O740" s="17"/>
      <c r="P740" s="17"/>
    </row>
    <row r="741" ht="13.5" customHeight="1">
      <c r="A741" s="11" t="str">
        <f t="shared" si="1"/>
        <v>LFW-CAMRY06FY</v>
      </c>
      <c r="B741" s="32" t="s">
        <v>1112</v>
      </c>
      <c r="C741" s="33" t="s">
        <v>1113</v>
      </c>
      <c r="D741" s="33" t="s">
        <v>60</v>
      </c>
      <c r="E741" s="11" t="s">
        <v>123</v>
      </c>
      <c r="F741" s="33" t="s">
        <v>137</v>
      </c>
      <c r="G741" s="11"/>
      <c r="H741" s="11">
        <f>SUMIFS(X!$F$3:$F$5978,X!$D$3:$D$5978,'Current Stock'!A741)</f>
        <v>0</v>
      </c>
      <c r="I741" s="11">
        <f>SUMIFS(PENJUALAN!$E$4:$E$3651,PENJUALAN!$C$4:$C$3651,'Current Stock'!A741)</f>
        <v>0</v>
      </c>
      <c r="J741" s="15">
        <f t="shared" si="2"/>
        <v>0</v>
      </c>
      <c r="K741" s="11"/>
      <c r="L741" s="11"/>
      <c r="M741" s="11"/>
      <c r="N741" s="11"/>
      <c r="O741" s="17"/>
      <c r="P741" s="17"/>
    </row>
    <row r="742" ht="13.5" customHeight="1">
      <c r="A742" s="11" t="str">
        <f t="shared" si="1"/>
        <v>LFW-CAMRY06RSFY</v>
      </c>
      <c r="B742" s="32" t="s">
        <v>1114</v>
      </c>
      <c r="C742" s="33" t="s">
        <v>1113</v>
      </c>
      <c r="D742" s="33" t="s">
        <v>60</v>
      </c>
      <c r="E742" s="11" t="s">
        <v>123</v>
      </c>
      <c r="F742" s="33" t="s">
        <v>90</v>
      </c>
      <c r="G742" s="11"/>
      <c r="H742" s="11">
        <f>SUMIFS(X!$F$3:$F$5978,X!$D$3:$D$5978,'Current Stock'!A742)</f>
        <v>2</v>
      </c>
      <c r="I742" s="11">
        <f>SUMIFS(PENJUALAN!$E$4:$E$3651,PENJUALAN!$C$4:$C$3651,'Current Stock'!A742)</f>
        <v>2</v>
      </c>
      <c r="J742" s="15">
        <f t="shared" si="2"/>
        <v>0</v>
      </c>
      <c r="K742" s="11"/>
      <c r="L742" s="11"/>
      <c r="M742" s="11"/>
      <c r="N742" s="11"/>
      <c r="O742" s="17"/>
      <c r="P742" s="17"/>
    </row>
    <row r="743" ht="13.5" customHeight="1">
      <c r="A743" s="11" t="str">
        <f t="shared" si="1"/>
        <v>TRW-CAMRY06FY</v>
      </c>
      <c r="B743" s="32" t="s">
        <v>1115</v>
      </c>
      <c r="C743" s="33" t="s">
        <v>1113</v>
      </c>
      <c r="D743" s="33" t="s">
        <v>62</v>
      </c>
      <c r="E743" s="11" t="s">
        <v>123</v>
      </c>
      <c r="F743" s="33" t="s">
        <v>126</v>
      </c>
      <c r="G743" s="11"/>
      <c r="H743" s="11">
        <f>SUMIFS(X!$F$3:$F$5978,X!$D$3:$D$5978,'Current Stock'!A743)</f>
        <v>0</v>
      </c>
      <c r="I743" s="11">
        <f>SUMIFS(PENJUALAN!$E$4:$E$3651,PENJUALAN!$C$4:$C$3651,'Current Stock'!A743)</f>
        <v>0</v>
      </c>
      <c r="J743" s="15">
        <f t="shared" si="2"/>
        <v>0</v>
      </c>
      <c r="K743" s="11"/>
      <c r="L743" s="11"/>
      <c r="M743" s="11"/>
      <c r="N743" s="11"/>
      <c r="O743" s="17"/>
      <c r="P743" s="17"/>
    </row>
    <row r="744" ht="13.5" customHeight="1">
      <c r="A744" s="11" t="str">
        <f t="shared" si="1"/>
        <v>LFW-CAMRY11FY</v>
      </c>
      <c r="B744" s="36" t="s">
        <v>1116</v>
      </c>
      <c r="C744" s="33" t="s">
        <v>1117</v>
      </c>
      <c r="D744" s="31" t="s">
        <v>60</v>
      </c>
      <c r="E744" s="13" t="s">
        <v>123</v>
      </c>
      <c r="F744" s="31" t="s">
        <v>137</v>
      </c>
      <c r="G744" s="11"/>
      <c r="H744" s="11">
        <f>SUMIFS(X!$F$3:$F$5978,X!$D$3:$D$5978,'Current Stock'!A744)</f>
        <v>0</v>
      </c>
      <c r="I744" s="11">
        <f>SUMIFS(PENJUALAN!$E$4:$E$3651,PENJUALAN!$C$4:$C$3651,'Current Stock'!A744)</f>
        <v>0</v>
      </c>
      <c r="J744" s="15">
        <f t="shared" si="2"/>
        <v>0</v>
      </c>
      <c r="K744" s="11"/>
      <c r="L744" s="11"/>
      <c r="M744" s="11"/>
      <c r="N744" s="11"/>
      <c r="O744" s="17"/>
      <c r="P744" s="17"/>
    </row>
    <row r="745" ht="13.5" customHeight="1">
      <c r="A745" s="11" t="str">
        <f t="shared" si="1"/>
        <v>LFW-CAMRY11RSFY</v>
      </c>
      <c r="B745" s="36" t="s">
        <v>1118</v>
      </c>
      <c r="C745" s="33" t="s">
        <v>1117</v>
      </c>
      <c r="D745" s="33" t="s">
        <v>60</v>
      </c>
      <c r="E745" s="11" t="s">
        <v>123</v>
      </c>
      <c r="F745" s="33" t="s">
        <v>90</v>
      </c>
      <c r="G745" s="11"/>
      <c r="H745" s="11">
        <f>SUMIFS(X!$F$3:$F$5978,X!$D$3:$D$5978,'Current Stock'!A745)</f>
        <v>1</v>
      </c>
      <c r="I745" s="11">
        <f>SUMIFS(PENJUALAN!$E$4:$E$3651,PENJUALAN!$C$4:$C$3651,'Current Stock'!A745)</f>
        <v>1</v>
      </c>
      <c r="J745" s="15">
        <f t="shared" si="2"/>
        <v>0</v>
      </c>
      <c r="K745" s="11"/>
      <c r="L745" s="11"/>
      <c r="M745" s="11"/>
      <c r="N745" s="11"/>
      <c r="O745" s="17"/>
      <c r="P745" s="17"/>
    </row>
    <row r="746" ht="13.5" customHeight="1">
      <c r="A746" s="11" t="str">
        <f t="shared" si="1"/>
        <v>TRW-CAMRY11FY</v>
      </c>
      <c r="B746" s="32" t="s">
        <v>1119</v>
      </c>
      <c r="C746" s="33" t="s">
        <v>1117</v>
      </c>
      <c r="D746" s="33" t="s">
        <v>62</v>
      </c>
      <c r="E746" s="11" t="s">
        <v>123</v>
      </c>
      <c r="F746" s="33" t="s">
        <v>126</v>
      </c>
      <c r="G746" s="11"/>
      <c r="H746" s="11">
        <f>SUMIFS(X!$F$3:$F$5978,X!$D$3:$D$5978,'Current Stock'!A746)</f>
        <v>0</v>
      </c>
      <c r="I746" s="11">
        <f>SUMIFS(PENJUALAN!$E$4:$E$3651,PENJUALAN!$C$4:$C$3651,'Current Stock'!A746)</f>
        <v>0</v>
      </c>
      <c r="J746" s="15">
        <f t="shared" si="2"/>
        <v>0</v>
      </c>
      <c r="K746" s="11"/>
      <c r="L746" s="11"/>
      <c r="M746" s="11"/>
      <c r="N746" s="11"/>
      <c r="O746" s="17"/>
      <c r="P746" s="17"/>
    </row>
    <row r="747" ht="13.5" customHeight="1">
      <c r="A747" s="11" t="str">
        <f t="shared" si="1"/>
        <v>FDL-CAMRY11FY</v>
      </c>
      <c r="B747" s="32" t="s">
        <v>1120</v>
      </c>
      <c r="C747" s="33" t="s">
        <v>1117</v>
      </c>
      <c r="D747" s="33" t="s">
        <v>140</v>
      </c>
      <c r="E747" s="11" t="s">
        <v>123</v>
      </c>
      <c r="F747" s="33"/>
      <c r="G747" s="11"/>
      <c r="H747" s="11">
        <f>SUMIFS(X!$F$3:$F$5978,X!$D$3:$D$5978,'Current Stock'!A747)</f>
        <v>0</v>
      </c>
      <c r="I747" s="11">
        <f>SUMIFS(PENJUALAN!$E$4:$E$3651,PENJUALAN!$C$4:$C$3651,'Current Stock'!A747)</f>
        <v>0</v>
      </c>
      <c r="J747" s="15">
        <f t="shared" si="2"/>
        <v>0</v>
      </c>
      <c r="K747" s="11"/>
      <c r="L747" s="11"/>
      <c r="M747" s="11"/>
      <c r="N747" s="11"/>
      <c r="O747" s="17"/>
      <c r="P747" s="17"/>
    </row>
    <row r="748" ht="13.5" customHeight="1">
      <c r="A748" s="11" t="str">
        <f t="shared" si="1"/>
        <v>FDR-CAMRY11FY</v>
      </c>
      <c r="B748" s="32" t="s">
        <v>1121</v>
      </c>
      <c r="C748" s="33" t="s">
        <v>1117</v>
      </c>
      <c r="D748" s="33" t="s">
        <v>142</v>
      </c>
      <c r="E748" s="11" t="s">
        <v>123</v>
      </c>
      <c r="F748" s="33"/>
      <c r="G748" s="11"/>
      <c r="H748" s="11">
        <f>SUMIFS(X!$F$3:$F$5978,X!$D$3:$D$5978,'Current Stock'!A748)</f>
        <v>0</v>
      </c>
      <c r="I748" s="11">
        <f>SUMIFS(PENJUALAN!$E$4:$E$3651,PENJUALAN!$C$4:$C$3651,'Current Stock'!A748)</f>
        <v>0</v>
      </c>
      <c r="J748" s="15">
        <f t="shared" si="2"/>
        <v>0</v>
      </c>
      <c r="K748" s="11"/>
      <c r="L748" s="11"/>
      <c r="M748" s="11"/>
      <c r="N748" s="11"/>
      <c r="O748" s="17"/>
      <c r="P748" s="17"/>
    </row>
    <row r="749" ht="13.5" customHeight="1">
      <c r="A749" s="11" t="str">
        <f t="shared" si="1"/>
        <v>TRW-COROLLA87FY</v>
      </c>
      <c r="B749" s="32" t="s">
        <v>1122</v>
      </c>
      <c r="C749" s="33" t="s">
        <v>1123</v>
      </c>
      <c r="D749" s="33" t="s">
        <v>62</v>
      </c>
      <c r="E749" s="11" t="s">
        <v>123</v>
      </c>
      <c r="F749" s="33" t="s">
        <v>83</v>
      </c>
      <c r="G749" s="11"/>
      <c r="H749" s="11">
        <f>SUMIFS(X!$F$3:$F$5978,X!$D$3:$D$5978,'Current Stock'!A749)</f>
        <v>0</v>
      </c>
      <c r="I749" s="11">
        <f>SUMIFS(PENJUALAN!$E$4:$E$3651,PENJUALAN!$C$4:$C$3651,'Current Stock'!A749)</f>
        <v>0</v>
      </c>
      <c r="J749" s="15">
        <f t="shared" si="2"/>
        <v>0</v>
      </c>
      <c r="K749" s="11"/>
      <c r="L749" s="11"/>
      <c r="M749" s="11"/>
      <c r="N749" s="11"/>
      <c r="O749" s="17"/>
      <c r="P749" s="17"/>
    </row>
    <row r="750" ht="13.5" customHeight="1">
      <c r="A750" s="11" t="str">
        <f t="shared" si="1"/>
        <v>LFW-COROLLA91FY</v>
      </c>
      <c r="B750" s="32" t="s">
        <v>1124</v>
      </c>
      <c r="C750" s="33" t="s">
        <v>1125</v>
      </c>
      <c r="D750" s="33" t="s">
        <v>60</v>
      </c>
      <c r="E750" s="11" t="s">
        <v>123</v>
      </c>
      <c r="F750" s="33" t="s">
        <v>109</v>
      </c>
      <c r="G750" s="11"/>
      <c r="H750" s="11">
        <f>SUMIFS(X!$F$3:$F$5978,X!$D$3:$D$5978,'Current Stock'!A750)</f>
        <v>0</v>
      </c>
      <c r="I750" s="11">
        <f>SUMIFS(PENJUALAN!$E$4:$E$3651,PENJUALAN!$C$4:$C$3651,'Current Stock'!A750)</f>
        <v>0</v>
      </c>
      <c r="J750" s="15">
        <f t="shared" si="2"/>
        <v>0</v>
      </c>
      <c r="K750" s="11"/>
      <c r="L750" s="11"/>
      <c r="M750" s="11"/>
      <c r="N750" s="11"/>
      <c r="O750" s="17"/>
      <c r="P750" s="17"/>
    </row>
    <row r="751" ht="13.5" customHeight="1">
      <c r="A751" s="11" t="str">
        <f t="shared" si="1"/>
        <v>TRW-COROLLA91FY</v>
      </c>
      <c r="B751" s="32" t="s">
        <v>1126</v>
      </c>
      <c r="C751" s="33" t="s">
        <v>1125</v>
      </c>
      <c r="D751" s="33" t="s">
        <v>62</v>
      </c>
      <c r="E751" s="11" t="s">
        <v>123</v>
      </c>
      <c r="F751" s="33" t="s">
        <v>83</v>
      </c>
      <c r="G751" s="11"/>
      <c r="H751" s="11">
        <f>SUMIFS(X!$F$3:$F$5978,X!$D$3:$D$5978,'Current Stock'!A751)</f>
        <v>0</v>
      </c>
      <c r="I751" s="11">
        <f>SUMIFS(PENJUALAN!$E$4:$E$3651,PENJUALAN!$C$4:$C$3651,'Current Stock'!A751)</f>
        <v>0</v>
      </c>
      <c r="J751" s="15">
        <f t="shared" si="2"/>
        <v>0</v>
      </c>
      <c r="K751" s="11"/>
      <c r="L751" s="11"/>
      <c r="M751" s="11"/>
      <c r="N751" s="11"/>
      <c r="O751" s="17"/>
      <c r="P751" s="17"/>
    </row>
    <row r="752" ht="13.5" customHeight="1">
      <c r="A752" s="11" t="str">
        <f t="shared" si="1"/>
        <v>TRW-COROLLA95FY</v>
      </c>
      <c r="B752" s="32" t="s">
        <v>1127</v>
      </c>
      <c r="C752" s="33" t="s">
        <v>1128</v>
      </c>
      <c r="D752" s="33" t="s">
        <v>62</v>
      </c>
      <c r="E752" s="11" t="s">
        <v>123</v>
      </c>
      <c r="F752" s="33" t="s">
        <v>126</v>
      </c>
      <c r="G752" s="11"/>
      <c r="H752" s="11">
        <f>SUMIFS(X!$F$3:$F$5978,X!$D$3:$D$5978,'Current Stock'!A752)</f>
        <v>0</v>
      </c>
      <c r="I752" s="11">
        <f>SUMIFS(PENJUALAN!$E$4:$E$3651,PENJUALAN!$C$4:$C$3651,'Current Stock'!A752)</f>
        <v>0</v>
      </c>
      <c r="J752" s="15">
        <f t="shared" si="2"/>
        <v>0</v>
      </c>
      <c r="K752" s="11"/>
      <c r="L752" s="11"/>
      <c r="M752" s="11"/>
      <c r="N752" s="11"/>
      <c r="O752" s="17"/>
      <c r="P752" s="17"/>
    </row>
    <row r="753" ht="13.5" customHeight="1">
      <c r="A753" s="11" t="str">
        <f t="shared" si="1"/>
        <v>TRW-ETIOSSEDANFY</v>
      </c>
      <c r="B753" s="32" t="s">
        <v>1129</v>
      </c>
      <c r="C753" s="33" t="s">
        <v>108</v>
      </c>
      <c r="D753" s="33" t="s">
        <v>62</v>
      </c>
      <c r="E753" s="11" t="s">
        <v>123</v>
      </c>
      <c r="F753" s="33" t="s">
        <v>109</v>
      </c>
      <c r="G753" s="11"/>
      <c r="H753" s="11">
        <f>SUMIFS(X!$F$3:$F$5978,X!$D$3:$D$5978,'Current Stock'!A753)</f>
        <v>0</v>
      </c>
      <c r="I753" s="11">
        <f>SUMIFS(PENJUALAN!$E$4:$E$3651,PENJUALAN!$C$4:$C$3651,'Current Stock'!A753)</f>
        <v>0</v>
      </c>
      <c r="J753" s="15">
        <f t="shared" si="2"/>
        <v>0</v>
      </c>
      <c r="K753" s="11"/>
      <c r="L753" s="11"/>
      <c r="M753" s="11"/>
      <c r="N753" s="11"/>
      <c r="O753" s="17"/>
      <c r="P753" s="17"/>
    </row>
    <row r="754" ht="13.5" customHeight="1">
      <c r="A754" s="11" t="str">
        <f t="shared" si="1"/>
        <v>TRW-ETIOSHSEDANFY</v>
      </c>
      <c r="B754" s="32" t="s">
        <v>1130</v>
      </c>
      <c r="C754" s="33" t="s">
        <v>108</v>
      </c>
      <c r="D754" s="33" t="s">
        <v>62</v>
      </c>
      <c r="E754" s="11" t="s">
        <v>123</v>
      </c>
      <c r="F754" s="33" t="s">
        <v>83</v>
      </c>
      <c r="G754" s="11"/>
      <c r="H754" s="11">
        <f>SUMIFS(X!$F$3:$F$5978,X!$D$3:$D$5978,'Current Stock'!A754)</f>
        <v>0</v>
      </c>
      <c r="I754" s="11">
        <f>SUMIFS(PENJUALAN!$E$4:$E$3651,PENJUALAN!$C$4:$C$3651,'Current Stock'!A754)</f>
        <v>0</v>
      </c>
      <c r="J754" s="15">
        <f t="shared" si="2"/>
        <v>0</v>
      </c>
      <c r="K754" s="11"/>
      <c r="L754" s="11"/>
      <c r="M754" s="11"/>
      <c r="N754" s="11"/>
      <c r="O754" s="17"/>
      <c r="P754" s="17"/>
    </row>
    <row r="755" ht="13.5" customHeight="1">
      <c r="A755" s="11" t="str">
        <f t="shared" si="1"/>
        <v>LFW-FORTUNER05FY</v>
      </c>
      <c r="B755" s="32" t="s">
        <v>1131</v>
      </c>
      <c r="C755" s="33" t="s">
        <v>1132</v>
      </c>
      <c r="D755" s="33" t="s">
        <v>60</v>
      </c>
      <c r="E755" s="11" t="s">
        <v>123</v>
      </c>
      <c r="F755" s="33" t="s">
        <v>137</v>
      </c>
      <c r="G755" s="11"/>
      <c r="H755" s="11">
        <f>SUMIFS(X!$F$3:$F$5978,X!$D$3:$D$5978,'Current Stock'!A755)</f>
        <v>0</v>
      </c>
      <c r="I755" s="11">
        <f>SUMIFS(PENJUALAN!$E$4:$E$3651,PENJUALAN!$C$4:$C$3651,'Current Stock'!A755)</f>
        <v>0</v>
      </c>
      <c r="J755" s="15">
        <f t="shared" si="2"/>
        <v>0</v>
      </c>
      <c r="K755" s="11"/>
      <c r="L755" s="11"/>
      <c r="M755" s="11"/>
      <c r="N755" s="11"/>
      <c r="O755" s="17"/>
      <c r="P755" s="17"/>
    </row>
    <row r="756" ht="13.5" customHeight="1">
      <c r="A756" s="11" t="str">
        <f t="shared" si="1"/>
        <v>TRW-FORTUNER05FY</v>
      </c>
      <c r="B756" s="32" t="s">
        <v>1133</v>
      </c>
      <c r="C756" s="33" t="s">
        <v>1132</v>
      </c>
      <c r="D756" s="33" t="s">
        <v>62</v>
      </c>
      <c r="E756" s="11" t="s">
        <v>123</v>
      </c>
      <c r="F756" s="33" t="s">
        <v>83</v>
      </c>
      <c r="G756" s="14">
        <v>45988.0</v>
      </c>
      <c r="H756" s="11">
        <f>SUMIFS(X!$F$3:$F$5978,X!$D$3:$D$5978,'Current Stock'!A756)</f>
        <v>0</v>
      </c>
      <c r="I756" s="11">
        <f>SUMIFS(PENJUALAN!$E$4:$E$3651,PENJUALAN!$C$4:$C$3651,'Current Stock'!A756)</f>
        <v>0</v>
      </c>
      <c r="J756" s="15">
        <f t="shared" si="2"/>
        <v>0</v>
      </c>
      <c r="K756" s="13" t="s">
        <v>1134</v>
      </c>
      <c r="L756" s="11"/>
      <c r="M756" s="11"/>
      <c r="N756" s="11"/>
      <c r="O756" s="17"/>
      <c r="P756" s="17"/>
    </row>
    <row r="757" ht="13.5" customHeight="1">
      <c r="A757" s="11" t="str">
        <f t="shared" si="1"/>
        <v>TRW-FORTUNER05BLACKFY</v>
      </c>
      <c r="B757" s="32" t="s">
        <v>1135</v>
      </c>
      <c r="C757" s="33" t="s">
        <v>1136</v>
      </c>
      <c r="D757" s="33" t="s">
        <v>62</v>
      </c>
      <c r="E757" s="11" t="s">
        <v>123</v>
      </c>
      <c r="F757" s="33" t="s">
        <v>83</v>
      </c>
      <c r="G757" s="14">
        <v>46027.0</v>
      </c>
      <c r="H757" s="11">
        <f>SUMIFS(X!$F$3:$F$5978,X!$D$3:$D$5978,'Current Stock'!A757)</f>
        <v>4</v>
      </c>
      <c r="I757" s="11">
        <f>SUMIFS(PENJUALAN!$E$4:$E$3651,PENJUALAN!$C$4:$C$3651,'Current Stock'!A757)</f>
        <v>4</v>
      </c>
      <c r="J757" s="15">
        <f t="shared" si="2"/>
        <v>0</v>
      </c>
      <c r="K757" s="13" t="s">
        <v>1137</v>
      </c>
      <c r="L757" s="11"/>
      <c r="M757" s="11"/>
      <c r="N757" s="11"/>
      <c r="O757" s="17"/>
      <c r="P757" s="17"/>
    </row>
    <row r="758" ht="13.5" customHeight="1">
      <c r="A758" s="11" t="str">
        <f t="shared" si="1"/>
        <v>RDL-FORTUNER05FY</v>
      </c>
      <c r="B758" s="32" t="s">
        <v>1138</v>
      </c>
      <c r="C758" s="33" t="s">
        <v>1132</v>
      </c>
      <c r="D758" s="33" t="s">
        <v>144</v>
      </c>
      <c r="E758" s="11" t="s">
        <v>123</v>
      </c>
      <c r="F758" s="33"/>
      <c r="G758" s="11"/>
      <c r="H758" s="11">
        <f>SUMIFS(X!$F$3:$F$5978,X!$D$3:$D$5978,'Current Stock'!A758)</f>
        <v>0</v>
      </c>
      <c r="I758" s="11">
        <f>SUMIFS(PENJUALAN!$E$4:$E$3651,PENJUALAN!$C$4:$C$3651,'Current Stock'!A758)</f>
        <v>0</v>
      </c>
      <c r="J758" s="15">
        <f t="shared" si="2"/>
        <v>0</v>
      </c>
      <c r="K758" s="11"/>
      <c r="L758" s="11"/>
      <c r="M758" s="11"/>
      <c r="N758" s="11"/>
      <c r="O758" s="17"/>
      <c r="P758" s="17"/>
    </row>
    <row r="759" ht="13.5" customHeight="1">
      <c r="A759" s="11" t="str">
        <f t="shared" si="1"/>
        <v>RDR-FORTUNER05FY</v>
      </c>
      <c r="B759" s="32" t="s">
        <v>1139</v>
      </c>
      <c r="C759" s="33" t="s">
        <v>1132</v>
      </c>
      <c r="D759" s="33" t="s">
        <v>146</v>
      </c>
      <c r="E759" s="11" t="s">
        <v>123</v>
      </c>
      <c r="F759" s="33"/>
      <c r="G759" s="11"/>
      <c r="H759" s="11">
        <f>SUMIFS(X!$F$3:$F$5978,X!$D$3:$D$5978,'Current Stock'!A759)</f>
        <v>0</v>
      </c>
      <c r="I759" s="11">
        <f>SUMIFS(PENJUALAN!$E$4:$E$3651,PENJUALAN!$C$4:$C$3651,'Current Stock'!A759)</f>
        <v>0</v>
      </c>
      <c r="J759" s="15">
        <f t="shared" si="2"/>
        <v>0</v>
      </c>
      <c r="K759" s="11"/>
      <c r="L759" s="11"/>
      <c r="M759" s="11"/>
      <c r="N759" s="11"/>
      <c r="O759" s="17"/>
      <c r="P759" s="17"/>
    </row>
    <row r="760" ht="13.5" customHeight="1">
      <c r="A760" s="11" t="str">
        <f t="shared" si="1"/>
        <v>SWL-FORTUNER05BLACKFY</v>
      </c>
      <c r="B760" s="32" t="s">
        <v>1140</v>
      </c>
      <c r="C760" s="33" t="s">
        <v>1136</v>
      </c>
      <c r="D760" s="33" t="s">
        <v>209</v>
      </c>
      <c r="E760" s="11" t="s">
        <v>123</v>
      </c>
      <c r="F760" s="33" t="s">
        <v>109</v>
      </c>
      <c r="G760" s="11"/>
      <c r="H760" s="11">
        <f>SUMIFS(X!$F$3:$F$5978,X!$D$3:$D$5978,'Current Stock'!A760)</f>
        <v>0</v>
      </c>
      <c r="I760" s="11">
        <f>SUMIFS(PENJUALAN!$E$4:$E$3651,PENJUALAN!$C$4:$C$3651,'Current Stock'!A760)</f>
        <v>0</v>
      </c>
      <c r="J760" s="15">
        <f t="shared" si="2"/>
        <v>0</v>
      </c>
      <c r="K760" s="11"/>
      <c r="L760" s="11"/>
      <c r="M760" s="11"/>
      <c r="N760" s="11"/>
      <c r="O760" s="17"/>
      <c r="P760" s="17"/>
    </row>
    <row r="761" ht="13.5" customHeight="1">
      <c r="A761" s="11" t="str">
        <f t="shared" si="1"/>
        <v>SWR-FORTUNER05BLACKFY</v>
      </c>
      <c r="B761" s="32" t="s">
        <v>1141</v>
      </c>
      <c r="C761" s="33" t="s">
        <v>1136</v>
      </c>
      <c r="D761" s="33" t="s">
        <v>243</v>
      </c>
      <c r="E761" s="11" t="s">
        <v>123</v>
      </c>
      <c r="F761" s="33" t="s">
        <v>241</v>
      </c>
      <c r="G761" s="11"/>
      <c r="H761" s="11">
        <f>SUMIFS(X!$F$3:$F$5978,X!$D$3:$D$5978,'Current Stock'!A761)</f>
        <v>0</v>
      </c>
      <c r="I761" s="11">
        <f>SUMIFS(PENJUALAN!$E$4:$E$3651,PENJUALAN!$C$4:$C$3651,'Current Stock'!A761)</f>
        <v>0</v>
      </c>
      <c r="J761" s="15">
        <f t="shared" si="2"/>
        <v>0</v>
      </c>
      <c r="K761" s="11"/>
      <c r="L761" s="11"/>
      <c r="M761" s="11"/>
      <c r="N761" s="11"/>
      <c r="O761" s="17"/>
      <c r="P761" s="17"/>
    </row>
    <row r="762" ht="13.5" customHeight="1">
      <c r="A762" s="11" t="str">
        <f t="shared" si="1"/>
        <v>LFW-FORTUNER15FY</v>
      </c>
      <c r="B762" s="32" t="s">
        <v>1142</v>
      </c>
      <c r="C762" s="33" t="s">
        <v>1143</v>
      </c>
      <c r="D762" s="33" t="s">
        <v>60</v>
      </c>
      <c r="E762" s="11" t="s">
        <v>123</v>
      </c>
      <c r="F762" s="33" t="s">
        <v>137</v>
      </c>
      <c r="G762" s="11"/>
      <c r="H762" s="11">
        <f>SUMIFS(X!$F$3:$F$5978,X!$D$3:$D$5978,'Current Stock'!A762)</f>
        <v>0</v>
      </c>
      <c r="I762" s="11">
        <f>SUMIFS(PENJUALAN!$E$4:$E$3651,PENJUALAN!$C$4:$C$3651,'Current Stock'!A762)</f>
        <v>0</v>
      </c>
      <c r="J762" s="15">
        <f t="shared" si="2"/>
        <v>0</v>
      </c>
      <c r="K762" s="11"/>
      <c r="L762" s="11"/>
      <c r="M762" s="11"/>
      <c r="N762" s="11"/>
      <c r="O762" s="17"/>
      <c r="P762" s="17"/>
    </row>
    <row r="763" ht="13.5" customHeight="1">
      <c r="A763" s="11" t="str">
        <f t="shared" si="1"/>
        <v>TRW-FORTUNER15FY</v>
      </c>
      <c r="B763" s="32" t="s">
        <v>1144</v>
      </c>
      <c r="C763" s="33" t="s">
        <v>1143</v>
      </c>
      <c r="D763" s="33" t="s">
        <v>62</v>
      </c>
      <c r="E763" s="11" t="s">
        <v>123</v>
      </c>
      <c r="F763" s="33" t="s">
        <v>228</v>
      </c>
      <c r="G763" s="11"/>
      <c r="H763" s="11">
        <f>SUMIFS(X!$F$3:$F$5978,X!$D$3:$D$5978,'Current Stock'!A763)</f>
        <v>0</v>
      </c>
      <c r="I763" s="11">
        <f>SUMIFS(PENJUALAN!$E$4:$E$3651,PENJUALAN!$C$4:$C$3651,'Current Stock'!A763)</f>
        <v>0</v>
      </c>
      <c r="J763" s="15">
        <f t="shared" si="2"/>
        <v>0</v>
      </c>
      <c r="K763" s="11"/>
      <c r="L763" s="11"/>
      <c r="M763" s="11"/>
      <c r="N763" s="11"/>
      <c r="O763" s="17"/>
      <c r="P763" s="17"/>
    </row>
    <row r="764" ht="13.5" customHeight="1">
      <c r="A764" s="11" t="str">
        <f t="shared" si="1"/>
        <v>TRW-FORTUNER15BLACKFY</v>
      </c>
      <c r="B764" s="32" t="s">
        <v>1145</v>
      </c>
      <c r="C764" s="33" t="s">
        <v>1146</v>
      </c>
      <c r="D764" s="33" t="s">
        <v>62</v>
      </c>
      <c r="E764" s="11" t="s">
        <v>123</v>
      </c>
      <c r="F764" s="33" t="s">
        <v>228</v>
      </c>
      <c r="G764" s="11"/>
      <c r="H764" s="11">
        <f>SUMIFS(X!$F$3:$F$5978,X!$D$3:$D$5978,'Current Stock'!A764)</f>
        <v>0</v>
      </c>
      <c r="I764" s="11">
        <f>SUMIFS(PENJUALAN!$E$4:$E$3651,PENJUALAN!$C$4:$C$3651,'Current Stock'!A764)</f>
        <v>0</v>
      </c>
      <c r="J764" s="15">
        <f t="shared" si="2"/>
        <v>0</v>
      </c>
      <c r="K764" s="11"/>
      <c r="L764" s="11"/>
      <c r="M764" s="11"/>
      <c r="N764" s="11"/>
      <c r="O764" s="17"/>
      <c r="P764" s="17"/>
    </row>
    <row r="765" ht="13.5" customHeight="1">
      <c r="A765" s="11" t="str">
        <f t="shared" si="1"/>
        <v>RDL-FORTUNER15FY</v>
      </c>
      <c r="B765" s="32" t="s">
        <v>1147</v>
      </c>
      <c r="C765" s="33" t="s">
        <v>1143</v>
      </c>
      <c r="D765" s="33" t="s">
        <v>144</v>
      </c>
      <c r="E765" s="11" t="s">
        <v>123</v>
      </c>
      <c r="F765" s="33"/>
      <c r="G765" s="11"/>
      <c r="H765" s="11">
        <f>SUMIFS(X!$F$3:$F$5978,X!$D$3:$D$5978,'Current Stock'!A765)</f>
        <v>0</v>
      </c>
      <c r="I765" s="11">
        <f>SUMIFS(PENJUALAN!$E$4:$E$3651,PENJUALAN!$C$4:$C$3651,'Current Stock'!A765)</f>
        <v>0</v>
      </c>
      <c r="J765" s="15">
        <f t="shared" si="2"/>
        <v>0</v>
      </c>
      <c r="K765" s="11"/>
      <c r="L765" s="11"/>
      <c r="M765" s="11"/>
      <c r="N765" s="11"/>
      <c r="O765" s="17"/>
      <c r="P765" s="17"/>
    </row>
    <row r="766" ht="13.5" customHeight="1">
      <c r="A766" s="11" t="str">
        <f t="shared" si="1"/>
        <v>RDR-FORTUNER15FY</v>
      </c>
      <c r="B766" s="32" t="s">
        <v>1148</v>
      </c>
      <c r="C766" s="33" t="s">
        <v>1143</v>
      </c>
      <c r="D766" s="33" t="s">
        <v>146</v>
      </c>
      <c r="E766" s="11" t="s">
        <v>123</v>
      </c>
      <c r="F766" s="33"/>
      <c r="G766" s="11"/>
      <c r="H766" s="11">
        <f>SUMIFS(X!$F$3:$F$5978,X!$D$3:$D$5978,'Current Stock'!A766)</f>
        <v>0</v>
      </c>
      <c r="I766" s="11">
        <f>SUMIFS(PENJUALAN!$E$4:$E$3651,PENJUALAN!$C$4:$C$3651,'Current Stock'!A766)</f>
        <v>0</v>
      </c>
      <c r="J766" s="15">
        <f t="shared" si="2"/>
        <v>0</v>
      </c>
      <c r="K766" s="11"/>
      <c r="L766" s="11"/>
      <c r="M766" s="11"/>
      <c r="N766" s="11"/>
      <c r="O766" s="17"/>
      <c r="P766" s="17"/>
    </row>
    <row r="767" ht="13.5" customHeight="1">
      <c r="A767" s="11" t="str">
        <f t="shared" si="1"/>
        <v>LFW-HIACEFY</v>
      </c>
      <c r="B767" s="32" t="s">
        <v>1149</v>
      </c>
      <c r="C767" s="33" t="s">
        <v>1150</v>
      </c>
      <c r="D767" s="33" t="s">
        <v>60</v>
      </c>
      <c r="E767" s="11" t="s">
        <v>123</v>
      </c>
      <c r="F767" s="33" t="s">
        <v>137</v>
      </c>
      <c r="G767" s="11"/>
      <c r="H767" s="11">
        <f>SUMIFS(X!$F$3:$F$5978,X!$D$3:$D$5978,'Current Stock'!A767)</f>
        <v>0</v>
      </c>
      <c r="I767" s="11">
        <f>SUMIFS(PENJUALAN!$E$4:$E$3651,PENJUALAN!$C$4:$C$3651,'Current Stock'!A767)</f>
        <v>0</v>
      </c>
      <c r="J767" s="15">
        <f t="shared" si="2"/>
        <v>0</v>
      </c>
      <c r="K767" s="11"/>
      <c r="L767" s="11"/>
      <c r="M767" s="11"/>
      <c r="N767" s="11"/>
      <c r="O767" s="17"/>
      <c r="P767" s="17"/>
    </row>
    <row r="768" ht="13.5" customHeight="1">
      <c r="A768" s="11" t="str">
        <f t="shared" si="1"/>
        <v>TRW-HIACEFY</v>
      </c>
      <c r="B768" s="32" t="s">
        <v>1151</v>
      </c>
      <c r="C768" s="33" t="s">
        <v>1150</v>
      </c>
      <c r="D768" s="33" t="s">
        <v>62</v>
      </c>
      <c r="E768" s="11" t="s">
        <v>123</v>
      </c>
      <c r="F768" s="33" t="s">
        <v>450</v>
      </c>
      <c r="G768" s="11"/>
      <c r="H768" s="11">
        <f>SUMIFS(X!$F$3:$F$5978,X!$D$3:$D$5978,'Current Stock'!A768)</f>
        <v>0</v>
      </c>
      <c r="I768" s="11">
        <f>SUMIFS(PENJUALAN!$E$4:$E$3651,PENJUALAN!$C$4:$C$3651,'Current Stock'!A768)</f>
        <v>0</v>
      </c>
      <c r="J768" s="15">
        <f t="shared" si="2"/>
        <v>0</v>
      </c>
      <c r="K768" s="11"/>
      <c r="L768" s="11"/>
      <c r="M768" s="11"/>
      <c r="N768" s="11"/>
      <c r="O768" s="17"/>
      <c r="P768" s="17"/>
    </row>
    <row r="769" ht="13.5" customHeight="1">
      <c r="A769" s="11" t="str">
        <f t="shared" si="1"/>
        <v>FDL-HIACEFY</v>
      </c>
      <c r="B769" s="32" t="s">
        <v>1152</v>
      </c>
      <c r="C769" s="33" t="s">
        <v>1150</v>
      </c>
      <c r="D769" s="33" t="s">
        <v>140</v>
      </c>
      <c r="E769" s="11" t="s">
        <v>123</v>
      </c>
      <c r="F769" s="33" t="s">
        <v>406</v>
      </c>
      <c r="G769" s="11"/>
      <c r="H769" s="11">
        <f>SUMIFS(X!$F$3:$F$5978,X!$D$3:$D$5978,'Current Stock'!A769)</f>
        <v>0</v>
      </c>
      <c r="I769" s="11">
        <f>SUMIFS(PENJUALAN!$E$4:$E$3651,PENJUALAN!$C$4:$C$3651,'Current Stock'!A769)</f>
        <v>0</v>
      </c>
      <c r="J769" s="15">
        <f t="shared" si="2"/>
        <v>0</v>
      </c>
      <c r="K769" s="11"/>
      <c r="L769" s="11"/>
      <c r="M769" s="11"/>
      <c r="N769" s="11"/>
      <c r="O769" s="17"/>
      <c r="P769" s="17"/>
    </row>
    <row r="770" ht="13.5" customHeight="1">
      <c r="A770" s="11" t="str">
        <f t="shared" si="1"/>
        <v>FDR-HIACEFY</v>
      </c>
      <c r="B770" s="32" t="s">
        <v>1153</v>
      </c>
      <c r="C770" s="33" t="s">
        <v>1150</v>
      </c>
      <c r="D770" s="33" t="s">
        <v>142</v>
      </c>
      <c r="E770" s="11" t="s">
        <v>123</v>
      </c>
      <c r="F770" s="33" t="s">
        <v>406</v>
      </c>
      <c r="G770" s="11"/>
      <c r="H770" s="11">
        <f>SUMIFS(X!$F$3:$F$5978,X!$D$3:$D$5978,'Current Stock'!A770)</f>
        <v>0</v>
      </c>
      <c r="I770" s="11">
        <f>SUMIFS(PENJUALAN!$E$4:$E$3651,PENJUALAN!$C$4:$C$3651,'Current Stock'!A770)</f>
        <v>0</v>
      </c>
      <c r="J770" s="15">
        <f t="shared" si="2"/>
        <v>0</v>
      </c>
      <c r="K770" s="11"/>
      <c r="L770" s="11"/>
      <c r="M770" s="11"/>
      <c r="N770" s="11"/>
      <c r="O770" s="17"/>
      <c r="P770" s="17"/>
    </row>
    <row r="771" ht="13.5" customHeight="1">
      <c r="A771" s="11" t="str">
        <f t="shared" si="1"/>
        <v>SRL-HIACEFY</v>
      </c>
      <c r="B771" s="32" t="s">
        <v>1154</v>
      </c>
      <c r="C771" s="33" t="s">
        <v>1150</v>
      </c>
      <c r="D771" s="33" t="s">
        <v>910</v>
      </c>
      <c r="E771" s="11" t="s">
        <v>123</v>
      </c>
      <c r="F771" s="33" t="s">
        <v>109</v>
      </c>
      <c r="G771" s="11"/>
      <c r="H771" s="11">
        <f>SUMIFS(X!$F$3:$F$5978,X!$D$3:$D$5978,'Current Stock'!A771)</f>
        <v>0</v>
      </c>
      <c r="I771" s="11">
        <f>SUMIFS(PENJUALAN!$E$4:$E$3651,PENJUALAN!$C$4:$C$3651,'Current Stock'!A771)</f>
        <v>0</v>
      </c>
      <c r="J771" s="15">
        <f t="shared" si="2"/>
        <v>0</v>
      </c>
      <c r="K771" s="11"/>
      <c r="L771" s="11"/>
      <c r="M771" s="11"/>
      <c r="N771" s="11"/>
      <c r="O771" s="17"/>
      <c r="P771" s="17"/>
    </row>
    <row r="772" ht="13.5" customHeight="1">
      <c r="A772" s="11" t="str">
        <f t="shared" si="1"/>
        <v>SRR-HIACEFY</v>
      </c>
      <c r="B772" s="32" t="s">
        <v>1155</v>
      </c>
      <c r="C772" s="33" t="s">
        <v>1150</v>
      </c>
      <c r="D772" s="33" t="s">
        <v>913</v>
      </c>
      <c r="E772" s="11" t="s">
        <v>123</v>
      </c>
      <c r="F772" s="33" t="s">
        <v>109</v>
      </c>
      <c r="G772" s="11"/>
      <c r="H772" s="11">
        <f>SUMIFS(X!$F$3:$F$5978,X!$D$3:$D$5978,'Current Stock'!A772)</f>
        <v>0</v>
      </c>
      <c r="I772" s="11">
        <f>SUMIFS(PENJUALAN!$E$4:$E$3651,PENJUALAN!$C$4:$C$3651,'Current Stock'!A772)</f>
        <v>0</v>
      </c>
      <c r="J772" s="15">
        <f t="shared" si="2"/>
        <v>0</v>
      </c>
      <c r="K772" s="11"/>
      <c r="L772" s="11"/>
      <c r="M772" s="11"/>
      <c r="N772" s="11"/>
      <c r="O772" s="17"/>
      <c r="P772" s="17"/>
    </row>
    <row r="773" ht="13.5" customHeight="1">
      <c r="A773" s="11" t="str">
        <f t="shared" si="1"/>
        <v>TRW-HIACEBLACKFY</v>
      </c>
      <c r="B773" s="32" t="s">
        <v>1156</v>
      </c>
      <c r="C773" s="33" t="s">
        <v>1157</v>
      </c>
      <c r="D773" s="33" t="s">
        <v>62</v>
      </c>
      <c r="E773" s="11" t="s">
        <v>123</v>
      </c>
      <c r="F773" s="33" t="s">
        <v>450</v>
      </c>
      <c r="G773" s="11"/>
      <c r="H773" s="11">
        <f>SUMIFS(X!$F$3:$F$5978,X!$D$3:$D$5978,'Current Stock'!A773)</f>
        <v>0</v>
      </c>
      <c r="I773" s="11">
        <f>SUMIFS(PENJUALAN!$E$4:$E$3651,PENJUALAN!$C$4:$C$3651,'Current Stock'!A773)</f>
        <v>0</v>
      </c>
      <c r="J773" s="15">
        <f t="shared" si="2"/>
        <v>0</v>
      </c>
      <c r="K773" s="11"/>
      <c r="L773" s="11"/>
      <c r="M773" s="11"/>
      <c r="N773" s="11"/>
      <c r="O773" s="17"/>
      <c r="P773" s="17"/>
    </row>
    <row r="774" ht="13.5" customHeight="1">
      <c r="A774" s="11" t="str">
        <f t="shared" si="1"/>
        <v>TRW-HILUX05FY</v>
      </c>
      <c r="B774" s="32" t="s">
        <v>1158</v>
      </c>
      <c r="C774" s="33" t="s">
        <v>1159</v>
      </c>
      <c r="D774" s="33" t="s">
        <v>62</v>
      </c>
      <c r="E774" s="11" t="s">
        <v>123</v>
      </c>
      <c r="F774" s="33" t="s">
        <v>130</v>
      </c>
      <c r="G774" s="11"/>
      <c r="H774" s="11">
        <f>SUMIFS(X!$F$3:$F$5978,X!$D$3:$D$5978,'Current Stock'!A774)</f>
        <v>0</v>
      </c>
      <c r="I774" s="11">
        <f>SUMIFS(PENJUALAN!$E$4:$E$3651,PENJUALAN!$C$4:$C$3651,'Current Stock'!A774)</f>
        <v>0</v>
      </c>
      <c r="J774" s="15">
        <f t="shared" si="2"/>
        <v>0</v>
      </c>
      <c r="K774" s="11"/>
      <c r="L774" s="11"/>
      <c r="M774" s="11"/>
      <c r="N774" s="11"/>
      <c r="O774" s="17"/>
      <c r="P774" s="17"/>
    </row>
    <row r="775" ht="13.5" customHeight="1">
      <c r="A775" s="11" t="str">
        <f t="shared" si="1"/>
        <v>LFW-HILUX15FY</v>
      </c>
      <c r="B775" s="32" t="s">
        <v>1160</v>
      </c>
      <c r="C775" s="33" t="s">
        <v>1161</v>
      </c>
      <c r="D775" s="35" t="s">
        <v>60</v>
      </c>
      <c r="E775" s="11" t="s">
        <v>123</v>
      </c>
      <c r="F775" s="33" t="s">
        <v>137</v>
      </c>
      <c r="G775" s="11"/>
      <c r="H775" s="11">
        <f>SUMIFS(X!$F$3:$F$5978,X!$D$3:$D$5978,'Current Stock'!A775)</f>
        <v>0</v>
      </c>
      <c r="I775" s="11">
        <f>SUMIFS(PENJUALAN!$E$4:$E$3651,PENJUALAN!$C$4:$C$3651,'Current Stock'!A775)</f>
        <v>0</v>
      </c>
      <c r="J775" s="15">
        <f t="shared" si="2"/>
        <v>0</v>
      </c>
      <c r="K775" s="11"/>
      <c r="L775" s="11"/>
      <c r="M775" s="11"/>
      <c r="N775" s="11"/>
      <c r="O775" s="17"/>
      <c r="P775" s="17"/>
    </row>
    <row r="776" ht="13.5" customHeight="1">
      <c r="A776" s="11" t="str">
        <f t="shared" si="1"/>
        <v>TRW-HILUX15HFY</v>
      </c>
      <c r="B776" s="32" t="s">
        <v>1162</v>
      </c>
      <c r="C776" s="33" t="s">
        <v>1161</v>
      </c>
      <c r="D776" s="33" t="s">
        <v>62</v>
      </c>
      <c r="E776" s="11" t="s">
        <v>123</v>
      </c>
      <c r="F776" s="33" t="s">
        <v>83</v>
      </c>
      <c r="G776" s="11"/>
      <c r="H776" s="11">
        <f>SUMIFS(X!$F$3:$F$5978,X!$D$3:$D$5978,'Current Stock'!A776)</f>
        <v>1</v>
      </c>
      <c r="I776" s="11">
        <f>SUMIFS(PENJUALAN!$E$4:$E$3651,PENJUALAN!$C$4:$C$3651,'Current Stock'!A776)</f>
        <v>1</v>
      </c>
      <c r="J776" s="15">
        <f t="shared" si="2"/>
        <v>0</v>
      </c>
      <c r="K776" s="11"/>
      <c r="L776" s="11"/>
      <c r="M776" s="11"/>
      <c r="N776" s="11"/>
      <c r="O776" s="17"/>
      <c r="P776" s="17"/>
    </row>
    <row r="777" ht="13.5" customHeight="1">
      <c r="A777" s="11" t="str">
        <f t="shared" si="1"/>
        <v>TRW-HILUX15FY</v>
      </c>
      <c r="B777" s="32" t="s">
        <v>1163</v>
      </c>
      <c r="C777" s="33" t="s">
        <v>1161</v>
      </c>
      <c r="D777" s="33" t="s">
        <v>62</v>
      </c>
      <c r="E777" s="11" t="s">
        <v>123</v>
      </c>
      <c r="F777" s="33" t="s">
        <v>109</v>
      </c>
      <c r="G777" s="11"/>
      <c r="H777" s="11">
        <f>SUMIFS(X!$F$3:$F$5978,X!$D$3:$D$5978,'Current Stock'!A777)</f>
        <v>0</v>
      </c>
      <c r="I777" s="11">
        <f>SUMIFS(PENJUALAN!$E$4:$E$3651,PENJUALAN!$C$4:$C$3651,'Current Stock'!A777)</f>
        <v>0</v>
      </c>
      <c r="J777" s="15">
        <f t="shared" si="2"/>
        <v>0</v>
      </c>
      <c r="K777" s="11"/>
      <c r="L777" s="11"/>
      <c r="M777" s="11"/>
      <c r="N777" s="11"/>
      <c r="O777" s="17"/>
      <c r="P777" s="17"/>
    </row>
    <row r="778" ht="13.5" customHeight="1">
      <c r="A778" s="11" t="str">
        <f t="shared" si="1"/>
        <v>LFW-INNOVA04FY</v>
      </c>
      <c r="B778" s="32" t="s">
        <v>1164</v>
      </c>
      <c r="C778" s="33" t="s">
        <v>1165</v>
      </c>
      <c r="D778" s="33" t="s">
        <v>60</v>
      </c>
      <c r="E778" s="11" t="s">
        <v>123</v>
      </c>
      <c r="F778" s="33" t="s">
        <v>137</v>
      </c>
      <c r="G778" s="11"/>
      <c r="H778" s="11">
        <f>SUMIFS(X!$F$3:$F$5978,X!$D$3:$D$5978,'Current Stock'!A778)</f>
        <v>0</v>
      </c>
      <c r="I778" s="11">
        <f>SUMIFS(PENJUALAN!$E$4:$E$3651,PENJUALAN!$C$4:$C$3651,'Current Stock'!A778)</f>
        <v>0</v>
      </c>
      <c r="J778" s="15">
        <f t="shared" si="2"/>
        <v>0</v>
      </c>
      <c r="K778" s="11"/>
      <c r="L778" s="11"/>
      <c r="M778" s="11"/>
      <c r="N778" s="11"/>
      <c r="O778" s="17"/>
      <c r="P778" s="17"/>
    </row>
    <row r="779" ht="13.5" customHeight="1">
      <c r="A779" s="11" t="str">
        <f t="shared" si="1"/>
        <v>TRW-INNOVA04HFY</v>
      </c>
      <c r="B779" s="32" t="s">
        <v>1166</v>
      </c>
      <c r="C779" s="33" t="s">
        <v>1165</v>
      </c>
      <c r="D779" s="33" t="s">
        <v>62</v>
      </c>
      <c r="E779" s="11" t="s">
        <v>123</v>
      </c>
      <c r="F779" s="33" t="s">
        <v>83</v>
      </c>
      <c r="G779" s="11"/>
      <c r="H779" s="11">
        <f>SUMIFS(X!$F$3:$F$5978,X!$D$3:$D$5978,'Current Stock'!A779)</f>
        <v>0</v>
      </c>
      <c r="I779" s="11">
        <f>SUMIFS(PENJUALAN!$E$4:$E$3651,PENJUALAN!$C$4:$C$3651,'Current Stock'!A779)</f>
        <v>0</v>
      </c>
      <c r="J779" s="15">
        <f t="shared" si="2"/>
        <v>0</v>
      </c>
      <c r="K779" s="11"/>
      <c r="L779" s="11"/>
      <c r="M779" s="16">
        <v>1.0</v>
      </c>
      <c r="N779" s="11"/>
      <c r="O779" s="17"/>
      <c r="P779" s="17"/>
    </row>
    <row r="780" ht="13.5" customHeight="1">
      <c r="A780" s="11" t="str">
        <f t="shared" si="1"/>
        <v>TRW-INNOVA04FY</v>
      </c>
      <c r="B780" s="32" t="s">
        <v>1167</v>
      </c>
      <c r="C780" s="33" t="s">
        <v>1165</v>
      </c>
      <c r="D780" s="33" t="s">
        <v>62</v>
      </c>
      <c r="E780" s="11" t="s">
        <v>123</v>
      </c>
      <c r="F780" s="33" t="s">
        <v>109</v>
      </c>
      <c r="G780" s="11"/>
      <c r="H780" s="11">
        <f>SUMIFS(X!$F$3:$F$5978,X!$D$3:$D$5978,'Current Stock'!A780)</f>
        <v>0</v>
      </c>
      <c r="I780" s="11">
        <f>SUMIFS(PENJUALAN!$E$4:$E$3651,PENJUALAN!$C$4:$C$3651,'Current Stock'!A780)</f>
        <v>0</v>
      </c>
      <c r="J780" s="15">
        <f t="shared" si="2"/>
        <v>0</v>
      </c>
      <c r="K780" s="11"/>
      <c r="L780" s="11"/>
      <c r="M780" s="11"/>
      <c r="N780" s="11"/>
      <c r="O780" s="17"/>
      <c r="P780" s="17"/>
    </row>
    <row r="781" ht="13.5" customHeight="1">
      <c r="A781" s="11" t="str">
        <f t="shared" si="1"/>
        <v>RVL-INNOVA04FY</v>
      </c>
      <c r="B781" s="32" t="s">
        <v>1168</v>
      </c>
      <c r="C781" s="33" t="s">
        <v>1165</v>
      </c>
      <c r="D781" s="33" t="s">
        <v>396</v>
      </c>
      <c r="E781" s="11" t="s">
        <v>123</v>
      </c>
      <c r="F781" s="33"/>
      <c r="G781" s="11"/>
      <c r="H781" s="11">
        <f>SUMIFS(X!$F$3:$F$5978,X!$D$3:$D$5978,'Current Stock'!A781)</f>
        <v>0</v>
      </c>
      <c r="I781" s="11">
        <f>SUMIFS(PENJUALAN!$E$4:$E$3651,PENJUALAN!$C$4:$C$3651,'Current Stock'!A781)</f>
        <v>0</v>
      </c>
      <c r="J781" s="15">
        <f t="shared" si="2"/>
        <v>0</v>
      </c>
      <c r="K781" s="11"/>
      <c r="L781" s="11"/>
      <c r="M781" s="11"/>
      <c r="N781" s="11"/>
      <c r="O781" s="17"/>
      <c r="P781" s="17"/>
    </row>
    <row r="782" ht="13.5" customHeight="1">
      <c r="A782" s="11" t="str">
        <f t="shared" si="1"/>
        <v>RVR-INNOVA04FY</v>
      </c>
      <c r="B782" s="32" t="s">
        <v>1169</v>
      </c>
      <c r="C782" s="33" t="s">
        <v>1165</v>
      </c>
      <c r="D782" s="33" t="s">
        <v>398</v>
      </c>
      <c r="E782" s="11" t="s">
        <v>123</v>
      </c>
      <c r="F782" s="33"/>
      <c r="G782" s="11"/>
      <c r="H782" s="11">
        <f>SUMIFS(X!$F$3:$F$5978,X!$D$3:$D$5978,'Current Stock'!A782)</f>
        <v>0</v>
      </c>
      <c r="I782" s="11">
        <f>SUMIFS(PENJUALAN!$E$4:$E$3651,PENJUALAN!$C$4:$C$3651,'Current Stock'!A782)</f>
        <v>0</v>
      </c>
      <c r="J782" s="15">
        <f t="shared" si="2"/>
        <v>0</v>
      </c>
      <c r="K782" s="11"/>
      <c r="L782" s="11"/>
      <c r="M782" s="11"/>
      <c r="N782" s="11"/>
      <c r="O782" s="17"/>
      <c r="P782" s="17"/>
    </row>
    <row r="783" ht="13.5" customHeight="1">
      <c r="A783" s="11" t="str">
        <f t="shared" si="1"/>
        <v>RQR-INNOVA04FY</v>
      </c>
      <c r="B783" s="32" t="s">
        <v>1170</v>
      </c>
      <c r="C783" s="33" t="s">
        <v>1165</v>
      </c>
      <c r="D783" s="33" t="s">
        <v>243</v>
      </c>
      <c r="E783" s="11" t="s">
        <v>123</v>
      </c>
      <c r="F783" s="33" t="s">
        <v>241</v>
      </c>
      <c r="G783" s="11"/>
      <c r="H783" s="11">
        <f>SUMIFS(X!$F$3:$F$5978,X!$D$3:$D$5978,'Current Stock'!A783)</f>
        <v>0</v>
      </c>
      <c r="I783" s="11">
        <f>SUMIFS(PENJUALAN!$E$4:$E$3651,PENJUALAN!$C$4:$C$3651,'Current Stock'!A783)</f>
        <v>0</v>
      </c>
      <c r="J783" s="15">
        <f t="shared" si="2"/>
        <v>0</v>
      </c>
      <c r="K783" s="11"/>
      <c r="L783" s="11"/>
      <c r="M783" s="11"/>
      <c r="N783" s="11"/>
      <c r="O783" s="17"/>
      <c r="P783" s="17"/>
    </row>
    <row r="784" ht="13.5" customHeight="1">
      <c r="A784" s="11" t="str">
        <f t="shared" si="1"/>
        <v>LFW-INNOVA15FY</v>
      </c>
      <c r="B784" s="32" t="s">
        <v>1171</v>
      </c>
      <c r="C784" s="33" t="s">
        <v>1172</v>
      </c>
      <c r="D784" s="33" t="s">
        <v>60</v>
      </c>
      <c r="E784" s="11" t="s">
        <v>123</v>
      </c>
      <c r="F784" s="33" t="s">
        <v>137</v>
      </c>
      <c r="G784" s="11"/>
      <c r="H784" s="11">
        <f>SUMIFS(X!$F$3:$F$5978,X!$D$3:$D$5978,'Current Stock'!A784)</f>
        <v>0</v>
      </c>
      <c r="I784" s="11">
        <f>SUMIFS(PENJUALAN!$E$4:$E$3651,PENJUALAN!$C$4:$C$3651,'Current Stock'!A784)</f>
        <v>0</v>
      </c>
      <c r="J784" s="15">
        <f t="shared" si="2"/>
        <v>0</v>
      </c>
      <c r="K784" s="11"/>
      <c r="L784" s="11"/>
      <c r="M784" s="11"/>
      <c r="N784" s="11"/>
      <c r="O784" s="17"/>
      <c r="P784" s="17"/>
    </row>
    <row r="785" ht="13.5" customHeight="1">
      <c r="A785" s="11" t="str">
        <f t="shared" si="1"/>
        <v>LFW-ISTFY</v>
      </c>
      <c r="B785" s="32" t="s">
        <v>1173</v>
      </c>
      <c r="C785" s="33" t="s">
        <v>1174</v>
      </c>
      <c r="D785" s="33" t="s">
        <v>60</v>
      </c>
      <c r="E785" s="11" t="s">
        <v>123</v>
      </c>
      <c r="F785" s="33" t="s">
        <v>137</v>
      </c>
      <c r="G785" s="11"/>
      <c r="H785" s="11">
        <f>SUMIFS(X!$F$3:$F$5978,X!$D$3:$D$5978,'Current Stock'!A785)</f>
        <v>0</v>
      </c>
      <c r="I785" s="11">
        <f>SUMIFS(PENJUALAN!$E$4:$E$3651,PENJUALAN!$C$4:$C$3651,'Current Stock'!A785)</f>
        <v>0</v>
      </c>
      <c r="J785" s="15">
        <f t="shared" si="2"/>
        <v>0</v>
      </c>
      <c r="K785" s="11"/>
      <c r="L785" s="11"/>
      <c r="M785" s="11"/>
      <c r="N785" s="11"/>
      <c r="O785" s="17"/>
      <c r="P785" s="17"/>
    </row>
    <row r="786" ht="13.5" customHeight="1">
      <c r="A786" s="11" t="str">
        <f t="shared" si="1"/>
        <v>TRW-ISTFY</v>
      </c>
      <c r="B786" s="32" t="s">
        <v>1175</v>
      </c>
      <c r="C786" s="33" t="s">
        <v>1174</v>
      </c>
      <c r="D786" s="33" t="s">
        <v>62</v>
      </c>
      <c r="E786" s="11" t="s">
        <v>123</v>
      </c>
      <c r="F786" s="33" t="s">
        <v>83</v>
      </c>
      <c r="G786" s="11"/>
      <c r="H786" s="11">
        <f>SUMIFS(X!$F$3:$F$5978,X!$D$3:$D$5978,'Current Stock'!A786)</f>
        <v>0</v>
      </c>
      <c r="I786" s="11">
        <f>SUMIFS(PENJUALAN!$E$4:$E$3651,PENJUALAN!$C$4:$C$3651,'Current Stock'!A786)</f>
        <v>0</v>
      </c>
      <c r="J786" s="15">
        <f t="shared" si="2"/>
        <v>0</v>
      </c>
      <c r="K786" s="11"/>
      <c r="L786" s="11"/>
      <c r="M786" s="11"/>
      <c r="N786" s="11"/>
      <c r="O786" s="17"/>
      <c r="P786" s="17"/>
    </row>
    <row r="787" ht="13.5" customHeight="1">
      <c r="A787" s="11" t="str">
        <f t="shared" si="1"/>
        <v>LFW-FJ80FY</v>
      </c>
      <c r="B787" s="32" t="s">
        <v>1176</v>
      </c>
      <c r="C787" s="33" t="s">
        <v>755</v>
      </c>
      <c r="D787" s="33" t="s">
        <v>60</v>
      </c>
      <c r="E787" s="11" t="s">
        <v>123</v>
      </c>
      <c r="F787" s="33"/>
      <c r="G787" s="11"/>
      <c r="H787" s="11">
        <f>SUMIFS(X!$F$3:$F$5978,X!$D$3:$D$5978,'Current Stock'!A787)</f>
        <v>0</v>
      </c>
      <c r="I787" s="11">
        <f>SUMIFS(PENJUALAN!$E$4:$E$3651,PENJUALAN!$C$4:$C$3651,'Current Stock'!A787)</f>
        <v>0</v>
      </c>
      <c r="J787" s="15">
        <f t="shared" si="2"/>
        <v>0</v>
      </c>
      <c r="K787" s="11"/>
      <c r="L787" s="11"/>
      <c r="M787" s="11"/>
      <c r="N787" s="11"/>
      <c r="O787" s="17"/>
      <c r="P787" s="17"/>
    </row>
    <row r="788" ht="13.5" customHeight="1">
      <c r="A788" s="11" t="str">
        <f t="shared" si="1"/>
        <v>TRW-FJ80FY</v>
      </c>
      <c r="B788" s="32" t="s">
        <v>1177</v>
      </c>
      <c r="C788" s="33" t="s">
        <v>755</v>
      </c>
      <c r="D788" s="33" t="s">
        <v>62</v>
      </c>
      <c r="E788" s="11" t="s">
        <v>123</v>
      </c>
      <c r="F788" s="33" t="s">
        <v>134</v>
      </c>
      <c r="G788" s="11"/>
      <c r="H788" s="11">
        <f>SUMIFS(X!$F$3:$F$5978,X!$D$3:$D$5978,'Current Stock'!A788)</f>
        <v>0</v>
      </c>
      <c r="I788" s="11">
        <f>SUMIFS(PENJUALAN!$E$4:$E$3651,PENJUALAN!$C$4:$C$3651,'Current Stock'!A788)</f>
        <v>0</v>
      </c>
      <c r="J788" s="15">
        <f t="shared" si="2"/>
        <v>0</v>
      </c>
      <c r="K788" s="11"/>
      <c r="L788" s="11"/>
      <c r="M788" s="11"/>
      <c r="N788" s="11"/>
      <c r="O788" s="17"/>
      <c r="P788" s="17"/>
    </row>
    <row r="789" ht="13.5" customHeight="1">
      <c r="A789" s="11" t="str">
        <f t="shared" si="1"/>
        <v>RDL-FJ80FY</v>
      </c>
      <c r="B789" s="32" t="s">
        <v>1178</v>
      </c>
      <c r="C789" s="33" t="s">
        <v>755</v>
      </c>
      <c r="D789" s="33" t="s">
        <v>144</v>
      </c>
      <c r="E789" s="11" t="s">
        <v>123</v>
      </c>
      <c r="F789" s="33"/>
      <c r="G789" s="14">
        <v>45988.0</v>
      </c>
      <c r="H789" s="11">
        <f>SUMIFS(X!$F$3:$F$5978,X!$D$3:$D$5978,'Current Stock'!A789)</f>
        <v>0</v>
      </c>
      <c r="I789" s="11">
        <f>SUMIFS(PENJUALAN!$E$4:$E$3651,PENJUALAN!$C$4:$C$3651,'Current Stock'!A789)</f>
        <v>0</v>
      </c>
      <c r="J789" s="15">
        <f t="shared" si="2"/>
        <v>0</v>
      </c>
      <c r="K789" s="13" t="s">
        <v>1179</v>
      </c>
      <c r="L789" s="11"/>
      <c r="M789" s="11"/>
      <c r="N789" s="11"/>
      <c r="O789" s="17"/>
      <c r="P789" s="17"/>
    </row>
    <row r="790" ht="13.5" customHeight="1">
      <c r="A790" s="11" t="str">
        <f t="shared" si="1"/>
        <v>LFW-E90RSXYG</v>
      </c>
      <c r="B790" s="32" t="s">
        <v>159</v>
      </c>
      <c r="C790" s="33" t="s">
        <v>160</v>
      </c>
      <c r="D790" s="33" t="s">
        <v>60</v>
      </c>
      <c r="E790" s="11" t="s">
        <v>16</v>
      </c>
      <c r="F790" s="33" t="s">
        <v>90</v>
      </c>
      <c r="G790" s="34"/>
      <c r="H790" s="11">
        <f>SUMIFS(X!$F$3:$F$5978,X!$D$3:$D$5978,'Current Stock'!A790)</f>
        <v>1</v>
      </c>
      <c r="I790" s="11">
        <f>SUMIFS(PENJUALAN!$E$4:$E$3651,PENJUALAN!$C$4:$C$3651,'Current Stock'!A790)</f>
        <v>1</v>
      </c>
      <c r="J790" s="15">
        <f t="shared" si="2"/>
        <v>0</v>
      </c>
      <c r="K790" s="13"/>
      <c r="L790" s="11"/>
      <c r="M790" s="11"/>
      <c r="N790" s="11"/>
      <c r="O790" s="17"/>
      <c r="P790" s="17"/>
    </row>
    <row r="791" ht="13.5" customHeight="1">
      <c r="A791" s="11" t="str">
        <f t="shared" si="1"/>
        <v>SFL-FJ80FY</v>
      </c>
      <c r="B791" s="32" t="s">
        <v>1180</v>
      </c>
      <c r="C791" s="33" t="s">
        <v>755</v>
      </c>
      <c r="D791" s="33" t="s">
        <v>906</v>
      </c>
      <c r="E791" s="11" t="s">
        <v>123</v>
      </c>
      <c r="F791" s="33" t="s">
        <v>152</v>
      </c>
      <c r="G791" s="11"/>
      <c r="H791" s="11">
        <f>SUMIFS(X!$F$3:$F$5978,X!$D$3:$D$5978,'Current Stock'!A791)</f>
        <v>0</v>
      </c>
      <c r="I791" s="11">
        <f>SUMIFS(PENJUALAN!$E$4:$E$3651,PENJUALAN!$C$4:$C$3651,'Current Stock'!A791)</f>
        <v>0</v>
      </c>
      <c r="J791" s="15">
        <f t="shared" si="2"/>
        <v>0</v>
      </c>
      <c r="K791" s="11"/>
      <c r="L791" s="11"/>
      <c r="M791" s="11"/>
      <c r="N791" s="11"/>
      <c r="O791" s="17"/>
      <c r="P791" s="17"/>
    </row>
    <row r="792" ht="13.5" customHeight="1">
      <c r="A792" s="11" t="str">
        <f t="shared" si="1"/>
        <v>SFR-FJ80FY</v>
      </c>
      <c r="B792" s="32" t="s">
        <v>1181</v>
      </c>
      <c r="C792" s="33" t="s">
        <v>755</v>
      </c>
      <c r="D792" s="33" t="s">
        <v>908</v>
      </c>
      <c r="E792" s="11" t="s">
        <v>123</v>
      </c>
      <c r="F792" s="33" t="s">
        <v>152</v>
      </c>
      <c r="G792" s="11"/>
      <c r="H792" s="11">
        <f>SUMIFS(X!$F$3:$F$5978,X!$D$3:$D$5978,'Current Stock'!A792)</f>
        <v>0</v>
      </c>
      <c r="I792" s="11">
        <f>SUMIFS(PENJUALAN!$E$4:$E$3651,PENJUALAN!$C$4:$C$3651,'Current Stock'!A792)</f>
        <v>0</v>
      </c>
      <c r="J792" s="15">
        <f t="shared" si="2"/>
        <v>0</v>
      </c>
      <c r="K792" s="11"/>
      <c r="L792" s="11"/>
      <c r="M792" s="11"/>
      <c r="N792" s="11"/>
      <c r="O792" s="17"/>
      <c r="P792" s="17"/>
    </row>
    <row r="793" ht="13.5" customHeight="1">
      <c r="A793" s="11" t="str">
        <f t="shared" si="1"/>
        <v>SRL-FJ80FY</v>
      </c>
      <c r="B793" s="32" t="s">
        <v>1182</v>
      </c>
      <c r="C793" s="33" t="s">
        <v>755</v>
      </c>
      <c r="D793" s="33" t="s">
        <v>910</v>
      </c>
      <c r="E793" s="11" t="s">
        <v>123</v>
      </c>
      <c r="F793" s="33" t="s">
        <v>152</v>
      </c>
      <c r="G793" s="11"/>
      <c r="H793" s="11">
        <f>SUMIFS(X!$F$3:$F$5978,X!$D$3:$D$5978,'Current Stock'!A793)</f>
        <v>0</v>
      </c>
      <c r="I793" s="11">
        <f>SUMIFS(PENJUALAN!$E$4:$E$3651,PENJUALAN!$C$4:$C$3651,'Current Stock'!A793)</f>
        <v>0</v>
      </c>
      <c r="J793" s="15">
        <f t="shared" si="2"/>
        <v>0</v>
      </c>
      <c r="K793" s="11"/>
      <c r="L793" s="11"/>
      <c r="M793" s="11"/>
      <c r="N793" s="11"/>
      <c r="O793" s="17"/>
      <c r="P793" s="17"/>
    </row>
    <row r="794" ht="13.5" customHeight="1">
      <c r="A794" s="11" t="str">
        <f t="shared" si="1"/>
        <v>SRR-FJ80FY</v>
      </c>
      <c r="B794" s="32" t="s">
        <v>1183</v>
      </c>
      <c r="C794" s="33" t="s">
        <v>755</v>
      </c>
      <c r="D794" s="33" t="s">
        <v>913</v>
      </c>
      <c r="E794" s="11" t="s">
        <v>123</v>
      </c>
      <c r="F794" s="33" t="s">
        <v>152</v>
      </c>
      <c r="G794" s="11"/>
      <c r="H794" s="11">
        <f>SUMIFS(X!$F$3:$F$5978,X!$D$3:$D$5978,'Current Stock'!A794)</f>
        <v>0</v>
      </c>
      <c r="I794" s="11">
        <f>SUMIFS(PENJUALAN!$E$4:$E$3651,PENJUALAN!$C$4:$C$3651,'Current Stock'!A794)</f>
        <v>0</v>
      </c>
      <c r="J794" s="15">
        <f t="shared" si="2"/>
        <v>0</v>
      </c>
      <c r="K794" s="11"/>
      <c r="L794" s="11"/>
      <c r="M794" s="11"/>
      <c r="N794" s="11"/>
      <c r="O794" s="17"/>
      <c r="P794" s="17"/>
    </row>
    <row r="795" ht="13.5" customHeight="1">
      <c r="A795" s="11" t="str">
        <f t="shared" si="1"/>
        <v>LFW-FJ100FY</v>
      </c>
      <c r="B795" s="32" t="s">
        <v>1184</v>
      </c>
      <c r="C795" s="33" t="s">
        <v>1185</v>
      </c>
      <c r="D795" s="33" t="s">
        <v>60</v>
      </c>
      <c r="E795" s="11" t="s">
        <v>123</v>
      </c>
      <c r="F795" s="33" t="s">
        <v>137</v>
      </c>
      <c r="G795" s="11"/>
      <c r="H795" s="11">
        <f>SUMIFS(X!$F$3:$F$5978,X!$D$3:$D$5978,'Current Stock'!A795)</f>
        <v>0</v>
      </c>
      <c r="I795" s="11">
        <f>SUMIFS(PENJUALAN!$E$4:$E$3651,PENJUALAN!$C$4:$C$3651,'Current Stock'!A795)</f>
        <v>0</v>
      </c>
      <c r="J795" s="15">
        <f t="shared" si="2"/>
        <v>0</v>
      </c>
      <c r="K795" s="11"/>
      <c r="L795" s="11"/>
      <c r="M795" s="16">
        <v>1.0</v>
      </c>
      <c r="N795" s="11"/>
      <c r="O795" s="17"/>
      <c r="P795" s="17"/>
    </row>
    <row r="796" ht="13.5" customHeight="1">
      <c r="A796" s="11" t="str">
        <f t="shared" si="1"/>
        <v>TRW-FJ100FY</v>
      </c>
      <c r="B796" s="32" t="s">
        <v>1186</v>
      </c>
      <c r="C796" s="33" t="s">
        <v>1187</v>
      </c>
      <c r="D796" s="33" t="s">
        <v>62</v>
      </c>
      <c r="E796" s="11" t="s">
        <v>123</v>
      </c>
      <c r="F796" s="33" t="s">
        <v>83</v>
      </c>
      <c r="G796" s="11"/>
      <c r="H796" s="11">
        <f>SUMIFS(X!$F$3:$F$5978,X!$D$3:$D$5978,'Current Stock'!A796)</f>
        <v>0</v>
      </c>
      <c r="I796" s="11">
        <f>SUMIFS(PENJUALAN!$E$4:$E$3651,PENJUALAN!$C$4:$C$3651,'Current Stock'!A796)</f>
        <v>0</v>
      </c>
      <c r="J796" s="15">
        <f t="shared" si="2"/>
        <v>0</v>
      </c>
      <c r="K796" s="11"/>
      <c r="L796" s="11"/>
      <c r="M796" s="11"/>
      <c r="N796" s="11"/>
      <c r="O796" s="17"/>
      <c r="P796" s="17"/>
    </row>
    <row r="797" ht="13.5" customHeight="1">
      <c r="A797" s="11" t="str">
        <f t="shared" si="1"/>
        <v>RDL-FJ100FY</v>
      </c>
      <c r="B797" s="32" t="s">
        <v>1188</v>
      </c>
      <c r="C797" s="33" t="s">
        <v>1187</v>
      </c>
      <c r="D797" s="33" t="s">
        <v>144</v>
      </c>
      <c r="E797" s="11" t="s">
        <v>123</v>
      </c>
      <c r="F797" s="33"/>
      <c r="G797" s="11"/>
      <c r="H797" s="11">
        <f>SUMIFS(X!$F$3:$F$5978,X!$D$3:$D$5978,'Current Stock'!A797)</f>
        <v>0</v>
      </c>
      <c r="I797" s="11">
        <f>SUMIFS(PENJUALAN!$E$4:$E$3651,PENJUALAN!$C$4:$C$3651,'Current Stock'!A797)</f>
        <v>0</v>
      </c>
      <c r="J797" s="15">
        <f t="shared" si="2"/>
        <v>0</v>
      </c>
      <c r="K797" s="11"/>
      <c r="L797" s="11"/>
      <c r="M797" s="11"/>
      <c r="N797" s="11"/>
      <c r="O797" s="17"/>
      <c r="P797" s="17"/>
    </row>
    <row r="798" ht="13.5" customHeight="1">
      <c r="A798" s="11" t="str">
        <f t="shared" si="1"/>
        <v>RDR-FJ100FY</v>
      </c>
      <c r="B798" s="32" t="s">
        <v>1189</v>
      </c>
      <c r="C798" s="33" t="s">
        <v>1187</v>
      </c>
      <c r="D798" s="33" t="s">
        <v>146</v>
      </c>
      <c r="E798" s="11" t="s">
        <v>123</v>
      </c>
      <c r="F798" s="33"/>
      <c r="G798" s="11"/>
      <c r="H798" s="11">
        <f>SUMIFS(X!$F$3:$F$5978,X!$D$3:$D$5978,'Current Stock'!A798)</f>
        <v>0</v>
      </c>
      <c r="I798" s="11">
        <f>SUMIFS(PENJUALAN!$E$4:$E$3651,PENJUALAN!$C$4:$C$3651,'Current Stock'!A798)</f>
        <v>0</v>
      </c>
      <c r="J798" s="15">
        <f t="shared" si="2"/>
        <v>0</v>
      </c>
      <c r="K798" s="11"/>
      <c r="L798" s="11"/>
      <c r="M798" s="11"/>
      <c r="N798" s="11"/>
      <c r="O798" s="17"/>
      <c r="P798" s="17"/>
    </row>
    <row r="799" ht="13.5" customHeight="1">
      <c r="A799" s="11" t="str">
        <f t="shared" si="1"/>
        <v>RQL-FJ100FY</v>
      </c>
      <c r="B799" s="32" t="s">
        <v>1190</v>
      </c>
      <c r="C799" s="33" t="s">
        <v>1187</v>
      </c>
      <c r="D799" s="33" t="s">
        <v>209</v>
      </c>
      <c r="E799" s="11" t="s">
        <v>123</v>
      </c>
      <c r="F799" s="33" t="s">
        <v>546</v>
      </c>
      <c r="G799" s="11"/>
      <c r="H799" s="11">
        <f>SUMIFS(X!$F$3:$F$5978,X!$D$3:$D$5978,'Current Stock'!A799)</f>
        <v>0</v>
      </c>
      <c r="I799" s="11">
        <f>SUMIFS(PENJUALAN!$E$4:$E$3651,PENJUALAN!$C$4:$C$3651,'Current Stock'!A799)</f>
        <v>0</v>
      </c>
      <c r="J799" s="15">
        <f t="shared" si="2"/>
        <v>0</v>
      </c>
      <c r="K799" s="11"/>
      <c r="L799" s="11"/>
      <c r="M799" s="11"/>
      <c r="N799" s="11"/>
      <c r="O799" s="17"/>
      <c r="P799" s="17"/>
    </row>
    <row r="800" ht="13.5" customHeight="1">
      <c r="A800" s="11" t="str">
        <f t="shared" si="1"/>
        <v>RQR-FJ100FY</v>
      </c>
      <c r="B800" s="32" t="s">
        <v>1191</v>
      </c>
      <c r="C800" s="33" t="s">
        <v>1187</v>
      </c>
      <c r="D800" s="33" t="s">
        <v>243</v>
      </c>
      <c r="E800" s="11" t="s">
        <v>123</v>
      </c>
      <c r="F800" s="33" t="s">
        <v>546</v>
      </c>
      <c r="G800" s="11"/>
      <c r="H800" s="11">
        <f>SUMIFS(X!$F$3:$F$5978,X!$D$3:$D$5978,'Current Stock'!A800)</f>
        <v>0</v>
      </c>
      <c r="I800" s="11">
        <f>SUMIFS(PENJUALAN!$E$4:$E$3651,PENJUALAN!$C$4:$C$3651,'Current Stock'!A800)</f>
        <v>0</v>
      </c>
      <c r="J800" s="15">
        <f t="shared" si="2"/>
        <v>0</v>
      </c>
      <c r="K800" s="11"/>
      <c r="L800" s="11"/>
      <c r="M800" s="11"/>
      <c r="N800" s="11"/>
      <c r="O800" s="17"/>
      <c r="P800" s="17"/>
    </row>
    <row r="801" ht="13.5" customHeight="1">
      <c r="A801" s="11" t="str">
        <f t="shared" si="1"/>
        <v>LFW-FJ200RSFY</v>
      </c>
      <c r="B801" s="32" t="s">
        <v>1192</v>
      </c>
      <c r="C801" s="33" t="s">
        <v>1193</v>
      </c>
      <c r="D801" s="33" t="s">
        <v>60</v>
      </c>
      <c r="E801" s="11" t="s">
        <v>123</v>
      </c>
      <c r="F801" s="33" t="s">
        <v>90</v>
      </c>
      <c r="G801" s="11"/>
      <c r="H801" s="11">
        <f>SUMIFS(X!$F$3:$F$5978,X!$D$3:$D$5978,'Current Stock'!A801)</f>
        <v>0</v>
      </c>
      <c r="I801" s="11">
        <f>SUMIFS(PENJUALAN!$E$4:$E$3651,PENJUALAN!$C$4:$C$3651,'Current Stock'!A801)</f>
        <v>0</v>
      </c>
      <c r="J801" s="15">
        <f t="shared" si="2"/>
        <v>0</v>
      </c>
      <c r="K801" s="11"/>
      <c r="L801" s="11"/>
      <c r="M801" s="11"/>
      <c r="N801" s="11"/>
      <c r="O801" s="17"/>
      <c r="P801" s="17"/>
    </row>
    <row r="802" ht="13.5" customHeight="1">
      <c r="A802" s="11" t="str">
        <f t="shared" si="1"/>
        <v>LFW-FJ200FY</v>
      </c>
      <c r="B802" s="32" t="s">
        <v>1194</v>
      </c>
      <c r="C802" s="33" t="s">
        <v>1193</v>
      </c>
      <c r="D802" s="33" t="s">
        <v>60</v>
      </c>
      <c r="E802" s="11" t="s">
        <v>123</v>
      </c>
      <c r="F802" s="33" t="s">
        <v>137</v>
      </c>
      <c r="G802" s="11"/>
      <c r="H802" s="11">
        <f>SUMIFS(X!$F$3:$F$5978,X!$D$3:$D$5978,'Current Stock'!A802)</f>
        <v>0</v>
      </c>
      <c r="I802" s="11">
        <f>SUMIFS(PENJUALAN!$E$4:$E$3651,PENJUALAN!$C$4:$C$3651,'Current Stock'!A802)</f>
        <v>0</v>
      </c>
      <c r="J802" s="15">
        <f t="shared" si="2"/>
        <v>0</v>
      </c>
      <c r="K802" s="11"/>
      <c r="L802" s="11"/>
      <c r="M802" s="11"/>
      <c r="N802" s="11"/>
      <c r="O802" s="17"/>
      <c r="P802" s="17"/>
    </row>
    <row r="803" ht="13.5" customHeight="1">
      <c r="A803" s="11" t="str">
        <f t="shared" si="1"/>
        <v>TRW-FJ200FY</v>
      </c>
      <c r="B803" s="32" t="s">
        <v>1195</v>
      </c>
      <c r="C803" s="33" t="s">
        <v>1193</v>
      </c>
      <c r="D803" s="33" t="s">
        <v>62</v>
      </c>
      <c r="E803" s="11" t="s">
        <v>123</v>
      </c>
      <c r="F803" s="33" t="s">
        <v>228</v>
      </c>
      <c r="G803" s="11"/>
      <c r="H803" s="11">
        <f>SUMIFS(X!$F$3:$F$5978,X!$D$3:$D$5978,'Current Stock'!A803)</f>
        <v>0</v>
      </c>
      <c r="I803" s="11">
        <f>SUMIFS(PENJUALAN!$E$4:$E$3651,PENJUALAN!$C$4:$C$3651,'Current Stock'!A803)</f>
        <v>0</v>
      </c>
      <c r="J803" s="15">
        <f t="shared" si="2"/>
        <v>0</v>
      </c>
      <c r="K803" s="11"/>
      <c r="L803" s="11"/>
      <c r="M803" s="11"/>
      <c r="N803" s="11"/>
      <c r="O803" s="17"/>
      <c r="P803" s="17"/>
    </row>
    <row r="804" ht="13.5" customHeight="1">
      <c r="A804" s="11" t="str">
        <f t="shared" si="1"/>
        <v>FDL-FJ200FY</v>
      </c>
      <c r="B804" s="32" t="s">
        <v>1196</v>
      </c>
      <c r="C804" s="33" t="s">
        <v>1193</v>
      </c>
      <c r="D804" s="33" t="s">
        <v>140</v>
      </c>
      <c r="E804" s="11" t="s">
        <v>123</v>
      </c>
      <c r="F804" s="33"/>
      <c r="G804" s="11"/>
      <c r="H804" s="11">
        <f>SUMIFS(X!$F$3:$F$5978,X!$D$3:$D$5978,'Current Stock'!A804)</f>
        <v>0</v>
      </c>
      <c r="I804" s="11">
        <f>SUMIFS(PENJUALAN!$E$4:$E$3651,PENJUALAN!$C$4:$C$3651,'Current Stock'!A804)</f>
        <v>0</v>
      </c>
      <c r="J804" s="15">
        <f t="shared" si="2"/>
        <v>0</v>
      </c>
      <c r="K804" s="11"/>
      <c r="L804" s="11"/>
      <c r="M804" s="11"/>
      <c r="N804" s="11"/>
      <c r="O804" s="17"/>
      <c r="P804" s="17"/>
    </row>
    <row r="805" ht="13.5" customHeight="1">
      <c r="A805" s="11" t="str">
        <f t="shared" si="1"/>
        <v>FDR-FJ200FY</v>
      </c>
      <c r="B805" s="32" t="s">
        <v>1197</v>
      </c>
      <c r="C805" s="33" t="s">
        <v>1193</v>
      </c>
      <c r="D805" s="33" t="s">
        <v>142</v>
      </c>
      <c r="E805" s="11" t="s">
        <v>123</v>
      </c>
      <c r="F805" s="33"/>
      <c r="G805" s="11"/>
      <c r="H805" s="11">
        <f>SUMIFS(X!$F$3:$F$5978,X!$D$3:$D$5978,'Current Stock'!A805)</f>
        <v>0</v>
      </c>
      <c r="I805" s="11">
        <f>SUMIFS(PENJUALAN!$E$4:$E$3651,PENJUALAN!$C$4:$C$3651,'Current Stock'!A805)</f>
        <v>0</v>
      </c>
      <c r="J805" s="15">
        <f t="shared" si="2"/>
        <v>0</v>
      </c>
      <c r="K805" s="11"/>
      <c r="L805" s="11"/>
      <c r="M805" s="11"/>
      <c r="N805" s="11"/>
      <c r="O805" s="17"/>
      <c r="P805" s="17"/>
    </row>
    <row r="806" ht="13.5" customHeight="1">
      <c r="A806" s="11" t="str">
        <f t="shared" si="1"/>
        <v>RDL-FJ200FY</v>
      </c>
      <c r="B806" s="32" t="s">
        <v>1198</v>
      </c>
      <c r="C806" s="33" t="s">
        <v>1193</v>
      </c>
      <c r="D806" s="33" t="s">
        <v>144</v>
      </c>
      <c r="E806" s="11" t="s">
        <v>123</v>
      </c>
      <c r="F806" s="33"/>
      <c r="G806" s="11"/>
      <c r="H806" s="11">
        <f>SUMIFS(X!$F$3:$F$5978,X!$D$3:$D$5978,'Current Stock'!A806)</f>
        <v>0</v>
      </c>
      <c r="I806" s="11">
        <f>SUMIFS(PENJUALAN!$E$4:$E$3651,PENJUALAN!$C$4:$C$3651,'Current Stock'!A806)</f>
        <v>0</v>
      </c>
      <c r="J806" s="15">
        <f t="shared" si="2"/>
        <v>0</v>
      </c>
      <c r="K806" s="11"/>
      <c r="L806" s="11"/>
      <c r="M806" s="11"/>
      <c r="N806" s="11"/>
      <c r="O806" s="17"/>
      <c r="P806" s="17"/>
    </row>
    <row r="807" ht="13.5" customHeight="1">
      <c r="A807" s="11" t="str">
        <f t="shared" si="1"/>
        <v>RDR-FJ200FY</v>
      </c>
      <c r="B807" s="32" t="s">
        <v>1199</v>
      </c>
      <c r="C807" s="33" t="s">
        <v>1193</v>
      </c>
      <c r="D807" s="33" t="s">
        <v>146</v>
      </c>
      <c r="E807" s="11" t="s">
        <v>123</v>
      </c>
      <c r="F807" s="33"/>
      <c r="G807" s="11"/>
      <c r="H807" s="11">
        <f>SUMIFS(X!$F$3:$F$5978,X!$D$3:$D$5978,'Current Stock'!A807)</f>
        <v>0</v>
      </c>
      <c r="I807" s="11">
        <f>SUMIFS(PENJUALAN!$E$4:$E$3651,PENJUALAN!$C$4:$C$3651,'Current Stock'!A807)</f>
        <v>0</v>
      </c>
      <c r="J807" s="15">
        <f t="shared" si="2"/>
        <v>0</v>
      </c>
      <c r="K807" s="11"/>
      <c r="L807" s="11"/>
      <c r="M807" s="16"/>
      <c r="N807" s="11"/>
      <c r="O807" s="17"/>
      <c r="P807" s="17"/>
    </row>
    <row r="808" ht="13.5" customHeight="1">
      <c r="A808" s="11" t="str">
        <f t="shared" si="1"/>
        <v>RVL-FJ200FY</v>
      </c>
      <c r="B808" s="32" t="s">
        <v>1200</v>
      </c>
      <c r="C808" s="33" t="s">
        <v>1193</v>
      </c>
      <c r="D808" s="33" t="s">
        <v>396</v>
      </c>
      <c r="E808" s="11" t="s">
        <v>123</v>
      </c>
      <c r="F808" s="33"/>
      <c r="G808" s="11"/>
      <c r="H808" s="11">
        <f>SUMIFS(X!$F$3:$F$5978,X!$D$3:$D$5978,'Current Stock'!A808)</f>
        <v>0</v>
      </c>
      <c r="I808" s="11">
        <f>SUMIFS(PENJUALAN!$E$4:$E$3651,PENJUALAN!$C$4:$C$3651,'Current Stock'!A808)</f>
        <v>0</v>
      </c>
      <c r="J808" s="15">
        <f t="shared" si="2"/>
        <v>0</v>
      </c>
      <c r="K808" s="11"/>
      <c r="L808" s="11"/>
      <c r="M808" s="11"/>
      <c r="N808" s="11"/>
      <c r="O808" s="17"/>
      <c r="P808" s="17"/>
    </row>
    <row r="809" ht="13.5" customHeight="1">
      <c r="A809" s="11" t="str">
        <f t="shared" si="1"/>
        <v>RVR-FJ200FY</v>
      </c>
      <c r="B809" s="32" t="s">
        <v>1201</v>
      </c>
      <c r="C809" s="33" t="s">
        <v>1193</v>
      </c>
      <c r="D809" s="33" t="s">
        <v>398</v>
      </c>
      <c r="E809" s="11" t="s">
        <v>123</v>
      </c>
      <c r="F809" s="33"/>
      <c r="G809" s="11"/>
      <c r="H809" s="11">
        <f>SUMIFS(X!$F$3:$F$5978,X!$D$3:$D$5978,'Current Stock'!A809)</f>
        <v>0</v>
      </c>
      <c r="I809" s="11">
        <f>SUMIFS(PENJUALAN!$E$4:$E$3651,PENJUALAN!$C$4:$C$3651,'Current Stock'!A809)</f>
        <v>0</v>
      </c>
      <c r="J809" s="15">
        <f t="shared" si="2"/>
        <v>0</v>
      </c>
      <c r="K809" s="11"/>
      <c r="L809" s="11"/>
      <c r="M809" s="11"/>
      <c r="N809" s="11"/>
      <c r="O809" s="17"/>
      <c r="P809" s="17"/>
    </row>
    <row r="810" ht="13.5" customHeight="1">
      <c r="A810" s="11" t="str">
        <f t="shared" si="1"/>
        <v>LFW-FJ120FY</v>
      </c>
      <c r="B810" s="32" t="s">
        <v>1202</v>
      </c>
      <c r="C810" s="33" t="s">
        <v>1203</v>
      </c>
      <c r="D810" s="33" t="s">
        <v>60</v>
      </c>
      <c r="E810" s="11" t="s">
        <v>123</v>
      </c>
      <c r="F810" s="33" t="s">
        <v>137</v>
      </c>
      <c r="G810" s="11"/>
      <c r="H810" s="11">
        <f>SUMIFS(X!$F$3:$F$5978,X!$D$3:$D$5978,'Current Stock'!A810)</f>
        <v>0</v>
      </c>
      <c r="I810" s="11">
        <f>SUMIFS(PENJUALAN!$E$4:$E$3651,PENJUALAN!$C$4:$C$3651,'Current Stock'!A810)</f>
        <v>0</v>
      </c>
      <c r="J810" s="15">
        <f t="shared" si="2"/>
        <v>0</v>
      </c>
      <c r="K810" s="11"/>
      <c r="L810" s="11"/>
      <c r="M810" s="11"/>
      <c r="N810" s="11"/>
      <c r="O810" s="17"/>
      <c r="P810" s="17"/>
    </row>
    <row r="811" ht="13.5" customHeight="1">
      <c r="A811" s="11" t="str">
        <f t="shared" si="1"/>
        <v>RDL-FJ120FY</v>
      </c>
      <c r="B811" s="32" t="s">
        <v>1204</v>
      </c>
      <c r="C811" s="33" t="s">
        <v>1203</v>
      </c>
      <c r="D811" s="33" t="s">
        <v>144</v>
      </c>
      <c r="E811" s="11" t="s">
        <v>123</v>
      </c>
      <c r="F811" s="33"/>
      <c r="G811" s="11"/>
      <c r="H811" s="11">
        <f>SUMIFS(X!$F$3:$F$5978,X!$D$3:$D$5978,'Current Stock'!A811)</f>
        <v>0</v>
      </c>
      <c r="I811" s="11">
        <f>SUMIFS(PENJUALAN!$E$4:$E$3651,PENJUALAN!$C$4:$C$3651,'Current Stock'!A811)</f>
        <v>0</v>
      </c>
      <c r="J811" s="15">
        <f t="shared" si="2"/>
        <v>0</v>
      </c>
      <c r="K811" s="11"/>
      <c r="L811" s="11"/>
      <c r="M811" s="11"/>
      <c r="N811" s="11"/>
      <c r="O811" s="17"/>
      <c r="P811" s="17"/>
    </row>
    <row r="812" ht="13.5" customHeight="1">
      <c r="A812" s="11" t="str">
        <f t="shared" si="1"/>
        <v>RDR-FJ120FY</v>
      </c>
      <c r="B812" s="32" t="s">
        <v>1205</v>
      </c>
      <c r="C812" s="33" t="s">
        <v>1203</v>
      </c>
      <c r="D812" s="33" t="s">
        <v>146</v>
      </c>
      <c r="E812" s="11" t="s">
        <v>123</v>
      </c>
      <c r="F812" s="33"/>
      <c r="G812" s="11"/>
      <c r="H812" s="11">
        <f>SUMIFS(X!$F$3:$F$5978,X!$D$3:$D$5978,'Current Stock'!A812)</f>
        <v>0</v>
      </c>
      <c r="I812" s="11">
        <f>SUMIFS(PENJUALAN!$E$4:$E$3651,PENJUALAN!$C$4:$C$3651,'Current Stock'!A812)</f>
        <v>0</v>
      </c>
      <c r="J812" s="15">
        <f t="shared" si="2"/>
        <v>0</v>
      </c>
      <c r="K812" s="11"/>
      <c r="L812" s="11"/>
      <c r="M812" s="11"/>
      <c r="N812" s="11"/>
      <c r="O812" s="17"/>
      <c r="P812" s="17"/>
    </row>
    <row r="813" ht="13.5" customHeight="1">
      <c r="A813" s="11" t="str">
        <f t="shared" si="1"/>
        <v>RQL-FJ120FY</v>
      </c>
      <c r="B813" s="32" t="s">
        <v>1206</v>
      </c>
      <c r="C813" s="33" t="s">
        <v>1203</v>
      </c>
      <c r="D813" s="33" t="s">
        <v>209</v>
      </c>
      <c r="E813" s="11" t="s">
        <v>123</v>
      </c>
      <c r="F813" s="33" t="s">
        <v>1207</v>
      </c>
      <c r="G813" s="11"/>
      <c r="H813" s="11">
        <f>SUMIFS(X!$F$3:$F$5978,X!$D$3:$D$5978,'Current Stock'!A813)</f>
        <v>0</v>
      </c>
      <c r="I813" s="11">
        <f>SUMIFS(PENJUALAN!$E$4:$E$3651,PENJUALAN!$C$4:$C$3651,'Current Stock'!A813)</f>
        <v>0</v>
      </c>
      <c r="J813" s="15">
        <f t="shared" si="2"/>
        <v>0</v>
      </c>
      <c r="K813" s="11"/>
      <c r="L813" s="11"/>
      <c r="M813" s="11"/>
      <c r="N813" s="11"/>
      <c r="O813" s="17"/>
      <c r="P813" s="17"/>
    </row>
    <row r="814" ht="13.5" customHeight="1">
      <c r="A814" s="11" t="str">
        <f t="shared" si="1"/>
        <v>RQR-FJ120FY</v>
      </c>
      <c r="B814" s="32" t="s">
        <v>1208</v>
      </c>
      <c r="C814" s="33" t="s">
        <v>1203</v>
      </c>
      <c r="D814" s="33" t="s">
        <v>243</v>
      </c>
      <c r="E814" s="11" t="s">
        <v>123</v>
      </c>
      <c r="F814" s="33" t="s">
        <v>546</v>
      </c>
      <c r="G814" s="11"/>
      <c r="H814" s="11">
        <f>SUMIFS(X!$F$3:$F$5978,X!$D$3:$D$5978,'Current Stock'!A814)</f>
        <v>0</v>
      </c>
      <c r="I814" s="11">
        <f>SUMIFS(PENJUALAN!$E$4:$E$3651,PENJUALAN!$C$4:$C$3651,'Current Stock'!A814)</f>
        <v>0</v>
      </c>
      <c r="J814" s="15">
        <f t="shared" si="2"/>
        <v>0</v>
      </c>
      <c r="K814" s="11"/>
      <c r="L814" s="11"/>
      <c r="M814" s="11"/>
      <c r="N814" s="11"/>
      <c r="O814" s="17"/>
      <c r="P814" s="17"/>
    </row>
    <row r="815" ht="13.5" customHeight="1">
      <c r="A815" s="11" t="str">
        <f t="shared" si="1"/>
        <v>TRW-FJ120FY</v>
      </c>
      <c r="B815" s="32" t="s">
        <v>1209</v>
      </c>
      <c r="C815" s="33" t="s">
        <v>1210</v>
      </c>
      <c r="D815" s="33" t="s">
        <v>62</v>
      </c>
      <c r="E815" s="11" t="s">
        <v>123</v>
      </c>
      <c r="F815" s="33" t="s">
        <v>228</v>
      </c>
      <c r="G815" s="11"/>
      <c r="H815" s="11">
        <f>SUMIFS(X!$F$3:$F$5978,X!$D$3:$D$5978,'Current Stock'!A815)</f>
        <v>0</v>
      </c>
      <c r="I815" s="11">
        <f>SUMIFS(PENJUALAN!$E$4:$E$3651,PENJUALAN!$C$4:$C$3651,'Current Stock'!A815)</f>
        <v>0</v>
      </c>
      <c r="J815" s="15">
        <f t="shared" si="2"/>
        <v>0</v>
      </c>
      <c r="K815" s="11"/>
      <c r="L815" s="11"/>
      <c r="M815" s="11"/>
      <c r="N815" s="11"/>
      <c r="O815" s="17"/>
      <c r="P815" s="17"/>
    </row>
    <row r="816" ht="13.5" customHeight="1">
      <c r="A816" s="11" t="str">
        <f t="shared" si="1"/>
        <v>LFW-FJ150FY</v>
      </c>
      <c r="B816" s="32" t="s">
        <v>1211</v>
      </c>
      <c r="C816" s="33" t="s">
        <v>1212</v>
      </c>
      <c r="D816" s="33" t="s">
        <v>60</v>
      </c>
      <c r="E816" s="11" t="s">
        <v>123</v>
      </c>
      <c r="F816" s="33" t="s">
        <v>314</v>
      </c>
      <c r="G816" s="11"/>
      <c r="H816" s="11">
        <f>SUMIFS(X!$F$3:$F$5978,X!$D$3:$D$5978,'Current Stock'!A816)</f>
        <v>0</v>
      </c>
      <c r="I816" s="11">
        <f>SUMIFS(PENJUALAN!$E$4:$E$3651,PENJUALAN!$C$4:$C$3651,'Current Stock'!A816)</f>
        <v>0</v>
      </c>
      <c r="J816" s="15">
        <f t="shared" si="2"/>
        <v>0</v>
      </c>
      <c r="K816" s="11"/>
      <c r="L816" s="11"/>
      <c r="M816" s="11"/>
      <c r="N816" s="11"/>
      <c r="O816" s="17"/>
      <c r="P816" s="17"/>
    </row>
    <row r="817" ht="13.5" customHeight="1">
      <c r="A817" s="11" t="str">
        <f t="shared" si="1"/>
        <v>TRW-FJ150FY</v>
      </c>
      <c r="B817" s="32" t="s">
        <v>1213</v>
      </c>
      <c r="C817" s="33" t="s">
        <v>1212</v>
      </c>
      <c r="D817" s="33" t="s">
        <v>62</v>
      </c>
      <c r="E817" s="11" t="s">
        <v>123</v>
      </c>
      <c r="F817" s="33" t="s">
        <v>1214</v>
      </c>
      <c r="G817" s="11"/>
      <c r="H817" s="11">
        <f>SUMIFS(X!$F$3:$F$5978,X!$D$3:$D$5978,'Current Stock'!A817)</f>
        <v>0</v>
      </c>
      <c r="I817" s="11">
        <f>SUMIFS(PENJUALAN!$E$4:$E$3651,PENJUALAN!$C$4:$C$3651,'Current Stock'!A817)</f>
        <v>0</v>
      </c>
      <c r="J817" s="15">
        <f t="shared" si="2"/>
        <v>0</v>
      </c>
      <c r="K817" s="11"/>
      <c r="L817" s="11"/>
      <c r="M817" s="11"/>
      <c r="N817" s="11"/>
      <c r="O817" s="17"/>
      <c r="P817" s="17"/>
    </row>
    <row r="818" ht="13.5" customHeight="1">
      <c r="A818" s="11" t="str">
        <f t="shared" si="1"/>
        <v>RDL-FJ150FY</v>
      </c>
      <c r="B818" s="32" t="s">
        <v>1215</v>
      </c>
      <c r="C818" s="33" t="s">
        <v>1212</v>
      </c>
      <c r="D818" s="33" t="s">
        <v>144</v>
      </c>
      <c r="E818" s="11" t="s">
        <v>123</v>
      </c>
      <c r="F818" s="33"/>
      <c r="G818" s="11"/>
      <c r="H818" s="11">
        <f>SUMIFS(X!$F$3:$F$5978,X!$D$3:$D$5978,'Current Stock'!A818)</f>
        <v>0</v>
      </c>
      <c r="I818" s="11">
        <f>SUMIFS(PENJUALAN!$E$4:$E$3651,PENJUALAN!$C$4:$C$3651,'Current Stock'!A818)</f>
        <v>0</v>
      </c>
      <c r="J818" s="15">
        <f t="shared" si="2"/>
        <v>0</v>
      </c>
      <c r="K818" s="11"/>
      <c r="L818" s="11"/>
      <c r="M818" s="11"/>
      <c r="N818" s="11"/>
      <c r="O818" s="17"/>
      <c r="P818" s="17"/>
    </row>
    <row r="819" ht="13.5" customHeight="1">
      <c r="A819" s="11" t="str">
        <f t="shared" si="1"/>
        <v>RDR-FJ150FY</v>
      </c>
      <c r="B819" s="32" t="s">
        <v>1216</v>
      </c>
      <c r="C819" s="33" t="s">
        <v>1212</v>
      </c>
      <c r="D819" s="33" t="s">
        <v>146</v>
      </c>
      <c r="E819" s="11" t="s">
        <v>123</v>
      </c>
      <c r="F819" s="33"/>
      <c r="G819" s="11"/>
      <c r="H819" s="11">
        <f>SUMIFS(X!$F$3:$F$5978,X!$D$3:$D$5978,'Current Stock'!A819)</f>
        <v>0</v>
      </c>
      <c r="I819" s="11">
        <f>SUMIFS(PENJUALAN!$E$4:$E$3651,PENJUALAN!$C$4:$C$3651,'Current Stock'!A819)</f>
        <v>0</v>
      </c>
      <c r="J819" s="15">
        <f t="shared" si="2"/>
        <v>0</v>
      </c>
      <c r="K819" s="11"/>
      <c r="L819" s="11"/>
      <c r="M819" s="11"/>
      <c r="N819" s="11"/>
      <c r="O819" s="17"/>
      <c r="P819" s="17"/>
    </row>
    <row r="820" ht="13.5" customHeight="1">
      <c r="A820" s="11" t="str">
        <f t="shared" si="1"/>
        <v>LFW-NAV07FY</v>
      </c>
      <c r="B820" s="32" t="s">
        <v>1217</v>
      </c>
      <c r="C820" s="33" t="s">
        <v>1218</v>
      </c>
      <c r="D820" s="33" t="s">
        <v>60</v>
      </c>
      <c r="E820" s="11" t="s">
        <v>123</v>
      </c>
      <c r="F820" s="33" t="s">
        <v>137</v>
      </c>
      <c r="G820" s="11"/>
      <c r="H820" s="11">
        <f>SUMIFS(X!$F$3:$F$5978,X!$D$3:$D$5978,'Current Stock'!A820)</f>
        <v>0</v>
      </c>
      <c r="I820" s="11">
        <f>SUMIFS(PENJUALAN!$E$4:$E$3651,PENJUALAN!$C$4:$C$3651,'Current Stock'!A820)</f>
        <v>0</v>
      </c>
      <c r="J820" s="15">
        <f t="shared" si="2"/>
        <v>0</v>
      </c>
      <c r="K820" s="11"/>
      <c r="L820" s="11"/>
      <c r="M820" s="11"/>
      <c r="N820" s="11"/>
      <c r="O820" s="17"/>
      <c r="P820" s="17"/>
    </row>
    <row r="821" ht="13.5" customHeight="1">
      <c r="A821" s="11" t="str">
        <f t="shared" si="1"/>
        <v>TRW-NAV07FY</v>
      </c>
      <c r="B821" s="32" t="s">
        <v>1219</v>
      </c>
      <c r="C821" s="33" t="s">
        <v>1218</v>
      </c>
      <c r="D821" s="33" t="s">
        <v>62</v>
      </c>
      <c r="E821" s="11" t="s">
        <v>123</v>
      </c>
      <c r="F821" s="33" t="s">
        <v>83</v>
      </c>
      <c r="G821" s="11"/>
      <c r="H821" s="11">
        <f>SUMIFS(X!$F$3:$F$5978,X!$D$3:$D$5978,'Current Stock'!A821)</f>
        <v>0</v>
      </c>
      <c r="I821" s="11">
        <f>SUMIFS(PENJUALAN!$E$4:$E$3651,PENJUALAN!$C$4:$C$3651,'Current Stock'!A821)</f>
        <v>0</v>
      </c>
      <c r="J821" s="15">
        <f t="shared" si="2"/>
        <v>0</v>
      </c>
      <c r="K821" s="11"/>
      <c r="L821" s="11"/>
      <c r="M821" s="11"/>
      <c r="N821" s="11"/>
      <c r="O821" s="17"/>
      <c r="P821" s="17"/>
    </row>
    <row r="822" ht="13.5" customHeight="1">
      <c r="A822" s="11" t="str">
        <f t="shared" si="1"/>
        <v>RQL-NAV07FY</v>
      </c>
      <c r="B822" s="32" t="s">
        <v>1220</v>
      </c>
      <c r="C822" s="33" t="s">
        <v>1218</v>
      </c>
      <c r="D822" s="33" t="s">
        <v>209</v>
      </c>
      <c r="E822" s="11" t="s">
        <v>123</v>
      </c>
      <c r="F822" s="33" t="s">
        <v>109</v>
      </c>
      <c r="G822" s="11"/>
      <c r="H822" s="11">
        <f>SUMIFS(X!$F$3:$F$5978,X!$D$3:$D$5978,'Current Stock'!A822)</f>
        <v>0</v>
      </c>
      <c r="I822" s="11">
        <f>SUMIFS(PENJUALAN!$E$4:$E$3651,PENJUALAN!$C$4:$C$3651,'Current Stock'!A822)</f>
        <v>0</v>
      </c>
      <c r="J822" s="15">
        <f t="shared" si="2"/>
        <v>0</v>
      </c>
      <c r="K822" s="11"/>
      <c r="L822" s="11"/>
      <c r="M822" s="11"/>
      <c r="N822" s="11"/>
      <c r="O822" s="17"/>
      <c r="P822" s="17"/>
    </row>
    <row r="823" ht="13.5" customHeight="1">
      <c r="A823" s="11" t="str">
        <f t="shared" si="1"/>
        <v>RQR-NAV07FY</v>
      </c>
      <c r="B823" s="32" t="s">
        <v>1221</v>
      </c>
      <c r="C823" s="33" t="s">
        <v>1218</v>
      </c>
      <c r="D823" s="33" t="s">
        <v>243</v>
      </c>
      <c r="E823" s="11" t="s">
        <v>123</v>
      </c>
      <c r="F823" s="33" t="s">
        <v>241</v>
      </c>
      <c r="G823" s="11"/>
      <c r="H823" s="11">
        <f>SUMIFS(X!$F$3:$F$5978,X!$D$3:$D$5978,'Current Stock'!A823)</f>
        <v>0</v>
      </c>
      <c r="I823" s="11">
        <f>SUMIFS(PENJUALAN!$E$4:$E$3651,PENJUALAN!$C$4:$C$3651,'Current Stock'!A823)</f>
        <v>0</v>
      </c>
      <c r="J823" s="15">
        <f t="shared" si="2"/>
        <v>0</v>
      </c>
      <c r="K823" s="11"/>
      <c r="L823" s="11"/>
      <c r="M823" s="11"/>
      <c r="N823" s="11"/>
      <c r="O823" s="17"/>
      <c r="P823" s="17"/>
    </row>
    <row r="824" ht="13.5" customHeight="1">
      <c r="A824" s="11" t="str">
        <f t="shared" si="1"/>
        <v>LFW-NOAHFY</v>
      </c>
      <c r="B824" s="32" t="s">
        <v>1222</v>
      </c>
      <c r="C824" s="33" t="s">
        <v>1223</v>
      </c>
      <c r="D824" s="33" t="s">
        <v>60</v>
      </c>
      <c r="E824" s="11" t="s">
        <v>123</v>
      </c>
      <c r="F824" s="33" t="s">
        <v>137</v>
      </c>
      <c r="G824" s="11"/>
      <c r="H824" s="11">
        <f>SUMIFS(X!$F$3:$F$5978,X!$D$3:$D$5978,'Current Stock'!A824)</f>
        <v>0</v>
      </c>
      <c r="I824" s="11">
        <f>SUMIFS(PENJUALAN!$E$4:$E$3651,PENJUALAN!$C$4:$C$3651,'Current Stock'!A824)</f>
        <v>0</v>
      </c>
      <c r="J824" s="15">
        <f t="shared" si="2"/>
        <v>0</v>
      </c>
      <c r="K824" s="11"/>
      <c r="L824" s="11"/>
      <c r="M824" s="11"/>
      <c r="N824" s="11"/>
      <c r="O824" s="17"/>
      <c r="P824" s="17"/>
    </row>
    <row r="825" ht="13.5" customHeight="1">
      <c r="A825" s="11" t="str">
        <f t="shared" si="1"/>
        <v>TRW-NOAHFY</v>
      </c>
      <c r="B825" s="32" t="s">
        <v>1224</v>
      </c>
      <c r="C825" s="33" t="s">
        <v>1223</v>
      </c>
      <c r="D825" s="33" t="s">
        <v>62</v>
      </c>
      <c r="E825" s="11" t="s">
        <v>123</v>
      </c>
      <c r="F825" s="33" t="s">
        <v>83</v>
      </c>
      <c r="G825" s="11"/>
      <c r="H825" s="11">
        <f>SUMIFS(X!$F$3:$F$5978,X!$D$3:$D$5978,'Current Stock'!A825)</f>
        <v>0</v>
      </c>
      <c r="I825" s="11">
        <f>SUMIFS(PENJUALAN!$E$4:$E$3651,PENJUALAN!$C$4:$C$3651,'Current Stock'!A825)</f>
        <v>0</v>
      </c>
      <c r="J825" s="15">
        <f t="shared" si="2"/>
        <v>0</v>
      </c>
      <c r="K825" s="11"/>
      <c r="L825" s="11"/>
      <c r="M825" s="11"/>
      <c r="N825" s="11"/>
      <c r="O825" s="17"/>
      <c r="P825" s="17"/>
    </row>
    <row r="826" ht="13.5" customHeight="1">
      <c r="A826" s="11" t="str">
        <f t="shared" si="1"/>
        <v>RDL-NOAHFY</v>
      </c>
      <c r="B826" s="32" t="s">
        <v>1225</v>
      </c>
      <c r="C826" s="33" t="s">
        <v>1223</v>
      </c>
      <c r="D826" s="33" t="s">
        <v>144</v>
      </c>
      <c r="E826" s="11" t="s">
        <v>123</v>
      </c>
      <c r="F826" s="33"/>
      <c r="G826" s="11"/>
      <c r="H826" s="11">
        <f>SUMIFS(X!$F$3:$F$5978,X!$D$3:$D$5978,'Current Stock'!A826)</f>
        <v>0</v>
      </c>
      <c r="I826" s="11">
        <f>SUMIFS(PENJUALAN!$E$4:$E$3651,PENJUALAN!$C$4:$C$3651,'Current Stock'!A826)</f>
        <v>0</v>
      </c>
      <c r="J826" s="15">
        <f t="shared" si="2"/>
        <v>0</v>
      </c>
      <c r="K826" s="11"/>
      <c r="L826" s="11"/>
      <c r="M826" s="11"/>
      <c r="N826" s="11"/>
      <c r="O826" s="17"/>
      <c r="P826" s="17"/>
    </row>
    <row r="827" ht="13.5" customHeight="1">
      <c r="A827" s="11" t="str">
        <f t="shared" si="1"/>
        <v>RDR-NOAHFY</v>
      </c>
      <c r="B827" s="32" t="s">
        <v>1226</v>
      </c>
      <c r="C827" s="33" t="s">
        <v>1223</v>
      </c>
      <c r="D827" s="33" t="s">
        <v>146</v>
      </c>
      <c r="E827" s="11" t="s">
        <v>123</v>
      </c>
      <c r="F827" s="33"/>
      <c r="G827" s="11"/>
      <c r="H827" s="11">
        <f>SUMIFS(X!$F$3:$F$5978,X!$D$3:$D$5978,'Current Stock'!A827)</f>
        <v>0</v>
      </c>
      <c r="I827" s="11">
        <f>SUMIFS(PENJUALAN!$E$4:$E$3651,PENJUALAN!$C$4:$C$3651,'Current Stock'!A827)</f>
        <v>0</v>
      </c>
      <c r="J827" s="15">
        <f t="shared" si="2"/>
        <v>0</v>
      </c>
      <c r="K827" s="11"/>
      <c r="L827" s="11"/>
      <c r="M827" s="11"/>
      <c r="N827" s="11"/>
      <c r="O827" s="17"/>
      <c r="P827" s="17"/>
    </row>
    <row r="828" ht="13.5" customHeight="1">
      <c r="A828" s="11" t="str">
        <f t="shared" si="1"/>
        <v>RQL-NOAHFY</v>
      </c>
      <c r="B828" s="32" t="s">
        <v>1227</v>
      </c>
      <c r="C828" s="33" t="s">
        <v>1223</v>
      </c>
      <c r="D828" s="33" t="s">
        <v>209</v>
      </c>
      <c r="E828" s="11" t="s">
        <v>123</v>
      </c>
      <c r="F828" s="33" t="s">
        <v>109</v>
      </c>
      <c r="G828" s="11"/>
      <c r="H828" s="11">
        <f>SUMIFS(X!$F$3:$F$5978,X!$D$3:$D$5978,'Current Stock'!A828)</f>
        <v>0</v>
      </c>
      <c r="I828" s="11">
        <f>SUMIFS(PENJUALAN!$E$4:$E$3651,PENJUALAN!$C$4:$C$3651,'Current Stock'!A828)</f>
        <v>0</v>
      </c>
      <c r="J828" s="15">
        <f t="shared" si="2"/>
        <v>0</v>
      </c>
      <c r="K828" s="11"/>
      <c r="L828" s="11"/>
      <c r="M828" s="11"/>
      <c r="N828" s="11"/>
      <c r="O828" s="17"/>
      <c r="P828" s="17"/>
    </row>
    <row r="829" ht="13.5" customHeight="1">
      <c r="A829" s="11" t="str">
        <f t="shared" si="1"/>
        <v>LFW-PREVIA00FY</v>
      </c>
      <c r="B829" s="32" t="s">
        <v>1228</v>
      </c>
      <c r="C829" s="33" t="s">
        <v>1229</v>
      </c>
      <c r="D829" s="33" t="s">
        <v>60</v>
      </c>
      <c r="E829" s="11" t="s">
        <v>123</v>
      </c>
      <c r="F829" s="33" t="s">
        <v>109</v>
      </c>
      <c r="G829" s="11"/>
      <c r="H829" s="11">
        <f>SUMIFS(X!$F$3:$F$5978,X!$D$3:$D$5978,'Current Stock'!A829)</f>
        <v>0</v>
      </c>
      <c r="I829" s="11">
        <f>SUMIFS(PENJUALAN!$E$4:$E$3651,PENJUALAN!$C$4:$C$3651,'Current Stock'!A829)</f>
        <v>0</v>
      </c>
      <c r="J829" s="15">
        <f t="shared" si="2"/>
        <v>0</v>
      </c>
      <c r="K829" s="11"/>
      <c r="L829" s="11"/>
      <c r="M829" s="11"/>
      <c r="N829" s="11"/>
      <c r="O829" s="17"/>
      <c r="P829" s="17"/>
    </row>
    <row r="830" ht="13.5" customHeight="1">
      <c r="A830" s="11" t="str">
        <f t="shared" si="1"/>
        <v>TRW-PREVIA00FY</v>
      </c>
      <c r="B830" s="32" t="s">
        <v>1230</v>
      </c>
      <c r="C830" s="33" t="s">
        <v>1229</v>
      </c>
      <c r="D830" s="33" t="s">
        <v>62</v>
      </c>
      <c r="E830" s="11" t="s">
        <v>123</v>
      </c>
      <c r="F830" s="33" t="s">
        <v>83</v>
      </c>
      <c r="G830" s="11"/>
      <c r="H830" s="11">
        <f>SUMIFS(X!$F$3:$F$5978,X!$D$3:$D$5978,'Current Stock'!A830)</f>
        <v>0</v>
      </c>
      <c r="I830" s="11">
        <f>SUMIFS(PENJUALAN!$E$4:$E$3651,PENJUALAN!$C$4:$C$3651,'Current Stock'!A830)</f>
        <v>0</v>
      </c>
      <c r="J830" s="15">
        <f t="shared" si="2"/>
        <v>0</v>
      </c>
      <c r="K830" s="11"/>
      <c r="L830" s="11"/>
      <c r="M830" s="11"/>
      <c r="N830" s="11"/>
      <c r="O830" s="17"/>
      <c r="P830" s="17"/>
    </row>
    <row r="831" ht="13.5" customHeight="1">
      <c r="A831" s="11" t="str">
        <f t="shared" si="1"/>
        <v>LFW-PREVIA06FY</v>
      </c>
      <c r="B831" s="32" t="s">
        <v>1231</v>
      </c>
      <c r="C831" s="33" t="s">
        <v>1232</v>
      </c>
      <c r="D831" s="33" t="s">
        <v>60</v>
      </c>
      <c r="E831" s="11" t="s">
        <v>123</v>
      </c>
      <c r="F831" s="33" t="s">
        <v>745</v>
      </c>
      <c r="G831" s="11"/>
      <c r="H831" s="11">
        <f>SUMIFS(X!$F$3:$F$5978,X!$D$3:$D$5978,'Current Stock'!A831)</f>
        <v>0</v>
      </c>
      <c r="I831" s="11">
        <f>SUMIFS(PENJUALAN!$E$4:$E$3651,PENJUALAN!$C$4:$C$3651,'Current Stock'!A831)</f>
        <v>0</v>
      </c>
      <c r="J831" s="15">
        <f t="shared" si="2"/>
        <v>0</v>
      </c>
      <c r="K831" s="11"/>
      <c r="L831" s="11"/>
      <c r="M831" s="11"/>
      <c r="N831" s="11"/>
      <c r="O831" s="17"/>
      <c r="P831" s="17"/>
    </row>
    <row r="832" ht="13.5" customHeight="1">
      <c r="A832" s="11" t="str">
        <f t="shared" si="1"/>
        <v>TRW-PREVIA06FY</v>
      </c>
      <c r="B832" s="32" t="s">
        <v>1233</v>
      </c>
      <c r="C832" s="33" t="s">
        <v>1232</v>
      </c>
      <c r="D832" s="33" t="s">
        <v>62</v>
      </c>
      <c r="E832" s="11" t="s">
        <v>123</v>
      </c>
      <c r="F832" s="33" t="s">
        <v>228</v>
      </c>
      <c r="G832" s="11"/>
      <c r="H832" s="11">
        <f>SUMIFS(X!$F$3:$F$5978,X!$D$3:$D$5978,'Current Stock'!A832)</f>
        <v>0</v>
      </c>
      <c r="I832" s="11">
        <f>SUMIFS(PENJUALAN!$E$4:$E$3651,PENJUALAN!$C$4:$C$3651,'Current Stock'!A832)</f>
        <v>0</v>
      </c>
      <c r="J832" s="15">
        <f t="shared" si="2"/>
        <v>0</v>
      </c>
      <c r="K832" s="11"/>
      <c r="L832" s="11"/>
      <c r="M832" s="11"/>
      <c r="N832" s="11"/>
      <c r="O832" s="17"/>
      <c r="P832" s="17"/>
    </row>
    <row r="833" ht="13.5" customHeight="1">
      <c r="A833" s="11" t="str">
        <f t="shared" si="1"/>
        <v>TRW-RAV400FY</v>
      </c>
      <c r="B833" s="32" t="s">
        <v>1234</v>
      </c>
      <c r="C833" s="33" t="s">
        <v>1235</v>
      </c>
      <c r="D833" s="33" t="s">
        <v>62</v>
      </c>
      <c r="E833" s="11" t="s">
        <v>123</v>
      </c>
      <c r="F833" s="33" t="s">
        <v>228</v>
      </c>
      <c r="G833" s="11"/>
      <c r="H833" s="11">
        <f>SUMIFS(X!$F$3:$F$5978,X!$D$3:$D$5978,'Current Stock'!A833)</f>
        <v>0</v>
      </c>
      <c r="I833" s="11">
        <f>SUMIFS(PENJUALAN!$E$4:$E$3651,PENJUALAN!$C$4:$C$3651,'Current Stock'!A833)</f>
        <v>0</v>
      </c>
      <c r="J833" s="15">
        <f t="shared" si="2"/>
        <v>0</v>
      </c>
      <c r="K833" s="11"/>
      <c r="L833" s="11"/>
      <c r="M833" s="11"/>
      <c r="N833" s="11"/>
      <c r="O833" s="17"/>
      <c r="P833" s="17"/>
    </row>
    <row r="834" ht="13.5" customHeight="1">
      <c r="A834" s="11" t="str">
        <f t="shared" si="1"/>
        <v>LFW-RAV400FY</v>
      </c>
      <c r="B834" s="32" t="s">
        <v>1236</v>
      </c>
      <c r="C834" s="33" t="s">
        <v>1237</v>
      </c>
      <c r="D834" s="33" t="s">
        <v>60</v>
      </c>
      <c r="E834" s="11" t="s">
        <v>123</v>
      </c>
      <c r="F834" s="33" t="s">
        <v>137</v>
      </c>
      <c r="G834" s="11"/>
      <c r="H834" s="11">
        <f>SUMIFS(X!$F$3:$F$5978,X!$D$3:$D$5978,'Current Stock'!A834)</f>
        <v>0</v>
      </c>
      <c r="I834" s="11">
        <f>SUMIFS(PENJUALAN!$E$4:$E$3651,PENJUALAN!$C$4:$C$3651,'Current Stock'!A834)</f>
        <v>0</v>
      </c>
      <c r="J834" s="15">
        <f t="shared" si="2"/>
        <v>0</v>
      </c>
      <c r="K834" s="11"/>
      <c r="L834" s="11"/>
      <c r="M834" s="11"/>
      <c r="N834" s="11"/>
      <c r="O834" s="17"/>
      <c r="P834" s="17"/>
    </row>
    <row r="835" ht="13.5" customHeight="1">
      <c r="A835" s="11" t="str">
        <f t="shared" si="1"/>
        <v>LFW-RAV405FY</v>
      </c>
      <c r="B835" s="32" t="s">
        <v>1238</v>
      </c>
      <c r="C835" s="33" t="s">
        <v>1239</v>
      </c>
      <c r="D835" s="33" t="s">
        <v>60</v>
      </c>
      <c r="E835" s="11" t="s">
        <v>123</v>
      </c>
      <c r="F835" s="33" t="s">
        <v>745</v>
      </c>
      <c r="G835" s="11"/>
      <c r="H835" s="11">
        <f>SUMIFS(X!$F$3:$F$5978,X!$D$3:$D$5978,'Current Stock'!A835)</f>
        <v>0</v>
      </c>
      <c r="I835" s="11">
        <f>SUMIFS(PENJUALAN!$E$4:$E$3651,PENJUALAN!$C$4:$C$3651,'Current Stock'!A835)</f>
        <v>0</v>
      </c>
      <c r="J835" s="15">
        <f t="shared" si="2"/>
        <v>0</v>
      </c>
      <c r="K835" s="11"/>
      <c r="L835" s="11"/>
      <c r="M835" s="11"/>
      <c r="N835" s="11"/>
      <c r="O835" s="17"/>
      <c r="P835" s="17"/>
    </row>
    <row r="836" ht="13.5" customHeight="1">
      <c r="A836" s="11" t="str">
        <f t="shared" si="1"/>
        <v>TRW-RAV405FY</v>
      </c>
      <c r="B836" s="32" t="s">
        <v>1240</v>
      </c>
      <c r="C836" s="33" t="s">
        <v>1239</v>
      </c>
      <c r="D836" s="33" t="s">
        <v>62</v>
      </c>
      <c r="E836" s="11" t="s">
        <v>123</v>
      </c>
      <c r="F836" s="33" t="s">
        <v>765</v>
      </c>
      <c r="G836" s="11"/>
      <c r="H836" s="11">
        <f>SUMIFS(X!$F$3:$F$5978,X!$D$3:$D$5978,'Current Stock'!A836)</f>
        <v>0</v>
      </c>
      <c r="I836" s="11">
        <f>SUMIFS(PENJUALAN!$E$4:$E$3651,PENJUALAN!$C$4:$C$3651,'Current Stock'!A836)</f>
        <v>0</v>
      </c>
      <c r="J836" s="15">
        <f t="shared" si="2"/>
        <v>0</v>
      </c>
      <c r="K836" s="11"/>
      <c r="L836" s="11"/>
      <c r="M836" s="11"/>
      <c r="N836" s="11"/>
      <c r="O836" s="17"/>
      <c r="P836" s="17"/>
    </row>
    <row r="837" ht="13.5" customHeight="1">
      <c r="A837" s="11" t="str">
        <f t="shared" si="1"/>
        <v>FDL-RAV405FY</v>
      </c>
      <c r="B837" s="32" t="s">
        <v>1241</v>
      </c>
      <c r="C837" s="33" t="s">
        <v>1239</v>
      </c>
      <c r="D837" s="33" t="s">
        <v>140</v>
      </c>
      <c r="E837" s="11" t="s">
        <v>123</v>
      </c>
      <c r="F837" s="33"/>
      <c r="G837" s="11"/>
      <c r="H837" s="11">
        <f>SUMIFS(X!$F$3:$F$5978,X!$D$3:$D$5978,'Current Stock'!A837)</f>
        <v>0</v>
      </c>
      <c r="I837" s="11">
        <f>SUMIFS(PENJUALAN!$E$4:$E$3651,PENJUALAN!$C$4:$C$3651,'Current Stock'!A837)</f>
        <v>0</v>
      </c>
      <c r="J837" s="15">
        <f t="shared" si="2"/>
        <v>0</v>
      </c>
      <c r="K837" s="11"/>
      <c r="L837" s="11"/>
      <c r="M837" s="11"/>
      <c r="N837" s="11"/>
      <c r="O837" s="17"/>
      <c r="P837" s="17"/>
    </row>
    <row r="838" ht="13.5" customHeight="1">
      <c r="A838" s="11" t="str">
        <f t="shared" si="1"/>
        <v>FDR-RAV405FY</v>
      </c>
      <c r="B838" s="32" t="s">
        <v>1242</v>
      </c>
      <c r="C838" s="33" t="s">
        <v>1239</v>
      </c>
      <c r="D838" s="33" t="s">
        <v>142</v>
      </c>
      <c r="E838" s="11" t="s">
        <v>123</v>
      </c>
      <c r="F838" s="33"/>
      <c r="G838" s="11"/>
      <c r="H838" s="11">
        <f>SUMIFS(X!$F$3:$F$5978,X!$D$3:$D$5978,'Current Stock'!A838)</f>
        <v>0</v>
      </c>
      <c r="I838" s="11">
        <f>SUMIFS(PENJUALAN!$E$4:$E$3651,PENJUALAN!$C$4:$C$3651,'Current Stock'!A838)</f>
        <v>0</v>
      </c>
      <c r="J838" s="15">
        <f t="shared" si="2"/>
        <v>0</v>
      </c>
      <c r="K838" s="11"/>
      <c r="L838" s="11"/>
      <c r="M838" s="11"/>
      <c r="N838" s="11"/>
      <c r="O838" s="17"/>
      <c r="P838" s="17"/>
    </row>
    <row r="839" ht="13.5" customHeight="1">
      <c r="A839" s="11" t="str">
        <f t="shared" si="1"/>
        <v>RDL-RAV405FY</v>
      </c>
      <c r="B839" s="32" t="s">
        <v>1243</v>
      </c>
      <c r="C839" s="33" t="s">
        <v>1239</v>
      </c>
      <c r="D839" s="33" t="s">
        <v>144</v>
      </c>
      <c r="E839" s="11" t="s">
        <v>123</v>
      </c>
      <c r="F839" s="33"/>
      <c r="G839" s="11"/>
      <c r="H839" s="11">
        <f>SUMIFS(X!$F$3:$F$5978,X!$D$3:$D$5978,'Current Stock'!A839)</f>
        <v>0</v>
      </c>
      <c r="I839" s="11">
        <f>SUMIFS(PENJUALAN!$E$4:$E$3651,PENJUALAN!$C$4:$C$3651,'Current Stock'!A839)</f>
        <v>0</v>
      </c>
      <c r="J839" s="15">
        <f t="shared" si="2"/>
        <v>0</v>
      </c>
      <c r="K839" s="11"/>
      <c r="L839" s="11"/>
      <c r="M839" s="11"/>
      <c r="N839" s="11"/>
      <c r="O839" s="17"/>
      <c r="P839" s="17"/>
    </row>
    <row r="840" ht="13.5" customHeight="1">
      <c r="A840" s="11" t="str">
        <f t="shared" si="1"/>
        <v>RDR-RAV405FY</v>
      </c>
      <c r="B840" s="32" t="s">
        <v>1244</v>
      </c>
      <c r="C840" s="33" t="s">
        <v>1239</v>
      </c>
      <c r="D840" s="33" t="s">
        <v>146</v>
      </c>
      <c r="E840" s="11" t="s">
        <v>123</v>
      </c>
      <c r="F840" s="33"/>
      <c r="G840" s="11"/>
      <c r="H840" s="11">
        <f>SUMIFS(X!$F$3:$F$5978,X!$D$3:$D$5978,'Current Stock'!A840)</f>
        <v>0</v>
      </c>
      <c r="I840" s="11">
        <f>SUMIFS(PENJUALAN!$E$4:$E$3651,PENJUALAN!$C$4:$C$3651,'Current Stock'!A840)</f>
        <v>0</v>
      </c>
      <c r="J840" s="15">
        <f t="shared" si="2"/>
        <v>0</v>
      </c>
      <c r="K840" s="11"/>
      <c r="L840" s="11"/>
      <c r="M840" s="11"/>
      <c r="N840" s="11"/>
      <c r="O840" s="17"/>
      <c r="P840" s="17"/>
    </row>
    <row r="841" ht="13.5" customHeight="1">
      <c r="A841" s="11" t="str">
        <f t="shared" si="1"/>
        <v>RQL-RAV405FY</v>
      </c>
      <c r="B841" s="32" t="s">
        <v>1245</v>
      </c>
      <c r="C841" s="33" t="s">
        <v>1239</v>
      </c>
      <c r="D841" s="33" t="s">
        <v>209</v>
      </c>
      <c r="E841" s="11" t="s">
        <v>123</v>
      </c>
      <c r="F841" s="33" t="s">
        <v>109</v>
      </c>
      <c r="G841" s="11"/>
      <c r="H841" s="11">
        <f>SUMIFS(X!$F$3:$F$5978,X!$D$3:$D$5978,'Current Stock'!A841)</f>
        <v>0</v>
      </c>
      <c r="I841" s="11">
        <f>SUMIFS(PENJUALAN!$E$4:$E$3651,PENJUALAN!$C$4:$C$3651,'Current Stock'!A841)</f>
        <v>0</v>
      </c>
      <c r="J841" s="15">
        <f t="shared" si="2"/>
        <v>0</v>
      </c>
      <c r="K841" s="11"/>
      <c r="L841" s="11"/>
      <c r="M841" s="11"/>
      <c r="N841" s="11"/>
      <c r="O841" s="17"/>
      <c r="P841" s="17"/>
    </row>
    <row r="842" ht="13.5" customHeight="1">
      <c r="A842" s="11" t="str">
        <f t="shared" si="1"/>
        <v>RQR-RAV405FY</v>
      </c>
      <c r="B842" s="32" t="s">
        <v>1246</v>
      </c>
      <c r="C842" s="33" t="s">
        <v>1239</v>
      </c>
      <c r="D842" s="33" t="s">
        <v>243</v>
      </c>
      <c r="E842" s="11" t="s">
        <v>123</v>
      </c>
      <c r="F842" s="33" t="s">
        <v>109</v>
      </c>
      <c r="G842" s="11"/>
      <c r="H842" s="11">
        <f>SUMIFS(X!$F$3:$F$5978,X!$D$3:$D$5978,'Current Stock'!A842)</f>
        <v>0</v>
      </c>
      <c r="I842" s="11">
        <f>SUMIFS(PENJUALAN!$E$4:$E$3651,PENJUALAN!$C$4:$C$3651,'Current Stock'!A842)</f>
        <v>0</v>
      </c>
      <c r="J842" s="15">
        <f t="shared" si="2"/>
        <v>0</v>
      </c>
      <c r="K842" s="11"/>
      <c r="L842" s="11"/>
      <c r="M842" s="11"/>
      <c r="N842" s="11"/>
      <c r="O842" s="17"/>
      <c r="P842" s="17"/>
    </row>
    <row r="843" ht="13.5" customHeight="1">
      <c r="A843" s="11" t="str">
        <f t="shared" si="1"/>
        <v>LFW-TERIOS06FY</v>
      </c>
      <c r="B843" s="32" t="s">
        <v>1247</v>
      </c>
      <c r="C843" s="33" t="s">
        <v>1248</v>
      </c>
      <c r="D843" s="33" t="s">
        <v>60</v>
      </c>
      <c r="E843" s="11" t="s">
        <v>123</v>
      </c>
      <c r="F843" s="33" t="s">
        <v>109</v>
      </c>
      <c r="G843" s="11"/>
      <c r="H843" s="11">
        <f>SUMIFS(X!$F$3:$F$5978,X!$D$3:$D$5978,'Current Stock'!A843)</f>
        <v>0</v>
      </c>
      <c r="I843" s="11">
        <f>SUMIFS(PENJUALAN!$E$4:$E$3651,PENJUALAN!$C$4:$C$3651,'Current Stock'!A843)</f>
        <v>0</v>
      </c>
      <c r="J843" s="15">
        <f t="shared" si="2"/>
        <v>0</v>
      </c>
      <c r="K843" s="11"/>
      <c r="L843" s="11"/>
      <c r="M843" s="11"/>
      <c r="N843" s="11"/>
      <c r="O843" s="17"/>
      <c r="P843" s="17"/>
    </row>
    <row r="844" ht="13.5" customHeight="1">
      <c r="A844" s="11" t="str">
        <f t="shared" si="1"/>
        <v>TRW-TERIOS06HOLEFY</v>
      </c>
      <c r="B844" s="32" t="s">
        <v>1249</v>
      </c>
      <c r="C844" s="33" t="s">
        <v>1248</v>
      </c>
      <c r="D844" s="33" t="s">
        <v>62</v>
      </c>
      <c r="E844" s="11" t="s">
        <v>123</v>
      </c>
      <c r="F844" s="33" t="s">
        <v>546</v>
      </c>
      <c r="G844" s="11"/>
      <c r="H844" s="11">
        <f>SUMIFS(X!$F$3:$F$5978,X!$D$3:$D$5978,'Current Stock'!A844)</f>
        <v>0</v>
      </c>
      <c r="I844" s="11">
        <f>SUMIFS(PENJUALAN!$E$4:$E$3651,PENJUALAN!$C$4:$C$3651,'Current Stock'!A844)</f>
        <v>0</v>
      </c>
      <c r="J844" s="15">
        <f t="shared" si="2"/>
        <v>0</v>
      </c>
      <c r="K844" s="11"/>
      <c r="L844" s="11"/>
      <c r="M844" s="11"/>
      <c r="N844" s="11"/>
      <c r="O844" s="17"/>
      <c r="P844" s="17"/>
    </row>
    <row r="845" ht="13.5" customHeight="1">
      <c r="A845" s="11" t="str">
        <f t="shared" si="1"/>
        <v>TRW-TERIOS06HHOLEFY</v>
      </c>
      <c r="B845" s="32" t="s">
        <v>1250</v>
      </c>
      <c r="C845" s="33" t="s">
        <v>1248</v>
      </c>
      <c r="D845" s="33" t="s">
        <v>62</v>
      </c>
      <c r="E845" s="11" t="s">
        <v>123</v>
      </c>
      <c r="F845" s="33" t="s">
        <v>228</v>
      </c>
      <c r="G845" s="11"/>
      <c r="H845" s="11">
        <f>SUMIFS(X!$F$3:$F$5978,X!$D$3:$D$5978,'Current Stock'!A845)</f>
        <v>0</v>
      </c>
      <c r="I845" s="11">
        <f>SUMIFS(PENJUALAN!$E$4:$E$3651,PENJUALAN!$C$4:$C$3651,'Current Stock'!A845)</f>
        <v>0</v>
      </c>
      <c r="J845" s="15">
        <f t="shared" si="2"/>
        <v>0</v>
      </c>
      <c r="K845" s="11"/>
      <c r="L845" s="11"/>
      <c r="M845" s="11"/>
      <c r="N845" s="11"/>
      <c r="O845" s="17"/>
      <c r="P845" s="17"/>
    </row>
    <row r="846" ht="13.5" customHeight="1">
      <c r="A846" s="11" t="str">
        <f t="shared" si="1"/>
        <v>TRW-TERIOS06FY</v>
      </c>
      <c r="B846" s="32" t="s">
        <v>1251</v>
      </c>
      <c r="C846" s="33" t="s">
        <v>1248</v>
      </c>
      <c r="D846" s="33" t="s">
        <v>62</v>
      </c>
      <c r="E846" s="11" t="s">
        <v>123</v>
      </c>
      <c r="F846" s="33" t="s">
        <v>109</v>
      </c>
      <c r="G846" s="11"/>
      <c r="H846" s="11">
        <f>SUMIFS(X!$F$3:$F$5978,X!$D$3:$D$5978,'Current Stock'!A846)</f>
        <v>0</v>
      </c>
      <c r="I846" s="11">
        <f>SUMIFS(PENJUALAN!$E$4:$E$3651,PENJUALAN!$C$4:$C$3651,'Current Stock'!A846)</f>
        <v>0</v>
      </c>
      <c r="J846" s="15">
        <f t="shared" si="2"/>
        <v>0</v>
      </c>
      <c r="K846" s="11"/>
      <c r="L846" s="11"/>
      <c r="M846" s="11"/>
      <c r="N846" s="11"/>
      <c r="O846" s="17"/>
      <c r="P846" s="17"/>
    </row>
    <row r="847" ht="13.5" customHeight="1">
      <c r="A847" s="11" t="str">
        <f t="shared" si="1"/>
        <v>LFW-SIENTAFY</v>
      </c>
      <c r="B847" s="32" t="s">
        <v>1252</v>
      </c>
      <c r="C847" s="33" t="s">
        <v>1253</v>
      </c>
      <c r="D847" s="33" t="s">
        <v>60</v>
      </c>
      <c r="E847" s="11" t="s">
        <v>123</v>
      </c>
      <c r="F847" s="33" t="s">
        <v>137</v>
      </c>
      <c r="G847" s="11"/>
      <c r="H847" s="11">
        <f>SUMIFS(X!$F$3:$F$5978,X!$D$3:$D$5978,'Current Stock'!A847)</f>
        <v>0</v>
      </c>
      <c r="I847" s="11">
        <f>SUMIFS(PENJUALAN!$E$4:$E$3651,PENJUALAN!$C$4:$C$3651,'Current Stock'!A847)</f>
        <v>0</v>
      </c>
      <c r="J847" s="15">
        <f t="shared" si="2"/>
        <v>0</v>
      </c>
      <c r="K847" s="11"/>
      <c r="L847" s="11"/>
      <c r="M847" s="11"/>
      <c r="N847" s="11"/>
      <c r="O847" s="17"/>
      <c r="P847" s="17"/>
    </row>
    <row r="848" ht="13.5" customHeight="1">
      <c r="A848" s="11" t="str">
        <f t="shared" si="1"/>
        <v>TRW-SIENTAFY</v>
      </c>
      <c r="B848" s="32" t="s">
        <v>1254</v>
      </c>
      <c r="C848" s="33" t="s">
        <v>1253</v>
      </c>
      <c r="D848" s="33" t="s">
        <v>62</v>
      </c>
      <c r="E848" s="11" t="s">
        <v>123</v>
      </c>
      <c r="F848" s="33" t="s">
        <v>83</v>
      </c>
      <c r="G848" s="11"/>
      <c r="H848" s="11">
        <f>SUMIFS(X!$F$3:$F$5978,X!$D$3:$D$5978,'Current Stock'!A848)</f>
        <v>0</v>
      </c>
      <c r="I848" s="11">
        <f>SUMIFS(PENJUALAN!$E$4:$E$3651,PENJUALAN!$C$4:$C$3651,'Current Stock'!A848)</f>
        <v>0</v>
      </c>
      <c r="J848" s="15">
        <f t="shared" si="2"/>
        <v>0</v>
      </c>
      <c r="K848" s="11"/>
      <c r="L848" s="11"/>
      <c r="M848" s="11"/>
      <c r="N848" s="11"/>
      <c r="O848" s="17"/>
      <c r="P848" s="17"/>
    </row>
    <row r="849" ht="13.5" customHeight="1">
      <c r="A849" s="11" t="str">
        <f t="shared" si="1"/>
        <v>LFW-SOLUNAFY</v>
      </c>
      <c r="B849" s="32" t="s">
        <v>1255</v>
      </c>
      <c r="C849" s="33" t="s">
        <v>1256</v>
      </c>
      <c r="D849" s="33" t="s">
        <v>60</v>
      </c>
      <c r="E849" s="11" t="s">
        <v>123</v>
      </c>
      <c r="F849" s="33" t="s">
        <v>109</v>
      </c>
      <c r="G849" s="11"/>
      <c r="H849" s="11">
        <f>SUMIFS(X!$F$3:$F$5978,X!$D$3:$D$5978,'Current Stock'!A849)</f>
        <v>0</v>
      </c>
      <c r="I849" s="11">
        <f>SUMIFS(PENJUALAN!$E$4:$E$3651,PENJUALAN!$C$4:$C$3651,'Current Stock'!A849)</f>
        <v>0</v>
      </c>
      <c r="J849" s="15">
        <f t="shared" si="2"/>
        <v>0</v>
      </c>
      <c r="K849" s="11"/>
      <c r="L849" s="11"/>
      <c r="M849" s="11"/>
      <c r="N849" s="11"/>
      <c r="O849" s="17"/>
      <c r="P849" s="17"/>
    </row>
    <row r="850" ht="13.5" customHeight="1">
      <c r="A850" s="11" t="str">
        <f t="shared" si="1"/>
        <v>LFW-STARLETFY</v>
      </c>
      <c r="B850" s="32" t="s">
        <v>1257</v>
      </c>
      <c r="C850" s="33" t="s">
        <v>1258</v>
      </c>
      <c r="D850" s="33" t="s">
        <v>60</v>
      </c>
      <c r="E850" s="11" t="s">
        <v>123</v>
      </c>
      <c r="F850" s="33" t="s">
        <v>109</v>
      </c>
      <c r="G850" s="11"/>
      <c r="H850" s="11">
        <f>SUMIFS(X!$F$3:$F$5978,X!$D$3:$D$5978,'Current Stock'!A850)</f>
        <v>0</v>
      </c>
      <c r="I850" s="11">
        <f>SUMIFS(PENJUALAN!$E$4:$E$3651,PENJUALAN!$C$4:$C$3651,'Current Stock'!A850)</f>
        <v>0</v>
      </c>
      <c r="J850" s="15">
        <f t="shared" si="2"/>
        <v>0</v>
      </c>
      <c r="K850" s="11"/>
      <c r="L850" s="11"/>
      <c r="M850" s="11"/>
      <c r="N850" s="11"/>
      <c r="O850" s="17"/>
      <c r="P850" s="17"/>
    </row>
    <row r="851" ht="13.5" customHeight="1">
      <c r="A851" s="11" t="str">
        <f t="shared" si="1"/>
        <v>TRW-STARLETFY</v>
      </c>
      <c r="B851" s="32" t="s">
        <v>1259</v>
      </c>
      <c r="C851" s="33" t="s">
        <v>1258</v>
      </c>
      <c r="D851" s="33" t="s">
        <v>62</v>
      </c>
      <c r="E851" s="11" t="s">
        <v>123</v>
      </c>
      <c r="F851" s="33" t="s">
        <v>83</v>
      </c>
      <c r="G851" s="11"/>
      <c r="H851" s="11">
        <f>SUMIFS(X!$F$3:$F$5978,X!$D$3:$D$5978,'Current Stock'!A851)</f>
        <v>0</v>
      </c>
      <c r="I851" s="11">
        <f>SUMIFS(PENJUALAN!$E$4:$E$3651,PENJUALAN!$C$4:$C$3651,'Current Stock'!A851)</f>
        <v>0</v>
      </c>
      <c r="J851" s="15">
        <f t="shared" si="2"/>
        <v>0</v>
      </c>
      <c r="K851" s="11"/>
      <c r="L851" s="11"/>
      <c r="M851" s="11"/>
      <c r="N851" s="11"/>
      <c r="O851" s="17"/>
      <c r="P851" s="17"/>
    </row>
    <row r="852" ht="13.5" customHeight="1">
      <c r="A852" s="11" t="str">
        <f t="shared" si="1"/>
        <v>RDL-STARLETFY</v>
      </c>
      <c r="B852" s="32" t="s">
        <v>1260</v>
      </c>
      <c r="C852" s="33" t="s">
        <v>1258</v>
      </c>
      <c r="D852" s="33" t="s">
        <v>144</v>
      </c>
      <c r="E852" s="11" t="s">
        <v>123</v>
      </c>
      <c r="F852" s="33"/>
      <c r="G852" s="11"/>
      <c r="H852" s="11">
        <f>SUMIFS(X!$F$3:$F$5978,X!$D$3:$D$5978,'Current Stock'!A852)</f>
        <v>0</v>
      </c>
      <c r="I852" s="11">
        <f>SUMIFS(PENJUALAN!$E$4:$E$3651,PENJUALAN!$C$4:$C$3651,'Current Stock'!A852)</f>
        <v>0</v>
      </c>
      <c r="J852" s="15">
        <f t="shared" si="2"/>
        <v>0</v>
      </c>
      <c r="K852" s="11"/>
      <c r="L852" s="11"/>
      <c r="M852" s="11"/>
      <c r="N852" s="11"/>
      <c r="O852" s="17"/>
      <c r="P852" s="17"/>
    </row>
    <row r="853" ht="13.5" customHeight="1">
      <c r="A853" s="11" t="str">
        <f t="shared" si="1"/>
        <v>RDR-STARLETFY</v>
      </c>
      <c r="B853" s="32" t="s">
        <v>1261</v>
      </c>
      <c r="C853" s="33" t="s">
        <v>1258</v>
      </c>
      <c r="D853" s="33" t="s">
        <v>146</v>
      </c>
      <c r="E853" s="11" t="s">
        <v>123</v>
      </c>
      <c r="F853" s="33"/>
      <c r="G853" s="11"/>
      <c r="H853" s="11">
        <f>SUMIFS(X!$F$3:$F$5978,X!$D$3:$D$5978,'Current Stock'!A853)</f>
        <v>0</v>
      </c>
      <c r="I853" s="11">
        <f>SUMIFS(PENJUALAN!$E$4:$E$3651,PENJUALAN!$C$4:$C$3651,'Current Stock'!A853)</f>
        <v>0</v>
      </c>
      <c r="J853" s="15">
        <f t="shared" si="2"/>
        <v>0</v>
      </c>
      <c r="K853" s="11"/>
      <c r="L853" s="11"/>
      <c r="M853" s="11"/>
      <c r="N853" s="11"/>
      <c r="O853" s="17"/>
      <c r="P853" s="17"/>
    </row>
    <row r="854" ht="13.5" customHeight="1">
      <c r="A854" s="11" t="str">
        <f t="shared" si="1"/>
        <v>TRW-VIOS02FY</v>
      </c>
      <c r="B854" s="32" t="s">
        <v>1262</v>
      </c>
      <c r="C854" s="33" t="s">
        <v>1263</v>
      </c>
      <c r="D854" s="33" t="s">
        <v>62</v>
      </c>
      <c r="E854" s="11" t="s">
        <v>123</v>
      </c>
      <c r="F854" s="33" t="s">
        <v>83</v>
      </c>
      <c r="G854" s="11"/>
      <c r="H854" s="11">
        <f>SUMIFS(X!$F$3:$F$5978,X!$D$3:$D$5978,'Current Stock'!A854)</f>
        <v>0</v>
      </c>
      <c r="I854" s="11">
        <f>SUMIFS(PENJUALAN!$E$4:$E$3651,PENJUALAN!$C$4:$C$3651,'Current Stock'!A854)</f>
        <v>0</v>
      </c>
      <c r="J854" s="15">
        <f t="shared" si="2"/>
        <v>0</v>
      </c>
      <c r="K854" s="11"/>
      <c r="L854" s="11"/>
      <c r="M854" s="11"/>
      <c r="N854" s="11"/>
      <c r="O854" s="17"/>
      <c r="P854" s="17"/>
    </row>
    <row r="855" ht="13.5" customHeight="1">
      <c r="A855" s="11" t="str">
        <f t="shared" si="1"/>
        <v>RDL-VIOS02FY</v>
      </c>
      <c r="B855" s="32" t="s">
        <v>1264</v>
      </c>
      <c r="C855" s="33" t="s">
        <v>1263</v>
      </c>
      <c r="D855" s="33" t="s">
        <v>144</v>
      </c>
      <c r="E855" s="11" t="s">
        <v>123</v>
      </c>
      <c r="F855" s="33"/>
      <c r="G855" s="11"/>
      <c r="H855" s="11">
        <f>SUMIFS(X!$F$3:$F$5978,X!$D$3:$D$5978,'Current Stock'!A855)</f>
        <v>0</v>
      </c>
      <c r="I855" s="11">
        <f>SUMIFS(PENJUALAN!$E$4:$E$3651,PENJUALAN!$C$4:$C$3651,'Current Stock'!A855)</f>
        <v>0</v>
      </c>
      <c r="J855" s="15">
        <f t="shared" si="2"/>
        <v>0</v>
      </c>
      <c r="K855" s="11"/>
      <c r="L855" s="11"/>
      <c r="M855" s="11"/>
      <c r="N855" s="11"/>
      <c r="O855" s="17"/>
      <c r="P855" s="17"/>
    </row>
    <row r="856" ht="13.5" customHeight="1">
      <c r="A856" s="11" t="str">
        <f t="shared" si="1"/>
        <v>RDR-VIOS02FY</v>
      </c>
      <c r="B856" s="32" t="s">
        <v>1265</v>
      </c>
      <c r="C856" s="33" t="s">
        <v>1263</v>
      </c>
      <c r="D856" s="33" t="s">
        <v>146</v>
      </c>
      <c r="E856" s="11" t="s">
        <v>123</v>
      </c>
      <c r="F856" s="33"/>
      <c r="G856" s="11"/>
      <c r="H856" s="11">
        <f>SUMIFS(X!$F$3:$F$5978,X!$D$3:$D$5978,'Current Stock'!A856)</f>
        <v>0</v>
      </c>
      <c r="I856" s="11">
        <f>SUMIFS(PENJUALAN!$E$4:$E$3651,PENJUALAN!$C$4:$C$3651,'Current Stock'!A856)</f>
        <v>0</v>
      </c>
      <c r="J856" s="15">
        <f t="shared" si="2"/>
        <v>0</v>
      </c>
      <c r="K856" s="11"/>
      <c r="L856" s="11"/>
      <c r="M856" s="11"/>
      <c r="N856" s="11"/>
      <c r="O856" s="17"/>
      <c r="P856" s="17"/>
    </row>
    <row r="857" ht="13.5" customHeight="1">
      <c r="A857" s="11" t="str">
        <f t="shared" si="1"/>
        <v>LFW-VIOS07FY</v>
      </c>
      <c r="B857" s="32" t="s">
        <v>1266</v>
      </c>
      <c r="C857" s="33" t="s">
        <v>1267</v>
      </c>
      <c r="D857" s="33" t="s">
        <v>60</v>
      </c>
      <c r="E857" s="11" t="s">
        <v>123</v>
      </c>
      <c r="F857" s="33" t="s">
        <v>137</v>
      </c>
      <c r="G857" s="11"/>
      <c r="H857" s="11">
        <f>SUMIFS(X!$F$3:$F$5978,X!$D$3:$D$5978,'Current Stock'!A857)</f>
        <v>0</v>
      </c>
      <c r="I857" s="11">
        <f>SUMIFS(PENJUALAN!$E$4:$E$3651,PENJUALAN!$C$4:$C$3651,'Current Stock'!A857)</f>
        <v>0</v>
      </c>
      <c r="J857" s="15">
        <f t="shared" si="2"/>
        <v>0</v>
      </c>
      <c r="K857" s="11"/>
      <c r="L857" s="11"/>
      <c r="M857" s="11"/>
      <c r="N857" s="11"/>
      <c r="O857" s="17"/>
      <c r="P857" s="17"/>
    </row>
    <row r="858" ht="13.5" customHeight="1">
      <c r="A858" s="11" t="str">
        <f t="shared" si="1"/>
        <v>TRW-VIOS07AFY</v>
      </c>
      <c r="B858" s="32" t="s">
        <v>1268</v>
      </c>
      <c r="C858" s="33" t="s">
        <v>1267</v>
      </c>
      <c r="D858" s="33" t="s">
        <v>62</v>
      </c>
      <c r="E858" s="11" t="s">
        <v>123</v>
      </c>
      <c r="F858" s="33" t="s">
        <v>126</v>
      </c>
      <c r="G858" s="11"/>
      <c r="H858" s="11">
        <f>SUMIFS(X!$F$3:$F$5978,X!$D$3:$D$5978,'Current Stock'!A858)</f>
        <v>0</v>
      </c>
      <c r="I858" s="11">
        <f>SUMIFS(PENJUALAN!$E$4:$E$3651,PENJUALAN!$C$4:$C$3651,'Current Stock'!A858)</f>
        <v>0</v>
      </c>
      <c r="J858" s="15">
        <f t="shared" si="2"/>
        <v>0</v>
      </c>
      <c r="K858" s="11"/>
      <c r="L858" s="11"/>
      <c r="M858" s="11"/>
      <c r="N858" s="11"/>
      <c r="O858" s="17"/>
      <c r="P858" s="17"/>
    </row>
    <row r="859" ht="13.5" customHeight="1">
      <c r="A859" s="11" t="str">
        <f t="shared" si="1"/>
        <v>TRW-VIOS07FY</v>
      </c>
      <c r="B859" s="32" t="s">
        <v>1269</v>
      </c>
      <c r="C859" s="33" t="s">
        <v>1267</v>
      </c>
      <c r="D859" s="33" t="s">
        <v>62</v>
      </c>
      <c r="E859" s="11" t="s">
        <v>123</v>
      </c>
      <c r="F859" s="33" t="s">
        <v>83</v>
      </c>
      <c r="G859" s="11"/>
      <c r="H859" s="11">
        <f>SUMIFS(X!$F$3:$F$5978,X!$D$3:$D$5978,'Current Stock'!A859)</f>
        <v>0</v>
      </c>
      <c r="I859" s="11">
        <f>SUMIFS(PENJUALAN!$E$4:$E$3651,PENJUALAN!$C$4:$C$3651,'Current Stock'!A859)</f>
        <v>0</v>
      </c>
      <c r="J859" s="15">
        <f t="shared" si="2"/>
        <v>0</v>
      </c>
      <c r="K859" s="11"/>
      <c r="L859" s="11"/>
      <c r="M859" s="11"/>
      <c r="N859" s="11"/>
      <c r="O859" s="17"/>
      <c r="P859" s="17"/>
    </row>
    <row r="860" ht="13.5" customHeight="1">
      <c r="A860" s="11" t="str">
        <f t="shared" si="1"/>
        <v>RDL-VIOS07FY</v>
      </c>
      <c r="B860" s="32" t="s">
        <v>1270</v>
      </c>
      <c r="C860" s="33" t="s">
        <v>1267</v>
      </c>
      <c r="D860" s="33" t="s">
        <v>144</v>
      </c>
      <c r="E860" s="11" t="s">
        <v>123</v>
      </c>
      <c r="F860" s="33"/>
      <c r="G860" s="11"/>
      <c r="H860" s="11">
        <f>SUMIFS(X!$F$3:$F$5978,X!$D$3:$D$5978,'Current Stock'!A860)</f>
        <v>0</v>
      </c>
      <c r="I860" s="11">
        <f>SUMIFS(PENJUALAN!$E$4:$E$3651,PENJUALAN!$C$4:$C$3651,'Current Stock'!A860)</f>
        <v>0</v>
      </c>
      <c r="J860" s="15">
        <f t="shared" si="2"/>
        <v>0</v>
      </c>
      <c r="K860" s="11"/>
      <c r="L860" s="11"/>
      <c r="M860" s="11"/>
      <c r="N860" s="11"/>
      <c r="O860" s="17"/>
      <c r="P860" s="17"/>
    </row>
    <row r="861" ht="13.5" customHeight="1">
      <c r="A861" s="11" t="str">
        <f t="shared" si="1"/>
        <v>RDR-VIOS07FY</v>
      </c>
      <c r="B861" s="32" t="s">
        <v>1271</v>
      </c>
      <c r="C861" s="33" t="s">
        <v>1267</v>
      </c>
      <c r="D861" s="33" t="s">
        <v>146</v>
      </c>
      <c r="E861" s="11" t="s">
        <v>123</v>
      </c>
      <c r="F861" s="33"/>
      <c r="G861" s="11"/>
      <c r="H861" s="11">
        <f>SUMIFS(X!$F$3:$F$5978,X!$D$3:$D$5978,'Current Stock'!A861)</f>
        <v>0</v>
      </c>
      <c r="I861" s="11">
        <f>SUMIFS(PENJUALAN!$E$4:$E$3651,PENJUALAN!$C$4:$C$3651,'Current Stock'!A861)</f>
        <v>0</v>
      </c>
      <c r="J861" s="15">
        <f t="shared" si="2"/>
        <v>0</v>
      </c>
      <c r="K861" s="11"/>
      <c r="L861" s="11"/>
      <c r="M861" s="11"/>
      <c r="N861" s="11"/>
      <c r="O861" s="17"/>
      <c r="P861" s="17"/>
    </row>
    <row r="862" ht="13.5" customHeight="1">
      <c r="A862" s="11" t="str">
        <f t="shared" si="1"/>
        <v>RVL-VIOS07FY</v>
      </c>
      <c r="B862" s="32" t="s">
        <v>1272</v>
      </c>
      <c r="C862" s="33" t="s">
        <v>1267</v>
      </c>
      <c r="D862" s="33" t="s">
        <v>396</v>
      </c>
      <c r="E862" s="11" t="s">
        <v>123</v>
      </c>
      <c r="F862" s="33"/>
      <c r="G862" s="11"/>
      <c r="H862" s="11">
        <f>SUMIFS(X!$F$3:$F$5978,X!$D$3:$D$5978,'Current Stock'!A862)</f>
        <v>0</v>
      </c>
      <c r="I862" s="11">
        <f>SUMIFS(PENJUALAN!$E$4:$E$3651,PENJUALAN!$C$4:$C$3651,'Current Stock'!A862)</f>
        <v>0</v>
      </c>
      <c r="J862" s="15">
        <f t="shared" si="2"/>
        <v>0</v>
      </c>
      <c r="K862" s="11"/>
      <c r="L862" s="11"/>
      <c r="M862" s="11"/>
      <c r="N862" s="11"/>
      <c r="O862" s="17"/>
      <c r="P862" s="17"/>
    </row>
    <row r="863" ht="13.5" customHeight="1">
      <c r="A863" s="11" t="str">
        <f t="shared" si="1"/>
        <v>LFW-VOXY17FY</v>
      </c>
      <c r="B863" s="32" t="s">
        <v>1273</v>
      </c>
      <c r="C863" s="33" t="s">
        <v>1274</v>
      </c>
      <c r="D863" s="33" t="s">
        <v>60</v>
      </c>
      <c r="E863" s="11" t="s">
        <v>123</v>
      </c>
      <c r="F863" s="33" t="s">
        <v>137</v>
      </c>
      <c r="G863" s="11"/>
      <c r="H863" s="11">
        <f>SUMIFS(X!$F$3:$F$5978,X!$D$3:$D$5978,'Current Stock'!A863)</f>
        <v>0</v>
      </c>
      <c r="I863" s="11">
        <f>SUMIFS(PENJUALAN!$E$4:$E$3651,PENJUALAN!$C$4:$C$3651,'Current Stock'!A863)</f>
        <v>0</v>
      </c>
      <c r="J863" s="15">
        <f t="shared" si="2"/>
        <v>0</v>
      </c>
      <c r="K863" s="11"/>
      <c r="L863" s="11"/>
      <c r="M863" s="11"/>
      <c r="N863" s="11"/>
      <c r="O863" s="17"/>
      <c r="P863" s="17"/>
    </row>
    <row r="864" ht="13.5" customHeight="1">
      <c r="A864" s="11" t="str">
        <f t="shared" si="1"/>
        <v>TRW-VOXYFY</v>
      </c>
      <c r="B864" s="32" t="s">
        <v>1275</v>
      </c>
      <c r="C864" s="33" t="s">
        <v>1276</v>
      </c>
      <c r="D864" s="33" t="s">
        <v>62</v>
      </c>
      <c r="E864" s="11" t="s">
        <v>123</v>
      </c>
      <c r="F864" s="33" t="s">
        <v>228</v>
      </c>
      <c r="G864" s="11"/>
      <c r="H864" s="11">
        <f>SUMIFS(X!$F$3:$F$5978,X!$D$3:$D$5978,'Current Stock'!A864)</f>
        <v>0</v>
      </c>
      <c r="I864" s="11">
        <f>SUMIFS(PENJUALAN!$E$4:$E$3651,PENJUALAN!$C$4:$C$3651,'Current Stock'!A864)</f>
        <v>0</v>
      </c>
      <c r="J864" s="15">
        <f t="shared" si="2"/>
        <v>0</v>
      </c>
      <c r="K864" s="11"/>
      <c r="L864" s="11"/>
      <c r="M864" s="11"/>
      <c r="N864" s="11"/>
      <c r="O864" s="17"/>
      <c r="P864" s="17"/>
    </row>
    <row r="865" ht="13.5" customHeight="1">
      <c r="A865" s="11" t="str">
        <f t="shared" si="1"/>
        <v>LFW-WISHFY</v>
      </c>
      <c r="B865" s="32" t="s">
        <v>1277</v>
      </c>
      <c r="C865" s="33" t="s">
        <v>1278</v>
      </c>
      <c r="D865" s="33" t="s">
        <v>60</v>
      </c>
      <c r="E865" s="11" t="s">
        <v>123</v>
      </c>
      <c r="F865" s="33" t="s">
        <v>137</v>
      </c>
      <c r="G865" s="11"/>
      <c r="H865" s="11">
        <f>SUMIFS(X!$F$3:$F$5978,X!$D$3:$D$5978,'Current Stock'!A865)</f>
        <v>0</v>
      </c>
      <c r="I865" s="11">
        <f>SUMIFS(PENJUALAN!$E$4:$E$3651,PENJUALAN!$C$4:$C$3651,'Current Stock'!A865)</f>
        <v>0</v>
      </c>
      <c r="J865" s="15">
        <f t="shared" si="2"/>
        <v>0</v>
      </c>
      <c r="K865" s="11"/>
      <c r="L865" s="11"/>
      <c r="M865" s="11"/>
      <c r="N865" s="11"/>
      <c r="O865" s="17"/>
      <c r="P865" s="17"/>
    </row>
    <row r="866" ht="13.5" customHeight="1">
      <c r="A866" s="11" t="str">
        <f t="shared" si="1"/>
        <v>TRW-WISHFY</v>
      </c>
      <c r="B866" s="32" t="s">
        <v>1279</v>
      </c>
      <c r="C866" s="33" t="s">
        <v>1278</v>
      </c>
      <c r="D866" s="33" t="s">
        <v>62</v>
      </c>
      <c r="E866" s="11" t="s">
        <v>123</v>
      </c>
      <c r="F866" s="33" t="s">
        <v>228</v>
      </c>
      <c r="G866" s="11"/>
      <c r="H866" s="11">
        <f>SUMIFS(X!$F$3:$F$5978,X!$D$3:$D$5978,'Current Stock'!A866)</f>
        <v>0</v>
      </c>
      <c r="I866" s="11">
        <f>SUMIFS(PENJUALAN!$E$4:$E$3651,PENJUALAN!$C$4:$C$3651,'Current Stock'!A866)</f>
        <v>0</v>
      </c>
      <c r="J866" s="15">
        <f t="shared" si="2"/>
        <v>0</v>
      </c>
      <c r="K866" s="11"/>
      <c r="L866" s="11"/>
      <c r="M866" s="11"/>
      <c r="N866" s="11"/>
      <c r="O866" s="17"/>
      <c r="P866" s="17"/>
    </row>
    <row r="867" ht="13.5" customHeight="1">
      <c r="A867" s="11" t="str">
        <f t="shared" si="1"/>
        <v>LFW-YARIS05FY</v>
      </c>
      <c r="B867" s="32" t="s">
        <v>1280</v>
      </c>
      <c r="C867" s="33" t="s">
        <v>1281</v>
      </c>
      <c r="D867" s="33" t="s">
        <v>60</v>
      </c>
      <c r="E867" s="11" t="s">
        <v>123</v>
      </c>
      <c r="F867" s="33" t="s">
        <v>137</v>
      </c>
      <c r="G867" s="11"/>
      <c r="H867" s="11">
        <f>SUMIFS(X!$F$3:$F$5978,X!$D$3:$D$5978,'Current Stock'!A867)</f>
        <v>0</v>
      </c>
      <c r="I867" s="11">
        <f>SUMIFS(PENJUALAN!$E$4:$E$3651,PENJUALAN!$C$4:$C$3651,'Current Stock'!A867)</f>
        <v>0</v>
      </c>
      <c r="J867" s="15">
        <f t="shared" si="2"/>
        <v>0</v>
      </c>
      <c r="K867" s="11"/>
      <c r="L867" s="11"/>
      <c r="M867" s="11"/>
      <c r="N867" s="11"/>
      <c r="O867" s="17"/>
      <c r="P867" s="17"/>
    </row>
    <row r="868" ht="13.5" customHeight="1">
      <c r="A868" s="11" t="str">
        <f t="shared" si="1"/>
        <v>TRW-YARIS05FY</v>
      </c>
      <c r="B868" s="32" t="s">
        <v>1282</v>
      </c>
      <c r="C868" s="33" t="s">
        <v>1281</v>
      </c>
      <c r="D868" s="33" t="s">
        <v>62</v>
      </c>
      <c r="E868" s="11" t="s">
        <v>123</v>
      </c>
      <c r="F868" s="33" t="s">
        <v>83</v>
      </c>
      <c r="G868" s="11"/>
      <c r="H868" s="11">
        <f>SUMIFS(X!$F$3:$F$5978,X!$D$3:$D$5978,'Current Stock'!A868)</f>
        <v>0</v>
      </c>
      <c r="I868" s="11">
        <f>SUMIFS(PENJUALAN!$E$4:$E$3651,PENJUALAN!$C$4:$C$3651,'Current Stock'!A868)</f>
        <v>0</v>
      </c>
      <c r="J868" s="15">
        <f t="shared" si="2"/>
        <v>0</v>
      </c>
      <c r="K868" s="11"/>
      <c r="L868" s="11"/>
      <c r="M868" s="11"/>
      <c r="N868" s="11"/>
      <c r="O868" s="17"/>
      <c r="P868" s="17"/>
    </row>
    <row r="869" ht="13.5" customHeight="1">
      <c r="A869" s="11" t="str">
        <f t="shared" si="1"/>
        <v>LFW-VIOS13FY</v>
      </c>
      <c r="B869" s="32" t="s">
        <v>1283</v>
      </c>
      <c r="C869" s="33" t="s">
        <v>1284</v>
      </c>
      <c r="D869" s="33" t="s">
        <v>60</v>
      </c>
      <c r="E869" s="11" t="s">
        <v>123</v>
      </c>
      <c r="F869" s="33" t="s">
        <v>137</v>
      </c>
      <c r="G869" s="11"/>
      <c r="H869" s="11">
        <f>SUMIFS(X!$F$3:$F$5978,X!$D$3:$D$5978,'Current Stock'!A869)</f>
        <v>0</v>
      </c>
      <c r="I869" s="11">
        <f>SUMIFS(PENJUALAN!$E$4:$E$3651,PENJUALAN!$C$4:$C$3651,'Current Stock'!A869)</f>
        <v>0</v>
      </c>
      <c r="J869" s="15">
        <f t="shared" si="2"/>
        <v>0</v>
      </c>
      <c r="K869" s="11"/>
      <c r="L869" s="11"/>
      <c r="M869" s="11"/>
      <c r="N869" s="11"/>
      <c r="O869" s="17"/>
      <c r="P869" s="17"/>
    </row>
    <row r="870" ht="13.5" customHeight="1">
      <c r="A870" s="11" t="str">
        <f t="shared" si="1"/>
        <v>LFW-T5FY</v>
      </c>
      <c r="B870" s="32" t="s">
        <v>1285</v>
      </c>
      <c r="C870" s="33" t="s">
        <v>1286</v>
      </c>
      <c r="D870" s="33" t="s">
        <v>60</v>
      </c>
      <c r="E870" s="11" t="s">
        <v>123</v>
      </c>
      <c r="F870" s="33" t="s">
        <v>137</v>
      </c>
      <c r="G870" s="11"/>
      <c r="H870" s="11">
        <f>SUMIFS(X!$F$3:$F$5978,X!$D$3:$D$5978,'Current Stock'!A870)</f>
        <v>0</v>
      </c>
      <c r="I870" s="11">
        <f>SUMIFS(PENJUALAN!$E$4:$E$3651,PENJUALAN!$C$4:$C$3651,'Current Stock'!A870)</f>
        <v>0</v>
      </c>
      <c r="J870" s="15">
        <f t="shared" si="2"/>
        <v>0</v>
      </c>
      <c r="K870" s="11"/>
      <c r="L870" s="11"/>
      <c r="M870" s="11"/>
      <c r="N870" s="11"/>
      <c r="O870" s="17"/>
      <c r="P870" s="17"/>
    </row>
    <row r="871" ht="13.5" customHeight="1">
      <c r="A871" s="11" t="str">
        <f t="shared" si="1"/>
        <v>TRW-T5FY</v>
      </c>
      <c r="B871" s="32" t="s">
        <v>1287</v>
      </c>
      <c r="C871" s="33" t="s">
        <v>1286</v>
      </c>
      <c r="D871" s="33" t="s">
        <v>62</v>
      </c>
      <c r="E871" s="11" t="s">
        <v>123</v>
      </c>
      <c r="F871" s="33" t="s">
        <v>228</v>
      </c>
      <c r="G871" s="11"/>
      <c r="H871" s="11">
        <f>SUMIFS(X!$F$3:$F$5978,X!$D$3:$D$5978,'Current Stock'!A871)</f>
        <v>0</v>
      </c>
      <c r="I871" s="11">
        <f>SUMIFS(PENJUALAN!$E$4:$E$3651,PENJUALAN!$C$4:$C$3651,'Current Stock'!A871)</f>
        <v>0</v>
      </c>
      <c r="J871" s="15">
        <f t="shared" si="2"/>
        <v>0</v>
      </c>
      <c r="K871" s="11"/>
      <c r="L871" s="11"/>
      <c r="M871" s="11"/>
      <c r="N871" s="11"/>
      <c r="O871" s="17"/>
      <c r="P871" s="17"/>
    </row>
    <row r="872" ht="13.5" customHeight="1">
      <c r="A872" s="11" t="str">
        <f t="shared" si="1"/>
        <v>TRW-MK5FY</v>
      </c>
      <c r="B872" s="32" t="s">
        <v>1288</v>
      </c>
      <c r="C872" s="33" t="s">
        <v>1289</v>
      </c>
      <c r="D872" s="33" t="s">
        <v>62</v>
      </c>
      <c r="E872" s="11" t="s">
        <v>123</v>
      </c>
      <c r="F872" s="33" t="s">
        <v>670</v>
      </c>
      <c r="G872" s="11"/>
      <c r="H872" s="11">
        <f>SUMIFS(X!$F$3:$F$5978,X!$D$3:$D$5978,'Current Stock'!A872)</f>
        <v>0</v>
      </c>
      <c r="I872" s="11">
        <f>SUMIFS(PENJUALAN!$E$4:$E$3651,PENJUALAN!$C$4:$C$3651,'Current Stock'!A872)</f>
        <v>0</v>
      </c>
      <c r="J872" s="15">
        <f t="shared" si="2"/>
        <v>0</v>
      </c>
      <c r="K872" s="11"/>
      <c r="L872" s="11"/>
      <c r="M872" s="11"/>
      <c r="N872" s="11"/>
      <c r="O872" s="17"/>
      <c r="P872" s="17"/>
    </row>
    <row r="873" ht="13.5" customHeight="1">
      <c r="A873" s="11" t="str">
        <f t="shared" si="1"/>
        <v>LFW-GOLFMK6FY</v>
      </c>
      <c r="B873" s="32" t="s">
        <v>1290</v>
      </c>
      <c r="C873" s="33" t="s">
        <v>1291</v>
      </c>
      <c r="D873" s="33" t="s">
        <v>60</v>
      </c>
      <c r="E873" s="11" t="s">
        <v>123</v>
      </c>
      <c r="F873" s="33" t="s">
        <v>124</v>
      </c>
      <c r="G873" s="11"/>
      <c r="H873" s="11">
        <f>SUMIFS(X!$F$3:$F$5978,X!$D$3:$D$5978,'Current Stock'!A873)</f>
        <v>0</v>
      </c>
      <c r="I873" s="11">
        <f>SUMIFS(PENJUALAN!$E$4:$E$3651,PENJUALAN!$C$4:$C$3651,'Current Stock'!A873)</f>
        <v>0</v>
      </c>
      <c r="J873" s="15">
        <f t="shared" si="2"/>
        <v>0</v>
      </c>
      <c r="K873" s="11"/>
      <c r="L873" s="11"/>
      <c r="M873" s="11"/>
      <c r="N873" s="11"/>
      <c r="O873" s="17"/>
      <c r="P873" s="17"/>
    </row>
    <row r="874" ht="13.5" customHeight="1">
      <c r="A874" s="11" t="str">
        <f t="shared" si="1"/>
        <v>TRW-MK6FY</v>
      </c>
      <c r="B874" s="32" t="s">
        <v>1292</v>
      </c>
      <c r="C874" s="33" t="s">
        <v>1291</v>
      </c>
      <c r="D874" s="33" t="s">
        <v>62</v>
      </c>
      <c r="E874" s="11" t="s">
        <v>123</v>
      </c>
      <c r="F874" s="33" t="s">
        <v>670</v>
      </c>
      <c r="G874" s="11"/>
      <c r="H874" s="11">
        <f>SUMIFS(X!$F$3:$F$5978,X!$D$3:$D$5978,'Current Stock'!A874)</f>
        <v>0</v>
      </c>
      <c r="I874" s="11">
        <f>SUMIFS(PENJUALAN!$E$4:$E$3651,PENJUALAN!$C$4:$C$3651,'Current Stock'!A874)</f>
        <v>0</v>
      </c>
      <c r="J874" s="15">
        <f t="shared" si="2"/>
        <v>0</v>
      </c>
      <c r="K874" s="11"/>
      <c r="L874" s="11"/>
      <c r="M874" s="11"/>
      <c r="N874" s="11"/>
      <c r="O874" s="17"/>
      <c r="P874" s="17"/>
    </row>
    <row r="875" ht="13.5" customHeight="1">
      <c r="A875" s="11" t="str">
        <f t="shared" si="1"/>
        <v>LFW-MK7FY</v>
      </c>
      <c r="B875" s="32" t="s">
        <v>1293</v>
      </c>
      <c r="C875" s="33" t="s">
        <v>1294</v>
      </c>
      <c r="D875" s="33" t="s">
        <v>60</v>
      </c>
      <c r="E875" s="11" t="s">
        <v>123</v>
      </c>
      <c r="F875" s="33" t="s">
        <v>124</v>
      </c>
      <c r="G875" s="11"/>
      <c r="H875" s="11">
        <f>SUMIFS(X!$F$3:$F$5978,X!$D$3:$D$5978,'Current Stock'!A875)</f>
        <v>0</v>
      </c>
      <c r="I875" s="11">
        <f>SUMIFS(PENJUALAN!$E$4:$E$3651,PENJUALAN!$C$4:$C$3651,'Current Stock'!A875)</f>
        <v>0</v>
      </c>
      <c r="J875" s="15">
        <f t="shared" si="2"/>
        <v>0</v>
      </c>
      <c r="K875" s="11"/>
      <c r="L875" s="11"/>
      <c r="M875" s="11"/>
      <c r="N875" s="11"/>
      <c r="O875" s="17"/>
      <c r="P875" s="17"/>
    </row>
    <row r="876" ht="13.5" customHeight="1">
      <c r="A876" s="11" t="str">
        <f t="shared" si="1"/>
        <v>LFW-NEWBEETLEFY</v>
      </c>
      <c r="B876" s="32" t="s">
        <v>1295</v>
      </c>
      <c r="C876" s="33" t="s">
        <v>1296</v>
      </c>
      <c r="D876" s="33" t="s">
        <v>60</v>
      </c>
      <c r="E876" s="11" t="s">
        <v>123</v>
      </c>
      <c r="F876" s="33" t="s">
        <v>124</v>
      </c>
      <c r="G876" s="11"/>
      <c r="H876" s="11">
        <f>SUMIFS(X!$F$3:$F$5978,X!$D$3:$D$5978,'Current Stock'!A876)</f>
        <v>0</v>
      </c>
      <c r="I876" s="11">
        <f>SUMIFS(PENJUALAN!$E$4:$E$3651,PENJUALAN!$C$4:$C$3651,'Current Stock'!A876)</f>
        <v>0</v>
      </c>
      <c r="J876" s="15">
        <f t="shared" si="2"/>
        <v>0</v>
      </c>
      <c r="K876" s="11"/>
      <c r="L876" s="11"/>
      <c r="M876" s="11"/>
      <c r="N876" s="11"/>
      <c r="O876" s="17"/>
      <c r="P876" s="17"/>
    </row>
    <row r="877" ht="13.5" customHeight="1">
      <c r="A877" s="11" t="str">
        <f t="shared" si="1"/>
        <v>LFW-POLO09RSFY</v>
      </c>
      <c r="B877" s="32" t="s">
        <v>1297</v>
      </c>
      <c r="C877" s="33" t="s">
        <v>1298</v>
      </c>
      <c r="D877" s="33" t="s">
        <v>60</v>
      </c>
      <c r="E877" s="11" t="s">
        <v>123</v>
      </c>
      <c r="F877" s="33" t="s">
        <v>124</v>
      </c>
      <c r="G877" s="11"/>
      <c r="H877" s="11">
        <f>SUMIFS(X!$F$3:$F$5978,X!$D$3:$D$5978,'Current Stock'!A877)</f>
        <v>0</v>
      </c>
      <c r="I877" s="11">
        <f>SUMIFS(PENJUALAN!$E$4:$E$3651,PENJUALAN!$C$4:$C$3651,'Current Stock'!A877)</f>
        <v>0</v>
      </c>
      <c r="J877" s="15">
        <f t="shared" si="2"/>
        <v>0</v>
      </c>
      <c r="K877" s="11"/>
      <c r="L877" s="11"/>
      <c r="M877" s="11"/>
      <c r="N877" s="11"/>
      <c r="O877" s="17"/>
      <c r="P877" s="17"/>
    </row>
    <row r="878" ht="13.5" customHeight="1">
      <c r="A878" s="11" t="str">
        <f t="shared" si="1"/>
        <v>LFW-POLO09FY</v>
      </c>
      <c r="B878" s="32" t="s">
        <v>1299</v>
      </c>
      <c r="C878" s="33" t="s">
        <v>1300</v>
      </c>
      <c r="D878" s="33" t="s">
        <v>60</v>
      </c>
      <c r="E878" s="11" t="s">
        <v>123</v>
      </c>
      <c r="F878" s="33" t="s">
        <v>745</v>
      </c>
      <c r="G878" s="11"/>
      <c r="H878" s="11">
        <f>SUMIFS(X!$F$3:$F$5978,X!$D$3:$D$5978,'Current Stock'!A878)</f>
        <v>0</v>
      </c>
      <c r="I878" s="11">
        <f>SUMIFS(PENJUALAN!$E$4:$E$3651,PENJUALAN!$C$4:$C$3651,'Current Stock'!A878)</f>
        <v>0</v>
      </c>
      <c r="J878" s="15">
        <f t="shared" si="2"/>
        <v>0</v>
      </c>
      <c r="K878" s="11"/>
      <c r="L878" s="11"/>
      <c r="M878" s="11"/>
      <c r="N878" s="11"/>
      <c r="O878" s="17"/>
      <c r="P878" s="17"/>
    </row>
    <row r="879" ht="13.5" customHeight="1">
      <c r="A879" s="11" t="str">
        <f t="shared" si="1"/>
        <v>TRW-POLO09FY</v>
      </c>
      <c r="B879" s="32" t="s">
        <v>1301</v>
      </c>
      <c r="C879" s="33" t="s">
        <v>1300</v>
      </c>
      <c r="D879" s="33" t="s">
        <v>62</v>
      </c>
      <c r="E879" s="11" t="s">
        <v>123</v>
      </c>
      <c r="F879" s="33" t="s">
        <v>670</v>
      </c>
      <c r="G879" s="11"/>
      <c r="H879" s="11">
        <f>SUMIFS(X!$F$3:$F$5978,X!$D$3:$D$5978,'Current Stock'!A879)</f>
        <v>0</v>
      </c>
      <c r="I879" s="11">
        <f>SUMIFS(PENJUALAN!$E$4:$E$3651,PENJUALAN!$C$4:$C$3651,'Current Stock'!A879)</f>
        <v>0</v>
      </c>
      <c r="J879" s="15">
        <f t="shared" si="2"/>
        <v>0</v>
      </c>
      <c r="K879" s="11"/>
      <c r="L879" s="11"/>
      <c r="M879" s="11"/>
      <c r="N879" s="11"/>
      <c r="O879" s="17"/>
      <c r="P879" s="17"/>
    </row>
    <row r="880" ht="13.5" customHeight="1">
      <c r="A880" s="11" t="str">
        <f t="shared" si="1"/>
        <v>LFW-SCIROCCOFY</v>
      </c>
      <c r="B880" s="32" t="s">
        <v>1302</v>
      </c>
      <c r="C880" s="33" t="s">
        <v>1303</v>
      </c>
      <c r="D880" s="33" t="s">
        <v>60</v>
      </c>
      <c r="E880" s="11" t="s">
        <v>123</v>
      </c>
      <c r="F880" s="33" t="s">
        <v>196</v>
      </c>
      <c r="G880" s="11"/>
      <c r="H880" s="11">
        <f>SUMIFS(X!$F$3:$F$5978,X!$D$3:$D$5978,'Current Stock'!A880)</f>
        <v>0</v>
      </c>
      <c r="I880" s="11">
        <f>SUMIFS(PENJUALAN!$E$4:$E$3651,PENJUALAN!$C$4:$C$3651,'Current Stock'!A880)</f>
        <v>0</v>
      </c>
      <c r="J880" s="15">
        <f t="shared" si="2"/>
        <v>0</v>
      </c>
      <c r="K880" s="11"/>
      <c r="L880" s="11"/>
      <c r="M880" s="11"/>
      <c r="N880" s="11"/>
      <c r="O880" s="17"/>
      <c r="P880" s="17"/>
    </row>
    <row r="881" ht="13.5" customHeight="1">
      <c r="A881" s="11" t="str">
        <f t="shared" si="1"/>
        <v>LFW-TIGUANFY</v>
      </c>
      <c r="B881" s="32" t="s">
        <v>1304</v>
      </c>
      <c r="C881" s="33" t="s">
        <v>1305</v>
      </c>
      <c r="D881" s="33" t="s">
        <v>60</v>
      </c>
      <c r="E881" s="11" t="s">
        <v>123</v>
      </c>
      <c r="F881" s="33" t="s">
        <v>124</v>
      </c>
      <c r="G881" s="11"/>
      <c r="H881" s="11">
        <f>SUMIFS(X!$F$3:$F$5978,X!$D$3:$D$5978,'Current Stock'!A881)</f>
        <v>0</v>
      </c>
      <c r="I881" s="11">
        <f>SUMIFS(PENJUALAN!$E$4:$E$3651,PENJUALAN!$C$4:$C$3651,'Current Stock'!A881)</f>
        <v>0</v>
      </c>
      <c r="J881" s="15">
        <f t="shared" si="2"/>
        <v>0</v>
      </c>
      <c r="K881" s="11"/>
      <c r="L881" s="11"/>
      <c r="M881" s="11"/>
      <c r="N881" s="11"/>
      <c r="O881" s="17"/>
      <c r="P881" s="17"/>
    </row>
    <row r="882" ht="13.5" customHeight="1">
      <c r="A882" s="11" t="str">
        <f t="shared" si="1"/>
        <v>LFW-CONFEROFY</v>
      </c>
      <c r="B882" s="32" t="s">
        <v>1306</v>
      </c>
      <c r="C882" s="33" t="s">
        <v>1307</v>
      </c>
      <c r="D882" s="33" t="s">
        <v>60</v>
      </c>
      <c r="E882" s="11" t="s">
        <v>123</v>
      </c>
      <c r="F882" s="33" t="s">
        <v>137</v>
      </c>
      <c r="G882" s="11"/>
      <c r="H882" s="11">
        <f>SUMIFS(X!$F$3:$F$5978,X!$D$3:$D$5978,'Current Stock'!A882)</f>
        <v>0</v>
      </c>
      <c r="I882" s="11">
        <f>SUMIFS(PENJUALAN!$E$4:$E$3651,PENJUALAN!$C$4:$C$3651,'Current Stock'!A882)</f>
        <v>0</v>
      </c>
      <c r="J882" s="15">
        <f t="shared" si="2"/>
        <v>0</v>
      </c>
      <c r="K882" s="11"/>
      <c r="L882" s="11"/>
      <c r="M882" s="11"/>
      <c r="N882" s="11"/>
      <c r="O882" s="17"/>
      <c r="P882" s="17"/>
    </row>
    <row r="883" ht="13.5" customHeight="1">
      <c r="A883" s="11" t="str">
        <f t="shared" si="1"/>
        <v>LFW-LOUHANFY</v>
      </c>
      <c r="B883" s="32" t="s">
        <v>1308</v>
      </c>
      <c r="C883" s="35" t="s">
        <v>1309</v>
      </c>
      <c r="D883" s="35" t="s">
        <v>60</v>
      </c>
      <c r="E883" s="11" t="s">
        <v>123</v>
      </c>
      <c r="F883" s="33"/>
      <c r="G883" s="11"/>
      <c r="H883" s="11">
        <f>SUMIFS(X!$F$3:$F$5978,X!$D$3:$D$5978,'Current Stock'!A883)</f>
        <v>6</v>
      </c>
      <c r="I883" s="11">
        <f>SUMIFS(PENJUALAN!$E$4:$E$3651,PENJUALAN!$C$4:$C$3651,'Current Stock'!A883)</f>
        <v>6</v>
      </c>
      <c r="J883" s="15">
        <f t="shared" si="2"/>
        <v>0</v>
      </c>
      <c r="K883" s="11"/>
      <c r="L883" s="11"/>
      <c r="M883" s="11"/>
      <c r="N883" s="11"/>
      <c r="O883" s="17"/>
      <c r="P883" s="17"/>
    </row>
    <row r="884" ht="13.5" customHeight="1">
      <c r="A884" s="11" t="str">
        <f t="shared" si="1"/>
        <v>LFW-ELFNKRFY</v>
      </c>
      <c r="B884" s="32" t="s">
        <v>1310</v>
      </c>
      <c r="C884" s="35" t="s">
        <v>1311</v>
      </c>
      <c r="D884" s="33" t="s">
        <v>60</v>
      </c>
      <c r="E884" s="11" t="s">
        <v>123</v>
      </c>
      <c r="F884" s="33"/>
      <c r="G884" s="11"/>
      <c r="H884" s="11">
        <f>SUMIFS(X!$F$3:$F$5978,X!$D$3:$D$5978,'Current Stock'!A884)</f>
        <v>0</v>
      </c>
      <c r="I884" s="11">
        <f>SUMIFS(PENJUALAN!$E$4:$E$3651,PENJUALAN!$C$4:$C$3651,'Current Stock'!A884)</f>
        <v>0</v>
      </c>
      <c r="J884" s="15">
        <f t="shared" si="2"/>
        <v>0</v>
      </c>
      <c r="K884" s="11"/>
      <c r="L884" s="11"/>
      <c r="M884" s="11"/>
      <c r="N884" s="11"/>
      <c r="O884" s="17"/>
      <c r="P884" s="17"/>
    </row>
    <row r="885" ht="13.5" customHeight="1">
      <c r="A885" s="11" t="str">
        <f t="shared" si="1"/>
        <v>LFW-ELFNMRFY</v>
      </c>
      <c r="B885" s="32" t="s">
        <v>1312</v>
      </c>
      <c r="C885" s="33" t="s">
        <v>1313</v>
      </c>
      <c r="D885" s="33" t="s">
        <v>60</v>
      </c>
      <c r="E885" s="11" t="s">
        <v>123</v>
      </c>
      <c r="F885" s="33"/>
      <c r="G885" s="11"/>
      <c r="H885" s="11">
        <f>SUMIFS(X!$F$3:$F$5978,X!$D$3:$D$5978,'Current Stock'!A885)</f>
        <v>0</v>
      </c>
      <c r="I885" s="11">
        <f>SUMIFS(PENJUALAN!$E$4:$E$3651,PENJUALAN!$C$4:$C$3651,'Current Stock'!A885)</f>
        <v>0</v>
      </c>
      <c r="J885" s="15">
        <f t="shared" si="2"/>
        <v>0</v>
      </c>
      <c r="K885" s="11"/>
      <c r="L885" s="11"/>
      <c r="M885" s="11"/>
      <c r="N885" s="11"/>
      <c r="O885" s="17"/>
      <c r="P885" s="17"/>
    </row>
    <row r="886" ht="13.5" customHeight="1">
      <c r="A886" s="11" t="str">
        <f t="shared" si="1"/>
        <v>LFW-FE700FY</v>
      </c>
      <c r="B886" s="32" t="s">
        <v>1314</v>
      </c>
      <c r="C886" s="35" t="s">
        <v>1315</v>
      </c>
      <c r="D886" s="33" t="s">
        <v>60</v>
      </c>
      <c r="E886" s="11" t="s">
        <v>123</v>
      </c>
      <c r="F886" s="33"/>
      <c r="G886" s="11"/>
      <c r="H886" s="11">
        <f>SUMIFS(X!$F$3:$F$5978,X!$D$3:$D$5978,'Current Stock'!A886)</f>
        <v>0</v>
      </c>
      <c r="I886" s="11">
        <f>SUMIFS(PENJUALAN!$E$4:$E$3651,PENJUALAN!$C$4:$C$3651,'Current Stock'!A886)</f>
        <v>0</v>
      </c>
      <c r="J886" s="15">
        <f t="shared" si="2"/>
        <v>0</v>
      </c>
      <c r="K886" s="11"/>
      <c r="L886" s="11"/>
      <c r="M886" s="11"/>
      <c r="N886" s="11"/>
      <c r="O886" s="17"/>
      <c r="P886" s="17"/>
    </row>
    <row r="887" ht="13.5" customHeight="1">
      <c r="A887" s="11" t="str">
        <f t="shared" si="1"/>
        <v>LFW-FE800FY</v>
      </c>
      <c r="B887" s="32" t="s">
        <v>1316</v>
      </c>
      <c r="C887" s="35" t="s">
        <v>1317</v>
      </c>
      <c r="D887" s="33" t="s">
        <v>60</v>
      </c>
      <c r="E887" s="11" t="s">
        <v>123</v>
      </c>
      <c r="F887" s="33"/>
      <c r="G887" s="11"/>
      <c r="H887" s="11">
        <f>SUMIFS(X!$F$3:$F$5978,X!$D$3:$D$5978,'Current Stock'!A887)</f>
        <v>0</v>
      </c>
      <c r="I887" s="11">
        <f>SUMIFS(PENJUALAN!$E$4:$E$3651,PENJUALAN!$C$4:$C$3651,'Current Stock'!A887)</f>
        <v>0</v>
      </c>
      <c r="J887" s="15">
        <f t="shared" si="2"/>
        <v>0</v>
      </c>
      <c r="K887" s="11"/>
      <c r="L887" s="11"/>
      <c r="M887" s="11"/>
      <c r="N887" s="11"/>
      <c r="O887" s="17"/>
      <c r="P887" s="17"/>
    </row>
    <row r="888" ht="13.5" customHeight="1">
      <c r="A888" s="11" t="str">
        <f t="shared" si="1"/>
        <v>LFW-FK40FY</v>
      </c>
      <c r="B888" s="32" t="s">
        <v>1318</v>
      </c>
      <c r="C888" s="35" t="s">
        <v>1319</v>
      </c>
      <c r="D888" s="33" t="s">
        <v>60</v>
      </c>
      <c r="E888" s="11" t="s">
        <v>123</v>
      </c>
      <c r="F888" s="33"/>
      <c r="G888" s="11"/>
      <c r="H888" s="11">
        <f>SUMIFS(X!$F$3:$F$5978,X!$D$3:$D$5978,'Current Stock'!A888)</f>
        <v>2</v>
      </c>
      <c r="I888" s="11">
        <f>SUMIFS(PENJUALAN!$E$4:$E$3651,PENJUALAN!$C$4:$C$3651,'Current Stock'!A888)</f>
        <v>2</v>
      </c>
      <c r="J888" s="15">
        <f t="shared" si="2"/>
        <v>0</v>
      </c>
      <c r="K888" s="11"/>
      <c r="L888" s="11"/>
      <c r="M888" s="11"/>
      <c r="N888" s="11"/>
      <c r="O888" s="17"/>
      <c r="P888" s="17"/>
    </row>
    <row r="889" ht="13.5" customHeight="1">
      <c r="A889" s="11" t="str">
        <f t="shared" si="1"/>
        <v>LFW-FV100FY</v>
      </c>
      <c r="B889" s="32" t="s">
        <v>1320</v>
      </c>
      <c r="C889" s="33" t="s">
        <v>1321</v>
      </c>
      <c r="D889" s="33" t="s">
        <v>60</v>
      </c>
      <c r="E889" s="11" t="s">
        <v>123</v>
      </c>
      <c r="F889" s="33"/>
      <c r="G889" s="11"/>
      <c r="H889" s="11">
        <f>SUMIFS(X!$F$3:$F$5978,X!$D$3:$D$5978,'Current Stock'!A889)</f>
        <v>0</v>
      </c>
      <c r="I889" s="11">
        <f>SUMIFS(PENJUALAN!$E$4:$E$3651,PENJUALAN!$C$4:$C$3651,'Current Stock'!A889)</f>
        <v>0</v>
      </c>
      <c r="J889" s="15">
        <f t="shared" si="2"/>
        <v>0</v>
      </c>
      <c r="K889" s="11"/>
      <c r="L889" s="11"/>
      <c r="M889" s="11"/>
      <c r="N889" s="11"/>
      <c r="O889" s="17"/>
      <c r="P889" s="17"/>
    </row>
    <row r="890" ht="13.5" customHeight="1">
      <c r="A890" s="11" t="str">
        <f t="shared" si="1"/>
        <v>LFW-L300FY</v>
      </c>
      <c r="B890" s="32" t="s">
        <v>1322</v>
      </c>
      <c r="C890" s="35" t="s">
        <v>1323</v>
      </c>
      <c r="D890" s="33" t="s">
        <v>60</v>
      </c>
      <c r="E890" s="11" t="s">
        <v>123</v>
      </c>
      <c r="F890" s="33"/>
      <c r="G890" s="11"/>
      <c r="H890" s="11">
        <f>SUMIFS(X!$F$3:$F$5978,X!$D$3:$D$5978,'Current Stock'!A890)</f>
        <v>0</v>
      </c>
      <c r="I890" s="11">
        <f>SUMIFS(PENJUALAN!$E$4:$E$3651,PENJUALAN!$C$4:$C$3651,'Current Stock'!A890)</f>
        <v>0</v>
      </c>
      <c r="J890" s="15">
        <f t="shared" si="2"/>
        <v>0</v>
      </c>
      <c r="K890" s="11"/>
      <c r="L890" s="11"/>
      <c r="M890" s="11"/>
      <c r="N890" s="11"/>
      <c r="O890" s="17"/>
      <c r="P890" s="17"/>
    </row>
    <row r="891" ht="13.5" customHeight="1">
      <c r="A891" s="11" t="str">
        <f t="shared" si="1"/>
        <v>LFW-A396XYG</v>
      </c>
      <c r="B891" s="32" t="s">
        <v>1324</v>
      </c>
      <c r="C891" s="35" t="s">
        <v>1325</v>
      </c>
      <c r="D891" s="35" t="s">
        <v>60</v>
      </c>
      <c r="E891" s="11" t="s">
        <v>16</v>
      </c>
      <c r="F891" s="42" t="s">
        <v>137</v>
      </c>
      <c r="G891" s="11"/>
      <c r="H891" s="11">
        <f>SUMIFS(X!$F$3:$F$5978,X!$D$3:$D$5978,'Current Stock'!A891)</f>
        <v>0</v>
      </c>
      <c r="I891" s="11">
        <f>SUMIFS(PENJUALAN!$E$4:$E$3651,PENJUALAN!$C$4:$C$3651,'Current Stock'!A891)</f>
        <v>0</v>
      </c>
      <c r="J891" s="15">
        <f t="shared" si="2"/>
        <v>0</v>
      </c>
      <c r="K891" s="11"/>
      <c r="L891" s="11"/>
      <c r="M891" s="11"/>
      <c r="N891" s="11"/>
      <c r="O891" s="17"/>
      <c r="P891" s="17"/>
    </row>
    <row r="892" ht="13.5" customHeight="1">
      <c r="A892" s="11" t="str">
        <f t="shared" si="1"/>
        <v>LFW-AUDIA304XYG</v>
      </c>
      <c r="B892" s="32" t="s">
        <v>1326</v>
      </c>
      <c r="C892" s="33" t="s">
        <v>1327</v>
      </c>
      <c r="D892" s="33" t="s">
        <v>60</v>
      </c>
      <c r="E892" s="11" t="s">
        <v>16</v>
      </c>
      <c r="F892" s="33" t="s">
        <v>745</v>
      </c>
      <c r="G892" s="11"/>
      <c r="H892" s="11">
        <f>SUMIFS(X!$F$3:$F$5978,X!$D$3:$D$5978,'Current Stock'!A892)</f>
        <v>0</v>
      </c>
      <c r="I892" s="11">
        <f>SUMIFS(PENJUALAN!$E$4:$E$3651,PENJUALAN!$C$4:$C$3651,'Current Stock'!A892)</f>
        <v>0</v>
      </c>
      <c r="J892" s="15">
        <f t="shared" si="2"/>
        <v>0</v>
      </c>
      <c r="K892" s="11"/>
      <c r="L892" s="11"/>
      <c r="M892" s="11"/>
      <c r="N892" s="11"/>
      <c r="O892" s="17"/>
      <c r="P892" s="17"/>
    </row>
    <row r="893" ht="13.5" customHeight="1">
      <c r="A893" s="11" t="str">
        <f t="shared" si="1"/>
        <v>LFW-AUDIB6XYG</v>
      </c>
      <c r="B893" s="32" t="s">
        <v>1328</v>
      </c>
      <c r="C893" s="33" t="s">
        <v>1329</v>
      </c>
      <c r="D893" s="33" t="s">
        <v>60</v>
      </c>
      <c r="E893" s="11" t="s">
        <v>16</v>
      </c>
      <c r="F893" s="33" t="s">
        <v>137</v>
      </c>
      <c r="G893" s="11"/>
      <c r="H893" s="11">
        <f>SUMIFS(X!$F$3:$F$5978,X!$D$3:$D$5978,'Current Stock'!A893)</f>
        <v>0</v>
      </c>
      <c r="I893" s="11">
        <f>SUMIFS(PENJUALAN!$E$4:$E$3651,PENJUALAN!$C$4:$C$3651,'Current Stock'!A893)</f>
        <v>0</v>
      </c>
      <c r="J893" s="15">
        <f t="shared" si="2"/>
        <v>0</v>
      </c>
      <c r="K893" s="11"/>
      <c r="L893" s="11"/>
      <c r="M893" s="11"/>
      <c r="N893" s="11"/>
      <c r="O893" s="17"/>
      <c r="P893" s="17"/>
    </row>
    <row r="894" ht="13.5" customHeight="1">
      <c r="A894" s="11" t="str">
        <f t="shared" si="1"/>
        <v>LFW-AUDIB7XYG</v>
      </c>
      <c r="B894" s="32" t="s">
        <v>1330</v>
      </c>
      <c r="C894" s="33" t="s">
        <v>1331</v>
      </c>
      <c r="D894" s="33" t="s">
        <v>60</v>
      </c>
      <c r="E894" s="11" t="s">
        <v>16</v>
      </c>
      <c r="F894" s="33" t="s">
        <v>314</v>
      </c>
      <c r="G894" s="11"/>
      <c r="H894" s="11">
        <f>SUMIFS(X!$F$3:$F$5978,X!$D$3:$D$5978,'Current Stock'!A894)</f>
        <v>0</v>
      </c>
      <c r="I894" s="11">
        <f>SUMIFS(PENJUALAN!$E$4:$E$3651,PENJUALAN!$C$4:$C$3651,'Current Stock'!A894)</f>
        <v>0</v>
      </c>
      <c r="J894" s="15">
        <f t="shared" si="2"/>
        <v>0</v>
      </c>
      <c r="K894" s="11"/>
      <c r="L894" s="11"/>
      <c r="M894" s="11"/>
      <c r="N894" s="11"/>
      <c r="O894" s="17"/>
      <c r="P894" s="17"/>
    </row>
    <row r="895" ht="13.5" customHeight="1">
      <c r="A895" s="11" t="str">
        <f t="shared" si="1"/>
        <v>LFW-AUDIC6XYG</v>
      </c>
      <c r="B895" s="32" t="s">
        <v>1332</v>
      </c>
      <c r="C895" s="33" t="s">
        <v>1333</v>
      </c>
      <c r="D895" s="33" t="s">
        <v>60</v>
      </c>
      <c r="E895" s="11" t="s">
        <v>16</v>
      </c>
      <c r="F895" s="33" t="s">
        <v>196</v>
      </c>
      <c r="G895" s="11"/>
      <c r="H895" s="11">
        <f>SUMIFS(X!$F$3:$F$5978,X!$D$3:$D$5978,'Current Stock'!A895)</f>
        <v>0</v>
      </c>
      <c r="I895" s="11">
        <f>SUMIFS(PENJUALAN!$E$4:$E$3651,PENJUALAN!$C$4:$C$3651,'Current Stock'!A895)</f>
        <v>0</v>
      </c>
      <c r="J895" s="15">
        <f t="shared" si="2"/>
        <v>0</v>
      </c>
      <c r="K895" s="11"/>
      <c r="L895" s="11"/>
      <c r="M895" s="11"/>
      <c r="N895" s="11"/>
      <c r="O895" s="17"/>
      <c r="P895" s="17"/>
    </row>
    <row r="896" ht="13.5" customHeight="1">
      <c r="A896" s="11" t="str">
        <f t="shared" si="1"/>
        <v>LFW-AUDIC7XYG</v>
      </c>
      <c r="B896" s="32" t="s">
        <v>127</v>
      </c>
      <c r="C896" s="33" t="s">
        <v>128</v>
      </c>
      <c r="D896" s="33" t="s">
        <v>60</v>
      </c>
      <c r="E896" s="11" t="s">
        <v>16</v>
      </c>
      <c r="F896" s="33" t="s">
        <v>124</v>
      </c>
      <c r="G896" s="11"/>
      <c r="H896" s="11">
        <f>SUMIFS(X!$F$3:$F$5978,X!$D$3:$D$5978,'Current Stock'!A896)</f>
        <v>0</v>
      </c>
      <c r="I896" s="11">
        <f>SUMIFS(PENJUALAN!$E$4:$E$3651,PENJUALAN!$C$4:$C$3651,'Current Stock'!A896)</f>
        <v>0</v>
      </c>
      <c r="J896" s="15">
        <f t="shared" si="2"/>
        <v>0</v>
      </c>
      <c r="K896" s="11"/>
      <c r="L896" s="11"/>
      <c r="M896" s="11"/>
      <c r="N896" s="11"/>
      <c r="O896" s="17"/>
      <c r="P896" s="17"/>
    </row>
    <row r="897" ht="13.5" customHeight="1">
      <c r="A897" s="11" t="str">
        <f t="shared" si="1"/>
        <v>LFW-AUDIQ508XYG</v>
      </c>
      <c r="B897" s="32" t="s">
        <v>1334</v>
      </c>
      <c r="C897" s="33" t="s">
        <v>1335</v>
      </c>
      <c r="D897" s="33" t="s">
        <v>60</v>
      </c>
      <c r="E897" s="11" t="s">
        <v>16</v>
      </c>
      <c r="F897" s="33" t="s">
        <v>124</v>
      </c>
      <c r="G897" s="11"/>
      <c r="H897" s="11">
        <f>SUMIFS(X!$F$3:$F$5978,X!$D$3:$D$5978,'Current Stock'!A897)</f>
        <v>0</v>
      </c>
      <c r="I897" s="11">
        <f>SUMIFS(PENJUALAN!$E$4:$E$3651,PENJUALAN!$C$4:$C$3651,'Current Stock'!A897)</f>
        <v>0</v>
      </c>
      <c r="J897" s="15">
        <f t="shared" si="2"/>
        <v>0</v>
      </c>
      <c r="K897" s="11"/>
      <c r="L897" s="11"/>
      <c r="M897" s="11"/>
      <c r="N897" s="11"/>
      <c r="O897" s="17"/>
      <c r="P897" s="17"/>
    </row>
    <row r="898" ht="13.5" customHeight="1">
      <c r="A898" s="11" t="str">
        <f t="shared" si="1"/>
        <v>TRW-AUDIQ508XYG</v>
      </c>
      <c r="B898" s="32" t="s">
        <v>1336</v>
      </c>
      <c r="C898" s="33" t="s">
        <v>1337</v>
      </c>
      <c r="D898" s="33" t="s">
        <v>62</v>
      </c>
      <c r="E898" s="11" t="s">
        <v>16</v>
      </c>
      <c r="F898" s="33" t="s">
        <v>83</v>
      </c>
      <c r="G898" s="11"/>
      <c r="H898" s="11">
        <f>SUMIFS(X!$F$3:$F$5978,X!$D$3:$D$5978,'Current Stock'!A898)</f>
        <v>0</v>
      </c>
      <c r="I898" s="11">
        <f>SUMIFS(PENJUALAN!$E$4:$E$3651,PENJUALAN!$C$4:$C$3651,'Current Stock'!A898)</f>
        <v>0</v>
      </c>
      <c r="J898" s="15">
        <f t="shared" si="2"/>
        <v>0</v>
      </c>
      <c r="K898" s="11"/>
      <c r="L898" s="11"/>
      <c r="M898" s="11"/>
      <c r="N898" s="11"/>
      <c r="O898" s="17"/>
      <c r="P898" s="17"/>
    </row>
    <row r="899" ht="13.5" customHeight="1">
      <c r="A899" s="11" t="str">
        <f t="shared" si="1"/>
        <v>LFW-AUDIQ706XYG</v>
      </c>
      <c r="B899" s="32" t="s">
        <v>1338</v>
      </c>
      <c r="C899" s="33" t="s">
        <v>1339</v>
      </c>
      <c r="D899" s="33" t="s">
        <v>60</v>
      </c>
      <c r="E899" s="11" t="s">
        <v>16</v>
      </c>
      <c r="F899" s="33" t="s">
        <v>124</v>
      </c>
      <c r="G899" s="11"/>
      <c r="H899" s="11">
        <f>SUMIFS(X!$F$3:$F$5978,X!$D$3:$D$5978,'Current Stock'!A899)</f>
        <v>1</v>
      </c>
      <c r="I899" s="11">
        <f>SUMIFS(PENJUALAN!$E$4:$E$3651,PENJUALAN!$C$4:$C$3651,'Current Stock'!A899)</f>
        <v>1</v>
      </c>
      <c r="J899" s="15">
        <f t="shared" si="2"/>
        <v>0</v>
      </c>
      <c r="K899" s="11"/>
      <c r="L899" s="11"/>
      <c r="M899" s="11"/>
      <c r="N899" s="11"/>
      <c r="O899" s="17"/>
      <c r="P899" s="17"/>
    </row>
    <row r="900" ht="13.5" customHeight="1">
      <c r="A900" s="11" t="str">
        <f t="shared" si="1"/>
        <v>LFW-AUDIQ716XYG</v>
      </c>
      <c r="B900" s="32" t="s">
        <v>1340</v>
      </c>
      <c r="C900" s="35" t="s">
        <v>1341</v>
      </c>
      <c r="D900" s="35" t="s">
        <v>60</v>
      </c>
      <c r="E900" s="11" t="s">
        <v>16</v>
      </c>
      <c r="F900" s="35" t="s">
        <v>124</v>
      </c>
      <c r="G900" s="11"/>
      <c r="H900" s="11">
        <f>SUMIFS(X!$F$3:$F$5978,X!$D$3:$D$5978,'Current Stock'!A900)</f>
        <v>0</v>
      </c>
      <c r="I900" s="11">
        <f>SUMIFS(PENJUALAN!$E$4:$E$3651,PENJUALAN!$C$4:$C$3651,'Current Stock'!A900)</f>
        <v>0</v>
      </c>
      <c r="J900" s="15">
        <f t="shared" si="2"/>
        <v>0</v>
      </c>
      <c r="K900" s="11"/>
      <c r="L900" s="11"/>
      <c r="M900" s="11"/>
      <c r="N900" s="11"/>
      <c r="O900" s="17"/>
      <c r="P900" s="17"/>
    </row>
    <row r="901" ht="13.5" customHeight="1">
      <c r="A901" s="11" t="str">
        <f t="shared" si="1"/>
        <v>LFW-E30XYG</v>
      </c>
      <c r="B901" s="32" t="s">
        <v>131</v>
      </c>
      <c r="C901" s="33" t="s">
        <v>132</v>
      </c>
      <c r="D901" s="33" t="s">
        <v>60</v>
      </c>
      <c r="E901" s="11" t="s">
        <v>16</v>
      </c>
      <c r="F901" s="33"/>
      <c r="G901" s="14">
        <v>45988.0</v>
      </c>
      <c r="H901" s="11">
        <f>SUMIFS(X!$F$3:$F$5978,X!$D$3:$D$5978,'Current Stock'!A901)</f>
        <v>0</v>
      </c>
      <c r="I901" s="11">
        <f>SUMIFS(PENJUALAN!$E$4:$E$3651,PENJUALAN!$C$4:$C$3651,'Current Stock'!A901)</f>
        <v>0</v>
      </c>
      <c r="J901" s="15">
        <f t="shared" si="2"/>
        <v>0</v>
      </c>
      <c r="K901" s="13" t="s">
        <v>1342</v>
      </c>
      <c r="L901" s="11"/>
      <c r="M901" s="11"/>
      <c r="N901" s="11"/>
      <c r="O901" s="17"/>
      <c r="P901" s="17"/>
    </row>
    <row r="902" ht="13.5" customHeight="1">
      <c r="A902" s="11" t="str">
        <f t="shared" si="1"/>
        <v>LFW-E36XYG</v>
      </c>
      <c r="B902" s="32" t="s">
        <v>135</v>
      </c>
      <c r="C902" s="33" t="s">
        <v>136</v>
      </c>
      <c r="D902" s="33" t="s">
        <v>60</v>
      </c>
      <c r="E902" s="11" t="s">
        <v>16</v>
      </c>
      <c r="F902" s="33" t="s">
        <v>137</v>
      </c>
      <c r="G902" s="11"/>
      <c r="H902" s="11">
        <f>SUMIFS(X!$F$3:$F$5978,X!$D$3:$D$5978,'Current Stock'!A902)</f>
        <v>14</v>
      </c>
      <c r="I902" s="11">
        <f>SUMIFS(PENJUALAN!$E$4:$E$3651,PENJUALAN!$C$4:$C$3651,'Current Stock'!A902)</f>
        <v>10</v>
      </c>
      <c r="J902" s="15">
        <f t="shared" si="2"/>
        <v>4</v>
      </c>
      <c r="K902" s="13"/>
      <c r="L902" s="11"/>
      <c r="M902" s="11"/>
      <c r="N902" s="11"/>
      <c r="O902" s="17"/>
      <c r="P902" s="17"/>
    </row>
    <row r="903" ht="13.5" customHeight="1">
      <c r="A903" s="11" t="str">
        <f t="shared" si="1"/>
        <v>TRW-E36XYG</v>
      </c>
      <c r="B903" s="32" t="s">
        <v>138</v>
      </c>
      <c r="C903" s="33" t="s">
        <v>136</v>
      </c>
      <c r="D903" s="33" t="s">
        <v>62</v>
      </c>
      <c r="E903" s="11" t="s">
        <v>16</v>
      </c>
      <c r="F903" s="33" t="s">
        <v>83</v>
      </c>
      <c r="G903" s="11"/>
      <c r="H903" s="11">
        <f>SUMIFS(X!$F$3:$F$5978,X!$D$3:$D$5978,'Current Stock'!A903)</f>
        <v>0</v>
      </c>
      <c r="I903" s="11">
        <f>SUMIFS(PENJUALAN!$E$4:$E$3651,PENJUALAN!$C$4:$C$3651,'Current Stock'!A903)</f>
        <v>0</v>
      </c>
      <c r="J903" s="15">
        <f t="shared" si="2"/>
        <v>0</v>
      </c>
      <c r="K903" s="11"/>
      <c r="L903" s="11"/>
      <c r="M903" s="11"/>
      <c r="N903" s="11"/>
      <c r="O903" s="17"/>
      <c r="P903" s="17"/>
    </row>
    <row r="904" ht="13.5" customHeight="1">
      <c r="A904" s="11" t="str">
        <f t="shared" si="1"/>
        <v>FDL-E36XYG</v>
      </c>
      <c r="B904" s="32" t="s">
        <v>139</v>
      </c>
      <c r="C904" s="33" t="s">
        <v>136</v>
      </c>
      <c r="D904" s="33" t="s">
        <v>140</v>
      </c>
      <c r="E904" s="11" t="s">
        <v>16</v>
      </c>
      <c r="F904" s="33"/>
      <c r="G904" s="11"/>
      <c r="H904" s="11">
        <f>SUMIFS(X!$F$3:$F$5978,X!$D$3:$D$5978,'Current Stock'!A904)</f>
        <v>0</v>
      </c>
      <c r="I904" s="11">
        <f>SUMIFS(PENJUALAN!$E$4:$E$3651,PENJUALAN!$C$4:$C$3651,'Current Stock'!A904)</f>
        <v>0</v>
      </c>
      <c r="J904" s="15">
        <f t="shared" si="2"/>
        <v>0</v>
      </c>
      <c r="K904" s="11"/>
      <c r="L904" s="11"/>
      <c r="M904" s="11"/>
      <c r="N904" s="11"/>
      <c r="O904" s="17"/>
      <c r="P904" s="17"/>
    </row>
    <row r="905" ht="13.5" customHeight="1">
      <c r="A905" s="11" t="str">
        <f t="shared" si="1"/>
        <v>FDR-E36XYG</v>
      </c>
      <c r="B905" s="32" t="s">
        <v>141</v>
      </c>
      <c r="C905" s="33" t="s">
        <v>136</v>
      </c>
      <c r="D905" s="33" t="s">
        <v>142</v>
      </c>
      <c r="E905" s="11" t="s">
        <v>16</v>
      </c>
      <c r="F905" s="33"/>
      <c r="G905" s="11"/>
      <c r="H905" s="11">
        <f>SUMIFS(X!$F$3:$F$5978,X!$D$3:$D$5978,'Current Stock'!A905)</f>
        <v>0</v>
      </c>
      <c r="I905" s="11">
        <f>SUMIFS(PENJUALAN!$E$4:$E$3651,PENJUALAN!$C$4:$C$3651,'Current Stock'!A905)</f>
        <v>0</v>
      </c>
      <c r="J905" s="15">
        <f t="shared" si="2"/>
        <v>0</v>
      </c>
      <c r="K905" s="11"/>
      <c r="L905" s="11"/>
      <c r="M905" s="11"/>
      <c r="N905" s="11"/>
      <c r="O905" s="17"/>
      <c r="P905" s="17"/>
    </row>
    <row r="906" ht="13.5" customHeight="1">
      <c r="A906" s="11" t="str">
        <f t="shared" si="1"/>
        <v>LFW-E46XYG</v>
      </c>
      <c r="B906" s="32" t="s">
        <v>149</v>
      </c>
      <c r="C906" s="33" t="s">
        <v>148</v>
      </c>
      <c r="D906" s="33" t="s">
        <v>60</v>
      </c>
      <c r="E906" s="11" t="s">
        <v>16</v>
      </c>
      <c r="F906" s="33" t="s">
        <v>137</v>
      </c>
      <c r="G906" s="11"/>
      <c r="H906" s="11">
        <f>SUMIFS(X!$F$3:$F$5978,X!$D$3:$D$5978,'Current Stock'!A906)</f>
        <v>1</v>
      </c>
      <c r="I906" s="11">
        <f>SUMIFS(PENJUALAN!$E$4:$E$3651,PENJUALAN!$C$4:$C$3651,'Current Stock'!A906)</f>
        <v>1</v>
      </c>
      <c r="J906" s="15">
        <f t="shared" si="2"/>
        <v>0</v>
      </c>
      <c r="K906" s="11"/>
      <c r="L906" s="11"/>
      <c r="M906" s="11"/>
      <c r="N906" s="11"/>
      <c r="O906" s="17"/>
      <c r="P906" s="17"/>
    </row>
    <row r="907" ht="13.5" customHeight="1">
      <c r="A907" s="11" t="str">
        <f t="shared" si="1"/>
        <v>LFW-E46RS2DOORXYG</v>
      </c>
      <c r="B907" s="32" t="s">
        <v>157</v>
      </c>
      <c r="C907" s="33" t="s">
        <v>158</v>
      </c>
      <c r="D907" s="33" t="s">
        <v>60</v>
      </c>
      <c r="E907" s="11" t="s">
        <v>16</v>
      </c>
      <c r="F907" s="33" t="s">
        <v>137</v>
      </c>
      <c r="G907" s="11"/>
      <c r="H907" s="11">
        <f>SUMIFS(X!$F$3:$F$5978,X!$D$3:$D$5978,'Current Stock'!A907)</f>
        <v>0</v>
      </c>
      <c r="I907" s="11">
        <f>SUMIFS(PENJUALAN!$E$4:$E$3651,PENJUALAN!$C$4:$C$3651,'Current Stock'!A907)</f>
        <v>0</v>
      </c>
      <c r="J907" s="15">
        <f t="shared" si="2"/>
        <v>0</v>
      </c>
      <c r="K907" s="11"/>
      <c r="L907" s="11"/>
      <c r="M907" s="11"/>
      <c r="N907" s="11"/>
      <c r="O907" s="17"/>
      <c r="P907" s="17"/>
    </row>
    <row r="908" ht="13.5" customHeight="1">
      <c r="A908" s="11" t="str">
        <f t="shared" si="1"/>
        <v>LFW-STARGAZERRSXYG</v>
      </c>
      <c r="B908" s="43" t="s">
        <v>1343</v>
      </c>
      <c r="C908" s="11" t="s">
        <v>1344</v>
      </c>
      <c r="D908" s="31" t="s">
        <v>60</v>
      </c>
      <c r="E908" s="11" t="s">
        <v>16</v>
      </c>
      <c r="F908" s="11" t="s">
        <v>90</v>
      </c>
      <c r="G908" s="11"/>
      <c r="H908" s="11">
        <f>SUMIFS(X!$F$3:$F$5978,X!$D$3:$D$5978,'Current Stock'!A908)</f>
        <v>2</v>
      </c>
      <c r="I908" s="11">
        <f>SUMIFS(PENJUALAN!$E$4:$E$3651,PENJUALAN!$C$4:$C$3651,'Current Stock'!A908)</f>
        <v>2</v>
      </c>
      <c r="J908" s="15">
        <f t="shared" si="2"/>
        <v>0</v>
      </c>
      <c r="K908" s="13"/>
      <c r="L908" s="13"/>
      <c r="M908" s="11"/>
      <c r="N908" s="11"/>
      <c r="O908" s="17"/>
      <c r="P908" s="17"/>
    </row>
    <row r="909" ht="13.5" customHeight="1">
      <c r="A909" s="11" t="str">
        <f t="shared" si="1"/>
        <v>LFW-E90XYG</v>
      </c>
      <c r="B909" s="32" t="s">
        <v>161</v>
      </c>
      <c r="C909" s="33" t="s">
        <v>160</v>
      </c>
      <c r="D909" s="33" t="s">
        <v>60</v>
      </c>
      <c r="E909" s="11" t="s">
        <v>16</v>
      </c>
      <c r="F909" s="33" t="s">
        <v>137</v>
      </c>
      <c r="G909" s="11"/>
      <c r="H909" s="11">
        <f>SUMIFS(X!$F$3:$F$5978,X!$D$3:$D$5978,'Current Stock'!A909)</f>
        <v>0</v>
      </c>
      <c r="I909" s="11">
        <f>SUMIFS(PENJUALAN!$E$4:$E$3651,PENJUALAN!$C$4:$C$3651,'Current Stock'!A909)</f>
        <v>0</v>
      </c>
      <c r="J909" s="15">
        <f t="shared" si="2"/>
        <v>0</v>
      </c>
      <c r="K909" s="11"/>
      <c r="L909" s="11"/>
      <c r="M909" s="11"/>
      <c r="N909" s="11"/>
      <c r="O909" s="17"/>
      <c r="P909" s="17"/>
    </row>
    <row r="910" ht="13.5" customHeight="1">
      <c r="A910" s="11" t="str">
        <f t="shared" si="1"/>
        <v>TRW-E90AXYG</v>
      </c>
      <c r="B910" s="32" t="s">
        <v>1345</v>
      </c>
      <c r="C910" s="33" t="s">
        <v>1346</v>
      </c>
      <c r="D910" s="33" t="s">
        <v>62</v>
      </c>
      <c r="E910" s="11" t="s">
        <v>16</v>
      </c>
      <c r="F910" s="33" t="s">
        <v>137</v>
      </c>
      <c r="G910" s="14">
        <v>45988.0</v>
      </c>
      <c r="H910" s="11">
        <f>SUMIFS(X!$F$3:$F$5978,X!$D$3:$D$5978,'Current Stock'!A910)</f>
        <v>0</v>
      </c>
      <c r="I910" s="11">
        <f>SUMIFS(PENJUALAN!$E$4:$E$3651,PENJUALAN!$C$4:$C$3651,'Current Stock'!A910)</f>
        <v>0</v>
      </c>
      <c r="J910" s="15">
        <f t="shared" si="2"/>
        <v>0</v>
      </c>
      <c r="K910" s="13" t="s">
        <v>1347</v>
      </c>
      <c r="L910" s="11"/>
      <c r="M910" s="11"/>
      <c r="N910" s="11"/>
      <c r="O910" s="17"/>
      <c r="P910" s="17"/>
    </row>
    <row r="911" ht="13.5" customHeight="1">
      <c r="A911" s="11" t="str">
        <f t="shared" si="1"/>
        <v>FDL-PAJERO16ASH</v>
      </c>
      <c r="B911" s="13" t="s">
        <v>1348</v>
      </c>
      <c r="C911" s="13" t="s">
        <v>886</v>
      </c>
      <c r="D911" s="13" t="s">
        <v>104</v>
      </c>
      <c r="E911" s="13" t="s">
        <v>93</v>
      </c>
      <c r="F911" s="44"/>
      <c r="G911" s="34"/>
      <c r="H911" s="11">
        <f>SUMIFS(X!$F$3:$F$5978,X!$D$3:$D$5978,'Current Stock'!A911)</f>
        <v>4</v>
      </c>
      <c r="I911" s="11">
        <f>SUMIFS(PENJUALAN!$E$4:$E$3651,PENJUALAN!$C$4:$C$3651,'Current Stock'!A911)</f>
        <v>2</v>
      </c>
      <c r="J911" s="15">
        <f t="shared" si="2"/>
        <v>2</v>
      </c>
      <c r="K911" s="13"/>
      <c r="L911" s="44"/>
      <c r="M911" s="44"/>
      <c r="N911" s="44"/>
      <c r="O911" s="17"/>
      <c r="P911" s="17"/>
    </row>
    <row r="912" ht="13.5" customHeight="1">
      <c r="A912" s="11" t="str">
        <f t="shared" si="1"/>
        <v>FDL-F30XYG</v>
      </c>
      <c r="B912" s="32" t="s">
        <v>170</v>
      </c>
      <c r="C912" s="33" t="s">
        <v>168</v>
      </c>
      <c r="D912" s="33" t="s">
        <v>140</v>
      </c>
      <c r="E912" s="11" t="s">
        <v>16</v>
      </c>
      <c r="F912" s="33" t="s">
        <v>152</v>
      </c>
      <c r="G912" s="11"/>
      <c r="H912" s="11">
        <f>SUMIFS(X!$F$3:$F$5978,X!$D$3:$D$5978,'Current Stock'!A912)</f>
        <v>1</v>
      </c>
      <c r="I912" s="11">
        <f>SUMIFS(PENJUALAN!$E$4:$E$3651,PENJUALAN!$C$4:$C$3651,'Current Stock'!A912)</f>
        <v>1</v>
      </c>
      <c r="J912" s="15">
        <f t="shared" si="2"/>
        <v>0</v>
      </c>
      <c r="K912" s="11"/>
      <c r="L912" s="11"/>
      <c r="M912" s="11"/>
      <c r="N912" s="11"/>
      <c r="O912" s="17"/>
      <c r="P912" s="17"/>
    </row>
    <row r="913" ht="13.5" customHeight="1">
      <c r="A913" s="11" t="str">
        <f t="shared" si="1"/>
        <v>LFW-E39XYG</v>
      </c>
      <c r="B913" s="32" t="s">
        <v>1349</v>
      </c>
      <c r="C913" s="33" t="s">
        <v>1350</v>
      </c>
      <c r="D913" s="33" t="s">
        <v>60</v>
      </c>
      <c r="E913" s="11" t="s">
        <v>16</v>
      </c>
      <c r="F913" s="33" t="s">
        <v>137</v>
      </c>
      <c r="G913" s="11"/>
      <c r="H913" s="11">
        <f>SUMIFS(X!$F$3:$F$5978,X!$D$3:$D$5978,'Current Stock'!A913)</f>
        <v>0</v>
      </c>
      <c r="I913" s="11">
        <f>SUMIFS(PENJUALAN!$E$4:$E$3651,PENJUALAN!$C$4:$C$3651,'Current Stock'!A913)</f>
        <v>0</v>
      </c>
      <c r="J913" s="15">
        <f t="shared" si="2"/>
        <v>0</v>
      </c>
      <c r="K913" s="11"/>
      <c r="L913" s="11"/>
      <c r="M913" s="11"/>
      <c r="N913" s="11"/>
      <c r="O913" s="17"/>
      <c r="P913" s="17"/>
    </row>
    <row r="914" ht="13.5" customHeight="1">
      <c r="A914" s="11" t="str">
        <f t="shared" si="1"/>
        <v>TRW-E60XYG</v>
      </c>
      <c r="B914" s="32" t="s">
        <v>178</v>
      </c>
      <c r="C914" s="33" t="s">
        <v>179</v>
      </c>
      <c r="D914" s="33" t="s">
        <v>62</v>
      </c>
      <c r="E914" s="11" t="s">
        <v>16</v>
      </c>
      <c r="F914" s="33" t="s">
        <v>83</v>
      </c>
      <c r="G914" s="11"/>
      <c r="H914" s="11">
        <f>SUMIFS(X!$F$3:$F$5978,X!$D$3:$D$5978,'Current Stock'!A914)</f>
        <v>0</v>
      </c>
      <c r="I914" s="11">
        <f>SUMIFS(PENJUALAN!$E$4:$E$3651,PENJUALAN!$C$4:$C$3651,'Current Stock'!A914)</f>
        <v>0</v>
      </c>
      <c r="J914" s="15">
        <f t="shared" si="2"/>
        <v>0</v>
      </c>
      <c r="K914" s="11"/>
      <c r="L914" s="11"/>
      <c r="M914" s="11"/>
      <c r="N914" s="11"/>
      <c r="O914" s="17"/>
      <c r="P914" s="17"/>
    </row>
    <row r="915" ht="13.5" customHeight="1">
      <c r="A915" s="11" t="str">
        <f t="shared" si="1"/>
        <v>LFW-F10XYG</v>
      </c>
      <c r="B915" s="32" t="s">
        <v>184</v>
      </c>
      <c r="C915" s="33" t="s">
        <v>185</v>
      </c>
      <c r="D915" s="33" t="s">
        <v>60</v>
      </c>
      <c r="E915" s="11" t="s">
        <v>16</v>
      </c>
      <c r="F915" s="33" t="s">
        <v>90</v>
      </c>
      <c r="G915" s="11"/>
      <c r="H915" s="11">
        <f>SUMIFS(X!$F$3:$F$5978,X!$D$3:$D$5978,'Current Stock'!A915)</f>
        <v>0</v>
      </c>
      <c r="I915" s="11">
        <f>SUMIFS(PENJUALAN!$E$4:$E$3651,PENJUALAN!$C$4:$C$3651,'Current Stock'!A915)</f>
        <v>0</v>
      </c>
      <c r="J915" s="15">
        <f t="shared" si="2"/>
        <v>0</v>
      </c>
      <c r="K915" s="11"/>
      <c r="L915" s="11"/>
      <c r="M915" s="11"/>
      <c r="N915" s="11"/>
      <c r="O915" s="17"/>
      <c r="P915" s="17"/>
    </row>
    <row r="916" ht="13.5" customHeight="1">
      <c r="A916" s="11" t="str">
        <f t="shared" si="1"/>
        <v>LFW-F10RSBWHXYG</v>
      </c>
      <c r="B916" s="32" t="s">
        <v>1351</v>
      </c>
      <c r="C916" s="35" t="s">
        <v>1352</v>
      </c>
      <c r="D916" s="35" t="s">
        <v>60</v>
      </c>
      <c r="E916" s="11" t="s">
        <v>16</v>
      </c>
      <c r="F916" s="42" t="s">
        <v>314</v>
      </c>
      <c r="G916" s="11"/>
      <c r="H916" s="11">
        <f>SUMIFS(X!$F$3:$F$5978,X!$D$3:$D$5978,'Current Stock'!A916)</f>
        <v>0</v>
      </c>
      <c r="I916" s="11">
        <f>SUMIFS(PENJUALAN!$E$4:$E$3651,PENJUALAN!$C$4:$C$3651,'Current Stock'!A916)</f>
        <v>0</v>
      </c>
      <c r="J916" s="15">
        <f t="shared" si="2"/>
        <v>0</v>
      </c>
      <c r="K916" s="11"/>
      <c r="L916" s="11"/>
      <c r="M916" s="11"/>
      <c r="N916" s="11"/>
      <c r="O916" s="17"/>
      <c r="P916" s="17"/>
    </row>
    <row r="917" ht="13.5" customHeight="1">
      <c r="A917" s="11" t="str">
        <f t="shared" si="1"/>
        <v>TRW-F10XYG</v>
      </c>
      <c r="B917" s="32" t="s">
        <v>1353</v>
      </c>
      <c r="C917" s="33" t="s">
        <v>187</v>
      </c>
      <c r="D917" s="33" t="s">
        <v>62</v>
      </c>
      <c r="E917" s="11" t="s">
        <v>16</v>
      </c>
      <c r="F917" s="33" t="s">
        <v>83</v>
      </c>
      <c r="G917" s="11"/>
      <c r="H917" s="11">
        <f>SUMIFS(X!$F$3:$F$5978,X!$D$3:$D$5978,'Current Stock'!A917)</f>
        <v>0</v>
      </c>
      <c r="I917" s="11">
        <f>SUMIFS(PENJUALAN!$E$4:$E$3651,PENJUALAN!$C$4:$C$3651,'Current Stock'!A917)</f>
        <v>0</v>
      </c>
      <c r="J917" s="15">
        <f t="shared" si="2"/>
        <v>0</v>
      </c>
      <c r="K917" s="11"/>
      <c r="L917" s="11"/>
      <c r="M917" s="11"/>
      <c r="N917" s="11"/>
      <c r="O917" s="17"/>
      <c r="P917" s="17"/>
    </row>
    <row r="918" ht="13.5" customHeight="1">
      <c r="A918" s="11" t="str">
        <f t="shared" si="1"/>
        <v>LFW-F02XYG</v>
      </c>
      <c r="B918" s="32" t="s">
        <v>1354</v>
      </c>
      <c r="C918" s="33" t="s">
        <v>1355</v>
      </c>
      <c r="D918" s="35" t="s">
        <v>60</v>
      </c>
      <c r="E918" s="11" t="s">
        <v>16</v>
      </c>
      <c r="F918" s="33" t="s">
        <v>314</v>
      </c>
      <c r="G918" s="11"/>
      <c r="H918" s="11">
        <f>SUMIFS(X!$F$3:$F$5978,X!$D$3:$D$5978,'Current Stock'!A918)</f>
        <v>0</v>
      </c>
      <c r="I918" s="11">
        <f>SUMIFS(PENJUALAN!$E$4:$E$3651,PENJUALAN!$C$4:$C$3651,'Current Stock'!A918)</f>
        <v>0</v>
      </c>
      <c r="J918" s="15">
        <f t="shared" si="2"/>
        <v>0</v>
      </c>
      <c r="K918" s="11"/>
      <c r="L918" s="11"/>
      <c r="M918" s="11"/>
      <c r="N918" s="11"/>
      <c r="O918" s="17"/>
      <c r="P918" s="17"/>
    </row>
    <row r="919" ht="13.5" customHeight="1">
      <c r="A919" s="11" t="str">
        <f t="shared" si="1"/>
        <v>LFW-E84XYG</v>
      </c>
      <c r="B919" s="32" t="s">
        <v>190</v>
      </c>
      <c r="C919" s="33" t="s">
        <v>191</v>
      </c>
      <c r="D919" s="33" t="s">
        <v>60</v>
      </c>
      <c r="E919" s="11" t="s">
        <v>16</v>
      </c>
      <c r="F919" s="33" t="s">
        <v>90</v>
      </c>
      <c r="G919" s="14">
        <v>45988.0</v>
      </c>
      <c r="H919" s="11">
        <f>SUMIFS(X!$F$3:$F$5978,X!$D$3:$D$5978,'Current Stock'!A919)</f>
        <v>1</v>
      </c>
      <c r="I919" s="11">
        <f>SUMIFS(PENJUALAN!$E$4:$E$3651,PENJUALAN!$C$4:$C$3651,'Current Stock'!A919)</f>
        <v>1</v>
      </c>
      <c r="J919" s="15">
        <f t="shared" si="2"/>
        <v>0</v>
      </c>
      <c r="K919" s="13" t="s">
        <v>1356</v>
      </c>
      <c r="L919" s="11"/>
      <c r="M919" s="11"/>
      <c r="N919" s="11"/>
      <c r="O919" s="17"/>
      <c r="P919" s="17"/>
    </row>
    <row r="920" ht="13.5" customHeight="1">
      <c r="A920" s="11" t="str">
        <f t="shared" si="1"/>
        <v>LFW-FREEDAGC</v>
      </c>
      <c r="B920" s="13" t="s">
        <v>465</v>
      </c>
      <c r="C920" s="13" t="s">
        <v>1357</v>
      </c>
      <c r="D920" s="13" t="s">
        <v>60</v>
      </c>
      <c r="E920" s="13" t="s">
        <v>101</v>
      </c>
      <c r="F920" s="13" t="s">
        <v>1358</v>
      </c>
      <c r="G920" s="34">
        <v>46021.0</v>
      </c>
      <c r="H920" s="11">
        <f>SUMIFS(X!$F$3:$F$5978,X!$D$3:$D$5978,'Current Stock'!A920)</f>
        <v>7</v>
      </c>
      <c r="I920" s="11">
        <f>SUMIFS(PENJUALAN!$E$4:$E$3651,PENJUALAN!$C$4:$C$3651,'Current Stock'!A920)</f>
        <v>5</v>
      </c>
      <c r="J920" s="15">
        <f t="shared" si="2"/>
        <v>2</v>
      </c>
      <c r="K920" s="13" t="s">
        <v>1356</v>
      </c>
      <c r="L920" s="44"/>
      <c r="M920" s="44"/>
      <c r="N920" s="44"/>
      <c r="O920" s="17"/>
      <c r="P920" s="17"/>
    </row>
    <row r="921" ht="13.5" customHeight="1">
      <c r="A921" s="11" t="str">
        <f t="shared" si="1"/>
        <v>TRW-FREEDAGC</v>
      </c>
      <c r="B921" s="13" t="s">
        <v>467</v>
      </c>
      <c r="C921" s="13" t="s">
        <v>1357</v>
      </c>
      <c r="D921" s="13" t="s">
        <v>62</v>
      </c>
      <c r="E921" s="13" t="s">
        <v>101</v>
      </c>
      <c r="F921" s="13" t="s">
        <v>119</v>
      </c>
      <c r="G921" s="34">
        <v>46021.0</v>
      </c>
      <c r="H921" s="11">
        <f>SUMIFS(X!$F$3:$F$5978,X!$D$3:$D$5978,'Current Stock'!A921)</f>
        <v>3</v>
      </c>
      <c r="I921" s="11">
        <f>SUMIFS(PENJUALAN!$E$4:$E$3651,PENJUALAN!$C$4:$C$3651,'Current Stock'!A921)</f>
        <v>2</v>
      </c>
      <c r="J921" s="15">
        <f t="shared" si="2"/>
        <v>1</v>
      </c>
      <c r="K921" s="13" t="s">
        <v>1359</v>
      </c>
      <c r="L921" s="44"/>
      <c r="M921" s="44"/>
      <c r="N921" s="44"/>
      <c r="O921" s="17"/>
      <c r="P921" s="17"/>
    </row>
    <row r="922" ht="13.5" customHeight="1">
      <c r="A922" s="11" t="str">
        <f t="shared" si="1"/>
        <v>LFW-F25XYG</v>
      </c>
      <c r="B922" s="32" t="s">
        <v>1360</v>
      </c>
      <c r="C922" s="33" t="s">
        <v>1361</v>
      </c>
      <c r="D922" s="33" t="s">
        <v>60</v>
      </c>
      <c r="E922" s="11" t="s">
        <v>16</v>
      </c>
      <c r="F922" s="33" t="s">
        <v>124</v>
      </c>
      <c r="G922" s="11"/>
      <c r="H922" s="11">
        <f>SUMIFS(X!$F$3:$F$5978,X!$D$3:$D$5978,'Current Stock'!A922)</f>
        <v>1</v>
      </c>
      <c r="I922" s="11">
        <f>SUMIFS(PENJUALAN!$E$4:$E$3651,PENJUALAN!$C$4:$C$3651,'Current Stock'!A922)</f>
        <v>1</v>
      </c>
      <c r="J922" s="15">
        <f t="shared" si="2"/>
        <v>0</v>
      </c>
      <c r="K922" s="11"/>
      <c r="L922" s="11"/>
      <c r="M922" s="11"/>
      <c r="N922" s="11"/>
      <c r="O922" s="17"/>
      <c r="P922" s="17"/>
    </row>
    <row r="923" ht="13.5" customHeight="1">
      <c r="A923" s="11" t="str">
        <f t="shared" si="1"/>
        <v>LFW-E53XYG</v>
      </c>
      <c r="B923" s="32" t="s">
        <v>197</v>
      </c>
      <c r="C923" s="33" t="s">
        <v>198</v>
      </c>
      <c r="D923" s="33" t="s">
        <v>60</v>
      </c>
      <c r="E923" s="11" t="s">
        <v>16</v>
      </c>
      <c r="F923" s="33" t="s">
        <v>90</v>
      </c>
      <c r="G923" s="11"/>
      <c r="H923" s="11">
        <f>SUMIFS(X!$F$3:$F$5978,X!$D$3:$D$5978,'Current Stock'!A923)</f>
        <v>0</v>
      </c>
      <c r="I923" s="11">
        <f>SUMIFS(PENJUALAN!$E$4:$E$3651,PENJUALAN!$C$4:$C$3651,'Current Stock'!A923)</f>
        <v>0</v>
      </c>
      <c r="J923" s="15">
        <f t="shared" si="2"/>
        <v>0</v>
      </c>
      <c r="K923" s="11"/>
      <c r="L923" s="11"/>
      <c r="M923" s="11"/>
      <c r="N923" s="11"/>
      <c r="O923" s="17"/>
      <c r="P923" s="17"/>
    </row>
    <row r="924" ht="13.5" customHeight="1">
      <c r="A924" s="11" t="str">
        <f t="shared" si="1"/>
        <v>TRW-E53BLACKXYG</v>
      </c>
      <c r="B924" s="32" t="s">
        <v>199</v>
      </c>
      <c r="C924" s="33" t="s">
        <v>200</v>
      </c>
      <c r="D924" s="33" t="s">
        <v>62</v>
      </c>
      <c r="E924" s="11" t="s">
        <v>16</v>
      </c>
      <c r="F924" s="33" t="s">
        <v>201</v>
      </c>
      <c r="G924" s="11"/>
      <c r="H924" s="11">
        <f>SUMIFS(X!$F$3:$F$5978,X!$D$3:$D$5978,'Current Stock'!A924)</f>
        <v>0</v>
      </c>
      <c r="I924" s="11">
        <f>SUMIFS(PENJUALAN!$E$4:$E$3651,PENJUALAN!$C$4:$C$3651,'Current Stock'!A924)</f>
        <v>0</v>
      </c>
      <c r="J924" s="15">
        <f t="shared" si="2"/>
        <v>0</v>
      </c>
      <c r="K924" s="11"/>
      <c r="L924" s="11"/>
      <c r="M924" s="11"/>
      <c r="N924" s="11"/>
      <c r="O924" s="17"/>
      <c r="P924" s="17"/>
    </row>
    <row r="925" ht="13.5" customHeight="1">
      <c r="A925" s="11" t="str">
        <f t="shared" si="1"/>
        <v>TRW-E70XYG</v>
      </c>
      <c r="B925" s="32" t="s">
        <v>204</v>
      </c>
      <c r="C925" s="33" t="s">
        <v>205</v>
      </c>
      <c r="D925" s="33" t="s">
        <v>62</v>
      </c>
      <c r="E925" s="11" t="s">
        <v>16</v>
      </c>
      <c r="F925" s="33" t="s">
        <v>206</v>
      </c>
      <c r="G925" s="11"/>
      <c r="H925" s="11">
        <f>SUMIFS(X!$F$3:$F$5978,X!$D$3:$D$5978,'Current Stock'!A925)</f>
        <v>0</v>
      </c>
      <c r="I925" s="11">
        <f>SUMIFS(PENJUALAN!$E$4:$E$3651,PENJUALAN!$C$4:$C$3651,'Current Stock'!A925)</f>
        <v>0</v>
      </c>
      <c r="J925" s="15">
        <f t="shared" si="2"/>
        <v>0</v>
      </c>
      <c r="K925" s="11"/>
      <c r="L925" s="11"/>
      <c r="M925" s="11"/>
      <c r="N925" s="11"/>
      <c r="O925" s="17"/>
      <c r="P925" s="17"/>
    </row>
    <row r="926" ht="13.5" customHeight="1">
      <c r="A926" s="11" t="str">
        <f t="shared" si="1"/>
        <v>FDR-CARRY19ASH</v>
      </c>
      <c r="B926" s="13" t="s">
        <v>1362</v>
      </c>
      <c r="C926" s="13" t="s">
        <v>1363</v>
      </c>
      <c r="D926" s="13" t="s">
        <v>106</v>
      </c>
      <c r="E926" s="13" t="s">
        <v>93</v>
      </c>
      <c r="F926" s="44"/>
      <c r="G926" s="11"/>
      <c r="H926" s="11">
        <f>SUMIFS(X!$F$3:$F$5978,X!$D$3:$D$5978,'Current Stock'!A926)</f>
        <v>2</v>
      </c>
      <c r="I926" s="11">
        <f>SUMIFS(PENJUALAN!$E$4:$E$3651,PENJUALAN!$C$4:$C$3651,'Current Stock'!A926)</f>
        <v>2</v>
      </c>
      <c r="J926" s="15">
        <f t="shared" si="2"/>
        <v>0</v>
      </c>
      <c r="K926" s="44"/>
      <c r="L926" s="44"/>
      <c r="M926" s="44"/>
      <c r="N926" s="44"/>
      <c r="O926" s="17"/>
      <c r="P926" s="17"/>
    </row>
    <row r="927" ht="13.5" customHeight="1">
      <c r="A927" s="11" t="str">
        <f t="shared" si="1"/>
        <v>LFW-E89XYG</v>
      </c>
      <c r="B927" s="32" t="s">
        <v>1364</v>
      </c>
      <c r="C927" s="33" t="s">
        <v>1365</v>
      </c>
      <c r="D927" s="33" t="s">
        <v>60</v>
      </c>
      <c r="E927" s="11" t="s">
        <v>16</v>
      </c>
      <c r="F927" s="33" t="s">
        <v>90</v>
      </c>
      <c r="G927" s="11"/>
      <c r="H927" s="11">
        <f>SUMIFS(X!$F$3:$F$5978,X!$D$3:$D$5978,'Current Stock'!A927)</f>
        <v>0</v>
      </c>
      <c r="I927" s="11">
        <f>SUMIFS(PENJUALAN!$E$4:$E$3651,PENJUALAN!$C$4:$C$3651,'Current Stock'!A927)</f>
        <v>0</v>
      </c>
      <c r="J927" s="15">
        <f t="shared" si="2"/>
        <v>0</v>
      </c>
      <c r="K927" s="11"/>
      <c r="L927" s="11"/>
      <c r="M927" s="11"/>
      <c r="N927" s="11"/>
      <c r="O927" s="17"/>
      <c r="P927" s="17"/>
    </row>
    <row r="928" ht="13.5" customHeight="1">
      <c r="A928" s="11" t="str">
        <f t="shared" si="1"/>
        <v>LFW-Z4XYG</v>
      </c>
      <c r="B928" s="32" t="s">
        <v>1366</v>
      </c>
      <c r="C928" s="33" t="s">
        <v>1365</v>
      </c>
      <c r="D928" s="33" t="s">
        <v>62</v>
      </c>
      <c r="E928" s="11" t="s">
        <v>16</v>
      </c>
      <c r="F928" s="33" t="s">
        <v>83</v>
      </c>
      <c r="G928" s="11"/>
      <c r="H928" s="11">
        <f>SUMIFS(X!$F$3:$F$5978,X!$D$3:$D$5978,'Current Stock'!A928)</f>
        <v>0</v>
      </c>
      <c r="I928" s="11">
        <f>SUMIFS(PENJUALAN!$E$4:$E$3651,PENJUALAN!$C$4:$C$3651,'Current Stock'!A928)</f>
        <v>0</v>
      </c>
      <c r="J928" s="15">
        <f t="shared" si="2"/>
        <v>0</v>
      </c>
      <c r="K928" s="11"/>
      <c r="L928" s="11"/>
      <c r="M928" s="11"/>
      <c r="N928" s="11"/>
      <c r="O928" s="17"/>
      <c r="P928" s="17"/>
    </row>
    <row r="929" ht="13.5" customHeight="1">
      <c r="A929" s="11" t="str">
        <f t="shared" si="1"/>
        <v>LFW-QQ03XYG</v>
      </c>
      <c r="B929" s="32" t="s">
        <v>214</v>
      </c>
      <c r="C929" s="33" t="s">
        <v>215</v>
      </c>
      <c r="D929" s="33" t="s">
        <v>60</v>
      </c>
      <c r="E929" s="11" t="s">
        <v>16</v>
      </c>
      <c r="F929" s="33" t="s">
        <v>137</v>
      </c>
      <c r="G929" s="11"/>
      <c r="H929" s="11">
        <f>SUMIFS(X!$F$3:$F$5978,X!$D$3:$D$5978,'Current Stock'!A929)</f>
        <v>1</v>
      </c>
      <c r="I929" s="11">
        <f>SUMIFS(PENJUALAN!$E$4:$E$3651,PENJUALAN!$C$4:$C$3651,'Current Stock'!A929)</f>
        <v>1</v>
      </c>
      <c r="J929" s="15">
        <f t="shared" si="2"/>
        <v>0</v>
      </c>
      <c r="K929" s="11"/>
      <c r="L929" s="11"/>
      <c r="M929" s="11"/>
      <c r="N929" s="11"/>
      <c r="O929" s="17"/>
      <c r="P929" s="17"/>
    </row>
    <row r="930" ht="13.5" customHeight="1">
      <c r="A930" s="11" t="str">
        <f t="shared" si="1"/>
        <v>FDL-AVEO99XYG</v>
      </c>
      <c r="B930" s="32" t="s">
        <v>219</v>
      </c>
      <c r="C930" s="33" t="s">
        <v>220</v>
      </c>
      <c r="D930" s="33" t="s">
        <v>140</v>
      </c>
      <c r="E930" s="11" t="s">
        <v>16</v>
      </c>
      <c r="F930" s="33" t="s">
        <v>152</v>
      </c>
      <c r="G930" s="11"/>
      <c r="H930" s="11">
        <f>SUMIFS(X!$F$3:$F$5978,X!$D$3:$D$5978,'Current Stock'!A930)</f>
        <v>0</v>
      </c>
      <c r="I930" s="11">
        <f>SUMIFS(PENJUALAN!$E$4:$E$3651,PENJUALAN!$C$4:$C$3651,'Current Stock'!A930)</f>
        <v>0</v>
      </c>
      <c r="J930" s="15">
        <f t="shared" si="2"/>
        <v>0</v>
      </c>
      <c r="K930" s="11"/>
      <c r="L930" s="11"/>
      <c r="M930" s="11"/>
      <c r="N930" s="11"/>
      <c r="O930" s="17"/>
      <c r="P930" s="17"/>
    </row>
    <row r="931" ht="13.5" customHeight="1">
      <c r="A931" s="11" t="str">
        <f t="shared" si="1"/>
        <v>FDR-AVEO99XYG</v>
      </c>
      <c r="B931" s="32" t="s">
        <v>221</v>
      </c>
      <c r="C931" s="33" t="s">
        <v>220</v>
      </c>
      <c r="D931" s="33" t="s">
        <v>142</v>
      </c>
      <c r="E931" s="11" t="s">
        <v>16</v>
      </c>
      <c r="F931" s="33" t="s">
        <v>152</v>
      </c>
      <c r="G931" s="11"/>
      <c r="H931" s="11">
        <f>SUMIFS(X!$F$3:$F$5978,X!$D$3:$D$5978,'Current Stock'!A931)</f>
        <v>0</v>
      </c>
      <c r="I931" s="11">
        <f>SUMIFS(PENJUALAN!$E$4:$E$3651,PENJUALAN!$C$4:$C$3651,'Current Stock'!A931)</f>
        <v>0</v>
      </c>
      <c r="J931" s="15">
        <f t="shared" si="2"/>
        <v>0</v>
      </c>
      <c r="K931" s="11"/>
      <c r="L931" s="11"/>
      <c r="M931" s="11"/>
      <c r="N931" s="11"/>
      <c r="O931" s="17"/>
      <c r="P931" s="17"/>
    </row>
    <row r="932" ht="13.5" customHeight="1">
      <c r="A932" s="11" t="str">
        <f t="shared" si="1"/>
        <v>TRW-AVEO99XYG</v>
      </c>
      <c r="B932" s="32" t="s">
        <v>222</v>
      </c>
      <c r="C932" s="33" t="s">
        <v>220</v>
      </c>
      <c r="D932" s="33" t="s">
        <v>62</v>
      </c>
      <c r="E932" s="11" t="s">
        <v>16</v>
      </c>
      <c r="F932" s="33" t="s">
        <v>83</v>
      </c>
      <c r="G932" s="11"/>
      <c r="H932" s="11">
        <f>SUMIFS(X!$F$3:$F$5978,X!$D$3:$D$5978,'Current Stock'!A932)</f>
        <v>0</v>
      </c>
      <c r="I932" s="11">
        <f>SUMIFS(PENJUALAN!$E$4:$E$3651,PENJUALAN!$C$4:$C$3651,'Current Stock'!A932)</f>
        <v>0</v>
      </c>
      <c r="J932" s="15">
        <f t="shared" si="2"/>
        <v>0</v>
      </c>
      <c r="K932" s="11"/>
      <c r="L932" s="11"/>
      <c r="M932" s="11"/>
      <c r="N932" s="11"/>
      <c r="O932" s="17"/>
      <c r="P932" s="17"/>
    </row>
    <row r="933" ht="13.5" customHeight="1">
      <c r="A933" s="11" t="str">
        <f t="shared" si="1"/>
        <v>LFW-CAPTIVAXYG</v>
      </c>
      <c r="B933" s="32" t="s">
        <v>232</v>
      </c>
      <c r="C933" s="33" t="s">
        <v>230</v>
      </c>
      <c r="D933" s="33" t="s">
        <v>60</v>
      </c>
      <c r="E933" s="11" t="s">
        <v>16</v>
      </c>
      <c r="F933" s="33" t="s">
        <v>137</v>
      </c>
      <c r="G933" s="11"/>
      <c r="H933" s="11">
        <f>SUMIFS(X!$F$3:$F$5978,X!$D$3:$D$5978,'Current Stock'!A933)</f>
        <v>1</v>
      </c>
      <c r="I933" s="11">
        <f>SUMIFS(PENJUALAN!$E$4:$E$3651,PENJUALAN!$C$4:$C$3651,'Current Stock'!A933)</f>
        <v>1</v>
      </c>
      <c r="J933" s="15">
        <f t="shared" si="2"/>
        <v>0</v>
      </c>
      <c r="K933" s="13"/>
      <c r="L933" s="13"/>
      <c r="M933" s="16">
        <v>1.0</v>
      </c>
      <c r="N933" s="11"/>
      <c r="O933" s="17"/>
      <c r="P933" s="17"/>
    </row>
    <row r="934" ht="13.5" customHeight="1">
      <c r="A934" s="11" t="str">
        <f t="shared" si="1"/>
        <v>LFW-CAPTIVARSXYG</v>
      </c>
      <c r="B934" s="32" t="s">
        <v>229</v>
      </c>
      <c r="C934" s="33" t="s">
        <v>230</v>
      </c>
      <c r="D934" s="33" t="s">
        <v>60</v>
      </c>
      <c r="E934" s="11" t="s">
        <v>16</v>
      </c>
      <c r="F934" s="33" t="s">
        <v>90</v>
      </c>
      <c r="G934" s="11"/>
      <c r="H934" s="11">
        <f>SUMIFS(X!$F$3:$F$5978,X!$D$3:$D$5978,'Current Stock'!A934)</f>
        <v>0</v>
      </c>
      <c r="I934" s="11">
        <f>SUMIFS(PENJUALAN!$E$4:$E$3651,PENJUALAN!$C$4:$C$3651,'Current Stock'!A934)</f>
        <v>0</v>
      </c>
      <c r="J934" s="15">
        <f t="shared" si="2"/>
        <v>0</v>
      </c>
      <c r="K934" s="11"/>
      <c r="L934" s="11"/>
      <c r="M934" s="11"/>
      <c r="N934" s="11"/>
      <c r="O934" s="17"/>
      <c r="P934" s="17"/>
    </row>
    <row r="935" ht="13.5" customHeight="1">
      <c r="A935" s="11" t="str">
        <f t="shared" si="1"/>
        <v>TRW-CAPTIVA6HOLEXYG</v>
      </c>
      <c r="B935" s="32" t="s">
        <v>233</v>
      </c>
      <c r="C935" s="33" t="s">
        <v>230</v>
      </c>
      <c r="D935" s="33" t="s">
        <v>62</v>
      </c>
      <c r="E935" s="11" t="s">
        <v>16</v>
      </c>
      <c r="F935" s="33" t="s">
        <v>234</v>
      </c>
      <c r="G935" s="11"/>
      <c r="H935" s="11">
        <f>SUMIFS(X!$F$3:$F$5978,X!$D$3:$D$5978,'Current Stock'!A935)</f>
        <v>0</v>
      </c>
      <c r="I935" s="11">
        <f>SUMIFS(PENJUALAN!$E$4:$E$3651,PENJUALAN!$C$4:$C$3651,'Current Stock'!A935)</f>
        <v>0</v>
      </c>
      <c r="J935" s="15">
        <f t="shared" si="2"/>
        <v>0</v>
      </c>
      <c r="K935" s="11"/>
      <c r="L935" s="11"/>
      <c r="M935" s="11"/>
      <c r="N935" s="11"/>
      <c r="O935" s="17"/>
      <c r="P935" s="17"/>
    </row>
    <row r="936" ht="13.5" customHeight="1">
      <c r="A936" s="11" t="str">
        <f t="shared" si="1"/>
        <v>FDL2-CAPTIVAXYG</v>
      </c>
      <c r="B936" s="32" t="s">
        <v>236</v>
      </c>
      <c r="C936" s="33" t="s">
        <v>230</v>
      </c>
      <c r="D936" s="33" t="s">
        <v>140</v>
      </c>
      <c r="E936" s="11" t="s">
        <v>16</v>
      </c>
      <c r="F936" s="33" t="s">
        <v>152</v>
      </c>
      <c r="G936" s="11"/>
      <c r="H936" s="11">
        <f>SUMIFS(X!$F$3:$F$5978,X!$D$3:$D$5978,'Current Stock'!A936)</f>
        <v>0</v>
      </c>
      <c r="I936" s="11">
        <f>SUMIFS(PENJUALAN!$E$4:$E$3651,PENJUALAN!$C$4:$C$3651,'Current Stock'!A936)</f>
        <v>0</v>
      </c>
      <c r="J936" s="15">
        <f t="shared" si="2"/>
        <v>0</v>
      </c>
      <c r="K936" s="11"/>
      <c r="L936" s="11"/>
      <c r="M936" s="11"/>
      <c r="N936" s="11"/>
      <c r="O936" s="17"/>
      <c r="P936" s="17"/>
    </row>
    <row r="937" ht="13.5" customHeight="1">
      <c r="A937" s="11" t="str">
        <f t="shared" si="1"/>
        <v>FDR2-CAPTIVAXYG</v>
      </c>
      <c r="B937" s="32" t="s">
        <v>237</v>
      </c>
      <c r="C937" s="33" t="s">
        <v>230</v>
      </c>
      <c r="D937" s="33" t="s">
        <v>142</v>
      </c>
      <c r="E937" s="11" t="s">
        <v>16</v>
      </c>
      <c r="F937" s="33" t="s">
        <v>152</v>
      </c>
      <c r="G937" s="11"/>
      <c r="H937" s="11">
        <f>SUMIFS(X!$F$3:$F$5978,X!$D$3:$D$5978,'Current Stock'!A937)</f>
        <v>0</v>
      </c>
      <c r="I937" s="11">
        <f>SUMIFS(PENJUALAN!$E$4:$E$3651,PENJUALAN!$C$4:$C$3651,'Current Stock'!A937)</f>
        <v>0</v>
      </c>
      <c r="J937" s="15">
        <f t="shared" si="2"/>
        <v>0</v>
      </c>
      <c r="K937" s="11"/>
      <c r="L937" s="11"/>
      <c r="M937" s="11"/>
      <c r="N937" s="11"/>
      <c r="O937" s="17"/>
      <c r="P937" s="17"/>
    </row>
    <row r="938" ht="13.5" customHeight="1">
      <c r="A938" s="11" t="str">
        <f t="shared" si="1"/>
        <v>RDL2-CAPTIVAXYG</v>
      </c>
      <c r="B938" s="32" t="s">
        <v>238</v>
      </c>
      <c r="C938" s="33" t="s">
        <v>230</v>
      </c>
      <c r="D938" s="33" t="s">
        <v>144</v>
      </c>
      <c r="E938" s="11" t="s">
        <v>16</v>
      </c>
      <c r="F938" s="33" t="s">
        <v>152</v>
      </c>
      <c r="G938" s="11"/>
      <c r="H938" s="11">
        <f>SUMIFS(X!$F$3:$F$5978,X!$D$3:$D$5978,'Current Stock'!A938)</f>
        <v>0</v>
      </c>
      <c r="I938" s="11">
        <f>SUMIFS(PENJUALAN!$E$4:$E$3651,PENJUALAN!$C$4:$C$3651,'Current Stock'!A938)</f>
        <v>0</v>
      </c>
      <c r="J938" s="15">
        <f t="shared" si="2"/>
        <v>0</v>
      </c>
      <c r="K938" s="11"/>
      <c r="L938" s="11"/>
      <c r="M938" s="11"/>
      <c r="N938" s="13"/>
      <c r="O938" s="45"/>
      <c r="P938" s="45"/>
    </row>
    <row r="939" ht="13.5" customHeight="1">
      <c r="A939" s="11" t="str">
        <f t="shared" si="1"/>
        <v>RDR2-CAPTIVAXYG</v>
      </c>
      <c r="B939" s="32" t="s">
        <v>239</v>
      </c>
      <c r="C939" s="33" t="s">
        <v>230</v>
      </c>
      <c r="D939" s="33" t="s">
        <v>146</v>
      </c>
      <c r="E939" s="11" t="s">
        <v>16</v>
      </c>
      <c r="F939" s="33" t="s">
        <v>152</v>
      </c>
      <c r="G939" s="11"/>
      <c r="H939" s="11">
        <f>SUMIFS(X!$F$3:$F$5978,X!$D$3:$D$5978,'Current Stock'!A939)</f>
        <v>0</v>
      </c>
      <c r="I939" s="11">
        <f>SUMIFS(PENJUALAN!$E$4:$E$3651,PENJUALAN!$C$4:$C$3651,'Current Stock'!A939)</f>
        <v>0</v>
      </c>
      <c r="J939" s="15">
        <f t="shared" si="2"/>
        <v>0</v>
      </c>
      <c r="K939" s="11"/>
      <c r="L939" s="11"/>
      <c r="M939" s="11"/>
      <c r="N939" s="11"/>
      <c r="O939" s="17"/>
      <c r="P939" s="17"/>
    </row>
    <row r="940" ht="13.5" customHeight="1">
      <c r="A940" s="11" t="str">
        <f t="shared" si="1"/>
        <v>LFW-OPTRAXYG</v>
      </c>
      <c r="B940" s="32" t="s">
        <v>244</v>
      </c>
      <c r="C940" s="33" t="s">
        <v>245</v>
      </c>
      <c r="D940" s="33" t="s">
        <v>60</v>
      </c>
      <c r="E940" s="13" t="s">
        <v>16</v>
      </c>
      <c r="F940" s="33" t="s">
        <v>137</v>
      </c>
      <c r="G940" s="11"/>
      <c r="H940" s="11">
        <f>SUMIFS(X!$F$3:$F$5978,X!$D$3:$D$5978,'Current Stock'!A940)</f>
        <v>0</v>
      </c>
      <c r="I940" s="11">
        <f>SUMIFS(PENJUALAN!$E$4:$E$3651,PENJUALAN!$C$4:$C$3651,'Current Stock'!A940)</f>
        <v>0</v>
      </c>
      <c r="J940" s="15">
        <f t="shared" si="2"/>
        <v>0</v>
      </c>
      <c r="K940" s="11"/>
      <c r="L940" s="11"/>
      <c r="M940" s="11"/>
      <c r="N940" s="11"/>
      <c r="O940" s="17"/>
      <c r="P940" s="17"/>
    </row>
    <row r="941" ht="13.5" customHeight="1">
      <c r="A941" s="11" t="str">
        <f t="shared" si="1"/>
        <v>LFW-SPARK98XYG</v>
      </c>
      <c r="B941" s="32" t="s">
        <v>251</v>
      </c>
      <c r="C941" s="33" t="s">
        <v>252</v>
      </c>
      <c r="D941" s="33" t="s">
        <v>60</v>
      </c>
      <c r="E941" s="11" t="s">
        <v>16</v>
      </c>
      <c r="F941" s="33" t="s">
        <v>137</v>
      </c>
      <c r="G941" s="11"/>
      <c r="H941" s="11">
        <f>SUMIFS(X!$F$3:$F$5978,X!$D$3:$D$5978,'Current Stock'!A941)</f>
        <v>1</v>
      </c>
      <c r="I941" s="11">
        <f>SUMIFS(PENJUALAN!$E$4:$E$3651,PENJUALAN!$C$4:$C$3651,'Current Stock'!A941)</f>
        <v>1</v>
      </c>
      <c r="J941" s="15">
        <f t="shared" si="2"/>
        <v>0</v>
      </c>
      <c r="K941" s="11"/>
      <c r="L941" s="11"/>
      <c r="M941" s="11"/>
      <c r="N941" s="11"/>
      <c r="O941" s="17"/>
      <c r="P941" s="17"/>
    </row>
    <row r="942" ht="13.5" customHeight="1">
      <c r="A942" s="11" t="str">
        <f t="shared" si="1"/>
        <v>RDL-SPARK10XYG</v>
      </c>
      <c r="B942" s="32" t="s">
        <v>265</v>
      </c>
      <c r="C942" s="33" t="s">
        <v>261</v>
      </c>
      <c r="D942" s="33" t="s">
        <v>144</v>
      </c>
      <c r="E942" s="11" t="s">
        <v>16</v>
      </c>
      <c r="F942" s="33" t="s">
        <v>152</v>
      </c>
      <c r="G942" s="11"/>
      <c r="H942" s="11">
        <f>SUMIFS(X!$F$3:$F$5978,X!$D$3:$D$5978,'Current Stock'!A942)</f>
        <v>0</v>
      </c>
      <c r="I942" s="11">
        <f>SUMIFS(PENJUALAN!$E$4:$E$3651,PENJUALAN!$C$4:$C$3651,'Current Stock'!A942)</f>
        <v>0</v>
      </c>
      <c r="J942" s="15">
        <f t="shared" si="2"/>
        <v>0</v>
      </c>
      <c r="K942" s="11"/>
      <c r="L942" s="11"/>
      <c r="M942" s="11"/>
      <c r="N942" s="11"/>
      <c r="O942" s="17"/>
      <c r="P942" s="17"/>
    </row>
    <row r="943" ht="13.5" customHeight="1">
      <c r="A943" s="11" t="str">
        <f t="shared" si="1"/>
        <v>LFW-SPARK16XYG</v>
      </c>
      <c r="B943" s="32" t="s">
        <v>1367</v>
      </c>
      <c r="C943" s="35" t="s">
        <v>1368</v>
      </c>
      <c r="D943" s="35" t="s">
        <v>60</v>
      </c>
      <c r="E943" s="11" t="s">
        <v>16</v>
      </c>
      <c r="F943" s="35" t="s">
        <v>137</v>
      </c>
      <c r="G943" s="14">
        <v>45988.0</v>
      </c>
      <c r="H943" s="11">
        <f>SUMIFS(X!$F$3:$F$5978,X!$D$3:$D$5978,'Current Stock'!A943)</f>
        <v>1</v>
      </c>
      <c r="I943" s="11">
        <f>SUMIFS(PENJUALAN!$E$4:$E$3651,PENJUALAN!$C$4:$C$3651,'Current Stock'!A943)</f>
        <v>1</v>
      </c>
      <c r="J943" s="15">
        <f t="shared" si="2"/>
        <v>0</v>
      </c>
      <c r="K943" s="13" t="s">
        <v>1369</v>
      </c>
      <c r="L943" s="11"/>
      <c r="M943" s="11"/>
      <c r="N943" s="11"/>
      <c r="O943" s="17"/>
      <c r="P943" s="17"/>
    </row>
    <row r="944" ht="13.5" customHeight="1">
      <c r="A944" s="11" t="str">
        <f t="shared" si="1"/>
        <v>TRW-SPARK16XYG</v>
      </c>
      <c r="B944" s="32" t="s">
        <v>1370</v>
      </c>
      <c r="C944" s="35" t="s">
        <v>1368</v>
      </c>
      <c r="D944" s="35" t="s">
        <v>62</v>
      </c>
      <c r="E944" s="11" t="s">
        <v>16</v>
      </c>
      <c r="F944" s="35" t="s">
        <v>228</v>
      </c>
      <c r="G944" s="11"/>
      <c r="H944" s="11">
        <f>SUMIFS(X!$F$3:$F$5978,X!$D$3:$D$5978,'Current Stock'!A944)</f>
        <v>0</v>
      </c>
      <c r="I944" s="11">
        <f>SUMIFS(PENJUALAN!$E$4:$E$3651,PENJUALAN!$C$4:$C$3651,'Current Stock'!A944)</f>
        <v>0</v>
      </c>
      <c r="J944" s="15">
        <f t="shared" si="2"/>
        <v>0</v>
      </c>
      <c r="K944" s="11"/>
      <c r="L944" s="11"/>
      <c r="M944" s="11"/>
      <c r="N944" s="11"/>
      <c r="O944" s="17"/>
      <c r="P944" s="17"/>
    </row>
    <row r="945" ht="13.5" customHeight="1">
      <c r="A945" s="11" t="str">
        <f t="shared" si="1"/>
        <v>LFW-SPINXYG</v>
      </c>
      <c r="B945" s="46" t="s">
        <v>267</v>
      </c>
      <c r="C945" s="47" t="s">
        <v>268</v>
      </c>
      <c r="D945" s="33" t="s">
        <v>60</v>
      </c>
      <c r="E945" s="11" t="s">
        <v>16</v>
      </c>
      <c r="F945" s="33" t="s">
        <v>137</v>
      </c>
      <c r="G945" s="34"/>
      <c r="H945" s="11">
        <f>SUMIFS(X!$F$3:$F$5978,X!$D$3:$D$5978,'Current Stock'!A945)</f>
        <v>2</v>
      </c>
      <c r="I945" s="11">
        <f>SUMIFS(PENJUALAN!$E$4:$E$3651,PENJUALAN!$C$4:$C$3651,'Current Stock'!A945)</f>
        <v>2</v>
      </c>
      <c r="J945" s="15">
        <f t="shared" si="2"/>
        <v>0</v>
      </c>
      <c r="K945" s="13"/>
      <c r="L945" s="11"/>
      <c r="M945" s="11"/>
      <c r="N945" s="11"/>
      <c r="O945" s="17"/>
      <c r="P945" s="17"/>
    </row>
    <row r="946" ht="13.5" customHeight="1">
      <c r="A946" s="11" t="str">
        <f t="shared" si="1"/>
        <v>TRW-SPINXYG</v>
      </c>
      <c r="B946" s="32" t="s">
        <v>1371</v>
      </c>
      <c r="C946" s="33" t="s">
        <v>268</v>
      </c>
      <c r="D946" s="33" t="s">
        <v>62</v>
      </c>
      <c r="E946" s="11" t="s">
        <v>16</v>
      </c>
      <c r="F946" s="33" t="s">
        <v>228</v>
      </c>
      <c r="G946" s="11"/>
      <c r="H946" s="11">
        <f>SUMIFS(X!$F$3:$F$5978,X!$D$3:$D$5978,'Current Stock'!A946)</f>
        <v>2</v>
      </c>
      <c r="I946" s="11">
        <f>SUMIFS(PENJUALAN!$E$4:$E$3651,PENJUALAN!$C$4:$C$3651,'Current Stock'!A946)</f>
        <v>2</v>
      </c>
      <c r="J946" s="15">
        <f t="shared" si="2"/>
        <v>0</v>
      </c>
      <c r="K946" s="11"/>
      <c r="L946" s="11"/>
      <c r="M946" s="11"/>
      <c r="N946" s="11"/>
      <c r="O946" s="17"/>
      <c r="P946" s="17"/>
    </row>
    <row r="947" ht="13.5" customHeight="1">
      <c r="A947" s="11" t="str">
        <f t="shared" si="1"/>
        <v>LFW-TRAILBLAZERXYG</v>
      </c>
      <c r="B947" s="32" t="s">
        <v>1372</v>
      </c>
      <c r="C947" s="35" t="s">
        <v>1373</v>
      </c>
      <c r="D947" s="35" t="s">
        <v>60</v>
      </c>
      <c r="E947" s="11" t="s">
        <v>16</v>
      </c>
      <c r="F947" s="35" t="s">
        <v>90</v>
      </c>
      <c r="G947" s="11"/>
      <c r="H947" s="11">
        <f>SUMIFS(X!$F$3:$F$5978,X!$D$3:$D$5978,'Current Stock'!A947)</f>
        <v>0</v>
      </c>
      <c r="I947" s="11">
        <f>SUMIFS(PENJUALAN!$E$4:$E$3651,PENJUALAN!$C$4:$C$3651,'Current Stock'!A947)</f>
        <v>0</v>
      </c>
      <c r="J947" s="15">
        <f t="shared" si="2"/>
        <v>0</v>
      </c>
      <c r="K947" s="11"/>
      <c r="L947" s="11"/>
      <c r="M947" s="11"/>
      <c r="N947" s="11"/>
      <c r="O947" s="17"/>
      <c r="P947" s="17"/>
    </row>
    <row r="948" ht="13.5" customHeight="1">
      <c r="A948" s="11" t="str">
        <f t="shared" si="1"/>
        <v>TRW-TRAILBLAZERXYG</v>
      </c>
      <c r="B948" s="32" t="s">
        <v>272</v>
      </c>
      <c r="C948" s="33" t="s">
        <v>273</v>
      </c>
      <c r="D948" s="33" t="s">
        <v>62</v>
      </c>
      <c r="E948" s="11" t="s">
        <v>16</v>
      </c>
      <c r="F948" s="33" t="s">
        <v>228</v>
      </c>
      <c r="G948" s="11"/>
      <c r="H948" s="11">
        <f>SUMIFS(X!$F$3:$F$5978,X!$D$3:$D$5978,'Current Stock'!A948)</f>
        <v>2</v>
      </c>
      <c r="I948" s="11">
        <f>SUMIFS(PENJUALAN!$E$4:$E$3651,PENJUALAN!$C$4:$C$3651,'Current Stock'!A948)</f>
        <v>2</v>
      </c>
      <c r="J948" s="15">
        <f t="shared" si="2"/>
        <v>0</v>
      </c>
      <c r="K948" s="11"/>
      <c r="L948" s="11"/>
      <c r="M948" s="11"/>
      <c r="N948" s="11"/>
      <c r="O948" s="17"/>
      <c r="P948" s="17"/>
    </row>
    <row r="949" ht="13.5" customHeight="1">
      <c r="A949" s="11" t="str">
        <f t="shared" si="1"/>
        <v>LFW-TRAXXYG</v>
      </c>
      <c r="B949" s="32" t="s">
        <v>274</v>
      </c>
      <c r="C949" s="33" t="s">
        <v>275</v>
      </c>
      <c r="D949" s="33" t="s">
        <v>60</v>
      </c>
      <c r="E949" s="11" t="s">
        <v>16</v>
      </c>
      <c r="F949" s="33" t="s">
        <v>137</v>
      </c>
      <c r="G949" s="11"/>
      <c r="H949" s="11">
        <f>SUMIFS(X!$F$3:$F$5978,X!$D$3:$D$5978,'Current Stock'!A949)</f>
        <v>2</v>
      </c>
      <c r="I949" s="11">
        <f>SUMIFS(PENJUALAN!$E$4:$E$3651,PENJUALAN!$C$4:$C$3651,'Current Stock'!A949)</f>
        <v>1</v>
      </c>
      <c r="J949" s="15">
        <f t="shared" si="2"/>
        <v>1</v>
      </c>
      <c r="K949" s="11"/>
      <c r="L949" s="11"/>
      <c r="M949" s="11"/>
      <c r="N949" s="11"/>
      <c r="O949" s="17"/>
      <c r="P949" s="17"/>
    </row>
    <row r="950" ht="13.5" customHeight="1">
      <c r="A950" s="11" t="str">
        <f t="shared" si="1"/>
        <v>LFW-TRAXRSXYG</v>
      </c>
      <c r="B950" s="32" t="s">
        <v>1374</v>
      </c>
      <c r="C950" s="35" t="s">
        <v>1375</v>
      </c>
      <c r="D950" s="35" t="s">
        <v>60</v>
      </c>
      <c r="E950" s="11" t="s">
        <v>16</v>
      </c>
      <c r="F950" s="35" t="s">
        <v>90</v>
      </c>
      <c r="G950" s="11"/>
      <c r="H950" s="11">
        <f>SUMIFS(X!$F$3:$F$5978,X!$D$3:$D$5978,'Current Stock'!A950)</f>
        <v>0</v>
      </c>
      <c r="I950" s="11">
        <f>SUMIFS(PENJUALAN!$E$4:$E$3651,PENJUALAN!$C$4:$C$3651,'Current Stock'!A950)</f>
        <v>0</v>
      </c>
      <c r="J950" s="15">
        <f t="shared" si="2"/>
        <v>0</v>
      </c>
      <c r="K950" s="11"/>
      <c r="L950" s="11"/>
      <c r="M950" s="11"/>
      <c r="N950" s="11"/>
      <c r="O950" s="17"/>
      <c r="P950" s="17"/>
    </row>
    <row r="951" ht="13.5" customHeight="1">
      <c r="A951" s="11" t="str">
        <f t="shared" si="1"/>
        <v>TRW-TRAXXYG</v>
      </c>
      <c r="B951" s="32" t="s">
        <v>276</v>
      </c>
      <c r="C951" s="33" t="s">
        <v>277</v>
      </c>
      <c r="D951" s="33" t="s">
        <v>62</v>
      </c>
      <c r="E951" s="11" t="s">
        <v>16</v>
      </c>
      <c r="F951" s="33" t="s">
        <v>228</v>
      </c>
      <c r="G951" s="11"/>
      <c r="H951" s="11">
        <f>SUMIFS(X!$F$3:$F$5978,X!$D$3:$D$5978,'Current Stock'!A951)</f>
        <v>0</v>
      </c>
      <c r="I951" s="11">
        <f>SUMIFS(PENJUALAN!$E$4:$E$3651,PENJUALAN!$C$4:$C$3651,'Current Stock'!A951)</f>
        <v>0</v>
      </c>
      <c r="J951" s="15">
        <f t="shared" si="2"/>
        <v>0</v>
      </c>
      <c r="K951" s="11"/>
      <c r="L951" s="11"/>
      <c r="M951" s="11"/>
      <c r="N951" s="11"/>
      <c r="O951" s="17"/>
      <c r="P951" s="17"/>
    </row>
    <row r="952" ht="13.5" customHeight="1">
      <c r="A952" s="11" t="str">
        <f t="shared" si="1"/>
        <v>LFW-ZAFIRAXYG</v>
      </c>
      <c r="B952" s="32" t="s">
        <v>278</v>
      </c>
      <c r="C952" s="33" t="s">
        <v>279</v>
      </c>
      <c r="D952" s="33" t="s">
        <v>60</v>
      </c>
      <c r="E952" s="11" t="s">
        <v>16</v>
      </c>
      <c r="F952" s="33" t="s">
        <v>137</v>
      </c>
      <c r="G952" s="11"/>
      <c r="H952" s="11">
        <f>SUMIFS(X!$F$3:$F$5978,X!$D$3:$D$5978,'Current Stock'!A952)</f>
        <v>0</v>
      </c>
      <c r="I952" s="11">
        <f>SUMIFS(PENJUALAN!$E$4:$E$3651,PENJUALAN!$C$4:$C$3651,'Current Stock'!A952)</f>
        <v>0</v>
      </c>
      <c r="J952" s="15">
        <f t="shared" si="2"/>
        <v>0</v>
      </c>
      <c r="K952" s="11"/>
      <c r="L952" s="11"/>
      <c r="M952" s="11"/>
      <c r="N952" s="11"/>
      <c r="O952" s="17"/>
      <c r="P952" s="17"/>
    </row>
    <row r="953" ht="13.5" customHeight="1">
      <c r="A953" s="11" t="str">
        <f t="shared" si="1"/>
        <v>LFW-GRANMAXXYG</v>
      </c>
      <c r="B953" s="32" t="s">
        <v>281</v>
      </c>
      <c r="C953" s="33" t="s">
        <v>282</v>
      </c>
      <c r="D953" s="33" t="s">
        <v>60</v>
      </c>
      <c r="E953" s="11" t="s">
        <v>16</v>
      </c>
      <c r="F953" s="33" t="s">
        <v>109</v>
      </c>
      <c r="G953" s="11"/>
      <c r="H953" s="11">
        <f>SUMIFS(X!$F$3:$F$5978,X!$D$3:$D$5978,'Current Stock'!A953)</f>
        <v>19</v>
      </c>
      <c r="I953" s="11">
        <f>SUMIFS(PENJUALAN!$E$4:$E$3651,PENJUALAN!$C$4:$C$3651,'Current Stock'!A953)</f>
        <v>19</v>
      </c>
      <c r="J953" s="15">
        <f t="shared" si="2"/>
        <v>0</v>
      </c>
      <c r="K953" s="13" t="s">
        <v>1376</v>
      </c>
      <c r="L953" s="11"/>
      <c r="M953" s="11"/>
      <c r="N953" s="11"/>
      <c r="O953" s="17"/>
      <c r="P953" s="17"/>
    </row>
    <row r="954" ht="13.5" customHeight="1">
      <c r="A954" s="11" t="str">
        <f t="shared" si="1"/>
        <v>LFW-SIRION1XYG</v>
      </c>
      <c r="B954" s="32" t="s">
        <v>1377</v>
      </c>
      <c r="C954" s="35" t="s">
        <v>284</v>
      </c>
      <c r="D954" s="35" t="s">
        <v>60</v>
      </c>
      <c r="E954" s="11" t="s">
        <v>16</v>
      </c>
      <c r="F954" s="42" t="s">
        <v>137</v>
      </c>
      <c r="G954" s="11"/>
      <c r="H954" s="11">
        <f>SUMIFS(X!$F$3:$F$5978,X!$D$3:$D$5978,'Current Stock'!A954)</f>
        <v>0</v>
      </c>
      <c r="I954" s="11">
        <f>SUMIFS(PENJUALAN!$E$4:$E$3651,PENJUALAN!$C$4:$C$3651,'Current Stock'!A954)</f>
        <v>0</v>
      </c>
      <c r="J954" s="15">
        <f t="shared" si="2"/>
        <v>0</v>
      </c>
      <c r="K954" s="11"/>
      <c r="L954" s="11"/>
      <c r="M954" s="11"/>
      <c r="N954" s="11"/>
      <c r="O954" s="17"/>
      <c r="P954" s="17"/>
    </row>
    <row r="955" ht="13.5" customHeight="1">
      <c r="A955" s="11" t="str">
        <f t="shared" si="1"/>
        <v>TRW-SIRION1XYG</v>
      </c>
      <c r="B955" s="32" t="s">
        <v>283</v>
      </c>
      <c r="C955" s="33" t="s">
        <v>284</v>
      </c>
      <c r="D955" s="33" t="s">
        <v>62</v>
      </c>
      <c r="E955" s="11" t="s">
        <v>16</v>
      </c>
      <c r="F955" s="33" t="s">
        <v>83</v>
      </c>
      <c r="G955" s="11"/>
      <c r="H955" s="11">
        <f>SUMIFS(X!$F$3:$F$5978,X!$D$3:$D$5978,'Current Stock'!A955)</f>
        <v>0</v>
      </c>
      <c r="I955" s="11">
        <f>SUMIFS(PENJUALAN!$E$4:$E$3651,PENJUALAN!$C$4:$C$3651,'Current Stock'!A955)</f>
        <v>0</v>
      </c>
      <c r="J955" s="15">
        <f t="shared" si="2"/>
        <v>0</v>
      </c>
      <c r="K955" s="13"/>
      <c r="L955" s="13"/>
      <c r="M955" s="11"/>
      <c r="N955" s="11"/>
      <c r="O955" s="17"/>
      <c r="P955" s="17"/>
    </row>
    <row r="956" ht="13.5" customHeight="1">
      <c r="A956" s="11" t="str">
        <f t="shared" si="1"/>
        <v>TRW-SIRION2XYG</v>
      </c>
      <c r="B956" s="32" t="s">
        <v>1378</v>
      </c>
      <c r="C956" s="35" t="s">
        <v>1379</v>
      </c>
      <c r="D956" s="33" t="s">
        <v>62</v>
      </c>
      <c r="E956" s="11" t="s">
        <v>16</v>
      </c>
      <c r="F956" s="33" t="s">
        <v>130</v>
      </c>
      <c r="G956" s="11"/>
      <c r="H956" s="11">
        <f>SUMIFS(X!$F$3:$F$5978,X!$D$3:$D$5978,'Current Stock'!A956)</f>
        <v>1</v>
      </c>
      <c r="I956" s="11">
        <f>SUMIFS(PENJUALAN!$E$4:$E$3651,PENJUALAN!$C$4:$C$3651,'Current Stock'!A956)</f>
        <v>1</v>
      </c>
      <c r="J956" s="15">
        <f t="shared" si="2"/>
        <v>0</v>
      </c>
      <c r="K956" s="13"/>
      <c r="L956" s="13"/>
      <c r="M956" s="11"/>
      <c r="N956" s="11"/>
      <c r="O956" s="17"/>
      <c r="P956" s="17"/>
    </row>
    <row r="957" ht="13.5" customHeight="1">
      <c r="A957" s="11" t="str">
        <f t="shared" si="1"/>
        <v>TRW-TARUNAXYG</v>
      </c>
      <c r="B957" s="32" t="s">
        <v>1380</v>
      </c>
      <c r="C957" s="33" t="s">
        <v>1381</v>
      </c>
      <c r="D957" s="33" t="s">
        <v>62</v>
      </c>
      <c r="E957" s="11" t="s">
        <v>16</v>
      </c>
      <c r="F957" s="33" t="s">
        <v>109</v>
      </c>
      <c r="G957" s="11"/>
      <c r="H957" s="11">
        <f>SUMIFS(X!$F$3:$F$5978,X!$D$3:$D$5978,'Current Stock'!A957)</f>
        <v>0</v>
      </c>
      <c r="I957" s="11">
        <f>SUMIFS(PENJUALAN!$E$4:$E$3651,PENJUALAN!$C$4:$C$3651,'Current Stock'!A957)</f>
        <v>0</v>
      </c>
      <c r="J957" s="15">
        <f t="shared" si="2"/>
        <v>0</v>
      </c>
      <c r="K957" s="13"/>
      <c r="L957" s="13"/>
      <c r="M957" s="11"/>
      <c r="N957" s="11"/>
      <c r="O957" s="17"/>
      <c r="P957" s="17"/>
    </row>
    <row r="958" ht="13.5" customHeight="1">
      <c r="A958" s="11" t="str">
        <f t="shared" si="1"/>
        <v>TRW-DODGEXYG</v>
      </c>
      <c r="B958" s="32" t="s">
        <v>289</v>
      </c>
      <c r="C958" s="33" t="s">
        <v>288</v>
      </c>
      <c r="D958" s="33" t="s">
        <v>62</v>
      </c>
      <c r="E958" s="11" t="s">
        <v>16</v>
      </c>
      <c r="F958" s="33" t="s">
        <v>83</v>
      </c>
      <c r="G958" s="11"/>
      <c r="H958" s="11">
        <f>SUMIFS(X!$F$3:$F$5978,X!$D$3:$D$5978,'Current Stock'!A958)</f>
        <v>0</v>
      </c>
      <c r="I958" s="11">
        <f>SUMIFS(PENJUALAN!$E$4:$E$3651,PENJUALAN!$C$4:$C$3651,'Current Stock'!A958)</f>
        <v>0</v>
      </c>
      <c r="J958" s="15">
        <f t="shared" si="2"/>
        <v>0</v>
      </c>
      <c r="K958" s="11"/>
      <c r="L958" s="11"/>
      <c r="M958" s="11"/>
      <c r="N958" s="11"/>
      <c r="O958" s="17"/>
      <c r="P958" s="17"/>
    </row>
    <row r="959" ht="13.5" customHeight="1">
      <c r="A959" s="11" t="str">
        <f t="shared" si="1"/>
        <v>LFW-SELTOSXYG</v>
      </c>
      <c r="B959" s="13" t="s">
        <v>1382</v>
      </c>
      <c r="C959" s="13" t="s">
        <v>1383</v>
      </c>
      <c r="D959" s="13" t="s">
        <v>60</v>
      </c>
      <c r="E959" s="13" t="s">
        <v>16</v>
      </c>
      <c r="F959" s="13" t="s">
        <v>137</v>
      </c>
      <c r="G959" s="11"/>
      <c r="H959" s="11">
        <f>SUMIFS(X!$F$3:$F$5978,X!$D$3:$D$5978,'Current Stock'!A959)</f>
        <v>1</v>
      </c>
      <c r="I959" s="11">
        <f>SUMIFS(PENJUALAN!$E$4:$E$3651,PENJUALAN!$C$4:$C$3651,'Current Stock'!A959)</f>
        <v>1</v>
      </c>
      <c r="J959" s="15">
        <f t="shared" si="2"/>
        <v>0</v>
      </c>
      <c r="K959" s="44"/>
      <c r="L959" s="44"/>
      <c r="M959" s="44"/>
      <c r="N959" s="44"/>
      <c r="O959" s="17"/>
      <c r="P959" s="17"/>
    </row>
    <row r="960" ht="13.5" customHeight="1">
      <c r="A960" s="11" t="str">
        <f t="shared" si="1"/>
        <v>LFW-ECOSPORTRSXYG</v>
      </c>
      <c r="B960" s="32" t="s">
        <v>292</v>
      </c>
      <c r="C960" s="33" t="s">
        <v>291</v>
      </c>
      <c r="D960" s="33" t="s">
        <v>60</v>
      </c>
      <c r="E960" s="11" t="s">
        <v>16</v>
      </c>
      <c r="F960" s="33" t="s">
        <v>90</v>
      </c>
      <c r="G960" s="11"/>
      <c r="H960" s="11">
        <f>SUMIFS(X!$F$3:$F$5978,X!$D$3:$D$5978,'Current Stock'!A960)</f>
        <v>2</v>
      </c>
      <c r="I960" s="11">
        <f>SUMIFS(PENJUALAN!$E$4:$E$3651,PENJUALAN!$C$4:$C$3651,'Current Stock'!A960)</f>
        <v>2</v>
      </c>
      <c r="J960" s="15">
        <f t="shared" si="2"/>
        <v>0</v>
      </c>
      <c r="K960" s="11"/>
      <c r="L960" s="11"/>
      <c r="M960" s="11"/>
      <c r="N960" s="11"/>
      <c r="O960" s="17"/>
      <c r="P960" s="17"/>
    </row>
    <row r="961" ht="13.5" customHeight="1">
      <c r="A961" s="11" t="str">
        <f t="shared" si="1"/>
        <v>TRW-ECOSPORTXYG</v>
      </c>
      <c r="B961" s="32" t="s">
        <v>293</v>
      </c>
      <c r="C961" s="33" t="s">
        <v>291</v>
      </c>
      <c r="D961" s="33" t="s">
        <v>62</v>
      </c>
      <c r="E961" s="11" t="s">
        <v>16</v>
      </c>
      <c r="F961" s="33" t="s">
        <v>228</v>
      </c>
      <c r="G961" s="11"/>
      <c r="H961" s="11">
        <f>SUMIFS(X!$F$3:$F$5978,X!$D$3:$D$5978,'Current Stock'!A961)</f>
        <v>0</v>
      </c>
      <c r="I961" s="11">
        <f>SUMIFS(PENJUALAN!$E$4:$E$3651,PENJUALAN!$C$4:$C$3651,'Current Stock'!A961)</f>
        <v>0</v>
      </c>
      <c r="J961" s="15">
        <f t="shared" si="2"/>
        <v>0</v>
      </c>
      <c r="K961" s="13"/>
      <c r="L961" s="11"/>
      <c r="M961" s="11"/>
      <c r="N961" s="11"/>
      <c r="O961" s="17"/>
      <c r="P961" s="17"/>
    </row>
    <row r="962" ht="13.5" customHeight="1">
      <c r="A962" s="11" t="str">
        <f t="shared" si="1"/>
        <v>FDL-ECOSPORTXYG</v>
      </c>
      <c r="B962" s="32" t="s">
        <v>294</v>
      </c>
      <c r="C962" s="33" t="s">
        <v>291</v>
      </c>
      <c r="D962" s="33" t="s">
        <v>140</v>
      </c>
      <c r="E962" s="11" t="s">
        <v>16</v>
      </c>
      <c r="F962" s="33"/>
      <c r="G962" s="11"/>
      <c r="H962" s="11">
        <f>SUMIFS(X!$F$3:$F$5978,X!$D$3:$D$5978,'Current Stock'!A962)</f>
        <v>0</v>
      </c>
      <c r="I962" s="11">
        <f>SUMIFS(PENJUALAN!$E$4:$E$3651,PENJUALAN!$C$4:$C$3651,'Current Stock'!A962)</f>
        <v>0</v>
      </c>
      <c r="J962" s="15">
        <f t="shared" si="2"/>
        <v>0</v>
      </c>
      <c r="K962" s="11"/>
      <c r="L962" s="11"/>
      <c r="M962" s="11"/>
      <c r="N962" s="11"/>
      <c r="O962" s="17"/>
      <c r="P962" s="17"/>
    </row>
    <row r="963" ht="13.5" customHeight="1">
      <c r="A963" s="11" t="str">
        <f t="shared" si="1"/>
        <v>FDR-ECOSPORTXYG</v>
      </c>
      <c r="B963" s="32" t="s">
        <v>295</v>
      </c>
      <c r="C963" s="33" t="s">
        <v>291</v>
      </c>
      <c r="D963" s="33" t="s">
        <v>142</v>
      </c>
      <c r="E963" s="11" t="s">
        <v>16</v>
      </c>
      <c r="F963" s="33"/>
      <c r="G963" s="11"/>
      <c r="H963" s="11">
        <f>SUMIFS(X!$F$3:$F$5978,X!$D$3:$D$5978,'Current Stock'!A963)</f>
        <v>0</v>
      </c>
      <c r="I963" s="11">
        <f>SUMIFS(PENJUALAN!$E$4:$E$3651,PENJUALAN!$C$4:$C$3651,'Current Stock'!A963)</f>
        <v>0</v>
      </c>
      <c r="J963" s="15">
        <f t="shared" si="2"/>
        <v>0</v>
      </c>
      <c r="K963" s="11"/>
      <c r="L963" s="11"/>
      <c r="M963" s="11"/>
      <c r="N963" s="11"/>
      <c r="O963" s="17"/>
      <c r="P963" s="17"/>
    </row>
    <row r="964" ht="13.5" customHeight="1">
      <c r="A964" s="11" t="str">
        <f t="shared" si="1"/>
        <v>RDR-ECOSPORTXYG</v>
      </c>
      <c r="B964" s="32" t="s">
        <v>297</v>
      </c>
      <c r="C964" s="33" t="s">
        <v>291</v>
      </c>
      <c r="D964" s="33" t="s">
        <v>146</v>
      </c>
      <c r="E964" s="11" t="s">
        <v>16</v>
      </c>
      <c r="F964" s="33" t="s">
        <v>155</v>
      </c>
      <c r="G964" s="11"/>
      <c r="H964" s="11">
        <f>SUMIFS(X!$F$3:$F$5978,X!$D$3:$D$5978,'Current Stock'!A964)</f>
        <v>0</v>
      </c>
      <c r="I964" s="11">
        <f>SUMIFS(PENJUALAN!$E$4:$E$3651,PENJUALAN!$C$4:$C$3651,'Current Stock'!A964)</f>
        <v>0</v>
      </c>
      <c r="J964" s="15">
        <f t="shared" si="2"/>
        <v>0</v>
      </c>
      <c r="K964" s="11"/>
      <c r="L964" s="11"/>
      <c r="M964" s="11"/>
      <c r="N964" s="11"/>
      <c r="O964" s="17"/>
      <c r="P964" s="17"/>
    </row>
    <row r="965" ht="13.5" customHeight="1">
      <c r="A965" s="11" t="str">
        <f t="shared" si="1"/>
        <v>LFW-ESCAPEXYG</v>
      </c>
      <c r="B965" s="32" t="s">
        <v>298</v>
      </c>
      <c r="C965" s="33" t="s">
        <v>299</v>
      </c>
      <c r="D965" s="33" t="s">
        <v>60</v>
      </c>
      <c r="E965" s="11" t="s">
        <v>16</v>
      </c>
      <c r="F965" s="33" t="s">
        <v>137</v>
      </c>
      <c r="G965" s="11"/>
      <c r="H965" s="11">
        <f>SUMIFS(X!$F$3:$F$5978,X!$D$3:$D$5978,'Current Stock'!A965)</f>
        <v>1</v>
      </c>
      <c r="I965" s="11">
        <f>SUMIFS(PENJUALAN!$E$4:$E$3651,PENJUALAN!$C$4:$C$3651,'Current Stock'!A965)</f>
        <v>1</v>
      </c>
      <c r="J965" s="15">
        <f t="shared" si="2"/>
        <v>0</v>
      </c>
      <c r="K965" s="11"/>
      <c r="L965" s="11"/>
      <c r="M965" s="11"/>
      <c r="N965" s="11"/>
      <c r="O965" s="17"/>
      <c r="P965" s="17"/>
    </row>
    <row r="966" ht="13.5" customHeight="1">
      <c r="A966" s="11" t="str">
        <f t="shared" si="1"/>
        <v>LFW-RANGER04XYG</v>
      </c>
      <c r="B966" s="32" t="s">
        <v>301</v>
      </c>
      <c r="C966" s="33" t="s">
        <v>302</v>
      </c>
      <c r="D966" s="33" t="s">
        <v>60</v>
      </c>
      <c r="E966" s="11" t="s">
        <v>16</v>
      </c>
      <c r="F966" s="33" t="s">
        <v>109</v>
      </c>
      <c r="G966" s="11"/>
      <c r="H966" s="11">
        <f>SUMIFS(X!$F$3:$F$5978,X!$D$3:$D$5978,'Current Stock'!A966)</f>
        <v>11</v>
      </c>
      <c r="I966" s="11">
        <f>SUMIFS(PENJUALAN!$E$4:$E$3651,PENJUALAN!$C$4:$C$3651,'Current Stock'!A966)</f>
        <v>10</v>
      </c>
      <c r="J966" s="15">
        <f t="shared" si="2"/>
        <v>1</v>
      </c>
      <c r="K966" s="13" t="s">
        <v>1342</v>
      </c>
      <c r="L966" s="11"/>
      <c r="M966" s="11"/>
      <c r="N966" s="11"/>
      <c r="O966" s="17"/>
      <c r="P966" s="17"/>
    </row>
    <row r="967" ht="13.5" customHeight="1">
      <c r="A967" s="11" t="str">
        <f t="shared" si="1"/>
        <v>TRW-EVERESTXYG</v>
      </c>
      <c r="B967" s="32" t="s">
        <v>303</v>
      </c>
      <c r="C967" s="33" t="s">
        <v>304</v>
      </c>
      <c r="D967" s="33" t="s">
        <v>62</v>
      </c>
      <c r="E967" s="11" t="s">
        <v>16</v>
      </c>
      <c r="F967" s="33" t="s">
        <v>83</v>
      </c>
      <c r="G967" s="11"/>
      <c r="H967" s="11">
        <f>SUMIFS(X!$F$3:$F$5978,X!$D$3:$D$5978,'Current Stock'!A967)</f>
        <v>1</v>
      </c>
      <c r="I967" s="11">
        <f>SUMIFS(PENJUALAN!$E$4:$E$3651,PENJUALAN!$C$4:$C$3651,'Current Stock'!A967)</f>
        <v>1</v>
      </c>
      <c r="J967" s="15">
        <f t="shared" si="2"/>
        <v>0</v>
      </c>
      <c r="K967" s="11"/>
      <c r="L967" s="11"/>
      <c r="M967" s="11"/>
      <c r="N967" s="11"/>
      <c r="O967" s="17"/>
      <c r="P967" s="17"/>
    </row>
    <row r="968" ht="13.5" customHeight="1">
      <c r="A968" s="11" t="str">
        <f t="shared" si="1"/>
        <v>LFW-FIESTAXYG</v>
      </c>
      <c r="B968" s="32" t="s">
        <v>305</v>
      </c>
      <c r="C968" s="33" t="s">
        <v>306</v>
      </c>
      <c r="D968" s="33" t="s">
        <v>60</v>
      </c>
      <c r="E968" s="11" t="s">
        <v>16</v>
      </c>
      <c r="F968" s="33" t="s">
        <v>137</v>
      </c>
      <c r="G968" s="11"/>
      <c r="H968" s="11">
        <f>SUMIFS(X!$F$3:$F$5978,X!$D$3:$D$5978,'Current Stock'!A968)</f>
        <v>11</v>
      </c>
      <c r="I968" s="11">
        <f>SUMIFS(PENJUALAN!$E$4:$E$3651,PENJUALAN!$C$4:$C$3651,'Current Stock'!A968)</f>
        <v>5</v>
      </c>
      <c r="J968" s="15">
        <f t="shared" si="2"/>
        <v>6</v>
      </c>
      <c r="K968" s="11"/>
      <c r="L968" s="11"/>
      <c r="M968" s="11"/>
      <c r="N968" s="11"/>
      <c r="O968" s="17"/>
      <c r="P968" s="17"/>
    </row>
    <row r="969" ht="13.5" customHeight="1">
      <c r="A969" s="11" t="str">
        <f t="shared" si="1"/>
        <v>TRW-FIESTAXYG</v>
      </c>
      <c r="B969" s="32" t="s">
        <v>307</v>
      </c>
      <c r="C969" s="33" t="s">
        <v>306</v>
      </c>
      <c r="D969" s="33" t="s">
        <v>62</v>
      </c>
      <c r="E969" s="11" t="s">
        <v>16</v>
      </c>
      <c r="F969" s="33" t="s">
        <v>83</v>
      </c>
      <c r="G969" s="11"/>
      <c r="H969" s="11">
        <f>SUMIFS(X!$F$3:$F$5978,X!$D$3:$D$5978,'Current Stock'!A969)</f>
        <v>1</v>
      </c>
      <c r="I969" s="11">
        <f>SUMIFS(PENJUALAN!$E$4:$E$3651,PENJUALAN!$C$4:$C$3651,'Current Stock'!A969)</f>
        <v>1</v>
      </c>
      <c r="J969" s="15">
        <f t="shared" si="2"/>
        <v>0</v>
      </c>
      <c r="K969" s="11"/>
      <c r="L969" s="11"/>
      <c r="M969" s="11"/>
      <c r="N969" s="11"/>
      <c r="O969" s="17"/>
      <c r="P969" s="17"/>
    </row>
    <row r="970" ht="13.5" customHeight="1">
      <c r="A970" s="11" t="str">
        <f t="shared" si="1"/>
        <v>FDL-FIESTAXYG</v>
      </c>
      <c r="B970" s="32" t="s">
        <v>308</v>
      </c>
      <c r="C970" s="33" t="s">
        <v>306</v>
      </c>
      <c r="D970" s="33" t="s">
        <v>140</v>
      </c>
      <c r="E970" s="11" t="s">
        <v>16</v>
      </c>
      <c r="F970" s="33" t="s">
        <v>155</v>
      </c>
      <c r="G970" s="11"/>
      <c r="H970" s="11">
        <f>SUMIFS(X!$F$3:$F$5978,X!$D$3:$D$5978,'Current Stock'!A970)</f>
        <v>0</v>
      </c>
      <c r="I970" s="11">
        <f>SUMIFS(PENJUALAN!$E$4:$E$3651,PENJUALAN!$C$4:$C$3651,'Current Stock'!A970)</f>
        <v>0</v>
      </c>
      <c r="J970" s="15">
        <f t="shared" si="2"/>
        <v>0</v>
      </c>
      <c r="K970" s="11"/>
      <c r="L970" s="11"/>
      <c r="M970" s="11"/>
      <c r="N970" s="11"/>
      <c r="O970" s="17"/>
      <c r="P970" s="17"/>
    </row>
    <row r="971" ht="13.5" customHeight="1">
      <c r="A971" s="11" t="str">
        <f t="shared" si="1"/>
        <v>FDR-FIESTAXYG</v>
      </c>
      <c r="B971" s="32" t="s">
        <v>309</v>
      </c>
      <c r="C971" s="33" t="s">
        <v>306</v>
      </c>
      <c r="D971" s="33" t="s">
        <v>142</v>
      </c>
      <c r="E971" s="11" t="s">
        <v>16</v>
      </c>
      <c r="F971" s="33" t="s">
        <v>155</v>
      </c>
      <c r="G971" s="11"/>
      <c r="H971" s="11">
        <f>SUMIFS(X!$F$3:$F$5978,X!$D$3:$D$5978,'Current Stock'!A971)</f>
        <v>0</v>
      </c>
      <c r="I971" s="11">
        <f>SUMIFS(PENJUALAN!$E$4:$E$3651,PENJUALAN!$C$4:$C$3651,'Current Stock'!A971)</f>
        <v>0</v>
      </c>
      <c r="J971" s="15">
        <f t="shared" si="2"/>
        <v>0</v>
      </c>
      <c r="K971" s="11"/>
      <c r="L971" s="11"/>
      <c r="M971" s="11"/>
      <c r="N971" s="11"/>
      <c r="O971" s="17"/>
      <c r="P971" s="17"/>
    </row>
    <row r="972" ht="13.5" customHeight="1">
      <c r="A972" s="11" t="str">
        <f t="shared" si="1"/>
        <v>RDL-FIESTAXYG</v>
      </c>
      <c r="B972" s="32" t="s">
        <v>310</v>
      </c>
      <c r="C972" s="33" t="s">
        <v>306</v>
      </c>
      <c r="D972" s="33" t="s">
        <v>144</v>
      </c>
      <c r="E972" s="11" t="s">
        <v>16</v>
      </c>
      <c r="F972" s="33"/>
      <c r="G972" s="11"/>
      <c r="H972" s="11">
        <f>SUMIFS(X!$F$3:$F$5978,X!$D$3:$D$5978,'Current Stock'!A972)</f>
        <v>0</v>
      </c>
      <c r="I972" s="11">
        <f>SUMIFS(PENJUALAN!$E$4:$E$3651,PENJUALAN!$C$4:$C$3651,'Current Stock'!A972)</f>
        <v>0</v>
      </c>
      <c r="J972" s="15">
        <f t="shared" si="2"/>
        <v>0</v>
      </c>
      <c r="K972" s="11"/>
      <c r="L972" s="11"/>
      <c r="M972" s="11"/>
      <c r="N972" s="11"/>
      <c r="O972" s="17"/>
      <c r="P972" s="17"/>
    </row>
    <row r="973" ht="13.5" customHeight="1">
      <c r="A973" s="11" t="str">
        <f t="shared" si="1"/>
        <v>RDR-FIESTAXYG</v>
      </c>
      <c r="B973" s="32" t="s">
        <v>311</v>
      </c>
      <c r="C973" s="33" t="s">
        <v>306</v>
      </c>
      <c r="D973" s="33" t="s">
        <v>146</v>
      </c>
      <c r="E973" s="11" t="s">
        <v>16</v>
      </c>
      <c r="F973" s="33"/>
      <c r="G973" s="11"/>
      <c r="H973" s="11">
        <f>SUMIFS(X!$F$3:$F$5978,X!$D$3:$D$5978,'Current Stock'!A973)</f>
        <v>0</v>
      </c>
      <c r="I973" s="11">
        <f>SUMIFS(PENJUALAN!$E$4:$E$3651,PENJUALAN!$C$4:$C$3651,'Current Stock'!A973)</f>
        <v>0</v>
      </c>
      <c r="J973" s="15">
        <f t="shared" si="2"/>
        <v>0</v>
      </c>
      <c r="K973" s="11"/>
      <c r="L973" s="11"/>
      <c r="M973" s="11"/>
      <c r="N973" s="11"/>
      <c r="O973" s="17"/>
      <c r="P973" s="17"/>
    </row>
    <row r="974" ht="13.5" customHeight="1">
      <c r="A974" s="11" t="str">
        <f t="shared" si="1"/>
        <v>LFW-FIESTARSBULATXYG</v>
      </c>
      <c r="B974" s="32" t="s">
        <v>312</v>
      </c>
      <c r="C974" s="33" t="s">
        <v>313</v>
      </c>
      <c r="D974" s="33" t="s">
        <v>60</v>
      </c>
      <c r="E974" s="11" t="s">
        <v>16</v>
      </c>
      <c r="F974" s="33" t="s">
        <v>314</v>
      </c>
      <c r="G974" s="11"/>
      <c r="H974" s="11">
        <f>SUMIFS(X!$F$3:$F$5978,X!$D$3:$D$5978,'Current Stock'!A974)</f>
        <v>2</v>
      </c>
      <c r="I974" s="11">
        <f>SUMIFS(PENJUALAN!$E$4:$E$3651,PENJUALAN!$C$4:$C$3651,'Current Stock'!A974)</f>
        <v>2</v>
      </c>
      <c r="J974" s="15">
        <f t="shared" si="2"/>
        <v>0</v>
      </c>
      <c r="K974" s="11"/>
      <c r="L974" s="11"/>
      <c r="M974" s="11"/>
      <c r="N974" s="11"/>
      <c r="O974" s="17"/>
      <c r="P974" s="17"/>
    </row>
    <row r="975" ht="13.5" customHeight="1">
      <c r="A975" s="11" t="str">
        <f t="shared" si="1"/>
        <v>LFW-FIESTARSKOTAKXYG</v>
      </c>
      <c r="B975" s="32" t="s">
        <v>315</v>
      </c>
      <c r="C975" s="33" t="s">
        <v>316</v>
      </c>
      <c r="D975" s="33" t="s">
        <v>60</v>
      </c>
      <c r="E975" s="11" t="s">
        <v>16</v>
      </c>
      <c r="F975" s="33" t="s">
        <v>90</v>
      </c>
      <c r="G975" s="11"/>
      <c r="H975" s="11">
        <f>SUMIFS(X!$F$3:$F$5978,X!$D$3:$D$5978,'Current Stock'!A975)</f>
        <v>0</v>
      </c>
      <c r="I975" s="11">
        <f>SUMIFS(PENJUALAN!$E$4:$E$3651,PENJUALAN!$C$4:$C$3651,'Current Stock'!A975)</f>
        <v>0</v>
      </c>
      <c r="J975" s="15">
        <f t="shared" si="2"/>
        <v>0</v>
      </c>
      <c r="K975" s="11"/>
      <c r="L975" s="11"/>
      <c r="M975" s="11"/>
      <c r="N975" s="11"/>
      <c r="O975" s="17"/>
      <c r="P975" s="17"/>
    </row>
    <row r="976" ht="13.5" customHeight="1">
      <c r="A976" s="11" t="str">
        <f t="shared" si="1"/>
        <v>LFW-FOCUS04XYG</v>
      </c>
      <c r="B976" s="32" t="s">
        <v>317</v>
      </c>
      <c r="C976" s="33" t="s">
        <v>318</v>
      </c>
      <c r="D976" s="33" t="s">
        <v>60</v>
      </c>
      <c r="E976" s="11" t="s">
        <v>16</v>
      </c>
      <c r="F976" s="33" t="s">
        <v>137</v>
      </c>
      <c r="G976" s="11"/>
      <c r="H976" s="11">
        <f>SUMIFS(X!$F$3:$F$5978,X!$D$3:$D$5978,'Current Stock'!A976)</f>
        <v>0</v>
      </c>
      <c r="I976" s="11">
        <f>SUMIFS(PENJUALAN!$E$4:$E$3651,PENJUALAN!$C$4:$C$3651,'Current Stock'!A976)</f>
        <v>0</v>
      </c>
      <c r="J976" s="15">
        <f t="shared" si="2"/>
        <v>0</v>
      </c>
      <c r="K976" s="11"/>
      <c r="L976" s="11"/>
      <c r="M976" s="11"/>
      <c r="N976" s="11"/>
      <c r="O976" s="17"/>
      <c r="P976" s="17"/>
    </row>
    <row r="977" ht="13.5" customHeight="1">
      <c r="A977" s="11" t="str">
        <f t="shared" si="1"/>
        <v>LFW-FOCUS11XYG</v>
      </c>
      <c r="B977" s="32" t="s">
        <v>321</v>
      </c>
      <c r="C977" s="33" t="s">
        <v>322</v>
      </c>
      <c r="D977" s="33" t="s">
        <v>60</v>
      </c>
      <c r="E977" s="11" t="s">
        <v>16</v>
      </c>
      <c r="F977" s="33" t="s">
        <v>314</v>
      </c>
      <c r="G977" s="11"/>
      <c r="H977" s="11">
        <f>SUMIFS(X!$F$3:$F$5978,X!$D$3:$D$5978,'Current Stock'!A977)</f>
        <v>0</v>
      </c>
      <c r="I977" s="11">
        <f>SUMIFS(PENJUALAN!$E$4:$E$3651,PENJUALAN!$C$4:$C$3651,'Current Stock'!A977)</f>
        <v>0</v>
      </c>
      <c r="J977" s="15">
        <f t="shared" si="2"/>
        <v>0</v>
      </c>
      <c r="K977" s="11"/>
      <c r="L977" s="11"/>
      <c r="M977" s="11"/>
      <c r="N977" s="11"/>
      <c r="O977" s="17"/>
      <c r="P977" s="17"/>
    </row>
    <row r="978" ht="13.5" customHeight="1">
      <c r="A978" s="11" t="str">
        <f t="shared" si="1"/>
        <v>LFW-MUSTANGXYG</v>
      </c>
      <c r="B978" s="32" t="s">
        <v>1384</v>
      </c>
      <c r="C978" s="35" t="s">
        <v>1385</v>
      </c>
      <c r="D978" s="33" t="s">
        <v>60</v>
      </c>
      <c r="E978" s="11" t="s">
        <v>16</v>
      </c>
      <c r="F978" s="33" t="s">
        <v>90</v>
      </c>
      <c r="G978" s="11"/>
      <c r="H978" s="11">
        <f>SUMIFS(X!$F$3:$F$5978,X!$D$3:$D$5978,'Current Stock'!A978)</f>
        <v>0</v>
      </c>
      <c r="I978" s="11">
        <f>SUMIFS(PENJUALAN!$E$4:$E$3651,PENJUALAN!$C$4:$C$3651,'Current Stock'!A978)</f>
        <v>0</v>
      </c>
      <c r="J978" s="15">
        <f t="shared" si="2"/>
        <v>0</v>
      </c>
      <c r="K978" s="11"/>
      <c r="L978" s="11"/>
      <c r="M978" s="11"/>
      <c r="N978" s="11"/>
      <c r="O978" s="17"/>
      <c r="P978" s="17"/>
    </row>
    <row r="979" ht="13.5" customHeight="1">
      <c r="A979" s="11" t="str">
        <f t="shared" si="1"/>
        <v>LFW-RANGER11RSXYG</v>
      </c>
      <c r="B979" s="32" t="s">
        <v>325</v>
      </c>
      <c r="C979" s="33" t="s">
        <v>326</v>
      </c>
      <c r="D979" s="33" t="s">
        <v>60</v>
      </c>
      <c r="E979" s="11" t="s">
        <v>16</v>
      </c>
      <c r="F979" s="33" t="s">
        <v>90</v>
      </c>
      <c r="G979" s="11"/>
      <c r="H979" s="11">
        <f>SUMIFS(X!$F$3:$F$5978,X!$D$3:$D$5978,'Current Stock'!A979)</f>
        <v>0</v>
      </c>
      <c r="I979" s="11">
        <f>SUMIFS(PENJUALAN!$E$4:$E$3651,PENJUALAN!$C$4:$C$3651,'Current Stock'!A979)</f>
        <v>0</v>
      </c>
      <c r="J979" s="15">
        <f t="shared" si="2"/>
        <v>0</v>
      </c>
      <c r="K979" s="13"/>
      <c r="L979" s="13"/>
      <c r="M979" s="11"/>
      <c r="N979" s="11"/>
      <c r="O979" s="17"/>
      <c r="P979" s="17"/>
    </row>
    <row r="980" ht="13.5" customHeight="1">
      <c r="A980" s="11" t="str">
        <f t="shared" si="1"/>
        <v>LFW-RANGER11XYG</v>
      </c>
      <c r="B980" s="32" t="s">
        <v>1386</v>
      </c>
      <c r="C980" s="33" t="s">
        <v>326</v>
      </c>
      <c r="D980" s="33" t="s">
        <v>60</v>
      </c>
      <c r="E980" s="11" t="s">
        <v>16</v>
      </c>
      <c r="F980" s="33" t="s">
        <v>137</v>
      </c>
      <c r="G980" s="11"/>
      <c r="H980" s="11">
        <f>SUMIFS(X!$F$3:$F$5978,X!$D$3:$D$5978,'Current Stock'!A980)</f>
        <v>0</v>
      </c>
      <c r="I980" s="11">
        <f>SUMIFS(PENJUALAN!$E$4:$E$3651,PENJUALAN!$C$4:$C$3651,'Current Stock'!A980)</f>
        <v>0</v>
      </c>
      <c r="J980" s="15">
        <f t="shared" si="2"/>
        <v>0</v>
      </c>
      <c r="K980" s="11"/>
      <c r="L980" s="11"/>
      <c r="M980" s="11"/>
      <c r="N980" s="11"/>
      <c r="O980" s="17"/>
      <c r="P980" s="17"/>
    </row>
    <row r="981" ht="13.5" customHeight="1">
      <c r="A981" s="11" t="str">
        <f t="shared" si="1"/>
        <v>TRW-RANGER11XYG</v>
      </c>
      <c r="B981" s="32" t="s">
        <v>1387</v>
      </c>
      <c r="C981" s="33" t="s">
        <v>326</v>
      </c>
      <c r="D981" s="33" t="s">
        <v>62</v>
      </c>
      <c r="E981" s="11" t="s">
        <v>16</v>
      </c>
      <c r="F981" s="33" t="s">
        <v>83</v>
      </c>
      <c r="G981" s="11"/>
      <c r="H981" s="11">
        <f>SUMIFS(X!$F$3:$F$5978,X!$D$3:$D$5978,'Current Stock'!A981)</f>
        <v>0</v>
      </c>
      <c r="I981" s="11">
        <f>SUMIFS(PENJUALAN!$E$4:$E$3651,PENJUALAN!$C$4:$C$3651,'Current Stock'!A981)</f>
        <v>0</v>
      </c>
      <c r="J981" s="15">
        <f t="shared" si="2"/>
        <v>0</v>
      </c>
      <c r="K981" s="11"/>
      <c r="L981" s="11"/>
      <c r="M981" s="11"/>
      <c r="N981" s="11"/>
      <c r="O981" s="17"/>
      <c r="P981" s="17"/>
    </row>
    <row r="982" ht="13.5" customHeight="1">
      <c r="A982" s="11" t="str">
        <f t="shared" si="1"/>
        <v>LFW-GEELYMKXYG</v>
      </c>
      <c r="B982" s="48" t="s">
        <v>1388</v>
      </c>
      <c r="C982" s="33" t="s">
        <v>1389</v>
      </c>
      <c r="D982" s="33" t="s">
        <v>60</v>
      </c>
      <c r="E982" s="11" t="s">
        <v>16</v>
      </c>
      <c r="F982" s="33" t="s">
        <v>137</v>
      </c>
      <c r="G982" s="11"/>
      <c r="H982" s="11">
        <f>SUMIFS(X!$F$3:$F$5978,X!$D$3:$D$5978,'Current Stock'!A982)</f>
        <v>0</v>
      </c>
      <c r="I982" s="11">
        <f>SUMIFS(PENJUALAN!$E$4:$E$3651,PENJUALAN!$C$4:$C$3651,'Current Stock'!A982)</f>
        <v>0</v>
      </c>
      <c r="J982" s="15">
        <f t="shared" si="2"/>
        <v>0</v>
      </c>
      <c r="K982" s="11"/>
      <c r="L982" s="11"/>
      <c r="M982" s="11"/>
      <c r="N982" s="11"/>
      <c r="O982" s="17"/>
      <c r="P982" s="17"/>
    </row>
    <row r="983" ht="13.5" customHeight="1">
      <c r="A983" s="11" t="str">
        <f t="shared" si="1"/>
        <v>LFW-PANDAXYG</v>
      </c>
      <c r="B983" s="32" t="s">
        <v>329</v>
      </c>
      <c r="C983" s="33" t="s">
        <v>330</v>
      </c>
      <c r="D983" s="33" t="s">
        <v>60</v>
      </c>
      <c r="E983" s="11" t="s">
        <v>16</v>
      </c>
      <c r="F983" s="33" t="s">
        <v>137</v>
      </c>
      <c r="G983" s="11"/>
      <c r="H983" s="11">
        <f>SUMIFS(X!$F$3:$F$5978,X!$D$3:$D$5978,'Current Stock'!A983)</f>
        <v>0</v>
      </c>
      <c r="I983" s="11">
        <f>SUMIFS(PENJUALAN!$E$4:$E$3651,PENJUALAN!$C$4:$C$3651,'Current Stock'!A983)</f>
        <v>0</v>
      </c>
      <c r="J983" s="15">
        <f t="shared" si="2"/>
        <v>0</v>
      </c>
      <c r="K983" s="11"/>
      <c r="L983" s="11"/>
      <c r="M983" s="11"/>
      <c r="N983" s="11"/>
      <c r="O983" s="17"/>
      <c r="P983" s="17"/>
    </row>
    <row r="984" ht="13.5" customHeight="1">
      <c r="A984" s="11" t="str">
        <f t="shared" si="1"/>
        <v>TRW-PANDAXYG</v>
      </c>
      <c r="B984" s="32" t="s">
        <v>1390</v>
      </c>
      <c r="C984" s="33" t="s">
        <v>1391</v>
      </c>
      <c r="D984" s="33" t="s">
        <v>62</v>
      </c>
      <c r="E984" s="11" t="s">
        <v>16</v>
      </c>
      <c r="F984" s="33" t="s">
        <v>228</v>
      </c>
      <c r="G984" s="11"/>
      <c r="H984" s="11">
        <f>SUMIFS(X!$F$3:$F$5978,X!$D$3:$D$5978,'Current Stock'!A984)</f>
        <v>0</v>
      </c>
      <c r="I984" s="11">
        <f>SUMIFS(PENJUALAN!$E$4:$E$3651,PENJUALAN!$C$4:$C$3651,'Current Stock'!A984)</f>
        <v>0</v>
      </c>
      <c r="J984" s="15">
        <f t="shared" si="2"/>
        <v>0</v>
      </c>
      <c r="K984" s="11"/>
      <c r="L984" s="11"/>
      <c r="M984" s="11"/>
      <c r="N984" s="11"/>
      <c r="O984" s="17"/>
      <c r="P984" s="17"/>
    </row>
    <row r="985" ht="13.5" customHeight="1">
      <c r="A985" s="11" t="str">
        <f t="shared" si="1"/>
        <v>LFW-ACCORD86XYG</v>
      </c>
      <c r="B985" s="32" t="s">
        <v>331</v>
      </c>
      <c r="C985" s="33" t="s">
        <v>332</v>
      </c>
      <c r="D985" s="33" t="s">
        <v>60</v>
      </c>
      <c r="E985" s="11" t="s">
        <v>16</v>
      </c>
      <c r="F985" s="33" t="s">
        <v>109</v>
      </c>
      <c r="G985" s="11"/>
      <c r="H985" s="11">
        <f>SUMIFS(X!$F$3:$F$5978,X!$D$3:$D$5978,'Current Stock'!A985)</f>
        <v>0</v>
      </c>
      <c r="I985" s="11">
        <f>SUMIFS(PENJUALAN!$E$4:$E$3651,PENJUALAN!$C$4:$C$3651,'Current Stock'!A985)</f>
        <v>0</v>
      </c>
      <c r="J985" s="15">
        <f t="shared" si="2"/>
        <v>0</v>
      </c>
      <c r="K985" s="11"/>
      <c r="L985" s="11"/>
      <c r="M985" s="11"/>
      <c r="N985" s="11"/>
      <c r="O985" s="17"/>
      <c r="P985" s="17"/>
    </row>
    <row r="986" ht="13.5" customHeight="1">
      <c r="A986" s="11" t="str">
        <f t="shared" si="1"/>
        <v>FDR-ACCORD86XYG</v>
      </c>
      <c r="B986" s="32" t="s">
        <v>335</v>
      </c>
      <c r="C986" s="33" t="s">
        <v>332</v>
      </c>
      <c r="D986" s="33" t="s">
        <v>142</v>
      </c>
      <c r="E986" s="11" t="s">
        <v>16</v>
      </c>
      <c r="F986" s="33"/>
      <c r="G986" s="11"/>
      <c r="H986" s="11">
        <f>SUMIFS(X!$F$3:$F$5978,X!$D$3:$D$5978,'Current Stock'!A986)</f>
        <v>0</v>
      </c>
      <c r="I986" s="11">
        <f>SUMIFS(PENJUALAN!$E$4:$E$3651,PENJUALAN!$C$4:$C$3651,'Current Stock'!A986)</f>
        <v>0</v>
      </c>
      <c r="J986" s="15">
        <f t="shared" si="2"/>
        <v>0</v>
      </c>
      <c r="K986" s="11"/>
      <c r="L986" s="11"/>
      <c r="M986" s="11"/>
      <c r="N986" s="11"/>
      <c r="O986" s="17"/>
      <c r="P986" s="17"/>
    </row>
    <row r="987" ht="13.5" customHeight="1">
      <c r="A987" s="11" t="str">
        <f t="shared" si="1"/>
        <v>LFW-ACCORD90XYG</v>
      </c>
      <c r="B987" s="32" t="s">
        <v>338</v>
      </c>
      <c r="C987" s="33" t="s">
        <v>339</v>
      </c>
      <c r="D987" s="33" t="s">
        <v>60</v>
      </c>
      <c r="E987" s="11" t="s">
        <v>16</v>
      </c>
      <c r="F987" s="33" t="s">
        <v>109</v>
      </c>
      <c r="G987" s="11"/>
      <c r="H987" s="11">
        <f>SUMIFS(X!$F$3:$F$5978,X!$D$3:$D$5978,'Current Stock'!A987)</f>
        <v>0</v>
      </c>
      <c r="I987" s="11">
        <f>SUMIFS(PENJUALAN!$E$4:$E$3651,PENJUALAN!$C$4:$C$3651,'Current Stock'!A987)</f>
        <v>0</v>
      </c>
      <c r="J987" s="15">
        <f t="shared" si="2"/>
        <v>0</v>
      </c>
      <c r="K987" s="11"/>
      <c r="L987" s="11"/>
      <c r="M987" s="11"/>
      <c r="N987" s="11"/>
      <c r="O987" s="17"/>
      <c r="P987" s="17"/>
    </row>
    <row r="988" ht="13.5" customHeight="1">
      <c r="A988" s="11" t="str">
        <f t="shared" si="1"/>
        <v>TRW-ACCORD90XYG</v>
      </c>
      <c r="B988" s="32" t="s">
        <v>340</v>
      </c>
      <c r="C988" s="33" t="s">
        <v>339</v>
      </c>
      <c r="D988" s="33" t="s">
        <v>62</v>
      </c>
      <c r="E988" s="11" t="s">
        <v>16</v>
      </c>
      <c r="F988" s="33" t="s">
        <v>83</v>
      </c>
      <c r="G988" s="11"/>
      <c r="H988" s="11">
        <f>SUMIFS(X!$F$3:$F$5978,X!$D$3:$D$5978,'Current Stock'!A988)</f>
        <v>0</v>
      </c>
      <c r="I988" s="11">
        <f>SUMIFS(PENJUALAN!$E$4:$E$3651,PENJUALAN!$C$4:$C$3651,'Current Stock'!A988)</f>
        <v>0</v>
      </c>
      <c r="J988" s="15">
        <f t="shared" si="2"/>
        <v>0</v>
      </c>
      <c r="K988" s="11"/>
      <c r="L988" s="11"/>
      <c r="M988" s="11"/>
      <c r="N988" s="11"/>
      <c r="O988" s="17"/>
      <c r="P988" s="17"/>
    </row>
    <row r="989" ht="13.5" customHeight="1">
      <c r="A989" s="11" t="str">
        <f t="shared" si="1"/>
        <v>LFW-ACCORD93XYG</v>
      </c>
      <c r="B989" s="32" t="s">
        <v>341</v>
      </c>
      <c r="C989" s="33" t="s">
        <v>342</v>
      </c>
      <c r="D989" s="33" t="s">
        <v>60</v>
      </c>
      <c r="E989" s="11" t="s">
        <v>16</v>
      </c>
      <c r="F989" s="33" t="s">
        <v>109</v>
      </c>
      <c r="G989" s="11"/>
      <c r="H989" s="11">
        <f>SUMIFS(X!$F$3:$F$5978,X!$D$3:$D$5978,'Current Stock'!A989)</f>
        <v>0</v>
      </c>
      <c r="I989" s="11">
        <f>SUMIFS(PENJUALAN!$E$4:$E$3651,PENJUALAN!$C$4:$C$3651,'Current Stock'!A989)</f>
        <v>0</v>
      </c>
      <c r="J989" s="15">
        <f t="shared" si="2"/>
        <v>0</v>
      </c>
      <c r="K989" s="13"/>
      <c r="L989" s="13"/>
      <c r="M989" s="11"/>
      <c r="N989" s="11"/>
      <c r="O989" s="17"/>
      <c r="P989" s="17"/>
    </row>
    <row r="990" ht="13.5" customHeight="1">
      <c r="A990" s="11" t="str">
        <f t="shared" si="1"/>
        <v>TRW-ACCORD93XYG</v>
      </c>
      <c r="B990" s="32" t="s">
        <v>343</v>
      </c>
      <c r="C990" s="33" t="s">
        <v>344</v>
      </c>
      <c r="D990" s="33" t="s">
        <v>62</v>
      </c>
      <c r="E990" s="11" t="s">
        <v>16</v>
      </c>
      <c r="F990" s="33" t="s">
        <v>83</v>
      </c>
      <c r="G990" s="11"/>
      <c r="H990" s="11">
        <f>SUMIFS(X!$F$3:$F$5978,X!$D$3:$D$5978,'Current Stock'!A990)</f>
        <v>0</v>
      </c>
      <c r="I990" s="11">
        <f>SUMIFS(PENJUALAN!$E$4:$E$3651,PENJUALAN!$C$4:$C$3651,'Current Stock'!A990)</f>
        <v>0</v>
      </c>
      <c r="J990" s="15">
        <f t="shared" si="2"/>
        <v>0</v>
      </c>
      <c r="K990" s="11"/>
      <c r="L990" s="11"/>
      <c r="M990" s="11"/>
      <c r="N990" s="11"/>
      <c r="O990" s="17"/>
      <c r="P990" s="17"/>
    </row>
    <row r="991" ht="13.5" customHeight="1">
      <c r="A991" s="11" t="str">
        <f t="shared" si="1"/>
        <v>TRW-ACCORD96XYG</v>
      </c>
      <c r="B991" s="32" t="s">
        <v>1392</v>
      </c>
      <c r="C991" s="35" t="s">
        <v>1393</v>
      </c>
      <c r="D991" s="35" t="s">
        <v>62</v>
      </c>
      <c r="E991" s="11" t="s">
        <v>16</v>
      </c>
      <c r="F991" s="35" t="s">
        <v>83</v>
      </c>
      <c r="G991" s="11"/>
      <c r="H991" s="11">
        <f>SUMIFS(X!$F$3:$F$5978,X!$D$3:$D$5978,'Current Stock'!A991)</f>
        <v>0</v>
      </c>
      <c r="I991" s="11">
        <f>SUMIFS(PENJUALAN!$E$4:$E$3651,PENJUALAN!$C$4:$C$3651,'Current Stock'!A991)</f>
        <v>0</v>
      </c>
      <c r="J991" s="15">
        <f t="shared" si="2"/>
        <v>0</v>
      </c>
      <c r="K991" s="11"/>
      <c r="L991" s="11"/>
      <c r="M991" s="11"/>
      <c r="N991" s="11"/>
      <c r="O991" s="17"/>
      <c r="P991" s="17"/>
    </row>
    <row r="992" ht="13.5" customHeight="1">
      <c r="A992" s="11" t="str">
        <f t="shared" si="1"/>
        <v>LFW-ACCORD98XYG</v>
      </c>
      <c r="B992" s="32" t="s">
        <v>345</v>
      </c>
      <c r="C992" s="33" t="s">
        <v>346</v>
      </c>
      <c r="D992" s="33" t="s">
        <v>60</v>
      </c>
      <c r="E992" s="11" t="s">
        <v>16</v>
      </c>
      <c r="F992" s="33" t="s">
        <v>137</v>
      </c>
      <c r="G992" s="11"/>
      <c r="H992" s="11">
        <f>SUMIFS(X!$F$3:$F$5978,X!$D$3:$D$5978,'Current Stock'!A992)</f>
        <v>0</v>
      </c>
      <c r="I992" s="11">
        <f>SUMIFS(PENJUALAN!$E$4:$E$3651,PENJUALAN!$C$4:$C$3651,'Current Stock'!A992)</f>
        <v>0</v>
      </c>
      <c r="J992" s="15">
        <f t="shared" si="2"/>
        <v>0</v>
      </c>
      <c r="K992" s="13"/>
      <c r="L992" s="13"/>
      <c r="M992" s="11"/>
      <c r="N992" s="11"/>
      <c r="O992" s="17"/>
      <c r="P992" s="17"/>
    </row>
    <row r="993" ht="13.5" customHeight="1">
      <c r="A993" s="11" t="str">
        <f t="shared" si="1"/>
        <v>TRW-ACCORD98XYG</v>
      </c>
      <c r="B993" s="32" t="s">
        <v>347</v>
      </c>
      <c r="C993" s="33" t="s">
        <v>346</v>
      </c>
      <c r="D993" s="33" t="s">
        <v>62</v>
      </c>
      <c r="E993" s="11" t="s">
        <v>16</v>
      </c>
      <c r="F993" s="33" t="s">
        <v>83</v>
      </c>
      <c r="G993" s="11"/>
      <c r="H993" s="11">
        <f>SUMIFS(X!$F$3:$F$5978,X!$D$3:$D$5978,'Current Stock'!A993)</f>
        <v>0</v>
      </c>
      <c r="I993" s="11">
        <f>SUMIFS(PENJUALAN!$E$4:$E$3651,PENJUALAN!$C$4:$C$3651,'Current Stock'!A993)</f>
        <v>0</v>
      </c>
      <c r="J993" s="15">
        <f t="shared" si="2"/>
        <v>0</v>
      </c>
      <c r="K993" s="11"/>
      <c r="L993" s="11"/>
      <c r="M993" s="11"/>
      <c r="N993" s="11"/>
      <c r="O993" s="17"/>
      <c r="P993" s="17"/>
    </row>
    <row r="994" ht="13.5" customHeight="1">
      <c r="A994" s="11" t="str">
        <f t="shared" si="1"/>
        <v>RDR-ACCORD98XYG</v>
      </c>
      <c r="B994" s="32" t="s">
        <v>349</v>
      </c>
      <c r="C994" s="33" t="s">
        <v>346</v>
      </c>
      <c r="D994" s="33" t="s">
        <v>146</v>
      </c>
      <c r="E994" s="11" t="s">
        <v>16</v>
      </c>
      <c r="F994" s="33"/>
      <c r="G994" s="11"/>
      <c r="H994" s="11">
        <f>SUMIFS(X!$F$3:$F$5978,X!$D$3:$D$5978,'Current Stock'!A994)</f>
        <v>0</v>
      </c>
      <c r="I994" s="11">
        <f>SUMIFS(PENJUALAN!$E$4:$E$3651,PENJUALAN!$C$4:$C$3651,'Current Stock'!A994)</f>
        <v>0</v>
      </c>
      <c r="J994" s="15">
        <f t="shared" si="2"/>
        <v>0</v>
      </c>
      <c r="K994" s="11"/>
      <c r="L994" s="11"/>
      <c r="M994" s="11"/>
      <c r="N994" s="11"/>
      <c r="O994" s="17"/>
      <c r="P994" s="17"/>
    </row>
    <row r="995" ht="13.5" customHeight="1">
      <c r="A995" s="11" t="str">
        <f t="shared" si="1"/>
        <v>LFW-ACCORD03XYG</v>
      </c>
      <c r="B995" s="32" t="s">
        <v>350</v>
      </c>
      <c r="C995" s="33" t="s">
        <v>351</v>
      </c>
      <c r="D995" s="33" t="s">
        <v>60</v>
      </c>
      <c r="E995" s="11" t="s">
        <v>16</v>
      </c>
      <c r="F995" s="33" t="s">
        <v>137</v>
      </c>
      <c r="G995" s="11"/>
      <c r="H995" s="11">
        <f>SUMIFS(X!$F$3:$F$5978,X!$D$3:$D$5978,'Current Stock'!A995)</f>
        <v>1</v>
      </c>
      <c r="I995" s="11">
        <f>SUMIFS(PENJUALAN!$E$4:$E$3651,PENJUALAN!$C$4:$C$3651,'Current Stock'!A995)</f>
        <v>1</v>
      </c>
      <c r="J995" s="15">
        <f t="shared" si="2"/>
        <v>0</v>
      </c>
      <c r="K995" s="13"/>
      <c r="L995" s="13"/>
      <c r="M995" s="11"/>
      <c r="N995" s="11"/>
      <c r="O995" s="17"/>
      <c r="P995" s="17"/>
    </row>
    <row r="996" ht="13.5" customHeight="1">
      <c r="A996" s="11" t="str">
        <f t="shared" si="1"/>
        <v>TRW-ACCORD03XYG</v>
      </c>
      <c r="B996" s="32" t="s">
        <v>352</v>
      </c>
      <c r="C996" s="33" t="s">
        <v>351</v>
      </c>
      <c r="D996" s="33" t="s">
        <v>62</v>
      </c>
      <c r="E996" s="11" t="s">
        <v>16</v>
      </c>
      <c r="F996" s="33" t="s">
        <v>126</v>
      </c>
      <c r="G996" s="11"/>
      <c r="H996" s="11">
        <f>SUMIFS(X!$F$3:$F$5978,X!$D$3:$D$5978,'Current Stock'!A996)</f>
        <v>0</v>
      </c>
      <c r="I996" s="11">
        <f>SUMIFS(PENJUALAN!$E$4:$E$3651,PENJUALAN!$C$4:$C$3651,'Current Stock'!A996)</f>
        <v>0</v>
      </c>
      <c r="J996" s="15">
        <f t="shared" si="2"/>
        <v>0</v>
      </c>
      <c r="K996" s="11"/>
      <c r="L996" s="11"/>
      <c r="M996" s="11"/>
      <c r="N996" s="11"/>
      <c r="O996" s="17"/>
      <c r="P996" s="17"/>
    </row>
    <row r="997" ht="13.5" customHeight="1">
      <c r="A997" s="11" t="str">
        <f t="shared" si="1"/>
        <v>LFW-ACCORD08XYG</v>
      </c>
      <c r="B997" s="32" t="s">
        <v>353</v>
      </c>
      <c r="C997" s="33" t="s">
        <v>354</v>
      </c>
      <c r="D997" s="33" t="s">
        <v>60</v>
      </c>
      <c r="E997" s="11" t="s">
        <v>16</v>
      </c>
      <c r="F997" s="33" t="s">
        <v>137</v>
      </c>
      <c r="G997" s="14">
        <v>45988.0</v>
      </c>
      <c r="H997" s="11">
        <f>SUMIFS(X!$F$3:$F$5978,X!$D$3:$D$5978,'Current Stock'!A997)</f>
        <v>1</v>
      </c>
      <c r="I997" s="11">
        <f>SUMIFS(PENJUALAN!$E$4:$E$3651,PENJUALAN!$C$4:$C$3651,'Current Stock'!A997)</f>
        <v>1</v>
      </c>
      <c r="J997" s="15">
        <f t="shared" si="2"/>
        <v>0</v>
      </c>
      <c r="K997" s="13" t="s">
        <v>355</v>
      </c>
      <c r="L997" s="11"/>
      <c r="M997" s="11"/>
      <c r="N997" s="11"/>
      <c r="O997" s="17"/>
      <c r="P997" s="17"/>
    </row>
    <row r="998" ht="13.5" customHeight="1">
      <c r="A998" s="11" t="str">
        <f t="shared" si="1"/>
        <v>LFW-ACCORD08RSXYG</v>
      </c>
      <c r="B998" s="32" t="s">
        <v>1394</v>
      </c>
      <c r="C998" s="33" t="s">
        <v>354</v>
      </c>
      <c r="D998" s="33" t="s">
        <v>60</v>
      </c>
      <c r="E998" s="11" t="s">
        <v>16</v>
      </c>
      <c r="F998" s="33" t="s">
        <v>314</v>
      </c>
      <c r="G998" s="14">
        <v>45988.0</v>
      </c>
      <c r="H998" s="11">
        <f>SUMIFS(X!$F$3:$F$5978,X!$D$3:$D$5978,'Current Stock'!A998)</f>
        <v>0</v>
      </c>
      <c r="I998" s="11">
        <f>SUMIFS(PENJUALAN!$E$4:$E$3651,PENJUALAN!$C$4:$C$3651,'Current Stock'!A998)</f>
        <v>0</v>
      </c>
      <c r="J998" s="15">
        <f t="shared" si="2"/>
        <v>0</v>
      </c>
      <c r="K998" s="13" t="s">
        <v>472</v>
      </c>
      <c r="L998" s="11"/>
      <c r="M998" s="11"/>
      <c r="N998" s="11"/>
      <c r="O998" s="17"/>
      <c r="P998" s="17"/>
    </row>
    <row r="999" ht="13.5" customHeight="1">
      <c r="A999" s="11" t="str">
        <f t="shared" si="1"/>
        <v>LFW-ACCORD13RSXYG</v>
      </c>
      <c r="B999" s="36" t="s">
        <v>357</v>
      </c>
      <c r="C999" s="31" t="s">
        <v>1395</v>
      </c>
      <c r="D999" s="31" t="s">
        <v>60</v>
      </c>
      <c r="E999" s="13" t="s">
        <v>16</v>
      </c>
      <c r="F999" s="31" t="s">
        <v>90</v>
      </c>
      <c r="G999" s="34"/>
      <c r="H999" s="11">
        <f>SUMIFS(X!$F$3:$F$5978,X!$D$3:$D$5978,'Current Stock'!A999)</f>
        <v>1</v>
      </c>
      <c r="I999" s="11">
        <f>SUMIFS(PENJUALAN!$E$4:$E$3651,PENJUALAN!$C$4:$C$3651,'Current Stock'!A999)</f>
        <v>0</v>
      </c>
      <c r="J999" s="15">
        <f t="shared" si="2"/>
        <v>1</v>
      </c>
      <c r="K999" s="13"/>
      <c r="L999" s="11"/>
      <c r="M999" s="11"/>
      <c r="N999" s="11"/>
      <c r="O999" s="17"/>
      <c r="P999" s="17"/>
    </row>
    <row r="1000" ht="13.5" customHeight="1">
      <c r="A1000" s="11" t="str">
        <f t="shared" si="1"/>
        <v>LFW-BRV16XYG</v>
      </c>
      <c r="B1000" s="32" t="s">
        <v>1396</v>
      </c>
      <c r="C1000" s="33" t="s">
        <v>1397</v>
      </c>
      <c r="D1000" s="33" t="s">
        <v>60</v>
      </c>
      <c r="E1000" s="11" t="s">
        <v>16</v>
      </c>
      <c r="F1000" s="33" t="s">
        <v>109</v>
      </c>
      <c r="G1000" s="14"/>
      <c r="H1000" s="11">
        <f>SUMIFS(X!$F$3:$F$5978,X!$D$3:$D$5978,'Current Stock'!A1000)</f>
        <v>2</v>
      </c>
      <c r="I1000" s="11">
        <f>SUMIFS(PENJUALAN!$E$4:$E$3651,PENJUALAN!$C$4:$C$3651,'Current Stock'!A1000)</f>
        <v>2</v>
      </c>
      <c r="J1000" s="15">
        <f t="shared" si="2"/>
        <v>0</v>
      </c>
      <c r="K1000" s="13"/>
      <c r="L1000" s="11"/>
      <c r="M1000" s="11"/>
      <c r="N1000" s="11"/>
      <c r="O1000" s="17"/>
      <c r="P1000" s="17"/>
    </row>
    <row r="1001" ht="13.5" customHeight="1">
      <c r="A1001" s="11" t="str">
        <f t="shared" si="1"/>
        <v>TRW-BRV16XYG</v>
      </c>
      <c r="B1001" s="32" t="s">
        <v>117</v>
      </c>
      <c r="C1001" s="33" t="s">
        <v>1397</v>
      </c>
      <c r="D1001" s="33" t="s">
        <v>62</v>
      </c>
      <c r="E1001" s="11" t="s">
        <v>16</v>
      </c>
      <c r="F1001" s="33" t="s">
        <v>546</v>
      </c>
      <c r="G1001" s="11"/>
      <c r="H1001" s="11">
        <f>SUMIFS(X!$F$3:$F$5978,X!$D$3:$D$5978,'Current Stock'!A1001)</f>
        <v>2</v>
      </c>
      <c r="I1001" s="11">
        <f>SUMIFS(PENJUALAN!$E$4:$E$3651,PENJUALAN!$C$4:$C$3651,'Current Stock'!A1001)</f>
        <v>2</v>
      </c>
      <c r="J1001" s="15">
        <f t="shared" si="2"/>
        <v>0</v>
      </c>
      <c r="K1001" s="13"/>
      <c r="L1001" s="13"/>
      <c r="M1001" s="11"/>
      <c r="N1001" s="11"/>
      <c r="O1001" s="17"/>
      <c r="P1001" s="17"/>
    </row>
    <row r="1002" ht="13.5" customHeight="1">
      <c r="A1002" s="11" t="str">
        <f t="shared" si="1"/>
        <v>LFW-BRIOXYG</v>
      </c>
      <c r="B1002" s="32" t="s">
        <v>365</v>
      </c>
      <c r="C1002" s="33" t="s">
        <v>366</v>
      </c>
      <c r="D1002" s="33" t="s">
        <v>60</v>
      </c>
      <c r="E1002" s="11" t="s">
        <v>16</v>
      </c>
      <c r="F1002" s="33" t="s">
        <v>109</v>
      </c>
      <c r="G1002" s="11"/>
      <c r="H1002" s="11">
        <f>SUMIFS(X!$F$3:$F$5978,X!$D$3:$D$5978,'Current Stock'!A1002)</f>
        <v>19</v>
      </c>
      <c r="I1002" s="11">
        <f>SUMIFS(PENJUALAN!$E$4:$E$3651,PENJUALAN!$C$4:$C$3651,'Current Stock'!A1002)</f>
        <v>18</v>
      </c>
      <c r="J1002" s="15">
        <f t="shared" si="2"/>
        <v>1</v>
      </c>
      <c r="K1002" s="13" t="s">
        <v>1398</v>
      </c>
      <c r="L1002" s="11"/>
      <c r="M1002" s="11"/>
      <c r="N1002" s="11"/>
      <c r="O1002" s="17"/>
      <c r="P1002" s="17"/>
    </row>
    <row r="1003" ht="13.5" customHeight="1">
      <c r="A1003" s="11" t="str">
        <f t="shared" si="1"/>
        <v>LFW-CU6FY</v>
      </c>
      <c r="B1003" s="32" t="s">
        <v>1399</v>
      </c>
      <c r="C1003" s="33" t="s">
        <v>1400</v>
      </c>
      <c r="D1003" s="33" t="s">
        <v>60</v>
      </c>
      <c r="E1003" s="11" t="s">
        <v>123</v>
      </c>
      <c r="F1003" s="33" t="s">
        <v>90</v>
      </c>
      <c r="G1003" s="14">
        <v>45988.0</v>
      </c>
      <c r="H1003" s="11">
        <f>SUMIFS(X!$F$3:$F$5978,X!$D$3:$D$5978,'Current Stock'!A1003)</f>
        <v>1</v>
      </c>
      <c r="I1003" s="11">
        <f>SUMIFS(PENJUALAN!$E$4:$E$3651,PENJUALAN!$C$4:$C$3651,'Current Stock'!A1003)</f>
        <v>1</v>
      </c>
      <c r="J1003" s="15">
        <f t="shared" si="2"/>
        <v>0</v>
      </c>
      <c r="K1003" s="13" t="s">
        <v>606</v>
      </c>
      <c r="L1003" s="11"/>
      <c r="M1003" s="11"/>
      <c r="N1003" s="11"/>
      <c r="O1003" s="17"/>
      <c r="P1003" s="17"/>
    </row>
    <row r="1004" ht="13.5" customHeight="1">
      <c r="A1004" s="11" t="str">
        <f t="shared" si="1"/>
        <v>TRW-BRIOXYG</v>
      </c>
      <c r="B1004" s="32" t="s">
        <v>1401</v>
      </c>
      <c r="C1004" s="33" t="s">
        <v>1402</v>
      </c>
      <c r="D1004" s="33" t="s">
        <v>62</v>
      </c>
      <c r="E1004" s="11" t="s">
        <v>16</v>
      </c>
      <c r="F1004" s="33" t="s">
        <v>1403</v>
      </c>
      <c r="G1004" s="11"/>
      <c r="H1004" s="11">
        <f>SUMIFS(X!$F$3:$F$5978,X!$D$3:$D$5978,'Current Stock'!A1004)</f>
        <v>0</v>
      </c>
      <c r="I1004" s="11">
        <f>SUMIFS(PENJUALAN!$E$4:$E$3651,PENJUALAN!$C$4:$C$3651,'Current Stock'!A1004)</f>
        <v>0</v>
      </c>
      <c r="J1004" s="15">
        <f t="shared" si="2"/>
        <v>0</v>
      </c>
      <c r="K1004" s="13"/>
      <c r="L1004" s="13"/>
      <c r="M1004" s="11"/>
      <c r="N1004" s="11"/>
      <c r="O1004" s="17"/>
      <c r="P1004" s="17"/>
    </row>
    <row r="1005" ht="13.5" customHeight="1">
      <c r="A1005" s="11" t="str">
        <f t="shared" si="1"/>
        <v>TRW-BRIO18XYG</v>
      </c>
      <c r="B1005" s="32" t="s">
        <v>1404</v>
      </c>
      <c r="C1005" s="33" t="s">
        <v>1405</v>
      </c>
      <c r="D1005" s="33" t="s">
        <v>62</v>
      </c>
      <c r="E1005" s="11" t="s">
        <v>16</v>
      </c>
      <c r="F1005" s="33" t="s">
        <v>109</v>
      </c>
      <c r="G1005" s="34"/>
      <c r="H1005" s="11">
        <f>SUMIFS(X!$F$3:$F$5978,X!$D$3:$D$5978,'Current Stock'!A1005)</f>
        <v>2</v>
      </c>
      <c r="I1005" s="11">
        <f>SUMIFS(PENJUALAN!$E$4:$E$3651,PENJUALAN!$C$4:$C$3651,'Current Stock'!A1005)</f>
        <v>1</v>
      </c>
      <c r="J1005" s="15">
        <f t="shared" si="2"/>
        <v>1</v>
      </c>
      <c r="K1005" s="13" t="s">
        <v>606</v>
      </c>
      <c r="L1005" s="13"/>
      <c r="M1005" s="11"/>
      <c r="N1005" s="11"/>
      <c r="O1005" s="17"/>
      <c r="P1005" s="17"/>
    </row>
    <row r="1006" ht="13.5" customHeight="1">
      <c r="A1006" s="11" t="str">
        <f t="shared" si="1"/>
        <v>LFW-F15XYG</v>
      </c>
      <c r="B1006" s="36" t="s">
        <v>210</v>
      </c>
      <c r="C1006" s="31" t="s">
        <v>1406</v>
      </c>
      <c r="D1006" s="31" t="s">
        <v>60</v>
      </c>
      <c r="E1006" s="13" t="s">
        <v>16</v>
      </c>
      <c r="F1006" s="31" t="s">
        <v>124</v>
      </c>
      <c r="G1006" s="11"/>
      <c r="H1006" s="11">
        <f>SUMIFS(X!$F$3:$F$5978,X!$D$3:$D$5978,'Current Stock'!A1006)</f>
        <v>2</v>
      </c>
      <c r="I1006" s="11">
        <f>SUMIFS(PENJUALAN!$E$4:$E$3651,PENJUALAN!$C$4:$C$3651,'Current Stock'!A1006)</f>
        <v>2</v>
      </c>
      <c r="J1006" s="15">
        <f t="shared" si="2"/>
        <v>0</v>
      </c>
      <c r="K1006" s="11"/>
      <c r="L1006" s="11"/>
      <c r="M1006" s="11"/>
      <c r="N1006" s="11"/>
      <c r="O1006" s="17"/>
      <c r="P1006" s="17"/>
    </row>
    <row r="1007" ht="13.5" customHeight="1">
      <c r="A1007" s="11" t="str">
        <f t="shared" si="1"/>
        <v>TRW-CITY96XYG</v>
      </c>
      <c r="B1007" s="32" t="s">
        <v>369</v>
      </c>
      <c r="C1007" s="33" t="s">
        <v>368</v>
      </c>
      <c r="D1007" s="33" t="s">
        <v>62</v>
      </c>
      <c r="E1007" s="11" t="s">
        <v>16</v>
      </c>
      <c r="F1007" s="33" t="s">
        <v>83</v>
      </c>
      <c r="G1007" s="11"/>
      <c r="H1007" s="11">
        <f>SUMIFS(X!$F$3:$F$5978,X!$D$3:$D$5978,'Current Stock'!A1007)</f>
        <v>0</v>
      </c>
      <c r="I1007" s="11">
        <f>SUMIFS(PENJUALAN!$E$4:$E$3651,PENJUALAN!$C$4:$C$3651,'Current Stock'!A1007)</f>
        <v>0</v>
      </c>
      <c r="J1007" s="15">
        <f t="shared" si="2"/>
        <v>0</v>
      </c>
      <c r="K1007" s="11"/>
      <c r="L1007" s="11"/>
      <c r="M1007" s="11"/>
      <c r="N1007" s="11"/>
      <c r="O1007" s="17"/>
      <c r="P1007" s="17"/>
    </row>
    <row r="1008" ht="13.5" customHeight="1">
      <c r="A1008" s="11" t="str">
        <f t="shared" si="1"/>
        <v>LFW-CITY02XYG</v>
      </c>
      <c r="B1008" s="32" t="s">
        <v>370</v>
      </c>
      <c r="C1008" s="33" t="s">
        <v>371</v>
      </c>
      <c r="D1008" s="33" t="s">
        <v>60</v>
      </c>
      <c r="E1008" s="11" t="s">
        <v>16</v>
      </c>
      <c r="F1008" s="33" t="s">
        <v>109</v>
      </c>
      <c r="G1008" s="34">
        <v>46126.0</v>
      </c>
      <c r="H1008" s="11">
        <f>SUMIFS(X!$F$3:$F$5978,X!$D$3:$D$5978,'Current Stock'!A1008)</f>
        <v>11</v>
      </c>
      <c r="I1008" s="11">
        <f>SUMIFS(PENJUALAN!$E$4:$E$3651,PENJUALAN!$C$4:$C$3651,'Current Stock'!A1008)</f>
        <v>8</v>
      </c>
      <c r="J1008" s="15">
        <f t="shared" si="2"/>
        <v>3</v>
      </c>
      <c r="K1008" s="13" t="s">
        <v>1407</v>
      </c>
      <c r="L1008" s="13"/>
      <c r="M1008" s="11"/>
      <c r="N1008" s="11"/>
      <c r="O1008" s="17"/>
      <c r="P1008" s="17"/>
    </row>
    <row r="1009" ht="13.5" customHeight="1">
      <c r="A1009" s="11" t="str">
        <f t="shared" si="1"/>
        <v>TRW-CITY02XYG</v>
      </c>
      <c r="B1009" s="32" t="s">
        <v>372</v>
      </c>
      <c r="C1009" s="33" t="s">
        <v>373</v>
      </c>
      <c r="D1009" s="33" t="s">
        <v>62</v>
      </c>
      <c r="E1009" s="11" t="s">
        <v>16</v>
      </c>
      <c r="F1009" s="33" t="s">
        <v>83</v>
      </c>
      <c r="G1009" s="11"/>
      <c r="H1009" s="11">
        <f>SUMIFS(X!$F$3:$F$5978,X!$D$3:$D$5978,'Current Stock'!A1009)</f>
        <v>0</v>
      </c>
      <c r="I1009" s="11">
        <f>SUMIFS(PENJUALAN!$E$4:$E$3651,PENJUALAN!$C$4:$C$3651,'Current Stock'!A1009)</f>
        <v>0</v>
      </c>
      <c r="J1009" s="15">
        <f t="shared" si="2"/>
        <v>0</v>
      </c>
      <c r="K1009" s="11"/>
      <c r="L1009" s="11"/>
      <c r="M1009" s="11"/>
      <c r="N1009" s="11"/>
      <c r="O1009" s="17"/>
      <c r="P1009" s="17"/>
    </row>
    <row r="1010" ht="13.5" customHeight="1">
      <c r="A1010" s="11" t="str">
        <f t="shared" si="1"/>
        <v>LFW-CITY08XYG</v>
      </c>
      <c r="B1010" s="32" t="s">
        <v>374</v>
      </c>
      <c r="C1010" s="33" t="s">
        <v>375</v>
      </c>
      <c r="D1010" s="33" t="s">
        <v>60</v>
      </c>
      <c r="E1010" s="11" t="s">
        <v>16</v>
      </c>
      <c r="F1010" s="33" t="s">
        <v>109</v>
      </c>
      <c r="G1010" s="11"/>
      <c r="H1010" s="11">
        <f>SUMIFS(X!$F$3:$F$5978,X!$D$3:$D$5978,'Current Stock'!A1010)</f>
        <v>0</v>
      </c>
      <c r="I1010" s="11">
        <f>SUMIFS(PENJUALAN!$E$4:$E$3651,PENJUALAN!$C$4:$C$3651,'Current Stock'!A1010)</f>
        <v>0</v>
      </c>
      <c r="J1010" s="15">
        <f t="shared" si="2"/>
        <v>0</v>
      </c>
      <c r="K1010" s="11"/>
      <c r="L1010" s="11"/>
      <c r="M1010" s="11"/>
      <c r="N1010" s="11"/>
      <c r="O1010" s="17"/>
      <c r="P1010" s="17"/>
    </row>
    <row r="1011" ht="13.5" customHeight="1">
      <c r="A1011" s="11" t="str">
        <f t="shared" si="1"/>
        <v>TRW-CITY08XYG</v>
      </c>
      <c r="B1011" s="32" t="s">
        <v>376</v>
      </c>
      <c r="C1011" s="33" t="s">
        <v>375</v>
      </c>
      <c r="D1011" s="33" t="s">
        <v>62</v>
      </c>
      <c r="E1011" s="11" t="s">
        <v>16</v>
      </c>
      <c r="F1011" s="33" t="s">
        <v>83</v>
      </c>
      <c r="G1011" s="11"/>
      <c r="H1011" s="11">
        <f>SUMIFS(X!$F$3:$F$5978,X!$D$3:$D$5978,'Current Stock'!A1011)</f>
        <v>0</v>
      </c>
      <c r="I1011" s="11">
        <f>SUMIFS(PENJUALAN!$E$4:$E$3651,PENJUALAN!$C$4:$C$3651,'Current Stock'!A1011)</f>
        <v>0</v>
      </c>
      <c r="J1011" s="15">
        <f t="shared" si="2"/>
        <v>0</v>
      </c>
      <c r="K1011" s="11"/>
      <c r="L1011" s="11"/>
      <c r="M1011" s="11"/>
      <c r="N1011" s="11"/>
      <c r="O1011" s="17"/>
      <c r="P1011" s="17"/>
    </row>
    <row r="1012" ht="13.5" customHeight="1">
      <c r="A1012" s="11" t="str">
        <f t="shared" si="1"/>
        <v>LFW-CITY14XYG</v>
      </c>
      <c r="B1012" s="32" t="s">
        <v>377</v>
      </c>
      <c r="C1012" s="33" t="s">
        <v>378</v>
      </c>
      <c r="D1012" s="33" t="s">
        <v>60</v>
      </c>
      <c r="E1012" s="11" t="s">
        <v>16</v>
      </c>
      <c r="F1012" s="33" t="s">
        <v>137</v>
      </c>
      <c r="G1012" s="11"/>
      <c r="H1012" s="11">
        <f>SUMIFS(X!$F$3:$F$5978,X!$D$3:$D$5978,'Current Stock'!A1012)</f>
        <v>4</v>
      </c>
      <c r="I1012" s="11">
        <f>SUMIFS(PENJUALAN!$E$4:$E$3651,PENJUALAN!$C$4:$C$3651,'Current Stock'!A1012)</f>
        <v>4</v>
      </c>
      <c r="J1012" s="15">
        <f t="shared" si="2"/>
        <v>0</v>
      </c>
      <c r="K1012" s="11"/>
      <c r="L1012" s="11"/>
      <c r="M1012" s="11"/>
      <c r="N1012" s="11"/>
      <c r="O1012" s="17"/>
      <c r="P1012" s="17"/>
    </row>
    <row r="1013" ht="13.5" customHeight="1">
      <c r="A1013" s="11" t="str">
        <f t="shared" si="1"/>
        <v>TRW-CITY14XYG</v>
      </c>
      <c r="B1013" s="32" t="s">
        <v>1408</v>
      </c>
      <c r="C1013" s="35" t="s">
        <v>378</v>
      </c>
      <c r="D1013" s="35" t="s">
        <v>62</v>
      </c>
      <c r="E1013" s="11" t="s">
        <v>16</v>
      </c>
      <c r="F1013" s="42" t="s">
        <v>83</v>
      </c>
      <c r="G1013" s="11"/>
      <c r="H1013" s="11">
        <f>SUMIFS(X!$F$3:$F$5978,X!$D$3:$D$5978,'Current Stock'!A1013)</f>
        <v>2</v>
      </c>
      <c r="I1013" s="11">
        <f>SUMIFS(PENJUALAN!$E$4:$E$3651,PENJUALAN!$C$4:$C$3651,'Current Stock'!A1013)</f>
        <v>1</v>
      </c>
      <c r="J1013" s="15">
        <f t="shared" si="2"/>
        <v>1</v>
      </c>
      <c r="K1013" s="11"/>
      <c r="L1013" s="11"/>
      <c r="M1013" s="11"/>
      <c r="N1013" s="11"/>
      <c r="O1013" s="17"/>
      <c r="P1013" s="17"/>
    </row>
    <row r="1014" ht="13.5" customHeight="1">
      <c r="A1014" s="11" t="str">
        <f t="shared" si="1"/>
        <v>LFW-ECOSPORTXYG</v>
      </c>
      <c r="B1014" s="32" t="s">
        <v>290</v>
      </c>
      <c r="C1014" s="33" t="s">
        <v>291</v>
      </c>
      <c r="D1014" s="33" t="s">
        <v>60</v>
      </c>
      <c r="E1014" s="11" t="s">
        <v>16</v>
      </c>
      <c r="F1014" s="33" t="s">
        <v>137</v>
      </c>
      <c r="G1014" s="11"/>
      <c r="H1014" s="11">
        <f>SUMIFS(X!$F$3:$F$5978,X!$D$3:$D$5978,'Current Stock'!A1014)</f>
        <v>1</v>
      </c>
      <c r="I1014" s="11">
        <f>SUMIFS(PENJUALAN!$E$4:$E$3651,PENJUALAN!$C$4:$C$3651,'Current Stock'!A1014)</f>
        <v>1</v>
      </c>
      <c r="J1014" s="15">
        <f t="shared" si="2"/>
        <v>0</v>
      </c>
      <c r="K1014" s="13"/>
      <c r="L1014" s="13"/>
      <c r="M1014" s="11"/>
      <c r="N1014" s="11"/>
      <c r="O1014" s="17"/>
      <c r="P1014" s="17"/>
    </row>
    <row r="1015" ht="13.5" customHeight="1">
      <c r="A1015" s="11" t="str">
        <f t="shared" si="1"/>
        <v>LFW-CIVICESTXYG</v>
      </c>
      <c r="B1015" s="32" t="s">
        <v>379</v>
      </c>
      <c r="C1015" s="33" t="s">
        <v>380</v>
      </c>
      <c r="D1015" s="33" t="s">
        <v>60</v>
      </c>
      <c r="E1015" s="11" t="s">
        <v>16</v>
      </c>
      <c r="F1015" s="33" t="s">
        <v>137</v>
      </c>
      <c r="G1015" s="11"/>
      <c r="H1015" s="11">
        <f>SUMIFS(X!$F$3:$F$5978,X!$D$3:$D$5978,'Current Stock'!A1015)</f>
        <v>0</v>
      </c>
      <c r="I1015" s="11">
        <f>SUMIFS(PENJUALAN!$E$4:$E$3651,PENJUALAN!$C$4:$C$3651,'Current Stock'!A1015)</f>
        <v>0</v>
      </c>
      <c r="J1015" s="15">
        <f t="shared" si="2"/>
        <v>0</v>
      </c>
      <c r="K1015" s="11"/>
      <c r="L1015" s="11"/>
      <c r="M1015" s="11"/>
      <c r="N1015" s="11"/>
      <c r="O1015" s="17"/>
      <c r="P1015" s="17"/>
    </row>
    <row r="1016" ht="13.5" customHeight="1">
      <c r="A1016" s="11" t="str">
        <f t="shared" si="1"/>
        <v>TRW-CIVICESTXYG</v>
      </c>
      <c r="B1016" s="32" t="s">
        <v>381</v>
      </c>
      <c r="C1016" s="33" t="s">
        <v>380</v>
      </c>
      <c r="D1016" s="33" t="s">
        <v>62</v>
      </c>
      <c r="E1016" s="11" t="s">
        <v>16</v>
      </c>
      <c r="F1016" s="33" t="s">
        <v>382</v>
      </c>
      <c r="G1016" s="11"/>
      <c r="H1016" s="11">
        <f>SUMIFS(X!$F$3:$F$5978,X!$D$3:$D$5978,'Current Stock'!A1016)</f>
        <v>0</v>
      </c>
      <c r="I1016" s="11">
        <f>SUMIFS(PENJUALAN!$E$4:$E$3651,PENJUALAN!$C$4:$C$3651,'Current Stock'!A1016)</f>
        <v>0</v>
      </c>
      <c r="J1016" s="15">
        <f t="shared" si="2"/>
        <v>0</v>
      </c>
      <c r="K1016" s="11"/>
      <c r="L1016" s="11"/>
      <c r="M1016" s="11"/>
      <c r="N1016" s="11"/>
      <c r="O1016" s="17"/>
      <c r="P1016" s="17"/>
    </row>
    <row r="1017" ht="13.5" customHeight="1">
      <c r="A1017" s="11" t="str">
        <f t="shared" si="1"/>
        <v>FDL-CIVICESTXYG</v>
      </c>
      <c r="B1017" s="32" t="s">
        <v>383</v>
      </c>
      <c r="C1017" s="33" t="s">
        <v>380</v>
      </c>
      <c r="D1017" s="33" t="s">
        <v>140</v>
      </c>
      <c r="E1017" s="11" t="s">
        <v>16</v>
      </c>
      <c r="F1017" s="33"/>
      <c r="G1017" s="11"/>
      <c r="H1017" s="11">
        <f>SUMIFS(X!$F$3:$F$5978,X!$D$3:$D$5978,'Current Stock'!A1017)</f>
        <v>0</v>
      </c>
      <c r="I1017" s="11">
        <f>SUMIFS(PENJUALAN!$E$4:$E$3651,PENJUALAN!$C$4:$C$3651,'Current Stock'!A1017)</f>
        <v>0</v>
      </c>
      <c r="J1017" s="15">
        <f t="shared" si="2"/>
        <v>0</v>
      </c>
      <c r="K1017" s="11"/>
      <c r="L1017" s="11"/>
      <c r="M1017" s="11"/>
      <c r="N1017" s="11"/>
      <c r="O1017" s="17"/>
      <c r="P1017" s="17"/>
    </row>
    <row r="1018" ht="13.5" customHeight="1">
      <c r="A1018" s="11" t="str">
        <f t="shared" si="1"/>
        <v>FDR-CIVICESTXYG</v>
      </c>
      <c r="B1018" s="32" t="s">
        <v>384</v>
      </c>
      <c r="C1018" s="33" t="s">
        <v>380</v>
      </c>
      <c r="D1018" s="35" t="s">
        <v>142</v>
      </c>
      <c r="E1018" s="11" t="s">
        <v>16</v>
      </c>
      <c r="F1018" s="33"/>
      <c r="G1018" s="11"/>
      <c r="H1018" s="11">
        <f>SUMIFS(X!$F$3:$F$5978,X!$D$3:$D$5978,'Current Stock'!A1018)</f>
        <v>0</v>
      </c>
      <c r="I1018" s="11">
        <f>SUMIFS(PENJUALAN!$E$4:$E$3651,PENJUALAN!$C$4:$C$3651,'Current Stock'!A1018)</f>
        <v>0</v>
      </c>
      <c r="J1018" s="15">
        <f t="shared" si="2"/>
        <v>0</v>
      </c>
      <c r="K1018" s="11"/>
      <c r="L1018" s="11"/>
      <c r="M1018" s="11"/>
      <c r="N1018" s="11"/>
      <c r="O1018" s="17"/>
      <c r="P1018" s="17"/>
    </row>
    <row r="1019" ht="13.5" customHeight="1">
      <c r="A1019" s="11" t="str">
        <f t="shared" si="1"/>
        <v>SWL-CIVICESTXYG</v>
      </c>
      <c r="B1019" s="36" t="s">
        <v>1409</v>
      </c>
      <c r="C1019" s="33" t="s">
        <v>380</v>
      </c>
      <c r="D1019" s="41" t="s">
        <v>1410</v>
      </c>
      <c r="E1019" s="11" t="s">
        <v>16</v>
      </c>
      <c r="F1019" s="31" t="s">
        <v>109</v>
      </c>
      <c r="G1019" s="11"/>
      <c r="H1019" s="11">
        <f>SUMIFS(X!$F$3:$F$5978,X!$D$3:$D$5978,'Current Stock'!A1019)</f>
        <v>0</v>
      </c>
      <c r="I1019" s="11">
        <f>SUMIFS(PENJUALAN!$E$4:$E$3651,PENJUALAN!$C$4:$C$3651,'Current Stock'!A1019)</f>
        <v>0</v>
      </c>
      <c r="J1019" s="15">
        <f t="shared" si="2"/>
        <v>0</v>
      </c>
      <c r="K1019" s="13"/>
      <c r="L1019" s="13"/>
      <c r="M1019" s="11"/>
      <c r="N1019" s="11"/>
      <c r="O1019" s="17"/>
      <c r="P1019" s="17"/>
    </row>
    <row r="1020" ht="13.5" customHeight="1">
      <c r="A1020" s="11" t="str">
        <f t="shared" si="1"/>
        <v>SWR-CIVICESTXYG</v>
      </c>
      <c r="B1020" s="36" t="s">
        <v>1411</v>
      </c>
      <c r="C1020" s="33" t="s">
        <v>380</v>
      </c>
      <c r="D1020" s="41" t="s">
        <v>116</v>
      </c>
      <c r="E1020" s="11" t="s">
        <v>16</v>
      </c>
      <c r="F1020" s="31" t="s">
        <v>109</v>
      </c>
      <c r="G1020" s="11"/>
      <c r="H1020" s="11">
        <f>SUMIFS(X!$F$3:$F$5978,X!$D$3:$D$5978,'Current Stock'!A1020)</f>
        <v>0</v>
      </c>
      <c r="I1020" s="11">
        <f>SUMIFS(PENJUALAN!$E$4:$E$3651,PENJUALAN!$C$4:$C$3651,'Current Stock'!A1020)</f>
        <v>0</v>
      </c>
      <c r="J1020" s="15">
        <f t="shared" si="2"/>
        <v>0</v>
      </c>
      <c r="K1020" s="13"/>
      <c r="L1020" s="13"/>
      <c r="M1020" s="11"/>
      <c r="N1020" s="11"/>
      <c r="O1020" s="17"/>
      <c r="P1020" s="17"/>
    </row>
    <row r="1021" ht="13.5" customHeight="1">
      <c r="A1021" s="11" t="str">
        <f t="shared" si="1"/>
        <v>LFW-CIVICGENIOXYG</v>
      </c>
      <c r="B1021" s="32" t="s">
        <v>387</v>
      </c>
      <c r="C1021" s="33" t="s">
        <v>388</v>
      </c>
      <c r="D1021" s="33" t="s">
        <v>60</v>
      </c>
      <c r="E1021" s="11" t="s">
        <v>16</v>
      </c>
      <c r="F1021" s="33" t="s">
        <v>137</v>
      </c>
      <c r="G1021" s="11"/>
      <c r="H1021" s="11">
        <f>SUMIFS(X!$F$3:$F$5978,X!$D$3:$D$5978,'Current Stock'!A1021)</f>
        <v>0</v>
      </c>
      <c r="I1021" s="11">
        <f>SUMIFS(PENJUALAN!$E$4:$E$3651,PENJUALAN!$C$4:$C$3651,'Current Stock'!A1021)</f>
        <v>0</v>
      </c>
      <c r="J1021" s="15">
        <f t="shared" si="2"/>
        <v>0</v>
      </c>
      <c r="K1021" s="13"/>
      <c r="L1021" s="13"/>
      <c r="M1021" s="11"/>
      <c r="N1021" s="11"/>
      <c r="O1021" s="17"/>
      <c r="P1021" s="17"/>
    </row>
    <row r="1022" ht="13.5" customHeight="1">
      <c r="A1022" s="11" t="str">
        <f t="shared" si="1"/>
        <v>TRW-CIVICGENIOXYG</v>
      </c>
      <c r="B1022" s="32" t="s">
        <v>390</v>
      </c>
      <c r="C1022" s="33" t="s">
        <v>388</v>
      </c>
      <c r="D1022" s="33" t="s">
        <v>62</v>
      </c>
      <c r="E1022" s="11" t="s">
        <v>16</v>
      </c>
      <c r="F1022" s="33" t="s">
        <v>83</v>
      </c>
      <c r="G1022" s="11"/>
      <c r="H1022" s="11">
        <f>SUMIFS(X!$F$3:$F$5978,X!$D$3:$D$5978,'Current Stock'!A1022)</f>
        <v>0</v>
      </c>
      <c r="I1022" s="11">
        <f>SUMIFS(PENJUALAN!$E$4:$E$3651,PENJUALAN!$C$4:$C$3651,'Current Stock'!A1022)</f>
        <v>0</v>
      </c>
      <c r="J1022" s="15">
        <f t="shared" si="2"/>
        <v>0</v>
      </c>
      <c r="K1022" s="11"/>
      <c r="L1022" s="11"/>
      <c r="M1022" s="11"/>
      <c r="N1022" s="11"/>
      <c r="O1022" s="17"/>
      <c r="P1022" s="17"/>
    </row>
    <row r="1023" ht="13.5" customHeight="1">
      <c r="A1023" s="11" t="str">
        <f t="shared" si="1"/>
        <v>LFW-CIVIC96XYG</v>
      </c>
      <c r="B1023" s="32" t="s">
        <v>391</v>
      </c>
      <c r="C1023" s="33" t="s">
        <v>392</v>
      </c>
      <c r="D1023" s="33" t="s">
        <v>60</v>
      </c>
      <c r="E1023" s="11" t="s">
        <v>16</v>
      </c>
      <c r="F1023" s="33" t="s">
        <v>109</v>
      </c>
      <c r="G1023" s="11"/>
      <c r="H1023" s="11">
        <f>SUMIFS(X!$F$3:$F$5978,X!$D$3:$D$5978,'Current Stock'!A1023)</f>
        <v>1</v>
      </c>
      <c r="I1023" s="11">
        <f>SUMIFS(PENJUALAN!$E$4:$E$3651,PENJUALAN!$C$4:$C$3651,'Current Stock'!A1023)</f>
        <v>1</v>
      </c>
      <c r="J1023" s="15">
        <f t="shared" si="2"/>
        <v>0</v>
      </c>
      <c r="K1023" s="11"/>
      <c r="L1023" s="11"/>
      <c r="M1023" s="11"/>
      <c r="N1023" s="11"/>
      <c r="O1023" s="17"/>
      <c r="P1023" s="17"/>
    </row>
    <row r="1024" ht="13.5" customHeight="1">
      <c r="A1024" s="11" t="str">
        <f t="shared" si="1"/>
        <v>TRW-CIVIC96XYG</v>
      </c>
      <c r="B1024" s="32" t="s">
        <v>393</v>
      </c>
      <c r="C1024" s="33" t="s">
        <v>392</v>
      </c>
      <c r="D1024" s="33" t="s">
        <v>62</v>
      </c>
      <c r="E1024" s="11" t="s">
        <v>16</v>
      </c>
      <c r="F1024" s="33" t="s">
        <v>83</v>
      </c>
      <c r="G1024" s="11"/>
      <c r="H1024" s="11">
        <f>SUMIFS(X!$F$3:$F$5978,X!$D$3:$D$5978,'Current Stock'!A1024)</f>
        <v>1</v>
      </c>
      <c r="I1024" s="11">
        <f>SUMIFS(PENJUALAN!$E$4:$E$3651,PENJUALAN!$C$4:$C$3651,'Current Stock'!A1024)</f>
        <v>1</v>
      </c>
      <c r="J1024" s="15">
        <f t="shared" si="2"/>
        <v>0</v>
      </c>
      <c r="K1024" s="13"/>
      <c r="L1024" s="13"/>
      <c r="M1024" s="11"/>
      <c r="N1024" s="11"/>
      <c r="O1024" s="17"/>
      <c r="P1024" s="17"/>
    </row>
    <row r="1025" ht="13.5" customHeight="1">
      <c r="A1025" s="11" t="str">
        <f t="shared" si="1"/>
        <v>LFW-CIVIC00XYG</v>
      </c>
      <c r="B1025" s="32" t="s">
        <v>399</v>
      </c>
      <c r="C1025" s="33" t="s">
        <v>400</v>
      </c>
      <c r="D1025" s="33" t="s">
        <v>60</v>
      </c>
      <c r="E1025" s="11" t="s">
        <v>16</v>
      </c>
      <c r="F1025" s="33" t="s">
        <v>109</v>
      </c>
      <c r="G1025" s="11"/>
      <c r="H1025" s="11">
        <f>SUMIFS(X!$F$3:$F$5978,X!$D$3:$D$5978,'Current Stock'!A1025)</f>
        <v>1</v>
      </c>
      <c r="I1025" s="11">
        <f>SUMIFS(PENJUALAN!$E$4:$E$3651,PENJUALAN!$C$4:$C$3651,'Current Stock'!A1025)</f>
        <v>1</v>
      </c>
      <c r="J1025" s="15">
        <f t="shared" si="2"/>
        <v>0</v>
      </c>
      <c r="K1025" s="11"/>
      <c r="L1025" s="11"/>
      <c r="M1025" s="11"/>
      <c r="N1025" s="11"/>
      <c r="O1025" s="17"/>
      <c r="P1025" s="17"/>
    </row>
    <row r="1026" ht="13.5" customHeight="1">
      <c r="A1026" s="11" t="str">
        <f t="shared" si="1"/>
        <v>TRW-CIVIC00XYG</v>
      </c>
      <c r="B1026" s="32" t="s">
        <v>401</v>
      </c>
      <c r="C1026" s="33" t="s">
        <v>400</v>
      </c>
      <c r="D1026" s="33" t="s">
        <v>62</v>
      </c>
      <c r="E1026" s="11" t="s">
        <v>16</v>
      </c>
      <c r="F1026" s="33" t="s">
        <v>126</v>
      </c>
      <c r="G1026" s="11"/>
      <c r="H1026" s="11">
        <f>SUMIFS(X!$F$3:$F$5978,X!$D$3:$D$5978,'Current Stock'!A1026)</f>
        <v>0</v>
      </c>
      <c r="I1026" s="11">
        <f>SUMIFS(PENJUALAN!$E$4:$E$3651,PENJUALAN!$C$4:$C$3651,'Current Stock'!A1026)</f>
        <v>0</v>
      </c>
      <c r="J1026" s="15">
        <f t="shared" si="2"/>
        <v>0</v>
      </c>
      <c r="K1026" s="11"/>
      <c r="L1026" s="11"/>
      <c r="M1026" s="11"/>
      <c r="N1026" s="11"/>
      <c r="O1026" s="17"/>
      <c r="P1026" s="17"/>
    </row>
    <row r="1027" ht="13.5" customHeight="1">
      <c r="A1027" s="11" t="str">
        <f t="shared" si="1"/>
        <v>TRW-CIVIC00HATCHBACKXYG</v>
      </c>
      <c r="B1027" s="32" t="s">
        <v>1412</v>
      </c>
      <c r="C1027" s="33" t="s">
        <v>1413</v>
      </c>
      <c r="D1027" s="35" t="s">
        <v>62</v>
      </c>
      <c r="E1027" s="11" t="s">
        <v>16</v>
      </c>
      <c r="F1027" s="33" t="s">
        <v>83</v>
      </c>
      <c r="G1027" s="11"/>
      <c r="H1027" s="11">
        <f>SUMIFS(X!$F$3:$F$5978,X!$D$3:$D$5978,'Current Stock'!A1027)</f>
        <v>0</v>
      </c>
      <c r="I1027" s="11">
        <f>SUMIFS(PENJUALAN!$E$4:$E$3651,PENJUALAN!$C$4:$C$3651,'Current Stock'!A1027)</f>
        <v>0</v>
      </c>
      <c r="J1027" s="15">
        <f t="shared" si="2"/>
        <v>0</v>
      </c>
      <c r="K1027" s="11"/>
      <c r="L1027" s="11"/>
      <c r="M1027" s="11"/>
      <c r="N1027" s="11"/>
      <c r="O1027" s="17"/>
      <c r="P1027" s="17"/>
    </row>
    <row r="1028" ht="13.5" customHeight="1">
      <c r="A1028" s="11" t="str">
        <f t="shared" si="1"/>
        <v>LFW-BIANTEXYG</v>
      </c>
      <c r="B1028" s="32" t="s">
        <v>735</v>
      </c>
      <c r="C1028" s="33" t="s">
        <v>734</v>
      </c>
      <c r="D1028" s="33" t="s">
        <v>60</v>
      </c>
      <c r="E1028" s="11" t="s">
        <v>16</v>
      </c>
      <c r="F1028" s="33" t="s">
        <v>137</v>
      </c>
      <c r="G1028" s="11"/>
      <c r="H1028" s="11">
        <f>SUMIFS(X!$F$3:$F$5978,X!$D$3:$D$5978,'Current Stock'!A1028)</f>
        <v>1</v>
      </c>
      <c r="I1028" s="11">
        <f>SUMIFS(PENJUALAN!$E$4:$E$3651,PENJUALAN!$C$4:$C$3651,'Current Stock'!A1028)</f>
        <v>1</v>
      </c>
      <c r="J1028" s="15">
        <f t="shared" si="2"/>
        <v>0</v>
      </c>
      <c r="K1028" s="11"/>
      <c r="L1028" s="11"/>
      <c r="M1028" s="11"/>
      <c r="N1028" s="11"/>
      <c r="O1028" s="17"/>
      <c r="P1028" s="17"/>
    </row>
    <row r="1029" ht="13.5" customHeight="1">
      <c r="A1029" s="11" t="str">
        <f t="shared" si="1"/>
        <v>TRW-CIVIC05XYG</v>
      </c>
      <c r="B1029" s="32" t="s">
        <v>404</v>
      </c>
      <c r="C1029" s="33" t="s">
        <v>403</v>
      </c>
      <c r="D1029" s="33" t="s">
        <v>62</v>
      </c>
      <c r="E1029" s="11" t="s">
        <v>16</v>
      </c>
      <c r="F1029" s="33" t="s">
        <v>83</v>
      </c>
      <c r="G1029" s="11"/>
      <c r="H1029" s="11">
        <f>SUMIFS(X!$F$3:$F$5978,X!$D$3:$D$5978,'Current Stock'!A1029)</f>
        <v>0</v>
      </c>
      <c r="I1029" s="11">
        <f>SUMIFS(PENJUALAN!$E$4:$E$3651,PENJUALAN!$C$4:$C$3651,'Current Stock'!A1029)</f>
        <v>0</v>
      </c>
      <c r="J1029" s="15">
        <f t="shared" si="2"/>
        <v>0</v>
      </c>
      <c r="K1029" s="11"/>
      <c r="L1029" s="11"/>
      <c r="M1029" s="11"/>
      <c r="N1029" s="11"/>
      <c r="O1029" s="17"/>
      <c r="P1029" s="17"/>
    </row>
    <row r="1030" ht="13.5" customHeight="1">
      <c r="A1030" s="11" t="str">
        <f t="shared" si="1"/>
        <v>FDL-CIVIC05XYG</v>
      </c>
      <c r="B1030" s="32" t="s">
        <v>405</v>
      </c>
      <c r="C1030" s="33" t="s">
        <v>403</v>
      </c>
      <c r="D1030" s="33" t="s">
        <v>140</v>
      </c>
      <c r="E1030" s="11" t="s">
        <v>16</v>
      </c>
      <c r="F1030" s="33" t="s">
        <v>406</v>
      </c>
      <c r="G1030" s="11"/>
      <c r="H1030" s="11">
        <f>SUMIFS(X!$F$3:$F$5978,X!$D$3:$D$5978,'Current Stock'!A1030)</f>
        <v>0</v>
      </c>
      <c r="I1030" s="11">
        <f>SUMIFS(PENJUALAN!$E$4:$E$3651,PENJUALAN!$C$4:$C$3651,'Current Stock'!A1030)</f>
        <v>0</v>
      </c>
      <c r="J1030" s="15">
        <f t="shared" si="2"/>
        <v>0</v>
      </c>
      <c r="K1030" s="11"/>
      <c r="L1030" s="11"/>
      <c r="M1030" s="11"/>
      <c r="N1030" s="11"/>
      <c r="O1030" s="17"/>
      <c r="P1030" s="17"/>
    </row>
    <row r="1031" ht="13.5" customHeight="1">
      <c r="A1031" s="11" t="str">
        <f t="shared" si="1"/>
        <v>FDR-CIVIC05XYG</v>
      </c>
      <c r="B1031" s="32" t="s">
        <v>407</v>
      </c>
      <c r="C1031" s="33" t="s">
        <v>403</v>
      </c>
      <c r="D1031" s="33" t="s">
        <v>142</v>
      </c>
      <c r="E1031" s="11" t="s">
        <v>16</v>
      </c>
      <c r="F1031" s="33" t="s">
        <v>406</v>
      </c>
      <c r="G1031" s="11"/>
      <c r="H1031" s="11">
        <f>SUMIFS(X!$F$3:$F$5978,X!$D$3:$D$5978,'Current Stock'!A1031)</f>
        <v>0</v>
      </c>
      <c r="I1031" s="11">
        <f>SUMIFS(PENJUALAN!$E$4:$E$3651,PENJUALAN!$C$4:$C$3651,'Current Stock'!A1031)</f>
        <v>0</v>
      </c>
      <c r="J1031" s="15">
        <f t="shared" si="2"/>
        <v>0</v>
      </c>
      <c r="K1031" s="11"/>
      <c r="L1031" s="11"/>
      <c r="M1031" s="11"/>
      <c r="N1031" s="11"/>
      <c r="O1031" s="17"/>
      <c r="P1031" s="17"/>
    </row>
    <row r="1032" ht="13.5" customHeight="1">
      <c r="A1032" s="11" t="str">
        <f t="shared" si="1"/>
        <v>LFW-CIVIC11XYG</v>
      </c>
      <c r="B1032" s="32" t="s">
        <v>414</v>
      </c>
      <c r="C1032" s="33" t="s">
        <v>415</v>
      </c>
      <c r="D1032" s="33" t="s">
        <v>60</v>
      </c>
      <c r="E1032" s="11" t="s">
        <v>16</v>
      </c>
      <c r="F1032" s="33" t="s">
        <v>137</v>
      </c>
      <c r="G1032" s="14">
        <v>45988.0</v>
      </c>
      <c r="H1032" s="11">
        <f>SUMIFS(X!$F$3:$F$5978,X!$D$3:$D$5978,'Current Stock'!A1032)</f>
        <v>0</v>
      </c>
      <c r="I1032" s="11">
        <f>SUMIFS(PENJUALAN!$E$4:$E$3651,PENJUALAN!$C$4:$C$3651,'Current Stock'!A1032)</f>
        <v>0</v>
      </c>
      <c r="J1032" s="15">
        <f t="shared" si="2"/>
        <v>0</v>
      </c>
      <c r="K1032" s="13" t="s">
        <v>430</v>
      </c>
      <c r="L1032" s="11"/>
      <c r="M1032" s="11"/>
      <c r="N1032" s="11"/>
      <c r="O1032" s="17"/>
      <c r="P1032" s="17"/>
    </row>
    <row r="1033" ht="13.5" customHeight="1">
      <c r="A1033" s="11" t="str">
        <f t="shared" si="1"/>
        <v>TRW-CIVIC11XYG</v>
      </c>
      <c r="B1033" s="32" t="s">
        <v>416</v>
      </c>
      <c r="C1033" s="33" t="s">
        <v>415</v>
      </c>
      <c r="D1033" s="33" t="s">
        <v>62</v>
      </c>
      <c r="E1033" s="11" t="s">
        <v>16</v>
      </c>
      <c r="F1033" s="33" t="s">
        <v>126</v>
      </c>
      <c r="G1033" s="11"/>
      <c r="H1033" s="11">
        <f>SUMIFS(X!$F$3:$F$5978,X!$D$3:$D$5978,'Current Stock'!A1033)</f>
        <v>0</v>
      </c>
      <c r="I1033" s="11">
        <f>SUMIFS(PENJUALAN!$E$4:$E$3651,PENJUALAN!$C$4:$C$3651,'Current Stock'!A1033)</f>
        <v>0</v>
      </c>
      <c r="J1033" s="15">
        <f t="shared" si="2"/>
        <v>0</v>
      </c>
      <c r="K1033" s="11"/>
      <c r="L1033" s="11"/>
      <c r="M1033" s="11"/>
      <c r="N1033" s="11"/>
      <c r="O1033" s="17"/>
      <c r="P1033" s="17"/>
    </row>
    <row r="1034" ht="13.5" customHeight="1">
      <c r="A1034" s="11" t="str">
        <f t="shared" si="1"/>
        <v>LFW-CIVIC16RSXYG</v>
      </c>
      <c r="B1034" s="32" t="s">
        <v>1414</v>
      </c>
      <c r="C1034" s="33" t="s">
        <v>1415</v>
      </c>
      <c r="D1034" s="33" t="s">
        <v>60</v>
      </c>
      <c r="E1034" s="11" t="s">
        <v>16</v>
      </c>
      <c r="F1034" s="33" t="s">
        <v>90</v>
      </c>
      <c r="G1034" s="34"/>
      <c r="H1034" s="11">
        <f>SUMIFS(X!$F$3:$F$5978,X!$D$3:$D$5978,'Current Stock'!A1034)</f>
        <v>1</v>
      </c>
      <c r="I1034" s="11">
        <f>SUMIFS(PENJUALAN!$E$4:$E$3651,PENJUALAN!$C$4:$C$3651,'Current Stock'!A1034)</f>
        <v>0</v>
      </c>
      <c r="J1034" s="15">
        <f t="shared" si="2"/>
        <v>1</v>
      </c>
      <c r="K1034" s="13" t="s">
        <v>430</v>
      </c>
      <c r="L1034" s="13"/>
      <c r="M1034" s="11"/>
      <c r="N1034" s="11"/>
      <c r="O1034" s="17"/>
      <c r="P1034" s="17"/>
    </row>
    <row r="1035" ht="13.5" customHeight="1">
      <c r="A1035" s="11" t="str">
        <f t="shared" si="1"/>
        <v>LFW-CX5GEN1RS2XYG</v>
      </c>
      <c r="B1035" s="49" t="s">
        <v>1416</v>
      </c>
      <c r="C1035" s="31" t="s">
        <v>1417</v>
      </c>
      <c r="D1035" s="31" t="s">
        <v>60</v>
      </c>
      <c r="E1035" s="13" t="s">
        <v>16</v>
      </c>
      <c r="F1035" s="31" t="s">
        <v>314</v>
      </c>
      <c r="G1035" s="11"/>
      <c r="H1035" s="11">
        <f>SUMIFS(X!$F$3:$F$5978,X!$D$3:$D$5978,'Current Stock'!A1035)</f>
        <v>2</v>
      </c>
      <c r="I1035" s="11">
        <f>SUMIFS(PENJUALAN!$E$4:$E$3651,PENJUALAN!$C$4:$C$3651,'Current Stock'!A1035)</f>
        <v>2</v>
      </c>
      <c r="J1035" s="15">
        <f t="shared" si="2"/>
        <v>0</v>
      </c>
      <c r="K1035" s="11"/>
      <c r="L1035" s="11"/>
      <c r="M1035" s="11"/>
      <c r="N1035" s="11"/>
      <c r="O1035" s="17"/>
      <c r="P1035" s="17"/>
    </row>
    <row r="1036" ht="13.5" customHeight="1">
      <c r="A1036" s="11" t="str">
        <f t="shared" si="1"/>
        <v>LFW-W246XYG</v>
      </c>
      <c r="B1036" s="32" t="s">
        <v>1418</v>
      </c>
      <c r="C1036" s="33" t="s">
        <v>1419</v>
      </c>
      <c r="D1036" s="33" t="s">
        <v>60</v>
      </c>
      <c r="E1036" s="11" t="s">
        <v>16</v>
      </c>
      <c r="F1036" s="33" t="s">
        <v>314</v>
      </c>
      <c r="G1036" s="11"/>
      <c r="H1036" s="11">
        <f>SUMIFS(X!$F$3:$F$5978,X!$D$3:$D$5978,'Current Stock'!A1036)</f>
        <v>1</v>
      </c>
      <c r="I1036" s="11">
        <f>SUMIFS(PENJUALAN!$E$4:$E$3651,PENJUALAN!$C$4:$C$3651,'Current Stock'!A1036)</f>
        <v>1</v>
      </c>
      <c r="J1036" s="15">
        <f t="shared" si="2"/>
        <v>0</v>
      </c>
      <c r="K1036" s="11"/>
      <c r="L1036" s="11"/>
      <c r="M1036" s="11"/>
      <c r="N1036" s="11"/>
      <c r="O1036" s="17"/>
      <c r="P1036" s="17"/>
    </row>
    <row r="1037" ht="13.5" customHeight="1">
      <c r="A1037" s="11" t="str">
        <f t="shared" si="1"/>
        <v>TRW-CRV95XYG</v>
      </c>
      <c r="B1037" s="32" t="s">
        <v>421</v>
      </c>
      <c r="C1037" s="33" t="s">
        <v>420</v>
      </c>
      <c r="D1037" s="33" t="s">
        <v>62</v>
      </c>
      <c r="E1037" s="11" t="s">
        <v>16</v>
      </c>
      <c r="F1037" s="33" t="s">
        <v>382</v>
      </c>
      <c r="G1037" s="11"/>
      <c r="H1037" s="11">
        <f>SUMIFS(X!$F$3:$F$5978,X!$D$3:$D$5978,'Current Stock'!A1037)</f>
        <v>0</v>
      </c>
      <c r="I1037" s="11">
        <f>SUMIFS(PENJUALAN!$E$4:$E$3651,PENJUALAN!$C$4:$C$3651,'Current Stock'!A1037)</f>
        <v>0</v>
      </c>
      <c r="J1037" s="15">
        <f t="shared" si="2"/>
        <v>0</v>
      </c>
      <c r="K1037" s="11"/>
      <c r="L1037" s="11"/>
      <c r="M1037" s="11"/>
      <c r="N1037" s="11"/>
      <c r="O1037" s="17"/>
      <c r="P1037" s="17"/>
    </row>
    <row r="1038" ht="13.5" customHeight="1">
      <c r="A1038" s="11" t="str">
        <f t="shared" si="1"/>
        <v>LFW-W204RS2XYG</v>
      </c>
      <c r="B1038" s="32" t="s">
        <v>1420</v>
      </c>
      <c r="C1038" s="33" t="s">
        <v>1421</v>
      </c>
      <c r="D1038" s="33" t="s">
        <v>60</v>
      </c>
      <c r="E1038" s="11" t="s">
        <v>16</v>
      </c>
      <c r="F1038" s="33" t="s">
        <v>124</v>
      </c>
      <c r="G1038" s="11"/>
      <c r="H1038" s="11">
        <f>SUMIFS(X!$F$3:$F$5978,X!$D$3:$D$5978,'Current Stock'!A1038)</f>
        <v>1</v>
      </c>
      <c r="I1038" s="11">
        <f>SUMIFS(PENJUALAN!$E$4:$E$3651,PENJUALAN!$C$4:$C$3651,'Current Stock'!A1038)</f>
        <v>1</v>
      </c>
      <c r="J1038" s="15">
        <f t="shared" si="2"/>
        <v>0</v>
      </c>
      <c r="K1038" s="11"/>
      <c r="L1038" s="11"/>
      <c r="M1038" s="11"/>
      <c r="N1038" s="11"/>
      <c r="O1038" s="17"/>
      <c r="P1038" s="17"/>
    </row>
    <row r="1039" ht="13.5" customHeight="1">
      <c r="A1039" s="11" t="str">
        <f t="shared" si="1"/>
        <v>LFW-CRV05XYG</v>
      </c>
      <c r="B1039" s="32" t="s">
        <v>431</v>
      </c>
      <c r="C1039" s="33" t="s">
        <v>432</v>
      </c>
      <c r="D1039" s="33" t="s">
        <v>60</v>
      </c>
      <c r="E1039" s="11" t="s">
        <v>16</v>
      </c>
      <c r="F1039" s="33" t="s">
        <v>137</v>
      </c>
      <c r="G1039" s="11"/>
      <c r="H1039" s="11">
        <f>SUMIFS(X!$F$3:$F$5978,X!$D$3:$D$5978,'Current Stock'!A1039)</f>
        <v>2</v>
      </c>
      <c r="I1039" s="11">
        <f>SUMIFS(PENJUALAN!$E$4:$E$3651,PENJUALAN!$C$4:$C$3651,'Current Stock'!A1039)</f>
        <v>0</v>
      </c>
      <c r="J1039" s="15">
        <f t="shared" si="2"/>
        <v>2</v>
      </c>
      <c r="K1039" s="13"/>
      <c r="L1039" s="13"/>
      <c r="M1039" s="11"/>
      <c r="N1039" s="11"/>
      <c r="O1039" s="17"/>
      <c r="P1039" s="17"/>
    </row>
    <row r="1040" ht="13.5" customHeight="1">
      <c r="A1040" s="11" t="str">
        <f t="shared" si="1"/>
        <v>TRW-CRV02XYG</v>
      </c>
      <c r="B1040" s="32" t="s">
        <v>433</v>
      </c>
      <c r="C1040" s="33" t="s">
        <v>434</v>
      </c>
      <c r="D1040" s="33" t="s">
        <v>62</v>
      </c>
      <c r="E1040" s="11" t="s">
        <v>16</v>
      </c>
      <c r="F1040" s="33" t="s">
        <v>234</v>
      </c>
      <c r="G1040" s="11"/>
      <c r="H1040" s="11">
        <f>SUMIFS(X!$F$3:$F$5978,X!$D$3:$D$5978,'Current Stock'!A1040)</f>
        <v>0</v>
      </c>
      <c r="I1040" s="11">
        <f>SUMIFS(PENJUALAN!$E$4:$E$3651,PENJUALAN!$C$4:$C$3651,'Current Stock'!A1040)</f>
        <v>0</v>
      </c>
      <c r="J1040" s="15">
        <f t="shared" si="2"/>
        <v>0</v>
      </c>
      <c r="K1040" s="11"/>
      <c r="L1040" s="11"/>
      <c r="M1040" s="11"/>
      <c r="N1040" s="11"/>
      <c r="O1040" s="17"/>
      <c r="P1040" s="17"/>
    </row>
    <row r="1041" ht="13.5" customHeight="1">
      <c r="A1041" s="11" t="str">
        <f t="shared" si="1"/>
        <v>SWL-CRV02XYG</v>
      </c>
      <c r="B1041" s="32" t="s">
        <v>437</v>
      </c>
      <c r="C1041" s="33" t="s">
        <v>434</v>
      </c>
      <c r="D1041" s="33" t="s">
        <v>209</v>
      </c>
      <c r="E1041" s="11" t="s">
        <v>16</v>
      </c>
      <c r="F1041" s="33" t="s">
        <v>109</v>
      </c>
      <c r="G1041" s="11"/>
      <c r="H1041" s="11">
        <f>SUMIFS(X!$F$3:$F$5978,X!$D$3:$D$5978,'Current Stock'!A1041)</f>
        <v>0</v>
      </c>
      <c r="I1041" s="11">
        <f>SUMIFS(PENJUALAN!$E$4:$E$3651,PENJUALAN!$C$4:$C$3651,'Current Stock'!A1041)</f>
        <v>0</v>
      </c>
      <c r="J1041" s="15">
        <f t="shared" si="2"/>
        <v>0</v>
      </c>
      <c r="K1041" s="13"/>
      <c r="L1041" s="13"/>
      <c r="M1041" s="11"/>
      <c r="N1041" s="11"/>
      <c r="O1041" s="17"/>
      <c r="P1041" s="17"/>
    </row>
    <row r="1042" ht="13.5" customHeight="1">
      <c r="A1042" s="11" t="str">
        <f t="shared" si="1"/>
        <v>SWR-CRV02XYG</v>
      </c>
      <c r="B1042" s="32" t="s">
        <v>438</v>
      </c>
      <c r="C1042" s="33" t="s">
        <v>434</v>
      </c>
      <c r="D1042" s="33" t="s">
        <v>243</v>
      </c>
      <c r="E1042" s="11" t="s">
        <v>16</v>
      </c>
      <c r="F1042" s="33" t="s">
        <v>109</v>
      </c>
      <c r="G1042" s="11"/>
      <c r="H1042" s="11">
        <f>SUMIFS(X!$F$3:$F$5978,X!$D$3:$D$5978,'Current Stock'!A1042)</f>
        <v>0</v>
      </c>
      <c r="I1042" s="11">
        <f>SUMIFS(PENJUALAN!$E$4:$E$3651,PENJUALAN!$C$4:$C$3651,'Current Stock'!A1042)</f>
        <v>0</v>
      </c>
      <c r="J1042" s="15">
        <f t="shared" si="2"/>
        <v>0</v>
      </c>
      <c r="K1042" s="13"/>
      <c r="L1042" s="13"/>
      <c r="M1042" s="11"/>
      <c r="N1042" s="11"/>
      <c r="O1042" s="17"/>
      <c r="P1042" s="17"/>
    </row>
    <row r="1043" ht="13.5" customHeight="1">
      <c r="A1043" s="11" t="str">
        <f t="shared" si="1"/>
        <v>LFW-CRV07XYG</v>
      </c>
      <c r="B1043" s="32" t="s">
        <v>439</v>
      </c>
      <c r="C1043" s="33" t="s">
        <v>440</v>
      </c>
      <c r="D1043" s="33" t="s">
        <v>60</v>
      </c>
      <c r="E1043" s="11" t="s">
        <v>16</v>
      </c>
      <c r="F1043" s="33" t="s">
        <v>137</v>
      </c>
      <c r="G1043" s="34">
        <v>46037.0</v>
      </c>
      <c r="H1043" s="11">
        <f>SUMIFS(X!$F$3:$F$5978,X!$D$3:$D$5978,'Current Stock'!A1043)</f>
        <v>10</v>
      </c>
      <c r="I1043" s="11">
        <f>SUMIFS(PENJUALAN!$E$4:$E$3651,PENJUALAN!$C$4:$C$3651,'Current Stock'!A1043)</f>
        <v>5</v>
      </c>
      <c r="J1043" s="15">
        <f t="shared" si="2"/>
        <v>5</v>
      </c>
      <c r="K1043" s="13" t="s">
        <v>1422</v>
      </c>
      <c r="L1043" s="13"/>
      <c r="M1043" s="11"/>
      <c r="N1043" s="11"/>
      <c r="O1043" s="17"/>
      <c r="P1043" s="17"/>
    </row>
    <row r="1044" ht="13.5" customHeight="1">
      <c r="A1044" s="11" t="str">
        <f t="shared" si="1"/>
        <v>TRW-CRV07XYG</v>
      </c>
      <c r="B1044" s="32" t="s">
        <v>441</v>
      </c>
      <c r="C1044" s="33" t="s">
        <v>440</v>
      </c>
      <c r="D1044" s="33" t="s">
        <v>62</v>
      </c>
      <c r="E1044" s="11" t="s">
        <v>16</v>
      </c>
      <c r="F1044" s="33" t="s">
        <v>442</v>
      </c>
      <c r="G1044" s="11"/>
      <c r="H1044" s="11">
        <f>SUMIFS(X!$F$3:$F$5978,X!$D$3:$D$5978,'Current Stock'!A1044)</f>
        <v>7</v>
      </c>
      <c r="I1044" s="11">
        <f>SUMIFS(PENJUALAN!$E$4:$E$3651,PENJUALAN!$C$4:$C$3651,'Current Stock'!A1044)</f>
        <v>4</v>
      </c>
      <c r="J1044" s="15">
        <f t="shared" si="2"/>
        <v>3</v>
      </c>
      <c r="K1044" s="13"/>
      <c r="L1044" s="13"/>
      <c r="M1044" s="11"/>
      <c r="N1044" s="11"/>
      <c r="O1044" s="17"/>
      <c r="P1044" s="17"/>
    </row>
    <row r="1045" ht="13.5" customHeight="1">
      <c r="A1045" s="11" t="str">
        <f t="shared" si="1"/>
        <v>SWL-CRV07XYG</v>
      </c>
      <c r="B1045" s="32" t="s">
        <v>443</v>
      </c>
      <c r="C1045" s="33" t="s">
        <v>440</v>
      </c>
      <c r="D1045" s="33" t="s">
        <v>209</v>
      </c>
      <c r="E1045" s="11" t="s">
        <v>16</v>
      </c>
      <c r="F1045" s="33" t="s">
        <v>109</v>
      </c>
      <c r="G1045" s="11"/>
      <c r="H1045" s="11">
        <f>SUMIFS(X!$F$3:$F$5978,X!$D$3:$D$5978,'Current Stock'!A1045)</f>
        <v>0</v>
      </c>
      <c r="I1045" s="11">
        <f>SUMIFS(PENJUALAN!$E$4:$E$3651,PENJUALAN!$C$4:$C$3651,'Current Stock'!A1045)</f>
        <v>0</v>
      </c>
      <c r="J1045" s="15">
        <f t="shared" si="2"/>
        <v>0</v>
      </c>
      <c r="K1045" s="11"/>
      <c r="L1045" s="11"/>
      <c r="M1045" s="11"/>
      <c r="N1045" s="11"/>
      <c r="O1045" s="17"/>
      <c r="P1045" s="17"/>
    </row>
    <row r="1046" ht="13.5" customHeight="1">
      <c r="A1046" s="11" t="str">
        <f t="shared" si="1"/>
        <v>SWR-CRV07XYG</v>
      </c>
      <c r="B1046" s="32" t="s">
        <v>444</v>
      </c>
      <c r="C1046" s="33" t="s">
        <v>440</v>
      </c>
      <c r="D1046" s="33" t="s">
        <v>243</v>
      </c>
      <c r="E1046" s="11" t="s">
        <v>16</v>
      </c>
      <c r="F1046" s="33" t="s">
        <v>109</v>
      </c>
      <c r="G1046" s="14">
        <v>45988.0</v>
      </c>
      <c r="H1046" s="11">
        <f>SUMIFS(X!$F$3:$F$5978,X!$D$3:$D$5978,'Current Stock'!A1046)</f>
        <v>0</v>
      </c>
      <c r="I1046" s="11">
        <f>SUMIFS(PENJUALAN!$E$4:$E$3651,PENJUALAN!$C$4:$C$3651,'Current Stock'!A1046)</f>
        <v>0</v>
      </c>
      <c r="J1046" s="15">
        <f t="shared" si="2"/>
        <v>0</v>
      </c>
      <c r="K1046" s="13" t="s">
        <v>606</v>
      </c>
      <c r="L1046" s="11"/>
      <c r="M1046" s="11"/>
      <c r="N1046" s="11"/>
      <c r="O1046" s="17"/>
      <c r="P1046" s="17"/>
    </row>
    <row r="1047" ht="13.5" customHeight="1">
      <c r="A1047" s="11" t="str">
        <f t="shared" si="1"/>
        <v>LFW-CRV12XYG</v>
      </c>
      <c r="B1047" s="32" t="s">
        <v>445</v>
      </c>
      <c r="C1047" s="33" t="s">
        <v>85</v>
      </c>
      <c r="D1047" s="33" t="s">
        <v>60</v>
      </c>
      <c r="E1047" s="11" t="s">
        <v>16</v>
      </c>
      <c r="F1047" s="33" t="s">
        <v>137</v>
      </c>
      <c r="G1047" s="14">
        <v>45988.0</v>
      </c>
      <c r="H1047" s="11">
        <f>SUMIFS(X!$F$3:$F$5978,X!$D$3:$D$5978,'Current Stock'!A1047)</f>
        <v>16</v>
      </c>
      <c r="I1047" s="11">
        <f>SUMIFS(PENJUALAN!$E$4:$E$3651,PENJUALAN!$C$4:$C$3651,'Current Stock'!A1047)</f>
        <v>12</v>
      </c>
      <c r="J1047" s="15">
        <f t="shared" si="2"/>
        <v>4</v>
      </c>
      <c r="K1047" s="13" t="s">
        <v>606</v>
      </c>
      <c r="L1047" s="13"/>
      <c r="M1047" s="11"/>
      <c r="N1047" s="11"/>
      <c r="O1047" s="17"/>
      <c r="P1047" s="17"/>
    </row>
    <row r="1048" ht="13.5" customHeight="1">
      <c r="A1048" s="11" t="str">
        <f t="shared" si="1"/>
        <v>TRW-CRV12NONPXYG</v>
      </c>
      <c r="B1048" s="32" t="s">
        <v>446</v>
      </c>
      <c r="C1048" s="33" t="s">
        <v>447</v>
      </c>
      <c r="D1048" s="33" t="s">
        <v>62</v>
      </c>
      <c r="E1048" s="11" t="s">
        <v>16</v>
      </c>
      <c r="F1048" s="33" t="s">
        <v>228</v>
      </c>
      <c r="G1048" s="34"/>
      <c r="H1048" s="11">
        <f>SUMIFS(X!$F$3:$F$5978,X!$D$3:$D$5978,'Current Stock'!A1048)</f>
        <v>2</v>
      </c>
      <c r="I1048" s="11">
        <f>SUMIFS(PENJUALAN!$E$4:$E$3651,PENJUALAN!$C$4:$C$3651,'Current Stock'!A1048)</f>
        <v>1</v>
      </c>
      <c r="J1048" s="15">
        <f t="shared" si="2"/>
        <v>1</v>
      </c>
      <c r="K1048" s="13"/>
      <c r="L1048" s="13"/>
      <c r="M1048" s="11"/>
      <c r="N1048" s="11"/>
      <c r="O1048" s="17"/>
      <c r="P1048" s="17"/>
    </row>
    <row r="1049" ht="13.5" customHeight="1">
      <c r="A1049" s="11" t="str">
        <f t="shared" si="1"/>
        <v>TRW-CRV12PRESTIGEXYG</v>
      </c>
      <c r="B1049" s="32" t="s">
        <v>448</v>
      </c>
      <c r="C1049" s="33" t="s">
        <v>449</v>
      </c>
      <c r="D1049" s="33" t="s">
        <v>62</v>
      </c>
      <c r="E1049" s="11" t="s">
        <v>16</v>
      </c>
      <c r="F1049" s="33" t="s">
        <v>450</v>
      </c>
      <c r="G1049" s="34"/>
      <c r="H1049" s="11">
        <f>SUMIFS(X!$F$3:$F$5978,X!$D$3:$D$5978,'Current Stock'!A1049)</f>
        <v>4</v>
      </c>
      <c r="I1049" s="11">
        <f>SUMIFS(PENJUALAN!$E$4:$E$3651,PENJUALAN!$C$4:$C$3651,'Current Stock'!A1049)</f>
        <v>3</v>
      </c>
      <c r="J1049" s="15">
        <f t="shared" si="2"/>
        <v>1</v>
      </c>
      <c r="K1049" s="13"/>
      <c r="L1049" s="11"/>
      <c r="M1049" s="11"/>
      <c r="N1049" s="11"/>
      <c r="O1049" s="17"/>
      <c r="P1049" s="17"/>
    </row>
    <row r="1050" ht="13.5" customHeight="1">
      <c r="A1050" s="11" t="str">
        <f t="shared" si="1"/>
        <v>LFW-CRV17RSXYG</v>
      </c>
      <c r="B1050" s="32" t="s">
        <v>1423</v>
      </c>
      <c r="C1050" s="33" t="s">
        <v>455</v>
      </c>
      <c r="D1050" s="33" t="s">
        <v>60</v>
      </c>
      <c r="E1050" s="11" t="s">
        <v>16</v>
      </c>
      <c r="F1050" s="33" t="s">
        <v>90</v>
      </c>
      <c r="G1050" s="14">
        <v>45988.0</v>
      </c>
      <c r="H1050" s="11">
        <f>SUMIFS(X!$F$3:$F$5978,X!$D$3:$D$5978,'Current Stock'!A1050)</f>
        <v>1</v>
      </c>
      <c r="I1050" s="11">
        <f>SUMIFS(PENJUALAN!$E$4:$E$3651,PENJUALAN!$C$4:$C$3651,'Current Stock'!A1050)</f>
        <v>1</v>
      </c>
      <c r="J1050" s="15">
        <f t="shared" si="2"/>
        <v>0</v>
      </c>
      <c r="K1050" s="13" t="s">
        <v>606</v>
      </c>
      <c r="L1050" s="11"/>
      <c r="M1050" s="11"/>
      <c r="N1050" s="11"/>
      <c r="O1050" s="17"/>
      <c r="P1050" s="17"/>
    </row>
    <row r="1051" ht="13.5" customHeight="1">
      <c r="A1051" s="11" t="str">
        <f t="shared" si="1"/>
        <v>LFW-W213XYG</v>
      </c>
      <c r="B1051" s="32" t="s">
        <v>1424</v>
      </c>
      <c r="C1051" s="35" t="s">
        <v>1425</v>
      </c>
      <c r="D1051" s="35" t="s">
        <v>60</v>
      </c>
      <c r="E1051" s="11" t="s">
        <v>16</v>
      </c>
      <c r="F1051" s="42" t="s">
        <v>124</v>
      </c>
      <c r="G1051" s="11"/>
      <c r="H1051" s="11">
        <f>SUMIFS(X!$F$3:$F$5978,X!$D$3:$D$5978,'Current Stock'!A1051)</f>
        <v>2</v>
      </c>
      <c r="I1051" s="11">
        <f>SUMIFS(PENJUALAN!$E$4:$E$3651,PENJUALAN!$C$4:$C$3651,'Current Stock'!A1051)</f>
        <v>2</v>
      </c>
      <c r="J1051" s="15">
        <f t="shared" si="2"/>
        <v>0</v>
      </c>
      <c r="K1051" s="11"/>
      <c r="L1051" s="11"/>
      <c r="M1051" s="11"/>
      <c r="N1051" s="11"/>
      <c r="O1051" s="17"/>
      <c r="P1051" s="17"/>
    </row>
    <row r="1052" ht="13.5" customHeight="1">
      <c r="A1052" s="11" t="str">
        <f t="shared" si="1"/>
        <v>TRW-CRV17XYG</v>
      </c>
      <c r="B1052" s="32" t="s">
        <v>456</v>
      </c>
      <c r="C1052" s="33" t="s">
        <v>455</v>
      </c>
      <c r="D1052" s="33" t="s">
        <v>62</v>
      </c>
      <c r="E1052" s="11" t="s">
        <v>16</v>
      </c>
      <c r="F1052" s="33" t="s">
        <v>450</v>
      </c>
      <c r="G1052" s="34"/>
      <c r="H1052" s="11">
        <f>SUMIFS(X!$F$3:$F$5978,X!$D$3:$D$5978,'Current Stock'!A1052)</f>
        <v>4</v>
      </c>
      <c r="I1052" s="11">
        <f>SUMIFS(PENJUALAN!$E$4:$E$3651,PENJUALAN!$C$4:$C$3651,'Current Stock'!A1052)</f>
        <v>3</v>
      </c>
      <c r="J1052" s="15">
        <f t="shared" si="2"/>
        <v>1</v>
      </c>
      <c r="K1052" s="13" t="s">
        <v>1359</v>
      </c>
      <c r="L1052" s="11"/>
      <c r="M1052" s="11"/>
      <c r="N1052" s="11"/>
      <c r="O1052" s="17"/>
      <c r="P1052" s="17"/>
    </row>
    <row r="1053" ht="13.5" customHeight="1">
      <c r="A1053" s="11" t="str">
        <f t="shared" si="1"/>
        <v>LFW-CRZXYG</v>
      </c>
      <c r="B1053" s="32" t="s">
        <v>457</v>
      </c>
      <c r="C1053" s="33" t="s">
        <v>458</v>
      </c>
      <c r="D1053" s="33" t="s">
        <v>60</v>
      </c>
      <c r="E1053" s="11" t="s">
        <v>16</v>
      </c>
      <c r="F1053" s="33" t="s">
        <v>90</v>
      </c>
      <c r="G1053" s="11"/>
      <c r="H1053" s="11">
        <f>SUMIFS(X!$F$3:$F$5978,X!$D$3:$D$5978,'Current Stock'!A1053)</f>
        <v>0</v>
      </c>
      <c r="I1053" s="11">
        <f>SUMIFS(PENJUALAN!$E$4:$E$3651,PENJUALAN!$C$4:$C$3651,'Current Stock'!A1053)</f>
        <v>0</v>
      </c>
      <c r="J1053" s="15">
        <f t="shared" si="2"/>
        <v>0</v>
      </c>
      <c r="K1053" s="11"/>
      <c r="L1053" s="11"/>
      <c r="M1053" s="11"/>
      <c r="N1053" s="11"/>
      <c r="O1053" s="17"/>
      <c r="P1053" s="17"/>
    </row>
    <row r="1054" ht="13.5" customHeight="1">
      <c r="A1054" s="11" t="str">
        <f t="shared" si="1"/>
        <v>LFW-ELYSIONXYG</v>
      </c>
      <c r="B1054" s="32" t="s">
        <v>459</v>
      </c>
      <c r="C1054" s="33" t="s">
        <v>460</v>
      </c>
      <c r="D1054" s="33" t="s">
        <v>60</v>
      </c>
      <c r="E1054" s="11" t="s">
        <v>16</v>
      </c>
      <c r="F1054" s="33" t="s">
        <v>137</v>
      </c>
      <c r="G1054" s="11"/>
      <c r="H1054" s="11">
        <f>SUMIFS(X!$F$3:$F$5978,X!$D$3:$D$5978,'Current Stock'!A1054)</f>
        <v>0</v>
      </c>
      <c r="I1054" s="11">
        <f>SUMIFS(PENJUALAN!$E$4:$E$3651,PENJUALAN!$C$4:$C$3651,'Current Stock'!A1054)</f>
        <v>0</v>
      </c>
      <c r="J1054" s="15">
        <f t="shared" si="2"/>
        <v>0</v>
      </c>
      <c r="K1054" s="11"/>
      <c r="L1054" s="11"/>
      <c r="M1054" s="11"/>
      <c r="N1054" s="11"/>
      <c r="O1054" s="17"/>
      <c r="P1054" s="17"/>
    </row>
    <row r="1055" ht="13.5" customHeight="1">
      <c r="A1055" s="11" t="str">
        <f t="shared" si="1"/>
        <v>TRW-ELYSIONRATAXYG</v>
      </c>
      <c r="B1055" s="32" t="s">
        <v>461</v>
      </c>
      <c r="C1055" s="33" t="s">
        <v>462</v>
      </c>
      <c r="D1055" s="33" t="s">
        <v>62</v>
      </c>
      <c r="E1055" s="11" t="s">
        <v>16</v>
      </c>
      <c r="F1055" s="33" t="s">
        <v>228</v>
      </c>
      <c r="G1055" s="14">
        <v>45988.0</v>
      </c>
      <c r="H1055" s="11">
        <f>SUMIFS(X!$F$3:$F$5978,X!$D$3:$D$5978,'Current Stock'!A1055)</f>
        <v>0</v>
      </c>
      <c r="I1055" s="11">
        <f>SUMIFS(PENJUALAN!$E$4:$E$3651,PENJUALAN!$C$4:$C$3651,'Current Stock'!A1055)</f>
        <v>0</v>
      </c>
      <c r="J1055" s="15">
        <f t="shared" si="2"/>
        <v>0</v>
      </c>
      <c r="K1055" s="13" t="s">
        <v>1356</v>
      </c>
      <c r="L1055" s="11"/>
      <c r="M1055" s="11"/>
      <c r="N1055" s="11"/>
      <c r="O1055" s="17"/>
      <c r="P1055" s="17"/>
    </row>
    <row r="1056" ht="13.5" customHeight="1">
      <c r="A1056" s="11" t="str">
        <f t="shared" si="1"/>
        <v>TRW-ELYSIONCURVEXYG</v>
      </c>
      <c r="B1056" s="32" t="s">
        <v>463</v>
      </c>
      <c r="C1056" s="33" t="s">
        <v>464</v>
      </c>
      <c r="D1056" s="33" t="s">
        <v>62</v>
      </c>
      <c r="E1056" s="11" t="s">
        <v>16</v>
      </c>
      <c r="F1056" s="33" t="s">
        <v>450</v>
      </c>
      <c r="G1056" s="11"/>
      <c r="H1056" s="11">
        <f>SUMIFS(X!$F$3:$F$5978,X!$D$3:$D$5978,'Current Stock'!A1056)</f>
        <v>0</v>
      </c>
      <c r="I1056" s="11">
        <f>SUMIFS(PENJUALAN!$E$4:$E$3651,PENJUALAN!$C$4:$C$3651,'Current Stock'!A1056)</f>
        <v>0</v>
      </c>
      <c r="J1056" s="15">
        <f t="shared" si="2"/>
        <v>0</v>
      </c>
      <c r="K1056" s="11"/>
      <c r="L1056" s="11"/>
      <c r="M1056" s="11"/>
      <c r="N1056" s="11"/>
      <c r="O1056" s="17"/>
      <c r="P1056" s="17"/>
    </row>
    <row r="1057" ht="13.5" customHeight="1">
      <c r="A1057" s="11" t="str">
        <f t="shared" si="1"/>
        <v>LFW-FREEDXYG</v>
      </c>
      <c r="B1057" s="32" t="s">
        <v>465</v>
      </c>
      <c r="C1057" s="33" t="s">
        <v>466</v>
      </c>
      <c r="D1057" s="33" t="s">
        <v>60</v>
      </c>
      <c r="E1057" s="11" t="s">
        <v>16</v>
      </c>
      <c r="F1057" s="33" t="s">
        <v>137</v>
      </c>
      <c r="G1057" s="34"/>
      <c r="H1057" s="11">
        <f>SUMIFS(X!$F$3:$F$5978,X!$D$3:$D$5978,'Current Stock'!A1057)</f>
        <v>12</v>
      </c>
      <c r="I1057" s="11">
        <f>SUMIFS(PENJUALAN!$E$4:$E$3651,PENJUALAN!$C$4:$C$3651,'Current Stock'!A1057)</f>
        <v>13</v>
      </c>
      <c r="J1057" s="15">
        <f t="shared" si="2"/>
        <v>-1</v>
      </c>
      <c r="K1057" s="13"/>
      <c r="L1057" s="13"/>
      <c r="M1057" s="11"/>
      <c r="N1057" s="11"/>
      <c r="O1057" s="17"/>
      <c r="P1057" s="17"/>
    </row>
    <row r="1058" ht="13.5" customHeight="1">
      <c r="A1058" s="11" t="str">
        <f t="shared" si="1"/>
        <v>LFW-W222XYG</v>
      </c>
      <c r="B1058" s="32" t="s">
        <v>1426</v>
      </c>
      <c r="C1058" s="33" t="s">
        <v>1427</v>
      </c>
      <c r="D1058" s="33" t="s">
        <v>60</v>
      </c>
      <c r="E1058" s="11" t="s">
        <v>16</v>
      </c>
      <c r="F1058" s="33" t="s">
        <v>1428</v>
      </c>
      <c r="G1058" s="11"/>
      <c r="H1058" s="11">
        <f>SUMIFS(X!$F$3:$F$5978,X!$D$3:$D$5978,'Current Stock'!A1058)</f>
        <v>1</v>
      </c>
      <c r="I1058" s="11">
        <f>SUMIFS(PENJUALAN!$E$4:$E$3651,PENJUALAN!$C$4:$C$3651,'Current Stock'!A1058)</f>
        <v>1</v>
      </c>
      <c r="J1058" s="15">
        <f t="shared" si="2"/>
        <v>0</v>
      </c>
      <c r="K1058" s="11"/>
      <c r="L1058" s="11"/>
      <c r="M1058" s="11"/>
      <c r="N1058" s="11"/>
      <c r="O1058" s="17"/>
      <c r="P1058" s="17"/>
    </row>
    <row r="1059" ht="13.5" customHeight="1">
      <c r="A1059" s="11" t="str">
        <f t="shared" si="1"/>
        <v>LFW-HIUXYG</v>
      </c>
      <c r="B1059" s="32" t="s">
        <v>831</v>
      </c>
      <c r="C1059" s="33" t="s">
        <v>832</v>
      </c>
      <c r="D1059" s="33" t="s">
        <v>60</v>
      </c>
      <c r="E1059" s="11" t="s">
        <v>16</v>
      </c>
      <c r="F1059" s="33" t="s">
        <v>137</v>
      </c>
      <c r="G1059" s="11"/>
      <c r="H1059" s="11">
        <f>SUMIFS(X!$F$3:$F$5978,X!$D$3:$D$5978,'Current Stock'!A1059)</f>
        <v>1</v>
      </c>
      <c r="I1059" s="11">
        <f>SUMIFS(PENJUALAN!$E$4:$E$3651,PENJUALAN!$C$4:$C$3651,'Current Stock'!A1059)</f>
        <v>1</v>
      </c>
      <c r="J1059" s="15">
        <f t="shared" si="2"/>
        <v>0</v>
      </c>
      <c r="K1059" s="13"/>
      <c r="L1059" s="13"/>
      <c r="M1059" s="11"/>
      <c r="N1059" s="11"/>
      <c r="O1059" s="17"/>
      <c r="P1059" s="17"/>
    </row>
    <row r="1060" ht="13.5" customHeight="1">
      <c r="A1060" s="11" t="str">
        <f t="shared" si="1"/>
        <v>TRW-HRV14XYG</v>
      </c>
      <c r="B1060" s="36" t="s">
        <v>473</v>
      </c>
      <c r="C1060" s="33" t="s">
        <v>471</v>
      </c>
      <c r="D1060" s="33" t="s">
        <v>62</v>
      </c>
      <c r="E1060" s="11" t="s">
        <v>16</v>
      </c>
      <c r="F1060" s="33" t="s">
        <v>228</v>
      </c>
      <c r="G1060" s="11"/>
      <c r="H1060" s="11">
        <f>SUMIFS(X!$F$3:$F$5978,X!$D$3:$D$5978,'Current Stock'!A1060)</f>
        <v>1</v>
      </c>
      <c r="I1060" s="11">
        <f>SUMIFS(PENJUALAN!$E$4:$E$3651,PENJUALAN!$C$4:$C$3651,'Current Stock'!A1060)</f>
        <v>1</v>
      </c>
      <c r="J1060" s="15">
        <f t="shared" si="2"/>
        <v>0</v>
      </c>
      <c r="K1060" s="13"/>
      <c r="L1060" s="13"/>
      <c r="M1060" s="11"/>
      <c r="N1060" s="11"/>
      <c r="O1060" s="17"/>
      <c r="P1060" s="17"/>
    </row>
    <row r="1061" ht="13.5" customHeight="1">
      <c r="A1061" s="11" t="str">
        <f t="shared" si="1"/>
        <v>TRW-HRV14FR</v>
      </c>
      <c r="B1061" s="36" t="s">
        <v>473</v>
      </c>
      <c r="C1061" s="33" t="s">
        <v>471</v>
      </c>
      <c r="D1061" s="31" t="s">
        <v>62</v>
      </c>
      <c r="E1061" s="13" t="s">
        <v>1429</v>
      </c>
      <c r="F1061" s="33" t="s">
        <v>228</v>
      </c>
      <c r="G1061" s="11"/>
      <c r="H1061" s="11">
        <f>SUMIFS(X!$F$3:$F$5978,X!$D$3:$D$5978,'Current Stock'!A1061)</f>
        <v>1</v>
      </c>
      <c r="I1061" s="11">
        <f>SUMIFS(PENJUALAN!$E$4:$E$3651,PENJUALAN!$C$4:$C$3651,'Current Stock'!A1061)</f>
        <v>1</v>
      </c>
      <c r="J1061" s="15">
        <f t="shared" si="2"/>
        <v>0</v>
      </c>
      <c r="K1061" s="13"/>
      <c r="L1061" s="13"/>
      <c r="M1061" s="11"/>
      <c r="N1061" s="11"/>
      <c r="O1061" s="17"/>
      <c r="P1061" s="17"/>
    </row>
    <row r="1062" ht="13.5" customHeight="1">
      <c r="A1062" s="11" t="str">
        <f t="shared" si="1"/>
        <v>LFW-HRV22XYG</v>
      </c>
      <c r="B1062" s="32" t="s">
        <v>1430</v>
      </c>
      <c r="C1062" s="33" t="s">
        <v>1431</v>
      </c>
      <c r="D1062" s="33" t="s">
        <v>60</v>
      </c>
      <c r="E1062" s="11" t="s">
        <v>16</v>
      </c>
      <c r="F1062" s="33" t="s">
        <v>90</v>
      </c>
      <c r="G1062" s="11"/>
      <c r="H1062" s="11">
        <f>SUMIFS(X!$F$3:$F$5978,X!$D$3:$D$5978,'Current Stock'!A1062)</f>
        <v>0</v>
      </c>
      <c r="I1062" s="11">
        <f>SUMIFS(PENJUALAN!$E$4:$E$3651,PENJUALAN!$C$4:$C$3651,'Current Stock'!A1062)</f>
        <v>0</v>
      </c>
      <c r="J1062" s="15">
        <f t="shared" si="2"/>
        <v>0</v>
      </c>
      <c r="K1062" s="11"/>
      <c r="L1062" s="11"/>
      <c r="M1062" s="11"/>
      <c r="N1062" s="11"/>
      <c r="O1062" s="17"/>
      <c r="P1062" s="17"/>
    </row>
    <row r="1063" ht="13.5" customHeight="1">
      <c r="A1063" s="11" t="str">
        <f t="shared" si="1"/>
        <v>LFW-JAZZ01XYG</v>
      </c>
      <c r="B1063" s="32" t="s">
        <v>474</v>
      </c>
      <c r="C1063" s="33" t="s">
        <v>475</v>
      </c>
      <c r="D1063" s="33" t="s">
        <v>60</v>
      </c>
      <c r="E1063" s="11" t="s">
        <v>16</v>
      </c>
      <c r="F1063" s="33" t="s">
        <v>109</v>
      </c>
      <c r="G1063" s="11"/>
      <c r="H1063" s="11">
        <f>SUMIFS(X!$F$3:$F$5978,X!$D$3:$D$5978,'Current Stock'!A1063)</f>
        <v>8</v>
      </c>
      <c r="I1063" s="11">
        <f>SUMIFS(PENJUALAN!$E$4:$E$3651,PENJUALAN!$C$4:$C$3651,'Current Stock'!A1063)</f>
        <v>6</v>
      </c>
      <c r="J1063" s="15">
        <f t="shared" si="2"/>
        <v>2</v>
      </c>
      <c r="K1063" s="11"/>
      <c r="L1063" s="11"/>
      <c r="M1063" s="11"/>
      <c r="N1063" s="11"/>
      <c r="O1063" s="17"/>
      <c r="P1063" s="17"/>
    </row>
    <row r="1064" ht="13.5" customHeight="1">
      <c r="A1064" s="11" t="str">
        <f t="shared" si="1"/>
        <v>LFW-F48XYG</v>
      </c>
      <c r="B1064" s="32" t="s">
        <v>194</v>
      </c>
      <c r="C1064" s="33" t="s">
        <v>195</v>
      </c>
      <c r="D1064" s="33" t="s">
        <v>60</v>
      </c>
      <c r="E1064" s="11" t="s">
        <v>16</v>
      </c>
      <c r="F1064" s="33" t="s">
        <v>196</v>
      </c>
      <c r="G1064" s="11"/>
      <c r="H1064" s="11">
        <f>SUMIFS(X!$F$3:$F$5978,X!$D$3:$D$5978,'Current Stock'!A1064)</f>
        <v>2</v>
      </c>
      <c r="I1064" s="11">
        <f>SUMIFS(PENJUALAN!$E$4:$E$3651,PENJUALAN!$C$4:$C$3651,'Current Stock'!A1064)</f>
        <v>2</v>
      </c>
      <c r="J1064" s="15">
        <f t="shared" si="2"/>
        <v>0</v>
      </c>
      <c r="K1064" s="13" t="s">
        <v>430</v>
      </c>
      <c r="L1064" s="11"/>
      <c r="M1064" s="11"/>
      <c r="N1064" s="11"/>
      <c r="O1064" s="17"/>
      <c r="P1064" s="17"/>
    </row>
    <row r="1065" ht="13.5" customHeight="1">
      <c r="A1065" s="11" t="str">
        <f t="shared" si="1"/>
        <v>LFW-JAZZ07XYG</v>
      </c>
      <c r="B1065" s="32" t="s">
        <v>482</v>
      </c>
      <c r="C1065" s="33" t="s">
        <v>483</v>
      </c>
      <c r="D1065" s="33" t="s">
        <v>60</v>
      </c>
      <c r="E1065" s="11" t="s">
        <v>16</v>
      </c>
      <c r="F1065" s="33" t="s">
        <v>137</v>
      </c>
      <c r="G1065" s="14">
        <v>45988.0</v>
      </c>
      <c r="H1065" s="11">
        <f>SUMIFS(X!$F$3:$F$5978,X!$D$3:$D$5978,'Current Stock'!A1065)</f>
        <v>12</v>
      </c>
      <c r="I1065" s="11">
        <f>SUMIFS(PENJUALAN!$E$4:$E$3651,PENJUALAN!$C$4:$C$3651,'Current Stock'!A1065)</f>
        <v>7</v>
      </c>
      <c r="J1065" s="15">
        <f t="shared" si="2"/>
        <v>5</v>
      </c>
      <c r="K1065" s="13" t="s">
        <v>430</v>
      </c>
      <c r="L1065" s="11"/>
      <c r="M1065" s="11"/>
      <c r="N1065" s="11"/>
      <c r="O1065" s="17"/>
      <c r="P1065" s="17"/>
    </row>
    <row r="1066" ht="13.5" customHeight="1">
      <c r="A1066" s="11" t="str">
        <f t="shared" si="1"/>
        <v>LFW-MAZDA214XYG</v>
      </c>
      <c r="B1066" s="32" t="s">
        <v>705</v>
      </c>
      <c r="C1066" s="33" t="s">
        <v>706</v>
      </c>
      <c r="D1066" s="33" t="s">
        <v>60</v>
      </c>
      <c r="E1066" s="11" t="s">
        <v>16</v>
      </c>
      <c r="F1066" s="33" t="s">
        <v>137</v>
      </c>
      <c r="G1066" s="11"/>
      <c r="H1066" s="11">
        <f>SUMIFS(X!$F$3:$F$5978,X!$D$3:$D$5978,'Current Stock'!A1066)</f>
        <v>14</v>
      </c>
      <c r="I1066" s="11">
        <f>SUMIFS(PENJUALAN!$E$4:$E$3651,PENJUALAN!$C$4:$C$3651,'Current Stock'!A1066)</f>
        <v>12</v>
      </c>
      <c r="J1066" s="15">
        <f t="shared" si="2"/>
        <v>2</v>
      </c>
      <c r="K1066" s="13" t="s">
        <v>1369</v>
      </c>
      <c r="L1066" s="11"/>
      <c r="M1066" s="11"/>
      <c r="N1066" s="11"/>
      <c r="O1066" s="17"/>
      <c r="P1066" s="17"/>
    </row>
    <row r="1067" ht="13.5" customHeight="1">
      <c r="A1067" s="11" t="str">
        <f t="shared" si="1"/>
        <v>LFW-JAZZ13XYG</v>
      </c>
      <c r="B1067" s="32" t="s">
        <v>488</v>
      </c>
      <c r="C1067" s="33" t="s">
        <v>489</v>
      </c>
      <c r="D1067" s="33" t="s">
        <v>60</v>
      </c>
      <c r="E1067" s="11" t="s">
        <v>16</v>
      </c>
      <c r="F1067" s="33" t="s">
        <v>137</v>
      </c>
      <c r="G1067" s="14"/>
      <c r="H1067" s="11">
        <f>SUMIFS(X!$F$3:$F$5978,X!$D$3:$D$5978,'Current Stock'!A1067)</f>
        <v>13</v>
      </c>
      <c r="I1067" s="11">
        <f>SUMIFS(PENJUALAN!$E$4:$E$3651,PENJUALAN!$C$4:$C$3651,'Current Stock'!A1067)</f>
        <v>5</v>
      </c>
      <c r="J1067" s="15">
        <f t="shared" si="2"/>
        <v>8</v>
      </c>
      <c r="K1067" s="13" t="s">
        <v>1432</v>
      </c>
      <c r="L1067" s="11"/>
      <c r="M1067" s="11"/>
      <c r="N1067" s="11"/>
      <c r="O1067" s="17"/>
      <c r="P1067" s="17"/>
    </row>
    <row r="1068" ht="13.5" customHeight="1">
      <c r="A1068" s="11" t="str">
        <f t="shared" si="1"/>
        <v>TRW-JAZZ13XYG</v>
      </c>
      <c r="B1068" s="32" t="s">
        <v>490</v>
      </c>
      <c r="C1068" s="33" t="s">
        <v>489</v>
      </c>
      <c r="D1068" s="33" t="s">
        <v>62</v>
      </c>
      <c r="E1068" s="11" t="s">
        <v>16</v>
      </c>
      <c r="F1068" s="33" t="s">
        <v>83</v>
      </c>
      <c r="G1068" s="11"/>
      <c r="H1068" s="11">
        <f>SUMIFS(X!$F$3:$F$5978,X!$D$3:$D$5978,'Current Stock'!A1068)</f>
        <v>2</v>
      </c>
      <c r="I1068" s="11">
        <f>SUMIFS(PENJUALAN!$E$4:$E$3651,PENJUALAN!$C$4:$C$3651,'Current Stock'!A1068)</f>
        <v>2</v>
      </c>
      <c r="J1068" s="15">
        <f t="shared" si="2"/>
        <v>0</v>
      </c>
      <c r="K1068" s="13"/>
      <c r="L1068" s="13"/>
      <c r="M1068" s="16">
        <v>1.0</v>
      </c>
      <c r="N1068" s="11"/>
      <c r="O1068" s="17"/>
      <c r="P1068" s="17"/>
    </row>
    <row r="1069" ht="13.5" customHeight="1">
      <c r="A1069" s="11" t="str">
        <f t="shared" si="1"/>
        <v>TRW-MAZDA319XYG</v>
      </c>
      <c r="B1069" s="36" t="s">
        <v>1433</v>
      </c>
      <c r="C1069" s="31" t="s">
        <v>1434</v>
      </c>
      <c r="D1069" s="31" t="s">
        <v>62</v>
      </c>
      <c r="E1069" s="11" t="s">
        <v>16</v>
      </c>
      <c r="F1069" s="31" t="s">
        <v>1435</v>
      </c>
      <c r="G1069" s="11"/>
      <c r="H1069" s="11">
        <f>SUMIFS(X!$F$3:$F$5978,X!$D$3:$D$5978,'Current Stock'!A1069)</f>
        <v>1</v>
      </c>
      <c r="I1069" s="11">
        <f>SUMIFS(PENJUALAN!$E$4:$E$3651,PENJUALAN!$C$4:$C$3651,'Current Stock'!A1069)</f>
        <v>1</v>
      </c>
      <c r="J1069" s="15">
        <f t="shared" si="2"/>
        <v>0</v>
      </c>
      <c r="K1069" s="11"/>
      <c r="L1069" s="11"/>
      <c r="M1069" s="11"/>
      <c r="N1069" s="11"/>
      <c r="O1069" s="17"/>
      <c r="P1069" s="17"/>
    </row>
    <row r="1070" ht="13.5" customHeight="1">
      <c r="A1070" s="11" t="str">
        <f t="shared" si="1"/>
        <v>LFW-ODYSSEY99XYG</v>
      </c>
      <c r="B1070" s="32" t="s">
        <v>493</v>
      </c>
      <c r="C1070" s="33" t="s">
        <v>494</v>
      </c>
      <c r="D1070" s="33" t="s">
        <v>60</v>
      </c>
      <c r="E1070" s="11" t="s">
        <v>16</v>
      </c>
      <c r="F1070" s="33" t="s">
        <v>137</v>
      </c>
      <c r="G1070" s="11"/>
      <c r="H1070" s="11">
        <f>SUMIFS(X!$F$3:$F$5978,X!$D$3:$D$5978,'Current Stock'!A1070)</f>
        <v>1</v>
      </c>
      <c r="I1070" s="11">
        <f>SUMIFS(PENJUALAN!$E$4:$E$3651,PENJUALAN!$C$4:$C$3651,'Current Stock'!A1070)</f>
        <v>1</v>
      </c>
      <c r="J1070" s="15">
        <f t="shared" si="2"/>
        <v>0</v>
      </c>
      <c r="K1070" s="13"/>
      <c r="L1070" s="13"/>
      <c r="M1070" s="11"/>
      <c r="N1070" s="11"/>
      <c r="O1070" s="17"/>
      <c r="P1070" s="17"/>
    </row>
    <row r="1071" ht="13.5" customHeight="1">
      <c r="A1071" s="11" t="str">
        <f t="shared" si="1"/>
        <v>TRW-ODYSSEY99XYG</v>
      </c>
      <c r="B1071" s="36" t="s">
        <v>495</v>
      </c>
      <c r="C1071" s="33" t="s">
        <v>494</v>
      </c>
      <c r="D1071" s="31" t="s">
        <v>62</v>
      </c>
      <c r="E1071" s="11" t="s">
        <v>16</v>
      </c>
      <c r="F1071" s="31" t="s">
        <v>228</v>
      </c>
      <c r="G1071" s="11"/>
      <c r="H1071" s="11">
        <f>SUMIFS(X!$F$3:$F$5978,X!$D$3:$D$5978,'Current Stock'!A1071)</f>
        <v>0</v>
      </c>
      <c r="I1071" s="11">
        <f>SUMIFS(PENJUALAN!$E$4:$E$3651,PENJUALAN!$C$4:$C$3651,'Current Stock'!A1071)</f>
        <v>0</v>
      </c>
      <c r="J1071" s="15">
        <f t="shared" si="2"/>
        <v>0</v>
      </c>
      <c r="K1071" s="13"/>
      <c r="L1071" s="13"/>
      <c r="M1071" s="11"/>
      <c r="N1071" s="11"/>
      <c r="O1071" s="17"/>
      <c r="P1071" s="17"/>
    </row>
    <row r="1072" ht="13.5" customHeight="1">
      <c r="A1072" s="11" t="str">
        <f t="shared" si="1"/>
        <v>LFW-ODYSSEY03XYG</v>
      </c>
      <c r="B1072" s="32" t="s">
        <v>496</v>
      </c>
      <c r="C1072" s="33" t="s">
        <v>497</v>
      </c>
      <c r="D1072" s="33" t="s">
        <v>60</v>
      </c>
      <c r="E1072" s="11" t="s">
        <v>16</v>
      </c>
      <c r="F1072" s="33" t="s">
        <v>137</v>
      </c>
      <c r="G1072" s="11"/>
      <c r="H1072" s="11">
        <f>SUMIFS(X!$F$3:$F$5978,X!$D$3:$D$5978,'Current Stock'!A1072)</f>
        <v>1</v>
      </c>
      <c r="I1072" s="11">
        <f>SUMIFS(PENJUALAN!$E$4:$E$3651,PENJUALAN!$C$4:$C$3651,'Current Stock'!A1072)</f>
        <v>0</v>
      </c>
      <c r="J1072" s="15">
        <f t="shared" si="2"/>
        <v>1</v>
      </c>
      <c r="K1072" s="11"/>
      <c r="L1072" s="11"/>
      <c r="M1072" s="11"/>
      <c r="N1072" s="11"/>
      <c r="O1072" s="17"/>
      <c r="P1072" s="17"/>
    </row>
    <row r="1073" ht="13.5" customHeight="1">
      <c r="A1073" s="11" t="str">
        <f t="shared" si="1"/>
        <v>LFW-ODYSSEY09XYG</v>
      </c>
      <c r="B1073" s="32" t="s">
        <v>505</v>
      </c>
      <c r="C1073" s="33" t="s">
        <v>506</v>
      </c>
      <c r="D1073" s="33" t="s">
        <v>60</v>
      </c>
      <c r="E1073" s="11" t="s">
        <v>16</v>
      </c>
      <c r="F1073" s="33" t="s">
        <v>137</v>
      </c>
      <c r="G1073" s="11"/>
      <c r="H1073" s="11">
        <f>SUMIFS(X!$F$3:$F$5978,X!$D$3:$D$5978,'Current Stock'!A1073)</f>
        <v>0</v>
      </c>
      <c r="I1073" s="11">
        <f>SUMIFS(PENJUALAN!$E$4:$E$3651,PENJUALAN!$C$4:$C$3651,'Current Stock'!A1073)</f>
        <v>0</v>
      </c>
      <c r="J1073" s="15">
        <f t="shared" si="2"/>
        <v>0</v>
      </c>
      <c r="K1073" s="13"/>
      <c r="L1073" s="13"/>
      <c r="M1073" s="11"/>
      <c r="N1073" s="11"/>
      <c r="O1073" s="17"/>
      <c r="P1073" s="17"/>
    </row>
    <row r="1074" ht="13.5" customHeight="1">
      <c r="A1074" s="11" t="str">
        <f t="shared" si="1"/>
        <v>TRW-ODYSSEY09XYG</v>
      </c>
      <c r="B1074" s="32" t="s">
        <v>1436</v>
      </c>
      <c r="C1074" s="33" t="s">
        <v>506</v>
      </c>
      <c r="D1074" s="33" t="s">
        <v>62</v>
      </c>
      <c r="E1074" s="11" t="s">
        <v>16</v>
      </c>
      <c r="F1074" s="33" t="s">
        <v>83</v>
      </c>
      <c r="G1074" s="11"/>
      <c r="H1074" s="11">
        <f>SUMIFS(X!$F$3:$F$5978,X!$D$3:$D$5978,'Current Stock'!A1074)</f>
        <v>0</v>
      </c>
      <c r="I1074" s="11">
        <f>SUMIFS(PENJUALAN!$E$4:$E$3651,PENJUALAN!$C$4:$C$3651,'Current Stock'!A1074)</f>
        <v>0</v>
      </c>
      <c r="J1074" s="15">
        <f t="shared" si="2"/>
        <v>0</v>
      </c>
      <c r="K1074" s="11"/>
      <c r="L1074" s="11"/>
      <c r="M1074" s="11"/>
      <c r="N1074" s="11"/>
      <c r="O1074" s="17"/>
      <c r="P1074" s="17"/>
    </row>
    <row r="1075" ht="13.5" customHeight="1">
      <c r="A1075" s="11" t="str">
        <f t="shared" si="1"/>
        <v>TRW-MAZDA8XYG</v>
      </c>
      <c r="B1075" s="36" t="s">
        <v>732</v>
      </c>
      <c r="C1075" s="33" t="s">
        <v>731</v>
      </c>
      <c r="D1075" s="31" t="s">
        <v>62</v>
      </c>
      <c r="E1075" s="13" t="s">
        <v>16</v>
      </c>
      <c r="F1075" s="31" t="s">
        <v>1437</v>
      </c>
      <c r="G1075" s="11"/>
      <c r="H1075" s="11">
        <f>SUMIFS(X!$F$3:$F$5978,X!$D$3:$D$5978,'Current Stock'!A1075)</f>
        <v>1</v>
      </c>
      <c r="I1075" s="11">
        <f>SUMIFS(PENJUALAN!$E$4:$E$3651,PENJUALAN!$C$4:$C$3651,'Current Stock'!A1075)</f>
        <v>1</v>
      </c>
      <c r="J1075" s="15">
        <f t="shared" si="2"/>
        <v>0</v>
      </c>
      <c r="K1075" s="11"/>
      <c r="L1075" s="11"/>
      <c r="M1075" s="11"/>
      <c r="N1075" s="11"/>
      <c r="O1075" s="17"/>
      <c r="P1075" s="17"/>
    </row>
    <row r="1076" ht="13.5" customHeight="1">
      <c r="A1076" s="11" t="str">
        <f t="shared" si="1"/>
        <v>TRW-STREAM00XYG</v>
      </c>
      <c r="B1076" s="32" t="s">
        <v>519</v>
      </c>
      <c r="C1076" s="33" t="s">
        <v>520</v>
      </c>
      <c r="D1076" s="33" t="s">
        <v>62</v>
      </c>
      <c r="E1076" s="11" t="s">
        <v>16</v>
      </c>
      <c r="F1076" s="33" t="s">
        <v>228</v>
      </c>
      <c r="G1076" s="11"/>
      <c r="H1076" s="11">
        <f>SUMIFS(X!$F$3:$F$5978,X!$D$3:$D$5978,'Current Stock'!A1076)</f>
        <v>0</v>
      </c>
      <c r="I1076" s="11">
        <f>SUMIFS(PENJUALAN!$E$4:$E$3651,PENJUALAN!$C$4:$C$3651,'Current Stock'!A1076)</f>
        <v>0</v>
      </c>
      <c r="J1076" s="15">
        <f t="shared" si="2"/>
        <v>0</v>
      </c>
      <c r="K1076" s="11"/>
      <c r="L1076" s="11"/>
      <c r="M1076" s="11"/>
      <c r="N1076" s="11"/>
      <c r="O1076" s="17"/>
      <c r="P1076" s="17"/>
    </row>
    <row r="1077" ht="13.5" customHeight="1">
      <c r="A1077" s="11" t="str">
        <f t="shared" si="1"/>
        <v>LFW-STREAM00NOXYG</v>
      </c>
      <c r="B1077" s="32" t="s">
        <v>1438</v>
      </c>
      <c r="C1077" s="33" t="s">
        <v>1439</v>
      </c>
      <c r="D1077" s="33" t="s">
        <v>60</v>
      </c>
      <c r="E1077" s="11" t="s">
        <v>16</v>
      </c>
      <c r="F1077" s="33" t="s">
        <v>109</v>
      </c>
      <c r="G1077" s="11"/>
      <c r="H1077" s="11">
        <f>SUMIFS(X!$F$3:$F$5978,X!$D$3:$D$5978,'Current Stock'!A1077)</f>
        <v>0</v>
      </c>
      <c r="I1077" s="11">
        <f>SUMIFS(PENJUALAN!$E$4:$E$3651,PENJUALAN!$C$4:$C$3651,'Current Stock'!A1077)</f>
        <v>0</v>
      </c>
      <c r="J1077" s="15">
        <f t="shared" si="2"/>
        <v>0</v>
      </c>
      <c r="K1077" s="13"/>
      <c r="L1077" s="13"/>
      <c r="M1077" s="11"/>
      <c r="N1077" s="11"/>
      <c r="O1077" s="17"/>
      <c r="P1077" s="17"/>
    </row>
    <row r="1078" ht="13.5" customHeight="1">
      <c r="A1078" s="11" t="str">
        <f t="shared" si="1"/>
        <v>LFW-STREAM00MBXYG</v>
      </c>
      <c r="B1078" s="32" t="s">
        <v>522</v>
      </c>
      <c r="C1078" s="33" t="s">
        <v>523</v>
      </c>
      <c r="D1078" s="33" t="s">
        <v>60</v>
      </c>
      <c r="E1078" s="11" t="s">
        <v>16</v>
      </c>
      <c r="F1078" s="33" t="s">
        <v>137</v>
      </c>
      <c r="G1078" s="11"/>
      <c r="H1078" s="11">
        <f>SUMIFS(X!$F$3:$F$5978,X!$D$3:$D$5978,'Current Stock'!A1078)</f>
        <v>1</v>
      </c>
      <c r="I1078" s="11">
        <f>SUMIFS(PENJUALAN!$E$4:$E$3651,PENJUALAN!$C$4:$C$3651,'Current Stock'!A1078)</f>
        <v>1</v>
      </c>
      <c r="J1078" s="15">
        <f t="shared" si="2"/>
        <v>0</v>
      </c>
      <c r="K1078" s="13"/>
      <c r="L1078" s="13"/>
      <c r="M1078" s="11"/>
      <c r="N1078" s="11"/>
      <c r="O1078" s="17"/>
      <c r="P1078" s="17"/>
    </row>
    <row r="1079" ht="13.5" customHeight="1">
      <c r="A1079" s="11" t="str">
        <f t="shared" si="1"/>
        <v>TRW-EXCEL94XYG</v>
      </c>
      <c r="B1079" s="32" t="s">
        <v>1440</v>
      </c>
      <c r="C1079" s="35" t="s">
        <v>1441</v>
      </c>
      <c r="D1079" s="33" t="s">
        <v>62</v>
      </c>
      <c r="E1079" s="11" t="s">
        <v>16</v>
      </c>
      <c r="F1079" s="31" t="s">
        <v>1442</v>
      </c>
      <c r="G1079" s="11"/>
      <c r="H1079" s="11">
        <f>SUMIFS(X!$F$3:$F$5978,X!$D$3:$D$5978,'Current Stock'!A1079)</f>
        <v>0</v>
      </c>
      <c r="I1079" s="11">
        <f>SUMIFS(PENJUALAN!$E$4:$E$3651,PENJUALAN!$C$4:$C$3651,'Current Stock'!A1079)</f>
        <v>0</v>
      </c>
      <c r="J1079" s="15">
        <f t="shared" si="2"/>
        <v>0</v>
      </c>
      <c r="K1079" s="11"/>
      <c r="L1079" s="11"/>
      <c r="M1079" s="11"/>
      <c r="N1079" s="11"/>
      <c r="O1079" s="17"/>
      <c r="P1079" s="17"/>
    </row>
    <row r="1080" ht="13.5" customHeight="1">
      <c r="A1080" s="11" t="str">
        <f t="shared" si="1"/>
        <v>LFW-AVEGA01XYG</v>
      </c>
      <c r="B1080" s="32" t="s">
        <v>1443</v>
      </c>
      <c r="C1080" s="35" t="s">
        <v>1444</v>
      </c>
      <c r="D1080" s="35" t="s">
        <v>60</v>
      </c>
      <c r="E1080" s="11" t="s">
        <v>16</v>
      </c>
      <c r="F1080" s="50" t="s">
        <v>137</v>
      </c>
      <c r="G1080" s="11"/>
      <c r="H1080" s="11">
        <f>SUMIFS(X!$F$3:$F$5978,X!$D$3:$D$5978,'Current Stock'!A1080)</f>
        <v>1</v>
      </c>
      <c r="I1080" s="11">
        <f>SUMIFS(PENJUALAN!$E$4:$E$3651,PENJUALAN!$C$4:$C$3651,'Current Stock'!A1080)</f>
        <v>1</v>
      </c>
      <c r="J1080" s="15">
        <f t="shared" si="2"/>
        <v>0</v>
      </c>
      <c r="K1080" s="13"/>
      <c r="L1080" s="13"/>
      <c r="M1080" s="11"/>
      <c r="N1080" s="11"/>
      <c r="O1080" s="17"/>
      <c r="P1080" s="17"/>
    </row>
    <row r="1081" ht="13.5" customHeight="1">
      <c r="A1081" s="11" t="str">
        <f t="shared" si="1"/>
        <v>TRW-VERNA00XYG</v>
      </c>
      <c r="B1081" s="32" t="s">
        <v>524</v>
      </c>
      <c r="C1081" s="33" t="s">
        <v>525</v>
      </c>
      <c r="D1081" s="47" t="s">
        <v>62</v>
      </c>
      <c r="E1081" s="11" t="s">
        <v>16</v>
      </c>
      <c r="F1081" s="47" t="s">
        <v>83</v>
      </c>
      <c r="G1081" s="11"/>
      <c r="H1081" s="11">
        <f>SUMIFS(X!$F$3:$F$5978,X!$D$3:$D$5978,'Current Stock'!A1081)</f>
        <v>0</v>
      </c>
      <c r="I1081" s="11">
        <f>SUMIFS(PENJUALAN!$E$4:$E$3651,PENJUALAN!$C$4:$C$3651,'Current Stock'!A1081)</f>
        <v>0</v>
      </c>
      <c r="J1081" s="15">
        <f t="shared" si="2"/>
        <v>0</v>
      </c>
      <c r="K1081" s="11"/>
      <c r="L1081" s="11"/>
      <c r="M1081" s="11"/>
      <c r="N1081" s="11"/>
      <c r="O1081" s="17"/>
      <c r="P1081" s="17"/>
    </row>
    <row r="1082" ht="13.5" customHeight="1">
      <c r="A1082" s="11" t="str">
        <f t="shared" si="1"/>
        <v>TRW-AVEGA99XYG</v>
      </c>
      <c r="B1082" s="32" t="s">
        <v>1445</v>
      </c>
      <c r="C1082" s="33" t="s">
        <v>1446</v>
      </c>
      <c r="D1082" s="51" t="s">
        <v>62</v>
      </c>
      <c r="E1082" s="11" t="s">
        <v>16</v>
      </c>
      <c r="F1082" s="47" t="s">
        <v>83</v>
      </c>
      <c r="G1082" s="11"/>
      <c r="H1082" s="11">
        <f>SUMIFS(X!$F$3:$F$5978,X!$D$3:$D$5978,'Current Stock'!A1082)</f>
        <v>0</v>
      </c>
      <c r="I1082" s="11">
        <f>SUMIFS(PENJUALAN!$E$4:$E$3651,PENJUALAN!$C$4:$C$3651,'Current Stock'!A1082)</f>
        <v>0</v>
      </c>
      <c r="J1082" s="15">
        <f t="shared" si="2"/>
        <v>0</v>
      </c>
      <c r="K1082" s="11"/>
      <c r="L1082" s="11"/>
      <c r="M1082" s="11"/>
      <c r="N1082" s="11"/>
      <c r="O1082" s="17"/>
      <c r="P1082" s="17"/>
    </row>
    <row r="1083" ht="13.5" customHeight="1">
      <c r="A1083" s="11" t="str">
        <f t="shared" si="1"/>
        <v>LFW-CRETARSXYG</v>
      </c>
      <c r="B1083" s="52" t="s">
        <v>1447</v>
      </c>
      <c r="C1083" s="31" t="s">
        <v>782</v>
      </c>
      <c r="D1083" s="53" t="s">
        <v>60</v>
      </c>
      <c r="E1083" s="11" t="s">
        <v>16</v>
      </c>
      <c r="F1083" s="53" t="s">
        <v>90</v>
      </c>
      <c r="G1083" s="54"/>
      <c r="H1083" s="11">
        <f>SUMIFS(X!$F$3:$F$5978,X!$D$3:$D$5978,'Current Stock'!A1083)</f>
        <v>1</v>
      </c>
      <c r="I1083" s="11">
        <f>SUMIFS(PENJUALAN!$E$4:$E$3651,PENJUALAN!$C$4:$C$3651,'Current Stock'!A1083)</f>
        <v>1</v>
      </c>
      <c r="J1083" s="15">
        <f t="shared" si="2"/>
        <v>0</v>
      </c>
      <c r="K1083" s="11"/>
      <c r="L1083" s="11"/>
      <c r="M1083" s="11"/>
      <c r="N1083" s="11"/>
      <c r="O1083" s="17"/>
      <c r="P1083" s="17"/>
    </row>
    <row r="1084" ht="13.5" customHeight="1">
      <c r="A1084" s="11" t="str">
        <f t="shared" si="1"/>
        <v>LFW-SONETXYG</v>
      </c>
      <c r="B1084" s="55" t="s">
        <v>1448</v>
      </c>
      <c r="C1084" s="33" t="s">
        <v>1449</v>
      </c>
      <c r="D1084" s="56" t="s">
        <v>60</v>
      </c>
      <c r="E1084" s="11" t="s">
        <v>16</v>
      </c>
      <c r="F1084" s="56" t="s">
        <v>137</v>
      </c>
      <c r="G1084" s="54"/>
      <c r="H1084" s="11">
        <f>SUMIFS(X!$F$3:$F$5978,X!$D$3:$D$5978,'Current Stock'!A1084)</f>
        <v>2</v>
      </c>
      <c r="I1084" s="11">
        <f>SUMIFS(PENJUALAN!$E$4:$E$3651,PENJUALAN!$C$4:$C$3651,'Current Stock'!A1084)</f>
        <v>2</v>
      </c>
      <c r="J1084" s="15">
        <f t="shared" si="2"/>
        <v>0</v>
      </c>
      <c r="K1084" s="13"/>
      <c r="L1084" s="13"/>
      <c r="M1084" s="11"/>
      <c r="N1084" s="11"/>
      <c r="O1084" s="17"/>
      <c r="P1084" s="17"/>
    </row>
    <row r="1085" ht="13.5" customHeight="1">
      <c r="A1085" s="11" t="str">
        <f t="shared" si="1"/>
        <v>TRW-CRETAXYG</v>
      </c>
      <c r="B1085" s="57" t="s">
        <v>1450</v>
      </c>
      <c r="C1085" s="31" t="s">
        <v>782</v>
      </c>
      <c r="D1085" s="58" t="s">
        <v>62</v>
      </c>
      <c r="E1085" s="11" t="s">
        <v>16</v>
      </c>
      <c r="F1085" s="58" t="s">
        <v>546</v>
      </c>
      <c r="G1085" s="54"/>
      <c r="H1085" s="11">
        <f>SUMIFS(X!$F$3:$F$5978,X!$D$3:$D$5978,'Current Stock'!A1085)</f>
        <v>0</v>
      </c>
      <c r="I1085" s="11">
        <f>SUMIFS(PENJUALAN!$E$4:$E$3651,PENJUALAN!$C$4:$C$3651,'Current Stock'!A1085)</f>
        <v>0</v>
      </c>
      <c r="J1085" s="15">
        <f t="shared" si="2"/>
        <v>0</v>
      </c>
      <c r="K1085" s="11"/>
      <c r="L1085" s="11"/>
      <c r="M1085" s="11"/>
      <c r="N1085" s="11"/>
      <c r="O1085" s="17"/>
      <c r="P1085" s="17"/>
    </row>
    <row r="1086" ht="13.5" customHeight="1">
      <c r="A1086" s="11" t="str">
        <f t="shared" si="1"/>
        <v>LFW-ELANTRAXYG</v>
      </c>
      <c r="B1086" s="32" t="s">
        <v>526</v>
      </c>
      <c r="C1086" s="33" t="s">
        <v>527</v>
      </c>
      <c r="D1086" s="47" t="s">
        <v>60</v>
      </c>
      <c r="E1086" s="11" t="s">
        <v>16</v>
      </c>
      <c r="F1086" s="47" t="s">
        <v>137</v>
      </c>
      <c r="G1086" s="11"/>
      <c r="H1086" s="11">
        <f>SUMIFS(X!$F$3:$F$5978,X!$D$3:$D$5978,'Current Stock'!A1086)</f>
        <v>0</v>
      </c>
      <c r="I1086" s="11">
        <f>SUMIFS(PENJUALAN!$E$4:$E$3651,PENJUALAN!$C$4:$C$3651,'Current Stock'!A1086)</f>
        <v>0</v>
      </c>
      <c r="J1086" s="15">
        <f t="shared" si="2"/>
        <v>0</v>
      </c>
      <c r="K1086" s="11"/>
      <c r="L1086" s="11"/>
      <c r="M1086" s="11"/>
      <c r="N1086" s="11"/>
      <c r="O1086" s="17"/>
      <c r="P1086" s="17"/>
    </row>
    <row r="1087" ht="13.5" customHeight="1">
      <c r="A1087" s="11" t="str">
        <f t="shared" si="1"/>
        <v>LFW-GETZXYG</v>
      </c>
      <c r="B1087" s="32" t="s">
        <v>528</v>
      </c>
      <c r="C1087" s="33" t="s">
        <v>529</v>
      </c>
      <c r="D1087" s="47" t="s">
        <v>60</v>
      </c>
      <c r="E1087" s="11" t="s">
        <v>16</v>
      </c>
      <c r="F1087" s="33" t="s">
        <v>137</v>
      </c>
      <c r="G1087" s="11"/>
      <c r="H1087" s="11">
        <f>SUMIFS(X!$F$3:$F$5978,X!$D$3:$D$5978,'Current Stock'!A1087)</f>
        <v>7</v>
      </c>
      <c r="I1087" s="11">
        <f>SUMIFS(PENJUALAN!$E$4:$E$3651,PENJUALAN!$C$4:$C$3651,'Current Stock'!A1087)</f>
        <v>5</v>
      </c>
      <c r="J1087" s="15">
        <f t="shared" si="2"/>
        <v>2</v>
      </c>
      <c r="K1087" s="11"/>
      <c r="L1087" s="11"/>
      <c r="M1087" s="11"/>
      <c r="N1087" s="11"/>
      <c r="O1087" s="17"/>
      <c r="P1087" s="17"/>
    </row>
    <row r="1088" ht="13.5" customHeight="1">
      <c r="A1088" s="11" t="str">
        <f t="shared" si="1"/>
        <v>TRW-GETZXYG</v>
      </c>
      <c r="B1088" s="32" t="s">
        <v>530</v>
      </c>
      <c r="C1088" s="33" t="s">
        <v>529</v>
      </c>
      <c r="D1088" s="33" t="s">
        <v>62</v>
      </c>
      <c r="E1088" s="11" t="s">
        <v>16</v>
      </c>
      <c r="F1088" s="33" t="s">
        <v>228</v>
      </c>
      <c r="G1088" s="11"/>
      <c r="H1088" s="11">
        <f>SUMIFS(X!$F$3:$F$5978,X!$D$3:$D$5978,'Current Stock'!A1088)</f>
        <v>0</v>
      </c>
      <c r="I1088" s="11">
        <f>SUMIFS(PENJUALAN!$E$4:$E$3651,PENJUALAN!$C$4:$C$3651,'Current Stock'!A1088)</f>
        <v>0</v>
      </c>
      <c r="J1088" s="15">
        <f t="shared" si="2"/>
        <v>0</v>
      </c>
      <c r="K1088" s="11"/>
      <c r="L1088" s="11"/>
      <c r="M1088" s="11"/>
      <c r="N1088" s="11"/>
      <c r="O1088" s="17"/>
      <c r="P1088" s="17"/>
    </row>
    <row r="1089" ht="13.5" customHeight="1">
      <c r="A1089" s="11" t="str">
        <f t="shared" si="1"/>
        <v>FDL-GETZXYG</v>
      </c>
      <c r="B1089" s="32" t="s">
        <v>531</v>
      </c>
      <c r="C1089" s="33" t="s">
        <v>529</v>
      </c>
      <c r="D1089" s="33" t="s">
        <v>140</v>
      </c>
      <c r="E1089" s="11" t="s">
        <v>16</v>
      </c>
      <c r="F1089" s="33" t="s">
        <v>152</v>
      </c>
      <c r="G1089" s="11"/>
      <c r="H1089" s="11">
        <f>SUMIFS(X!$F$3:$F$5978,X!$D$3:$D$5978,'Current Stock'!A1089)</f>
        <v>0</v>
      </c>
      <c r="I1089" s="11">
        <f>SUMIFS(PENJUALAN!$E$4:$E$3651,PENJUALAN!$C$4:$C$3651,'Current Stock'!A1089)</f>
        <v>0</v>
      </c>
      <c r="J1089" s="15">
        <f t="shared" si="2"/>
        <v>0</v>
      </c>
      <c r="K1089" s="11"/>
      <c r="L1089" s="11"/>
      <c r="M1089" s="11"/>
      <c r="N1089" s="11"/>
      <c r="O1089" s="17"/>
      <c r="P1089" s="17"/>
    </row>
    <row r="1090" ht="13.5" customHeight="1">
      <c r="A1090" s="11" t="str">
        <f t="shared" si="1"/>
        <v>FDR-GETZXYG</v>
      </c>
      <c r="B1090" s="32" t="s">
        <v>532</v>
      </c>
      <c r="C1090" s="33" t="s">
        <v>529</v>
      </c>
      <c r="D1090" s="33" t="s">
        <v>142</v>
      </c>
      <c r="E1090" s="11" t="s">
        <v>16</v>
      </c>
      <c r="F1090" s="33" t="s">
        <v>152</v>
      </c>
      <c r="G1090" s="11"/>
      <c r="H1090" s="11">
        <f>SUMIFS(X!$F$3:$F$5978,X!$D$3:$D$5978,'Current Stock'!A1090)</f>
        <v>0</v>
      </c>
      <c r="I1090" s="11">
        <f>SUMIFS(PENJUALAN!$E$4:$E$3651,PENJUALAN!$C$4:$C$3651,'Current Stock'!A1090)</f>
        <v>0</v>
      </c>
      <c r="J1090" s="15">
        <f t="shared" si="2"/>
        <v>0</v>
      </c>
      <c r="K1090" s="11"/>
      <c r="L1090" s="11"/>
      <c r="M1090" s="11"/>
      <c r="N1090" s="11"/>
      <c r="O1090" s="17"/>
      <c r="P1090" s="17"/>
    </row>
    <row r="1091" ht="13.5" customHeight="1">
      <c r="A1091" s="11" t="str">
        <f t="shared" si="1"/>
        <v>LFW-CU6XYG</v>
      </c>
      <c r="B1091" s="32" t="s">
        <v>1399</v>
      </c>
      <c r="C1091" s="33" t="s">
        <v>1400</v>
      </c>
      <c r="D1091" s="33" t="s">
        <v>60</v>
      </c>
      <c r="E1091" s="11" t="s">
        <v>16</v>
      </c>
      <c r="F1091" s="33" t="s">
        <v>90</v>
      </c>
      <c r="G1091" s="11"/>
      <c r="H1091" s="11">
        <f>SUMIFS(X!$F$3:$F$5978,X!$D$3:$D$5978,'Current Stock'!A1091)</f>
        <v>1</v>
      </c>
      <c r="I1091" s="11">
        <f>SUMIFS(PENJUALAN!$E$4:$E$3651,PENJUALAN!$C$4:$C$3651,'Current Stock'!A1091)</f>
        <v>1</v>
      </c>
      <c r="J1091" s="15">
        <f t="shared" si="2"/>
        <v>0</v>
      </c>
      <c r="K1091" s="11"/>
      <c r="L1091" s="11"/>
      <c r="M1091" s="11"/>
      <c r="N1091" s="11"/>
      <c r="O1091" s="17"/>
      <c r="P1091" s="17"/>
    </row>
    <row r="1092" ht="13.5" customHeight="1">
      <c r="A1092" s="11" t="str">
        <f t="shared" si="1"/>
        <v>LFW-GAVEGAXYG</v>
      </c>
      <c r="B1092" s="32" t="s">
        <v>535</v>
      </c>
      <c r="C1092" s="33" t="s">
        <v>536</v>
      </c>
      <c r="D1092" s="33" t="s">
        <v>60</v>
      </c>
      <c r="E1092" s="11" t="s">
        <v>16</v>
      </c>
      <c r="F1092" s="33" t="s">
        <v>137</v>
      </c>
      <c r="G1092" s="11"/>
      <c r="H1092" s="11">
        <f>SUMIFS(X!$F$3:$F$5978,X!$D$3:$D$5978,'Current Stock'!A1092)</f>
        <v>0</v>
      </c>
      <c r="I1092" s="11">
        <f>SUMIFS(PENJUALAN!$E$4:$E$3651,PENJUALAN!$C$4:$C$3651,'Current Stock'!A1092)</f>
        <v>0</v>
      </c>
      <c r="J1092" s="15">
        <f t="shared" si="2"/>
        <v>0</v>
      </c>
      <c r="K1092" s="11"/>
      <c r="L1092" s="11"/>
      <c r="M1092" s="11"/>
      <c r="N1092" s="11"/>
      <c r="O1092" s="17"/>
      <c r="P1092" s="17"/>
    </row>
    <row r="1093" ht="13.5" customHeight="1">
      <c r="A1093" s="11" t="str">
        <f t="shared" si="1"/>
        <v>TRW-GAVEGAXYG</v>
      </c>
      <c r="B1093" s="32" t="s">
        <v>537</v>
      </c>
      <c r="C1093" s="33" t="s">
        <v>536</v>
      </c>
      <c r="D1093" s="33" t="s">
        <v>62</v>
      </c>
      <c r="E1093" s="11" t="s">
        <v>16</v>
      </c>
      <c r="F1093" s="33" t="s">
        <v>228</v>
      </c>
      <c r="G1093" s="11"/>
      <c r="H1093" s="11">
        <f>SUMIFS(X!$F$3:$F$5978,X!$D$3:$D$5978,'Current Stock'!A1093)</f>
        <v>0</v>
      </c>
      <c r="I1093" s="11">
        <f>SUMIFS(PENJUALAN!$E$4:$E$3651,PENJUALAN!$C$4:$C$3651,'Current Stock'!A1093)</f>
        <v>0</v>
      </c>
      <c r="J1093" s="15">
        <f t="shared" si="2"/>
        <v>0</v>
      </c>
      <c r="K1093" s="11"/>
      <c r="L1093" s="11"/>
      <c r="M1093" s="11"/>
      <c r="N1093" s="11"/>
      <c r="O1093" s="17"/>
      <c r="P1093" s="17"/>
    </row>
    <row r="1094" ht="13.5" customHeight="1">
      <c r="A1094" s="11" t="str">
        <f t="shared" si="1"/>
        <v>RDL-GAVEGAXYG</v>
      </c>
      <c r="B1094" s="32" t="s">
        <v>538</v>
      </c>
      <c r="C1094" s="33" t="s">
        <v>536</v>
      </c>
      <c r="D1094" s="33" t="s">
        <v>144</v>
      </c>
      <c r="E1094" s="11" t="s">
        <v>16</v>
      </c>
      <c r="F1094" s="33" t="s">
        <v>152</v>
      </c>
      <c r="G1094" s="11"/>
      <c r="H1094" s="11">
        <f>SUMIFS(X!$F$3:$F$5978,X!$D$3:$D$5978,'Current Stock'!A1094)</f>
        <v>0</v>
      </c>
      <c r="I1094" s="11">
        <f>SUMIFS(PENJUALAN!$E$4:$E$3651,PENJUALAN!$C$4:$C$3651,'Current Stock'!A1094)</f>
        <v>0</v>
      </c>
      <c r="J1094" s="15">
        <f t="shared" si="2"/>
        <v>0</v>
      </c>
      <c r="K1094" s="11"/>
      <c r="L1094" s="11"/>
      <c r="M1094" s="11"/>
      <c r="N1094" s="11"/>
      <c r="O1094" s="17"/>
      <c r="P1094" s="17"/>
    </row>
    <row r="1095" ht="13.5" customHeight="1">
      <c r="A1095" s="11" t="str">
        <f t="shared" si="1"/>
        <v>LFW-H1XYG</v>
      </c>
      <c r="B1095" s="32" t="s">
        <v>540</v>
      </c>
      <c r="C1095" s="33" t="s">
        <v>541</v>
      </c>
      <c r="D1095" s="33" t="s">
        <v>60</v>
      </c>
      <c r="E1095" s="11" t="s">
        <v>16</v>
      </c>
      <c r="F1095" s="33" t="s">
        <v>137</v>
      </c>
      <c r="G1095" s="11"/>
      <c r="H1095" s="11">
        <f>SUMIFS(X!$F$3:$F$5978,X!$D$3:$D$5978,'Current Stock'!A1095)</f>
        <v>1</v>
      </c>
      <c r="I1095" s="11">
        <f>SUMIFS(PENJUALAN!$E$4:$E$3651,PENJUALAN!$C$4:$C$3651,'Current Stock'!A1095)</f>
        <v>1</v>
      </c>
      <c r="J1095" s="15">
        <f t="shared" si="2"/>
        <v>0</v>
      </c>
      <c r="K1095" s="11"/>
      <c r="L1095" s="11"/>
      <c r="M1095" s="11"/>
      <c r="N1095" s="11"/>
      <c r="O1095" s="17"/>
      <c r="P1095" s="17"/>
    </row>
    <row r="1096" ht="13.5" customHeight="1">
      <c r="A1096" s="11" t="str">
        <f t="shared" si="1"/>
        <v>TRW-H1XYG</v>
      </c>
      <c r="B1096" s="32" t="s">
        <v>542</v>
      </c>
      <c r="C1096" s="33" t="s">
        <v>543</v>
      </c>
      <c r="D1096" s="33" t="s">
        <v>62</v>
      </c>
      <c r="E1096" s="11" t="s">
        <v>16</v>
      </c>
      <c r="F1096" s="33" t="s">
        <v>228</v>
      </c>
      <c r="G1096" s="11"/>
      <c r="H1096" s="11">
        <f>SUMIFS(X!$F$3:$F$5978,X!$D$3:$D$5978,'Current Stock'!A1096)</f>
        <v>2</v>
      </c>
      <c r="I1096" s="11">
        <f>SUMIFS(PENJUALAN!$E$4:$E$3651,PENJUALAN!$C$4:$C$3651,'Current Stock'!A1096)</f>
        <v>2</v>
      </c>
      <c r="J1096" s="15">
        <f t="shared" si="2"/>
        <v>0</v>
      </c>
      <c r="K1096" s="11"/>
      <c r="L1096" s="11"/>
      <c r="M1096" s="11"/>
      <c r="N1096" s="11"/>
      <c r="O1096" s="17"/>
      <c r="P1096" s="17"/>
    </row>
    <row r="1097" ht="13.5" customHeight="1">
      <c r="A1097" s="11" t="str">
        <f t="shared" si="1"/>
        <v>TRW-H1NOHOLEXYG</v>
      </c>
      <c r="B1097" s="32" t="s">
        <v>1451</v>
      </c>
      <c r="C1097" s="33" t="s">
        <v>1452</v>
      </c>
      <c r="D1097" s="33" t="s">
        <v>62</v>
      </c>
      <c r="E1097" s="11" t="s">
        <v>16</v>
      </c>
      <c r="F1097" s="33" t="s">
        <v>83</v>
      </c>
      <c r="G1097" s="11"/>
      <c r="H1097" s="11">
        <f>SUMIFS(X!$F$3:$F$5978,X!$D$3:$D$5978,'Current Stock'!A1097)</f>
        <v>0</v>
      </c>
      <c r="I1097" s="11">
        <f>SUMIFS(PENJUALAN!$E$4:$E$3651,PENJUALAN!$C$4:$C$3651,'Current Stock'!A1097)</f>
        <v>0</v>
      </c>
      <c r="J1097" s="15">
        <f t="shared" si="2"/>
        <v>0</v>
      </c>
      <c r="K1097" s="11"/>
      <c r="L1097" s="11"/>
      <c r="M1097" s="11"/>
      <c r="N1097" s="11"/>
      <c r="O1097" s="17"/>
      <c r="P1097" s="17"/>
    </row>
    <row r="1098" ht="13.5" customHeight="1">
      <c r="A1098" s="11" t="str">
        <f t="shared" si="1"/>
        <v>RDL-H1FRAMEXYG</v>
      </c>
      <c r="B1098" s="32" t="s">
        <v>1453</v>
      </c>
      <c r="C1098" s="33" t="s">
        <v>1454</v>
      </c>
      <c r="D1098" s="33" t="s">
        <v>144</v>
      </c>
      <c r="E1098" s="11" t="s">
        <v>16</v>
      </c>
      <c r="F1098" s="33"/>
      <c r="G1098" s="11"/>
      <c r="H1098" s="11">
        <f>SUMIFS(X!$F$3:$F$5978,X!$D$3:$D$5978,'Current Stock'!A1098)</f>
        <v>0</v>
      </c>
      <c r="I1098" s="11">
        <f>SUMIFS(PENJUALAN!$E$4:$E$3651,PENJUALAN!$C$4:$C$3651,'Current Stock'!A1098)</f>
        <v>0</v>
      </c>
      <c r="J1098" s="15">
        <f t="shared" si="2"/>
        <v>0</v>
      </c>
      <c r="K1098" s="11"/>
      <c r="L1098" s="11"/>
      <c r="M1098" s="11"/>
      <c r="N1098" s="11"/>
      <c r="O1098" s="17"/>
      <c r="P1098" s="17"/>
    </row>
    <row r="1099" ht="13.5" customHeight="1">
      <c r="A1099" s="11" t="str">
        <f t="shared" si="1"/>
        <v>RDR-H1FRAMEXYG</v>
      </c>
      <c r="B1099" s="32" t="s">
        <v>1455</v>
      </c>
      <c r="C1099" s="33" t="s">
        <v>1454</v>
      </c>
      <c r="D1099" s="33" t="s">
        <v>146</v>
      </c>
      <c r="E1099" s="11" t="s">
        <v>16</v>
      </c>
      <c r="F1099" s="33"/>
      <c r="G1099" s="11"/>
      <c r="H1099" s="11">
        <f>SUMIFS(X!$F$3:$F$5978,X!$D$3:$D$5978,'Current Stock'!A1099)</f>
        <v>1</v>
      </c>
      <c r="I1099" s="11">
        <f>SUMIFS(PENJUALAN!$E$4:$E$3651,PENJUALAN!$C$4:$C$3651,'Current Stock'!A1099)</f>
        <v>1</v>
      </c>
      <c r="J1099" s="15">
        <f t="shared" si="2"/>
        <v>0</v>
      </c>
      <c r="K1099" s="11"/>
      <c r="L1099" s="11"/>
      <c r="M1099" s="11"/>
      <c r="N1099" s="11"/>
      <c r="O1099" s="17"/>
      <c r="P1099" s="17"/>
    </row>
    <row r="1100" ht="13.5" customHeight="1">
      <c r="A1100" s="11" t="str">
        <f t="shared" si="1"/>
        <v>SWL-H1XYG</v>
      </c>
      <c r="B1100" s="36" t="s">
        <v>547</v>
      </c>
      <c r="C1100" s="31" t="s">
        <v>541</v>
      </c>
      <c r="D1100" s="31" t="s">
        <v>1410</v>
      </c>
      <c r="E1100" s="11" t="s">
        <v>16</v>
      </c>
      <c r="F1100" s="31" t="s">
        <v>546</v>
      </c>
      <c r="G1100" s="11"/>
      <c r="H1100" s="11">
        <f>SUMIFS(X!$F$3:$F$5978,X!$D$3:$D$5978,'Current Stock'!A1100)</f>
        <v>0</v>
      </c>
      <c r="I1100" s="11">
        <f>SUMIFS(PENJUALAN!$E$4:$E$3651,PENJUALAN!$C$4:$C$3651,'Current Stock'!A1100)</f>
        <v>0</v>
      </c>
      <c r="J1100" s="15">
        <f t="shared" si="2"/>
        <v>0</v>
      </c>
      <c r="K1100" s="11"/>
      <c r="L1100" s="11"/>
      <c r="M1100" s="11"/>
      <c r="N1100" s="11"/>
      <c r="O1100" s="17"/>
      <c r="P1100" s="17"/>
    </row>
    <row r="1101" ht="13.5" customHeight="1">
      <c r="A1101" s="11" t="str">
        <f t="shared" si="1"/>
        <v>SWR-H1XYG</v>
      </c>
      <c r="B1101" s="36" t="s">
        <v>1456</v>
      </c>
      <c r="C1101" s="31" t="s">
        <v>541</v>
      </c>
      <c r="D1101" s="31" t="s">
        <v>116</v>
      </c>
      <c r="E1101" s="11" t="s">
        <v>16</v>
      </c>
      <c r="F1101" s="31" t="s">
        <v>546</v>
      </c>
      <c r="G1101" s="11"/>
      <c r="H1101" s="11">
        <f>SUMIFS(X!$F$3:$F$5978,X!$D$3:$D$5978,'Current Stock'!A1101)</f>
        <v>0</v>
      </c>
      <c r="I1101" s="11">
        <f>SUMIFS(PENJUALAN!$E$4:$E$3651,PENJUALAN!$C$4:$C$3651,'Current Stock'!A1101)</f>
        <v>0</v>
      </c>
      <c r="J1101" s="15">
        <f t="shared" si="2"/>
        <v>0</v>
      </c>
      <c r="K1101" s="11"/>
      <c r="L1101" s="11"/>
      <c r="M1101" s="11"/>
      <c r="N1101" s="11"/>
      <c r="O1101" s="17"/>
      <c r="P1101" s="17"/>
    </row>
    <row r="1102" ht="13.5" customHeight="1">
      <c r="A1102" s="11" t="str">
        <f t="shared" si="1"/>
        <v>LFW-I1008XYG</v>
      </c>
      <c r="B1102" s="32" t="s">
        <v>548</v>
      </c>
      <c r="C1102" s="33" t="s">
        <v>549</v>
      </c>
      <c r="D1102" s="33" t="s">
        <v>60</v>
      </c>
      <c r="E1102" s="11" t="s">
        <v>16</v>
      </c>
      <c r="F1102" s="33" t="s">
        <v>137</v>
      </c>
      <c r="G1102" s="11"/>
      <c r="H1102" s="11">
        <f>SUMIFS(X!$F$3:$F$5978,X!$D$3:$D$5978,'Current Stock'!A1102)</f>
        <v>0</v>
      </c>
      <c r="I1102" s="11">
        <f>SUMIFS(PENJUALAN!$E$4:$E$3651,PENJUALAN!$C$4:$C$3651,'Current Stock'!A1102)</f>
        <v>0</v>
      </c>
      <c r="J1102" s="15">
        <f t="shared" si="2"/>
        <v>0</v>
      </c>
      <c r="K1102" s="11"/>
      <c r="L1102" s="11"/>
      <c r="M1102" s="11"/>
      <c r="N1102" s="11"/>
      <c r="O1102" s="17"/>
      <c r="P1102" s="17"/>
    </row>
    <row r="1103" ht="13.5" customHeight="1">
      <c r="A1103" s="11" t="str">
        <f t="shared" si="1"/>
        <v>TRW-I1008XYG</v>
      </c>
      <c r="B1103" s="32" t="s">
        <v>550</v>
      </c>
      <c r="C1103" s="33" t="s">
        <v>549</v>
      </c>
      <c r="D1103" s="33" t="s">
        <v>62</v>
      </c>
      <c r="E1103" s="11" t="s">
        <v>16</v>
      </c>
      <c r="F1103" s="33" t="s">
        <v>83</v>
      </c>
      <c r="G1103" s="11"/>
      <c r="H1103" s="11">
        <f>SUMIFS(X!$F$3:$F$5978,X!$D$3:$D$5978,'Current Stock'!A1103)</f>
        <v>1</v>
      </c>
      <c r="I1103" s="11">
        <f>SUMIFS(PENJUALAN!$E$4:$E$3651,PENJUALAN!$C$4:$C$3651,'Current Stock'!A1103)</f>
        <v>1</v>
      </c>
      <c r="J1103" s="15">
        <f t="shared" si="2"/>
        <v>0</v>
      </c>
      <c r="K1103" s="11"/>
      <c r="L1103" s="11"/>
      <c r="M1103" s="11"/>
      <c r="N1103" s="11"/>
      <c r="O1103" s="17"/>
      <c r="P1103" s="17"/>
    </row>
    <row r="1104" ht="13.5" customHeight="1">
      <c r="A1104" s="11" t="str">
        <f t="shared" si="1"/>
        <v>LFW-I1013XYG</v>
      </c>
      <c r="B1104" s="32" t="s">
        <v>555</v>
      </c>
      <c r="C1104" s="33" t="s">
        <v>556</v>
      </c>
      <c r="D1104" s="33" t="s">
        <v>60</v>
      </c>
      <c r="E1104" s="11" t="s">
        <v>16</v>
      </c>
      <c r="F1104" s="33" t="s">
        <v>137</v>
      </c>
      <c r="G1104" s="11"/>
      <c r="H1104" s="11">
        <f>SUMIFS(X!$F$3:$F$5978,X!$D$3:$D$5978,'Current Stock'!A1104)</f>
        <v>1</v>
      </c>
      <c r="I1104" s="11">
        <f>SUMIFS(PENJUALAN!$E$4:$E$3651,PENJUALAN!$C$4:$C$3651,'Current Stock'!A1104)</f>
        <v>1</v>
      </c>
      <c r="J1104" s="15">
        <f t="shared" si="2"/>
        <v>0</v>
      </c>
      <c r="K1104" s="11"/>
      <c r="L1104" s="11"/>
      <c r="M1104" s="11"/>
      <c r="N1104" s="11"/>
      <c r="O1104" s="17"/>
      <c r="P1104" s="17"/>
    </row>
    <row r="1105" ht="13.5" customHeight="1">
      <c r="A1105" s="11" t="str">
        <f t="shared" si="1"/>
        <v>LFW-I2008XYG</v>
      </c>
      <c r="B1105" s="32" t="s">
        <v>1457</v>
      </c>
      <c r="C1105" s="33" t="s">
        <v>1458</v>
      </c>
      <c r="D1105" s="33" t="s">
        <v>60</v>
      </c>
      <c r="E1105" s="11" t="s">
        <v>16</v>
      </c>
      <c r="F1105" s="33" t="s">
        <v>137</v>
      </c>
      <c r="G1105" s="11"/>
      <c r="H1105" s="11">
        <f>SUMIFS(X!$F$3:$F$5978,X!$D$3:$D$5978,'Current Stock'!A1105)</f>
        <v>0</v>
      </c>
      <c r="I1105" s="11">
        <f>SUMIFS(PENJUALAN!$E$4:$E$3651,PENJUALAN!$C$4:$C$3651,'Current Stock'!A1105)</f>
        <v>0</v>
      </c>
      <c r="J1105" s="15">
        <f t="shared" si="2"/>
        <v>0</v>
      </c>
      <c r="K1105" s="11"/>
      <c r="L1105" s="11"/>
      <c r="M1105" s="11"/>
      <c r="N1105" s="11"/>
      <c r="O1105" s="17"/>
      <c r="P1105" s="17"/>
    </row>
    <row r="1106" ht="13.5" customHeight="1">
      <c r="A1106" s="11" t="str">
        <f t="shared" si="1"/>
        <v>LFW-PALISADEXYG</v>
      </c>
      <c r="B1106" s="32" t="s">
        <v>1459</v>
      </c>
      <c r="C1106" s="33" t="s">
        <v>1460</v>
      </c>
      <c r="D1106" s="33" t="s">
        <v>60</v>
      </c>
      <c r="E1106" s="11" t="s">
        <v>16</v>
      </c>
      <c r="F1106" s="33" t="s">
        <v>137</v>
      </c>
      <c r="G1106" s="11"/>
      <c r="H1106" s="11">
        <f>SUMIFS(X!$F$3:$F$5978,X!$D$3:$D$5978,'Current Stock'!A1106)</f>
        <v>1</v>
      </c>
      <c r="I1106" s="11">
        <f>SUMIFS(PENJUALAN!$E$4:$E$3651,PENJUALAN!$C$4:$C$3651,'Current Stock'!A1106)</f>
        <v>1</v>
      </c>
      <c r="J1106" s="15">
        <f t="shared" si="2"/>
        <v>0</v>
      </c>
      <c r="K1106" s="11"/>
      <c r="L1106" s="11"/>
      <c r="M1106" s="11"/>
      <c r="N1106" s="11"/>
      <c r="O1106" s="17"/>
      <c r="P1106" s="17"/>
    </row>
    <row r="1107" ht="13.5" customHeight="1">
      <c r="A1107" s="11" t="str">
        <f t="shared" si="1"/>
        <v>TRW-PALISADEXYG</v>
      </c>
      <c r="B1107" s="32" t="s">
        <v>1461</v>
      </c>
      <c r="C1107" s="33" t="s">
        <v>1460</v>
      </c>
      <c r="D1107" s="33" t="s">
        <v>62</v>
      </c>
      <c r="E1107" s="11" t="s">
        <v>16</v>
      </c>
      <c r="F1107" s="33" t="s">
        <v>228</v>
      </c>
      <c r="G1107" s="11"/>
      <c r="H1107" s="11">
        <f>SUMIFS(X!$F$3:$F$5978,X!$D$3:$D$5978,'Current Stock'!A1107)</f>
        <v>0</v>
      </c>
      <c r="I1107" s="11">
        <f>SUMIFS(PENJUALAN!$E$4:$E$3651,PENJUALAN!$C$4:$C$3651,'Current Stock'!A1107)</f>
        <v>0</v>
      </c>
      <c r="J1107" s="15">
        <f t="shared" si="2"/>
        <v>0</v>
      </c>
      <c r="K1107" s="11"/>
      <c r="L1107" s="11"/>
      <c r="M1107" s="11"/>
      <c r="N1107" s="11"/>
      <c r="O1107" s="17"/>
      <c r="P1107" s="17"/>
    </row>
    <row r="1108" ht="13.5" customHeight="1">
      <c r="A1108" s="11" t="str">
        <f t="shared" si="1"/>
        <v>LFW-AL20XYG</v>
      </c>
      <c r="B1108" s="32" t="s">
        <v>1462</v>
      </c>
      <c r="C1108" s="33" t="s">
        <v>1463</v>
      </c>
      <c r="D1108" s="35" t="s">
        <v>60</v>
      </c>
      <c r="E1108" s="11" t="s">
        <v>16</v>
      </c>
      <c r="F1108" s="33" t="s">
        <v>1464</v>
      </c>
      <c r="G1108" s="11"/>
      <c r="H1108" s="11">
        <f>SUMIFS(X!$F$3:$F$5978,X!$D$3:$D$5978,'Current Stock'!A1108)</f>
        <v>1</v>
      </c>
      <c r="I1108" s="11">
        <f>SUMIFS(PENJUALAN!$E$4:$E$3651,PENJUALAN!$C$4:$C$3651,'Current Stock'!A1108)</f>
        <v>1</v>
      </c>
      <c r="J1108" s="15">
        <f t="shared" si="2"/>
        <v>0</v>
      </c>
      <c r="K1108" s="11"/>
      <c r="L1108" s="11"/>
      <c r="M1108" s="11"/>
      <c r="N1108" s="11"/>
      <c r="O1108" s="17"/>
      <c r="P1108" s="17"/>
    </row>
    <row r="1109" ht="13.5" customHeight="1">
      <c r="A1109" s="11" t="str">
        <f t="shared" si="1"/>
        <v>TRW-SANTAFE12XYG</v>
      </c>
      <c r="B1109" s="32" t="s">
        <v>574</v>
      </c>
      <c r="C1109" s="33" t="s">
        <v>573</v>
      </c>
      <c r="D1109" s="33" t="s">
        <v>62</v>
      </c>
      <c r="E1109" s="11" t="s">
        <v>16</v>
      </c>
      <c r="F1109" s="33" t="s">
        <v>228</v>
      </c>
      <c r="G1109" s="11"/>
      <c r="H1109" s="11">
        <f>SUMIFS(X!$F$3:$F$5978,X!$D$3:$D$5978,'Current Stock'!A1109)</f>
        <v>0</v>
      </c>
      <c r="I1109" s="11">
        <f>SUMIFS(PENJUALAN!$E$4:$E$3651,PENJUALAN!$C$4:$C$3651,'Current Stock'!A1109)</f>
        <v>0</v>
      </c>
      <c r="J1109" s="15">
        <f t="shared" si="2"/>
        <v>0</v>
      </c>
      <c r="K1109" s="11"/>
      <c r="L1109" s="11"/>
      <c r="M1109" s="11"/>
      <c r="N1109" s="11"/>
      <c r="O1109" s="17"/>
      <c r="P1109" s="17"/>
    </row>
    <row r="1110" ht="13.5" customHeight="1">
      <c r="A1110" s="11" t="str">
        <f t="shared" si="1"/>
        <v>LFW-SANTAFE19XYG</v>
      </c>
      <c r="B1110" s="32" t="s">
        <v>1465</v>
      </c>
      <c r="C1110" s="35" t="s">
        <v>1466</v>
      </c>
      <c r="D1110" s="35" t="s">
        <v>60</v>
      </c>
      <c r="E1110" s="11" t="s">
        <v>16</v>
      </c>
      <c r="F1110" s="42" t="s">
        <v>137</v>
      </c>
      <c r="G1110" s="11"/>
      <c r="H1110" s="11">
        <f>SUMIFS(X!$F$3:$F$5978,X!$D$3:$D$5978,'Current Stock'!A1110)</f>
        <v>2</v>
      </c>
      <c r="I1110" s="11">
        <f>SUMIFS(PENJUALAN!$E$4:$E$3651,PENJUALAN!$C$4:$C$3651,'Current Stock'!A1110)</f>
        <v>2</v>
      </c>
      <c r="J1110" s="15">
        <f t="shared" si="2"/>
        <v>0</v>
      </c>
      <c r="K1110" s="11"/>
      <c r="L1110" s="11"/>
      <c r="M1110" s="11"/>
      <c r="N1110" s="11"/>
      <c r="O1110" s="17"/>
      <c r="P1110" s="17"/>
    </row>
    <row r="1111" ht="13.5" customHeight="1">
      <c r="A1111" s="11" t="str">
        <f t="shared" si="1"/>
        <v>TRW-SANTAFE19XYG</v>
      </c>
      <c r="B1111" s="32" t="s">
        <v>1467</v>
      </c>
      <c r="C1111" s="35" t="s">
        <v>1466</v>
      </c>
      <c r="D1111" s="35" t="s">
        <v>62</v>
      </c>
      <c r="E1111" s="11" t="s">
        <v>16</v>
      </c>
      <c r="F1111" s="42" t="s">
        <v>83</v>
      </c>
      <c r="G1111" s="11"/>
      <c r="H1111" s="11">
        <f>SUMIFS(X!$F$3:$F$5978,X!$D$3:$D$5978,'Current Stock'!A1111)</f>
        <v>1</v>
      </c>
      <c r="I1111" s="11">
        <f>SUMIFS(PENJUALAN!$E$4:$E$3651,PENJUALAN!$C$4:$C$3651,'Current Stock'!A1111)</f>
        <v>1</v>
      </c>
      <c r="J1111" s="15">
        <f t="shared" si="2"/>
        <v>0</v>
      </c>
      <c r="K1111" s="13" t="s">
        <v>1468</v>
      </c>
      <c r="L1111" s="11"/>
      <c r="M1111" s="11"/>
      <c r="N1111" s="11"/>
      <c r="O1111" s="17"/>
      <c r="P1111" s="17"/>
    </row>
    <row r="1112" ht="13.5" customHeight="1">
      <c r="A1112" s="11" t="str">
        <f t="shared" si="1"/>
        <v>LFW-SANTAFE24RS2XYG</v>
      </c>
      <c r="B1112" s="59" t="s">
        <v>1469</v>
      </c>
      <c r="C1112" s="60" t="s">
        <v>1470</v>
      </c>
      <c r="D1112" s="41" t="s">
        <v>60</v>
      </c>
      <c r="E1112" s="13" t="s">
        <v>16</v>
      </c>
      <c r="F1112" s="61" t="s">
        <v>314</v>
      </c>
      <c r="G1112" s="54"/>
      <c r="H1112" s="11">
        <f>SUMIFS(X!$F$3:$F$5978,X!$D$3:$D$5978,'Current Stock'!A1112)</f>
        <v>0</v>
      </c>
      <c r="I1112" s="11">
        <f>SUMIFS(PENJUALAN!$E$4:$E$3651,PENJUALAN!$C$4:$C$3651,'Current Stock'!A1112)</f>
        <v>0</v>
      </c>
      <c r="J1112" s="15">
        <f t="shared" si="2"/>
        <v>0</v>
      </c>
      <c r="K1112" s="13"/>
      <c r="L1112" s="11"/>
      <c r="M1112" s="11"/>
      <c r="N1112" s="11"/>
      <c r="O1112" s="17"/>
      <c r="P1112" s="17"/>
    </row>
    <row r="1113" ht="13.5" customHeight="1">
      <c r="A1113" s="11" t="str">
        <f t="shared" si="1"/>
        <v>LFW-STARGAZERXYG</v>
      </c>
      <c r="B1113" s="62" t="s">
        <v>1471</v>
      </c>
      <c r="C1113" s="54" t="s">
        <v>1344</v>
      </c>
      <c r="D1113" s="31" t="s">
        <v>60</v>
      </c>
      <c r="E1113" s="11" t="s">
        <v>16</v>
      </c>
      <c r="F1113" s="54" t="s">
        <v>137</v>
      </c>
      <c r="G1113" s="63">
        <v>45988.0</v>
      </c>
      <c r="H1113" s="11">
        <f>SUMIFS(X!$F$3:$F$5978,X!$D$3:$D$5978,'Current Stock'!A1113)</f>
        <v>0</v>
      </c>
      <c r="I1113" s="11">
        <f>SUMIFS(PENJUALAN!$E$4:$E$3651,PENJUALAN!$C$4:$C$3651,'Current Stock'!A1113)</f>
        <v>0</v>
      </c>
      <c r="J1113" s="15">
        <f t="shared" si="2"/>
        <v>0</v>
      </c>
      <c r="K1113" s="13"/>
      <c r="L1113" s="13"/>
      <c r="M1113" s="11"/>
      <c r="N1113" s="11"/>
      <c r="O1113" s="17"/>
      <c r="P1113" s="17"/>
    </row>
    <row r="1114" ht="13.5" customHeight="1">
      <c r="A1114" s="11" t="str">
        <f t="shared" si="1"/>
        <v>LFW-DMAX2XYG</v>
      </c>
      <c r="B1114" s="55" t="s">
        <v>1472</v>
      </c>
      <c r="C1114" s="56" t="s">
        <v>1473</v>
      </c>
      <c r="D1114" s="33" t="s">
        <v>60</v>
      </c>
      <c r="E1114" s="11" t="s">
        <v>16</v>
      </c>
      <c r="F1114" s="56" t="s">
        <v>137</v>
      </c>
      <c r="G1114" s="54"/>
      <c r="H1114" s="11">
        <f>SUMIFS(X!$F$3:$F$5978,X!$D$3:$D$5978,'Current Stock'!A1114)</f>
        <v>1</v>
      </c>
      <c r="I1114" s="11">
        <f>SUMIFS(PENJUALAN!$E$4:$E$3651,PENJUALAN!$C$4:$C$3651,'Current Stock'!A1114)</f>
        <v>1</v>
      </c>
      <c r="J1114" s="15">
        <f t="shared" si="2"/>
        <v>0</v>
      </c>
      <c r="K1114" s="11"/>
      <c r="L1114" s="11"/>
      <c r="M1114" s="11"/>
      <c r="N1114" s="11"/>
      <c r="O1114" s="17"/>
      <c r="P1114" s="17"/>
    </row>
    <row r="1115" ht="13.5" customHeight="1">
      <c r="A1115" s="11" t="str">
        <f t="shared" si="1"/>
        <v>TRW-STARGAZERXYG</v>
      </c>
      <c r="B1115" s="62" t="s">
        <v>1474</v>
      </c>
      <c r="C1115" s="54" t="s">
        <v>1344</v>
      </c>
      <c r="D1115" s="31" t="s">
        <v>62</v>
      </c>
      <c r="E1115" s="11" t="s">
        <v>16</v>
      </c>
      <c r="F1115" s="54" t="s">
        <v>546</v>
      </c>
      <c r="G1115" s="63"/>
      <c r="H1115" s="11">
        <f>SUMIFS(X!$F$3:$F$5978,X!$D$3:$D$5978,'Current Stock'!A1115)</f>
        <v>3</v>
      </c>
      <c r="I1115" s="11">
        <f>SUMIFS(PENJUALAN!$E$4:$E$3651,PENJUALAN!$C$4:$C$3651,'Current Stock'!A1115)</f>
        <v>3</v>
      </c>
      <c r="J1115" s="15">
        <f t="shared" si="2"/>
        <v>0</v>
      </c>
      <c r="K1115" s="64"/>
      <c r="L1115" s="64"/>
      <c r="M1115" s="11"/>
      <c r="N1115" s="11"/>
      <c r="O1115" s="17"/>
      <c r="P1115" s="17"/>
    </row>
    <row r="1116" ht="13.5" customHeight="1">
      <c r="A1116" s="11" t="str">
        <f t="shared" si="1"/>
        <v>LFW-TUCSON05XYG</v>
      </c>
      <c r="B1116" s="32" t="s">
        <v>578</v>
      </c>
      <c r="C1116" s="33" t="s">
        <v>579</v>
      </c>
      <c r="D1116" s="33" t="s">
        <v>60</v>
      </c>
      <c r="E1116" s="11" t="s">
        <v>16</v>
      </c>
      <c r="F1116" s="33" t="s">
        <v>137</v>
      </c>
      <c r="G1116" s="11"/>
      <c r="H1116" s="11">
        <f>SUMIFS(X!$F$3:$F$5978,X!$D$3:$D$5978,'Current Stock'!A1116)</f>
        <v>0</v>
      </c>
      <c r="I1116" s="11">
        <f>SUMIFS(PENJUALAN!$E$4:$E$3651,PENJUALAN!$C$4:$C$3651,'Current Stock'!A1116)</f>
        <v>0</v>
      </c>
      <c r="J1116" s="15">
        <f t="shared" si="2"/>
        <v>0</v>
      </c>
      <c r="K1116" s="11"/>
      <c r="L1116" s="11"/>
      <c r="M1116" s="11"/>
      <c r="N1116" s="11"/>
      <c r="O1116" s="17"/>
      <c r="P1116" s="17"/>
    </row>
    <row r="1117" ht="13.5" customHeight="1">
      <c r="A1117" s="11" t="str">
        <f t="shared" si="1"/>
        <v>LFW-TUCSON10XYG</v>
      </c>
      <c r="B1117" s="32" t="s">
        <v>580</v>
      </c>
      <c r="C1117" s="33" t="s">
        <v>581</v>
      </c>
      <c r="D1117" s="33" t="s">
        <v>60</v>
      </c>
      <c r="E1117" s="11" t="s">
        <v>16</v>
      </c>
      <c r="F1117" s="33" t="s">
        <v>137</v>
      </c>
      <c r="G1117" s="11"/>
      <c r="H1117" s="11">
        <f>SUMIFS(X!$F$3:$F$5978,X!$D$3:$D$5978,'Current Stock'!A1117)</f>
        <v>0</v>
      </c>
      <c r="I1117" s="11">
        <f>SUMIFS(PENJUALAN!$E$4:$E$3651,PENJUALAN!$C$4:$C$3651,'Current Stock'!A1117)</f>
        <v>0</v>
      </c>
      <c r="J1117" s="15">
        <f t="shared" si="2"/>
        <v>0</v>
      </c>
      <c r="K1117" s="11"/>
      <c r="L1117" s="11"/>
      <c r="M1117" s="11"/>
      <c r="N1117" s="11"/>
      <c r="O1117" s="17"/>
      <c r="P1117" s="17"/>
    </row>
    <row r="1118" ht="13.5" customHeight="1">
      <c r="A1118" s="11" t="str">
        <f t="shared" si="1"/>
        <v>TRW-TUCSON10XYG</v>
      </c>
      <c r="B1118" s="32" t="s">
        <v>582</v>
      </c>
      <c r="C1118" s="33" t="s">
        <v>581</v>
      </c>
      <c r="D1118" s="33" t="s">
        <v>62</v>
      </c>
      <c r="E1118" s="11" t="s">
        <v>16</v>
      </c>
      <c r="F1118" s="33" t="s">
        <v>228</v>
      </c>
      <c r="G1118" s="11"/>
      <c r="H1118" s="11">
        <f>SUMIFS(X!$F$3:$F$5978,X!$D$3:$D$5978,'Current Stock'!A1118)</f>
        <v>1</v>
      </c>
      <c r="I1118" s="11">
        <f>SUMIFS(PENJUALAN!$E$4:$E$3651,PENJUALAN!$C$4:$C$3651,'Current Stock'!A1118)</f>
        <v>1</v>
      </c>
      <c r="J1118" s="15">
        <f t="shared" si="2"/>
        <v>0</v>
      </c>
      <c r="K1118" s="11"/>
      <c r="L1118" s="11"/>
      <c r="M1118" s="11"/>
      <c r="N1118" s="11"/>
      <c r="O1118" s="17"/>
      <c r="P1118" s="17"/>
    </row>
    <row r="1119" ht="13.5" customHeight="1">
      <c r="A1119" s="11" t="str">
        <f t="shared" si="1"/>
        <v>LFW-TUCSON16XYG</v>
      </c>
      <c r="B1119" s="32" t="s">
        <v>583</v>
      </c>
      <c r="C1119" s="33" t="s">
        <v>584</v>
      </c>
      <c r="D1119" s="33" t="s">
        <v>60</v>
      </c>
      <c r="E1119" s="11" t="s">
        <v>16</v>
      </c>
      <c r="F1119" s="33" t="s">
        <v>137</v>
      </c>
      <c r="G1119" s="11"/>
      <c r="H1119" s="11">
        <f>SUMIFS(X!$F$3:$F$5978,X!$D$3:$D$5978,'Current Stock'!A1119)</f>
        <v>1</v>
      </c>
      <c r="I1119" s="11">
        <f>SUMIFS(PENJUALAN!$E$4:$E$3651,PENJUALAN!$C$4:$C$3651,'Current Stock'!A1119)</f>
        <v>1</v>
      </c>
      <c r="J1119" s="15">
        <f t="shared" si="2"/>
        <v>0</v>
      </c>
      <c r="K1119" s="11"/>
      <c r="L1119" s="11"/>
      <c r="M1119" s="11"/>
      <c r="N1119" s="11"/>
      <c r="O1119" s="17"/>
      <c r="P1119" s="17"/>
    </row>
    <row r="1120" ht="13.5" customHeight="1">
      <c r="A1120" s="11" t="str">
        <f t="shared" si="1"/>
        <v>RDL-PICANTO04FY</v>
      </c>
      <c r="B1120" s="32" t="s">
        <v>1475</v>
      </c>
      <c r="C1120" s="33" t="s">
        <v>603</v>
      </c>
      <c r="D1120" s="33" t="s">
        <v>144</v>
      </c>
      <c r="E1120" s="11" t="s">
        <v>123</v>
      </c>
      <c r="F1120" s="33"/>
      <c r="G1120" s="11"/>
      <c r="H1120" s="11">
        <f>SUMIFS(X!$F$3:$F$5978,X!$D$3:$D$5978,'Current Stock'!A1120)</f>
        <v>1</v>
      </c>
      <c r="I1120" s="11">
        <f>SUMIFS(PENJUALAN!$E$4:$E$3651,PENJUALAN!$C$4:$C$3651,'Current Stock'!A1120)</f>
        <v>1</v>
      </c>
      <c r="J1120" s="15">
        <f t="shared" si="2"/>
        <v>0</v>
      </c>
      <c r="K1120" s="11"/>
      <c r="L1120" s="11"/>
      <c r="M1120" s="11"/>
      <c r="N1120" s="11"/>
      <c r="O1120" s="17"/>
      <c r="P1120" s="17"/>
    </row>
    <row r="1121" ht="13.5" customHeight="1">
      <c r="A1121" s="11" t="str">
        <f t="shared" si="1"/>
        <v>LFW-MUXXYG</v>
      </c>
      <c r="B1121" s="32" t="s">
        <v>586</v>
      </c>
      <c r="C1121" s="33" t="s">
        <v>587</v>
      </c>
      <c r="D1121" s="33" t="s">
        <v>60</v>
      </c>
      <c r="E1121" s="11" t="s">
        <v>16</v>
      </c>
      <c r="F1121" s="33" t="s">
        <v>137</v>
      </c>
      <c r="G1121" s="11"/>
      <c r="H1121" s="11">
        <f>SUMIFS(X!$F$3:$F$5978,X!$D$3:$D$5978,'Current Stock'!A1121)</f>
        <v>1</v>
      </c>
      <c r="I1121" s="11">
        <f>SUMIFS(PENJUALAN!$E$4:$E$3651,PENJUALAN!$C$4:$C$3651,'Current Stock'!A1121)</f>
        <v>1</v>
      </c>
      <c r="J1121" s="15">
        <f t="shared" si="2"/>
        <v>0</v>
      </c>
      <c r="K1121" s="11"/>
      <c r="L1121" s="11"/>
      <c r="M1121" s="11"/>
      <c r="N1121" s="11"/>
      <c r="O1121" s="17"/>
      <c r="P1121" s="17"/>
    </row>
    <row r="1122" ht="13.5" customHeight="1">
      <c r="A1122" s="11" t="str">
        <f t="shared" si="1"/>
        <v>LFW-PANTHER00XYG</v>
      </c>
      <c r="B1122" s="32" t="s">
        <v>1476</v>
      </c>
      <c r="C1122" s="33" t="s">
        <v>1477</v>
      </c>
      <c r="D1122" s="33" t="s">
        <v>60</v>
      </c>
      <c r="E1122" s="11" t="s">
        <v>16</v>
      </c>
      <c r="F1122" s="31" t="s">
        <v>109</v>
      </c>
      <c r="G1122" s="11"/>
      <c r="H1122" s="11">
        <f>SUMIFS(X!$F$3:$F$5978,X!$D$3:$D$5978,'Current Stock'!A1122)</f>
        <v>1</v>
      </c>
      <c r="I1122" s="11">
        <f>SUMIFS(PENJUALAN!$E$4:$E$3651,PENJUALAN!$C$4:$C$3651,'Current Stock'!A1122)</f>
        <v>1</v>
      </c>
      <c r="J1122" s="15">
        <f t="shared" si="2"/>
        <v>0</v>
      </c>
      <c r="K1122" s="13" t="s">
        <v>1369</v>
      </c>
      <c r="L1122" s="13"/>
      <c r="M1122" s="11"/>
      <c r="N1122" s="11"/>
      <c r="O1122" s="17"/>
      <c r="P1122" s="17"/>
    </row>
    <row r="1123" ht="13.5" customHeight="1">
      <c r="A1123" s="11" t="str">
        <f t="shared" si="1"/>
        <v>LFW-JAGUARXF11XYG</v>
      </c>
      <c r="B1123" s="32" t="s">
        <v>1478</v>
      </c>
      <c r="C1123" s="35" t="s">
        <v>1479</v>
      </c>
      <c r="D1123" s="35" t="s">
        <v>60</v>
      </c>
      <c r="E1123" s="11" t="s">
        <v>16</v>
      </c>
      <c r="F1123" s="35" t="s">
        <v>314</v>
      </c>
      <c r="G1123" s="11"/>
      <c r="H1123" s="11">
        <f>SUMIFS(X!$F$3:$F$5978,X!$D$3:$D$5978,'Current Stock'!A1123)</f>
        <v>0</v>
      </c>
      <c r="I1123" s="11">
        <f>SUMIFS(PENJUALAN!$E$4:$E$3651,PENJUALAN!$C$4:$C$3651,'Current Stock'!A1123)</f>
        <v>0</v>
      </c>
      <c r="J1123" s="15">
        <f t="shared" si="2"/>
        <v>0</v>
      </c>
      <c r="K1123" s="11"/>
      <c r="L1123" s="11"/>
      <c r="M1123" s="11"/>
      <c r="N1123" s="11"/>
      <c r="O1123" s="17"/>
      <c r="P1123" s="17"/>
    </row>
    <row r="1124" ht="13.5" customHeight="1">
      <c r="A1124" s="11" t="str">
        <f t="shared" si="1"/>
        <v>TRW-WRANGLER96XYG</v>
      </c>
      <c r="B1124" s="32" t="s">
        <v>1480</v>
      </c>
      <c r="C1124" s="33" t="s">
        <v>1481</v>
      </c>
      <c r="D1124" s="33" t="s">
        <v>62</v>
      </c>
      <c r="E1124" s="11" t="s">
        <v>16</v>
      </c>
      <c r="F1124" s="33"/>
      <c r="G1124" s="11"/>
      <c r="H1124" s="11">
        <f>SUMIFS(X!$F$3:$F$5978,X!$D$3:$D$5978,'Current Stock'!A1124)</f>
        <v>0</v>
      </c>
      <c r="I1124" s="11">
        <f>SUMIFS(PENJUALAN!$E$4:$E$3651,PENJUALAN!$C$4:$C$3651,'Current Stock'!A1124)</f>
        <v>0</v>
      </c>
      <c r="J1124" s="15">
        <f t="shared" si="2"/>
        <v>0</v>
      </c>
      <c r="K1124" s="11"/>
      <c r="L1124" s="11"/>
      <c r="M1124" s="11"/>
      <c r="N1124" s="11"/>
      <c r="O1124" s="17"/>
      <c r="P1124" s="17"/>
    </row>
    <row r="1125" ht="13.5" customHeight="1">
      <c r="A1125" s="11" t="str">
        <f t="shared" si="1"/>
        <v>LFW-RUBICON07XYG</v>
      </c>
      <c r="B1125" s="32" t="s">
        <v>588</v>
      </c>
      <c r="C1125" s="33" t="s">
        <v>589</v>
      </c>
      <c r="D1125" s="33" t="s">
        <v>60</v>
      </c>
      <c r="E1125" s="11" t="s">
        <v>16</v>
      </c>
      <c r="F1125" s="33" t="s">
        <v>137</v>
      </c>
      <c r="G1125" s="11"/>
      <c r="H1125" s="11">
        <f>SUMIFS(X!$F$3:$F$5978,X!$D$3:$D$5978,'Current Stock'!A1125)</f>
        <v>0</v>
      </c>
      <c r="I1125" s="11">
        <f>SUMIFS(PENJUALAN!$E$4:$E$3651,PENJUALAN!$C$4:$C$3651,'Current Stock'!A1125)</f>
        <v>0</v>
      </c>
      <c r="J1125" s="15">
        <f t="shared" si="2"/>
        <v>0</v>
      </c>
      <c r="K1125" s="11"/>
      <c r="L1125" s="11"/>
      <c r="M1125" s="11"/>
      <c r="N1125" s="11"/>
      <c r="O1125" s="17"/>
      <c r="P1125" s="17"/>
    </row>
    <row r="1126" ht="13.5" customHeight="1">
      <c r="A1126" s="11" t="str">
        <f t="shared" si="1"/>
        <v>TRW-RUBICON07XYG</v>
      </c>
      <c r="B1126" s="32" t="s">
        <v>1482</v>
      </c>
      <c r="C1126" s="35" t="s">
        <v>1483</v>
      </c>
      <c r="D1126" s="35" t="s">
        <v>62</v>
      </c>
      <c r="E1126" s="11" t="s">
        <v>16</v>
      </c>
      <c r="F1126" s="42" t="s">
        <v>234</v>
      </c>
      <c r="G1126" s="11"/>
      <c r="H1126" s="11">
        <f>SUMIFS(X!$F$3:$F$5978,X!$D$3:$D$5978,'Current Stock'!A1126)</f>
        <v>0</v>
      </c>
      <c r="I1126" s="11">
        <f>SUMIFS(PENJUALAN!$E$4:$E$3651,PENJUALAN!$C$4:$C$3651,'Current Stock'!A1126)</f>
        <v>0</v>
      </c>
      <c r="J1126" s="15">
        <f t="shared" si="2"/>
        <v>0</v>
      </c>
      <c r="K1126" s="11"/>
      <c r="L1126" s="11"/>
      <c r="M1126" s="11"/>
      <c r="N1126" s="11"/>
      <c r="O1126" s="17"/>
      <c r="P1126" s="17"/>
    </row>
    <row r="1127" ht="13.5" customHeight="1">
      <c r="A1127" s="11" t="str">
        <f t="shared" si="1"/>
        <v>TRW-RUBICON11XYG</v>
      </c>
      <c r="B1127" s="32" t="s">
        <v>1484</v>
      </c>
      <c r="C1127" s="35" t="s">
        <v>1485</v>
      </c>
      <c r="D1127" s="35" t="s">
        <v>62</v>
      </c>
      <c r="E1127" s="11" t="s">
        <v>16</v>
      </c>
      <c r="F1127" s="42" t="s">
        <v>1486</v>
      </c>
      <c r="G1127" s="11"/>
      <c r="H1127" s="11">
        <f>SUMIFS(X!$F$3:$F$5978,X!$D$3:$D$5978,'Current Stock'!A1127)</f>
        <v>0</v>
      </c>
      <c r="I1127" s="11">
        <f>SUMIFS(PENJUALAN!$E$4:$E$3651,PENJUALAN!$C$4:$C$3651,'Current Stock'!A1127)</f>
        <v>0</v>
      </c>
      <c r="J1127" s="15">
        <f t="shared" si="2"/>
        <v>0</v>
      </c>
      <c r="K1127" s="11"/>
      <c r="L1127" s="11"/>
      <c r="M1127" s="11"/>
      <c r="N1127" s="11"/>
      <c r="O1127" s="17"/>
      <c r="P1127" s="17"/>
    </row>
    <row r="1128" ht="13.5" customHeight="1">
      <c r="A1128" s="11" t="str">
        <f t="shared" si="1"/>
        <v>LFW-RUBICON18XYG</v>
      </c>
      <c r="B1128" s="32" t="s">
        <v>1487</v>
      </c>
      <c r="C1128" s="35" t="s">
        <v>1488</v>
      </c>
      <c r="D1128" s="35" t="s">
        <v>60</v>
      </c>
      <c r="E1128" s="11" t="s">
        <v>16</v>
      </c>
      <c r="F1128" s="65" t="s">
        <v>109</v>
      </c>
      <c r="G1128" s="11"/>
      <c r="H1128" s="11">
        <f>SUMIFS(X!$F$3:$F$5978,X!$D$3:$D$5978,'Current Stock'!A1128)</f>
        <v>0</v>
      </c>
      <c r="I1128" s="11">
        <f>SUMIFS(PENJUALAN!$E$4:$E$3651,PENJUALAN!$C$4:$C$3651,'Current Stock'!A1128)</f>
        <v>0</v>
      </c>
      <c r="J1128" s="15">
        <f t="shared" si="2"/>
        <v>0</v>
      </c>
      <c r="K1128" s="13"/>
      <c r="L1128" s="13"/>
      <c r="M1128" s="11"/>
      <c r="N1128" s="11"/>
      <c r="O1128" s="17"/>
      <c r="P1128" s="17"/>
    </row>
    <row r="1129" ht="13.5" customHeight="1">
      <c r="A1129" s="11" t="str">
        <f t="shared" si="1"/>
        <v>TRW-RUBICON18BLACKXYG</v>
      </c>
      <c r="B1129" s="32" t="s">
        <v>1489</v>
      </c>
      <c r="C1129" s="35" t="s">
        <v>1490</v>
      </c>
      <c r="D1129" s="35" t="s">
        <v>62</v>
      </c>
      <c r="E1129" s="11" t="s">
        <v>16</v>
      </c>
      <c r="F1129" s="42" t="s">
        <v>83</v>
      </c>
      <c r="G1129" s="11"/>
      <c r="H1129" s="11">
        <f>SUMIFS(X!$F$3:$F$5978,X!$D$3:$D$5978,'Current Stock'!A1129)</f>
        <v>0</v>
      </c>
      <c r="I1129" s="11">
        <f>SUMIFS(PENJUALAN!$E$4:$E$3651,PENJUALAN!$C$4:$C$3651,'Current Stock'!A1129)</f>
        <v>0</v>
      </c>
      <c r="J1129" s="15">
        <f t="shared" si="2"/>
        <v>0</v>
      </c>
      <c r="K1129" s="11"/>
      <c r="L1129" s="11"/>
      <c r="M1129" s="11"/>
      <c r="N1129" s="11"/>
      <c r="O1129" s="17"/>
      <c r="P1129" s="17"/>
    </row>
    <row r="1130" ht="13.5" customHeight="1">
      <c r="A1130" s="11" t="str">
        <f t="shared" si="1"/>
        <v>TRW-CAREN99XYG</v>
      </c>
      <c r="B1130" s="32" t="s">
        <v>590</v>
      </c>
      <c r="C1130" s="33" t="s">
        <v>591</v>
      </c>
      <c r="D1130" s="33" t="s">
        <v>62</v>
      </c>
      <c r="E1130" s="11" t="s">
        <v>16</v>
      </c>
      <c r="F1130" s="33" t="s">
        <v>83</v>
      </c>
      <c r="G1130" s="11"/>
      <c r="H1130" s="11">
        <f>SUMIFS(X!$F$3:$F$5978,X!$D$3:$D$5978,'Current Stock'!A1130)</f>
        <v>0</v>
      </c>
      <c r="I1130" s="11">
        <f>SUMIFS(PENJUALAN!$E$4:$E$3651,PENJUALAN!$C$4:$C$3651,'Current Stock'!A1130)</f>
        <v>0</v>
      </c>
      <c r="J1130" s="15">
        <f t="shared" si="2"/>
        <v>0</v>
      </c>
      <c r="K1130" s="11"/>
      <c r="L1130" s="11"/>
      <c r="M1130" s="11"/>
      <c r="N1130" s="11"/>
      <c r="O1130" s="17"/>
      <c r="P1130" s="17"/>
    </row>
    <row r="1131" ht="13.5" customHeight="1">
      <c r="A1131" s="11" t="str">
        <f t="shared" si="1"/>
        <v>LFW-CAREN99XYG</v>
      </c>
      <c r="B1131" s="32" t="s">
        <v>592</v>
      </c>
      <c r="C1131" s="33" t="s">
        <v>593</v>
      </c>
      <c r="D1131" s="33" t="s">
        <v>60</v>
      </c>
      <c r="E1131" s="11" t="s">
        <v>16</v>
      </c>
      <c r="F1131" s="33" t="s">
        <v>137</v>
      </c>
      <c r="G1131" s="11"/>
      <c r="H1131" s="11">
        <f>SUMIFS(X!$F$3:$F$5978,X!$D$3:$D$5978,'Current Stock'!A1131)</f>
        <v>0</v>
      </c>
      <c r="I1131" s="11">
        <f>SUMIFS(PENJUALAN!$E$4:$E$3651,PENJUALAN!$C$4:$C$3651,'Current Stock'!A1131)</f>
        <v>0</v>
      </c>
      <c r="J1131" s="15">
        <f t="shared" si="2"/>
        <v>0</v>
      </c>
      <c r="K1131" s="11"/>
      <c r="L1131" s="11"/>
      <c r="M1131" s="11"/>
      <c r="N1131" s="11"/>
      <c r="O1131" s="17"/>
      <c r="P1131" s="17"/>
    </row>
    <row r="1132" ht="13.5" customHeight="1">
      <c r="A1132" s="11" t="str">
        <f t="shared" si="1"/>
        <v>LFW-CAREN13XYG</v>
      </c>
      <c r="B1132" s="36" t="s">
        <v>1491</v>
      </c>
      <c r="C1132" s="31" t="s">
        <v>597</v>
      </c>
      <c r="D1132" s="31" t="s">
        <v>60</v>
      </c>
      <c r="E1132" s="13" t="s">
        <v>16</v>
      </c>
      <c r="F1132" s="31" t="s">
        <v>109</v>
      </c>
      <c r="G1132" s="11"/>
      <c r="H1132" s="11">
        <f>SUMIFS(X!$F$3:$F$5978,X!$D$3:$D$5978,'Current Stock'!A1132)</f>
        <v>1</v>
      </c>
      <c r="I1132" s="11">
        <f>SUMIFS(PENJUALAN!$E$4:$E$3651,PENJUALAN!$C$4:$C$3651,'Current Stock'!A1132)</f>
        <v>1</v>
      </c>
      <c r="J1132" s="15">
        <f t="shared" si="2"/>
        <v>0</v>
      </c>
      <c r="K1132" s="11"/>
      <c r="L1132" s="11"/>
      <c r="M1132" s="11"/>
      <c r="N1132" s="11"/>
      <c r="O1132" s="17"/>
      <c r="P1132" s="17"/>
    </row>
    <row r="1133" ht="13.5" customHeight="1">
      <c r="A1133" s="11" t="str">
        <f t="shared" si="1"/>
        <v>LFW-CARNIVAL15XYG</v>
      </c>
      <c r="B1133" s="32" t="s">
        <v>1492</v>
      </c>
      <c r="C1133" s="33" t="s">
        <v>1493</v>
      </c>
      <c r="D1133" s="35" t="s">
        <v>60</v>
      </c>
      <c r="E1133" s="11" t="s">
        <v>16</v>
      </c>
      <c r="F1133" s="33" t="s">
        <v>745</v>
      </c>
      <c r="G1133" s="11"/>
      <c r="H1133" s="11">
        <f>SUMIFS(X!$F$3:$F$5978,X!$D$3:$D$5978,'Current Stock'!A1133)</f>
        <v>0</v>
      </c>
      <c r="I1133" s="11">
        <f>SUMIFS(PENJUALAN!$E$4:$E$3651,PENJUALAN!$C$4:$C$3651,'Current Stock'!A1133)</f>
        <v>0</v>
      </c>
      <c r="J1133" s="15">
        <f t="shared" si="2"/>
        <v>0</v>
      </c>
      <c r="K1133" s="11"/>
      <c r="L1133" s="11"/>
      <c r="M1133" s="11"/>
      <c r="N1133" s="11"/>
      <c r="O1133" s="17"/>
      <c r="P1133" s="17"/>
    </row>
    <row r="1134" ht="13.5" customHeight="1">
      <c r="A1134" s="11" t="str">
        <f t="shared" si="1"/>
        <v>TRW-CARNIVAL15XYG</v>
      </c>
      <c r="B1134" s="32" t="s">
        <v>1494</v>
      </c>
      <c r="C1134" s="33" t="s">
        <v>1493</v>
      </c>
      <c r="D1134" s="33" t="s">
        <v>62</v>
      </c>
      <c r="E1134" s="11" t="s">
        <v>16</v>
      </c>
      <c r="F1134" s="33" t="s">
        <v>228</v>
      </c>
      <c r="G1134" s="11"/>
      <c r="H1134" s="11">
        <f>SUMIFS(X!$F$3:$F$5978,X!$D$3:$D$5978,'Current Stock'!A1134)</f>
        <v>0</v>
      </c>
      <c r="I1134" s="11">
        <f>SUMIFS(PENJUALAN!$E$4:$E$3651,PENJUALAN!$C$4:$C$3651,'Current Stock'!A1134)</f>
        <v>0</v>
      </c>
      <c r="J1134" s="15">
        <f t="shared" si="2"/>
        <v>0</v>
      </c>
      <c r="K1134" s="11"/>
      <c r="L1134" s="11"/>
      <c r="M1134" s="11"/>
      <c r="N1134" s="11"/>
      <c r="O1134" s="17"/>
      <c r="P1134" s="17"/>
    </row>
    <row r="1135" ht="13.5" customHeight="1">
      <c r="A1135" s="11" t="str">
        <f t="shared" si="1"/>
        <v>LFW-CERATO09XYG</v>
      </c>
      <c r="B1135" s="32" t="s">
        <v>1495</v>
      </c>
      <c r="C1135" s="33" t="s">
        <v>1496</v>
      </c>
      <c r="D1135" s="33" t="s">
        <v>60</v>
      </c>
      <c r="E1135" s="11" t="s">
        <v>16</v>
      </c>
      <c r="F1135" s="33" t="s">
        <v>137</v>
      </c>
      <c r="G1135" s="11"/>
      <c r="H1135" s="11">
        <f>SUMIFS(X!$F$3:$F$5978,X!$D$3:$D$5978,'Current Stock'!A1135)</f>
        <v>0</v>
      </c>
      <c r="I1135" s="11">
        <f>SUMIFS(PENJUALAN!$E$4:$E$3651,PENJUALAN!$C$4:$C$3651,'Current Stock'!A1135)</f>
        <v>0</v>
      </c>
      <c r="J1135" s="15">
        <f t="shared" si="2"/>
        <v>0</v>
      </c>
      <c r="K1135" s="11"/>
      <c r="L1135" s="11"/>
      <c r="M1135" s="11"/>
      <c r="N1135" s="11"/>
      <c r="O1135" s="17"/>
      <c r="P1135" s="17"/>
    </row>
    <row r="1136" ht="13.5" customHeight="1">
      <c r="A1136" s="11" t="str">
        <f t="shared" si="1"/>
        <v>TRW-CERATO09XYG</v>
      </c>
      <c r="B1136" s="32" t="s">
        <v>1497</v>
      </c>
      <c r="C1136" s="33" t="s">
        <v>1496</v>
      </c>
      <c r="D1136" s="35" t="s">
        <v>62</v>
      </c>
      <c r="E1136" s="11" t="s">
        <v>16</v>
      </c>
      <c r="F1136" s="33" t="s">
        <v>83</v>
      </c>
      <c r="G1136" s="11"/>
      <c r="H1136" s="11">
        <f>SUMIFS(X!$F$3:$F$5978,X!$D$3:$D$5978,'Current Stock'!A1136)</f>
        <v>0</v>
      </c>
      <c r="I1136" s="11">
        <f>SUMIFS(PENJUALAN!$E$4:$E$3651,PENJUALAN!$C$4:$C$3651,'Current Stock'!A1136)</f>
        <v>0</v>
      </c>
      <c r="J1136" s="15">
        <f t="shared" si="2"/>
        <v>0</v>
      </c>
      <c r="K1136" s="11"/>
      <c r="L1136" s="11"/>
      <c r="M1136" s="11"/>
      <c r="N1136" s="11"/>
      <c r="O1136" s="17"/>
      <c r="P1136" s="17"/>
    </row>
    <row r="1137" ht="13.5" customHeight="1">
      <c r="A1137" s="11" t="str">
        <f t="shared" si="1"/>
        <v>LFW-PICANTO04HTMXYG</v>
      </c>
      <c r="B1137" s="32" t="s">
        <v>600</v>
      </c>
      <c r="C1137" s="33" t="s">
        <v>601</v>
      </c>
      <c r="D1137" s="33" t="s">
        <v>60</v>
      </c>
      <c r="E1137" s="11" t="s">
        <v>16</v>
      </c>
      <c r="F1137" s="33" t="s">
        <v>137</v>
      </c>
      <c r="G1137" s="11"/>
      <c r="H1137" s="11">
        <f>SUMIFS(X!$F$3:$F$5978,X!$D$3:$D$5978,'Current Stock'!A1137)</f>
        <v>1</v>
      </c>
      <c r="I1137" s="11">
        <f>SUMIFS(PENJUALAN!$E$4:$E$3651,PENJUALAN!$C$4:$C$3651,'Current Stock'!A1137)</f>
        <v>1</v>
      </c>
      <c r="J1137" s="15">
        <f t="shared" si="2"/>
        <v>0</v>
      </c>
      <c r="K1137" s="13"/>
      <c r="L1137" s="13"/>
      <c r="M1137" s="11"/>
      <c r="N1137" s="11"/>
      <c r="O1137" s="17"/>
      <c r="P1137" s="17"/>
    </row>
    <row r="1138" ht="13.5" customHeight="1">
      <c r="A1138" s="11" t="str">
        <f t="shared" si="1"/>
        <v>TRW-PICANTO04XYG</v>
      </c>
      <c r="B1138" s="32" t="s">
        <v>602</v>
      </c>
      <c r="C1138" s="33" t="s">
        <v>603</v>
      </c>
      <c r="D1138" s="33" t="s">
        <v>62</v>
      </c>
      <c r="E1138" s="11" t="s">
        <v>16</v>
      </c>
      <c r="F1138" s="33" t="s">
        <v>228</v>
      </c>
      <c r="G1138" s="11"/>
      <c r="H1138" s="11">
        <f>SUMIFS(X!$F$3:$F$5978,X!$D$3:$D$5978,'Current Stock'!A1138)</f>
        <v>0</v>
      </c>
      <c r="I1138" s="11">
        <f>SUMIFS(PENJUALAN!$E$4:$E$3651,PENJUALAN!$C$4:$C$3651,'Current Stock'!A1138)</f>
        <v>0</v>
      </c>
      <c r="J1138" s="15">
        <f t="shared" si="2"/>
        <v>0</v>
      </c>
      <c r="K1138" s="13" t="s">
        <v>120</v>
      </c>
      <c r="L1138" s="13"/>
      <c r="M1138" s="16">
        <v>1.0</v>
      </c>
      <c r="N1138" s="11"/>
      <c r="O1138" s="17"/>
      <c r="P1138" s="17"/>
    </row>
    <row r="1139" ht="13.5" customHeight="1">
      <c r="A1139" s="11" t="str">
        <f t="shared" si="1"/>
        <v>FDL-PICANTO04XYG</v>
      </c>
      <c r="B1139" s="32" t="s">
        <v>604</v>
      </c>
      <c r="C1139" s="33" t="s">
        <v>603</v>
      </c>
      <c r="D1139" s="33" t="s">
        <v>140</v>
      </c>
      <c r="E1139" s="11" t="s">
        <v>16</v>
      </c>
      <c r="F1139" s="33" t="s">
        <v>152</v>
      </c>
      <c r="G1139" s="11"/>
      <c r="H1139" s="11">
        <f>SUMIFS(X!$F$3:$F$5978,X!$D$3:$D$5978,'Current Stock'!A1139)</f>
        <v>0</v>
      </c>
      <c r="I1139" s="11">
        <f>SUMIFS(PENJUALAN!$E$4:$E$3651,PENJUALAN!$C$4:$C$3651,'Current Stock'!A1139)</f>
        <v>0</v>
      </c>
      <c r="J1139" s="15">
        <f t="shared" si="2"/>
        <v>0</v>
      </c>
      <c r="K1139" s="11"/>
      <c r="L1139" s="11"/>
      <c r="M1139" s="11"/>
      <c r="N1139" s="11"/>
      <c r="O1139" s="17"/>
      <c r="P1139" s="17"/>
    </row>
    <row r="1140" ht="13.5" customHeight="1">
      <c r="A1140" s="11" t="str">
        <f t="shared" si="1"/>
        <v>FDR-PICANTO04XYG</v>
      </c>
      <c r="B1140" s="32" t="s">
        <v>605</v>
      </c>
      <c r="C1140" s="33" t="s">
        <v>603</v>
      </c>
      <c r="D1140" s="33" t="s">
        <v>142</v>
      </c>
      <c r="E1140" s="11" t="s">
        <v>16</v>
      </c>
      <c r="F1140" s="33" t="s">
        <v>152</v>
      </c>
      <c r="G1140" s="14">
        <v>45988.0</v>
      </c>
      <c r="H1140" s="11">
        <f>SUMIFS(X!$F$3:$F$5978,X!$D$3:$D$5978,'Current Stock'!A1140)</f>
        <v>1</v>
      </c>
      <c r="I1140" s="11">
        <f>SUMIFS(PENJUALAN!$E$4:$E$3651,PENJUALAN!$C$4:$C$3651,'Current Stock'!A1140)</f>
        <v>1</v>
      </c>
      <c r="J1140" s="15">
        <f t="shared" si="2"/>
        <v>0</v>
      </c>
      <c r="K1140" s="13"/>
      <c r="L1140" s="13"/>
      <c r="M1140" s="11"/>
      <c r="N1140" s="11"/>
      <c r="O1140" s="17"/>
      <c r="P1140" s="17"/>
    </row>
    <row r="1141" ht="13.5" customHeight="1">
      <c r="A1141" s="11" t="str">
        <f t="shared" si="1"/>
        <v>LFW-PICANTO11XYG</v>
      </c>
      <c r="B1141" s="32" t="s">
        <v>608</v>
      </c>
      <c r="C1141" s="33" t="s">
        <v>609</v>
      </c>
      <c r="D1141" s="33" t="s">
        <v>60</v>
      </c>
      <c r="E1141" s="11" t="s">
        <v>16</v>
      </c>
      <c r="F1141" s="33" t="s">
        <v>137</v>
      </c>
      <c r="G1141" s="11"/>
      <c r="H1141" s="11">
        <f>SUMIFS(X!$F$3:$F$5978,X!$D$3:$D$5978,'Current Stock'!A1141)</f>
        <v>13</v>
      </c>
      <c r="I1141" s="11">
        <f>SUMIFS(PENJUALAN!$E$4:$E$3651,PENJUALAN!$C$4:$C$3651,'Current Stock'!A1141)</f>
        <v>12</v>
      </c>
      <c r="J1141" s="15">
        <f t="shared" si="2"/>
        <v>1</v>
      </c>
      <c r="K1141" s="13"/>
      <c r="L1141" s="13"/>
      <c r="M1141" s="11"/>
      <c r="N1141" s="11"/>
      <c r="O1141" s="17"/>
      <c r="P1141" s="17"/>
    </row>
    <row r="1142" ht="13.5" customHeight="1">
      <c r="A1142" s="11" t="str">
        <f t="shared" si="1"/>
        <v>TRW-PICANTO11XYG</v>
      </c>
      <c r="B1142" s="32" t="s">
        <v>610</v>
      </c>
      <c r="C1142" s="33" t="s">
        <v>609</v>
      </c>
      <c r="D1142" s="33" t="s">
        <v>62</v>
      </c>
      <c r="E1142" s="11" t="s">
        <v>16</v>
      </c>
      <c r="F1142" s="33" t="s">
        <v>228</v>
      </c>
      <c r="G1142" s="34"/>
      <c r="H1142" s="11">
        <f>SUMIFS(X!$F$3:$F$5978,X!$D$3:$D$5978,'Current Stock'!A1142)</f>
        <v>1</v>
      </c>
      <c r="I1142" s="11">
        <f>SUMIFS(PENJUALAN!$E$4:$E$3651,PENJUALAN!$C$4:$C$3651,'Current Stock'!A1142)</f>
        <v>0</v>
      </c>
      <c r="J1142" s="15">
        <f t="shared" si="2"/>
        <v>1</v>
      </c>
      <c r="K1142" s="13" t="s">
        <v>120</v>
      </c>
      <c r="L1142" s="13"/>
      <c r="M1142" s="11"/>
      <c r="N1142" s="11"/>
      <c r="O1142" s="17"/>
      <c r="P1142" s="17"/>
    </row>
    <row r="1143" ht="13.5" customHeight="1">
      <c r="A1143" s="11" t="str">
        <f t="shared" si="1"/>
        <v>FDL-PICANTO11XYG</v>
      </c>
      <c r="B1143" s="32" t="s">
        <v>611</v>
      </c>
      <c r="C1143" s="33" t="s">
        <v>609</v>
      </c>
      <c r="D1143" s="33" t="s">
        <v>140</v>
      </c>
      <c r="E1143" s="11" t="s">
        <v>16</v>
      </c>
      <c r="F1143" s="33" t="s">
        <v>406</v>
      </c>
      <c r="G1143" s="11"/>
      <c r="H1143" s="11">
        <f>SUMIFS(X!$F$3:$F$5978,X!$D$3:$D$5978,'Current Stock'!A1143)</f>
        <v>0</v>
      </c>
      <c r="I1143" s="11">
        <f>SUMIFS(PENJUALAN!$E$4:$E$3651,PENJUALAN!$C$4:$C$3651,'Current Stock'!A1143)</f>
        <v>0</v>
      </c>
      <c r="J1143" s="15">
        <f t="shared" si="2"/>
        <v>0</v>
      </c>
      <c r="K1143" s="11"/>
      <c r="L1143" s="11"/>
      <c r="M1143" s="11"/>
      <c r="N1143" s="11"/>
      <c r="O1143" s="17"/>
      <c r="P1143" s="17"/>
    </row>
    <row r="1144" ht="13.5" customHeight="1">
      <c r="A1144" s="11" t="str">
        <f t="shared" si="1"/>
        <v>FDR-PICANTO11XYG</v>
      </c>
      <c r="B1144" s="32" t="s">
        <v>612</v>
      </c>
      <c r="C1144" s="33" t="s">
        <v>609</v>
      </c>
      <c r="D1144" s="33" t="s">
        <v>142</v>
      </c>
      <c r="E1144" s="11" t="s">
        <v>16</v>
      </c>
      <c r="F1144" s="33" t="s">
        <v>406</v>
      </c>
      <c r="G1144" s="11"/>
      <c r="H1144" s="11">
        <f>SUMIFS(X!$F$3:$F$5978,X!$D$3:$D$5978,'Current Stock'!A1144)</f>
        <v>0</v>
      </c>
      <c r="I1144" s="11">
        <f>SUMIFS(PENJUALAN!$E$4:$E$3651,PENJUALAN!$C$4:$C$3651,'Current Stock'!A1144)</f>
        <v>0</v>
      </c>
      <c r="J1144" s="15">
        <f t="shared" si="2"/>
        <v>0</v>
      </c>
      <c r="K1144" s="11"/>
      <c r="L1144" s="11"/>
      <c r="M1144" s="11"/>
      <c r="N1144" s="11"/>
      <c r="O1144" s="17"/>
      <c r="P1144" s="17"/>
    </row>
    <row r="1145" ht="13.5" customHeight="1">
      <c r="A1145" s="11" t="str">
        <f t="shared" si="1"/>
        <v>TRW-PREGIOXYG</v>
      </c>
      <c r="B1145" s="32" t="s">
        <v>618</v>
      </c>
      <c r="C1145" s="33" t="s">
        <v>619</v>
      </c>
      <c r="D1145" s="33" t="s">
        <v>62</v>
      </c>
      <c r="E1145" s="11" t="s">
        <v>16</v>
      </c>
      <c r="F1145" s="33" t="s">
        <v>83</v>
      </c>
      <c r="G1145" s="11"/>
      <c r="H1145" s="11">
        <f>SUMIFS(X!$F$3:$F$5978,X!$D$3:$D$5978,'Current Stock'!A1145)</f>
        <v>0</v>
      </c>
      <c r="I1145" s="11">
        <f>SUMIFS(PENJUALAN!$E$4:$E$3651,PENJUALAN!$C$4:$C$3651,'Current Stock'!A1145)</f>
        <v>0</v>
      </c>
      <c r="J1145" s="15">
        <f t="shared" si="2"/>
        <v>0</v>
      </c>
      <c r="K1145" s="11"/>
      <c r="L1145" s="11"/>
      <c r="M1145" s="11"/>
      <c r="N1145" s="11"/>
      <c r="O1145" s="17"/>
      <c r="P1145" s="17"/>
    </row>
    <row r="1146" ht="13.5" customHeight="1">
      <c r="A1146" s="11" t="str">
        <f t="shared" si="1"/>
        <v>LFW-RIO05XYG</v>
      </c>
      <c r="B1146" s="32" t="s">
        <v>624</v>
      </c>
      <c r="C1146" s="33" t="s">
        <v>625</v>
      </c>
      <c r="D1146" s="33" t="s">
        <v>60</v>
      </c>
      <c r="E1146" s="11" t="s">
        <v>16</v>
      </c>
      <c r="F1146" s="33" t="s">
        <v>137</v>
      </c>
      <c r="G1146" s="11"/>
      <c r="H1146" s="11">
        <f>SUMIFS(X!$F$3:$F$5978,X!$D$3:$D$5978,'Current Stock'!A1146)</f>
        <v>0</v>
      </c>
      <c r="I1146" s="11">
        <f>SUMIFS(PENJUALAN!$E$4:$E$3651,PENJUALAN!$C$4:$C$3651,'Current Stock'!A1146)</f>
        <v>0</v>
      </c>
      <c r="J1146" s="15">
        <f t="shared" si="2"/>
        <v>0</v>
      </c>
      <c r="K1146" s="11"/>
      <c r="L1146" s="11"/>
      <c r="M1146" s="11"/>
      <c r="N1146" s="11"/>
      <c r="O1146" s="17"/>
      <c r="P1146" s="17"/>
    </row>
    <row r="1147" ht="13.5" customHeight="1">
      <c r="A1147" s="11" t="str">
        <f t="shared" si="1"/>
        <v>TRW-RIO05XYG</v>
      </c>
      <c r="B1147" s="32" t="s">
        <v>626</v>
      </c>
      <c r="C1147" s="33" t="s">
        <v>627</v>
      </c>
      <c r="D1147" s="33" t="s">
        <v>62</v>
      </c>
      <c r="E1147" s="11" t="s">
        <v>16</v>
      </c>
      <c r="F1147" s="33" t="s">
        <v>228</v>
      </c>
      <c r="G1147" s="11"/>
      <c r="H1147" s="11">
        <f>SUMIFS(X!$F$3:$F$5978,X!$D$3:$D$5978,'Current Stock'!A1147)</f>
        <v>0</v>
      </c>
      <c r="I1147" s="11">
        <f>SUMIFS(PENJUALAN!$E$4:$E$3651,PENJUALAN!$C$4:$C$3651,'Current Stock'!A1147)</f>
        <v>0</v>
      </c>
      <c r="J1147" s="15">
        <f t="shared" si="2"/>
        <v>0</v>
      </c>
      <c r="K1147" s="11"/>
      <c r="L1147" s="11"/>
      <c r="M1147" s="11"/>
      <c r="N1147" s="11"/>
      <c r="O1147" s="17"/>
      <c r="P1147" s="17"/>
    </row>
    <row r="1148" ht="13.5" customHeight="1">
      <c r="A1148" s="11" t="str">
        <f t="shared" si="1"/>
        <v>LFW-RIO11XYG</v>
      </c>
      <c r="B1148" s="32" t="s">
        <v>628</v>
      </c>
      <c r="C1148" s="33" t="s">
        <v>629</v>
      </c>
      <c r="D1148" s="33" t="s">
        <v>60</v>
      </c>
      <c r="E1148" s="11" t="s">
        <v>16</v>
      </c>
      <c r="F1148" s="33" t="s">
        <v>137</v>
      </c>
      <c r="G1148" s="11"/>
      <c r="H1148" s="11">
        <f>SUMIFS(X!$F$3:$F$5978,X!$D$3:$D$5978,'Current Stock'!A1148)</f>
        <v>0</v>
      </c>
      <c r="I1148" s="11">
        <f>SUMIFS(PENJUALAN!$E$4:$E$3651,PENJUALAN!$C$4:$C$3651,'Current Stock'!A1148)</f>
        <v>0</v>
      </c>
      <c r="J1148" s="15">
        <f t="shared" si="2"/>
        <v>0</v>
      </c>
      <c r="K1148" s="11"/>
      <c r="L1148" s="11"/>
      <c r="M1148" s="11"/>
      <c r="N1148" s="11"/>
      <c r="O1148" s="17"/>
      <c r="P1148" s="17"/>
    </row>
    <row r="1149" ht="13.5" customHeight="1">
      <c r="A1149" s="11" t="str">
        <f t="shared" si="1"/>
        <v>TRW-RIO11XYG</v>
      </c>
      <c r="B1149" s="32" t="s">
        <v>630</v>
      </c>
      <c r="C1149" s="33" t="s">
        <v>629</v>
      </c>
      <c r="D1149" s="33" t="s">
        <v>62</v>
      </c>
      <c r="E1149" s="11" t="s">
        <v>16</v>
      </c>
      <c r="F1149" s="33" t="s">
        <v>228</v>
      </c>
      <c r="G1149" s="11"/>
      <c r="H1149" s="11">
        <f>SUMIFS(X!$F$3:$F$5978,X!$D$3:$D$5978,'Current Stock'!A1149)</f>
        <v>0</v>
      </c>
      <c r="I1149" s="11">
        <f>SUMIFS(PENJUALAN!$E$4:$E$3651,PENJUALAN!$C$4:$C$3651,'Current Stock'!A1149)</f>
        <v>0</v>
      </c>
      <c r="J1149" s="15">
        <f t="shared" si="2"/>
        <v>0</v>
      </c>
      <c r="K1149" s="11"/>
      <c r="L1149" s="11"/>
      <c r="M1149" s="11"/>
      <c r="N1149" s="11"/>
      <c r="O1149" s="17"/>
      <c r="P1149" s="17"/>
    </row>
    <row r="1150" ht="13.5" customHeight="1">
      <c r="A1150" s="11" t="str">
        <f t="shared" si="1"/>
        <v>FDL-RIO11XYG</v>
      </c>
      <c r="B1150" s="32" t="s">
        <v>631</v>
      </c>
      <c r="C1150" s="33" t="s">
        <v>629</v>
      </c>
      <c r="D1150" s="33" t="s">
        <v>140</v>
      </c>
      <c r="E1150" s="11" t="s">
        <v>16</v>
      </c>
      <c r="F1150" s="33"/>
      <c r="G1150" s="11"/>
      <c r="H1150" s="11">
        <f>SUMIFS(X!$F$3:$F$5978,X!$D$3:$D$5978,'Current Stock'!A1150)</f>
        <v>0</v>
      </c>
      <c r="I1150" s="11">
        <f>SUMIFS(PENJUALAN!$E$4:$E$3651,PENJUALAN!$C$4:$C$3651,'Current Stock'!A1150)</f>
        <v>0</v>
      </c>
      <c r="J1150" s="15">
        <f t="shared" si="2"/>
        <v>0</v>
      </c>
      <c r="K1150" s="11"/>
      <c r="L1150" s="11"/>
      <c r="M1150" s="11"/>
      <c r="N1150" s="11"/>
      <c r="O1150" s="17"/>
      <c r="P1150" s="17"/>
    </row>
    <row r="1151" ht="13.5" customHeight="1">
      <c r="A1151" s="11" t="str">
        <f t="shared" si="1"/>
        <v>FDR-RIO11XYG</v>
      </c>
      <c r="B1151" s="32" t="s">
        <v>632</v>
      </c>
      <c r="C1151" s="33" t="s">
        <v>629</v>
      </c>
      <c r="D1151" s="33" t="s">
        <v>142</v>
      </c>
      <c r="E1151" s="11" t="s">
        <v>16</v>
      </c>
      <c r="F1151" s="33"/>
      <c r="G1151" s="11"/>
      <c r="H1151" s="11">
        <f>SUMIFS(X!$F$3:$F$5978,X!$D$3:$D$5978,'Current Stock'!A1151)</f>
        <v>0</v>
      </c>
      <c r="I1151" s="11">
        <f>SUMIFS(PENJUALAN!$E$4:$E$3651,PENJUALAN!$C$4:$C$3651,'Current Stock'!A1151)</f>
        <v>0</v>
      </c>
      <c r="J1151" s="15">
        <f t="shared" si="2"/>
        <v>0</v>
      </c>
      <c r="K1151" s="11"/>
      <c r="L1151" s="11"/>
      <c r="M1151" s="11"/>
      <c r="N1151" s="11"/>
      <c r="O1151" s="17"/>
      <c r="P1151" s="17"/>
    </row>
    <row r="1152" ht="13.5" customHeight="1">
      <c r="A1152" s="11" t="str">
        <f t="shared" si="1"/>
        <v>LFW-RIO17XYG</v>
      </c>
      <c r="B1152" s="32" t="s">
        <v>1498</v>
      </c>
      <c r="C1152" s="33" t="s">
        <v>1499</v>
      </c>
      <c r="D1152" s="33" t="s">
        <v>60</v>
      </c>
      <c r="E1152" s="11" t="s">
        <v>16</v>
      </c>
      <c r="F1152" s="33" t="s">
        <v>745</v>
      </c>
      <c r="G1152" s="11"/>
      <c r="H1152" s="11">
        <f>SUMIFS(X!$F$3:$F$5978,X!$D$3:$D$5978,'Current Stock'!A1152)</f>
        <v>0</v>
      </c>
      <c r="I1152" s="11">
        <f>SUMIFS(PENJUALAN!$E$4:$E$3651,PENJUALAN!$C$4:$C$3651,'Current Stock'!A1152)</f>
        <v>0</v>
      </c>
      <c r="J1152" s="15">
        <f t="shared" si="2"/>
        <v>0</v>
      </c>
      <c r="K1152" s="11"/>
      <c r="L1152" s="11"/>
      <c r="M1152" s="11"/>
      <c r="N1152" s="11"/>
      <c r="O1152" s="17"/>
      <c r="P1152" s="17"/>
    </row>
    <row r="1153" ht="13.5" customHeight="1">
      <c r="A1153" s="11" t="str">
        <f t="shared" si="1"/>
        <v>TRW-RIO17XYG</v>
      </c>
      <c r="B1153" s="32" t="s">
        <v>1500</v>
      </c>
      <c r="C1153" s="33" t="s">
        <v>1499</v>
      </c>
      <c r="D1153" s="35" t="s">
        <v>62</v>
      </c>
      <c r="E1153" s="11" t="s">
        <v>16</v>
      </c>
      <c r="F1153" s="33" t="s">
        <v>83</v>
      </c>
      <c r="G1153" s="14">
        <v>45988.0</v>
      </c>
      <c r="H1153" s="11">
        <f>SUMIFS(X!$F$3:$F$5978,X!$D$3:$D$5978,'Current Stock'!A1153)</f>
        <v>0</v>
      </c>
      <c r="I1153" s="11">
        <f>SUMIFS(PENJUALAN!$E$4:$E$3651,PENJUALAN!$C$4:$C$3651,'Current Stock'!A1153)</f>
        <v>0</v>
      </c>
      <c r="J1153" s="15">
        <f t="shared" si="2"/>
        <v>0</v>
      </c>
      <c r="K1153" s="11"/>
      <c r="L1153" s="11"/>
      <c r="M1153" s="11"/>
      <c r="N1153" s="11"/>
      <c r="O1153" s="17"/>
      <c r="P1153" s="17"/>
    </row>
    <row r="1154" ht="13.5" customHeight="1">
      <c r="A1154" s="11" t="str">
        <f t="shared" si="1"/>
        <v>LFW-SEDONA98XYG</v>
      </c>
      <c r="B1154" s="32" t="s">
        <v>635</v>
      </c>
      <c r="C1154" s="33" t="s">
        <v>636</v>
      </c>
      <c r="D1154" s="33" t="s">
        <v>60</v>
      </c>
      <c r="E1154" s="11" t="s">
        <v>16</v>
      </c>
      <c r="F1154" s="33" t="s">
        <v>137</v>
      </c>
      <c r="G1154" s="11"/>
      <c r="H1154" s="11">
        <f>SUMIFS(X!$F$3:$F$5978,X!$D$3:$D$5978,'Current Stock'!A1154)</f>
        <v>0</v>
      </c>
      <c r="I1154" s="11">
        <f>SUMIFS(PENJUALAN!$E$4:$E$3651,PENJUALAN!$C$4:$C$3651,'Current Stock'!A1154)</f>
        <v>0</v>
      </c>
      <c r="J1154" s="15">
        <f t="shared" si="2"/>
        <v>0</v>
      </c>
      <c r="K1154" s="11"/>
      <c r="L1154" s="11"/>
      <c r="M1154" s="11"/>
      <c r="N1154" s="11"/>
      <c r="O1154" s="17"/>
      <c r="P1154" s="17"/>
    </row>
    <row r="1155" ht="13.5" customHeight="1">
      <c r="A1155" s="11" t="str">
        <f t="shared" si="1"/>
        <v>LFW-CX5GEN1RSXYG</v>
      </c>
      <c r="B1155" s="32" t="s">
        <v>746</v>
      </c>
      <c r="C1155" s="31" t="s">
        <v>1501</v>
      </c>
      <c r="D1155" s="31" t="s">
        <v>60</v>
      </c>
      <c r="E1155" s="13" t="s">
        <v>16</v>
      </c>
      <c r="F1155" s="33" t="s">
        <v>745</v>
      </c>
      <c r="G1155" s="34"/>
      <c r="H1155" s="11">
        <f>SUMIFS(X!$F$3:$F$5978,X!$D$3:$D$5978,'Current Stock'!A1155)</f>
        <v>11</v>
      </c>
      <c r="I1155" s="11">
        <f>SUMIFS(PENJUALAN!$E$4:$E$3651,PENJUALAN!$C$4:$C$3651,'Current Stock'!A1155)</f>
        <v>11</v>
      </c>
      <c r="J1155" s="15">
        <f t="shared" si="2"/>
        <v>0</v>
      </c>
      <c r="K1155" s="13"/>
      <c r="L1155" s="13"/>
      <c r="M1155" s="16"/>
      <c r="N1155" s="11"/>
      <c r="O1155" s="17"/>
      <c r="P1155" s="17"/>
    </row>
    <row r="1156" ht="13.5" customHeight="1">
      <c r="A1156" s="11" t="str">
        <f t="shared" si="1"/>
        <v>TRW-SONETXYG</v>
      </c>
      <c r="B1156" s="32" t="s">
        <v>1502</v>
      </c>
      <c r="C1156" s="33" t="s">
        <v>1449</v>
      </c>
      <c r="D1156" s="33" t="s">
        <v>62</v>
      </c>
      <c r="E1156" s="11" t="s">
        <v>16</v>
      </c>
      <c r="F1156" s="33" t="s">
        <v>228</v>
      </c>
      <c r="G1156" s="11"/>
      <c r="H1156" s="11">
        <f>SUMIFS(X!$F$3:$F$5978,X!$D$3:$D$5978,'Current Stock'!A1156)</f>
        <v>0</v>
      </c>
      <c r="I1156" s="11">
        <f>SUMIFS(PENJUALAN!$E$4:$E$3651,PENJUALAN!$C$4:$C$3651,'Current Stock'!A1156)</f>
        <v>0</v>
      </c>
      <c r="J1156" s="15">
        <f t="shared" si="2"/>
        <v>0</v>
      </c>
      <c r="K1156" s="11"/>
      <c r="L1156" s="11"/>
      <c r="M1156" s="11"/>
      <c r="N1156" s="11"/>
      <c r="O1156" s="17"/>
      <c r="P1156" s="17"/>
    </row>
    <row r="1157" ht="13.5" customHeight="1">
      <c r="A1157" s="11" t="str">
        <f t="shared" si="1"/>
        <v>LFW-SORENTOXYG</v>
      </c>
      <c r="B1157" s="32" t="s">
        <v>639</v>
      </c>
      <c r="C1157" s="33" t="s">
        <v>640</v>
      </c>
      <c r="D1157" s="33" t="s">
        <v>60</v>
      </c>
      <c r="E1157" s="11" t="s">
        <v>16</v>
      </c>
      <c r="F1157" s="33" t="s">
        <v>137</v>
      </c>
      <c r="G1157" s="11"/>
      <c r="H1157" s="11">
        <f>SUMIFS(X!$F$3:$F$5978,X!$D$3:$D$5978,'Current Stock'!A1157)</f>
        <v>0</v>
      </c>
      <c r="I1157" s="11">
        <f>SUMIFS(PENJUALAN!$E$4:$E$3651,PENJUALAN!$C$4:$C$3651,'Current Stock'!A1157)</f>
        <v>0</v>
      </c>
      <c r="J1157" s="15">
        <f t="shared" si="2"/>
        <v>0</v>
      </c>
      <c r="K1157" s="11"/>
      <c r="L1157" s="11"/>
      <c r="M1157" s="11"/>
      <c r="N1157" s="11"/>
      <c r="O1157" s="17"/>
      <c r="P1157" s="17"/>
    </row>
    <row r="1158" ht="13.5" customHeight="1">
      <c r="A1158" s="11" t="str">
        <f t="shared" si="1"/>
        <v>LFW-SPORTAGE04XYG</v>
      </c>
      <c r="B1158" s="36" t="s">
        <v>1503</v>
      </c>
      <c r="C1158" s="31" t="s">
        <v>1504</v>
      </c>
      <c r="D1158" s="31" t="s">
        <v>60</v>
      </c>
      <c r="E1158" s="13" t="s">
        <v>16</v>
      </c>
      <c r="F1158" s="31" t="s">
        <v>137</v>
      </c>
      <c r="G1158" s="11"/>
      <c r="H1158" s="11">
        <f>SUMIFS(X!$F$3:$F$5978,X!$D$3:$D$5978,'Current Stock'!A1158)</f>
        <v>1</v>
      </c>
      <c r="I1158" s="11">
        <f>SUMIFS(PENJUALAN!$E$4:$E$3651,PENJUALAN!$C$4:$C$3651,'Current Stock'!A1158)</f>
        <v>1</v>
      </c>
      <c r="J1158" s="15">
        <f t="shared" si="2"/>
        <v>0</v>
      </c>
      <c r="K1158" s="11"/>
      <c r="L1158" s="11"/>
      <c r="M1158" s="11"/>
      <c r="N1158" s="11"/>
      <c r="O1158" s="17"/>
      <c r="P1158" s="17"/>
    </row>
    <row r="1159" ht="13.5" customHeight="1">
      <c r="A1159" s="11" t="str">
        <f t="shared" si="1"/>
        <v>LFW-SPORTAGE10XYG</v>
      </c>
      <c r="B1159" s="32" t="s">
        <v>642</v>
      </c>
      <c r="C1159" s="33" t="s">
        <v>643</v>
      </c>
      <c r="D1159" s="33" t="s">
        <v>60</v>
      </c>
      <c r="E1159" s="11" t="s">
        <v>16</v>
      </c>
      <c r="F1159" s="33" t="s">
        <v>137</v>
      </c>
      <c r="G1159" s="11"/>
      <c r="H1159" s="11">
        <f>SUMIFS(X!$F$3:$F$5978,X!$D$3:$D$5978,'Current Stock'!A1159)</f>
        <v>0</v>
      </c>
      <c r="I1159" s="11">
        <f>SUMIFS(PENJUALAN!$E$4:$E$3651,PENJUALAN!$C$4:$C$3651,'Current Stock'!A1159)</f>
        <v>0</v>
      </c>
      <c r="J1159" s="15">
        <f t="shared" si="2"/>
        <v>0</v>
      </c>
      <c r="K1159" s="11"/>
      <c r="L1159" s="11"/>
      <c r="M1159" s="11"/>
      <c r="N1159" s="11"/>
      <c r="O1159" s="17"/>
      <c r="P1159" s="17"/>
    </row>
    <row r="1160" ht="13.5" customHeight="1">
      <c r="A1160" s="11" t="str">
        <f t="shared" si="1"/>
        <v>FDL-SPORTAGE10XYG</v>
      </c>
      <c r="B1160" s="32" t="s">
        <v>644</v>
      </c>
      <c r="C1160" s="33" t="s">
        <v>643</v>
      </c>
      <c r="D1160" s="33" t="s">
        <v>140</v>
      </c>
      <c r="E1160" s="11" t="s">
        <v>16</v>
      </c>
      <c r="F1160" s="33"/>
      <c r="G1160" s="11"/>
      <c r="H1160" s="11">
        <f>SUMIFS(X!$F$3:$F$5978,X!$D$3:$D$5978,'Current Stock'!A1160)</f>
        <v>0</v>
      </c>
      <c r="I1160" s="11">
        <f>SUMIFS(PENJUALAN!$E$4:$E$3651,PENJUALAN!$C$4:$C$3651,'Current Stock'!A1160)</f>
        <v>0</v>
      </c>
      <c r="J1160" s="15">
        <f t="shared" si="2"/>
        <v>0</v>
      </c>
      <c r="K1160" s="11"/>
      <c r="L1160" s="11"/>
      <c r="M1160" s="11"/>
      <c r="N1160" s="11"/>
      <c r="O1160" s="17"/>
      <c r="P1160" s="17"/>
    </row>
    <row r="1161" ht="13.5" customHeight="1">
      <c r="A1161" s="11" t="str">
        <f t="shared" si="1"/>
        <v>RDR-SPORTAGE10XYG</v>
      </c>
      <c r="B1161" s="32" t="s">
        <v>647</v>
      </c>
      <c r="C1161" s="33" t="s">
        <v>643</v>
      </c>
      <c r="D1161" s="33" t="s">
        <v>146</v>
      </c>
      <c r="E1161" s="11" t="s">
        <v>16</v>
      </c>
      <c r="F1161" s="33"/>
      <c r="G1161" s="11"/>
      <c r="H1161" s="11">
        <f>SUMIFS(X!$F$3:$F$5978,X!$D$3:$D$5978,'Current Stock'!A1161)</f>
        <v>0</v>
      </c>
      <c r="I1161" s="11">
        <f>SUMIFS(PENJUALAN!$E$4:$E$3651,PENJUALAN!$C$4:$C$3651,'Current Stock'!A1161)</f>
        <v>0</v>
      </c>
      <c r="J1161" s="15">
        <f t="shared" si="2"/>
        <v>0</v>
      </c>
      <c r="K1161" s="11"/>
      <c r="L1161" s="11"/>
      <c r="M1161" s="11"/>
      <c r="N1161" s="11"/>
      <c r="O1161" s="17"/>
      <c r="P1161" s="17"/>
    </row>
    <row r="1162" ht="13.5" customHeight="1">
      <c r="A1162" s="11" t="str">
        <f t="shared" si="1"/>
        <v>TRW-SPORTAGE10SXYG</v>
      </c>
      <c r="B1162" s="32" t="s">
        <v>648</v>
      </c>
      <c r="C1162" s="33" t="s">
        <v>649</v>
      </c>
      <c r="D1162" s="33" t="s">
        <v>62</v>
      </c>
      <c r="E1162" s="11" t="s">
        <v>16</v>
      </c>
      <c r="F1162" s="33" t="s">
        <v>228</v>
      </c>
      <c r="G1162" s="11"/>
      <c r="H1162" s="11">
        <f>SUMIFS(X!$F$3:$F$5978,X!$D$3:$D$5978,'Current Stock'!A1162)</f>
        <v>1</v>
      </c>
      <c r="I1162" s="11">
        <f>SUMIFS(PENJUALAN!$E$4:$E$3651,PENJUALAN!$C$4:$C$3651,'Current Stock'!A1162)</f>
        <v>1</v>
      </c>
      <c r="J1162" s="15">
        <f t="shared" si="2"/>
        <v>0</v>
      </c>
      <c r="K1162" s="11"/>
      <c r="L1162" s="11"/>
      <c r="M1162" s="11"/>
      <c r="N1162" s="11"/>
      <c r="O1162" s="17"/>
      <c r="P1162" s="17"/>
    </row>
    <row r="1163" ht="13.5" customHeight="1">
      <c r="A1163" s="11" t="str">
        <f t="shared" si="1"/>
        <v>TRW-SPORTAGE10NSXYG</v>
      </c>
      <c r="B1163" s="32" t="s">
        <v>1505</v>
      </c>
      <c r="C1163" s="33" t="s">
        <v>1506</v>
      </c>
      <c r="D1163" s="33" t="s">
        <v>62</v>
      </c>
      <c r="E1163" s="11" t="s">
        <v>16</v>
      </c>
      <c r="F1163" s="33" t="s">
        <v>228</v>
      </c>
      <c r="G1163" s="11"/>
      <c r="H1163" s="11">
        <f>SUMIFS(X!$F$3:$F$5978,X!$D$3:$D$5978,'Current Stock'!A1163)</f>
        <v>0</v>
      </c>
      <c r="I1163" s="11">
        <f>SUMIFS(PENJUALAN!$E$4:$E$3651,PENJUALAN!$C$4:$C$3651,'Current Stock'!A1163)</f>
        <v>0</v>
      </c>
      <c r="J1163" s="15">
        <f t="shared" si="2"/>
        <v>0</v>
      </c>
      <c r="K1163" s="11"/>
      <c r="L1163" s="11"/>
      <c r="M1163" s="11"/>
      <c r="N1163" s="11"/>
      <c r="O1163" s="17"/>
      <c r="P1163" s="17"/>
    </row>
    <row r="1164" ht="13.5" customHeight="1">
      <c r="A1164" s="11" t="str">
        <f t="shared" si="1"/>
        <v>LFW-VISTOXYG</v>
      </c>
      <c r="B1164" s="32" t="s">
        <v>658</v>
      </c>
      <c r="C1164" s="33" t="s">
        <v>659</v>
      </c>
      <c r="D1164" s="33" t="s">
        <v>60</v>
      </c>
      <c r="E1164" s="11" t="s">
        <v>16</v>
      </c>
      <c r="F1164" s="33" t="s">
        <v>109</v>
      </c>
      <c r="G1164" s="11"/>
      <c r="H1164" s="11">
        <f>SUMIFS(X!$F$3:$F$5978,X!$D$3:$D$5978,'Current Stock'!A1164)</f>
        <v>0</v>
      </c>
      <c r="I1164" s="11">
        <f>SUMIFS(PENJUALAN!$E$4:$E$3651,PENJUALAN!$C$4:$C$3651,'Current Stock'!A1164)</f>
        <v>0</v>
      </c>
      <c r="J1164" s="15">
        <f t="shared" si="2"/>
        <v>0</v>
      </c>
      <c r="K1164" s="11"/>
      <c r="L1164" s="11"/>
      <c r="M1164" s="11"/>
      <c r="N1164" s="11"/>
      <c r="O1164" s="17"/>
      <c r="P1164" s="17"/>
    </row>
    <row r="1165" ht="13.5" customHeight="1">
      <c r="A1165" s="11" t="str">
        <f t="shared" si="1"/>
        <v>TRW-VISTOXYG</v>
      </c>
      <c r="B1165" s="32" t="s">
        <v>660</v>
      </c>
      <c r="C1165" s="33" t="s">
        <v>659</v>
      </c>
      <c r="D1165" s="33" t="s">
        <v>62</v>
      </c>
      <c r="E1165" s="11" t="s">
        <v>16</v>
      </c>
      <c r="F1165" s="33" t="s">
        <v>83</v>
      </c>
      <c r="G1165" s="11"/>
      <c r="H1165" s="11">
        <f>SUMIFS(X!$F$3:$F$5978,X!$D$3:$D$5978,'Current Stock'!A1165)</f>
        <v>0</v>
      </c>
      <c r="I1165" s="11">
        <f>SUMIFS(PENJUALAN!$E$4:$E$3651,PENJUALAN!$C$4:$C$3651,'Current Stock'!A1165)</f>
        <v>0</v>
      </c>
      <c r="J1165" s="15">
        <f t="shared" si="2"/>
        <v>0</v>
      </c>
      <c r="K1165" s="11"/>
      <c r="L1165" s="11"/>
      <c r="M1165" s="11"/>
      <c r="N1165" s="11"/>
      <c r="O1165" s="17"/>
      <c r="P1165" s="17"/>
    </row>
    <row r="1166" ht="13.5" customHeight="1">
      <c r="A1166" s="11" t="str">
        <f t="shared" si="1"/>
        <v>LFW-NX15RS1XYG</v>
      </c>
      <c r="B1166" s="32" t="s">
        <v>1507</v>
      </c>
      <c r="C1166" s="33" t="s">
        <v>1508</v>
      </c>
      <c r="D1166" s="35" t="s">
        <v>60</v>
      </c>
      <c r="E1166" s="11" t="s">
        <v>16</v>
      </c>
      <c r="F1166" s="33" t="s">
        <v>314</v>
      </c>
      <c r="G1166" s="11"/>
      <c r="H1166" s="11">
        <f>SUMIFS(X!$F$3:$F$5978,X!$D$3:$D$5978,'Current Stock'!A1166)</f>
        <v>0</v>
      </c>
      <c r="I1166" s="11">
        <f>SUMIFS(PENJUALAN!$E$4:$E$3651,PENJUALAN!$C$4:$C$3651,'Current Stock'!A1166)</f>
        <v>0</v>
      </c>
      <c r="J1166" s="15">
        <f t="shared" si="2"/>
        <v>0</v>
      </c>
      <c r="K1166" s="11"/>
      <c r="L1166" s="11"/>
      <c r="M1166" s="11"/>
      <c r="N1166" s="11"/>
      <c r="O1166" s="17"/>
      <c r="P1166" s="17"/>
    </row>
    <row r="1167" ht="13.5" customHeight="1">
      <c r="A1167" s="11" t="str">
        <f t="shared" si="1"/>
        <v>LFW-XU30RSXYG</v>
      </c>
      <c r="B1167" s="32" t="s">
        <v>665</v>
      </c>
      <c r="C1167" s="33" t="s">
        <v>666</v>
      </c>
      <c r="D1167" s="33" t="s">
        <v>60</v>
      </c>
      <c r="E1167" s="11" t="s">
        <v>16</v>
      </c>
      <c r="F1167" s="33" t="s">
        <v>90</v>
      </c>
      <c r="G1167" s="11"/>
      <c r="H1167" s="11">
        <f>SUMIFS(X!$F$3:$F$5978,X!$D$3:$D$5978,'Current Stock'!A1167)</f>
        <v>0</v>
      </c>
      <c r="I1167" s="11">
        <f>SUMIFS(PENJUALAN!$E$4:$E$3651,PENJUALAN!$C$4:$C$3651,'Current Stock'!A1167)</f>
        <v>0</v>
      </c>
      <c r="J1167" s="15">
        <f t="shared" si="2"/>
        <v>0</v>
      </c>
      <c r="K1167" s="11"/>
      <c r="L1167" s="11"/>
      <c r="M1167" s="11"/>
      <c r="N1167" s="11"/>
      <c r="O1167" s="17"/>
      <c r="P1167" s="17"/>
    </row>
    <row r="1168" ht="13.5" customHeight="1">
      <c r="A1168" s="11" t="str">
        <f t="shared" si="1"/>
        <v>LFW-XU30XYG</v>
      </c>
      <c r="B1168" s="32" t="s">
        <v>667</v>
      </c>
      <c r="C1168" s="33" t="s">
        <v>666</v>
      </c>
      <c r="D1168" s="33" t="s">
        <v>60</v>
      </c>
      <c r="E1168" s="11" t="s">
        <v>16</v>
      </c>
      <c r="F1168" s="33" t="s">
        <v>137</v>
      </c>
      <c r="G1168" s="11"/>
      <c r="H1168" s="11">
        <f>SUMIFS(X!$F$3:$F$5978,X!$D$3:$D$5978,'Current Stock'!A1168)</f>
        <v>2</v>
      </c>
      <c r="I1168" s="11">
        <f>SUMIFS(PENJUALAN!$E$4:$E$3651,PENJUALAN!$C$4:$C$3651,'Current Stock'!A1168)</f>
        <v>2</v>
      </c>
      <c r="J1168" s="15">
        <f t="shared" si="2"/>
        <v>0</v>
      </c>
      <c r="K1168" s="11"/>
      <c r="L1168" s="11"/>
      <c r="M1168" s="11"/>
      <c r="N1168" s="11"/>
      <c r="O1168" s="17"/>
      <c r="P1168" s="17"/>
    </row>
    <row r="1169" ht="13.5" customHeight="1">
      <c r="A1169" s="11" t="str">
        <f t="shared" si="1"/>
        <v>TRW-XU30XYG</v>
      </c>
      <c r="B1169" s="32" t="s">
        <v>668</v>
      </c>
      <c r="C1169" s="33" t="s">
        <v>669</v>
      </c>
      <c r="D1169" s="33" t="s">
        <v>62</v>
      </c>
      <c r="E1169" s="11" t="s">
        <v>16</v>
      </c>
      <c r="F1169" s="33" t="s">
        <v>670</v>
      </c>
      <c r="G1169" s="11"/>
      <c r="H1169" s="11">
        <f>SUMIFS(X!$F$3:$F$5978,X!$D$3:$D$5978,'Current Stock'!A1169)</f>
        <v>0</v>
      </c>
      <c r="I1169" s="11">
        <f>SUMIFS(PENJUALAN!$E$4:$E$3651,PENJUALAN!$C$4:$C$3651,'Current Stock'!A1169)</f>
        <v>0</v>
      </c>
      <c r="J1169" s="15">
        <f t="shared" si="2"/>
        <v>0</v>
      </c>
      <c r="K1169" s="11"/>
      <c r="L1169" s="11"/>
      <c r="M1169" s="11"/>
      <c r="N1169" s="11"/>
      <c r="O1169" s="17"/>
      <c r="P1169" s="17"/>
    </row>
    <row r="1170" ht="13.5" customHeight="1">
      <c r="A1170" s="11" t="str">
        <f t="shared" si="1"/>
        <v>FDL-XU30XYG</v>
      </c>
      <c r="B1170" s="32" t="s">
        <v>673</v>
      </c>
      <c r="C1170" s="33" t="s">
        <v>666</v>
      </c>
      <c r="D1170" s="33" t="s">
        <v>140</v>
      </c>
      <c r="E1170" s="11" t="s">
        <v>16</v>
      </c>
      <c r="F1170" s="33"/>
      <c r="G1170" s="11"/>
      <c r="H1170" s="11">
        <f>SUMIFS(X!$F$3:$F$5978,X!$D$3:$D$5978,'Current Stock'!A1170)</f>
        <v>0</v>
      </c>
      <c r="I1170" s="11">
        <f>SUMIFS(PENJUALAN!$E$4:$E$3651,PENJUALAN!$C$4:$C$3651,'Current Stock'!A1170)</f>
        <v>0</v>
      </c>
      <c r="J1170" s="15">
        <f t="shared" si="2"/>
        <v>0</v>
      </c>
      <c r="K1170" s="11"/>
      <c r="L1170" s="11"/>
      <c r="M1170" s="11"/>
      <c r="N1170" s="11"/>
      <c r="O1170" s="17"/>
      <c r="P1170" s="17"/>
    </row>
    <row r="1171" ht="13.5" customHeight="1">
      <c r="A1171" s="11" t="str">
        <f t="shared" si="1"/>
        <v>FDR-XU30XYG</v>
      </c>
      <c r="B1171" s="32" t="s">
        <v>674</v>
      </c>
      <c r="C1171" s="33" t="s">
        <v>666</v>
      </c>
      <c r="D1171" s="33" t="s">
        <v>142</v>
      </c>
      <c r="E1171" s="11" t="s">
        <v>16</v>
      </c>
      <c r="F1171" s="33"/>
      <c r="G1171" s="11"/>
      <c r="H1171" s="11">
        <f>SUMIFS(X!$F$3:$F$5978,X!$D$3:$D$5978,'Current Stock'!A1171)</f>
        <v>1</v>
      </c>
      <c r="I1171" s="11">
        <f>SUMIFS(PENJUALAN!$E$4:$E$3651,PENJUALAN!$C$4:$C$3651,'Current Stock'!A1171)</f>
        <v>1</v>
      </c>
      <c r="J1171" s="15">
        <f t="shared" si="2"/>
        <v>0</v>
      </c>
      <c r="K1171" s="13" t="s">
        <v>698</v>
      </c>
      <c r="L1171" s="11"/>
      <c r="M1171" s="11"/>
      <c r="N1171" s="11"/>
      <c r="O1171" s="17"/>
      <c r="P1171" s="17"/>
    </row>
    <row r="1172" ht="13.5" customHeight="1">
      <c r="A1172" s="11" t="str">
        <f t="shared" si="1"/>
        <v>LFW-AL10XYG</v>
      </c>
      <c r="B1172" s="32" t="s">
        <v>681</v>
      </c>
      <c r="C1172" s="33" t="s">
        <v>682</v>
      </c>
      <c r="D1172" s="33" t="s">
        <v>60</v>
      </c>
      <c r="E1172" s="11" t="s">
        <v>16</v>
      </c>
      <c r="F1172" s="33" t="s">
        <v>683</v>
      </c>
      <c r="G1172" s="11"/>
      <c r="H1172" s="11">
        <f>SUMIFS(X!$F$3:$F$5978,X!$D$3:$D$5978,'Current Stock'!A1172)</f>
        <v>0</v>
      </c>
      <c r="I1172" s="11">
        <f>SUMIFS(PENJUALAN!$E$4:$E$3651,PENJUALAN!$C$4:$C$3651,'Current Stock'!A1172)</f>
        <v>0</v>
      </c>
      <c r="J1172" s="15">
        <f t="shared" si="2"/>
        <v>0</v>
      </c>
      <c r="K1172" s="11"/>
      <c r="L1172" s="11"/>
      <c r="M1172" s="11"/>
      <c r="N1172" s="11"/>
      <c r="O1172" s="17"/>
      <c r="P1172" s="17"/>
    </row>
    <row r="1173" ht="13.5" customHeight="1">
      <c r="A1173" s="11" t="str">
        <f t="shared" si="1"/>
        <v>TRW-AL10XYG</v>
      </c>
      <c r="B1173" s="36" t="s">
        <v>684</v>
      </c>
      <c r="C1173" s="31" t="s">
        <v>685</v>
      </c>
      <c r="D1173" s="31" t="s">
        <v>62</v>
      </c>
      <c r="E1173" s="13" t="s">
        <v>16</v>
      </c>
      <c r="F1173" s="31" t="s">
        <v>1509</v>
      </c>
      <c r="G1173" s="11"/>
      <c r="H1173" s="11">
        <f>SUMIFS(X!$F$3:$F$5978,X!$D$3:$D$5978,'Current Stock'!A1173)</f>
        <v>1</v>
      </c>
      <c r="I1173" s="11">
        <f>SUMIFS(PENJUALAN!$E$4:$E$3651,PENJUALAN!$C$4:$C$3651,'Current Stock'!A1173)</f>
        <v>1</v>
      </c>
      <c r="J1173" s="15">
        <f t="shared" si="2"/>
        <v>0</v>
      </c>
      <c r="K1173" s="11"/>
      <c r="L1173" s="11"/>
      <c r="M1173" s="11"/>
      <c r="N1173" s="11"/>
      <c r="O1173" s="17"/>
      <c r="P1173" s="17"/>
    </row>
    <row r="1174" ht="13.5" customHeight="1">
      <c r="A1174" s="11" t="str">
        <f t="shared" si="1"/>
        <v>FDR-MAZDA612FY</v>
      </c>
      <c r="B1174" s="32" t="s">
        <v>1510</v>
      </c>
      <c r="C1174" s="33" t="s">
        <v>726</v>
      </c>
      <c r="D1174" s="33" t="s">
        <v>142</v>
      </c>
      <c r="E1174" s="11" t="s">
        <v>123</v>
      </c>
      <c r="F1174" s="33"/>
      <c r="G1174" s="14">
        <v>45988.0</v>
      </c>
      <c r="H1174" s="11">
        <f>SUMIFS(X!$F$3:$F$5978,X!$D$3:$D$5978,'Current Stock'!A1174)</f>
        <v>1</v>
      </c>
      <c r="I1174" s="11">
        <f>SUMIFS(PENJUALAN!$E$4:$E$3651,PENJUALAN!$C$4:$C$3651,'Current Stock'!A1174)</f>
        <v>1</v>
      </c>
      <c r="J1174" s="15">
        <f t="shared" si="2"/>
        <v>0</v>
      </c>
      <c r="K1174" s="13"/>
      <c r="L1174" s="11"/>
      <c r="M1174" s="11"/>
      <c r="N1174" s="11"/>
      <c r="O1174" s="17"/>
      <c r="P1174" s="17"/>
    </row>
    <row r="1175" ht="13.5" customHeight="1">
      <c r="A1175" s="11" t="str">
        <f t="shared" si="1"/>
        <v>RDL-CX5GEN1FY</v>
      </c>
      <c r="B1175" s="32" t="s">
        <v>1511</v>
      </c>
      <c r="C1175" s="33" t="s">
        <v>751</v>
      </c>
      <c r="D1175" s="33" t="s">
        <v>144</v>
      </c>
      <c r="E1175" s="11" t="s">
        <v>123</v>
      </c>
      <c r="F1175" s="33"/>
      <c r="G1175" s="11"/>
      <c r="H1175" s="11">
        <f>SUMIFS(X!$F$3:$F$5978,X!$D$3:$D$5978,'Current Stock'!A1175)</f>
        <v>1</v>
      </c>
      <c r="I1175" s="11">
        <f>SUMIFS(PENJUALAN!$E$4:$E$3651,PENJUALAN!$C$4:$C$3651,'Current Stock'!A1175)</f>
        <v>1</v>
      </c>
      <c r="J1175" s="15">
        <f t="shared" si="2"/>
        <v>0</v>
      </c>
      <c r="K1175" s="11"/>
      <c r="L1175" s="11"/>
      <c r="M1175" s="11"/>
      <c r="N1175" s="11"/>
      <c r="O1175" s="17"/>
      <c r="P1175" s="17"/>
    </row>
    <row r="1176" ht="13.5" customHeight="1">
      <c r="A1176" s="11" t="str">
        <f t="shared" si="1"/>
        <v>LFW-MAZDA209XYG</v>
      </c>
      <c r="B1176" s="32" t="s">
        <v>696</v>
      </c>
      <c r="C1176" s="33" t="s">
        <v>697</v>
      </c>
      <c r="D1176" s="33" t="s">
        <v>60</v>
      </c>
      <c r="E1176" s="11" t="s">
        <v>16</v>
      </c>
      <c r="F1176" s="33" t="s">
        <v>137</v>
      </c>
      <c r="G1176" s="34"/>
      <c r="H1176" s="11">
        <f>SUMIFS(X!$F$3:$F$5978,X!$D$3:$D$5978,'Current Stock'!A1176)</f>
        <v>3</v>
      </c>
      <c r="I1176" s="11">
        <f>SUMIFS(PENJUALAN!$E$4:$E$3651,PENJUALAN!$C$4:$C$3651,'Current Stock'!A1176)</f>
        <v>3</v>
      </c>
      <c r="J1176" s="15">
        <f t="shared" si="2"/>
        <v>0</v>
      </c>
      <c r="K1176" s="13"/>
      <c r="L1176" s="11"/>
      <c r="M1176" s="11"/>
      <c r="N1176" s="11"/>
      <c r="O1176" s="17"/>
      <c r="P1176" s="17"/>
    </row>
    <row r="1177" ht="13.5" customHeight="1">
      <c r="A1177" s="11" t="str">
        <f t="shared" si="1"/>
        <v>TRW-MAZDA209SEDANXYG</v>
      </c>
      <c r="B1177" s="32" t="s">
        <v>1512</v>
      </c>
      <c r="C1177" s="35" t="s">
        <v>1513</v>
      </c>
      <c r="D1177" s="35" t="s">
        <v>62</v>
      </c>
      <c r="E1177" s="11" t="s">
        <v>16</v>
      </c>
      <c r="F1177" s="35" t="s">
        <v>83</v>
      </c>
      <c r="G1177" s="11"/>
      <c r="H1177" s="11">
        <f>SUMIFS(X!$F$3:$F$5978,X!$D$3:$D$5978,'Current Stock'!A1177)</f>
        <v>0</v>
      </c>
      <c r="I1177" s="11">
        <f>SUMIFS(PENJUALAN!$E$4:$E$3651,PENJUALAN!$C$4:$C$3651,'Current Stock'!A1177)</f>
        <v>0</v>
      </c>
      <c r="J1177" s="15">
        <f t="shared" si="2"/>
        <v>0</v>
      </c>
      <c r="K1177" s="11"/>
      <c r="L1177" s="11"/>
      <c r="M1177" s="11"/>
      <c r="N1177" s="11"/>
      <c r="O1177" s="17"/>
      <c r="P1177" s="17"/>
    </row>
    <row r="1178" ht="13.5" customHeight="1">
      <c r="A1178" s="11" t="str">
        <f t="shared" si="1"/>
        <v>TRW-MAZDA209XYG</v>
      </c>
      <c r="B1178" s="32" t="s">
        <v>699</v>
      </c>
      <c r="C1178" s="33" t="s">
        <v>700</v>
      </c>
      <c r="D1178" s="33" t="s">
        <v>62</v>
      </c>
      <c r="E1178" s="11" t="s">
        <v>16</v>
      </c>
      <c r="F1178" s="33" t="s">
        <v>83</v>
      </c>
      <c r="G1178" s="11"/>
      <c r="H1178" s="11">
        <f>SUMIFS(X!$F$3:$F$5978,X!$D$3:$D$5978,'Current Stock'!A1178)</f>
        <v>1</v>
      </c>
      <c r="I1178" s="11">
        <f>SUMIFS(PENJUALAN!$E$4:$E$3651,PENJUALAN!$C$4:$C$3651,'Current Stock'!A1178)</f>
        <v>1</v>
      </c>
      <c r="J1178" s="15">
        <f t="shared" si="2"/>
        <v>0</v>
      </c>
      <c r="K1178" s="66"/>
      <c r="L1178" s="66"/>
      <c r="M1178" s="11"/>
      <c r="N1178" s="11"/>
      <c r="O1178" s="17"/>
      <c r="P1178" s="17"/>
    </row>
    <row r="1179" ht="13.5" customHeight="1">
      <c r="A1179" s="11" t="str">
        <f t="shared" si="1"/>
        <v>FDL-MAZDA209XYG</v>
      </c>
      <c r="B1179" s="32" t="s">
        <v>701</v>
      </c>
      <c r="C1179" s="33" t="s">
        <v>700</v>
      </c>
      <c r="D1179" s="33" t="s">
        <v>140</v>
      </c>
      <c r="E1179" s="11" t="s">
        <v>16</v>
      </c>
      <c r="F1179" s="33" t="s">
        <v>152</v>
      </c>
      <c r="G1179" s="11"/>
      <c r="H1179" s="11">
        <f>SUMIFS(X!$F$3:$F$5978,X!$D$3:$D$5978,'Current Stock'!A1179)</f>
        <v>1</v>
      </c>
      <c r="I1179" s="11">
        <f>SUMIFS(PENJUALAN!$E$4:$E$3651,PENJUALAN!$C$4:$C$3651,'Current Stock'!A1179)</f>
        <v>1</v>
      </c>
      <c r="J1179" s="15">
        <f t="shared" si="2"/>
        <v>0</v>
      </c>
      <c r="K1179" s="11"/>
      <c r="L1179" s="11"/>
      <c r="M1179" s="11"/>
      <c r="N1179" s="11"/>
      <c r="O1179" s="17"/>
      <c r="P1179" s="17"/>
    </row>
    <row r="1180" ht="13.5" customHeight="1">
      <c r="A1180" s="11" t="str">
        <f t="shared" si="1"/>
        <v>FDR-MAZDA209XYG</v>
      </c>
      <c r="B1180" s="32" t="s">
        <v>702</v>
      </c>
      <c r="C1180" s="33" t="s">
        <v>700</v>
      </c>
      <c r="D1180" s="33" t="s">
        <v>142</v>
      </c>
      <c r="E1180" s="11" t="s">
        <v>16</v>
      </c>
      <c r="F1180" s="33" t="s">
        <v>152</v>
      </c>
      <c r="G1180" s="11"/>
      <c r="H1180" s="11">
        <f>SUMIFS(X!$F$3:$F$5978,X!$D$3:$D$5978,'Current Stock'!A1180)</f>
        <v>0</v>
      </c>
      <c r="I1180" s="11">
        <f>SUMIFS(PENJUALAN!$E$4:$E$3651,PENJUALAN!$C$4:$C$3651,'Current Stock'!A1180)</f>
        <v>0</v>
      </c>
      <c r="J1180" s="15">
        <f t="shared" si="2"/>
        <v>0</v>
      </c>
      <c r="K1180" s="11"/>
      <c r="L1180" s="11"/>
      <c r="M1180" s="11"/>
      <c r="N1180" s="11"/>
      <c r="O1180" s="17"/>
      <c r="P1180" s="17"/>
    </row>
    <row r="1181" ht="13.5" customHeight="1">
      <c r="A1181" s="11" t="str">
        <f t="shared" si="1"/>
        <v>RDL-MAZDA209XYG</v>
      </c>
      <c r="B1181" s="32" t="s">
        <v>703</v>
      </c>
      <c r="C1181" s="33" t="s">
        <v>700</v>
      </c>
      <c r="D1181" s="33" t="s">
        <v>144</v>
      </c>
      <c r="E1181" s="11" t="s">
        <v>16</v>
      </c>
      <c r="F1181" s="33" t="s">
        <v>152</v>
      </c>
      <c r="G1181" s="11"/>
      <c r="H1181" s="11">
        <f>SUMIFS(X!$F$3:$F$5978,X!$D$3:$D$5978,'Current Stock'!A1181)</f>
        <v>0</v>
      </c>
      <c r="I1181" s="11">
        <f>SUMIFS(PENJUALAN!$E$4:$E$3651,PENJUALAN!$C$4:$C$3651,'Current Stock'!A1181)</f>
        <v>0</v>
      </c>
      <c r="J1181" s="15">
        <f t="shared" si="2"/>
        <v>0</v>
      </c>
      <c r="K1181" s="11"/>
      <c r="L1181" s="11"/>
      <c r="M1181" s="11"/>
      <c r="N1181" s="11"/>
      <c r="O1181" s="17"/>
      <c r="P1181" s="17"/>
    </row>
    <row r="1182" ht="13.5" customHeight="1">
      <c r="A1182" s="11" t="str">
        <f t="shared" si="1"/>
        <v>RDR-MAZDA209XYG</v>
      </c>
      <c r="B1182" s="32" t="s">
        <v>704</v>
      </c>
      <c r="C1182" s="33" t="s">
        <v>700</v>
      </c>
      <c r="D1182" s="33" t="s">
        <v>146</v>
      </c>
      <c r="E1182" s="11" t="s">
        <v>16</v>
      </c>
      <c r="F1182" s="33" t="s">
        <v>152</v>
      </c>
      <c r="G1182" s="11"/>
      <c r="H1182" s="11">
        <f>SUMIFS(X!$F$3:$F$5978,X!$D$3:$D$5978,'Current Stock'!A1182)</f>
        <v>0</v>
      </c>
      <c r="I1182" s="11">
        <f>SUMIFS(PENJUALAN!$E$4:$E$3651,PENJUALAN!$C$4:$C$3651,'Current Stock'!A1182)</f>
        <v>0</v>
      </c>
      <c r="J1182" s="15">
        <f t="shared" si="2"/>
        <v>0</v>
      </c>
      <c r="K1182" s="11"/>
      <c r="L1182" s="11"/>
      <c r="M1182" s="11"/>
      <c r="N1182" s="11"/>
      <c r="O1182" s="17"/>
      <c r="P1182" s="17"/>
    </row>
    <row r="1183" ht="13.5" customHeight="1">
      <c r="A1183" s="11" t="str">
        <f t="shared" si="1"/>
        <v>LFW-W203RS2FY</v>
      </c>
      <c r="B1183" s="32" t="s">
        <v>1514</v>
      </c>
      <c r="C1183" s="33" t="s">
        <v>1515</v>
      </c>
      <c r="D1183" s="33" t="s">
        <v>60</v>
      </c>
      <c r="E1183" s="11" t="s">
        <v>123</v>
      </c>
      <c r="F1183" s="33" t="s">
        <v>124</v>
      </c>
      <c r="G1183" s="11"/>
      <c r="H1183" s="11">
        <f>SUMIFS(X!$F$3:$F$5978,X!$D$3:$D$5978,'Current Stock'!A1183)</f>
        <v>2</v>
      </c>
      <c r="I1183" s="11">
        <f>SUMIFS(PENJUALAN!$E$4:$E$3651,PENJUALAN!$C$4:$C$3651,'Current Stock'!A1183)</f>
        <v>1</v>
      </c>
      <c r="J1183" s="15">
        <f t="shared" si="2"/>
        <v>1</v>
      </c>
      <c r="K1183" s="11"/>
      <c r="L1183" s="11"/>
      <c r="M1183" s="11"/>
      <c r="N1183" s="11"/>
      <c r="O1183" s="17"/>
      <c r="P1183" s="17"/>
    </row>
    <row r="1184" ht="13.5" customHeight="1">
      <c r="A1184" s="11" t="str">
        <f t="shared" si="1"/>
        <v>LFW-MAZDA214RS1XYG</v>
      </c>
      <c r="B1184" s="32" t="s">
        <v>1516</v>
      </c>
      <c r="C1184" s="33" t="s">
        <v>1517</v>
      </c>
      <c r="D1184" s="33" t="s">
        <v>60</v>
      </c>
      <c r="E1184" s="11" t="s">
        <v>16</v>
      </c>
      <c r="F1184" s="33" t="s">
        <v>90</v>
      </c>
      <c r="G1184" s="11"/>
      <c r="H1184" s="11">
        <f>SUMIFS(X!$F$3:$F$5978,X!$D$3:$D$5978,'Current Stock'!A1184)</f>
        <v>9</v>
      </c>
      <c r="I1184" s="11">
        <f>SUMIFS(PENJUALAN!$E$4:$E$3651,PENJUALAN!$C$4:$C$3651,'Current Stock'!A1184)</f>
        <v>9</v>
      </c>
      <c r="J1184" s="15">
        <f t="shared" si="2"/>
        <v>0</v>
      </c>
      <c r="K1184" s="13" t="s">
        <v>1347</v>
      </c>
      <c r="L1184" s="13"/>
      <c r="M1184" s="11"/>
      <c r="N1184" s="11"/>
      <c r="O1184" s="17"/>
      <c r="P1184" s="17"/>
    </row>
    <row r="1185" ht="13.5" customHeight="1">
      <c r="A1185" s="11" t="str">
        <f t="shared" si="1"/>
        <v>LFW-MAZDA214RS3XYG</v>
      </c>
      <c r="B1185" s="32" t="s">
        <v>1518</v>
      </c>
      <c r="C1185" s="33" t="s">
        <v>708</v>
      </c>
      <c r="D1185" s="33" t="s">
        <v>60</v>
      </c>
      <c r="E1185" s="11" t="s">
        <v>16</v>
      </c>
      <c r="F1185" s="33" t="s">
        <v>709</v>
      </c>
      <c r="G1185" s="11"/>
      <c r="H1185" s="11">
        <f>SUMIFS(X!$F$3:$F$5978,X!$D$3:$D$5978,'Current Stock'!A1185)</f>
        <v>1</v>
      </c>
      <c r="I1185" s="11">
        <f>SUMIFS(PENJUALAN!$E$4:$E$3651,PENJUALAN!$C$4:$C$3651,'Current Stock'!A1185)</f>
        <v>1</v>
      </c>
      <c r="J1185" s="15">
        <f t="shared" si="2"/>
        <v>0</v>
      </c>
      <c r="K1185" s="13"/>
      <c r="L1185" s="13"/>
      <c r="M1185" s="11"/>
      <c r="N1185" s="11"/>
      <c r="O1185" s="17"/>
      <c r="P1185" s="17"/>
    </row>
    <row r="1186" ht="13.5" customHeight="1">
      <c r="A1186" s="11" t="str">
        <f t="shared" si="1"/>
        <v>LFW-MAZDA214RS4XYG</v>
      </c>
      <c r="B1186" s="32" t="s">
        <v>1519</v>
      </c>
      <c r="C1186" s="33" t="s">
        <v>1520</v>
      </c>
      <c r="D1186" s="35" t="s">
        <v>60</v>
      </c>
      <c r="E1186" s="11" t="s">
        <v>16</v>
      </c>
      <c r="F1186" s="33" t="s">
        <v>1521</v>
      </c>
      <c r="G1186" s="14">
        <v>45988.0</v>
      </c>
      <c r="H1186" s="11">
        <f>SUMIFS(X!$F$3:$F$5978,X!$D$3:$D$5978,'Current Stock'!A1186)</f>
        <v>0</v>
      </c>
      <c r="I1186" s="11">
        <f>SUMIFS(PENJUALAN!$E$4:$E$3651,PENJUALAN!$C$4:$C$3651,'Current Stock'!A1186)</f>
        <v>0</v>
      </c>
      <c r="J1186" s="15">
        <f t="shared" si="2"/>
        <v>0</v>
      </c>
      <c r="K1186" s="13"/>
      <c r="L1186" s="11"/>
      <c r="M1186" s="11"/>
      <c r="N1186" s="11"/>
      <c r="O1186" s="17"/>
      <c r="P1186" s="17"/>
    </row>
    <row r="1187" ht="13.5" customHeight="1">
      <c r="A1187" s="11" t="str">
        <f t="shared" si="1"/>
        <v>TRW-MAZDA214XYG</v>
      </c>
      <c r="B1187" s="32" t="s">
        <v>710</v>
      </c>
      <c r="C1187" s="33" t="s">
        <v>711</v>
      </c>
      <c r="D1187" s="35" t="s">
        <v>62</v>
      </c>
      <c r="E1187" s="11" t="s">
        <v>16</v>
      </c>
      <c r="F1187" s="33" t="s">
        <v>83</v>
      </c>
      <c r="G1187" s="11"/>
      <c r="H1187" s="11">
        <f>SUMIFS(X!$F$3:$F$5978,X!$D$3:$D$5978,'Current Stock'!A1187)</f>
        <v>0</v>
      </c>
      <c r="I1187" s="11">
        <f>SUMIFS(PENJUALAN!$E$4:$E$3651,PENJUALAN!$C$4:$C$3651,'Current Stock'!A1187)</f>
        <v>0</v>
      </c>
      <c r="J1187" s="15">
        <f t="shared" si="2"/>
        <v>0</v>
      </c>
      <c r="K1187" s="11"/>
      <c r="L1187" s="11"/>
      <c r="M1187" s="11"/>
      <c r="N1187" s="11"/>
      <c r="O1187" s="17"/>
      <c r="P1187" s="17"/>
    </row>
    <row r="1188" ht="13.5" customHeight="1">
      <c r="A1188" s="11" t="str">
        <f t="shared" si="1"/>
        <v>FDL-MAZDA214XYG</v>
      </c>
      <c r="B1188" s="32" t="s">
        <v>712</v>
      </c>
      <c r="C1188" s="33" t="s">
        <v>711</v>
      </c>
      <c r="D1188" s="33" t="s">
        <v>140</v>
      </c>
      <c r="E1188" s="11" t="s">
        <v>16</v>
      </c>
      <c r="F1188" s="33" t="s">
        <v>406</v>
      </c>
      <c r="G1188" s="14"/>
      <c r="H1188" s="11">
        <f>SUMIFS(X!$F$3:$F$5978,X!$D$3:$D$5978,'Current Stock'!A1188)</f>
        <v>1</v>
      </c>
      <c r="I1188" s="11">
        <f>SUMIFS(PENJUALAN!$E$4:$E$3651,PENJUALAN!$C$4:$C$3651,'Current Stock'!A1188)</f>
        <v>1</v>
      </c>
      <c r="J1188" s="15">
        <f t="shared" si="2"/>
        <v>0</v>
      </c>
      <c r="K1188" s="13"/>
      <c r="L1188" s="11"/>
      <c r="M1188" s="11"/>
      <c r="N1188" s="11"/>
      <c r="O1188" s="17"/>
      <c r="P1188" s="17"/>
    </row>
    <row r="1189" ht="13.5" customHeight="1">
      <c r="A1189" s="11" t="str">
        <f t="shared" si="1"/>
        <v>FDR-MAZDA214XYG</v>
      </c>
      <c r="B1189" s="32" t="s">
        <v>713</v>
      </c>
      <c r="C1189" s="33" t="s">
        <v>711</v>
      </c>
      <c r="D1189" s="33" t="s">
        <v>142</v>
      </c>
      <c r="E1189" s="11" t="s">
        <v>16</v>
      </c>
      <c r="F1189" s="33" t="s">
        <v>406</v>
      </c>
      <c r="G1189" s="11"/>
      <c r="H1189" s="11">
        <f>SUMIFS(X!$F$3:$F$5978,X!$D$3:$D$5978,'Current Stock'!A1189)</f>
        <v>0</v>
      </c>
      <c r="I1189" s="11">
        <f>SUMIFS(PENJUALAN!$E$4:$E$3651,PENJUALAN!$C$4:$C$3651,'Current Stock'!A1189)</f>
        <v>0</v>
      </c>
      <c r="J1189" s="15">
        <f t="shared" si="2"/>
        <v>0</v>
      </c>
      <c r="K1189" s="13" t="s">
        <v>1342</v>
      </c>
      <c r="L1189" s="11"/>
      <c r="M1189" s="11"/>
      <c r="N1189" s="11"/>
      <c r="O1189" s="17"/>
      <c r="P1189" s="17"/>
    </row>
    <row r="1190" ht="13.5" customHeight="1">
      <c r="A1190" s="11" t="str">
        <f t="shared" si="1"/>
        <v>RDL-MAZDA214XYG</v>
      </c>
      <c r="B1190" s="32" t="s">
        <v>714</v>
      </c>
      <c r="C1190" s="33" t="s">
        <v>711</v>
      </c>
      <c r="D1190" s="33" t="s">
        <v>144</v>
      </c>
      <c r="E1190" s="11" t="s">
        <v>16</v>
      </c>
      <c r="F1190" s="33"/>
      <c r="G1190" s="11"/>
      <c r="H1190" s="11">
        <f>SUMIFS(X!$F$3:$F$5978,X!$D$3:$D$5978,'Current Stock'!A1190)</f>
        <v>0</v>
      </c>
      <c r="I1190" s="11">
        <f>SUMIFS(PENJUALAN!$E$4:$E$3651,PENJUALAN!$C$4:$C$3651,'Current Stock'!A1190)</f>
        <v>0</v>
      </c>
      <c r="J1190" s="15">
        <f t="shared" si="2"/>
        <v>0</v>
      </c>
      <c r="K1190" s="11"/>
      <c r="L1190" s="11"/>
      <c r="M1190" s="11"/>
      <c r="N1190" s="11"/>
      <c r="O1190" s="17"/>
      <c r="P1190" s="17"/>
    </row>
    <row r="1191" ht="13.5" customHeight="1">
      <c r="A1191" s="11" t="str">
        <f t="shared" si="1"/>
        <v>RDR-MAZDA214XYG</v>
      </c>
      <c r="B1191" s="32" t="s">
        <v>715</v>
      </c>
      <c r="C1191" s="33" t="s">
        <v>711</v>
      </c>
      <c r="D1191" s="33" t="s">
        <v>146</v>
      </c>
      <c r="E1191" s="11" t="s">
        <v>16</v>
      </c>
      <c r="F1191" s="33"/>
      <c r="G1191" s="14">
        <v>45988.0</v>
      </c>
      <c r="H1191" s="11">
        <f>SUMIFS(X!$F$3:$F$5978,X!$D$3:$D$5978,'Current Stock'!A1191)</f>
        <v>0</v>
      </c>
      <c r="I1191" s="11">
        <f>SUMIFS(PENJUALAN!$E$4:$E$3651,PENJUALAN!$C$4:$C$3651,'Current Stock'!A1191)</f>
        <v>0</v>
      </c>
      <c r="J1191" s="15">
        <f t="shared" si="2"/>
        <v>0</v>
      </c>
      <c r="K1191" s="13"/>
      <c r="L1191" s="11"/>
      <c r="M1191" s="11"/>
      <c r="N1191" s="11"/>
      <c r="O1191" s="17"/>
      <c r="P1191" s="17"/>
    </row>
    <row r="1192" ht="13.5" customHeight="1">
      <c r="A1192" s="11" t="str">
        <f t="shared" si="1"/>
        <v>LFW-MAZDA319RSXYG</v>
      </c>
      <c r="B1192" s="36" t="s">
        <v>1522</v>
      </c>
      <c r="C1192" s="31" t="s">
        <v>1523</v>
      </c>
      <c r="D1192" s="31" t="s">
        <v>60</v>
      </c>
      <c r="E1192" s="11" t="s">
        <v>16</v>
      </c>
      <c r="F1192" s="31" t="s">
        <v>314</v>
      </c>
      <c r="G1192" s="11"/>
      <c r="H1192" s="11">
        <f>SUMIFS(X!$F$3:$F$5978,X!$D$3:$D$5978,'Current Stock'!A1192)</f>
        <v>0</v>
      </c>
      <c r="I1192" s="11">
        <f>SUMIFS(PENJUALAN!$E$4:$E$3651,PENJUALAN!$C$4:$C$3651,'Current Stock'!A1192)</f>
        <v>0</v>
      </c>
      <c r="J1192" s="15">
        <f t="shared" si="2"/>
        <v>0</v>
      </c>
      <c r="K1192" s="11"/>
      <c r="L1192" s="11"/>
      <c r="M1192" s="11"/>
      <c r="N1192" s="11"/>
      <c r="O1192" s="17"/>
      <c r="P1192" s="17"/>
    </row>
    <row r="1193" ht="13.5" customHeight="1">
      <c r="A1193" s="11" t="str">
        <f t="shared" si="1"/>
        <v>LFW-W205RS3FY</v>
      </c>
      <c r="B1193" s="32" t="s">
        <v>1524</v>
      </c>
      <c r="C1193" s="33" t="s">
        <v>1525</v>
      </c>
      <c r="D1193" s="33" t="s">
        <v>60</v>
      </c>
      <c r="E1193" s="11" t="s">
        <v>123</v>
      </c>
      <c r="F1193" s="33" t="s">
        <v>793</v>
      </c>
      <c r="G1193" s="34"/>
      <c r="H1193" s="11">
        <f>SUMIFS(X!$F$3:$F$5978,X!$D$3:$D$5978,'Current Stock'!A1193)</f>
        <v>1</v>
      </c>
      <c r="I1193" s="11">
        <f>SUMIFS(PENJUALAN!$E$4:$E$3651,PENJUALAN!$C$4:$C$3651,'Current Stock'!A1193)</f>
        <v>1</v>
      </c>
      <c r="J1193" s="15">
        <f t="shared" si="2"/>
        <v>0</v>
      </c>
      <c r="K1193" s="13"/>
      <c r="L1193" s="11"/>
      <c r="M1193" s="11"/>
      <c r="N1193" s="11"/>
      <c r="O1193" s="17"/>
      <c r="P1193" s="17"/>
    </row>
    <row r="1194" ht="13.5" customHeight="1">
      <c r="A1194" s="11" t="str">
        <f t="shared" si="1"/>
        <v>LFW-MAZDA323XYG</v>
      </c>
      <c r="B1194" s="36" t="s">
        <v>1526</v>
      </c>
      <c r="C1194" s="31" t="s">
        <v>1527</v>
      </c>
      <c r="D1194" s="31" t="s">
        <v>60</v>
      </c>
      <c r="E1194" s="11" t="s">
        <v>16</v>
      </c>
      <c r="F1194" s="31" t="s">
        <v>109</v>
      </c>
      <c r="G1194" s="11"/>
      <c r="H1194" s="11">
        <f>SUMIFS(X!$F$3:$F$5978,X!$D$3:$D$5978,'Current Stock'!A1194)</f>
        <v>0</v>
      </c>
      <c r="I1194" s="11">
        <f>SUMIFS(PENJUALAN!$E$4:$E$3651,PENJUALAN!$C$4:$C$3651,'Current Stock'!A1194)</f>
        <v>0</v>
      </c>
      <c r="J1194" s="15">
        <f t="shared" si="2"/>
        <v>0</v>
      </c>
      <c r="K1194" s="11"/>
      <c r="L1194" s="11"/>
      <c r="M1194" s="11"/>
      <c r="N1194" s="11"/>
      <c r="O1194" s="17"/>
      <c r="P1194" s="17"/>
    </row>
    <row r="1195" ht="13.5" customHeight="1">
      <c r="A1195" s="11" t="str">
        <f t="shared" si="1"/>
        <v>LFW-MAZDA612XYG</v>
      </c>
      <c r="B1195" s="32" t="s">
        <v>725</v>
      </c>
      <c r="C1195" s="33" t="s">
        <v>726</v>
      </c>
      <c r="D1195" s="33" t="s">
        <v>60</v>
      </c>
      <c r="E1195" s="11" t="s">
        <v>16</v>
      </c>
      <c r="F1195" s="33" t="s">
        <v>137</v>
      </c>
      <c r="G1195" s="11"/>
      <c r="H1195" s="11">
        <f>SUMIFS(X!$F$3:$F$5978,X!$D$3:$D$5978,'Current Stock'!A1195)</f>
        <v>0</v>
      </c>
      <c r="I1195" s="11">
        <f>SUMIFS(PENJUALAN!$E$4:$E$3651,PENJUALAN!$C$4:$C$3651,'Current Stock'!A1195)</f>
        <v>0</v>
      </c>
      <c r="J1195" s="15">
        <f t="shared" si="2"/>
        <v>0</v>
      </c>
      <c r="K1195" s="11"/>
      <c r="L1195" s="11"/>
      <c r="M1195" s="11"/>
      <c r="N1195" s="11"/>
      <c r="O1195" s="17"/>
      <c r="P1195" s="17"/>
    </row>
    <row r="1196" ht="13.5" customHeight="1">
      <c r="A1196" s="11" t="str">
        <f t="shared" si="1"/>
        <v>LFW-MAZDA8RSXYG</v>
      </c>
      <c r="B1196" s="32" t="s">
        <v>1528</v>
      </c>
      <c r="C1196" s="33" t="s">
        <v>731</v>
      </c>
      <c r="D1196" s="33" t="s">
        <v>60</v>
      </c>
      <c r="E1196" s="11" t="s">
        <v>16</v>
      </c>
      <c r="F1196" s="33" t="s">
        <v>90</v>
      </c>
      <c r="G1196" s="11"/>
      <c r="H1196" s="11">
        <f>SUMIFS(X!$F$3:$F$5978,X!$D$3:$D$5978,'Current Stock'!A1196)</f>
        <v>0</v>
      </c>
      <c r="I1196" s="11">
        <f>SUMIFS(PENJUALAN!$E$4:$E$3651,PENJUALAN!$C$4:$C$3651,'Current Stock'!A1196)</f>
        <v>0</v>
      </c>
      <c r="J1196" s="15">
        <f t="shared" si="2"/>
        <v>0</v>
      </c>
      <c r="K1196" s="11"/>
      <c r="L1196" s="11"/>
      <c r="M1196" s="11"/>
      <c r="N1196" s="11"/>
      <c r="O1196" s="17"/>
      <c r="P1196" s="17"/>
    </row>
    <row r="1197" ht="13.5" customHeight="1">
      <c r="A1197" s="11" t="str">
        <f t="shared" si="1"/>
        <v>LFW-W212RSFY</v>
      </c>
      <c r="B1197" s="32" t="s">
        <v>1529</v>
      </c>
      <c r="C1197" s="33" t="s">
        <v>1530</v>
      </c>
      <c r="D1197" s="33" t="s">
        <v>60</v>
      </c>
      <c r="E1197" s="11" t="s">
        <v>123</v>
      </c>
      <c r="F1197" s="33" t="s">
        <v>124</v>
      </c>
      <c r="G1197" s="11"/>
      <c r="H1197" s="11">
        <f>SUMIFS(X!$F$3:$F$5978,X!$D$3:$D$5978,'Current Stock'!A1197)</f>
        <v>1</v>
      </c>
      <c r="I1197" s="11">
        <f>SUMIFS(PENJUALAN!$E$4:$E$3651,PENJUALAN!$C$4:$C$3651,'Current Stock'!A1197)</f>
        <v>1</v>
      </c>
      <c r="J1197" s="15">
        <f t="shared" si="2"/>
        <v>0</v>
      </c>
      <c r="K1197" s="11"/>
      <c r="L1197" s="11"/>
      <c r="M1197" s="11"/>
      <c r="N1197" s="11"/>
      <c r="O1197" s="17"/>
      <c r="P1197" s="17"/>
    </row>
    <row r="1198" ht="13.5" customHeight="1">
      <c r="A1198" s="11" t="str">
        <f t="shared" si="1"/>
        <v>LFW-BIANTERSXYG</v>
      </c>
      <c r="B1198" s="32" t="s">
        <v>733</v>
      </c>
      <c r="C1198" s="33" t="s">
        <v>734</v>
      </c>
      <c r="D1198" s="33" t="s">
        <v>60</v>
      </c>
      <c r="E1198" s="11" t="s">
        <v>16</v>
      </c>
      <c r="F1198" s="33" t="s">
        <v>314</v>
      </c>
      <c r="G1198" s="11"/>
      <c r="H1198" s="11">
        <f>SUMIFS(X!$F$3:$F$5978,X!$D$3:$D$5978,'Current Stock'!A1198)</f>
        <v>0</v>
      </c>
      <c r="I1198" s="11">
        <f>SUMIFS(PENJUALAN!$E$4:$E$3651,PENJUALAN!$C$4:$C$3651,'Current Stock'!A1198)</f>
        <v>0</v>
      </c>
      <c r="J1198" s="15">
        <f t="shared" si="2"/>
        <v>0</v>
      </c>
      <c r="K1198" s="11"/>
      <c r="L1198" s="11"/>
      <c r="M1198" s="11"/>
      <c r="N1198" s="11"/>
      <c r="O1198" s="17"/>
      <c r="P1198" s="17"/>
    </row>
    <row r="1199" ht="13.5" customHeight="1">
      <c r="A1199" s="11" t="str">
        <f t="shared" si="1"/>
        <v>TRW-W212FY</v>
      </c>
      <c r="B1199" s="32" t="s">
        <v>1531</v>
      </c>
      <c r="C1199" s="33" t="s">
        <v>1532</v>
      </c>
      <c r="D1199" s="33" t="s">
        <v>62</v>
      </c>
      <c r="E1199" s="11" t="s">
        <v>123</v>
      </c>
      <c r="F1199" s="33" t="s">
        <v>126</v>
      </c>
      <c r="G1199" s="11"/>
      <c r="H1199" s="11">
        <f>SUMIFS(X!$F$3:$F$5978,X!$D$3:$D$5978,'Current Stock'!A1199)</f>
        <v>1</v>
      </c>
      <c r="I1199" s="11">
        <f>SUMIFS(PENJUALAN!$E$4:$E$3651,PENJUALAN!$C$4:$C$3651,'Current Stock'!A1199)</f>
        <v>1</v>
      </c>
      <c r="J1199" s="15">
        <f t="shared" si="2"/>
        <v>0</v>
      </c>
      <c r="K1199" s="11"/>
      <c r="L1199" s="11"/>
      <c r="M1199" s="11"/>
      <c r="N1199" s="11"/>
      <c r="O1199" s="17"/>
      <c r="P1199" s="17"/>
    </row>
    <row r="1200" ht="13.5" customHeight="1">
      <c r="A1200" s="11" t="str">
        <f t="shared" si="1"/>
        <v>TRW-BIANTEBLACKXYG</v>
      </c>
      <c r="B1200" s="32" t="s">
        <v>737</v>
      </c>
      <c r="C1200" s="33" t="s">
        <v>738</v>
      </c>
      <c r="D1200" s="33" t="s">
        <v>62</v>
      </c>
      <c r="E1200" s="11" t="s">
        <v>16</v>
      </c>
      <c r="F1200" s="33" t="s">
        <v>450</v>
      </c>
      <c r="G1200" s="11"/>
      <c r="H1200" s="11">
        <f>SUMIFS(X!$F$3:$F$5978,X!$D$3:$D$5978,'Current Stock'!A1200)</f>
        <v>4</v>
      </c>
      <c r="I1200" s="11">
        <f>SUMIFS(PENJUALAN!$E$4:$E$3651,PENJUALAN!$C$4:$C$3651,'Current Stock'!A1200)</f>
        <v>4</v>
      </c>
      <c r="J1200" s="15">
        <f t="shared" si="2"/>
        <v>0</v>
      </c>
      <c r="K1200" s="13"/>
      <c r="L1200" s="13"/>
      <c r="M1200" s="11"/>
      <c r="N1200" s="11"/>
      <c r="O1200" s="17"/>
      <c r="P1200" s="17"/>
    </row>
    <row r="1201" ht="13.5" customHeight="1">
      <c r="A1201" s="11" t="str">
        <f t="shared" si="1"/>
        <v>SWL-BIANTEHITAMXYG</v>
      </c>
      <c r="B1201" s="32" t="s">
        <v>1533</v>
      </c>
      <c r="C1201" s="33" t="s">
        <v>738</v>
      </c>
      <c r="D1201" s="35" t="s">
        <v>209</v>
      </c>
      <c r="E1201" s="11" t="s">
        <v>16</v>
      </c>
      <c r="F1201" s="33"/>
      <c r="G1201" s="11"/>
      <c r="H1201" s="11">
        <f>SUMIFS(X!$F$3:$F$5978,X!$D$3:$D$5978,'Current Stock'!A1201)</f>
        <v>1</v>
      </c>
      <c r="I1201" s="11">
        <f>SUMIFS(PENJUALAN!$E$4:$E$3651,PENJUALAN!$C$4:$C$3651,'Current Stock'!A1201)</f>
        <v>1</v>
      </c>
      <c r="J1201" s="15">
        <f t="shared" si="2"/>
        <v>0</v>
      </c>
      <c r="K1201" s="11"/>
      <c r="L1201" s="11"/>
      <c r="M1201" s="11"/>
      <c r="N1201" s="11"/>
      <c r="O1201" s="17"/>
      <c r="P1201" s="17"/>
    </row>
    <row r="1202" ht="13.5" customHeight="1">
      <c r="A1202" s="11" t="str">
        <f t="shared" si="1"/>
        <v>SWR-BIANTEHITAMXYG</v>
      </c>
      <c r="B1202" s="32" t="s">
        <v>1534</v>
      </c>
      <c r="C1202" s="33" t="s">
        <v>738</v>
      </c>
      <c r="D1202" s="35" t="s">
        <v>243</v>
      </c>
      <c r="E1202" s="11" t="s">
        <v>16</v>
      </c>
      <c r="F1202" s="33"/>
      <c r="G1202" s="11"/>
      <c r="H1202" s="11">
        <f>SUMIFS(X!$F$3:$F$5978,X!$D$3:$D$5978,'Current Stock'!A1202)</f>
        <v>0</v>
      </c>
      <c r="I1202" s="11">
        <f>SUMIFS(PENJUALAN!$E$4:$E$3651,PENJUALAN!$C$4:$C$3651,'Current Stock'!A1202)</f>
        <v>0</v>
      </c>
      <c r="J1202" s="15">
        <f t="shared" si="2"/>
        <v>0</v>
      </c>
      <c r="K1202" s="13" t="s">
        <v>430</v>
      </c>
      <c r="L1202" s="11"/>
      <c r="M1202" s="11"/>
      <c r="N1202" s="11"/>
      <c r="O1202" s="17"/>
      <c r="P1202" s="17"/>
    </row>
    <row r="1203" ht="13.5" customHeight="1">
      <c r="A1203" s="11" t="str">
        <f t="shared" si="1"/>
        <v>LFW-CX3XYG</v>
      </c>
      <c r="B1203" s="32" t="s">
        <v>1535</v>
      </c>
      <c r="C1203" s="33" t="s">
        <v>1536</v>
      </c>
      <c r="D1203" s="33" t="s">
        <v>60</v>
      </c>
      <c r="E1203" s="11" t="s">
        <v>16</v>
      </c>
      <c r="F1203" s="33" t="s">
        <v>314</v>
      </c>
      <c r="G1203" s="11"/>
      <c r="H1203" s="11">
        <f>SUMIFS(X!$F$3:$F$5978,X!$D$3:$D$5978,'Current Stock'!A1203)</f>
        <v>0</v>
      </c>
      <c r="I1203" s="11">
        <f>SUMIFS(PENJUALAN!$E$4:$E$3651,PENJUALAN!$C$4:$C$3651,'Current Stock'!A1203)</f>
        <v>0</v>
      </c>
      <c r="J1203" s="15">
        <f t="shared" si="2"/>
        <v>0</v>
      </c>
      <c r="K1203" s="11"/>
      <c r="L1203" s="11"/>
      <c r="M1203" s="11"/>
      <c r="N1203" s="11"/>
      <c r="O1203" s="17"/>
      <c r="P1203" s="17"/>
    </row>
    <row r="1204" ht="13.5" customHeight="1">
      <c r="A1204" s="11" t="str">
        <f t="shared" si="1"/>
        <v>TRW-CX3XYG</v>
      </c>
      <c r="B1204" s="36" t="s">
        <v>1537</v>
      </c>
      <c r="C1204" s="31" t="s">
        <v>1538</v>
      </c>
      <c r="D1204" s="31" t="s">
        <v>62</v>
      </c>
      <c r="E1204" s="13" t="s">
        <v>16</v>
      </c>
      <c r="F1204" s="31" t="s">
        <v>228</v>
      </c>
      <c r="G1204" s="14">
        <v>45988.0</v>
      </c>
      <c r="H1204" s="11">
        <f>SUMIFS(X!$F$3:$F$5978,X!$D$3:$D$5978,'Current Stock'!A1204)</f>
        <v>2</v>
      </c>
      <c r="I1204" s="11">
        <f>SUMIFS(PENJUALAN!$E$4:$E$3651,PENJUALAN!$C$4:$C$3651,'Current Stock'!A1204)</f>
        <v>2</v>
      </c>
      <c r="J1204" s="15">
        <f t="shared" si="2"/>
        <v>0</v>
      </c>
      <c r="K1204" s="13"/>
      <c r="L1204" s="11"/>
      <c r="M1204" s="11"/>
      <c r="N1204" s="11"/>
      <c r="O1204" s="17"/>
      <c r="P1204" s="17"/>
    </row>
    <row r="1205" ht="13.5" customHeight="1">
      <c r="A1205" s="11" t="str">
        <f t="shared" si="1"/>
        <v>LFW-CX5GEN1RSFY</v>
      </c>
      <c r="B1205" s="32" t="s">
        <v>746</v>
      </c>
      <c r="C1205" s="33" t="s">
        <v>749</v>
      </c>
      <c r="D1205" s="33" t="s">
        <v>60</v>
      </c>
      <c r="E1205" s="11" t="s">
        <v>123</v>
      </c>
      <c r="F1205" s="33" t="s">
        <v>1539</v>
      </c>
      <c r="G1205" s="11"/>
      <c r="H1205" s="11">
        <f>SUMIFS(X!$F$3:$F$5978,X!$D$3:$D$5978,'Current Stock'!A1205)</f>
        <v>0</v>
      </c>
      <c r="I1205" s="11">
        <f>SUMIFS(PENJUALAN!$E$4:$E$3651,PENJUALAN!$C$4:$C$3651,'Current Stock'!A1205)</f>
        <v>0</v>
      </c>
      <c r="J1205" s="15">
        <f t="shared" si="2"/>
        <v>0</v>
      </c>
      <c r="K1205" s="11"/>
      <c r="L1205" s="11"/>
      <c r="M1205" s="11"/>
      <c r="N1205" s="11"/>
      <c r="O1205" s="17"/>
      <c r="P1205" s="17"/>
    </row>
    <row r="1206" ht="13.5" customHeight="1">
      <c r="A1206" s="11" t="str">
        <f t="shared" si="1"/>
        <v>LFW-CX5GEN2RS1XYG</v>
      </c>
      <c r="B1206" s="48" t="s">
        <v>1540</v>
      </c>
      <c r="C1206" s="33" t="s">
        <v>1541</v>
      </c>
      <c r="D1206" s="33" t="s">
        <v>60</v>
      </c>
      <c r="E1206" s="11" t="s">
        <v>16</v>
      </c>
      <c r="F1206" s="33" t="s">
        <v>314</v>
      </c>
      <c r="G1206" s="11"/>
      <c r="H1206" s="11">
        <f>SUMIFS(X!$F$3:$F$5978,X!$D$3:$D$5978,'Current Stock'!A1206)</f>
        <v>12</v>
      </c>
      <c r="I1206" s="11">
        <f>SUMIFS(PENJUALAN!$E$4:$E$3651,PENJUALAN!$C$4:$C$3651,'Current Stock'!A1206)</f>
        <v>7</v>
      </c>
      <c r="J1206" s="15">
        <f t="shared" si="2"/>
        <v>5</v>
      </c>
      <c r="K1206" s="11"/>
      <c r="L1206" s="11"/>
      <c r="M1206" s="11"/>
      <c r="N1206" s="11"/>
      <c r="O1206" s="17"/>
      <c r="P1206" s="17"/>
    </row>
    <row r="1207" ht="13.5" customHeight="1">
      <c r="A1207" s="11" t="str">
        <f t="shared" si="1"/>
        <v>LFW-CRV17XYG</v>
      </c>
      <c r="B1207" s="32" t="s">
        <v>454</v>
      </c>
      <c r="C1207" s="33" t="s">
        <v>455</v>
      </c>
      <c r="D1207" s="33" t="s">
        <v>60</v>
      </c>
      <c r="E1207" s="11" t="s">
        <v>16</v>
      </c>
      <c r="F1207" s="33" t="s">
        <v>137</v>
      </c>
      <c r="G1207" s="34"/>
      <c r="H1207" s="11">
        <f>SUMIFS(X!$F$3:$F$5978,X!$D$3:$D$5978,'Current Stock'!A1207)</f>
        <v>14</v>
      </c>
      <c r="I1207" s="11">
        <f>SUMIFS(PENJUALAN!$E$4:$E$3651,PENJUALAN!$C$4:$C$3651,'Current Stock'!A1207)</f>
        <v>10</v>
      </c>
      <c r="J1207" s="15">
        <f t="shared" si="2"/>
        <v>4</v>
      </c>
      <c r="K1207" s="13"/>
      <c r="L1207" s="13"/>
      <c r="M1207" s="11"/>
      <c r="N1207" s="11"/>
      <c r="O1207" s="17"/>
      <c r="P1207" s="17"/>
    </row>
    <row r="1208" ht="13.5" customHeight="1">
      <c r="A1208" s="11" t="str">
        <f t="shared" si="1"/>
        <v>LFW-CX5GEN2RS3XYG</v>
      </c>
      <c r="B1208" s="32" t="s">
        <v>1542</v>
      </c>
      <c r="C1208" s="33" t="s">
        <v>1543</v>
      </c>
      <c r="D1208" s="33" t="s">
        <v>60</v>
      </c>
      <c r="E1208" s="11" t="s">
        <v>16</v>
      </c>
      <c r="F1208" s="33" t="s">
        <v>1544</v>
      </c>
      <c r="G1208" s="11"/>
      <c r="H1208" s="11">
        <f>SUMIFS(X!$F$3:$F$5978,X!$D$3:$D$5978,'Current Stock'!A1208)</f>
        <v>1</v>
      </c>
      <c r="I1208" s="11">
        <f>SUMIFS(PENJUALAN!$E$4:$E$3651,PENJUALAN!$C$4:$C$3651,'Current Stock'!A1208)</f>
        <v>1</v>
      </c>
      <c r="J1208" s="15">
        <f t="shared" si="2"/>
        <v>0</v>
      </c>
      <c r="K1208" s="11"/>
      <c r="L1208" s="11"/>
      <c r="M1208" s="11"/>
      <c r="N1208" s="11"/>
      <c r="O1208" s="17"/>
      <c r="P1208" s="17"/>
    </row>
    <row r="1209" ht="13.5" customHeight="1">
      <c r="A1209" s="11" t="str">
        <f t="shared" si="1"/>
        <v>TRW-CX5GEN2XYG</v>
      </c>
      <c r="B1209" s="32" t="s">
        <v>1545</v>
      </c>
      <c r="C1209" s="33" t="s">
        <v>1546</v>
      </c>
      <c r="D1209" s="33" t="s">
        <v>62</v>
      </c>
      <c r="E1209" s="11" t="s">
        <v>16</v>
      </c>
      <c r="F1209" s="33" t="s">
        <v>228</v>
      </c>
      <c r="G1209" s="11"/>
      <c r="H1209" s="11">
        <f>SUMIFS(X!$F$3:$F$5978,X!$D$3:$D$5978,'Current Stock'!A1209)</f>
        <v>1</v>
      </c>
      <c r="I1209" s="11">
        <f>SUMIFS(PENJUALAN!$E$4:$E$3651,PENJUALAN!$C$4:$C$3651,'Current Stock'!A1209)</f>
        <v>1</v>
      </c>
      <c r="J1209" s="15">
        <f t="shared" si="2"/>
        <v>0</v>
      </c>
      <c r="K1209" s="11"/>
      <c r="L1209" s="11"/>
      <c r="M1209" s="11"/>
      <c r="N1209" s="11"/>
      <c r="O1209" s="17"/>
      <c r="P1209" s="17"/>
    </row>
    <row r="1210" ht="13.5" customHeight="1">
      <c r="A1210" s="11" t="str">
        <f t="shared" si="1"/>
        <v>FDL-CX5GEN2XYG</v>
      </c>
      <c r="B1210" s="32" t="s">
        <v>1547</v>
      </c>
      <c r="C1210" s="35" t="s">
        <v>1546</v>
      </c>
      <c r="D1210" s="35" t="s">
        <v>140</v>
      </c>
      <c r="E1210" s="11" t="s">
        <v>16</v>
      </c>
      <c r="F1210" s="42" t="s">
        <v>406</v>
      </c>
      <c r="G1210" s="11"/>
      <c r="H1210" s="11">
        <f>SUMIFS(X!$F$3:$F$5978,X!$D$3:$D$5978,'Current Stock'!A1210)</f>
        <v>0</v>
      </c>
      <c r="I1210" s="11">
        <f>SUMIFS(PENJUALAN!$E$4:$E$3651,PENJUALAN!$C$4:$C$3651,'Current Stock'!A1210)</f>
        <v>0</v>
      </c>
      <c r="J1210" s="15">
        <f t="shared" si="2"/>
        <v>0</v>
      </c>
      <c r="K1210" s="11"/>
      <c r="L1210" s="11"/>
      <c r="M1210" s="11"/>
      <c r="N1210" s="11"/>
      <c r="O1210" s="17"/>
      <c r="P1210" s="17"/>
    </row>
    <row r="1211" ht="13.5" customHeight="1">
      <c r="A1211" s="11" t="str">
        <f t="shared" si="1"/>
        <v>FDR-CX5GEN2XYG</v>
      </c>
      <c r="B1211" s="32" t="s">
        <v>1548</v>
      </c>
      <c r="C1211" s="35" t="s">
        <v>1546</v>
      </c>
      <c r="D1211" s="35" t="s">
        <v>142</v>
      </c>
      <c r="E1211" s="11" t="s">
        <v>16</v>
      </c>
      <c r="F1211" s="42" t="s">
        <v>406</v>
      </c>
      <c r="G1211" s="11"/>
      <c r="H1211" s="11">
        <f>SUMIFS(X!$F$3:$F$5978,X!$D$3:$D$5978,'Current Stock'!A1211)</f>
        <v>0</v>
      </c>
      <c r="I1211" s="11">
        <f>SUMIFS(PENJUALAN!$E$4:$E$3651,PENJUALAN!$C$4:$C$3651,'Current Stock'!A1211)</f>
        <v>0</v>
      </c>
      <c r="J1211" s="15">
        <f t="shared" si="2"/>
        <v>0</v>
      </c>
      <c r="K1211" s="11"/>
      <c r="L1211" s="11"/>
      <c r="M1211" s="11"/>
      <c r="N1211" s="11"/>
      <c r="O1211" s="17"/>
      <c r="P1211" s="17"/>
    </row>
    <row r="1212" ht="13.5" customHeight="1">
      <c r="A1212" s="11" t="str">
        <f t="shared" si="1"/>
        <v>RDL-CX5GEN2XYG</v>
      </c>
      <c r="B1212" s="32" t="s">
        <v>1549</v>
      </c>
      <c r="C1212" s="35" t="s">
        <v>1546</v>
      </c>
      <c r="D1212" s="35" t="s">
        <v>144</v>
      </c>
      <c r="E1212" s="11" t="s">
        <v>16</v>
      </c>
      <c r="F1212" s="42" t="s">
        <v>406</v>
      </c>
      <c r="G1212" s="11"/>
      <c r="H1212" s="11">
        <f>SUMIFS(X!$F$3:$F$5978,X!$D$3:$D$5978,'Current Stock'!A1212)</f>
        <v>0</v>
      </c>
      <c r="I1212" s="11">
        <f>SUMIFS(PENJUALAN!$E$4:$E$3651,PENJUALAN!$C$4:$C$3651,'Current Stock'!A1212)</f>
        <v>0</v>
      </c>
      <c r="J1212" s="15">
        <f t="shared" si="2"/>
        <v>0</v>
      </c>
      <c r="K1212" s="11"/>
      <c r="L1212" s="11"/>
      <c r="M1212" s="11"/>
      <c r="N1212" s="11"/>
      <c r="O1212" s="17"/>
      <c r="P1212" s="17"/>
    </row>
    <row r="1213" ht="13.5" customHeight="1">
      <c r="A1213" s="11" t="str">
        <f t="shared" si="1"/>
        <v>RDR-CX5GEN2XYG</v>
      </c>
      <c r="B1213" s="32" t="s">
        <v>1550</v>
      </c>
      <c r="C1213" s="35" t="s">
        <v>1546</v>
      </c>
      <c r="D1213" s="35" t="s">
        <v>146</v>
      </c>
      <c r="E1213" s="11" t="s">
        <v>16</v>
      </c>
      <c r="F1213" s="42" t="s">
        <v>406</v>
      </c>
      <c r="G1213" s="11"/>
      <c r="H1213" s="11">
        <f>SUMIFS(X!$F$3:$F$5978,X!$D$3:$D$5978,'Current Stock'!A1213)</f>
        <v>0</v>
      </c>
      <c r="I1213" s="11">
        <f>SUMIFS(PENJUALAN!$E$4:$E$3651,PENJUALAN!$C$4:$C$3651,'Current Stock'!A1213)</f>
        <v>0</v>
      </c>
      <c r="J1213" s="15">
        <f t="shared" si="2"/>
        <v>0</v>
      </c>
      <c r="K1213" s="11"/>
      <c r="L1213" s="11"/>
      <c r="M1213" s="11"/>
      <c r="N1213" s="11"/>
      <c r="O1213" s="17"/>
      <c r="P1213" s="17"/>
    </row>
    <row r="1214" ht="13.5" customHeight="1">
      <c r="A1214" s="11" t="str">
        <f t="shared" si="1"/>
        <v>SWL-CX5GEN2XYG</v>
      </c>
      <c r="B1214" s="32" t="s">
        <v>1551</v>
      </c>
      <c r="C1214" s="35" t="s">
        <v>1546</v>
      </c>
      <c r="D1214" s="35" t="s">
        <v>209</v>
      </c>
      <c r="E1214" s="11" t="s">
        <v>16</v>
      </c>
      <c r="F1214" s="42" t="s">
        <v>83</v>
      </c>
      <c r="G1214" s="11"/>
      <c r="H1214" s="11">
        <f>SUMIFS(X!$F$3:$F$5978,X!$D$3:$D$5978,'Current Stock'!A1214)</f>
        <v>0</v>
      </c>
      <c r="I1214" s="11">
        <f>SUMIFS(PENJUALAN!$E$4:$E$3651,PENJUALAN!$C$4:$C$3651,'Current Stock'!A1214)</f>
        <v>0</v>
      </c>
      <c r="J1214" s="15">
        <f t="shared" si="2"/>
        <v>0</v>
      </c>
      <c r="K1214" s="11"/>
      <c r="L1214" s="11"/>
      <c r="M1214" s="11"/>
      <c r="N1214" s="11"/>
      <c r="O1214" s="17"/>
      <c r="P1214" s="17"/>
    </row>
    <row r="1215" ht="13.5" customHeight="1">
      <c r="A1215" s="11" t="str">
        <f t="shared" si="1"/>
        <v>SWR-CX5GEN2XYG</v>
      </c>
      <c r="B1215" s="32" t="s">
        <v>1552</v>
      </c>
      <c r="C1215" s="35" t="s">
        <v>1546</v>
      </c>
      <c r="D1215" s="35" t="s">
        <v>243</v>
      </c>
      <c r="E1215" s="11" t="s">
        <v>16</v>
      </c>
      <c r="F1215" s="42" t="s">
        <v>83</v>
      </c>
      <c r="G1215" s="11"/>
      <c r="H1215" s="11">
        <f>SUMIFS(X!$F$3:$F$5978,X!$D$3:$D$5978,'Current Stock'!A1215)</f>
        <v>0</v>
      </c>
      <c r="I1215" s="11">
        <f>SUMIFS(PENJUALAN!$E$4:$E$3651,PENJUALAN!$C$4:$C$3651,'Current Stock'!A1215)</f>
        <v>0</v>
      </c>
      <c r="J1215" s="15">
        <f t="shared" si="2"/>
        <v>0</v>
      </c>
      <c r="K1215" s="11"/>
      <c r="L1215" s="11"/>
      <c r="M1215" s="11"/>
      <c r="N1215" s="11"/>
      <c r="O1215" s="17"/>
      <c r="P1215" s="17"/>
    </row>
    <row r="1216" ht="13.5" customHeight="1">
      <c r="A1216" s="11" t="str">
        <f t="shared" si="1"/>
        <v>LFW-CX7RSXYG</v>
      </c>
      <c r="B1216" s="32" t="s">
        <v>759</v>
      </c>
      <c r="C1216" s="33" t="s">
        <v>760</v>
      </c>
      <c r="D1216" s="33" t="s">
        <v>60</v>
      </c>
      <c r="E1216" s="11" t="s">
        <v>16</v>
      </c>
      <c r="F1216" s="33" t="s">
        <v>90</v>
      </c>
      <c r="G1216" s="11"/>
      <c r="H1216" s="11">
        <f>SUMIFS(X!$F$3:$F$5978,X!$D$3:$D$5978,'Current Stock'!A1216)</f>
        <v>0</v>
      </c>
      <c r="I1216" s="11">
        <f>SUMIFS(PENJUALAN!$E$4:$E$3651,PENJUALAN!$C$4:$C$3651,'Current Stock'!A1216)</f>
        <v>0</v>
      </c>
      <c r="J1216" s="15">
        <f t="shared" si="2"/>
        <v>0</v>
      </c>
      <c r="K1216" s="11"/>
      <c r="L1216" s="11"/>
      <c r="M1216" s="11"/>
      <c r="N1216" s="11"/>
      <c r="O1216" s="17"/>
      <c r="P1216" s="17"/>
    </row>
    <row r="1217" ht="13.5" customHeight="1">
      <c r="A1217" s="11" t="str">
        <f t="shared" si="1"/>
        <v>LFW-CX7XYG</v>
      </c>
      <c r="B1217" s="32" t="s">
        <v>761</v>
      </c>
      <c r="C1217" s="33" t="s">
        <v>762</v>
      </c>
      <c r="D1217" s="33" t="s">
        <v>60</v>
      </c>
      <c r="E1217" s="11" t="s">
        <v>16</v>
      </c>
      <c r="F1217" s="33" t="s">
        <v>745</v>
      </c>
      <c r="G1217" s="11"/>
      <c r="H1217" s="11">
        <f>SUMIFS(X!$F$3:$F$5978,X!$D$3:$D$5978,'Current Stock'!A1217)</f>
        <v>0</v>
      </c>
      <c r="I1217" s="11">
        <f>SUMIFS(PENJUALAN!$E$4:$E$3651,PENJUALAN!$C$4:$C$3651,'Current Stock'!A1217)</f>
        <v>0</v>
      </c>
      <c r="J1217" s="15">
        <f t="shared" si="2"/>
        <v>0</v>
      </c>
      <c r="K1217" s="11"/>
      <c r="L1217" s="11"/>
      <c r="M1217" s="11"/>
      <c r="N1217" s="11"/>
      <c r="O1217" s="17"/>
      <c r="P1217" s="17"/>
    </row>
    <row r="1218" ht="13.5" customHeight="1">
      <c r="A1218" s="11" t="str">
        <f t="shared" si="1"/>
        <v>TRW-CX7XYG</v>
      </c>
      <c r="B1218" s="36" t="s">
        <v>763</v>
      </c>
      <c r="C1218" s="31" t="s">
        <v>764</v>
      </c>
      <c r="D1218" s="31" t="s">
        <v>62</v>
      </c>
      <c r="E1218" s="13" t="s">
        <v>16</v>
      </c>
      <c r="F1218" s="31" t="s">
        <v>1553</v>
      </c>
      <c r="G1218" s="11"/>
      <c r="H1218" s="11">
        <f>SUMIFS(X!$F$3:$F$5978,X!$D$3:$D$5978,'Current Stock'!A1218)</f>
        <v>0</v>
      </c>
      <c r="I1218" s="11">
        <f>SUMIFS(PENJUALAN!$E$4:$E$3651,PENJUALAN!$C$4:$C$3651,'Current Stock'!A1218)</f>
        <v>0</v>
      </c>
      <c r="J1218" s="15">
        <f t="shared" si="2"/>
        <v>0</v>
      </c>
      <c r="K1218" s="13"/>
      <c r="L1218" s="13"/>
      <c r="M1218" s="11"/>
      <c r="N1218" s="11"/>
      <c r="O1218" s="17"/>
      <c r="P1218" s="17"/>
    </row>
    <row r="1219" ht="13.5" customHeight="1">
      <c r="A1219" s="11" t="str">
        <f t="shared" si="1"/>
        <v>LFW-CX9GEN1XYG</v>
      </c>
      <c r="B1219" s="32" t="s">
        <v>771</v>
      </c>
      <c r="C1219" s="33" t="s">
        <v>772</v>
      </c>
      <c r="D1219" s="33" t="s">
        <v>60</v>
      </c>
      <c r="E1219" s="11" t="s">
        <v>16</v>
      </c>
      <c r="F1219" s="33" t="s">
        <v>196</v>
      </c>
      <c r="G1219" s="11"/>
      <c r="H1219" s="11">
        <f>SUMIFS(X!$F$3:$F$5978,X!$D$3:$D$5978,'Current Stock'!A1219)</f>
        <v>0</v>
      </c>
      <c r="I1219" s="11">
        <f>SUMIFS(PENJUALAN!$E$4:$E$3651,PENJUALAN!$C$4:$C$3651,'Current Stock'!A1219)</f>
        <v>0</v>
      </c>
      <c r="J1219" s="15">
        <f t="shared" si="2"/>
        <v>0</v>
      </c>
      <c r="K1219" s="11"/>
      <c r="L1219" s="11"/>
      <c r="M1219" s="11"/>
      <c r="N1219" s="11"/>
      <c r="O1219" s="17"/>
      <c r="P1219" s="17"/>
    </row>
    <row r="1220" ht="13.5" customHeight="1">
      <c r="A1220" s="11" t="str">
        <f t="shared" si="1"/>
        <v>TRW-CX9GEN1XYG</v>
      </c>
      <c r="B1220" s="32" t="s">
        <v>773</v>
      </c>
      <c r="C1220" s="33" t="s">
        <v>772</v>
      </c>
      <c r="D1220" s="33" t="s">
        <v>62</v>
      </c>
      <c r="E1220" s="11" t="s">
        <v>16</v>
      </c>
      <c r="F1220" s="33" t="s">
        <v>765</v>
      </c>
      <c r="G1220" s="11"/>
      <c r="H1220" s="11">
        <f>SUMIFS(X!$F$3:$F$5978,X!$D$3:$D$5978,'Current Stock'!A1220)</f>
        <v>0</v>
      </c>
      <c r="I1220" s="11">
        <f>SUMIFS(PENJUALAN!$E$4:$E$3651,PENJUALAN!$C$4:$C$3651,'Current Stock'!A1220)</f>
        <v>0</v>
      </c>
      <c r="J1220" s="15">
        <f t="shared" si="2"/>
        <v>0</v>
      </c>
      <c r="K1220" s="11"/>
      <c r="L1220" s="11"/>
      <c r="M1220" s="11"/>
      <c r="N1220" s="11"/>
      <c r="O1220" s="17"/>
      <c r="P1220" s="17"/>
    </row>
    <row r="1221" ht="13.5" customHeight="1">
      <c r="A1221" s="11" t="str">
        <f t="shared" si="1"/>
        <v>TRW-CX9GEN2XYG</v>
      </c>
      <c r="B1221" s="32" t="s">
        <v>1554</v>
      </c>
      <c r="C1221" s="35" t="s">
        <v>1555</v>
      </c>
      <c r="D1221" s="35" t="s">
        <v>62</v>
      </c>
      <c r="E1221" s="11" t="s">
        <v>16</v>
      </c>
      <c r="F1221" s="33" t="s">
        <v>228</v>
      </c>
      <c r="G1221" s="11"/>
      <c r="H1221" s="11">
        <f>SUMIFS(X!$F$3:$F$5978,X!$D$3:$D$5978,'Current Stock'!A1221)</f>
        <v>0</v>
      </c>
      <c r="I1221" s="11">
        <f>SUMIFS(PENJUALAN!$E$4:$E$3651,PENJUALAN!$C$4:$C$3651,'Current Stock'!A1221)</f>
        <v>0</v>
      </c>
      <c r="J1221" s="15">
        <f t="shared" si="2"/>
        <v>0</v>
      </c>
      <c r="K1221" s="13" t="s">
        <v>1359</v>
      </c>
      <c r="L1221" s="11"/>
      <c r="M1221" s="11"/>
      <c r="N1221" s="11"/>
      <c r="O1221" s="17"/>
      <c r="P1221" s="17"/>
    </row>
    <row r="1222" ht="13.5" customHeight="1">
      <c r="A1222" s="11" t="str">
        <f t="shared" si="1"/>
        <v>LFW-MX5XYG</v>
      </c>
      <c r="B1222" s="32" t="s">
        <v>774</v>
      </c>
      <c r="C1222" s="33" t="s">
        <v>775</v>
      </c>
      <c r="D1222" s="33" t="s">
        <v>60</v>
      </c>
      <c r="E1222" s="11" t="s">
        <v>16</v>
      </c>
      <c r="F1222" s="33" t="s">
        <v>137</v>
      </c>
      <c r="G1222" s="11"/>
      <c r="H1222" s="11">
        <f>SUMIFS(X!$F$3:$F$5978,X!$D$3:$D$5978,'Current Stock'!A1222)</f>
        <v>0</v>
      </c>
      <c r="I1222" s="11">
        <f>SUMIFS(PENJUALAN!$E$4:$E$3651,PENJUALAN!$C$4:$C$3651,'Current Stock'!A1222)</f>
        <v>0</v>
      </c>
      <c r="J1222" s="15">
        <f t="shared" si="2"/>
        <v>0</v>
      </c>
      <c r="K1222" s="11"/>
      <c r="L1222" s="11"/>
      <c r="M1222" s="11"/>
      <c r="N1222" s="11"/>
      <c r="O1222" s="17"/>
      <c r="P1222" s="17"/>
    </row>
    <row r="1223" ht="13.5" customHeight="1">
      <c r="A1223" s="11" t="str">
        <f t="shared" si="1"/>
        <v>LFW-W169XYG</v>
      </c>
      <c r="B1223" s="48" t="s">
        <v>1556</v>
      </c>
      <c r="C1223" s="33" t="s">
        <v>1557</v>
      </c>
      <c r="D1223" s="33" t="s">
        <v>60</v>
      </c>
      <c r="E1223" s="11" t="s">
        <v>16</v>
      </c>
      <c r="F1223" s="33" t="s">
        <v>1558</v>
      </c>
      <c r="G1223" s="14">
        <v>45988.0</v>
      </c>
      <c r="H1223" s="11">
        <f>SUMIFS(X!$F$3:$F$5978,X!$D$3:$D$5978,'Current Stock'!A1223)</f>
        <v>0</v>
      </c>
      <c r="I1223" s="11">
        <f>SUMIFS(PENJUALAN!$E$4:$E$3651,PENJUALAN!$C$4:$C$3651,'Current Stock'!A1223)</f>
        <v>0</v>
      </c>
      <c r="J1223" s="15">
        <f t="shared" si="2"/>
        <v>0</v>
      </c>
      <c r="K1223" s="13"/>
      <c r="L1223" s="11"/>
      <c r="M1223" s="11"/>
      <c r="N1223" s="11"/>
      <c r="O1223" s="17"/>
      <c r="P1223" s="17"/>
    </row>
    <row r="1224" ht="13.5" customHeight="1">
      <c r="A1224" s="11" t="str">
        <f t="shared" si="1"/>
        <v>LFW-W169RSXYG</v>
      </c>
      <c r="B1224" s="32" t="s">
        <v>1559</v>
      </c>
      <c r="C1224" s="33" t="s">
        <v>1557</v>
      </c>
      <c r="D1224" s="33" t="s">
        <v>60</v>
      </c>
      <c r="E1224" s="11" t="s">
        <v>16</v>
      </c>
      <c r="F1224" s="33" t="s">
        <v>124</v>
      </c>
      <c r="G1224" s="11"/>
      <c r="H1224" s="11">
        <f>SUMIFS(X!$F$3:$F$5978,X!$D$3:$D$5978,'Current Stock'!A1224)</f>
        <v>0</v>
      </c>
      <c r="I1224" s="11">
        <f>SUMIFS(PENJUALAN!$E$4:$E$3651,PENJUALAN!$C$4:$C$3651,'Current Stock'!A1224)</f>
        <v>0</v>
      </c>
      <c r="J1224" s="15">
        <f t="shared" si="2"/>
        <v>0</v>
      </c>
      <c r="K1224" s="11"/>
      <c r="L1224" s="11"/>
      <c r="M1224" s="16">
        <v>1.0</v>
      </c>
      <c r="N1224" s="11"/>
      <c r="O1224" s="17"/>
      <c r="P1224" s="17"/>
    </row>
    <row r="1225" ht="13.5" customHeight="1">
      <c r="A1225" s="11" t="str">
        <f t="shared" si="1"/>
        <v>LFW-W176XYG</v>
      </c>
      <c r="B1225" s="32" t="s">
        <v>779</v>
      </c>
      <c r="C1225" s="33" t="s">
        <v>1560</v>
      </c>
      <c r="D1225" s="33" t="s">
        <v>60</v>
      </c>
      <c r="E1225" s="11" t="s">
        <v>16</v>
      </c>
      <c r="F1225" s="33" t="s">
        <v>314</v>
      </c>
      <c r="G1225" s="11"/>
      <c r="H1225" s="11">
        <f>SUMIFS(X!$F$3:$F$5978,X!$D$3:$D$5978,'Current Stock'!A1225)</f>
        <v>1</v>
      </c>
      <c r="I1225" s="11">
        <f>SUMIFS(PENJUALAN!$E$4:$E$3651,PENJUALAN!$C$4:$C$3651,'Current Stock'!A1225)</f>
        <v>1</v>
      </c>
      <c r="J1225" s="15">
        <f t="shared" si="2"/>
        <v>0</v>
      </c>
      <c r="K1225" s="11"/>
      <c r="L1225" s="11"/>
      <c r="M1225" s="11"/>
      <c r="N1225" s="11"/>
      <c r="O1225" s="17"/>
      <c r="P1225" s="17"/>
    </row>
    <row r="1226" ht="13.5" customHeight="1">
      <c r="A1226" s="11" t="str">
        <f t="shared" si="1"/>
        <v>TRW-FREEDXYG</v>
      </c>
      <c r="B1226" s="32" t="s">
        <v>467</v>
      </c>
      <c r="C1226" s="33" t="s">
        <v>466</v>
      </c>
      <c r="D1226" s="33" t="s">
        <v>62</v>
      </c>
      <c r="E1226" s="11" t="s">
        <v>16</v>
      </c>
      <c r="F1226" s="33" t="s">
        <v>83</v>
      </c>
      <c r="G1226" s="14"/>
      <c r="H1226" s="11">
        <f>SUMIFS(X!$F$3:$F$5978,X!$D$3:$D$5978,'Current Stock'!A1226)</f>
        <v>9</v>
      </c>
      <c r="I1226" s="11">
        <f>SUMIFS(PENJUALAN!$E$4:$E$3651,PENJUALAN!$C$4:$C$3651,'Current Stock'!A1226)</f>
        <v>9</v>
      </c>
      <c r="J1226" s="15">
        <f t="shared" si="2"/>
        <v>0</v>
      </c>
      <c r="K1226" s="13" t="s">
        <v>120</v>
      </c>
      <c r="L1226" s="13"/>
      <c r="M1226" s="11"/>
      <c r="N1226" s="11"/>
      <c r="O1226" s="17"/>
      <c r="P1226" s="17"/>
    </row>
    <row r="1227" ht="13.5" customHeight="1">
      <c r="A1227" s="11" t="str">
        <f t="shared" si="1"/>
        <v>LFW-W202XYG</v>
      </c>
      <c r="B1227" s="48" t="s">
        <v>1561</v>
      </c>
      <c r="C1227" s="33" t="s">
        <v>1562</v>
      </c>
      <c r="D1227" s="35" t="s">
        <v>60</v>
      </c>
      <c r="E1227" s="11" t="s">
        <v>16</v>
      </c>
      <c r="F1227" s="33" t="s">
        <v>109</v>
      </c>
      <c r="G1227" s="11"/>
      <c r="H1227" s="11">
        <f>SUMIFS(X!$F$3:$F$5978,X!$D$3:$D$5978,'Current Stock'!A1227)</f>
        <v>1</v>
      </c>
      <c r="I1227" s="11">
        <f>SUMIFS(PENJUALAN!$E$4:$E$3651,PENJUALAN!$C$4:$C$3651,'Current Stock'!A1227)</f>
        <v>1</v>
      </c>
      <c r="J1227" s="15">
        <f t="shared" si="2"/>
        <v>0</v>
      </c>
      <c r="K1227" s="11"/>
      <c r="L1227" s="11"/>
      <c r="M1227" s="11"/>
      <c r="N1227" s="11"/>
      <c r="O1227" s="17"/>
      <c r="P1227" s="17"/>
    </row>
    <row r="1228" ht="13.5" customHeight="1">
      <c r="A1228" s="11" t="str">
        <f t="shared" si="1"/>
        <v>LFW-CL203XYG</v>
      </c>
      <c r="B1228" s="32" t="s">
        <v>1563</v>
      </c>
      <c r="C1228" s="35" t="s">
        <v>1564</v>
      </c>
      <c r="D1228" s="35" t="s">
        <v>60</v>
      </c>
      <c r="E1228" s="11" t="s">
        <v>16</v>
      </c>
      <c r="F1228" s="35" t="s">
        <v>124</v>
      </c>
      <c r="G1228" s="11"/>
      <c r="H1228" s="11">
        <f>SUMIFS(X!$F$3:$F$5978,X!$D$3:$D$5978,'Current Stock'!A1228)</f>
        <v>0</v>
      </c>
      <c r="I1228" s="11">
        <f>SUMIFS(PENJUALAN!$E$4:$E$3651,PENJUALAN!$C$4:$C$3651,'Current Stock'!A1228)</f>
        <v>0</v>
      </c>
      <c r="J1228" s="15">
        <f t="shared" si="2"/>
        <v>0</v>
      </c>
      <c r="K1228" s="13" t="s">
        <v>430</v>
      </c>
      <c r="L1228" s="11"/>
      <c r="M1228" s="11"/>
      <c r="N1228" s="11"/>
      <c r="O1228" s="17"/>
      <c r="P1228" s="17"/>
    </row>
    <row r="1229" ht="13.5" customHeight="1">
      <c r="A1229" s="11" t="str">
        <f t="shared" si="1"/>
        <v>LFW-W203RS2XYG</v>
      </c>
      <c r="B1229" s="32" t="s">
        <v>1514</v>
      </c>
      <c r="C1229" s="33" t="s">
        <v>1515</v>
      </c>
      <c r="D1229" s="33" t="s">
        <v>60</v>
      </c>
      <c r="E1229" s="11" t="s">
        <v>16</v>
      </c>
      <c r="F1229" s="33" t="s">
        <v>124</v>
      </c>
      <c r="G1229" s="11"/>
      <c r="H1229" s="11">
        <f>SUMIFS(X!$F$3:$F$5978,X!$D$3:$D$5978,'Current Stock'!A1229)</f>
        <v>0</v>
      </c>
      <c r="I1229" s="11">
        <f>SUMIFS(PENJUALAN!$E$4:$E$3651,PENJUALAN!$C$4:$C$3651,'Current Stock'!A1229)</f>
        <v>0</v>
      </c>
      <c r="J1229" s="15">
        <f t="shared" si="2"/>
        <v>0</v>
      </c>
      <c r="K1229" s="11"/>
      <c r="L1229" s="11"/>
      <c r="M1229" s="11"/>
      <c r="N1229" s="11"/>
      <c r="O1229" s="17"/>
      <c r="P1229" s="17"/>
    </row>
    <row r="1230" ht="13.5" customHeight="1">
      <c r="A1230" s="11" t="str">
        <f t="shared" si="1"/>
        <v>LFW-W203RS1XYG</v>
      </c>
      <c r="B1230" s="32" t="s">
        <v>1565</v>
      </c>
      <c r="C1230" s="35" t="s">
        <v>1566</v>
      </c>
      <c r="D1230" s="35" t="s">
        <v>60</v>
      </c>
      <c r="E1230" s="11" t="s">
        <v>16</v>
      </c>
      <c r="F1230" s="35" t="s">
        <v>124</v>
      </c>
      <c r="G1230" s="14">
        <v>45988.0</v>
      </c>
      <c r="H1230" s="11">
        <f>SUMIFS(X!$F$3:$F$5978,X!$D$3:$D$5978,'Current Stock'!A1230)</f>
        <v>0</v>
      </c>
      <c r="I1230" s="11">
        <f>SUMIFS(PENJUALAN!$E$4:$E$3651,PENJUALAN!$C$4:$C$3651,'Current Stock'!A1230)</f>
        <v>0</v>
      </c>
      <c r="J1230" s="15">
        <f t="shared" si="2"/>
        <v>0</v>
      </c>
      <c r="K1230" s="13"/>
      <c r="L1230" s="13"/>
      <c r="M1230" s="11"/>
      <c r="N1230" s="13" t="s">
        <v>1567</v>
      </c>
      <c r="O1230" s="45"/>
      <c r="P1230" s="45"/>
    </row>
    <row r="1231" ht="13.5" customHeight="1">
      <c r="A1231" s="11" t="str">
        <f t="shared" si="1"/>
        <v>TRW-W203XYG</v>
      </c>
      <c r="B1231" s="32" t="s">
        <v>783</v>
      </c>
      <c r="C1231" s="33" t="s">
        <v>784</v>
      </c>
      <c r="D1231" s="33" t="s">
        <v>62</v>
      </c>
      <c r="E1231" s="11" t="s">
        <v>16</v>
      </c>
      <c r="F1231" s="33" t="s">
        <v>126</v>
      </c>
      <c r="G1231" s="11"/>
      <c r="H1231" s="11">
        <f>SUMIFS(X!$F$3:$F$5978,X!$D$3:$D$5978,'Current Stock'!A1231)</f>
        <v>0</v>
      </c>
      <c r="I1231" s="11">
        <f>SUMIFS(PENJUALAN!$E$4:$E$3651,PENJUALAN!$C$4:$C$3651,'Current Stock'!A1231)</f>
        <v>0</v>
      </c>
      <c r="J1231" s="15">
        <f t="shared" si="2"/>
        <v>0</v>
      </c>
      <c r="K1231" s="11"/>
      <c r="L1231" s="11"/>
      <c r="M1231" s="11"/>
      <c r="N1231" s="11"/>
      <c r="O1231" s="17"/>
      <c r="P1231" s="17"/>
    </row>
    <row r="1232" ht="13.5" customHeight="1">
      <c r="A1232" s="11" t="str">
        <f t="shared" si="1"/>
        <v>LFW-W204RSXYG</v>
      </c>
      <c r="B1232" s="32" t="s">
        <v>785</v>
      </c>
      <c r="C1232" s="33" t="s">
        <v>786</v>
      </c>
      <c r="D1232" s="33" t="s">
        <v>60</v>
      </c>
      <c r="E1232" s="11" t="s">
        <v>16</v>
      </c>
      <c r="F1232" s="33" t="s">
        <v>124</v>
      </c>
      <c r="G1232" s="11"/>
      <c r="H1232" s="11">
        <f>SUMIFS(X!$F$3:$F$5978,X!$D$3:$D$5978,'Current Stock'!A1232)</f>
        <v>1</v>
      </c>
      <c r="I1232" s="11">
        <f>SUMIFS(PENJUALAN!$E$4:$E$3651,PENJUALAN!$C$4:$C$3651,'Current Stock'!A1232)</f>
        <v>1</v>
      </c>
      <c r="J1232" s="15">
        <f t="shared" si="2"/>
        <v>0</v>
      </c>
      <c r="K1232" s="13" t="s">
        <v>1342</v>
      </c>
      <c r="L1232" s="13"/>
      <c r="M1232" s="11"/>
      <c r="N1232" s="11"/>
      <c r="O1232" s="17"/>
      <c r="P1232" s="17"/>
    </row>
    <row r="1233" ht="13.5" customHeight="1">
      <c r="A1233" s="11" t="str">
        <f t="shared" si="1"/>
        <v>LFW-CITY19XYG</v>
      </c>
      <c r="B1233" s="32" t="s">
        <v>1568</v>
      </c>
      <c r="C1233" s="35" t="s">
        <v>1569</v>
      </c>
      <c r="D1233" s="35" t="s">
        <v>60</v>
      </c>
      <c r="E1233" s="11" t="s">
        <v>16</v>
      </c>
      <c r="F1233" s="33" t="s">
        <v>137</v>
      </c>
      <c r="G1233" s="14"/>
      <c r="H1233" s="11">
        <f>SUMIFS(X!$F$3:$F$5978,X!$D$3:$D$5978,'Current Stock'!A1233)</f>
        <v>3</v>
      </c>
      <c r="I1233" s="11">
        <f>SUMIFS(PENJUALAN!$E$4:$E$3651,PENJUALAN!$C$4:$C$3651,'Current Stock'!A1233)</f>
        <v>3</v>
      </c>
      <c r="J1233" s="15">
        <f t="shared" si="2"/>
        <v>0</v>
      </c>
      <c r="K1233" s="13"/>
      <c r="L1233" s="13"/>
      <c r="M1233" s="11"/>
      <c r="N1233" s="11"/>
      <c r="O1233" s="17"/>
      <c r="P1233" s="17"/>
    </row>
    <row r="1234" ht="13.5" customHeight="1">
      <c r="A1234" s="11" t="str">
        <f t="shared" si="1"/>
        <v>TRW-W204XYG</v>
      </c>
      <c r="B1234" s="32" t="s">
        <v>787</v>
      </c>
      <c r="C1234" s="33" t="s">
        <v>788</v>
      </c>
      <c r="D1234" s="33" t="s">
        <v>62</v>
      </c>
      <c r="E1234" s="11" t="s">
        <v>16</v>
      </c>
      <c r="F1234" s="33" t="s">
        <v>126</v>
      </c>
      <c r="G1234" s="14">
        <v>45988.0</v>
      </c>
      <c r="H1234" s="11">
        <f>SUMIFS(X!$F$3:$F$5978,X!$D$3:$D$5978,'Current Stock'!A1234)</f>
        <v>1</v>
      </c>
      <c r="I1234" s="11">
        <f>SUMIFS(PENJUALAN!$E$4:$E$3651,PENJUALAN!$C$4:$C$3651,'Current Stock'!A1234)</f>
        <v>1</v>
      </c>
      <c r="J1234" s="15">
        <f t="shared" si="2"/>
        <v>0</v>
      </c>
      <c r="K1234" s="13"/>
      <c r="L1234" s="11"/>
      <c r="M1234" s="11"/>
      <c r="N1234" s="11"/>
      <c r="O1234" s="17"/>
      <c r="P1234" s="17"/>
    </row>
    <row r="1235" ht="13.5" customHeight="1">
      <c r="A1235" s="11" t="str">
        <f t="shared" si="1"/>
        <v>LFW-W205RSXYG</v>
      </c>
      <c r="B1235" s="32" t="s">
        <v>789</v>
      </c>
      <c r="C1235" s="33" t="s">
        <v>790</v>
      </c>
      <c r="D1235" s="33" t="s">
        <v>60</v>
      </c>
      <c r="E1235" s="11" t="s">
        <v>16</v>
      </c>
      <c r="F1235" s="33" t="s">
        <v>124</v>
      </c>
      <c r="G1235" s="11"/>
      <c r="H1235" s="11">
        <f>SUMIFS(X!$F$3:$F$5978,X!$D$3:$D$5978,'Current Stock'!A1235)</f>
        <v>0</v>
      </c>
      <c r="I1235" s="11">
        <f>SUMIFS(PENJUALAN!$E$4:$E$3651,PENJUALAN!$C$4:$C$3651,'Current Stock'!A1235)</f>
        <v>0</v>
      </c>
      <c r="J1235" s="15">
        <f t="shared" si="2"/>
        <v>0</v>
      </c>
      <c r="K1235" s="11"/>
      <c r="L1235" s="11"/>
      <c r="M1235" s="11"/>
      <c r="N1235" s="11"/>
      <c r="O1235" s="17"/>
      <c r="P1235" s="17"/>
    </row>
    <row r="1236" ht="13.5" customHeight="1">
      <c r="A1236" s="11" t="str">
        <f t="shared" si="1"/>
        <v>LFW-W205RS2XYG</v>
      </c>
      <c r="B1236" s="32" t="s">
        <v>791</v>
      </c>
      <c r="C1236" s="33" t="s">
        <v>792</v>
      </c>
      <c r="D1236" s="33" t="s">
        <v>60</v>
      </c>
      <c r="E1236" s="11" t="s">
        <v>16</v>
      </c>
      <c r="F1236" s="33" t="s">
        <v>793</v>
      </c>
      <c r="G1236" s="11"/>
      <c r="H1236" s="11">
        <f>SUMIFS(X!$F$3:$F$5978,X!$D$3:$D$5978,'Current Stock'!A1236)</f>
        <v>0</v>
      </c>
      <c r="I1236" s="11">
        <f>SUMIFS(PENJUALAN!$E$4:$E$3651,PENJUALAN!$C$4:$C$3651,'Current Stock'!A1236)</f>
        <v>0</v>
      </c>
      <c r="J1236" s="15">
        <f t="shared" si="2"/>
        <v>0</v>
      </c>
      <c r="K1236" s="11"/>
      <c r="L1236" s="11"/>
      <c r="M1236" s="11"/>
      <c r="N1236" s="11"/>
      <c r="O1236" s="17"/>
      <c r="P1236" s="17"/>
    </row>
    <row r="1237" ht="13.5" customHeight="1">
      <c r="A1237" s="11" t="str">
        <f t="shared" si="1"/>
        <v>LFW-W205RS3XYG</v>
      </c>
      <c r="B1237" s="32" t="s">
        <v>1524</v>
      </c>
      <c r="C1237" s="33" t="s">
        <v>1525</v>
      </c>
      <c r="D1237" s="33" t="s">
        <v>60</v>
      </c>
      <c r="E1237" s="11" t="s">
        <v>16</v>
      </c>
      <c r="F1237" s="33" t="s">
        <v>793</v>
      </c>
      <c r="G1237" s="34"/>
      <c r="H1237" s="11">
        <f>SUMIFS(X!$F$3:$F$5978,X!$D$3:$D$5978,'Current Stock'!A1237)</f>
        <v>1</v>
      </c>
      <c r="I1237" s="11">
        <f>SUMIFS(PENJUALAN!$E$4:$E$3651,PENJUALAN!$C$4:$C$3651,'Current Stock'!A1237)</f>
        <v>1</v>
      </c>
      <c r="J1237" s="15">
        <f t="shared" si="2"/>
        <v>0</v>
      </c>
      <c r="K1237" s="13"/>
      <c r="L1237" s="11"/>
      <c r="M1237" s="11"/>
      <c r="N1237" s="11"/>
      <c r="O1237" s="17"/>
      <c r="P1237" s="17"/>
    </row>
    <row r="1238" ht="13.5" customHeight="1">
      <c r="A1238" s="11" t="str">
        <f t="shared" si="1"/>
        <v>TRW-W205XYG</v>
      </c>
      <c r="B1238" s="32" t="s">
        <v>1570</v>
      </c>
      <c r="C1238" s="33" t="s">
        <v>1571</v>
      </c>
      <c r="D1238" s="33" t="s">
        <v>62</v>
      </c>
      <c r="E1238" s="11" t="s">
        <v>16</v>
      </c>
      <c r="F1238" s="33" t="s">
        <v>130</v>
      </c>
      <c r="G1238" s="11"/>
      <c r="H1238" s="11">
        <f>SUMIFS(X!$F$3:$F$5978,X!$D$3:$D$5978,'Current Stock'!A1238)</f>
        <v>0</v>
      </c>
      <c r="I1238" s="11">
        <f>SUMIFS(PENJUALAN!$E$4:$E$3651,PENJUALAN!$C$4:$C$3651,'Current Stock'!A1238)</f>
        <v>0</v>
      </c>
      <c r="J1238" s="15">
        <f t="shared" si="2"/>
        <v>0</v>
      </c>
      <c r="K1238" s="13" t="s">
        <v>1342</v>
      </c>
      <c r="L1238" s="11"/>
      <c r="M1238" s="11"/>
      <c r="N1238" s="11"/>
      <c r="O1238" s="17"/>
      <c r="P1238" s="17"/>
    </row>
    <row r="1239" ht="13.5" customHeight="1">
      <c r="A1239" s="11" t="str">
        <f t="shared" si="1"/>
        <v>LFW-W1242DOORXYG</v>
      </c>
      <c r="B1239" s="32" t="s">
        <v>1572</v>
      </c>
      <c r="C1239" s="35" t="s">
        <v>799</v>
      </c>
      <c r="D1239" s="35" t="s">
        <v>60</v>
      </c>
      <c r="E1239" s="11" t="s">
        <v>16</v>
      </c>
      <c r="F1239" s="33" t="s">
        <v>1558</v>
      </c>
      <c r="G1239" s="11"/>
      <c r="H1239" s="11">
        <f>SUMIFS(X!$F$3:$F$5978,X!$D$3:$D$5978,'Current Stock'!A1239)</f>
        <v>0</v>
      </c>
      <c r="I1239" s="11">
        <f>SUMIFS(PENJUALAN!$E$4:$E$3651,PENJUALAN!$C$4:$C$3651,'Current Stock'!A1239)</f>
        <v>0</v>
      </c>
      <c r="J1239" s="15">
        <f t="shared" si="2"/>
        <v>0</v>
      </c>
      <c r="K1239" s="11"/>
      <c r="L1239" s="11"/>
      <c r="M1239" s="11"/>
      <c r="N1239" s="11"/>
      <c r="O1239" s="17"/>
      <c r="P1239" s="17"/>
    </row>
    <row r="1240" ht="13.5" customHeight="1">
      <c r="A1240" s="11" t="str">
        <f t="shared" si="1"/>
        <v>LFW-W1244DOORXYG</v>
      </c>
      <c r="B1240" s="32" t="s">
        <v>1573</v>
      </c>
      <c r="C1240" s="35" t="s">
        <v>1574</v>
      </c>
      <c r="D1240" s="35" t="s">
        <v>60</v>
      </c>
      <c r="E1240" s="11" t="s">
        <v>16</v>
      </c>
      <c r="F1240" s="33" t="s">
        <v>1558</v>
      </c>
      <c r="G1240" s="14">
        <v>45988.0</v>
      </c>
      <c r="H1240" s="11">
        <f>SUMIFS(X!$F$3:$F$5978,X!$D$3:$D$5978,'Current Stock'!A1240)</f>
        <v>1</v>
      </c>
      <c r="I1240" s="11">
        <f>SUMIFS(PENJUALAN!$E$4:$E$3651,PENJUALAN!$C$4:$C$3651,'Current Stock'!A1240)</f>
        <v>1</v>
      </c>
      <c r="J1240" s="15">
        <f t="shared" si="2"/>
        <v>0</v>
      </c>
      <c r="K1240" s="13"/>
      <c r="L1240" s="11"/>
      <c r="M1240" s="11"/>
      <c r="N1240" s="11"/>
      <c r="O1240" s="17"/>
      <c r="P1240" s="17"/>
    </row>
    <row r="1241" ht="13.5" customHeight="1">
      <c r="A1241" s="11" t="str">
        <f t="shared" si="1"/>
        <v>LRW-W124XYG</v>
      </c>
      <c r="B1241" s="32" t="s">
        <v>798</v>
      </c>
      <c r="C1241" s="33" t="s">
        <v>799</v>
      </c>
      <c r="D1241" s="33" t="s">
        <v>62</v>
      </c>
      <c r="E1241" s="11" t="s">
        <v>16</v>
      </c>
      <c r="F1241" s="33" t="s">
        <v>83</v>
      </c>
      <c r="G1241" s="11"/>
      <c r="H1241" s="11">
        <f>SUMIFS(X!$F$3:$F$5978,X!$D$3:$D$5978,'Current Stock'!A1241)</f>
        <v>0</v>
      </c>
      <c r="I1241" s="11">
        <f>SUMIFS(PENJUALAN!$E$4:$E$3651,PENJUALAN!$C$4:$C$3651,'Current Stock'!A1241)</f>
        <v>0</v>
      </c>
      <c r="J1241" s="15">
        <f t="shared" si="2"/>
        <v>0</v>
      </c>
      <c r="K1241" s="13" t="s">
        <v>1342</v>
      </c>
      <c r="L1241" s="11"/>
      <c r="M1241" s="11"/>
      <c r="N1241" s="11"/>
      <c r="O1241" s="17"/>
      <c r="P1241" s="17"/>
    </row>
    <row r="1242" ht="13.5" customHeight="1">
      <c r="A1242" s="11" t="str">
        <f t="shared" si="1"/>
        <v>LFW-W210XYG</v>
      </c>
      <c r="B1242" s="32" t="s">
        <v>800</v>
      </c>
      <c r="C1242" s="33" t="s">
        <v>801</v>
      </c>
      <c r="D1242" s="33" t="s">
        <v>60</v>
      </c>
      <c r="E1242" s="11" t="s">
        <v>16</v>
      </c>
      <c r="F1242" s="33" t="s">
        <v>196</v>
      </c>
      <c r="G1242" s="11"/>
      <c r="H1242" s="11">
        <f>SUMIFS(X!$F$3:$F$5978,X!$D$3:$D$5978,'Current Stock'!A1242)</f>
        <v>0</v>
      </c>
      <c r="I1242" s="11">
        <f>SUMIFS(PENJUALAN!$E$4:$E$3651,PENJUALAN!$C$4:$C$3651,'Current Stock'!A1242)</f>
        <v>0</v>
      </c>
      <c r="J1242" s="15">
        <f t="shared" si="2"/>
        <v>0</v>
      </c>
      <c r="K1242" s="11"/>
      <c r="L1242" s="11"/>
      <c r="M1242" s="11"/>
      <c r="N1242" s="11"/>
      <c r="O1242" s="17"/>
      <c r="P1242" s="17"/>
    </row>
    <row r="1243" ht="13.5" customHeight="1">
      <c r="A1243" s="11" t="str">
        <f t="shared" si="1"/>
        <v>LFW-W211XYG</v>
      </c>
      <c r="B1243" s="32" t="s">
        <v>803</v>
      </c>
      <c r="C1243" s="33" t="s">
        <v>804</v>
      </c>
      <c r="D1243" s="33" t="s">
        <v>60</v>
      </c>
      <c r="E1243" s="11" t="s">
        <v>16</v>
      </c>
      <c r="F1243" s="33" t="s">
        <v>196</v>
      </c>
      <c r="G1243" s="34">
        <v>45988.0</v>
      </c>
      <c r="H1243" s="11">
        <f>SUMIFS(X!$F$3:$F$5978,X!$D$3:$D$5978,'Current Stock'!A1243)</f>
        <v>1</v>
      </c>
      <c r="I1243" s="11">
        <f>SUMIFS(PENJUALAN!$E$4:$E$3651,PENJUALAN!$C$4:$C$3651,'Current Stock'!A1243)</f>
        <v>1</v>
      </c>
      <c r="J1243" s="15">
        <f t="shared" si="2"/>
        <v>0</v>
      </c>
      <c r="K1243" s="13"/>
      <c r="L1243" s="11"/>
      <c r="M1243" s="11"/>
      <c r="N1243" s="11"/>
      <c r="O1243" s="17"/>
      <c r="P1243" s="17"/>
    </row>
    <row r="1244" ht="13.5" customHeight="1">
      <c r="A1244" s="11" t="str">
        <f t="shared" si="1"/>
        <v>TRW-W211XYG</v>
      </c>
      <c r="B1244" s="32" t="s">
        <v>1575</v>
      </c>
      <c r="C1244" s="33" t="s">
        <v>804</v>
      </c>
      <c r="D1244" s="35" t="s">
        <v>62</v>
      </c>
      <c r="E1244" s="11" t="s">
        <v>16</v>
      </c>
      <c r="F1244" s="33" t="s">
        <v>1081</v>
      </c>
      <c r="G1244" s="11"/>
      <c r="H1244" s="11">
        <f>SUMIFS(X!$F$3:$F$5978,X!$D$3:$D$5978,'Current Stock'!A1244)</f>
        <v>1</v>
      </c>
      <c r="I1244" s="11">
        <f>SUMIFS(PENJUALAN!$E$4:$E$3651,PENJUALAN!$C$4:$C$3651,'Current Stock'!A1244)</f>
        <v>1</v>
      </c>
      <c r="J1244" s="15">
        <f t="shared" si="2"/>
        <v>0</v>
      </c>
      <c r="K1244" s="11"/>
      <c r="L1244" s="11"/>
      <c r="M1244" s="11"/>
      <c r="N1244" s="11"/>
      <c r="O1244" s="17"/>
      <c r="P1244" s="17"/>
    </row>
    <row r="1245" ht="13.5" customHeight="1">
      <c r="A1245" s="11" t="str">
        <f t="shared" si="1"/>
        <v>LFW-W212RSXYG</v>
      </c>
      <c r="B1245" s="32" t="s">
        <v>1529</v>
      </c>
      <c r="C1245" s="33" t="s">
        <v>1530</v>
      </c>
      <c r="D1245" s="33" t="s">
        <v>60</v>
      </c>
      <c r="E1245" s="11" t="s">
        <v>16</v>
      </c>
      <c r="F1245" s="33" t="s">
        <v>124</v>
      </c>
      <c r="G1245" s="11"/>
      <c r="H1245" s="11">
        <f>SUMIFS(X!$F$3:$F$5978,X!$D$3:$D$5978,'Current Stock'!A1245)</f>
        <v>0</v>
      </c>
      <c r="I1245" s="11">
        <f>SUMIFS(PENJUALAN!$E$4:$E$3651,PENJUALAN!$C$4:$C$3651,'Current Stock'!A1245)</f>
        <v>0</v>
      </c>
      <c r="J1245" s="15">
        <f t="shared" si="2"/>
        <v>0</v>
      </c>
      <c r="K1245" s="13"/>
      <c r="L1245" s="13"/>
      <c r="M1245" s="11"/>
      <c r="N1245" s="11"/>
      <c r="O1245" s="17"/>
      <c r="P1245" s="17"/>
    </row>
    <row r="1246" ht="13.5" customHeight="1">
      <c r="A1246" s="11" t="str">
        <f t="shared" si="1"/>
        <v>LFW-W212RS2XYG</v>
      </c>
      <c r="B1246" s="32" t="s">
        <v>807</v>
      </c>
      <c r="C1246" s="31" t="s">
        <v>1576</v>
      </c>
      <c r="D1246" s="33" t="s">
        <v>60</v>
      </c>
      <c r="E1246" s="11" t="s">
        <v>16</v>
      </c>
      <c r="F1246" s="33" t="s">
        <v>809</v>
      </c>
      <c r="G1246" s="11"/>
      <c r="H1246" s="11">
        <f>SUMIFS(X!$F$3:$F$5978,X!$D$3:$D$5978,'Current Stock'!A1246)</f>
        <v>13</v>
      </c>
      <c r="I1246" s="11">
        <f>SUMIFS(PENJUALAN!$E$4:$E$3651,PENJUALAN!$C$4:$C$3651,'Current Stock'!A1246)</f>
        <v>2</v>
      </c>
      <c r="J1246" s="15">
        <f t="shared" si="2"/>
        <v>11</v>
      </c>
      <c r="K1246" s="13" t="s">
        <v>1342</v>
      </c>
      <c r="L1246" s="11"/>
      <c r="M1246" s="11"/>
      <c r="N1246" s="11"/>
      <c r="O1246" s="17"/>
      <c r="P1246" s="17"/>
    </row>
    <row r="1247" ht="13.5" customHeight="1">
      <c r="A1247" s="11" t="str">
        <f t="shared" si="1"/>
        <v>TRW-W213XYG</v>
      </c>
      <c r="B1247" s="32" t="s">
        <v>1577</v>
      </c>
      <c r="C1247" s="35" t="s">
        <v>1578</v>
      </c>
      <c r="D1247" s="35" t="s">
        <v>62</v>
      </c>
      <c r="E1247" s="11" t="s">
        <v>16</v>
      </c>
      <c r="F1247" s="42" t="s">
        <v>83</v>
      </c>
      <c r="G1247" s="11"/>
      <c r="H1247" s="11">
        <f>SUMIFS(X!$F$3:$F$5978,X!$D$3:$D$5978,'Current Stock'!A1247)</f>
        <v>1</v>
      </c>
      <c r="I1247" s="11">
        <f>SUMIFS(PENJUALAN!$E$4:$E$3651,PENJUALAN!$C$4:$C$3651,'Current Stock'!A1247)</f>
        <v>1</v>
      </c>
      <c r="J1247" s="15">
        <f t="shared" si="2"/>
        <v>0</v>
      </c>
      <c r="K1247" s="11"/>
      <c r="L1247" s="11"/>
      <c r="M1247" s="11"/>
      <c r="N1247" s="11"/>
      <c r="O1247" s="17"/>
      <c r="P1247" s="17"/>
    </row>
    <row r="1248" ht="13.5" customHeight="1">
      <c r="A1248" s="11" t="str">
        <f t="shared" si="1"/>
        <v>LFW-CRV02XYG</v>
      </c>
      <c r="B1248" s="32" t="s">
        <v>428</v>
      </c>
      <c r="C1248" s="33" t="s">
        <v>429</v>
      </c>
      <c r="D1248" s="33" t="s">
        <v>60</v>
      </c>
      <c r="E1248" s="11" t="s">
        <v>16</v>
      </c>
      <c r="F1248" s="33" t="s">
        <v>137</v>
      </c>
      <c r="G1248" s="11"/>
      <c r="H1248" s="11">
        <f>SUMIFS(X!$F$3:$F$5978,X!$D$3:$D$5978,'Current Stock'!A1248)</f>
        <v>18</v>
      </c>
      <c r="I1248" s="11">
        <f>SUMIFS(PENJUALAN!$E$4:$E$3651,PENJUALAN!$C$4:$C$3651,'Current Stock'!A1248)</f>
        <v>11</v>
      </c>
      <c r="J1248" s="15">
        <f t="shared" si="2"/>
        <v>7</v>
      </c>
      <c r="K1248" s="13" t="s">
        <v>1579</v>
      </c>
      <c r="L1248" s="13"/>
      <c r="M1248" s="11"/>
      <c r="N1248" s="11"/>
      <c r="O1248" s="17"/>
      <c r="P1248" s="17"/>
    </row>
    <row r="1249" ht="13.5" customHeight="1">
      <c r="A1249" s="11" t="str">
        <f t="shared" si="1"/>
        <v>LFW-W156XYG</v>
      </c>
      <c r="B1249" s="32" t="s">
        <v>1580</v>
      </c>
      <c r="C1249" s="33" t="s">
        <v>1581</v>
      </c>
      <c r="D1249" s="33" t="s">
        <v>62</v>
      </c>
      <c r="E1249" s="11" t="s">
        <v>16</v>
      </c>
      <c r="F1249" s="33" t="s">
        <v>228</v>
      </c>
      <c r="G1249" s="11"/>
      <c r="H1249" s="11">
        <f>SUMIFS(X!$F$3:$F$5978,X!$D$3:$D$5978,'Current Stock'!A1249)</f>
        <v>0</v>
      </c>
      <c r="I1249" s="11">
        <f>SUMIFS(PENJUALAN!$E$4:$E$3651,PENJUALAN!$C$4:$C$3651,'Current Stock'!A1249)</f>
        <v>0</v>
      </c>
      <c r="J1249" s="15">
        <f t="shared" si="2"/>
        <v>0</v>
      </c>
      <c r="K1249" s="11"/>
      <c r="L1249" s="11"/>
      <c r="M1249" s="11"/>
      <c r="N1249" s="11"/>
      <c r="O1249" s="17"/>
      <c r="P1249" s="17"/>
    </row>
    <row r="1250" ht="13.5" customHeight="1">
      <c r="A1250" s="11" t="str">
        <f t="shared" si="1"/>
        <v>LFW-W166RS1XYG</v>
      </c>
      <c r="B1250" s="32" t="s">
        <v>1582</v>
      </c>
      <c r="C1250" s="35" t="s">
        <v>1583</v>
      </c>
      <c r="D1250" s="35" t="s">
        <v>60</v>
      </c>
      <c r="E1250" s="11" t="s">
        <v>16</v>
      </c>
      <c r="F1250" s="33" t="s">
        <v>314</v>
      </c>
      <c r="G1250" s="11"/>
      <c r="H1250" s="11">
        <f>SUMIFS(X!$F$3:$F$5978,X!$D$3:$D$5978,'Current Stock'!A1250)</f>
        <v>0</v>
      </c>
      <c r="I1250" s="11">
        <f>SUMIFS(PENJUALAN!$E$4:$E$3651,PENJUALAN!$C$4:$C$3651,'Current Stock'!A1250)</f>
        <v>0</v>
      </c>
      <c r="J1250" s="15">
        <f t="shared" si="2"/>
        <v>0</v>
      </c>
      <c r="K1250" s="11"/>
      <c r="L1250" s="11"/>
      <c r="M1250" s="11"/>
      <c r="N1250" s="11"/>
      <c r="O1250" s="17"/>
      <c r="P1250" s="17"/>
    </row>
    <row r="1251" ht="13.5" customHeight="1">
      <c r="A1251" s="11" t="str">
        <f t="shared" si="1"/>
        <v>LFW-W166RS2XYG</v>
      </c>
      <c r="B1251" s="32" t="s">
        <v>1584</v>
      </c>
      <c r="C1251" s="35" t="s">
        <v>1585</v>
      </c>
      <c r="D1251" s="35" t="s">
        <v>60</v>
      </c>
      <c r="E1251" s="11" t="s">
        <v>16</v>
      </c>
      <c r="F1251" s="35" t="s">
        <v>314</v>
      </c>
      <c r="G1251" s="11"/>
      <c r="H1251" s="11">
        <f>SUMIFS(X!$F$3:$F$5978,X!$D$3:$D$5978,'Current Stock'!A1251)</f>
        <v>1</v>
      </c>
      <c r="I1251" s="11">
        <f>SUMIFS(PENJUALAN!$E$4:$E$3651,PENJUALAN!$C$4:$C$3651,'Current Stock'!A1251)</f>
        <v>1</v>
      </c>
      <c r="J1251" s="15">
        <f t="shared" si="2"/>
        <v>0</v>
      </c>
      <c r="K1251" s="11"/>
      <c r="L1251" s="11"/>
      <c r="M1251" s="11"/>
      <c r="N1251" s="11"/>
      <c r="O1251" s="17"/>
      <c r="P1251" s="17"/>
    </row>
    <row r="1252" ht="13.5" customHeight="1">
      <c r="A1252" s="11" t="str">
        <f t="shared" si="1"/>
        <v>LFW-W140XYG</v>
      </c>
      <c r="B1252" s="32" t="s">
        <v>814</v>
      </c>
      <c r="C1252" s="33" t="s">
        <v>815</v>
      </c>
      <c r="D1252" s="33" t="s">
        <v>60</v>
      </c>
      <c r="E1252" s="11" t="s">
        <v>16</v>
      </c>
      <c r="F1252" s="33" t="s">
        <v>109</v>
      </c>
      <c r="G1252" s="11"/>
      <c r="H1252" s="11">
        <f>SUMIFS(X!$F$3:$F$5978,X!$D$3:$D$5978,'Current Stock'!A1252)</f>
        <v>1</v>
      </c>
      <c r="I1252" s="11">
        <f>SUMIFS(PENJUALAN!$E$4:$E$3651,PENJUALAN!$C$4:$C$3651,'Current Stock'!A1252)</f>
        <v>1</v>
      </c>
      <c r="J1252" s="15">
        <f t="shared" si="2"/>
        <v>0</v>
      </c>
      <c r="K1252" s="11"/>
      <c r="L1252" s="11"/>
      <c r="M1252" s="11"/>
      <c r="N1252" s="11"/>
      <c r="O1252" s="17"/>
      <c r="P1252" s="17"/>
    </row>
    <row r="1253" ht="13.5" customHeight="1">
      <c r="A1253" s="11" t="str">
        <f t="shared" si="1"/>
        <v>LFW-W140RSXYG</v>
      </c>
      <c r="B1253" s="32" t="s">
        <v>1586</v>
      </c>
      <c r="C1253" s="33" t="s">
        <v>815</v>
      </c>
      <c r="D1253" s="33" t="s">
        <v>60</v>
      </c>
      <c r="E1253" s="11" t="s">
        <v>16</v>
      </c>
      <c r="F1253" s="33" t="s">
        <v>196</v>
      </c>
      <c r="G1253" s="11"/>
      <c r="H1253" s="11">
        <f>SUMIFS(X!$F$3:$F$5978,X!$D$3:$D$5978,'Current Stock'!A1253)</f>
        <v>0</v>
      </c>
      <c r="I1253" s="11">
        <f>SUMIFS(PENJUALAN!$E$4:$E$3651,PENJUALAN!$C$4:$C$3651,'Current Stock'!A1253)</f>
        <v>0</v>
      </c>
      <c r="J1253" s="15">
        <f t="shared" si="2"/>
        <v>0</v>
      </c>
      <c r="K1253" s="11"/>
      <c r="L1253" s="11"/>
      <c r="M1253" s="11"/>
      <c r="N1253" s="11"/>
      <c r="O1253" s="17"/>
      <c r="P1253" s="17"/>
    </row>
    <row r="1254" ht="13.5" customHeight="1">
      <c r="A1254" s="11" t="str">
        <f t="shared" si="1"/>
        <v>LRW-W140XYG</v>
      </c>
      <c r="B1254" s="32" t="s">
        <v>816</v>
      </c>
      <c r="C1254" s="33" t="s">
        <v>815</v>
      </c>
      <c r="D1254" s="33" t="s">
        <v>62</v>
      </c>
      <c r="E1254" s="11" t="s">
        <v>16</v>
      </c>
      <c r="F1254" s="33" t="s">
        <v>83</v>
      </c>
      <c r="G1254" s="11"/>
      <c r="H1254" s="11">
        <f>SUMIFS(X!$F$3:$F$5978,X!$D$3:$D$5978,'Current Stock'!A1254)</f>
        <v>0</v>
      </c>
      <c r="I1254" s="11">
        <f>SUMIFS(PENJUALAN!$E$4:$E$3651,PENJUALAN!$C$4:$C$3651,'Current Stock'!A1254)</f>
        <v>0</v>
      </c>
      <c r="J1254" s="15">
        <f t="shared" si="2"/>
        <v>0</v>
      </c>
      <c r="K1254" s="11"/>
      <c r="L1254" s="11"/>
      <c r="M1254" s="11"/>
      <c r="N1254" s="11"/>
      <c r="O1254" s="17"/>
      <c r="P1254" s="17"/>
    </row>
    <row r="1255" ht="13.5" customHeight="1">
      <c r="A1255" s="11" t="str">
        <f t="shared" si="1"/>
        <v>LFW-W220XYG</v>
      </c>
      <c r="B1255" s="32" t="s">
        <v>1587</v>
      </c>
      <c r="C1255" s="33" t="s">
        <v>1588</v>
      </c>
      <c r="D1255" s="33" t="s">
        <v>60</v>
      </c>
      <c r="E1255" s="11" t="s">
        <v>16</v>
      </c>
      <c r="F1255" s="33" t="s">
        <v>809</v>
      </c>
      <c r="G1255" s="11"/>
      <c r="H1255" s="11">
        <f>SUMIFS(X!$F$3:$F$5978,X!$D$3:$D$5978,'Current Stock'!A1255)</f>
        <v>0</v>
      </c>
      <c r="I1255" s="11">
        <f>SUMIFS(PENJUALAN!$E$4:$E$3651,PENJUALAN!$C$4:$C$3651,'Current Stock'!A1255)</f>
        <v>0</v>
      </c>
      <c r="J1255" s="15">
        <f t="shared" si="2"/>
        <v>0</v>
      </c>
      <c r="K1255" s="11"/>
      <c r="L1255" s="11"/>
      <c r="M1255" s="11"/>
      <c r="N1255" s="11"/>
      <c r="O1255" s="17"/>
      <c r="P1255" s="17"/>
    </row>
    <row r="1256" ht="13.5" customHeight="1">
      <c r="A1256" s="11" t="str">
        <f t="shared" si="1"/>
        <v>LFW-W221XYG</v>
      </c>
      <c r="B1256" s="32" t="s">
        <v>1589</v>
      </c>
      <c r="C1256" s="35" t="s">
        <v>1590</v>
      </c>
      <c r="D1256" s="35" t="s">
        <v>60</v>
      </c>
      <c r="E1256" s="11" t="s">
        <v>16</v>
      </c>
      <c r="F1256" s="42" t="s">
        <v>809</v>
      </c>
      <c r="G1256" s="11"/>
      <c r="H1256" s="11">
        <f>SUMIFS(X!$F$3:$F$5978,X!$D$3:$D$5978,'Current Stock'!A1256)</f>
        <v>0</v>
      </c>
      <c r="I1256" s="11">
        <f>SUMIFS(PENJUALAN!$E$4:$E$3651,PENJUALAN!$C$4:$C$3651,'Current Stock'!A1256)</f>
        <v>0</v>
      </c>
      <c r="J1256" s="15">
        <f t="shared" si="2"/>
        <v>0</v>
      </c>
      <c r="K1256" s="11"/>
      <c r="L1256" s="11"/>
      <c r="M1256" s="11"/>
      <c r="N1256" s="11"/>
      <c r="O1256" s="17"/>
      <c r="P1256" s="17"/>
    </row>
    <row r="1257" ht="13.5" customHeight="1">
      <c r="A1257" s="11" t="str">
        <f t="shared" si="1"/>
        <v>LFW-W221RS2XYG</v>
      </c>
      <c r="B1257" s="36" t="s">
        <v>1591</v>
      </c>
      <c r="C1257" s="41" t="s">
        <v>1592</v>
      </c>
      <c r="D1257" s="35" t="s">
        <v>60</v>
      </c>
      <c r="E1257" s="11" t="s">
        <v>16</v>
      </c>
      <c r="F1257" s="65" t="s">
        <v>809</v>
      </c>
      <c r="G1257" s="11"/>
      <c r="H1257" s="11">
        <f>SUMIFS(X!$F$3:$F$5978,X!$D$3:$D$5978,'Current Stock'!A1257)</f>
        <v>1</v>
      </c>
      <c r="I1257" s="11">
        <f>SUMIFS(PENJUALAN!$E$4:$E$3651,PENJUALAN!$C$4:$C$3651,'Current Stock'!A1257)</f>
        <v>1</v>
      </c>
      <c r="J1257" s="15">
        <f t="shared" si="2"/>
        <v>0</v>
      </c>
      <c r="K1257" s="11"/>
      <c r="L1257" s="11"/>
      <c r="M1257" s="11"/>
      <c r="N1257" s="11"/>
      <c r="O1257" s="17"/>
      <c r="P1257" s="17"/>
    </row>
    <row r="1258" ht="13.5" customHeight="1">
      <c r="A1258" s="11" t="str">
        <f t="shared" si="1"/>
        <v>LFW-CIVIC05XYG</v>
      </c>
      <c r="B1258" s="32" t="s">
        <v>402</v>
      </c>
      <c r="C1258" s="33" t="s">
        <v>403</v>
      </c>
      <c r="D1258" s="33" t="s">
        <v>60</v>
      </c>
      <c r="E1258" s="11" t="s">
        <v>16</v>
      </c>
      <c r="F1258" s="33" t="s">
        <v>137</v>
      </c>
      <c r="G1258" s="11"/>
      <c r="H1258" s="11">
        <f>SUMIFS(X!$F$3:$F$5978,X!$D$3:$D$5978,'Current Stock'!A1258)</f>
        <v>2</v>
      </c>
      <c r="I1258" s="11">
        <f>SUMIFS(PENJUALAN!$E$4:$E$3651,PENJUALAN!$C$4:$C$3651,'Current Stock'!A1258)</f>
        <v>2</v>
      </c>
      <c r="J1258" s="15">
        <f t="shared" si="2"/>
        <v>0</v>
      </c>
      <c r="K1258" s="11"/>
      <c r="L1258" s="11"/>
      <c r="M1258" s="16">
        <v>1.0</v>
      </c>
      <c r="N1258" s="11"/>
      <c r="O1258" s="17"/>
      <c r="P1258" s="17"/>
    </row>
    <row r="1259" ht="13.5" customHeight="1">
      <c r="A1259" s="11" t="str">
        <f t="shared" si="1"/>
        <v>LFW-SLK171XYG</v>
      </c>
      <c r="B1259" s="32" t="s">
        <v>1593</v>
      </c>
      <c r="C1259" s="33" t="s">
        <v>1594</v>
      </c>
      <c r="D1259" s="33" t="s">
        <v>60</v>
      </c>
      <c r="E1259" s="11" t="s">
        <v>16</v>
      </c>
      <c r="F1259" s="33" t="s">
        <v>124</v>
      </c>
      <c r="G1259" s="11"/>
      <c r="H1259" s="11">
        <f>SUMIFS(X!$F$3:$F$5978,X!$D$3:$D$5978,'Current Stock'!A1259)</f>
        <v>0</v>
      </c>
      <c r="I1259" s="11">
        <f>SUMIFS(PENJUALAN!$E$4:$E$3651,PENJUALAN!$C$4:$C$3651,'Current Stock'!A1259)</f>
        <v>0</v>
      </c>
      <c r="J1259" s="15">
        <f t="shared" si="2"/>
        <v>0</v>
      </c>
      <c r="K1259" s="11"/>
      <c r="L1259" s="11"/>
      <c r="M1259" s="11"/>
      <c r="N1259" s="11"/>
      <c r="O1259" s="17"/>
      <c r="P1259" s="17"/>
    </row>
    <row r="1260" ht="13.5" customHeight="1">
      <c r="A1260" s="11" t="str">
        <f t="shared" si="1"/>
        <v>LFW-MINIF55RS1XYG</v>
      </c>
      <c r="B1260" s="32" t="s">
        <v>1595</v>
      </c>
      <c r="C1260" s="33" t="s">
        <v>1596</v>
      </c>
      <c r="D1260" s="33" t="s">
        <v>60</v>
      </c>
      <c r="E1260" s="11" t="s">
        <v>16</v>
      </c>
      <c r="F1260" s="33" t="s">
        <v>1544</v>
      </c>
      <c r="G1260" s="11"/>
      <c r="H1260" s="11">
        <f>SUMIFS(X!$F$3:$F$5978,X!$D$3:$D$5978,'Current Stock'!A1260)</f>
        <v>0</v>
      </c>
      <c r="I1260" s="11">
        <f>SUMIFS(PENJUALAN!$E$4:$E$3651,PENJUALAN!$C$4:$C$3651,'Current Stock'!A1260)</f>
        <v>0</v>
      </c>
      <c r="J1260" s="15">
        <f t="shared" si="2"/>
        <v>0</v>
      </c>
      <c r="K1260" s="11"/>
      <c r="L1260" s="11"/>
      <c r="M1260" s="11"/>
      <c r="N1260" s="11"/>
      <c r="O1260" s="17"/>
      <c r="P1260" s="17"/>
    </row>
    <row r="1261" ht="13.5" customHeight="1">
      <c r="A1261" s="11" t="str">
        <f t="shared" si="1"/>
        <v>LFW-MINIF55RS2XYG</v>
      </c>
      <c r="B1261" s="32" t="s">
        <v>1597</v>
      </c>
      <c r="C1261" s="33" t="s">
        <v>1598</v>
      </c>
      <c r="D1261" s="33" t="s">
        <v>60</v>
      </c>
      <c r="E1261" s="11" t="s">
        <v>16</v>
      </c>
      <c r="F1261" s="33" t="s">
        <v>314</v>
      </c>
      <c r="G1261" s="11"/>
      <c r="H1261" s="11">
        <f>SUMIFS(X!$F$3:$F$5978,X!$D$3:$D$5978,'Current Stock'!A1261)</f>
        <v>0</v>
      </c>
      <c r="I1261" s="11">
        <f>SUMIFS(PENJUALAN!$E$4:$E$3651,PENJUALAN!$C$4:$C$3651,'Current Stock'!A1261)</f>
        <v>0</v>
      </c>
      <c r="J1261" s="15">
        <f t="shared" si="2"/>
        <v>0</v>
      </c>
      <c r="K1261" s="11"/>
      <c r="L1261" s="11"/>
      <c r="M1261" s="11"/>
      <c r="N1261" s="11"/>
      <c r="O1261" s="17"/>
      <c r="P1261" s="17"/>
    </row>
    <row r="1262" ht="13.5" customHeight="1">
      <c r="A1262" s="11" t="str">
        <f t="shared" si="1"/>
        <v>LFW-MINIF60RS2XYG</v>
      </c>
      <c r="B1262" s="36" t="s">
        <v>1599</v>
      </c>
      <c r="C1262" s="31" t="s">
        <v>1600</v>
      </c>
      <c r="D1262" s="33" t="s">
        <v>60</v>
      </c>
      <c r="E1262" s="11" t="s">
        <v>16</v>
      </c>
      <c r="F1262" s="33" t="s">
        <v>314</v>
      </c>
      <c r="G1262" s="11"/>
      <c r="H1262" s="11">
        <f>SUMIFS(X!$F$3:$F$5978,X!$D$3:$D$5978,'Current Stock'!A1262)</f>
        <v>0</v>
      </c>
      <c r="I1262" s="11">
        <f>SUMIFS(PENJUALAN!$E$4:$E$3651,PENJUALAN!$C$4:$C$3651,'Current Stock'!A1262)</f>
        <v>0</v>
      </c>
      <c r="J1262" s="15">
        <f t="shared" si="2"/>
        <v>0</v>
      </c>
      <c r="K1262" s="11"/>
      <c r="L1262" s="11"/>
      <c r="M1262" s="11"/>
      <c r="N1262" s="11"/>
      <c r="O1262" s="17"/>
      <c r="P1262" s="17"/>
    </row>
    <row r="1263" ht="13.5" customHeight="1">
      <c r="A1263" s="11" t="str">
        <f t="shared" si="1"/>
        <v>LFW-DELICAXYG</v>
      </c>
      <c r="B1263" s="32" t="s">
        <v>819</v>
      </c>
      <c r="C1263" s="33" t="s">
        <v>820</v>
      </c>
      <c r="D1263" s="33" t="s">
        <v>60</v>
      </c>
      <c r="E1263" s="11" t="s">
        <v>16</v>
      </c>
      <c r="F1263" s="33" t="s">
        <v>137</v>
      </c>
      <c r="G1263" s="11"/>
      <c r="H1263" s="11">
        <f>SUMIFS(X!$F$3:$F$5978,X!$D$3:$D$5978,'Current Stock'!A1263)</f>
        <v>0</v>
      </c>
      <c r="I1263" s="11">
        <f>SUMIFS(PENJUALAN!$E$4:$E$3651,PENJUALAN!$C$4:$C$3651,'Current Stock'!A1263)</f>
        <v>0</v>
      </c>
      <c r="J1263" s="15">
        <f t="shared" si="2"/>
        <v>0</v>
      </c>
      <c r="K1263" s="11"/>
      <c r="L1263" s="11"/>
      <c r="M1263" s="11"/>
      <c r="N1263" s="11"/>
      <c r="O1263" s="17"/>
      <c r="P1263" s="17"/>
    </row>
    <row r="1264" ht="13.5" customHeight="1">
      <c r="A1264" s="11" t="str">
        <f t="shared" si="1"/>
        <v>TRW-DELICABENINGXYG</v>
      </c>
      <c r="B1264" s="32" t="s">
        <v>1601</v>
      </c>
      <c r="C1264" s="35" t="s">
        <v>820</v>
      </c>
      <c r="D1264" s="35" t="s">
        <v>62</v>
      </c>
      <c r="E1264" s="11" t="s">
        <v>16</v>
      </c>
      <c r="F1264" s="35" t="s">
        <v>83</v>
      </c>
      <c r="G1264" s="11"/>
      <c r="H1264" s="11">
        <f>SUMIFS(X!$F$3:$F$5978,X!$D$3:$D$5978,'Current Stock'!A1264)</f>
        <v>0</v>
      </c>
      <c r="I1264" s="11">
        <f>SUMIFS(PENJUALAN!$E$4:$E$3651,PENJUALAN!$C$4:$C$3651,'Current Stock'!A1264)</f>
        <v>0</v>
      </c>
      <c r="J1264" s="15">
        <f t="shared" si="2"/>
        <v>0</v>
      </c>
      <c r="K1264" s="11"/>
      <c r="L1264" s="11"/>
      <c r="M1264" s="11"/>
      <c r="N1264" s="11"/>
      <c r="O1264" s="17"/>
      <c r="P1264" s="17"/>
    </row>
    <row r="1265" ht="13.5" customHeight="1">
      <c r="A1265" s="11" t="str">
        <f t="shared" si="1"/>
        <v>TRW-DELICABLACKXYG</v>
      </c>
      <c r="B1265" s="32" t="s">
        <v>1602</v>
      </c>
      <c r="C1265" s="33" t="s">
        <v>1603</v>
      </c>
      <c r="D1265" s="33" t="s">
        <v>62</v>
      </c>
      <c r="E1265" s="11" t="s">
        <v>16</v>
      </c>
      <c r="F1265" s="33" t="s">
        <v>83</v>
      </c>
      <c r="G1265" s="11"/>
      <c r="H1265" s="11">
        <f>SUMIFS(X!$F$3:$F$5978,X!$D$3:$D$5978,'Current Stock'!A1265)</f>
        <v>0</v>
      </c>
      <c r="I1265" s="11">
        <f>SUMIFS(PENJUALAN!$E$4:$E$3651,PENJUALAN!$C$4:$C$3651,'Current Stock'!A1265)</f>
        <v>0</v>
      </c>
      <c r="J1265" s="15">
        <f t="shared" si="2"/>
        <v>0</v>
      </c>
      <c r="K1265" s="11"/>
      <c r="L1265" s="11"/>
      <c r="M1265" s="11"/>
      <c r="N1265" s="11"/>
      <c r="O1265" s="17"/>
      <c r="P1265" s="17"/>
    </row>
    <row r="1266" ht="13.5" customHeight="1">
      <c r="A1266" s="11" t="str">
        <f t="shared" si="1"/>
        <v>LFW-ETERNAXYG</v>
      </c>
      <c r="B1266" s="32" t="s">
        <v>1604</v>
      </c>
      <c r="C1266" s="35" t="s">
        <v>822</v>
      </c>
      <c r="D1266" s="35" t="s">
        <v>60</v>
      </c>
      <c r="E1266" s="11" t="s">
        <v>16</v>
      </c>
      <c r="F1266" s="42" t="s">
        <v>109</v>
      </c>
      <c r="G1266" s="11"/>
      <c r="H1266" s="11">
        <f>SUMIFS(X!$F$3:$F$5978,X!$D$3:$D$5978,'Current Stock'!A1266)</f>
        <v>0</v>
      </c>
      <c r="I1266" s="11">
        <f>SUMIFS(PENJUALAN!$E$4:$E$3651,PENJUALAN!$C$4:$C$3651,'Current Stock'!A1266)</f>
        <v>0</v>
      </c>
      <c r="J1266" s="15">
        <f t="shared" si="2"/>
        <v>0</v>
      </c>
      <c r="K1266" s="11"/>
      <c r="L1266" s="11"/>
      <c r="M1266" s="11"/>
      <c r="N1266" s="11"/>
      <c r="O1266" s="17"/>
      <c r="P1266" s="17"/>
    </row>
    <row r="1267" ht="13.5" customHeight="1">
      <c r="A1267" s="11" t="str">
        <f t="shared" si="1"/>
        <v>TRW-LELEXYG</v>
      </c>
      <c r="B1267" s="32" t="s">
        <v>825</v>
      </c>
      <c r="C1267" s="33" t="s">
        <v>826</v>
      </c>
      <c r="D1267" s="33" t="s">
        <v>62</v>
      </c>
      <c r="E1267" s="11" t="s">
        <v>16</v>
      </c>
      <c r="F1267" s="33" t="s">
        <v>83</v>
      </c>
      <c r="G1267" s="11"/>
      <c r="H1267" s="11">
        <f>SUMIFS(X!$F$3:$F$5978,X!$D$3:$D$5978,'Current Stock'!A1267)</f>
        <v>0</v>
      </c>
      <c r="I1267" s="11">
        <f>SUMIFS(PENJUALAN!$E$4:$E$3651,PENJUALAN!$C$4:$C$3651,'Current Stock'!A1267)</f>
        <v>0</v>
      </c>
      <c r="J1267" s="15">
        <f t="shared" si="2"/>
        <v>0</v>
      </c>
      <c r="K1267" s="11"/>
      <c r="L1267" s="11"/>
      <c r="M1267" s="11"/>
      <c r="N1267" s="11"/>
      <c r="O1267" s="17"/>
      <c r="P1267" s="17"/>
    </row>
    <row r="1268" ht="13.5" customHeight="1">
      <c r="A1268" s="11" t="str">
        <f t="shared" si="1"/>
        <v>RDR-LELEXYG</v>
      </c>
      <c r="B1268" s="32" t="s">
        <v>830</v>
      </c>
      <c r="C1268" s="33" t="s">
        <v>826</v>
      </c>
      <c r="D1268" s="33" t="s">
        <v>146</v>
      </c>
      <c r="E1268" s="11" t="s">
        <v>16</v>
      </c>
      <c r="F1268" s="33" t="s">
        <v>152</v>
      </c>
      <c r="G1268" s="11"/>
      <c r="H1268" s="11">
        <f>SUMIFS(X!$F$3:$F$5978,X!$D$3:$D$5978,'Current Stock'!A1268)</f>
        <v>0</v>
      </c>
      <c r="I1268" s="11">
        <f>SUMIFS(PENJUALAN!$E$4:$E$3651,PENJUALAN!$C$4:$C$3651,'Current Stock'!A1268)</f>
        <v>0</v>
      </c>
      <c r="J1268" s="15">
        <f t="shared" si="2"/>
        <v>0</v>
      </c>
      <c r="K1268" s="11"/>
      <c r="L1268" s="11"/>
      <c r="M1268" s="11"/>
      <c r="N1268" s="11"/>
      <c r="O1268" s="17"/>
      <c r="P1268" s="17"/>
    </row>
    <row r="1269" ht="13.5" customHeight="1">
      <c r="A1269" s="11" t="str">
        <f t="shared" si="1"/>
        <v>TRW-CIVIC16HATXYG</v>
      </c>
      <c r="B1269" s="32" t="s">
        <v>1605</v>
      </c>
      <c r="C1269" s="33" t="s">
        <v>1606</v>
      </c>
      <c r="D1269" s="33" t="s">
        <v>62</v>
      </c>
      <c r="E1269" s="11" t="s">
        <v>16</v>
      </c>
      <c r="F1269" s="33" t="s">
        <v>126</v>
      </c>
      <c r="G1269" s="11"/>
      <c r="H1269" s="11">
        <f>SUMIFS(X!$F$3:$F$5978,X!$D$3:$D$5978,'Current Stock'!A1269)</f>
        <v>1</v>
      </c>
      <c r="I1269" s="11">
        <f>SUMIFS(PENJUALAN!$E$4:$E$3651,PENJUALAN!$C$4:$C$3651,'Current Stock'!A1269)</f>
        <v>1</v>
      </c>
      <c r="J1269" s="15">
        <f t="shared" si="2"/>
        <v>0</v>
      </c>
      <c r="K1269" s="11"/>
      <c r="L1269" s="11"/>
      <c r="M1269" s="11"/>
      <c r="N1269" s="11"/>
      <c r="O1269" s="17"/>
      <c r="P1269" s="17"/>
    </row>
    <row r="1270" ht="13.5" customHeight="1">
      <c r="A1270" s="11" t="str">
        <f t="shared" si="1"/>
        <v>TRW-HIUXYG</v>
      </c>
      <c r="B1270" s="32" t="s">
        <v>833</v>
      </c>
      <c r="C1270" s="33" t="s">
        <v>832</v>
      </c>
      <c r="D1270" s="33" t="s">
        <v>62</v>
      </c>
      <c r="E1270" s="11" t="s">
        <v>16</v>
      </c>
      <c r="F1270" s="33" t="s">
        <v>83</v>
      </c>
      <c r="G1270" s="11"/>
      <c r="H1270" s="11">
        <f>SUMIFS(X!$F$3:$F$5978,X!$D$3:$D$5978,'Current Stock'!A1270)</f>
        <v>0</v>
      </c>
      <c r="I1270" s="11">
        <f>SUMIFS(PENJUALAN!$E$4:$E$3651,PENJUALAN!$C$4:$C$3651,'Current Stock'!A1270)</f>
        <v>0</v>
      </c>
      <c r="J1270" s="15">
        <f t="shared" si="2"/>
        <v>0</v>
      </c>
      <c r="K1270" s="11"/>
      <c r="L1270" s="11"/>
      <c r="M1270" s="11"/>
      <c r="N1270" s="11"/>
      <c r="O1270" s="17"/>
      <c r="P1270" s="17"/>
    </row>
    <row r="1271" ht="13.5" customHeight="1">
      <c r="A1271" s="11" t="str">
        <f t="shared" si="1"/>
        <v>LFW-GRANDIS97XYG</v>
      </c>
      <c r="B1271" s="32" t="s">
        <v>1607</v>
      </c>
      <c r="C1271" s="35" t="s">
        <v>1608</v>
      </c>
      <c r="D1271" s="35" t="s">
        <v>60</v>
      </c>
      <c r="E1271" s="11" t="s">
        <v>16</v>
      </c>
      <c r="F1271" s="35" t="s">
        <v>137</v>
      </c>
      <c r="G1271" s="11"/>
      <c r="H1271" s="11">
        <f>SUMIFS(X!$F$3:$F$5978,X!$D$3:$D$5978,'Current Stock'!A1271)</f>
        <v>0</v>
      </c>
      <c r="I1271" s="11">
        <f>SUMIFS(PENJUALAN!$E$4:$E$3651,PENJUALAN!$C$4:$C$3651,'Current Stock'!A1271)</f>
        <v>0</v>
      </c>
      <c r="J1271" s="15">
        <f t="shared" si="2"/>
        <v>0</v>
      </c>
      <c r="K1271" s="11"/>
      <c r="L1271" s="11"/>
      <c r="M1271" s="11"/>
      <c r="N1271" s="11"/>
      <c r="O1271" s="17"/>
      <c r="P1271" s="17"/>
    </row>
    <row r="1272" ht="13.5" customHeight="1">
      <c r="A1272" s="11" t="str">
        <f t="shared" si="1"/>
        <v>TRW-GRANDIS97XYG</v>
      </c>
      <c r="B1272" s="32" t="s">
        <v>1609</v>
      </c>
      <c r="C1272" s="35" t="s">
        <v>1608</v>
      </c>
      <c r="D1272" s="35" t="s">
        <v>62</v>
      </c>
      <c r="E1272" s="11" t="s">
        <v>16</v>
      </c>
      <c r="F1272" s="35" t="s">
        <v>228</v>
      </c>
      <c r="G1272" s="11"/>
      <c r="H1272" s="11">
        <f>SUMIFS(X!$F$3:$F$5978,X!$D$3:$D$5978,'Current Stock'!A1272)</f>
        <v>0</v>
      </c>
      <c r="I1272" s="11">
        <f>SUMIFS(PENJUALAN!$E$4:$E$3651,PENJUALAN!$C$4:$C$3651,'Current Stock'!A1272)</f>
        <v>0</v>
      </c>
      <c r="J1272" s="15">
        <f t="shared" si="2"/>
        <v>0</v>
      </c>
      <c r="K1272" s="11"/>
      <c r="L1272" s="11"/>
      <c r="M1272" s="11"/>
      <c r="N1272" s="11"/>
      <c r="O1272" s="17"/>
      <c r="P1272" s="17"/>
    </row>
    <row r="1273" ht="13.5" customHeight="1">
      <c r="A1273" s="11" t="str">
        <f t="shared" si="1"/>
        <v>LFW-GRANDISXYG</v>
      </c>
      <c r="B1273" s="32" t="s">
        <v>838</v>
      </c>
      <c r="C1273" s="33" t="s">
        <v>839</v>
      </c>
      <c r="D1273" s="33" t="s">
        <v>60</v>
      </c>
      <c r="E1273" s="11" t="s">
        <v>16</v>
      </c>
      <c r="F1273" s="33" t="s">
        <v>137</v>
      </c>
      <c r="G1273" s="11"/>
      <c r="H1273" s="11">
        <f>SUMIFS(X!$F$3:$F$5978,X!$D$3:$D$5978,'Current Stock'!A1273)</f>
        <v>1</v>
      </c>
      <c r="I1273" s="11">
        <f>SUMIFS(PENJUALAN!$E$4:$E$3651,PENJUALAN!$C$4:$C$3651,'Current Stock'!A1273)</f>
        <v>1</v>
      </c>
      <c r="J1273" s="15">
        <f t="shared" si="2"/>
        <v>0</v>
      </c>
      <c r="K1273" s="11"/>
      <c r="L1273" s="11"/>
      <c r="M1273" s="11"/>
      <c r="N1273" s="11"/>
      <c r="O1273" s="17"/>
      <c r="P1273" s="17"/>
    </row>
    <row r="1274" ht="13.5" customHeight="1">
      <c r="A1274" s="11" t="str">
        <f t="shared" si="1"/>
        <v>TRW-GRANDISXYG</v>
      </c>
      <c r="B1274" s="32" t="s">
        <v>840</v>
      </c>
      <c r="C1274" s="33" t="s">
        <v>839</v>
      </c>
      <c r="D1274" s="33" t="s">
        <v>62</v>
      </c>
      <c r="E1274" s="11" t="s">
        <v>16</v>
      </c>
      <c r="F1274" s="33" t="s">
        <v>228</v>
      </c>
      <c r="G1274" s="11"/>
      <c r="H1274" s="11">
        <f>SUMIFS(X!$F$3:$F$5978,X!$D$3:$D$5978,'Current Stock'!A1274)</f>
        <v>2</v>
      </c>
      <c r="I1274" s="11">
        <f>SUMIFS(PENJUALAN!$E$4:$E$3651,PENJUALAN!$C$4:$C$3651,'Current Stock'!A1274)</f>
        <v>2</v>
      </c>
      <c r="J1274" s="15">
        <f t="shared" si="2"/>
        <v>0</v>
      </c>
      <c r="K1274" s="11"/>
      <c r="L1274" s="11"/>
      <c r="M1274" s="11"/>
      <c r="N1274" s="11"/>
      <c r="O1274" s="17"/>
      <c r="P1274" s="17"/>
    </row>
    <row r="1275" ht="13.5" customHeight="1">
      <c r="A1275" s="11" t="str">
        <f t="shared" si="1"/>
        <v>SWR-GRANDISXYG</v>
      </c>
      <c r="B1275" s="32" t="s">
        <v>846</v>
      </c>
      <c r="C1275" s="33" t="s">
        <v>839</v>
      </c>
      <c r="D1275" s="33" t="s">
        <v>243</v>
      </c>
      <c r="E1275" s="11" t="s">
        <v>16</v>
      </c>
      <c r="F1275" s="33" t="s">
        <v>109</v>
      </c>
      <c r="G1275" s="11"/>
      <c r="H1275" s="11">
        <f>SUMIFS(X!$F$3:$F$5978,X!$D$3:$D$5978,'Current Stock'!A1275)</f>
        <v>0</v>
      </c>
      <c r="I1275" s="11">
        <f>SUMIFS(PENJUALAN!$E$4:$E$3651,PENJUALAN!$C$4:$C$3651,'Current Stock'!A1275)</f>
        <v>0</v>
      </c>
      <c r="J1275" s="15">
        <f t="shared" si="2"/>
        <v>0</v>
      </c>
      <c r="K1275" s="11"/>
      <c r="L1275" s="11"/>
      <c r="M1275" s="11"/>
      <c r="N1275" s="11"/>
      <c r="O1275" s="17"/>
      <c r="P1275" s="17"/>
    </row>
    <row r="1276" ht="13.5" customHeight="1">
      <c r="A1276" s="11" t="str">
        <f t="shared" si="1"/>
        <v>LFW-L200SINGLEXYG</v>
      </c>
      <c r="B1276" s="32" t="s">
        <v>1610</v>
      </c>
      <c r="C1276" s="35" t="s">
        <v>1611</v>
      </c>
      <c r="D1276" s="35" t="s">
        <v>60</v>
      </c>
      <c r="E1276" s="11" t="s">
        <v>16</v>
      </c>
      <c r="F1276" s="42" t="s">
        <v>109</v>
      </c>
      <c r="G1276" s="11"/>
      <c r="H1276" s="11">
        <f>SUMIFS(X!$F$3:$F$5978,X!$D$3:$D$5978,'Current Stock'!A1276)</f>
        <v>0</v>
      </c>
      <c r="I1276" s="11">
        <f>SUMIFS(PENJUALAN!$E$4:$E$3651,PENJUALAN!$C$4:$C$3651,'Current Stock'!A1276)</f>
        <v>0</v>
      </c>
      <c r="J1276" s="15">
        <f t="shared" si="2"/>
        <v>0</v>
      </c>
      <c r="K1276" s="11"/>
      <c r="L1276" s="11"/>
      <c r="M1276" s="11"/>
      <c r="N1276" s="11"/>
      <c r="O1276" s="17"/>
      <c r="P1276" s="17"/>
    </row>
    <row r="1277" ht="13.5" customHeight="1">
      <c r="A1277" s="11" t="str">
        <f t="shared" si="1"/>
        <v>LFW-L200DOUBLEXYG</v>
      </c>
      <c r="B1277" s="32" t="s">
        <v>1612</v>
      </c>
      <c r="C1277" s="35" t="s">
        <v>1613</v>
      </c>
      <c r="D1277" s="35" t="s">
        <v>60</v>
      </c>
      <c r="E1277" s="11" t="s">
        <v>16</v>
      </c>
      <c r="F1277" s="42" t="s">
        <v>137</v>
      </c>
      <c r="G1277" s="11"/>
      <c r="H1277" s="11">
        <f>SUMIFS(X!$F$3:$F$5978,X!$D$3:$D$5978,'Current Stock'!A1277)</f>
        <v>0</v>
      </c>
      <c r="I1277" s="11">
        <f>SUMIFS(PENJUALAN!$E$4:$E$3651,PENJUALAN!$C$4:$C$3651,'Current Stock'!A1277)</f>
        <v>1</v>
      </c>
      <c r="J1277" s="15">
        <f t="shared" si="2"/>
        <v>-1</v>
      </c>
      <c r="K1277" s="11"/>
      <c r="L1277" s="11"/>
      <c r="M1277" s="11"/>
      <c r="N1277" s="11"/>
      <c r="O1277" s="17"/>
      <c r="P1277" s="17"/>
    </row>
    <row r="1278" ht="13.5" customHeight="1">
      <c r="A1278" s="11" t="str">
        <f t="shared" si="1"/>
        <v>LFW-EVO3XYG</v>
      </c>
      <c r="B1278" s="32" t="s">
        <v>847</v>
      </c>
      <c r="C1278" s="33" t="s">
        <v>848</v>
      </c>
      <c r="D1278" s="33" t="s">
        <v>60</v>
      </c>
      <c r="E1278" s="11" t="s">
        <v>16</v>
      </c>
      <c r="F1278" s="33" t="s">
        <v>109</v>
      </c>
      <c r="G1278" s="11"/>
      <c r="H1278" s="11">
        <f>SUMIFS(X!$F$3:$F$5978,X!$D$3:$D$5978,'Current Stock'!A1278)</f>
        <v>0</v>
      </c>
      <c r="I1278" s="11">
        <f>SUMIFS(PENJUALAN!$E$4:$E$3651,PENJUALAN!$C$4:$C$3651,'Current Stock'!A1278)</f>
        <v>0</v>
      </c>
      <c r="J1278" s="15">
        <f t="shared" si="2"/>
        <v>0</v>
      </c>
      <c r="K1278" s="11"/>
      <c r="L1278" s="11"/>
      <c r="M1278" s="11"/>
      <c r="N1278" s="11"/>
      <c r="O1278" s="17"/>
      <c r="P1278" s="17"/>
    </row>
    <row r="1279" ht="13.5" customHeight="1">
      <c r="A1279" s="11" t="str">
        <f t="shared" si="1"/>
        <v>TRW-EVO3XYG</v>
      </c>
      <c r="B1279" s="32" t="s">
        <v>849</v>
      </c>
      <c r="C1279" s="33" t="s">
        <v>848</v>
      </c>
      <c r="D1279" s="33" t="s">
        <v>62</v>
      </c>
      <c r="E1279" s="11" t="s">
        <v>16</v>
      </c>
      <c r="F1279" s="33" t="s">
        <v>83</v>
      </c>
      <c r="G1279" s="11"/>
      <c r="H1279" s="11">
        <f>SUMIFS(X!$F$3:$F$5978,X!$D$3:$D$5978,'Current Stock'!A1279)</f>
        <v>0</v>
      </c>
      <c r="I1279" s="11">
        <f>SUMIFS(PENJUALAN!$E$4:$E$3651,PENJUALAN!$C$4:$C$3651,'Current Stock'!A1279)</f>
        <v>0</v>
      </c>
      <c r="J1279" s="15">
        <f t="shared" si="2"/>
        <v>0</v>
      </c>
      <c r="K1279" s="11"/>
      <c r="L1279" s="11"/>
      <c r="M1279" s="11"/>
      <c r="N1279" s="11"/>
      <c r="O1279" s="17"/>
      <c r="P1279" s="17"/>
    </row>
    <row r="1280" ht="13.5" customHeight="1">
      <c r="A1280" s="11" t="str">
        <f t="shared" si="1"/>
        <v>FDL-EVO3XYG</v>
      </c>
      <c r="B1280" s="32" t="s">
        <v>850</v>
      </c>
      <c r="C1280" s="33" t="s">
        <v>848</v>
      </c>
      <c r="D1280" s="33" t="s">
        <v>140</v>
      </c>
      <c r="E1280" s="11" t="s">
        <v>16</v>
      </c>
      <c r="F1280" s="33" t="s">
        <v>152</v>
      </c>
      <c r="G1280" s="11"/>
      <c r="H1280" s="11">
        <f>SUMIFS(X!$F$3:$F$5978,X!$D$3:$D$5978,'Current Stock'!A1280)</f>
        <v>0</v>
      </c>
      <c r="I1280" s="11">
        <f>SUMIFS(PENJUALAN!$E$4:$E$3651,PENJUALAN!$C$4:$C$3651,'Current Stock'!A1280)</f>
        <v>0</v>
      </c>
      <c r="J1280" s="15">
        <f t="shared" si="2"/>
        <v>0</v>
      </c>
      <c r="K1280" s="11"/>
      <c r="L1280" s="11"/>
      <c r="M1280" s="11"/>
      <c r="N1280" s="11"/>
      <c r="O1280" s="17"/>
      <c r="P1280" s="17"/>
    </row>
    <row r="1281" ht="13.5" customHeight="1">
      <c r="A1281" s="11" t="str">
        <f t="shared" si="1"/>
        <v>FDR-EVO3XYG</v>
      </c>
      <c r="B1281" s="32" t="s">
        <v>851</v>
      </c>
      <c r="C1281" s="33" t="s">
        <v>848</v>
      </c>
      <c r="D1281" s="33" t="s">
        <v>142</v>
      </c>
      <c r="E1281" s="11" t="s">
        <v>16</v>
      </c>
      <c r="F1281" s="33" t="s">
        <v>152</v>
      </c>
      <c r="G1281" s="11"/>
      <c r="H1281" s="11">
        <f>SUMIFS(X!$F$3:$F$5978,X!$D$3:$D$5978,'Current Stock'!A1281)</f>
        <v>0</v>
      </c>
      <c r="I1281" s="11">
        <f>SUMIFS(PENJUALAN!$E$4:$E$3651,PENJUALAN!$C$4:$C$3651,'Current Stock'!A1281)</f>
        <v>0</v>
      </c>
      <c r="J1281" s="15">
        <f t="shared" si="2"/>
        <v>0</v>
      </c>
      <c r="K1281" s="11"/>
      <c r="L1281" s="11"/>
      <c r="M1281" s="11"/>
      <c r="N1281" s="11"/>
      <c r="O1281" s="17"/>
      <c r="P1281" s="17"/>
    </row>
    <row r="1282" ht="13.5" customHeight="1">
      <c r="A1282" s="11" t="str">
        <f t="shared" si="1"/>
        <v>RDL-EVO3XYG</v>
      </c>
      <c r="B1282" s="32" t="s">
        <v>852</v>
      </c>
      <c r="C1282" s="33" t="s">
        <v>848</v>
      </c>
      <c r="D1282" s="33" t="s">
        <v>144</v>
      </c>
      <c r="E1282" s="11" t="s">
        <v>16</v>
      </c>
      <c r="F1282" s="33" t="s">
        <v>152</v>
      </c>
      <c r="G1282" s="11"/>
      <c r="H1282" s="11">
        <f>SUMIFS(X!$F$3:$F$5978,X!$D$3:$D$5978,'Current Stock'!A1282)</f>
        <v>0</v>
      </c>
      <c r="I1282" s="11">
        <f>SUMIFS(PENJUALAN!$E$4:$E$3651,PENJUALAN!$C$4:$C$3651,'Current Stock'!A1282)</f>
        <v>0</v>
      </c>
      <c r="J1282" s="15">
        <f t="shared" si="2"/>
        <v>0</v>
      </c>
      <c r="K1282" s="11"/>
      <c r="L1282" s="11"/>
      <c r="M1282" s="11"/>
      <c r="N1282" s="11"/>
      <c r="O1282" s="17"/>
      <c r="P1282" s="17"/>
    </row>
    <row r="1283" ht="13.5" customHeight="1">
      <c r="A1283" s="11" t="str">
        <f t="shared" si="1"/>
        <v>RDR-EVO3XYG</v>
      </c>
      <c r="B1283" s="32" t="s">
        <v>853</v>
      </c>
      <c r="C1283" s="33" t="s">
        <v>848</v>
      </c>
      <c r="D1283" s="33" t="s">
        <v>146</v>
      </c>
      <c r="E1283" s="11" t="s">
        <v>16</v>
      </c>
      <c r="F1283" s="33" t="s">
        <v>152</v>
      </c>
      <c r="G1283" s="11"/>
      <c r="H1283" s="11">
        <f>SUMIFS(X!$F$3:$F$5978,X!$D$3:$D$5978,'Current Stock'!A1283)</f>
        <v>0</v>
      </c>
      <c r="I1283" s="11">
        <f>SUMIFS(PENJUALAN!$E$4:$E$3651,PENJUALAN!$C$4:$C$3651,'Current Stock'!A1283)</f>
        <v>0</v>
      </c>
      <c r="J1283" s="15">
        <f t="shared" si="2"/>
        <v>0</v>
      </c>
      <c r="K1283" s="11"/>
      <c r="L1283" s="11"/>
      <c r="M1283" s="11"/>
      <c r="N1283" s="11"/>
      <c r="O1283" s="17"/>
      <c r="P1283" s="17"/>
    </row>
    <row r="1284" ht="13.5" customHeight="1">
      <c r="A1284" s="11" t="str">
        <f t="shared" si="1"/>
        <v>LFW-EVO4XYG</v>
      </c>
      <c r="B1284" s="32" t="s">
        <v>856</v>
      </c>
      <c r="C1284" s="33" t="s">
        <v>857</v>
      </c>
      <c r="D1284" s="33" t="s">
        <v>60</v>
      </c>
      <c r="E1284" s="11" t="s">
        <v>16</v>
      </c>
      <c r="F1284" s="33" t="s">
        <v>137</v>
      </c>
      <c r="G1284" s="11"/>
      <c r="H1284" s="11">
        <f>SUMIFS(X!$F$3:$F$5978,X!$D$3:$D$5978,'Current Stock'!A1284)</f>
        <v>0</v>
      </c>
      <c r="I1284" s="11">
        <f>SUMIFS(PENJUALAN!$E$4:$E$3651,PENJUALAN!$C$4:$C$3651,'Current Stock'!A1284)</f>
        <v>0</v>
      </c>
      <c r="J1284" s="15">
        <f t="shared" si="2"/>
        <v>0</v>
      </c>
      <c r="K1284" s="11"/>
      <c r="L1284" s="11"/>
      <c r="M1284" s="11"/>
      <c r="N1284" s="11"/>
      <c r="O1284" s="17"/>
      <c r="P1284" s="17"/>
    </row>
    <row r="1285" ht="13.5" customHeight="1">
      <c r="A1285" s="11" t="str">
        <f t="shared" si="1"/>
        <v>LFW-EVO5XYG</v>
      </c>
      <c r="B1285" s="32" t="s">
        <v>861</v>
      </c>
      <c r="C1285" s="33" t="s">
        <v>862</v>
      </c>
      <c r="D1285" s="33" t="s">
        <v>60</v>
      </c>
      <c r="E1285" s="11" t="s">
        <v>16</v>
      </c>
      <c r="F1285" s="33" t="s">
        <v>137</v>
      </c>
      <c r="G1285" s="11"/>
      <c r="H1285" s="11">
        <f>SUMIFS(X!$F$3:$F$5978,X!$D$3:$D$5978,'Current Stock'!A1285)</f>
        <v>1</v>
      </c>
      <c r="I1285" s="11">
        <f>SUMIFS(PENJUALAN!$E$4:$E$3651,PENJUALAN!$C$4:$C$3651,'Current Stock'!A1285)</f>
        <v>1</v>
      </c>
      <c r="J1285" s="15">
        <f t="shared" si="2"/>
        <v>0</v>
      </c>
      <c r="K1285" s="11"/>
      <c r="L1285" s="11"/>
      <c r="M1285" s="11"/>
      <c r="N1285" s="11"/>
      <c r="O1285" s="17"/>
      <c r="P1285" s="17"/>
    </row>
    <row r="1286" ht="13.5" customHeight="1">
      <c r="A1286" s="11" t="str">
        <f t="shared" si="1"/>
        <v>TRW-EVO5XYG</v>
      </c>
      <c r="B1286" s="32" t="s">
        <v>863</v>
      </c>
      <c r="C1286" s="33" t="s">
        <v>862</v>
      </c>
      <c r="D1286" s="33" t="s">
        <v>62</v>
      </c>
      <c r="E1286" s="11" t="s">
        <v>16</v>
      </c>
      <c r="F1286" s="33" t="s">
        <v>83</v>
      </c>
      <c r="G1286" s="11"/>
      <c r="H1286" s="11">
        <f>SUMIFS(X!$F$3:$F$5978,X!$D$3:$D$5978,'Current Stock'!A1286)</f>
        <v>0</v>
      </c>
      <c r="I1286" s="11">
        <f>SUMIFS(PENJUALAN!$E$4:$E$3651,PENJUALAN!$C$4:$C$3651,'Current Stock'!A1286)</f>
        <v>0</v>
      </c>
      <c r="J1286" s="15">
        <f t="shared" si="2"/>
        <v>0</v>
      </c>
      <c r="K1286" s="11"/>
      <c r="L1286" s="11"/>
      <c r="M1286" s="11"/>
      <c r="N1286" s="11"/>
      <c r="O1286" s="17"/>
      <c r="P1286" s="17"/>
    </row>
    <row r="1287" ht="13.5" customHeight="1">
      <c r="A1287" s="11" t="str">
        <f t="shared" si="1"/>
        <v>FDR-EVO5XYG</v>
      </c>
      <c r="B1287" s="32" t="s">
        <v>865</v>
      </c>
      <c r="C1287" s="33" t="s">
        <v>862</v>
      </c>
      <c r="D1287" s="33" t="s">
        <v>142</v>
      </c>
      <c r="E1287" s="11" t="s">
        <v>16</v>
      </c>
      <c r="F1287" s="33" t="s">
        <v>406</v>
      </c>
      <c r="G1287" s="11"/>
      <c r="H1287" s="11">
        <f>SUMIFS(X!$F$3:$F$5978,X!$D$3:$D$5978,'Current Stock'!A1287)</f>
        <v>0</v>
      </c>
      <c r="I1287" s="11">
        <f>SUMIFS(PENJUALAN!$E$4:$E$3651,PENJUALAN!$C$4:$C$3651,'Current Stock'!A1287)</f>
        <v>0</v>
      </c>
      <c r="J1287" s="15">
        <f t="shared" si="2"/>
        <v>0</v>
      </c>
      <c r="K1287" s="13" t="s">
        <v>698</v>
      </c>
      <c r="L1287" s="11"/>
      <c r="M1287" s="11"/>
      <c r="N1287" s="11"/>
      <c r="O1287" s="17"/>
      <c r="P1287" s="17"/>
    </row>
    <row r="1288" ht="13.5" customHeight="1">
      <c r="A1288" s="11" t="str">
        <f t="shared" si="1"/>
        <v>LFW-EVO10XYG</v>
      </c>
      <c r="B1288" s="32" t="s">
        <v>868</v>
      </c>
      <c r="C1288" s="33" t="s">
        <v>869</v>
      </c>
      <c r="D1288" s="33" t="s">
        <v>60</v>
      </c>
      <c r="E1288" s="11" t="s">
        <v>16</v>
      </c>
      <c r="F1288" s="33" t="s">
        <v>137</v>
      </c>
      <c r="G1288" s="11"/>
      <c r="H1288" s="11">
        <f>SUMIFS(X!$F$3:$F$5978,X!$D$3:$D$5978,'Current Stock'!A1288)</f>
        <v>0</v>
      </c>
      <c r="I1288" s="11">
        <f>SUMIFS(PENJUALAN!$E$4:$E$3651,PENJUALAN!$C$4:$C$3651,'Current Stock'!A1288)</f>
        <v>0</v>
      </c>
      <c r="J1288" s="15">
        <f t="shared" si="2"/>
        <v>0</v>
      </c>
      <c r="K1288" s="11"/>
      <c r="L1288" s="11"/>
      <c r="M1288" s="11"/>
      <c r="N1288" s="11"/>
      <c r="O1288" s="17"/>
      <c r="P1288" s="17"/>
    </row>
    <row r="1289" ht="13.5" customHeight="1">
      <c r="A1289" s="11" t="str">
        <f t="shared" si="1"/>
        <v>TRW-EVO10XYG</v>
      </c>
      <c r="B1289" s="32" t="s">
        <v>871</v>
      </c>
      <c r="C1289" s="33" t="s">
        <v>869</v>
      </c>
      <c r="D1289" s="33" t="s">
        <v>62</v>
      </c>
      <c r="E1289" s="11" t="s">
        <v>16</v>
      </c>
      <c r="F1289" s="33" t="s">
        <v>83</v>
      </c>
      <c r="G1289" s="14">
        <v>45988.0</v>
      </c>
      <c r="H1289" s="11">
        <f>SUMIFS(X!$F$3:$F$5978,X!$D$3:$D$5978,'Current Stock'!A1289)</f>
        <v>0</v>
      </c>
      <c r="I1289" s="11">
        <f>SUMIFS(PENJUALAN!$E$4:$E$3651,PENJUALAN!$C$4:$C$3651,'Current Stock'!A1289)</f>
        <v>0</v>
      </c>
      <c r="J1289" s="15">
        <f t="shared" si="2"/>
        <v>0</v>
      </c>
      <c r="K1289" s="13"/>
      <c r="L1289" s="11"/>
      <c r="M1289" s="11"/>
      <c r="N1289" s="11"/>
      <c r="O1289" s="17"/>
      <c r="P1289" s="17"/>
    </row>
    <row r="1290" ht="13.5" customHeight="1">
      <c r="A1290" s="11" t="str">
        <f t="shared" si="1"/>
        <v>LFW-MIRAGEXYG</v>
      </c>
      <c r="B1290" s="32" t="s">
        <v>876</v>
      </c>
      <c r="C1290" s="33" t="s">
        <v>877</v>
      </c>
      <c r="D1290" s="33" t="s">
        <v>60</v>
      </c>
      <c r="E1290" s="11" t="s">
        <v>16</v>
      </c>
      <c r="F1290" s="33" t="s">
        <v>137</v>
      </c>
      <c r="G1290" s="11"/>
      <c r="H1290" s="11">
        <f>SUMIFS(X!$F$3:$F$5978,X!$D$3:$D$5978,'Current Stock'!A1290)</f>
        <v>0</v>
      </c>
      <c r="I1290" s="11">
        <f>SUMIFS(PENJUALAN!$E$4:$E$3651,PENJUALAN!$C$4:$C$3651,'Current Stock'!A1290)</f>
        <v>0</v>
      </c>
      <c r="J1290" s="15">
        <f t="shared" si="2"/>
        <v>0</v>
      </c>
      <c r="K1290" s="11"/>
      <c r="L1290" s="11"/>
      <c r="M1290" s="11"/>
      <c r="N1290" s="11"/>
      <c r="O1290" s="17"/>
      <c r="P1290" s="17"/>
    </row>
    <row r="1291" ht="13.5" customHeight="1">
      <c r="A1291" s="11" t="str">
        <f t="shared" si="1"/>
        <v>TRW-MIRAGEXYG</v>
      </c>
      <c r="B1291" s="32" t="s">
        <v>878</v>
      </c>
      <c r="C1291" s="33" t="s">
        <v>877</v>
      </c>
      <c r="D1291" s="33" t="s">
        <v>62</v>
      </c>
      <c r="E1291" s="11" t="s">
        <v>16</v>
      </c>
      <c r="F1291" s="33" t="s">
        <v>83</v>
      </c>
      <c r="G1291" s="11"/>
      <c r="H1291" s="11">
        <f>SUMIFS(X!$F$3:$F$5978,X!$D$3:$D$5978,'Current Stock'!A1291)</f>
        <v>0</v>
      </c>
      <c r="I1291" s="11">
        <f>SUMIFS(PENJUALAN!$E$4:$E$3651,PENJUALAN!$C$4:$C$3651,'Current Stock'!A1291)</f>
        <v>0</v>
      </c>
      <c r="J1291" s="15">
        <f t="shared" si="2"/>
        <v>0</v>
      </c>
      <c r="K1291" s="13"/>
      <c r="L1291" s="11"/>
      <c r="M1291" s="11"/>
      <c r="N1291" s="11"/>
      <c r="O1291" s="17"/>
      <c r="P1291" s="17"/>
    </row>
    <row r="1292" ht="13.5" customHeight="1">
      <c r="A1292" s="11" t="str">
        <f t="shared" si="1"/>
        <v>LFW-OUTLANDERXYG</v>
      </c>
      <c r="B1292" s="32" t="s">
        <v>879</v>
      </c>
      <c r="C1292" s="33" t="s">
        <v>880</v>
      </c>
      <c r="D1292" s="33" t="s">
        <v>60</v>
      </c>
      <c r="E1292" s="11" t="s">
        <v>16</v>
      </c>
      <c r="F1292" s="33" t="s">
        <v>137</v>
      </c>
      <c r="G1292" s="14"/>
      <c r="H1292" s="11">
        <f>SUMIFS(X!$F$3:$F$5978,X!$D$3:$D$5978,'Current Stock'!A1292)</f>
        <v>18</v>
      </c>
      <c r="I1292" s="11">
        <f>SUMIFS(PENJUALAN!$E$4:$E$3651,PENJUALAN!$C$4:$C$3651,'Current Stock'!A1292)</f>
        <v>16</v>
      </c>
      <c r="J1292" s="15">
        <f t="shared" si="2"/>
        <v>2</v>
      </c>
      <c r="K1292" s="13"/>
      <c r="L1292" s="11"/>
      <c r="M1292" s="11"/>
      <c r="N1292" s="11"/>
      <c r="O1292" s="17"/>
      <c r="P1292" s="17"/>
    </row>
    <row r="1293" ht="13.5" customHeight="1">
      <c r="A1293" s="11" t="str">
        <f t="shared" si="1"/>
        <v>LFW-CRV95XYG</v>
      </c>
      <c r="B1293" s="32" t="s">
        <v>419</v>
      </c>
      <c r="C1293" s="33" t="s">
        <v>420</v>
      </c>
      <c r="D1293" s="33" t="s">
        <v>60</v>
      </c>
      <c r="E1293" s="11" t="s">
        <v>16</v>
      </c>
      <c r="F1293" s="33" t="s">
        <v>109</v>
      </c>
      <c r="G1293" s="11"/>
      <c r="H1293" s="11">
        <f>SUMIFS(X!$F$3:$F$5978,X!$D$3:$D$5978,'Current Stock'!A1293)</f>
        <v>2</v>
      </c>
      <c r="I1293" s="11">
        <f>SUMIFS(PENJUALAN!$E$4:$E$3651,PENJUALAN!$C$4:$C$3651,'Current Stock'!A1293)</f>
        <v>2</v>
      </c>
      <c r="J1293" s="15">
        <f t="shared" si="2"/>
        <v>0</v>
      </c>
      <c r="K1293" s="13"/>
      <c r="L1293" s="13"/>
      <c r="M1293" s="11"/>
      <c r="N1293" s="11"/>
      <c r="O1293" s="17"/>
      <c r="P1293" s="17"/>
    </row>
    <row r="1294" ht="13.5" customHeight="1">
      <c r="A1294" s="11" t="str">
        <f t="shared" si="1"/>
        <v>LFW-PAJEROV40XYG</v>
      </c>
      <c r="B1294" s="48" t="s">
        <v>1614</v>
      </c>
      <c r="C1294" s="33" t="s">
        <v>1615</v>
      </c>
      <c r="D1294" s="35" t="s">
        <v>60</v>
      </c>
      <c r="E1294" s="11" t="s">
        <v>16</v>
      </c>
      <c r="F1294" s="33" t="s">
        <v>109</v>
      </c>
      <c r="G1294" s="11"/>
      <c r="H1294" s="11">
        <f>SUMIFS(X!$F$3:$F$5978,X!$D$3:$D$5978,'Current Stock'!A1294)</f>
        <v>0</v>
      </c>
      <c r="I1294" s="11">
        <f>SUMIFS(PENJUALAN!$E$4:$E$3651,PENJUALAN!$C$4:$C$3651,'Current Stock'!A1294)</f>
        <v>0</v>
      </c>
      <c r="J1294" s="15">
        <f t="shared" si="2"/>
        <v>0</v>
      </c>
      <c r="K1294" s="13" t="s">
        <v>1616</v>
      </c>
      <c r="L1294" s="11"/>
      <c r="M1294" s="11"/>
      <c r="N1294" s="11"/>
      <c r="O1294" s="17"/>
      <c r="P1294" s="17"/>
    </row>
    <row r="1295" ht="13.5" customHeight="1">
      <c r="A1295" s="11" t="str">
        <f t="shared" si="1"/>
        <v>LFW-PAJEROV70XYG</v>
      </c>
      <c r="B1295" s="32" t="s">
        <v>1617</v>
      </c>
      <c r="C1295" s="33" t="s">
        <v>1618</v>
      </c>
      <c r="D1295" s="33" t="s">
        <v>60</v>
      </c>
      <c r="E1295" s="11" t="s">
        <v>16</v>
      </c>
      <c r="F1295" s="33" t="s">
        <v>137</v>
      </c>
      <c r="G1295" s="11"/>
      <c r="H1295" s="11">
        <f>SUMIFS(X!$F$3:$F$5978,X!$D$3:$D$5978,'Current Stock'!A1295)</f>
        <v>0</v>
      </c>
      <c r="I1295" s="11">
        <f>SUMIFS(PENJUALAN!$E$4:$E$3651,PENJUALAN!$C$4:$C$3651,'Current Stock'!A1295)</f>
        <v>0</v>
      </c>
      <c r="J1295" s="15">
        <f t="shared" si="2"/>
        <v>0</v>
      </c>
      <c r="K1295" s="11"/>
      <c r="L1295" s="11"/>
      <c r="M1295" s="11"/>
      <c r="N1295" s="11"/>
      <c r="O1295" s="17"/>
      <c r="P1295" s="17"/>
    </row>
    <row r="1296" ht="13.5" customHeight="1">
      <c r="A1296" s="11" t="str">
        <f t="shared" si="1"/>
        <v>LFW-PAJEROV8090XYG</v>
      </c>
      <c r="B1296" s="48" t="s">
        <v>1619</v>
      </c>
      <c r="C1296" s="35" t="s">
        <v>1620</v>
      </c>
      <c r="D1296" s="35" t="s">
        <v>60</v>
      </c>
      <c r="E1296" s="11" t="s">
        <v>16</v>
      </c>
      <c r="F1296" s="33" t="s">
        <v>137</v>
      </c>
      <c r="G1296" s="14">
        <v>45988.0</v>
      </c>
      <c r="H1296" s="11">
        <f>SUMIFS(X!$F$3:$F$5978,X!$D$3:$D$5978,'Current Stock'!A1296)</f>
        <v>0</v>
      </c>
      <c r="I1296" s="11">
        <f>SUMIFS(PENJUALAN!$E$4:$E$3651,PENJUALAN!$C$4:$C$3651,'Current Stock'!A1296)</f>
        <v>0</v>
      </c>
      <c r="J1296" s="15">
        <f t="shared" si="2"/>
        <v>0</v>
      </c>
      <c r="K1296" s="13"/>
      <c r="L1296" s="11"/>
      <c r="M1296" s="11"/>
      <c r="N1296" s="11"/>
      <c r="O1296" s="17"/>
      <c r="P1296" s="17"/>
    </row>
    <row r="1297" ht="13.5" customHeight="1">
      <c r="A1297" s="11" t="str">
        <f t="shared" si="1"/>
        <v>LFW-PAJERO08XYG</v>
      </c>
      <c r="B1297" s="32" t="s">
        <v>882</v>
      </c>
      <c r="C1297" s="33" t="s">
        <v>883</v>
      </c>
      <c r="D1297" s="33" t="s">
        <v>60</v>
      </c>
      <c r="E1297" s="11" t="s">
        <v>16</v>
      </c>
      <c r="F1297" s="33" t="s">
        <v>137</v>
      </c>
      <c r="G1297" s="11"/>
      <c r="H1297" s="11">
        <f>SUMIFS(X!$F$3:$F$5978,X!$D$3:$D$5978,'Current Stock'!A1297)</f>
        <v>1</v>
      </c>
      <c r="I1297" s="11">
        <f>SUMIFS(PENJUALAN!$E$4:$E$3651,PENJUALAN!$C$4:$C$3651,'Current Stock'!A1297)</f>
        <v>0</v>
      </c>
      <c r="J1297" s="15">
        <f t="shared" si="2"/>
        <v>1</v>
      </c>
      <c r="K1297" s="13" t="s">
        <v>1342</v>
      </c>
      <c r="L1297" s="11"/>
      <c r="M1297" s="11"/>
      <c r="N1297" s="11"/>
      <c r="O1297" s="17"/>
      <c r="P1297" s="17"/>
    </row>
    <row r="1298" ht="13.5" customHeight="1">
      <c r="A1298" s="11" t="str">
        <f t="shared" si="1"/>
        <v>LFW-HRV14XYG</v>
      </c>
      <c r="B1298" s="36" t="s">
        <v>470</v>
      </c>
      <c r="C1298" s="33" t="s">
        <v>471</v>
      </c>
      <c r="D1298" s="33" t="s">
        <v>60</v>
      </c>
      <c r="E1298" s="11" t="s">
        <v>16</v>
      </c>
      <c r="F1298" s="33" t="s">
        <v>137</v>
      </c>
      <c r="G1298" s="11"/>
      <c r="H1298" s="11">
        <f>SUMIFS(X!$F$3:$F$5978,X!$D$3:$D$5978,'Current Stock'!A1298)</f>
        <v>15</v>
      </c>
      <c r="I1298" s="11">
        <f>SUMIFS(PENJUALAN!$E$4:$E$3651,PENJUALAN!$C$4:$C$3651,'Current Stock'!A1298)</f>
        <v>5</v>
      </c>
      <c r="J1298" s="15">
        <f t="shared" si="2"/>
        <v>10</v>
      </c>
      <c r="K1298" s="13" t="s">
        <v>113</v>
      </c>
      <c r="L1298" s="11"/>
      <c r="M1298" s="11"/>
      <c r="N1298" s="11"/>
      <c r="O1298" s="17"/>
      <c r="P1298" s="17"/>
    </row>
    <row r="1299" ht="13.5" customHeight="1">
      <c r="A1299" s="11" t="str">
        <f t="shared" si="1"/>
        <v>LFW-INNOVA15AGC</v>
      </c>
      <c r="B1299" s="13" t="s">
        <v>1171</v>
      </c>
      <c r="C1299" s="13" t="s">
        <v>1621</v>
      </c>
      <c r="D1299" s="13" t="s">
        <v>60</v>
      </c>
      <c r="E1299" s="13" t="s">
        <v>101</v>
      </c>
      <c r="F1299" s="13" t="s">
        <v>1358</v>
      </c>
      <c r="G1299" s="34"/>
      <c r="H1299" s="11">
        <f>SUMIFS(X!$F$3:$F$5978,X!$D$3:$D$5978,'Current Stock'!A1299)</f>
        <v>15</v>
      </c>
      <c r="I1299" s="11">
        <f>SUMIFS(PENJUALAN!$E$4:$E$3651,PENJUALAN!$C$4:$C$3651,'Current Stock'!A1299)</f>
        <v>14</v>
      </c>
      <c r="J1299" s="15">
        <f t="shared" si="2"/>
        <v>1</v>
      </c>
      <c r="K1299" s="13" t="s">
        <v>1616</v>
      </c>
      <c r="L1299" s="13"/>
      <c r="M1299" s="44"/>
      <c r="N1299" s="44"/>
      <c r="O1299" s="17"/>
      <c r="P1299" s="17"/>
    </row>
    <row r="1300" ht="13.5" customHeight="1">
      <c r="A1300" s="11" t="str">
        <f t="shared" si="1"/>
        <v>SWR-PAJERO08XYG</v>
      </c>
      <c r="B1300" s="32" t="s">
        <v>1622</v>
      </c>
      <c r="C1300" s="33" t="s">
        <v>883</v>
      </c>
      <c r="D1300" s="35" t="s">
        <v>243</v>
      </c>
      <c r="E1300" s="11" t="s">
        <v>16</v>
      </c>
      <c r="F1300" s="33"/>
      <c r="G1300" s="14">
        <v>45988.0</v>
      </c>
      <c r="H1300" s="11">
        <f>SUMIFS(X!$F$3:$F$5978,X!$D$3:$D$5978,'Current Stock'!A1300)</f>
        <v>0</v>
      </c>
      <c r="I1300" s="11">
        <f>SUMIFS(PENJUALAN!$E$4:$E$3651,PENJUALAN!$C$4:$C$3651,'Current Stock'!A1300)</f>
        <v>0</v>
      </c>
      <c r="J1300" s="15">
        <f t="shared" si="2"/>
        <v>0</v>
      </c>
      <c r="K1300" s="13"/>
      <c r="L1300" s="11"/>
      <c r="M1300" s="11"/>
      <c r="N1300" s="11"/>
      <c r="O1300" s="17"/>
      <c r="P1300" s="17"/>
    </row>
    <row r="1301" ht="13.5" customHeight="1">
      <c r="A1301" s="11" t="str">
        <f t="shared" si="1"/>
        <v>LFW-PAJERO16XYG</v>
      </c>
      <c r="B1301" s="32" t="s">
        <v>885</v>
      </c>
      <c r="C1301" s="33" t="s">
        <v>886</v>
      </c>
      <c r="D1301" s="33" t="s">
        <v>60</v>
      </c>
      <c r="E1301" s="11" t="s">
        <v>16</v>
      </c>
      <c r="F1301" s="33" t="s">
        <v>137</v>
      </c>
      <c r="G1301" s="37">
        <v>46021.0</v>
      </c>
      <c r="H1301" s="11">
        <f>SUMIFS(X!$F$3:$F$5978,X!$D$3:$D$5978,'Current Stock'!A1301)</f>
        <v>9</v>
      </c>
      <c r="I1301" s="11">
        <f>SUMIFS(PENJUALAN!$E$4:$E$3651,PENJUALAN!$C$4:$C$3651,'Current Stock'!A1301)</f>
        <v>9</v>
      </c>
      <c r="J1301" s="15">
        <f t="shared" si="2"/>
        <v>0</v>
      </c>
      <c r="K1301" s="13" t="s">
        <v>1623</v>
      </c>
      <c r="L1301" s="11"/>
      <c r="M1301" s="11"/>
      <c r="N1301" s="11"/>
      <c r="O1301" s="17"/>
      <c r="P1301" s="17"/>
    </row>
    <row r="1302" ht="13.5" customHeight="1">
      <c r="A1302" s="11" t="str">
        <f t="shared" si="1"/>
        <v>TRW-PAJERO16XYG</v>
      </c>
      <c r="B1302" s="32" t="s">
        <v>887</v>
      </c>
      <c r="C1302" s="33" t="s">
        <v>886</v>
      </c>
      <c r="D1302" s="33" t="s">
        <v>62</v>
      </c>
      <c r="E1302" s="11" t="s">
        <v>16</v>
      </c>
      <c r="F1302" s="33" t="s">
        <v>228</v>
      </c>
      <c r="G1302" s="11"/>
      <c r="H1302" s="11">
        <f>SUMIFS(X!$F$3:$F$5978,X!$D$3:$D$5978,'Current Stock'!A1302)</f>
        <v>1</v>
      </c>
      <c r="I1302" s="11">
        <f>SUMIFS(PENJUALAN!$E$4:$E$3651,PENJUALAN!$C$4:$C$3651,'Current Stock'!A1302)</f>
        <v>1</v>
      </c>
      <c r="J1302" s="15">
        <f t="shared" si="2"/>
        <v>0</v>
      </c>
      <c r="K1302" s="13"/>
      <c r="L1302" s="13"/>
      <c r="M1302" s="11"/>
      <c r="N1302" s="11"/>
      <c r="O1302" s="17"/>
      <c r="P1302" s="17"/>
    </row>
    <row r="1303" ht="13.5" customHeight="1">
      <c r="A1303" s="11" t="str">
        <f t="shared" si="1"/>
        <v>TRW-ALPHARD08BLACKXYG</v>
      </c>
      <c r="B1303" s="32" t="s">
        <v>1053</v>
      </c>
      <c r="C1303" s="33" t="s">
        <v>1054</v>
      </c>
      <c r="D1303" s="33" t="s">
        <v>62</v>
      </c>
      <c r="E1303" s="11" t="s">
        <v>16</v>
      </c>
      <c r="F1303" s="33" t="s">
        <v>83</v>
      </c>
      <c r="G1303" s="34"/>
      <c r="H1303" s="11">
        <f>SUMIFS(X!$F$3:$F$5978,X!$D$3:$D$5978,'Current Stock'!A1303)</f>
        <v>7</v>
      </c>
      <c r="I1303" s="11">
        <f>SUMIFS(PENJUALAN!$E$4:$E$3651,PENJUALAN!$C$4:$C$3651,'Current Stock'!A1303)</f>
        <v>6</v>
      </c>
      <c r="J1303" s="15">
        <f t="shared" si="2"/>
        <v>1</v>
      </c>
      <c r="K1303" s="13"/>
      <c r="L1303" s="11"/>
      <c r="M1303" s="11"/>
      <c r="N1303" s="11"/>
      <c r="O1303" s="17"/>
      <c r="P1303" s="17"/>
    </row>
    <row r="1304" ht="13.5" customHeight="1">
      <c r="A1304" s="11" t="str">
        <f t="shared" si="1"/>
        <v>RDR-PAJERO16XYG</v>
      </c>
      <c r="B1304" s="36" t="s">
        <v>1624</v>
      </c>
      <c r="C1304" s="33" t="s">
        <v>886</v>
      </c>
      <c r="D1304" s="31" t="s">
        <v>86</v>
      </c>
      <c r="E1304" s="11" t="s">
        <v>16</v>
      </c>
      <c r="F1304" s="33"/>
      <c r="G1304" s="11"/>
      <c r="H1304" s="11">
        <f>SUMIFS(X!$F$3:$F$5978,X!$D$3:$D$5978,'Current Stock'!A1304)</f>
        <v>0</v>
      </c>
      <c r="I1304" s="11">
        <f>SUMIFS(PENJUALAN!$E$4:$E$3651,PENJUALAN!$C$4:$C$3651,'Current Stock'!A1304)</f>
        <v>0</v>
      </c>
      <c r="J1304" s="15">
        <f t="shared" si="2"/>
        <v>0</v>
      </c>
      <c r="K1304" s="13"/>
      <c r="L1304" s="13"/>
      <c r="M1304" s="11"/>
      <c r="N1304" s="11"/>
      <c r="O1304" s="17"/>
      <c r="P1304" s="17"/>
    </row>
    <row r="1305" ht="13.5" customHeight="1">
      <c r="A1305" s="11" t="str">
        <f t="shared" si="1"/>
        <v>LFW-PAJERO16RS1XYG</v>
      </c>
      <c r="B1305" s="32" t="s">
        <v>1625</v>
      </c>
      <c r="C1305" s="33" t="s">
        <v>1626</v>
      </c>
      <c r="D1305" s="33" t="s">
        <v>60</v>
      </c>
      <c r="E1305" s="11" t="s">
        <v>16</v>
      </c>
      <c r="F1305" s="33" t="s">
        <v>90</v>
      </c>
      <c r="G1305" s="37">
        <v>46021.0</v>
      </c>
      <c r="H1305" s="11">
        <f>SUMIFS(X!$F$3:$F$5978,X!$D$3:$D$5978,'Current Stock'!A1305)</f>
        <v>1</v>
      </c>
      <c r="I1305" s="11">
        <f>SUMIFS(PENJUALAN!$E$4:$E$3651,PENJUALAN!$C$4:$C$3651,'Current Stock'!A1305)</f>
        <v>0</v>
      </c>
      <c r="J1305" s="15">
        <f t="shared" si="2"/>
        <v>1</v>
      </c>
      <c r="K1305" s="13" t="s">
        <v>1369</v>
      </c>
      <c r="L1305" s="11"/>
      <c r="M1305" s="11"/>
      <c r="N1305" s="11"/>
      <c r="O1305" s="17"/>
      <c r="P1305" s="17"/>
    </row>
    <row r="1306" ht="13.5" customHeight="1">
      <c r="A1306" s="11" t="str">
        <f t="shared" si="1"/>
        <v>LFW-PAJERO16RS2XYG</v>
      </c>
      <c r="B1306" s="32" t="s">
        <v>1627</v>
      </c>
      <c r="C1306" s="33" t="s">
        <v>1628</v>
      </c>
      <c r="D1306" s="33" t="s">
        <v>60</v>
      </c>
      <c r="E1306" s="11" t="s">
        <v>16</v>
      </c>
      <c r="F1306" s="33" t="s">
        <v>1629</v>
      </c>
      <c r="G1306" s="11"/>
      <c r="H1306" s="11">
        <f>SUMIFS(X!$F$3:$F$5978,X!$D$3:$D$5978,'Current Stock'!A1306)</f>
        <v>0</v>
      </c>
      <c r="I1306" s="11">
        <f>SUMIFS(PENJUALAN!$E$4:$E$3651,PENJUALAN!$C$4:$C$3651,'Current Stock'!A1306)</f>
        <v>0</v>
      </c>
      <c r="J1306" s="15">
        <f t="shared" si="2"/>
        <v>0</v>
      </c>
      <c r="K1306" s="11"/>
      <c r="L1306" s="11"/>
      <c r="M1306" s="11"/>
      <c r="N1306" s="11"/>
      <c r="O1306" s="17"/>
      <c r="P1306" s="17"/>
    </row>
    <row r="1307" ht="13.5" customHeight="1">
      <c r="A1307" s="11" t="str">
        <f t="shared" si="1"/>
        <v>LFW-TRITON05XYG</v>
      </c>
      <c r="B1307" s="32" t="s">
        <v>888</v>
      </c>
      <c r="C1307" s="33" t="s">
        <v>889</v>
      </c>
      <c r="D1307" s="33" t="s">
        <v>60</v>
      </c>
      <c r="E1307" s="11" t="s">
        <v>16</v>
      </c>
      <c r="F1307" s="33" t="s">
        <v>137</v>
      </c>
      <c r="G1307" s="11"/>
      <c r="H1307" s="11">
        <f>SUMIFS(X!$F$3:$F$5978,X!$D$3:$D$5978,'Current Stock'!A1307)</f>
        <v>0</v>
      </c>
      <c r="I1307" s="11">
        <f>SUMIFS(PENJUALAN!$E$4:$E$3651,PENJUALAN!$C$4:$C$3651,'Current Stock'!A1307)</f>
        <v>0</v>
      </c>
      <c r="J1307" s="15">
        <f t="shared" si="2"/>
        <v>0</v>
      </c>
      <c r="K1307" s="11"/>
      <c r="L1307" s="11"/>
      <c r="M1307" s="11"/>
      <c r="N1307" s="11"/>
      <c r="O1307" s="17"/>
      <c r="P1307" s="17"/>
    </row>
    <row r="1308" ht="13.5" customHeight="1">
      <c r="A1308" s="11" t="str">
        <f t="shared" si="1"/>
        <v>TRW-TRITON05XYG</v>
      </c>
      <c r="B1308" s="32" t="s">
        <v>890</v>
      </c>
      <c r="C1308" s="33" t="s">
        <v>889</v>
      </c>
      <c r="D1308" s="33" t="s">
        <v>62</v>
      </c>
      <c r="E1308" s="11" t="s">
        <v>16</v>
      </c>
      <c r="F1308" s="33" t="s">
        <v>83</v>
      </c>
      <c r="G1308" s="11"/>
      <c r="H1308" s="11">
        <f>SUMIFS(X!$F$3:$F$5978,X!$D$3:$D$5978,'Current Stock'!A1308)</f>
        <v>0</v>
      </c>
      <c r="I1308" s="11">
        <f>SUMIFS(PENJUALAN!$E$4:$E$3651,PENJUALAN!$C$4:$C$3651,'Current Stock'!A1308)</f>
        <v>0</v>
      </c>
      <c r="J1308" s="15">
        <f t="shared" si="2"/>
        <v>0</v>
      </c>
      <c r="K1308" s="13"/>
      <c r="L1308" s="13"/>
      <c r="M1308" s="11"/>
      <c r="N1308" s="11"/>
      <c r="O1308" s="17"/>
      <c r="P1308" s="17"/>
    </row>
    <row r="1309" ht="13.5" customHeight="1">
      <c r="A1309" s="11" t="str">
        <f t="shared" si="1"/>
        <v>LFW-TRITON14XYG</v>
      </c>
      <c r="B1309" s="32" t="s">
        <v>891</v>
      </c>
      <c r="C1309" s="33" t="s">
        <v>892</v>
      </c>
      <c r="D1309" s="33" t="s">
        <v>60</v>
      </c>
      <c r="E1309" s="11" t="s">
        <v>16</v>
      </c>
      <c r="F1309" s="33" t="s">
        <v>137</v>
      </c>
      <c r="G1309" s="11"/>
      <c r="H1309" s="11">
        <f>SUMIFS(X!$F$3:$F$5978,X!$D$3:$D$5978,'Current Stock'!A1309)</f>
        <v>0</v>
      </c>
      <c r="I1309" s="11">
        <f>SUMIFS(PENJUALAN!$E$4:$E$3651,PENJUALAN!$C$4:$C$3651,'Current Stock'!A1309)</f>
        <v>0</v>
      </c>
      <c r="J1309" s="15">
        <f t="shared" si="2"/>
        <v>0</v>
      </c>
      <c r="K1309" s="11"/>
      <c r="L1309" s="11"/>
      <c r="M1309" s="11"/>
      <c r="N1309" s="11"/>
      <c r="O1309" s="17"/>
      <c r="P1309" s="17"/>
    </row>
    <row r="1310" ht="13.5" customHeight="1">
      <c r="A1310" s="11" t="str">
        <f t="shared" si="1"/>
        <v>TRW-TRITON14HXYG</v>
      </c>
      <c r="B1310" s="32" t="s">
        <v>893</v>
      </c>
      <c r="C1310" s="33" t="s">
        <v>892</v>
      </c>
      <c r="D1310" s="33" t="s">
        <v>62</v>
      </c>
      <c r="E1310" s="11" t="s">
        <v>16</v>
      </c>
      <c r="F1310" s="33" t="s">
        <v>83</v>
      </c>
      <c r="G1310" s="11"/>
      <c r="H1310" s="11">
        <f>SUMIFS(X!$F$3:$F$5978,X!$D$3:$D$5978,'Current Stock'!A1310)</f>
        <v>0</v>
      </c>
      <c r="I1310" s="11">
        <f>SUMIFS(PENJUALAN!$E$4:$E$3651,PENJUALAN!$C$4:$C$3651,'Current Stock'!A1310)</f>
        <v>0</v>
      </c>
      <c r="J1310" s="15">
        <f t="shared" si="2"/>
        <v>0</v>
      </c>
      <c r="K1310" s="13"/>
      <c r="L1310" s="13"/>
      <c r="M1310" s="11"/>
      <c r="N1310" s="11"/>
      <c r="O1310" s="17"/>
      <c r="P1310" s="17"/>
    </row>
    <row r="1311" ht="13.5" customHeight="1">
      <c r="A1311" s="11" t="str">
        <f t="shared" si="1"/>
        <v>TRW-TRITON14XYG</v>
      </c>
      <c r="B1311" s="32" t="s">
        <v>1630</v>
      </c>
      <c r="C1311" s="33" t="s">
        <v>892</v>
      </c>
      <c r="D1311" s="33" t="s">
        <v>62</v>
      </c>
      <c r="E1311" s="11" t="s">
        <v>16</v>
      </c>
      <c r="F1311" s="33" t="s">
        <v>109</v>
      </c>
      <c r="G1311" s="11"/>
      <c r="H1311" s="11">
        <f>SUMIFS(X!$F$3:$F$5978,X!$D$3:$D$5978,'Current Stock'!A1311)</f>
        <v>0</v>
      </c>
      <c r="I1311" s="11">
        <f>SUMIFS(PENJUALAN!$E$4:$E$3651,PENJUALAN!$C$4:$C$3651,'Current Stock'!A1311)</f>
        <v>0</v>
      </c>
      <c r="J1311" s="15">
        <f t="shared" si="2"/>
        <v>0</v>
      </c>
      <c r="K1311" s="11"/>
      <c r="L1311" s="11"/>
      <c r="M1311" s="11"/>
      <c r="N1311" s="11"/>
      <c r="O1311" s="17"/>
      <c r="P1311" s="17"/>
    </row>
    <row r="1312" ht="13.5" customHeight="1">
      <c r="A1312" s="11" t="str">
        <f t="shared" si="1"/>
        <v>RDL-TRITON14XYG</v>
      </c>
      <c r="B1312" s="32" t="s">
        <v>894</v>
      </c>
      <c r="C1312" s="33" t="s">
        <v>892</v>
      </c>
      <c r="D1312" s="33" t="s">
        <v>144</v>
      </c>
      <c r="E1312" s="11" t="s">
        <v>16</v>
      </c>
      <c r="F1312" s="33" t="s">
        <v>406</v>
      </c>
      <c r="G1312" s="11"/>
      <c r="H1312" s="11">
        <f>SUMIFS(X!$F$3:$F$5978,X!$D$3:$D$5978,'Current Stock'!A1312)</f>
        <v>0</v>
      </c>
      <c r="I1312" s="11">
        <f>SUMIFS(PENJUALAN!$E$4:$E$3651,PENJUALAN!$C$4:$C$3651,'Current Stock'!A1312)</f>
        <v>0</v>
      </c>
      <c r="J1312" s="15">
        <f t="shared" si="2"/>
        <v>0</v>
      </c>
      <c r="K1312" s="11"/>
      <c r="L1312" s="11"/>
      <c r="M1312" s="11"/>
      <c r="N1312" s="11"/>
      <c r="O1312" s="17"/>
      <c r="P1312" s="17"/>
    </row>
    <row r="1313" ht="13.5" customHeight="1">
      <c r="A1313" s="11" t="str">
        <f t="shared" si="1"/>
        <v>RDR-TRITON14XYG</v>
      </c>
      <c r="B1313" s="32" t="s">
        <v>895</v>
      </c>
      <c r="C1313" s="33" t="s">
        <v>892</v>
      </c>
      <c r="D1313" s="33" t="s">
        <v>146</v>
      </c>
      <c r="E1313" s="11" t="s">
        <v>16</v>
      </c>
      <c r="F1313" s="33" t="s">
        <v>406</v>
      </c>
      <c r="G1313" s="11"/>
      <c r="H1313" s="11">
        <f>SUMIFS(X!$F$3:$F$5978,X!$D$3:$D$5978,'Current Stock'!A1313)</f>
        <v>0</v>
      </c>
      <c r="I1313" s="11">
        <f>SUMIFS(PENJUALAN!$E$4:$E$3651,PENJUALAN!$C$4:$C$3651,'Current Stock'!A1313)</f>
        <v>0</v>
      </c>
      <c r="J1313" s="15">
        <f t="shared" si="2"/>
        <v>0</v>
      </c>
      <c r="K1313" s="11"/>
      <c r="L1313" s="11"/>
      <c r="M1313" s="11"/>
      <c r="N1313" s="11"/>
      <c r="O1313" s="17"/>
      <c r="P1313" s="17"/>
    </row>
    <row r="1314" ht="13.5" customHeight="1">
      <c r="A1314" s="11" t="str">
        <f t="shared" si="1"/>
        <v>LFW-XPANDERXYG</v>
      </c>
      <c r="B1314" s="32" t="s">
        <v>1631</v>
      </c>
      <c r="C1314" s="33" t="s">
        <v>1632</v>
      </c>
      <c r="D1314" s="33" t="s">
        <v>60</v>
      </c>
      <c r="E1314" s="11" t="s">
        <v>16</v>
      </c>
      <c r="F1314" s="33" t="s">
        <v>137</v>
      </c>
      <c r="G1314" s="11"/>
      <c r="H1314" s="11">
        <f>SUMIFS(X!$F$3:$F$5978,X!$D$3:$D$5978,'Current Stock'!A1314)</f>
        <v>12</v>
      </c>
      <c r="I1314" s="11">
        <f>SUMIFS(PENJUALAN!$E$4:$E$3651,PENJUALAN!$C$4:$C$3651,'Current Stock'!A1314)</f>
        <v>9</v>
      </c>
      <c r="J1314" s="15">
        <f t="shared" si="2"/>
        <v>3</v>
      </c>
      <c r="K1314" s="13" t="s">
        <v>1356</v>
      </c>
      <c r="L1314" s="11"/>
      <c r="M1314" s="11"/>
      <c r="N1314" s="11"/>
      <c r="O1314" s="17"/>
      <c r="P1314" s="17"/>
    </row>
    <row r="1315" ht="13.5" customHeight="1">
      <c r="A1315" s="11" t="str">
        <f t="shared" si="1"/>
        <v>LFW-CRV12MU</v>
      </c>
      <c r="B1315" s="32" t="s">
        <v>445</v>
      </c>
      <c r="C1315" s="33" t="s">
        <v>85</v>
      </c>
      <c r="D1315" s="33" t="s">
        <v>60</v>
      </c>
      <c r="E1315" s="11" t="s">
        <v>1633</v>
      </c>
      <c r="F1315" s="33" t="s">
        <v>1634</v>
      </c>
      <c r="G1315" s="11"/>
      <c r="H1315" s="11">
        <f>SUMIFS(X!$F$3:$F$5978,X!$D$3:$D$5978,'Current Stock'!A1315)</f>
        <v>4</v>
      </c>
      <c r="I1315" s="11">
        <f>SUMIFS(PENJUALAN!$E$4:$E$3651,PENJUALAN!$C$4:$C$3651,'Current Stock'!A1315)</f>
        <v>4</v>
      </c>
      <c r="J1315" s="15">
        <f t="shared" si="2"/>
        <v>0</v>
      </c>
      <c r="K1315" s="11"/>
      <c r="L1315" s="11"/>
      <c r="M1315" s="16">
        <v>1.0</v>
      </c>
      <c r="N1315" s="11"/>
      <c r="O1315" s="45"/>
      <c r="P1315" s="45"/>
    </row>
    <row r="1316" ht="13.5" customHeight="1">
      <c r="A1316" s="11" t="str">
        <f t="shared" si="1"/>
        <v>LFW-ALMERAXYG</v>
      </c>
      <c r="B1316" s="32" t="s">
        <v>1635</v>
      </c>
      <c r="C1316" s="33" t="s">
        <v>1636</v>
      </c>
      <c r="D1316" s="33" t="s">
        <v>60</v>
      </c>
      <c r="E1316" s="11" t="s">
        <v>16</v>
      </c>
      <c r="F1316" s="33" t="s">
        <v>137</v>
      </c>
      <c r="G1316" s="11"/>
      <c r="H1316" s="11">
        <f>SUMIFS(X!$F$3:$F$5978,X!$D$3:$D$5978,'Current Stock'!A1316)</f>
        <v>0</v>
      </c>
      <c r="I1316" s="11">
        <f>SUMIFS(PENJUALAN!$E$4:$E$3651,PENJUALAN!$C$4:$C$3651,'Current Stock'!A1316)</f>
        <v>0</v>
      </c>
      <c r="J1316" s="15">
        <f t="shared" si="2"/>
        <v>0</v>
      </c>
      <c r="K1316" s="11"/>
      <c r="L1316" s="11"/>
      <c r="M1316" s="11"/>
      <c r="N1316" s="11"/>
      <c r="O1316" s="17"/>
      <c r="P1316" s="17"/>
    </row>
    <row r="1317" ht="13.5" customHeight="1">
      <c r="A1317" s="11" t="str">
        <f t="shared" si="1"/>
        <v>LFW-ELGRAND02XYG</v>
      </c>
      <c r="B1317" s="32" t="s">
        <v>900</v>
      </c>
      <c r="C1317" s="33" t="s">
        <v>901</v>
      </c>
      <c r="D1317" s="33" t="s">
        <v>60</v>
      </c>
      <c r="E1317" s="11" t="s">
        <v>16</v>
      </c>
      <c r="F1317" s="33" t="s">
        <v>109</v>
      </c>
      <c r="G1317" s="11"/>
      <c r="H1317" s="11">
        <f>SUMIFS(X!$F$3:$F$5978,X!$D$3:$D$5978,'Current Stock'!A1317)</f>
        <v>1</v>
      </c>
      <c r="I1317" s="11">
        <f>SUMIFS(PENJUALAN!$E$4:$E$3651,PENJUALAN!$C$4:$C$3651,'Current Stock'!A1317)</f>
        <v>1</v>
      </c>
      <c r="J1317" s="15">
        <f t="shared" si="2"/>
        <v>0</v>
      </c>
      <c r="K1317" s="11"/>
      <c r="L1317" s="11"/>
      <c r="M1317" s="11"/>
      <c r="N1317" s="11"/>
      <c r="O1317" s="17"/>
      <c r="P1317" s="17"/>
    </row>
    <row r="1318" ht="13.5" customHeight="1">
      <c r="A1318" s="11" t="str">
        <f t="shared" si="1"/>
        <v>TRW-ELGRAND02XYG</v>
      </c>
      <c r="B1318" s="32" t="s">
        <v>902</v>
      </c>
      <c r="C1318" s="33" t="s">
        <v>901</v>
      </c>
      <c r="D1318" s="33" t="s">
        <v>62</v>
      </c>
      <c r="E1318" s="11" t="s">
        <v>16</v>
      </c>
      <c r="F1318" s="33" t="s">
        <v>83</v>
      </c>
      <c r="G1318" s="11"/>
      <c r="H1318" s="11">
        <f>SUMIFS(X!$F$3:$F$5978,X!$D$3:$D$5978,'Current Stock'!A1318)</f>
        <v>1</v>
      </c>
      <c r="I1318" s="11">
        <f>SUMIFS(PENJUALAN!$E$4:$E$3651,PENJUALAN!$C$4:$C$3651,'Current Stock'!A1318)</f>
        <v>1</v>
      </c>
      <c r="J1318" s="15">
        <f t="shared" si="2"/>
        <v>0</v>
      </c>
      <c r="K1318" s="11"/>
      <c r="L1318" s="11"/>
      <c r="M1318" s="11"/>
      <c r="N1318" s="11"/>
      <c r="O1318" s="17"/>
      <c r="P1318" s="17"/>
    </row>
    <row r="1319" ht="13.5" customHeight="1">
      <c r="A1319" s="11" t="str">
        <f t="shared" si="1"/>
        <v>LFW-EVALIAXYG</v>
      </c>
      <c r="B1319" s="32" t="s">
        <v>921</v>
      </c>
      <c r="C1319" s="33" t="s">
        <v>922</v>
      </c>
      <c r="D1319" s="33" t="s">
        <v>60</v>
      </c>
      <c r="E1319" s="11" t="s">
        <v>16</v>
      </c>
      <c r="F1319" s="33" t="s">
        <v>109</v>
      </c>
      <c r="G1319" s="11"/>
      <c r="H1319" s="11">
        <f>SUMIFS(X!$F$3:$F$5978,X!$D$3:$D$5978,'Current Stock'!A1319)</f>
        <v>1</v>
      </c>
      <c r="I1319" s="11">
        <f>SUMIFS(PENJUALAN!$E$4:$E$3651,PENJUALAN!$C$4:$C$3651,'Current Stock'!A1319)</f>
        <v>1</v>
      </c>
      <c r="J1319" s="15">
        <f t="shared" si="2"/>
        <v>0</v>
      </c>
      <c r="K1319" s="13"/>
      <c r="L1319" s="13"/>
      <c r="M1319" s="11"/>
      <c r="N1319" s="11"/>
      <c r="O1319" s="17"/>
      <c r="P1319" s="17"/>
    </row>
    <row r="1320" ht="13.5" customHeight="1">
      <c r="A1320" s="11" t="str">
        <f t="shared" si="1"/>
        <v>TRW-EVALIAXYG</v>
      </c>
      <c r="B1320" s="32" t="s">
        <v>1637</v>
      </c>
      <c r="C1320" s="33" t="s">
        <v>922</v>
      </c>
      <c r="D1320" s="33" t="s">
        <v>62</v>
      </c>
      <c r="E1320" s="11" t="s">
        <v>16</v>
      </c>
      <c r="F1320" s="33" t="s">
        <v>83</v>
      </c>
      <c r="G1320" s="11"/>
      <c r="H1320" s="11">
        <f>SUMIFS(X!$F$3:$F$5978,X!$D$3:$D$5978,'Current Stock'!A1320)</f>
        <v>2</v>
      </c>
      <c r="I1320" s="11">
        <f>SUMIFS(PENJUALAN!$E$4:$E$3651,PENJUALAN!$C$4:$C$3651,'Current Stock'!A1320)</f>
        <v>1</v>
      </c>
      <c r="J1320" s="15">
        <f t="shared" si="2"/>
        <v>1</v>
      </c>
      <c r="K1320" s="13" t="s">
        <v>1468</v>
      </c>
      <c r="L1320" s="13"/>
      <c r="M1320" s="11"/>
      <c r="N1320" s="11"/>
      <c r="O1320" s="17"/>
      <c r="P1320" s="17"/>
    </row>
    <row r="1321" ht="13.5" customHeight="1">
      <c r="A1321" s="11" t="str">
        <f t="shared" si="1"/>
        <v>LFW-EVALIAFR</v>
      </c>
      <c r="B1321" s="36" t="s">
        <v>921</v>
      </c>
      <c r="C1321" s="33" t="s">
        <v>922</v>
      </c>
      <c r="D1321" s="31" t="s">
        <v>60</v>
      </c>
      <c r="E1321" s="13" t="s">
        <v>1429</v>
      </c>
      <c r="F1321" s="31" t="s">
        <v>109</v>
      </c>
      <c r="G1321" s="11"/>
      <c r="H1321" s="11">
        <f>SUMIFS(X!$F$3:$F$5978,X!$D$3:$D$5978,'Current Stock'!A1321)</f>
        <v>1</v>
      </c>
      <c r="I1321" s="11">
        <f>SUMIFS(PENJUALAN!$E$4:$E$3651,PENJUALAN!$C$4:$C$3651,'Current Stock'!A1321)</f>
        <v>1</v>
      </c>
      <c r="J1321" s="15">
        <f t="shared" si="2"/>
        <v>0</v>
      </c>
      <c r="K1321" s="13"/>
      <c r="L1321" s="13"/>
      <c r="M1321" s="11"/>
      <c r="N1321" s="11"/>
      <c r="O1321" s="17"/>
      <c r="P1321" s="17"/>
    </row>
    <row r="1322" ht="13.5" customHeight="1">
      <c r="A1322" s="11" t="str">
        <f t="shared" si="1"/>
        <v>LFW-NAVARA04XYG</v>
      </c>
      <c r="B1322" s="32" t="s">
        <v>926</v>
      </c>
      <c r="C1322" s="33" t="s">
        <v>927</v>
      </c>
      <c r="D1322" s="33" t="s">
        <v>60</v>
      </c>
      <c r="E1322" s="11" t="s">
        <v>16</v>
      </c>
      <c r="F1322" s="33" t="s">
        <v>137</v>
      </c>
      <c r="G1322" s="11"/>
      <c r="H1322" s="11">
        <f>SUMIFS(X!$F$3:$F$5978,X!$D$3:$D$5978,'Current Stock'!A1322)</f>
        <v>0</v>
      </c>
      <c r="I1322" s="11">
        <f>SUMIFS(PENJUALAN!$E$4:$E$3651,PENJUALAN!$C$4:$C$3651,'Current Stock'!A1322)</f>
        <v>0</v>
      </c>
      <c r="J1322" s="15">
        <f t="shared" si="2"/>
        <v>0</v>
      </c>
      <c r="K1322" s="13" t="s">
        <v>120</v>
      </c>
      <c r="L1322" s="11"/>
      <c r="M1322" s="11"/>
      <c r="N1322" s="11"/>
      <c r="O1322" s="17"/>
      <c r="P1322" s="17"/>
    </row>
    <row r="1323" ht="13.5" customHeight="1">
      <c r="A1323" s="11" t="str">
        <f t="shared" si="1"/>
        <v>TRW-NAVARA04XYG</v>
      </c>
      <c r="B1323" s="32" t="s">
        <v>928</v>
      </c>
      <c r="C1323" s="33" t="s">
        <v>927</v>
      </c>
      <c r="D1323" s="33" t="s">
        <v>62</v>
      </c>
      <c r="E1323" s="11" t="s">
        <v>16</v>
      </c>
      <c r="F1323" s="33" t="s">
        <v>83</v>
      </c>
      <c r="G1323" s="11"/>
      <c r="H1323" s="11">
        <f>SUMIFS(X!$F$3:$F$5978,X!$D$3:$D$5978,'Current Stock'!A1323)</f>
        <v>0</v>
      </c>
      <c r="I1323" s="11">
        <f>SUMIFS(PENJUALAN!$E$4:$E$3651,PENJUALAN!$C$4:$C$3651,'Current Stock'!A1323)</f>
        <v>0</v>
      </c>
      <c r="J1323" s="15">
        <f t="shared" si="2"/>
        <v>0</v>
      </c>
      <c r="K1323" s="13"/>
      <c r="L1323" s="13"/>
      <c r="M1323" s="11"/>
      <c r="N1323" s="11"/>
      <c r="O1323" s="17"/>
      <c r="P1323" s="17"/>
    </row>
    <row r="1324" ht="13.5" customHeight="1">
      <c r="A1324" s="11" t="str">
        <f t="shared" si="1"/>
        <v>LFW-JUKEXYG</v>
      </c>
      <c r="B1324" s="32" t="s">
        <v>929</v>
      </c>
      <c r="C1324" s="33" t="s">
        <v>930</v>
      </c>
      <c r="D1324" s="33" t="s">
        <v>60</v>
      </c>
      <c r="E1324" s="11" t="s">
        <v>16</v>
      </c>
      <c r="F1324" s="33" t="s">
        <v>137</v>
      </c>
      <c r="G1324" s="14">
        <v>45988.0</v>
      </c>
      <c r="H1324" s="11">
        <f>SUMIFS(X!$F$3:$F$5978,X!$D$3:$D$5978,'Current Stock'!A1324)</f>
        <v>1</v>
      </c>
      <c r="I1324" s="11">
        <f>SUMIFS(PENJUALAN!$E$4:$E$3651,PENJUALAN!$C$4:$C$3651,'Current Stock'!A1324)</f>
        <v>1</v>
      </c>
      <c r="J1324" s="15">
        <f t="shared" si="2"/>
        <v>0</v>
      </c>
      <c r="K1324" s="13"/>
      <c r="L1324" s="13"/>
      <c r="M1324" s="11"/>
      <c r="N1324" s="11"/>
      <c r="O1324" s="17"/>
      <c r="P1324" s="17"/>
    </row>
    <row r="1325" ht="13.5" customHeight="1">
      <c r="A1325" s="11" t="str">
        <f t="shared" si="1"/>
        <v>TRW-JUKEXYG</v>
      </c>
      <c r="B1325" s="32" t="s">
        <v>931</v>
      </c>
      <c r="C1325" s="33" t="s">
        <v>930</v>
      </c>
      <c r="D1325" s="33" t="s">
        <v>62</v>
      </c>
      <c r="E1325" s="11" t="s">
        <v>16</v>
      </c>
      <c r="F1325" s="33" t="s">
        <v>228</v>
      </c>
      <c r="G1325" s="11"/>
      <c r="H1325" s="11">
        <f>SUMIFS(X!$F$3:$F$5978,X!$D$3:$D$5978,'Current Stock'!A1325)</f>
        <v>0</v>
      </c>
      <c r="I1325" s="11">
        <f>SUMIFS(PENJUALAN!$E$4:$E$3651,PENJUALAN!$C$4:$C$3651,'Current Stock'!A1325)</f>
        <v>0</v>
      </c>
      <c r="J1325" s="15">
        <f t="shared" si="2"/>
        <v>0</v>
      </c>
      <c r="K1325" s="11"/>
      <c r="L1325" s="11"/>
      <c r="M1325" s="11"/>
      <c r="N1325" s="11"/>
      <c r="O1325" s="17"/>
      <c r="P1325" s="17"/>
    </row>
    <row r="1326" ht="13.5" customHeight="1">
      <c r="A1326" s="11" t="str">
        <f t="shared" si="1"/>
        <v>LFW-LIVINA07XYG</v>
      </c>
      <c r="B1326" s="32" t="s">
        <v>936</v>
      </c>
      <c r="C1326" s="33" t="s">
        <v>937</v>
      </c>
      <c r="D1326" s="33" t="s">
        <v>60</v>
      </c>
      <c r="E1326" s="11" t="s">
        <v>16</v>
      </c>
      <c r="F1326" s="33" t="s">
        <v>1638</v>
      </c>
      <c r="G1326" s="11"/>
      <c r="H1326" s="11">
        <f>SUMIFS(X!$F$3:$F$5978,X!$D$3:$D$5978,'Current Stock'!A1326)</f>
        <v>9</v>
      </c>
      <c r="I1326" s="11">
        <f>SUMIFS(PENJUALAN!$E$4:$E$3651,PENJUALAN!$C$4:$C$3651,'Current Stock'!A1326)</f>
        <v>10</v>
      </c>
      <c r="J1326" s="15">
        <f t="shared" si="2"/>
        <v>-1</v>
      </c>
      <c r="K1326" s="13" t="s">
        <v>1639</v>
      </c>
      <c r="L1326" s="13"/>
      <c r="M1326" s="16">
        <v>1.0</v>
      </c>
      <c r="N1326" s="11"/>
      <c r="O1326" s="17"/>
      <c r="P1326" s="17"/>
    </row>
    <row r="1327" ht="13.5" customHeight="1">
      <c r="A1327" s="11" t="str">
        <f t="shared" si="1"/>
        <v>TRW-LIVINA07XYG</v>
      </c>
      <c r="B1327" s="32" t="s">
        <v>938</v>
      </c>
      <c r="C1327" s="33" t="s">
        <v>939</v>
      </c>
      <c r="D1327" s="33" t="s">
        <v>62</v>
      </c>
      <c r="E1327" s="11" t="s">
        <v>16</v>
      </c>
      <c r="F1327" s="33" t="s">
        <v>83</v>
      </c>
      <c r="G1327" s="34"/>
      <c r="H1327" s="11">
        <f>SUMIFS(X!$F$3:$F$5978,X!$D$3:$D$5978,'Current Stock'!A1327)</f>
        <v>5</v>
      </c>
      <c r="I1327" s="11">
        <f>SUMIFS(PENJUALAN!$E$4:$E$3651,PENJUALAN!$C$4:$C$3651,'Current Stock'!A1327)</f>
        <v>4</v>
      </c>
      <c r="J1327" s="15">
        <f t="shared" si="2"/>
        <v>1</v>
      </c>
      <c r="K1327" s="13"/>
      <c r="L1327" s="13"/>
      <c r="M1327" s="16">
        <v>2.0</v>
      </c>
      <c r="N1327" s="13"/>
      <c r="O1327" s="45"/>
      <c r="P1327" s="45"/>
    </row>
    <row r="1328" ht="13.5" customHeight="1">
      <c r="A1328" s="11" t="str">
        <f t="shared" si="1"/>
        <v>LFW-CARRY19MU</v>
      </c>
      <c r="B1328" s="32" t="s">
        <v>1640</v>
      </c>
      <c r="C1328" s="67" t="s">
        <v>1363</v>
      </c>
      <c r="D1328" s="33" t="s">
        <v>60</v>
      </c>
      <c r="E1328" s="11" t="s">
        <v>1633</v>
      </c>
      <c r="F1328" s="31" t="s">
        <v>109</v>
      </c>
      <c r="G1328" s="11"/>
      <c r="H1328" s="11">
        <f>SUMIFS(X!$F$3:$F$5978,X!$D$3:$D$5978,'Current Stock'!A1328)</f>
        <v>18</v>
      </c>
      <c r="I1328" s="11">
        <f>SUMIFS(PENJUALAN!$E$4:$E$3651,PENJUALAN!$C$4:$C$3651,'Current Stock'!A1328)</f>
        <v>17</v>
      </c>
      <c r="J1328" s="15">
        <f t="shared" si="2"/>
        <v>1</v>
      </c>
      <c r="K1328" s="13"/>
      <c r="L1328" s="13"/>
      <c r="M1328" s="16">
        <v>1.0</v>
      </c>
      <c r="N1328" s="11"/>
      <c r="O1328" s="17"/>
      <c r="P1328" s="17"/>
    </row>
    <row r="1329" ht="13.5" customHeight="1">
      <c r="A1329" s="11" t="str">
        <f t="shared" si="1"/>
        <v>SWL-LIVINAXYG</v>
      </c>
      <c r="B1329" s="32" t="s">
        <v>1641</v>
      </c>
      <c r="C1329" s="33" t="s">
        <v>1642</v>
      </c>
      <c r="D1329" s="33" t="s">
        <v>209</v>
      </c>
      <c r="E1329" s="11" t="s">
        <v>16</v>
      </c>
      <c r="F1329" s="33" t="s">
        <v>109</v>
      </c>
      <c r="G1329" s="11"/>
      <c r="H1329" s="11">
        <f>SUMIFS(X!$F$3:$F$5978,X!$D$3:$D$5978,'Current Stock'!A1329)</f>
        <v>0</v>
      </c>
      <c r="I1329" s="11">
        <f>SUMIFS(PENJUALAN!$E$4:$E$3651,PENJUALAN!$C$4:$C$3651,'Current Stock'!A1329)</f>
        <v>0</v>
      </c>
      <c r="J1329" s="15">
        <f t="shared" si="2"/>
        <v>0</v>
      </c>
      <c r="K1329" s="11"/>
      <c r="L1329" s="11"/>
      <c r="M1329" s="11"/>
      <c r="N1329" s="11"/>
      <c r="O1329" s="17"/>
      <c r="P1329" s="17"/>
    </row>
    <row r="1330" ht="13.5" customHeight="1">
      <c r="A1330" s="11" t="str">
        <f t="shared" si="1"/>
        <v>SWR-LIVINAXYG</v>
      </c>
      <c r="B1330" s="32" t="s">
        <v>1643</v>
      </c>
      <c r="C1330" s="33" t="s">
        <v>1642</v>
      </c>
      <c r="D1330" s="33" t="s">
        <v>243</v>
      </c>
      <c r="E1330" s="11" t="s">
        <v>16</v>
      </c>
      <c r="F1330" s="33" t="s">
        <v>109</v>
      </c>
      <c r="G1330" s="11"/>
      <c r="H1330" s="11">
        <f>SUMIFS(X!$F$3:$F$5978,X!$D$3:$D$5978,'Current Stock'!A1330)</f>
        <v>0</v>
      </c>
      <c r="I1330" s="11">
        <f>SUMIFS(PENJUALAN!$E$4:$E$3651,PENJUALAN!$C$4:$C$3651,'Current Stock'!A1330)</f>
        <v>0</v>
      </c>
      <c r="J1330" s="15">
        <f t="shared" si="2"/>
        <v>0</v>
      </c>
      <c r="K1330" s="11"/>
      <c r="L1330" s="11"/>
      <c r="M1330" s="11"/>
      <c r="N1330" s="11"/>
      <c r="O1330" s="17"/>
      <c r="P1330" s="17"/>
    </row>
    <row r="1331" ht="13.5" customHeight="1">
      <c r="A1331" s="11" t="str">
        <f t="shared" si="1"/>
        <v>LFW-MARCHXYG</v>
      </c>
      <c r="B1331" s="32" t="s">
        <v>941</v>
      </c>
      <c r="C1331" s="33" t="s">
        <v>942</v>
      </c>
      <c r="D1331" s="33" t="s">
        <v>60</v>
      </c>
      <c r="E1331" s="11" t="s">
        <v>16</v>
      </c>
      <c r="F1331" s="33" t="s">
        <v>137</v>
      </c>
      <c r="G1331" s="11"/>
      <c r="H1331" s="11">
        <f>SUMIFS(X!$F$3:$F$5978,X!$D$3:$D$5978,'Current Stock'!A1331)</f>
        <v>0</v>
      </c>
      <c r="I1331" s="11">
        <f>SUMIFS(PENJUALAN!$E$4:$E$3651,PENJUALAN!$C$4:$C$3651,'Current Stock'!A1331)</f>
        <v>0</v>
      </c>
      <c r="J1331" s="15">
        <f t="shared" si="2"/>
        <v>0</v>
      </c>
      <c r="K1331" s="68"/>
      <c r="L1331" s="64"/>
      <c r="M1331" s="11"/>
      <c r="N1331" s="11"/>
      <c r="O1331" s="17"/>
      <c r="P1331" s="17"/>
    </row>
    <row r="1332" ht="13.5" customHeight="1">
      <c r="A1332" s="11" t="str">
        <f t="shared" si="1"/>
        <v>TRW-MARCHXYG</v>
      </c>
      <c r="B1332" s="32" t="s">
        <v>943</v>
      </c>
      <c r="C1332" s="33" t="s">
        <v>942</v>
      </c>
      <c r="D1332" s="33" t="s">
        <v>62</v>
      </c>
      <c r="E1332" s="11" t="s">
        <v>16</v>
      </c>
      <c r="F1332" s="33" t="s">
        <v>83</v>
      </c>
      <c r="G1332" s="11"/>
      <c r="H1332" s="11">
        <f>SUMIFS(X!$F$3:$F$5978,X!$D$3:$D$5978,'Current Stock'!A1332)</f>
        <v>0</v>
      </c>
      <c r="I1332" s="11">
        <f>SUMIFS(PENJUALAN!$E$4:$E$3651,PENJUALAN!$C$4:$C$3651,'Current Stock'!A1332)</f>
        <v>0</v>
      </c>
      <c r="J1332" s="15">
        <f t="shared" si="2"/>
        <v>0</v>
      </c>
      <c r="K1332" s="11"/>
      <c r="L1332" s="11"/>
      <c r="M1332" s="11"/>
      <c r="N1332" s="11"/>
      <c r="O1332" s="17"/>
      <c r="P1332" s="17"/>
    </row>
    <row r="1333" ht="13.5" customHeight="1">
      <c r="A1333" s="11" t="str">
        <f t="shared" si="1"/>
        <v>LFW-MURANO02XYG</v>
      </c>
      <c r="B1333" s="32" t="s">
        <v>948</v>
      </c>
      <c r="C1333" s="33" t="s">
        <v>949</v>
      </c>
      <c r="D1333" s="33" t="s">
        <v>60</v>
      </c>
      <c r="E1333" s="11" t="s">
        <v>16</v>
      </c>
      <c r="F1333" s="33" t="s">
        <v>137</v>
      </c>
      <c r="G1333" s="11"/>
      <c r="H1333" s="11">
        <f>SUMIFS(X!$F$3:$F$5978,X!$D$3:$D$5978,'Current Stock'!A1333)</f>
        <v>0</v>
      </c>
      <c r="I1333" s="11">
        <f>SUMIFS(PENJUALAN!$E$4:$E$3651,PENJUALAN!$C$4:$C$3651,'Current Stock'!A1333)</f>
        <v>0</v>
      </c>
      <c r="J1333" s="15">
        <f t="shared" si="2"/>
        <v>0</v>
      </c>
      <c r="K1333" s="11"/>
      <c r="L1333" s="11"/>
      <c r="M1333" s="11"/>
      <c r="N1333" s="11"/>
      <c r="O1333" s="17"/>
      <c r="P1333" s="17"/>
    </row>
    <row r="1334" ht="13.5" customHeight="1">
      <c r="A1334" s="11" t="str">
        <f t="shared" si="1"/>
        <v>LFW-MURANO08XYG</v>
      </c>
      <c r="B1334" s="32" t="s">
        <v>951</v>
      </c>
      <c r="C1334" s="33" t="s">
        <v>952</v>
      </c>
      <c r="D1334" s="33" t="s">
        <v>60</v>
      </c>
      <c r="E1334" s="11" t="s">
        <v>16</v>
      </c>
      <c r="F1334" s="33" t="s">
        <v>137</v>
      </c>
      <c r="G1334" s="11"/>
      <c r="H1334" s="11">
        <f>SUMIFS(X!$F$3:$F$5978,X!$D$3:$D$5978,'Current Stock'!A1334)</f>
        <v>0</v>
      </c>
      <c r="I1334" s="11">
        <f>SUMIFS(PENJUALAN!$E$4:$E$3651,PENJUALAN!$C$4:$C$3651,'Current Stock'!A1334)</f>
        <v>0</v>
      </c>
      <c r="J1334" s="15">
        <f t="shared" si="2"/>
        <v>0</v>
      </c>
      <c r="K1334" s="11"/>
      <c r="L1334" s="11"/>
      <c r="M1334" s="11"/>
      <c r="N1334" s="11"/>
      <c r="O1334" s="17"/>
      <c r="P1334" s="17"/>
    </row>
    <row r="1335" ht="13.5" customHeight="1">
      <c r="A1335" s="11" t="str">
        <f t="shared" si="1"/>
        <v>LFW-NAVARA15XYG</v>
      </c>
      <c r="B1335" s="32" t="s">
        <v>956</v>
      </c>
      <c r="C1335" s="33" t="s">
        <v>957</v>
      </c>
      <c r="D1335" s="33" t="s">
        <v>60</v>
      </c>
      <c r="E1335" s="11" t="s">
        <v>16</v>
      </c>
      <c r="F1335" s="33" t="s">
        <v>137</v>
      </c>
      <c r="G1335" s="11"/>
      <c r="H1335" s="11">
        <f>SUMIFS(X!$F$3:$F$5978,X!$D$3:$D$5978,'Current Stock'!A1335)</f>
        <v>0</v>
      </c>
      <c r="I1335" s="11">
        <f>SUMIFS(PENJUALAN!$E$4:$E$3651,PENJUALAN!$C$4:$C$3651,'Current Stock'!A1335)</f>
        <v>0</v>
      </c>
      <c r="J1335" s="15">
        <f t="shared" si="2"/>
        <v>0</v>
      </c>
      <c r="K1335" s="11"/>
      <c r="L1335" s="11"/>
      <c r="M1335" s="11"/>
      <c r="N1335" s="11"/>
      <c r="O1335" s="17"/>
      <c r="P1335" s="17"/>
    </row>
    <row r="1336" ht="13.5" customHeight="1">
      <c r="A1336" s="11" t="str">
        <f t="shared" si="1"/>
        <v>TRW-NAVARA15XYG</v>
      </c>
      <c r="B1336" s="32" t="s">
        <v>958</v>
      </c>
      <c r="C1336" s="33" t="s">
        <v>957</v>
      </c>
      <c r="D1336" s="33" t="s">
        <v>62</v>
      </c>
      <c r="E1336" s="11" t="s">
        <v>16</v>
      </c>
      <c r="F1336" s="33" t="s">
        <v>83</v>
      </c>
      <c r="G1336" s="11"/>
      <c r="H1336" s="11">
        <f>SUMIFS(X!$F$3:$F$5978,X!$D$3:$D$5978,'Current Stock'!A1336)</f>
        <v>0</v>
      </c>
      <c r="I1336" s="11">
        <f>SUMIFS(PENJUALAN!$E$4:$E$3651,PENJUALAN!$C$4:$C$3651,'Current Stock'!A1336)</f>
        <v>0</v>
      </c>
      <c r="J1336" s="15">
        <f t="shared" si="2"/>
        <v>0</v>
      </c>
      <c r="K1336" s="11"/>
      <c r="L1336" s="11"/>
      <c r="M1336" s="11"/>
      <c r="N1336" s="11"/>
      <c r="O1336" s="17"/>
      <c r="P1336" s="17"/>
    </row>
    <row r="1337" ht="13.5" customHeight="1">
      <c r="A1337" s="11" t="str">
        <f t="shared" si="1"/>
        <v>FDL-NAVARA15XYG</v>
      </c>
      <c r="B1337" s="32" t="s">
        <v>959</v>
      </c>
      <c r="C1337" s="33" t="s">
        <v>957</v>
      </c>
      <c r="D1337" s="33" t="s">
        <v>140</v>
      </c>
      <c r="E1337" s="11" t="s">
        <v>16</v>
      </c>
      <c r="F1337" s="33"/>
      <c r="G1337" s="11"/>
      <c r="H1337" s="11">
        <f>SUMIFS(X!$F$3:$F$5978,X!$D$3:$D$5978,'Current Stock'!A1337)</f>
        <v>1</v>
      </c>
      <c r="I1337" s="11">
        <f>SUMIFS(PENJUALAN!$E$4:$E$3651,PENJUALAN!$C$4:$C$3651,'Current Stock'!A1337)</f>
        <v>1</v>
      </c>
      <c r="J1337" s="15">
        <f t="shared" si="2"/>
        <v>0</v>
      </c>
      <c r="K1337" s="11"/>
      <c r="L1337" s="11"/>
      <c r="M1337" s="11"/>
      <c r="N1337" s="11"/>
      <c r="O1337" s="17"/>
      <c r="P1337" s="17"/>
    </row>
    <row r="1338" ht="13.5" customHeight="1">
      <c r="A1338" s="11" t="str">
        <f t="shared" si="1"/>
        <v>FDR-NAVARA15XYG</v>
      </c>
      <c r="B1338" s="32" t="s">
        <v>960</v>
      </c>
      <c r="C1338" s="33" t="s">
        <v>957</v>
      </c>
      <c r="D1338" s="33" t="s">
        <v>142</v>
      </c>
      <c r="E1338" s="11" t="s">
        <v>16</v>
      </c>
      <c r="F1338" s="33"/>
      <c r="G1338" s="11"/>
      <c r="H1338" s="11">
        <f>SUMIFS(X!$F$3:$F$5978,X!$D$3:$D$5978,'Current Stock'!A1338)</f>
        <v>0</v>
      </c>
      <c r="I1338" s="11">
        <f>SUMIFS(PENJUALAN!$E$4:$E$3651,PENJUALAN!$C$4:$C$3651,'Current Stock'!A1338)</f>
        <v>0</v>
      </c>
      <c r="J1338" s="15">
        <f t="shared" si="2"/>
        <v>0</v>
      </c>
      <c r="K1338" s="11"/>
      <c r="L1338" s="11"/>
      <c r="M1338" s="11"/>
      <c r="N1338" s="11"/>
      <c r="O1338" s="17"/>
      <c r="P1338" s="17"/>
    </row>
    <row r="1339" ht="13.5" customHeight="1">
      <c r="A1339" s="11" t="str">
        <f t="shared" si="1"/>
        <v>LFW-C24XYG</v>
      </c>
      <c r="B1339" s="32" t="s">
        <v>965</v>
      </c>
      <c r="C1339" s="33" t="s">
        <v>966</v>
      </c>
      <c r="D1339" s="33" t="s">
        <v>60</v>
      </c>
      <c r="E1339" s="11" t="s">
        <v>16</v>
      </c>
      <c r="F1339" s="33" t="s">
        <v>109</v>
      </c>
      <c r="G1339" s="11"/>
      <c r="H1339" s="11">
        <f>SUMIFS(X!$F$3:$F$5978,X!$D$3:$D$5978,'Current Stock'!A1339)</f>
        <v>0</v>
      </c>
      <c r="I1339" s="11">
        <f>SUMIFS(PENJUALAN!$E$4:$E$3651,PENJUALAN!$C$4:$C$3651,'Current Stock'!A1339)</f>
        <v>0</v>
      </c>
      <c r="J1339" s="15">
        <f t="shared" si="2"/>
        <v>0</v>
      </c>
      <c r="K1339" s="11"/>
      <c r="L1339" s="11"/>
      <c r="M1339" s="11"/>
      <c r="N1339" s="11"/>
      <c r="O1339" s="17"/>
      <c r="P1339" s="17"/>
    </row>
    <row r="1340" ht="13.5" customHeight="1">
      <c r="A1340" s="11" t="str">
        <f t="shared" si="1"/>
        <v>LFW-HRV14MU</v>
      </c>
      <c r="B1340" s="32" t="s">
        <v>470</v>
      </c>
      <c r="C1340" s="33" t="s">
        <v>471</v>
      </c>
      <c r="D1340" s="33" t="s">
        <v>60</v>
      </c>
      <c r="E1340" s="11" t="s">
        <v>1633</v>
      </c>
      <c r="F1340" s="33" t="s">
        <v>1634</v>
      </c>
      <c r="G1340" s="11"/>
      <c r="H1340" s="11">
        <f>SUMIFS(X!$F$3:$F$5978,X!$D$3:$D$5978,'Current Stock'!A1340)</f>
        <v>3</v>
      </c>
      <c r="I1340" s="11">
        <f>SUMIFS(PENJUALAN!$E$4:$E$3651,PENJUALAN!$C$4:$C$3651,'Current Stock'!A1340)</f>
        <v>3</v>
      </c>
      <c r="J1340" s="15">
        <f t="shared" si="2"/>
        <v>0</v>
      </c>
      <c r="K1340" s="69" t="s">
        <v>1579</v>
      </c>
      <c r="L1340" s="69"/>
      <c r="M1340" s="16">
        <v>2.0</v>
      </c>
      <c r="N1340" s="13" t="s">
        <v>1644</v>
      </c>
      <c r="O1340" s="17"/>
      <c r="P1340" s="17"/>
    </row>
    <row r="1341" ht="13.5" customHeight="1">
      <c r="A1341" s="11" t="str">
        <f t="shared" si="1"/>
        <v>SWL-C24XYG</v>
      </c>
      <c r="B1341" s="32" t="s">
        <v>1645</v>
      </c>
      <c r="C1341" s="33" t="s">
        <v>966</v>
      </c>
      <c r="D1341" s="35" t="s">
        <v>209</v>
      </c>
      <c r="E1341" s="11" t="s">
        <v>16</v>
      </c>
      <c r="F1341" s="33" t="s">
        <v>109</v>
      </c>
      <c r="G1341" s="11"/>
      <c r="H1341" s="11">
        <f>SUMIFS(X!$F$3:$F$5978,X!$D$3:$D$5978,'Current Stock'!A1341)</f>
        <v>0</v>
      </c>
      <c r="I1341" s="11">
        <f>SUMIFS(PENJUALAN!$E$4:$E$3651,PENJUALAN!$C$4:$C$3651,'Current Stock'!A1341)</f>
        <v>0</v>
      </c>
      <c r="J1341" s="15">
        <f t="shared" si="2"/>
        <v>0</v>
      </c>
      <c r="K1341" s="11"/>
      <c r="L1341" s="11"/>
      <c r="M1341" s="11"/>
      <c r="N1341" s="11"/>
      <c r="O1341" s="17"/>
      <c r="P1341" s="17"/>
    </row>
    <row r="1342" ht="13.5" customHeight="1">
      <c r="A1342" s="11" t="str">
        <f t="shared" si="1"/>
        <v>SWR-C24XYG</v>
      </c>
      <c r="B1342" s="32" t="s">
        <v>1646</v>
      </c>
      <c r="C1342" s="33" t="s">
        <v>966</v>
      </c>
      <c r="D1342" s="35" t="s">
        <v>243</v>
      </c>
      <c r="E1342" s="11" t="s">
        <v>16</v>
      </c>
      <c r="F1342" s="33" t="s">
        <v>109</v>
      </c>
      <c r="G1342" s="11"/>
      <c r="H1342" s="11">
        <f>SUMIFS(X!$F$3:$F$5978,X!$D$3:$D$5978,'Current Stock'!A1342)</f>
        <v>0</v>
      </c>
      <c r="I1342" s="11">
        <f>SUMIFS(PENJUALAN!$E$4:$E$3651,PENJUALAN!$C$4:$C$3651,'Current Stock'!A1342)</f>
        <v>0</v>
      </c>
      <c r="J1342" s="15">
        <f t="shared" si="2"/>
        <v>0</v>
      </c>
      <c r="K1342" s="13"/>
      <c r="L1342" s="11"/>
      <c r="M1342" s="11"/>
      <c r="N1342" s="11"/>
      <c r="O1342" s="17"/>
      <c r="P1342" s="17"/>
    </row>
    <row r="1343" ht="13.5" customHeight="1">
      <c r="A1343" s="11" t="str">
        <f t="shared" si="1"/>
        <v>LFW-C25XYG</v>
      </c>
      <c r="B1343" s="32" t="s">
        <v>968</v>
      </c>
      <c r="C1343" s="33" t="s">
        <v>969</v>
      </c>
      <c r="D1343" s="33" t="s">
        <v>60</v>
      </c>
      <c r="E1343" s="11" t="s">
        <v>16</v>
      </c>
      <c r="F1343" s="33" t="s">
        <v>745</v>
      </c>
      <c r="G1343" s="11"/>
      <c r="H1343" s="11">
        <f>SUMIFS(X!$F$3:$F$5978,X!$D$3:$D$5978,'Current Stock'!A1343)</f>
        <v>0</v>
      </c>
      <c r="I1343" s="11">
        <f>SUMIFS(PENJUALAN!$E$4:$E$3651,PENJUALAN!$C$4:$C$3651,'Current Stock'!A1343)</f>
        <v>0</v>
      </c>
      <c r="J1343" s="15">
        <f t="shared" si="2"/>
        <v>0</v>
      </c>
      <c r="K1343" s="11"/>
      <c r="L1343" s="11"/>
      <c r="M1343" s="11"/>
      <c r="N1343" s="11"/>
      <c r="O1343" s="17"/>
      <c r="P1343" s="17"/>
    </row>
    <row r="1344" ht="13.5" customHeight="1">
      <c r="A1344" s="11" t="str">
        <f t="shared" si="1"/>
        <v>TRW-C25XYG</v>
      </c>
      <c r="B1344" s="32" t="s">
        <v>970</v>
      </c>
      <c r="C1344" s="33" t="s">
        <v>969</v>
      </c>
      <c r="D1344" s="33" t="s">
        <v>62</v>
      </c>
      <c r="E1344" s="11" t="s">
        <v>16</v>
      </c>
      <c r="F1344" s="33" t="s">
        <v>228</v>
      </c>
      <c r="G1344" s="11"/>
      <c r="H1344" s="11">
        <f>SUMIFS(X!$F$3:$F$5978,X!$D$3:$D$5978,'Current Stock'!A1344)</f>
        <v>0</v>
      </c>
      <c r="I1344" s="11">
        <f>SUMIFS(PENJUALAN!$E$4:$E$3651,PENJUALAN!$C$4:$C$3651,'Current Stock'!A1344)</f>
        <v>0</v>
      </c>
      <c r="J1344" s="15">
        <f t="shared" si="2"/>
        <v>0</v>
      </c>
      <c r="K1344" s="11"/>
      <c r="L1344" s="11"/>
      <c r="M1344" s="11"/>
      <c r="N1344" s="11"/>
      <c r="O1344" s="17"/>
      <c r="P1344" s="17"/>
    </row>
    <row r="1345" ht="13.5" customHeight="1">
      <c r="A1345" s="11" t="str">
        <f t="shared" si="1"/>
        <v>LFW-C26XYG</v>
      </c>
      <c r="B1345" s="32" t="s">
        <v>975</v>
      </c>
      <c r="C1345" s="33" t="s">
        <v>976</v>
      </c>
      <c r="D1345" s="33" t="s">
        <v>60</v>
      </c>
      <c r="E1345" s="11" t="s">
        <v>16</v>
      </c>
      <c r="F1345" s="33" t="s">
        <v>137</v>
      </c>
      <c r="G1345" s="11"/>
      <c r="H1345" s="11">
        <f>SUMIFS(X!$F$3:$F$5978,X!$D$3:$D$5978,'Current Stock'!A1345)</f>
        <v>1</v>
      </c>
      <c r="I1345" s="11">
        <f>SUMIFS(PENJUALAN!$E$4:$E$3651,PENJUALAN!$C$4:$C$3651,'Current Stock'!A1345)</f>
        <v>1</v>
      </c>
      <c r="J1345" s="15">
        <f t="shared" si="2"/>
        <v>0</v>
      </c>
      <c r="K1345" s="13"/>
      <c r="L1345" s="13"/>
      <c r="M1345" s="11"/>
      <c r="N1345" s="11"/>
      <c r="O1345" s="17"/>
      <c r="P1345" s="17"/>
    </row>
    <row r="1346" ht="13.5" customHeight="1">
      <c r="A1346" s="11" t="str">
        <f t="shared" si="1"/>
        <v>TRW-C26XYG</v>
      </c>
      <c r="B1346" s="32" t="s">
        <v>977</v>
      </c>
      <c r="C1346" s="33" t="s">
        <v>976</v>
      </c>
      <c r="D1346" s="33" t="s">
        <v>62</v>
      </c>
      <c r="E1346" s="11" t="s">
        <v>16</v>
      </c>
      <c r="F1346" s="33" t="s">
        <v>83</v>
      </c>
      <c r="G1346" s="11"/>
      <c r="H1346" s="11">
        <f>SUMIFS(X!$F$3:$F$5978,X!$D$3:$D$5978,'Current Stock'!A1346)</f>
        <v>2</v>
      </c>
      <c r="I1346" s="11">
        <f>SUMIFS(PENJUALAN!$E$4:$E$3651,PENJUALAN!$C$4:$C$3651,'Current Stock'!A1346)</f>
        <v>2</v>
      </c>
      <c r="J1346" s="15">
        <f t="shared" si="2"/>
        <v>0</v>
      </c>
      <c r="K1346" s="11"/>
      <c r="L1346" s="11"/>
      <c r="M1346" s="11"/>
      <c r="N1346" s="11"/>
      <c r="O1346" s="17"/>
      <c r="P1346" s="17"/>
    </row>
    <row r="1347" ht="13.5" customHeight="1">
      <c r="A1347" s="11" t="str">
        <f t="shared" si="1"/>
        <v>FDL-C26XYG</v>
      </c>
      <c r="B1347" s="32" t="s">
        <v>978</v>
      </c>
      <c r="C1347" s="33" t="s">
        <v>976</v>
      </c>
      <c r="D1347" s="33" t="s">
        <v>140</v>
      </c>
      <c r="E1347" s="11" t="s">
        <v>16</v>
      </c>
      <c r="F1347" s="33"/>
      <c r="G1347" s="11"/>
      <c r="H1347" s="11">
        <f>SUMIFS(X!$F$3:$F$5978,X!$D$3:$D$5978,'Current Stock'!A1347)</f>
        <v>0</v>
      </c>
      <c r="I1347" s="11">
        <f>SUMIFS(PENJUALAN!$E$4:$E$3651,PENJUALAN!$C$4:$C$3651,'Current Stock'!A1347)</f>
        <v>0</v>
      </c>
      <c r="J1347" s="15">
        <f t="shared" si="2"/>
        <v>0</v>
      </c>
      <c r="K1347" s="11"/>
      <c r="L1347" s="11"/>
      <c r="M1347" s="11"/>
      <c r="N1347" s="11"/>
      <c r="O1347" s="17"/>
      <c r="P1347" s="17"/>
    </row>
    <row r="1348" ht="13.5" customHeight="1">
      <c r="A1348" s="11" t="str">
        <f t="shared" si="1"/>
        <v>FDR-C26XYG</v>
      </c>
      <c r="B1348" s="32" t="s">
        <v>979</v>
      </c>
      <c r="C1348" s="33" t="s">
        <v>976</v>
      </c>
      <c r="D1348" s="33" t="s">
        <v>142</v>
      </c>
      <c r="E1348" s="11" t="s">
        <v>16</v>
      </c>
      <c r="F1348" s="33"/>
      <c r="G1348" s="11"/>
      <c r="H1348" s="11">
        <f>SUMIFS(X!$F$3:$F$5978,X!$D$3:$D$5978,'Current Stock'!A1348)</f>
        <v>0</v>
      </c>
      <c r="I1348" s="11">
        <f>SUMIFS(PENJUALAN!$E$4:$E$3651,PENJUALAN!$C$4:$C$3651,'Current Stock'!A1348)</f>
        <v>0</v>
      </c>
      <c r="J1348" s="15">
        <f t="shared" si="2"/>
        <v>0</v>
      </c>
      <c r="K1348" s="11"/>
      <c r="L1348" s="11"/>
      <c r="M1348" s="11"/>
      <c r="N1348" s="11"/>
      <c r="O1348" s="17"/>
      <c r="P1348" s="17"/>
    </row>
    <row r="1349" ht="13.5" customHeight="1">
      <c r="A1349" s="11" t="str">
        <f t="shared" si="1"/>
        <v>RDR-C26XYG</v>
      </c>
      <c r="B1349" s="32" t="s">
        <v>981</v>
      </c>
      <c r="C1349" s="33" t="s">
        <v>976</v>
      </c>
      <c r="D1349" s="33" t="s">
        <v>146</v>
      </c>
      <c r="E1349" s="11" t="s">
        <v>16</v>
      </c>
      <c r="F1349" s="33"/>
      <c r="G1349" s="11"/>
      <c r="H1349" s="11">
        <f>SUMIFS(X!$F$3:$F$5978,X!$D$3:$D$5978,'Current Stock'!A1349)</f>
        <v>1</v>
      </c>
      <c r="I1349" s="11">
        <f>SUMIFS(PENJUALAN!$E$4:$E$3651,PENJUALAN!$C$4:$C$3651,'Current Stock'!A1349)</f>
        <v>0</v>
      </c>
      <c r="J1349" s="15">
        <f t="shared" si="2"/>
        <v>1</v>
      </c>
      <c r="K1349" s="13" t="s">
        <v>1647</v>
      </c>
      <c r="L1349" s="11"/>
      <c r="M1349" s="11"/>
      <c r="N1349" s="11"/>
      <c r="O1349" s="17"/>
      <c r="P1349" s="17"/>
    </row>
    <row r="1350" ht="13.5" customHeight="1">
      <c r="A1350" s="11" t="str">
        <f t="shared" si="1"/>
        <v>SWL-C26XYG</v>
      </c>
      <c r="B1350" s="32" t="s">
        <v>982</v>
      </c>
      <c r="C1350" s="33" t="s">
        <v>976</v>
      </c>
      <c r="D1350" s="33" t="s">
        <v>209</v>
      </c>
      <c r="E1350" s="11" t="s">
        <v>16</v>
      </c>
      <c r="F1350" s="33" t="s">
        <v>241</v>
      </c>
      <c r="G1350" s="11"/>
      <c r="H1350" s="11">
        <f>SUMIFS(X!$F$3:$F$5978,X!$D$3:$D$5978,'Current Stock'!A1350)</f>
        <v>1</v>
      </c>
      <c r="I1350" s="11">
        <f>SUMIFS(PENJUALAN!$E$4:$E$3651,PENJUALAN!$C$4:$C$3651,'Current Stock'!A1350)</f>
        <v>1</v>
      </c>
      <c r="J1350" s="15">
        <f t="shared" si="2"/>
        <v>0</v>
      </c>
      <c r="K1350" s="13" t="s">
        <v>1369</v>
      </c>
      <c r="L1350" s="11"/>
      <c r="M1350" s="11"/>
      <c r="N1350" s="11"/>
      <c r="O1350" s="17"/>
      <c r="P1350" s="17"/>
    </row>
    <row r="1351" ht="13.5" customHeight="1">
      <c r="A1351" s="11" t="str">
        <f t="shared" si="1"/>
        <v>SWR-C26XYG</v>
      </c>
      <c r="B1351" s="32" t="s">
        <v>983</v>
      </c>
      <c r="C1351" s="33" t="s">
        <v>976</v>
      </c>
      <c r="D1351" s="33" t="s">
        <v>243</v>
      </c>
      <c r="E1351" s="11" t="s">
        <v>16</v>
      </c>
      <c r="F1351" s="33" t="s">
        <v>241</v>
      </c>
      <c r="G1351" s="14">
        <v>45988.0</v>
      </c>
      <c r="H1351" s="11">
        <f>SUMIFS(X!$F$3:$F$5978,X!$D$3:$D$5978,'Current Stock'!A1351)</f>
        <v>0</v>
      </c>
      <c r="I1351" s="11">
        <f>SUMIFS(PENJUALAN!$E$4:$E$3651,PENJUALAN!$C$4:$C$3651,'Current Stock'!A1351)</f>
        <v>0</v>
      </c>
      <c r="J1351" s="15">
        <f t="shared" si="2"/>
        <v>0</v>
      </c>
      <c r="K1351" s="13" t="s">
        <v>1648</v>
      </c>
      <c r="L1351" s="11"/>
      <c r="M1351" s="11"/>
      <c r="N1351" s="11"/>
      <c r="O1351" s="17"/>
      <c r="P1351" s="17"/>
    </row>
    <row r="1352" ht="13.5" customHeight="1">
      <c r="A1352" s="11" t="str">
        <f t="shared" si="1"/>
        <v>LFW-C27XYG</v>
      </c>
      <c r="B1352" s="32" t="s">
        <v>1649</v>
      </c>
      <c r="C1352" s="33" t="s">
        <v>1650</v>
      </c>
      <c r="D1352" s="33" t="s">
        <v>60</v>
      </c>
      <c r="E1352" s="11" t="s">
        <v>16</v>
      </c>
      <c r="F1352" s="33" t="s">
        <v>109</v>
      </c>
      <c r="G1352" s="14">
        <v>45988.0</v>
      </c>
      <c r="H1352" s="11">
        <f>SUMIFS(X!$F$3:$F$5978,X!$D$3:$D$5978,'Current Stock'!A1352)</f>
        <v>1</v>
      </c>
      <c r="I1352" s="11">
        <f>SUMIFS(PENJUALAN!$E$4:$E$3651,PENJUALAN!$C$4:$C$3651,'Current Stock'!A1352)</f>
        <v>1</v>
      </c>
      <c r="J1352" s="15">
        <f t="shared" si="2"/>
        <v>0</v>
      </c>
      <c r="K1352" s="13"/>
      <c r="L1352" s="11"/>
      <c r="M1352" s="11"/>
      <c r="N1352" s="11"/>
      <c r="O1352" s="17"/>
      <c r="P1352" s="17"/>
    </row>
    <row r="1353" ht="13.5" customHeight="1">
      <c r="A1353" s="11" t="str">
        <f t="shared" si="1"/>
        <v>LFW-TRITON14MU</v>
      </c>
      <c r="B1353" s="32" t="s">
        <v>891</v>
      </c>
      <c r="C1353" s="33" t="s">
        <v>892</v>
      </c>
      <c r="D1353" s="33" t="s">
        <v>60</v>
      </c>
      <c r="E1353" s="11" t="s">
        <v>1633</v>
      </c>
      <c r="F1353" s="33" t="s">
        <v>137</v>
      </c>
      <c r="G1353" s="14">
        <v>45988.0</v>
      </c>
      <c r="H1353" s="11">
        <f>SUMIFS(X!$F$3:$F$5978,X!$D$3:$D$5978,'Current Stock'!A1353)</f>
        <v>3</v>
      </c>
      <c r="I1353" s="11">
        <f>SUMIFS(PENJUALAN!$E$4:$E$3651,PENJUALAN!$C$4:$C$3651,'Current Stock'!A1353)</f>
        <v>3</v>
      </c>
      <c r="J1353" s="15">
        <f t="shared" si="2"/>
        <v>0</v>
      </c>
      <c r="K1353" s="13" t="s">
        <v>1651</v>
      </c>
      <c r="L1353" s="13"/>
      <c r="M1353" s="11"/>
      <c r="N1353" s="11"/>
      <c r="O1353" s="17"/>
      <c r="P1353" s="17"/>
    </row>
    <row r="1354" ht="13.5" customHeight="1">
      <c r="A1354" s="11" t="str">
        <f t="shared" si="1"/>
        <v>LFW-TEANA08XYG</v>
      </c>
      <c r="B1354" s="36" t="s">
        <v>1652</v>
      </c>
      <c r="C1354" s="33" t="s">
        <v>1653</v>
      </c>
      <c r="D1354" s="33" t="s">
        <v>60</v>
      </c>
      <c r="E1354" s="11" t="s">
        <v>16</v>
      </c>
      <c r="F1354" s="33"/>
      <c r="G1354" s="14"/>
      <c r="H1354" s="11">
        <f>SUMIFS(X!$F$3:$F$5978,X!$D$3:$D$5978,'Current Stock'!A1354)</f>
        <v>1</v>
      </c>
      <c r="I1354" s="11">
        <f>SUMIFS(PENJUALAN!$E$4:$E$3651,PENJUALAN!$C$4:$C$3651,'Current Stock'!A1354)</f>
        <v>1</v>
      </c>
      <c r="J1354" s="15">
        <f t="shared" si="2"/>
        <v>0</v>
      </c>
      <c r="K1354" s="13"/>
      <c r="L1354" s="11"/>
      <c r="M1354" s="11"/>
      <c r="N1354" s="11"/>
      <c r="O1354" s="17"/>
      <c r="P1354" s="17"/>
    </row>
    <row r="1355" ht="13.5" customHeight="1">
      <c r="A1355" s="11" t="str">
        <f t="shared" si="1"/>
        <v>LFW-T30XYG</v>
      </c>
      <c r="B1355" s="32" t="s">
        <v>984</v>
      </c>
      <c r="C1355" s="33" t="s">
        <v>985</v>
      </c>
      <c r="D1355" s="33" t="s">
        <v>60</v>
      </c>
      <c r="E1355" s="11" t="s">
        <v>16</v>
      </c>
      <c r="F1355" s="33" t="s">
        <v>109</v>
      </c>
      <c r="G1355" s="14">
        <v>45988.0</v>
      </c>
      <c r="H1355" s="11">
        <f>SUMIFS(X!$F$3:$F$5978,X!$D$3:$D$5978,'Current Stock'!A1355)</f>
        <v>2</v>
      </c>
      <c r="I1355" s="11">
        <f>SUMIFS(PENJUALAN!$E$4:$E$3651,PENJUALAN!$C$4:$C$3651,'Current Stock'!A1355)</f>
        <v>3</v>
      </c>
      <c r="J1355" s="15">
        <f t="shared" si="2"/>
        <v>-1</v>
      </c>
      <c r="K1355" s="13" t="s">
        <v>1369</v>
      </c>
      <c r="L1355" s="13"/>
      <c r="M1355" s="11"/>
      <c r="N1355" s="11"/>
      <c r="O1355" s="17"/>
      <c r="P1355" s="17"/>
    </row>
    <row r="1356" ht="13.5" customHeight="1">
      <c r="A1356" s="11" t="str">
        <f t="shared" si="1"/>
        <v>LFW-LIVINA07MU</v>
      </c>
      <c r="B1356" s="32" t="s">
        <v>936</v>
      </c>
      <c r="C1356" s="33" t="s">
        <v>937</v>
      </c>
      <c r="D1356" s="33" t="s">
        <v>60</v>
      </c>
      <c r="E1356" s="11" t="s">
        <v>1633</v>
      </c>
      <c r="F1356" s="33" t="s">
        <v>137</v>
      </c>
      <c r="G1356" s="34"/>
      <c r="H1356" s="11">
        <f>SUMIFS(X!$F$3:$F$5978,X!$D$3:$D$5978,'Current Stock'!A1356)</f>
        <v>9</v>
      </c>
      <c r="I1356" s="11">
        <f>SUMIFS(PENJUALAN!$E$4:$E$3651,PENJUALAN!$C$4:$C$3651,'Current Stock'!A1356)</f>
        <v>9</v>
      </c>
      <c r="J1356" s="15">
        <f t="shared" si="2"/>
        <v>0</v>
      </c>
      <c r="K1356" s="13"/>
      <c r="L1356" s="13"/>
      <c r="M1356" s="16">
        <v>3.0</v>
      </c>
      <c r="N1356" s="11"/>
      <c r="O1356" s="17"/>
      <c r="P1356" s="17"/>
    </row>
    <row r="1357" ht="13.5" customHeight="1">
      <c r="A1357" s="11" t="str">
        <f t="shared" si="1"/>
        <v>FDR-T30XYG</v>
      </c>
      <c r="B1357" s="32" t="s">
        <v>1654</v>
      </c>
      <c r="C1357" s="33" t="s">
        <v>985</v>
      </c>
      <c r="D1357" s="33" t="s">
        <v>142</v>
      </c>
      <c r="E1357" s="11" t="s">
        <v>16</v>
      </c>
      <c r="F1357" s="33"/>
      <c r="G1357" s="11"/>
      <c r="H1357" s="11">
        <f>SUMIFS(X!$F$3:$F$5978,X!$D$3:$D$5978,'Current Stock'!A1357)</f>
        <v>0</v>
      </c>
      <c r="I1357" s="11">
        <f>SUMIFS(PENJUALAN!$E$4:$E$3651,PENJUALAN!$C$4:$C$3651,'Current Stock'!A1357)</f>
        <v>0</v>
      </c>
      <c r="J1357" s="15">
        <f t="shared" si="2"/>
        <v>0</v>
      </c>
      <c r="K1357" s="11"/>
      <c r="L1357" s="11"/>
      <c r="M1357" s="11"/>
      <c r="N1357" s="11"/>
      <c r="O1357" s="17"/>
      <c r="P1357" s="17"/>
    </row>
    <row r="1358" ht="13.5" customHeight="1">
      <c r="A1358" s="11" t="str">
        <f t="shared" si="1"/>
        <v>TRW-ERTIGA12XYG</v>
      </c>
      <c r="B1358" s="32" t="s">
        <v>1655</v>
      </c>
      <c r="C1358" s="33" t="s">
        <v>1026</v>
      </c>
      <c r="D1358" s="33" t="s">
        <v>62</v>
      </c>
      <c r="E1358" s="11" t="s">
        <v>16</v>
      </c>
      <c r="F1358" s="31" t="s">
        <v>109</v>
      </c>
      <c r="G1358" s="34">
        <v>46028.0</v>
      </c>
      <c r="H1358" s="11">
        <f>SUMIFS(X!$F$3:$F$5978,X!$D$3:$D$5978,'Current Stock'!A1358)</f>
        <v>5</v>
      </c>
      <c r="I1358" s="11">
        <f>SUMIFS(PENJUALAN!$E$4:$E$3651,PENJUALAN!$C$4:$C$3651,'Current Stock'!A1358)</f>
        <v>4</v>
      </c>
      <c r="J1358" s="15">
        <f t="shared" si="2"/>
        <v>1</v>
      </c>
      <c r="K1358" s="13" t="s">
        <v>120</v>
      </c>
      <c r="L1358" s="13"/>
      <c r="M1358" s="16">
        <v>2.0</v>
      </c>
      <c r="N1358" s="11"/>
      <c r="O1358" s="17"/>
      <c r="P1358" s="17"/>
    </row>
    <row r="1359" ht="13.5" customHeight="1">
      <c r="A1359" s="11" t="str">
        <f t="shared" si="1"/>
        <v>TRW-T31XYG</v>
      </c>
      <c r="B1359" s="32" t="s">
        <v>994</v>
      </c>
      <c r="C1359" s="33" t="s">
        <v>993</v>
      </c>
      <c r="D1359" s="33" t="s">
        <v>62</v>
      </c>
      <c r="E1359" s="11" t="s">
        <v>16</v>
      </c>
      <c r="F1359" s="33" t="s">
        <v>228</v>
      </c>
      <c r="G1359" s="11"/>
      <c r="H1359" s="11">
        <f>SUMIFS(X!$F$3:$F$5978,X!$D$3:$D$5978,'Current Stock'!A1359)</f>
        <v>1</v>
      </c>
      <c r="I1359" s="11">
        <f>SUMIFS(PENJUALAN!$E$4:$E$3651,PENJUALAN!$C$4:$C$3651,'Current Stock'!A1359)</f>
        <v>1</v>
      </c>
      <c r="J1359" s="15">
        <f t="shared" si="2"/>
        <v>0</v>
      </c>
      <c r="K1359" s="13"/>
      <c r="L1359" s="13"/>
      <c r="M1359" s="11"/>
      <c r="N1359" s="11"/>
      <c r="O1359" s="17"/>
      <c r="P1359" s="17"/>
    </row>
    <row r="1360" ht="13.5" customHeight="1">
      <c r="A1360" s="11" t="str">
        <f t="shared" si="1"/>
        <v>FDL-T31XYG</v>
      </c>
      <c r="B1360" s="32" t="s">
        <v>995</v>
      </c>
      <c r="C1360" s="33" t="s">
        <v>993</v>
      </c>
      <c r="D1360" s="33" t="s">
        <v>140</v>
      </c>
      <c r="E1360" s="11" t="s">
        <v>16</v>
      </c>
      <c r="F1360" s="33"/>
      <c r="G1360" s="11"/>
      <c r="H1360" s="11">
        <f>SUMIFS(X!$F$3:$F$5978,X!$D$3:$D$5978,'Current Stock'!A1360)</f>
        <v>1</v>
      </c>
      <c r="I1360" s="11">
        <f>SUMIFS(PENJUALAN!$E$4:$E$3651,PENJUALAN!$C$4:$C$3651,'Current Stock'!A1360)</f>
        <v>0</v>
      </c>
      <c r="J1360" s="15">
        <f t="shared" si="2"/>
        <v>1</v>
      </c>
      <c r="K1360" s="11"/>
      <c r="L1360" s="11"/>
      <c r="M1360" s="11"/>
      <c r="N1360" s="11"/>
      <c r="O1360" s="17"/>
      <c r="P1360" s="17"/>
    </row>
    <row r="1361" ht="13.5" customHeight="1">
      <c r="A1361" s="11" t="str">
        <f t="shared" si="1"/>
        <v>FDR-T31XYG</v>
      </c>
      <c r="B1361" s="32" t="s">
        <v>996</v>
      </c>
      <c r="C1361" s="33" t="s">
        <v>993</v>
      </c>
      <c r="D1361" s="33" t="s">
        <v>142</v>
      </c>
      <c r="E1361" s="11" t="s">
        <v>16</v>
      </c>
      <c r="F1361" s="33"/>
      <c r="G1361" s="11"/>
      <c r="H1361" s="11">
        <f>SUMIFS(X!$F$3:$F$5978,X!$D$3:$D$5978,'Current Stock'!A1361)</f>
        <v>0</v>
      </c>
      <c r="I1361" s="11">
        <f>SUMIFS(PENJUALAN!$E$4:$E$3651,PENJUALAN!$C$4:$C$3651,'Current Stock'!A1361)</f>
        <v>0</v>
      </c>
      <c r="J1361" s="15">
        <f t="shared" si="2"/>
        <v>0</v>
      </c>
      <c r="K1361" s="11"/>
      <c r="L1361" s="11"/>
      <c r="M1361" s="11"/>
      <c r="N1361" s="11"/>
      <c r="O1361" s="17"/>
      <c r="P1361" s="17"/>
    </row>
    <row r="1362" ht="13.5" customHeight="1">
      <c r="A1362" s="11" t="str">
        <f t="shared" si="1"/>
        <v>RDL-T31XYG</v>
      </c>
      <c r="B1362" s="32" t="s">
        <v>997</v>
      </c>
      <c r="C1362" s="33" t="s">
        <v>993</v>
      </c>
      <c r="D1362" s="33" t="s">
        <v>144</v>
      </c>
      <c r="E1362" s="11" t="s">
        <v>16</v>
      </c>
      <c r="F1362" s="33"/>
      <c r="G1362" s="11"/>
      <c r="H1362" s="11">
        <f>SUMIFS(X!$F$3:$F$5978,X!$D$3:$D$5978,'Current Stock'!A1362)</f>
        <v>0</v>
      </c>
      <c r="I1362" s="11">
        <f>SUMIFS(PENJUALAN!$E$4:$E$3651,PENJUALAN!$C$4:$C$3651,'Current Stock'!A1362)</f>
        <v>0</v>
      </c>
      <c r="J1362" s="15">
        <f t="shared" si="2"/>
        <v>0</v>
      </c>
      <c r="K1362" s="11"/>
      <c r="L1362" s="11"/>
      <c r="M1362" s="11"/>
      <c r="N1362" s="11"/>
      <c r="O1362" s="17"/>
      <c r="P1362" s="17"/>
    </row>
    <row r="1363" ht="13.5" customHeight="1">
      <c r="A1363" s="11" t="str">
        <f t="shared" si="1"/>
        <v>RDR-T31XYG</v>
      </c>
      <c r="B1363" s="32" t="s">
        <v>998</v>
      </c>
      <c r="C1363" s="33" t="s">
        <v>993</v>
      </c>
      <c r="D1363" s="33" t="s">
        <v>146</v>
      </c>
      <c r="E1363" s="11" t="s">
        <v>16</v>
      </c>
      <c r="F1363" s="33"/>
      <c r="G1363" s="11"/>
      <c r="H1363" s="11">
        <f>SUMIFS(X!$F$3:$F$5978,X!$D$3:$D$5978,'Current Stock'!A1363)</f>
        <v>1</v>
      </c>
      <c r="I1363" s="11">
        <f>SUMIFS(PENJUALAN!$E$4:$E$3651,PENJUALAN!$C$4:$C$3651,'Current Stock'!A1363)</f>
        <v>1</v>
      </c>
      <c r="J1363" s="15">
        <f t="shared" si="2"/>
        <v>0</v>
      </c>
      <c r="K1363" s="11"/>
      <c r="L1363" s="11"/>
      <c r="M1363" s="11"/>
      <c r="N1363" s="11"/>
      <c r="O1363" s="17"/>
      <c r="P1363" s="17"/>
    </row>
    <row r="1364" ht="13.5" customHeight="1">
      <c r="A1364" s="11" t="str">
        <f t="shared" si="1"/>
        <v>LFW-T32XYG</v>
      </c>
      <c r="B1364" s="32" t="s">
        <v>999</v>
      </c>
      <c r="C1364" s="33" t="s">
        <v>1000</v>
      </c>
      <c r="D1364" s="33" t="s">
        <v>60</v>
      </c>
      <c r="E1364" s="11" t="s">
        <v>16</v>
      </c>
      <c r="F1364" s="33" t="s">
        <v>90</v>
      </c>
      <c r="G1364" s="11"/>
      <c r="H1364" s="11">
        <f>SUMIFS(X!$F$3:$F$5978,X!$D$3:$D$5978,'Current Stock'!A1364)</f>
        <v>14</v>
      </c>
      <c r="I1364" s="11">
        <f>SUMIFS(PENJUALAN!$E$4:$E$3651,PENJUALAN!$C$4:$C$3651,'Current Stock'!A1364)</f>
        <v>11</v>
      </c>
      <c r="J1364" s="15">
        <f t="shared" si="2"/>
        <v>3</v>
      </c>
      <c r="K1364" s="13"/>
      <c r="L1364" s="13"/>
      <c r="M1364" s="11"/>
      <c r="N1364" s="11"/>
      <c r="O1364" s="17"/>
      <c r="P1364" s="17"/>
    </row>
    <row r="1365" ht="13.5" customHeight="1">
      <c r="A1365" s="11" t="str">
        <f t="shared" si="1"/>
        <v>LFW-T32RS2XYG</v>
      </c>
      <c r="B1365" s="32" t="s">
        <v>1656</v>
      </c>
      <c r="C1365" s="33" t="s">
        <v>1657</v>
      </c>
      <c r="D1365" s="33" t="s">
        <v>60</v>
      </c>
      <c r="E1365" s="11" t="s">
        <v>16</v>
      </c>
      <c r="F1365" s="33" t="s">
        <v>90</v>
      </c>
      <c r="G1365" s="11"/>
      <c r="H1365" s="11">
        <f>SUMIFS(X!$F$3:$F$5978,X!$D$3:$D$5978,'Current Stock'!A1365)</f>
        <v>0</v>
      </c>
      <c r="I1365" s="11">
        <f>SUMIFS(PENJUALAN!$E$4:$E$3651,PENJUALAN!$C$4:$C$3651,'Current Stock'!A1365)</f>
        <v>0</v>
      </c>
      <c r="J1365" s="15">
        <f t="shared" si="2"/>
        <v>0</v>
      </c>
      <c r="K1365" s="11"/>
      <c r="L1365" s="11"/>
      <c r="M1365" s="11"/>
      <c r="N1365" s="11"/>
      <c r="O1365" s="17"/>
      <c r="P1365" s="17"/>
    </row>
    <row r="1366" ht="13.5" customHeight="1">
      <c r="A1366" s="11" t="str">
        <f t="shared" si="1"/>
        <v>LFW-T32NRSXYG</v>
      </c>
      <c r="B1366" s="32" t="s">
        <v>1658</v>
      </c>
      <c r="C1366" s="33" t="s">
        <v>1659</v>
      </c>
      <c r="D1366" s="33" t="s">
        <v>60</v>
      </c>
      <c r="E1366" s="11" t="s">
        <v>16</v>
      </c>
      <c r="F1366" s="33" t="s">
        <v>137</v>
      </c>
      <c r="G1366" s="11"/>
      <c r="H1366" s="11">
        <f>SUMIFS(X!$F$3:$F$5978,X!$D$3:$D$5978,'Current Stock'!A1366)</f>
        <v>0</v>
      </c>
      <c r="I1366" s="11">
        <f>SUMIFS(PENJUALAN!$E$4:$E$3651,PENJUALAN!$C$4:$C$3651,'Current Stock'!A1366)</f>
        <v>0</v>
      </c>
      <c r="J1366" s="15">
        <f t="shared" si="2"/>
        <v>0</v>
      </c>
      <c r="K1366" s="11"/>
      <c r="L1366" s="11"/>
      <c r="M1366" s="11"/>
      <c r="N1366" s="11"/>
      <c r="O1366" s="17"/>
      <c r="P1366" s="17"/>
    </row>
    <row r="1367" ht="13.5" customHeight="1">
      <c r="A1367" s="11" t="str">
        <f t="shared" si="1"/>
        <v>TRW-T32XYG</v>
      </c>
      <c r="B1367" s="32" t="s">
        <v>1001</v>
      </c>
      <c r="C1367" s="33" t="s">
        <v>1002</v>
      </c>
      <c r="D1367" s="33" t="s">
        <v>62</v>
      </c>
      <c r="E1367" s="11" t="s">
        <v>16</v>
      </c>
      <c r="F1367" s="33" t="s">
        <v>228</v>
      </c>
      <c r="G1367" s="11"/>
      <c r="H1367" s="11">
        <f>SUMIFS(X!$F$3:$F$5978,X!$D$3:$D$5978,'Current Stock'!A1367)</f>
        <v>1</v>
      </c>
      <c r="I1367" s="11">
        <f>SUMIFS(PENJUALAN!$E$4:$E$3651,PENJUALAN!$C$4:$C$3651,'Current Stock'!A1367)</f>
        <v>1</v>
      </c>
      <c r="J1367" s="15">
        <f t="shared" si="2"/>
        <v>0</v>
      </c>
      <c r="K1367" s="13"/>
      <c r="L1367" s="13"/>
      <c r="M1367" s="11"/>
      <c r="N1367" s="11"/>
      <c r="O1367" s="17"/>
      <c r="P1367" s="17"/>
    </row>
    <row r="1368" ht="13.5" customHeight="1">
      <c r="A1368" s="11" t="str">
        <f t="shared" si="1"/>
        <v>FDL-T32XYG</v>
      </c>
      <c r="B1368" s="32" t="s">
        <v>1003</v>
      </c>
      <c r="C1368" s="33" t="s">
        <v>1002</v>
      </c>
      <c r="D1368" s="33" t="s">
        <v>140</v>
      </c>
      <c r="E1368" s="11" t="s">
        <v>16</v>
      </c>
      <c r="F1368" s="33"/>
      <c r="G1368" s="11"/>
      <c r="H1368" s="11">
        <f>SUMIFS(X!$F$3:$F$5978,X!$D$3:$D$5978,'Current Stock'!A1368)</f>
        <v>0</v>
      </c>
      <c r="I1368" s="11">
        <f>SUMIFS(PENJUALAN!$E$4:$E$3651,PENJUALAN!$C$4:$C$3651,'Current Stock'!A1368)</f>
        <v>0</v>
      </c>
      <c r="J1368" s="15">
        <f t="shared" si="2"/>
        <v>0</v>
      </c>
      <c r="K1368" s="11"/>
      <c r="L1368" s="11"/>
      <c r="M1368" s="11"/>
      <c r="N1368" s="11"/>
      <c r="O1368" s="17"/>
      <c r="P1368" s="17"/>
    </row>
    <row r="1369" ht="13.5" customHeight="1">
      <c r="A1369" s="11" t="str">
        <f t="shared" si="1"/>
        <v>FVL-ALPHARD08XYG</v>
      </c>
      <c r="B1369" s="32" t="s">
        <v>1660</v>
      </c>
      <c r="C1369" s="35" t="s">
        <v>88</v>
      </c>
      <c r="D1369" s="35" t="s">
        <v>409</v>
      </c>
      <c r="E1369" s="11" t="s">
        <v>16</v>
      </c>
      <c r="F1369" s="42"/>
      <c r="G1369" s="11"/>
      <c r="H1369" s="11">
        <f>SUMIFS(X!$F$3:$F$5978,X!$D$3:$D$5978,'Current Stock'!A1369)</f>
        <v>2</v>
      </c>
      <c r="I1369" s="11">
        <f>SUMIFS(PENJUALAN!$E$4:$E$3651,PENJUALAN!$C$4:$C$3651,'Current Stock'!A1369)</f>
        <v>2</v>
      </c>
      <c r="J1369" s="15">
        <f t="shared" si="2"/>
        <v>0</v>
      </c>
      <c r="K1369" s="11"/>
      <c r="L1369" s="11"/>
      <c r="M1369" s="11"/>
      <c r="N1369" s="11"/>
      <c r="O1369" s="17"/>
      <c r="P1369" s="17"/>
    </row>
    <row r="1370" ht="13.5" customHeight="1">
      <c r="A1370" s="11" t="str">
        <f t="shared" si="1"/>
        <v>LFW-OPELXYG</v>
      </c>
      <c r="B1370" s="32" t="s">
        <v>1007</v>
      </c>
      <c r="C1370" s="33" t="s">
        <v>1008</v>
      </c>
      <c r="D1370" s="33" t="s">
        <v>60</v>
      </c>
      <c r="E1370" s="11" t="s">
        <v>16</v>
      </c>
      <c r="F1370" s="33" t="s">
        <v>137</v>
      </c>
      <c r="G1370" s="11"/>
      <c r="H1370" s="11">
        <f>SUMIFS(X!$F$3:$F$5978,X!$D$3:$D$5978,'Current Stock'!A1370)</f>
        <v>0</v>
      </c>
      <c r="I1370" s="11">
        <f>SUMIFS(PENJUALAN!$E$4:$E$3651,PENJUALAN!$C$4:$C$3651,'Current Stock'!A1370)</f>
        <v>0</v>
      </c>
      <c r="J1370" s="15">
        <f t="shared" si="2"/>
        <v>0</v>
      </c>
      <c r="K1370" s="11"/>
      <c r="L1370" s="11"/>
      <c r="M1370" s="11"/>
      <c r="N1370" s="11"/>
      <c r="O1370" s="17"/>
      <c r="P1370" s="17"/>
    </row>
    <row r="1371" ht="13.5" customHeight="1">
      <c r="A1371" s="11" t="str">
        <f t="shared" si="1"/>
        <v>TRW-PEUGEUOT206XYG</v>
      </c>
      <c r="B1371" s="32" t="s">
        <v>1661</v>
      </c>
      <c r="C1371" s="33" t="s">
        <v>1662</v>
      </c>
      <c r="D1371" s="33" t="s">
        <v>62</v>
      </c>
      <c r="E1371" s="11" t="s">
        <v>16</v>
      </c>
      <c r="F1371" s="33" t="s">
        <v>228</v>
      </c>
      <c r="G1371" s="11"/>
      <c r="H1371" s="11">
        <f>SUMIFS(X!$F$3:$F$5978,X!$D$3:$D$5978,'Current Stock'!A1371)</f>
        <v>0</v>
      </c>
      <c r="I1371" s="11">
        <f>SUMIFS(PENJUALAN!$E$4:$E$3651,PENJUALAN!$C$4:$C$3651,'Current Stock'!A1371)</f>
        <v>0</v>
      </c>
      <c r="J1371" s="15">
        <f t="shared" si="2"/>
        <v>0</v>
      </c>
      <c r="K1371" s="11"/>
      <c r="L1371" s="11"/>
      <c r="M1371" s="11"/>
      <c r="N1371" s="11"/>
      <c r="O1371" s="17"/>
      <c r="P1371" s="17"/>
    </row>
    <row r="1372" ht="13.5" customHeight="1">
      <c r="A1372" s="11" t="str">
        <f t="shared" si="1"/>
        <v>LFW-PEU307RSBULATXYG</v>
      </c>
      <c r="B1372" s="32" t="s">
        <v>1009</v>
      </c>
      <c r="C1372" s="33" t="s">
        <v>1010</v>
      </c>
      <c r="D1372" s="33" t="s">
        <v>60</v>
      </c>
      <c r="E1372" s="11" t="s">
        <v>16</v>
      </c>
      <c r="F1372" s="33" t="s">
        <v>314</v>
      </c>
      <c r="G1372" s="11"/>
      <c r="H1372" s="11">
        <f>SUMIFS(X!$F$3:$F$5978,X!$D$3:$D$5978,'Current Stock'!A1372)</f>
        <v>0</v>
      </c>
      <c r="I1372" s="11">
        <f>SUMIFS(PENJUALAN!$E$4:$E$3651,PENJUALAN!$C$4:$C$3651,'Current Stock'!A1372)</f>
        <v>0</v>
      </c>
      <c r="J1372" s="15">
        <f t="shared" si="2"/>
        <v>0</v>
      </c>
      <c r="K1372" s="11"/>
      <c r="L1372" s="11"/>
      <c r="M1372" s="11"/>
      <c r="N1372" s="11"/>
      <c r="O1372" s="17"/>
      <c r="P1372" s="17"/>
    </row>
    <row r="1373" ht="13.5" customHeight="1">
      <c r="A1373" s="11" t="str">
        <f t="shared" si="1"/>
        <v>LFW-PEU307RSKOTAKXYG</v>
      </c>
      <c r="B1373" s="32" t="s">
        <v>1011</v>
      </c>
      <c r="C1373" s="33" t="s">
        <v>1012</v>
      </c>
      <c r="D1373" s="33" t="s">
        <v>60</v>
      </c>
      <c r="E1373" s="11" t="s">
        <v>16</v>
      </c>
      <c r="F1373" s="33" t="s">
        <v>314</v>
      </c>
      <c r="G1373" s="11"/>
      <c r="H1373" s="11">
        <f>SUMIFS(X!$F$3:$F$5978,X!$D$3:$D$5978,'Current Stock'!A1373)</f>
        <v>0</v>
      </c>
      <c r="I1373" s="11">
        <f>SUMIFS(PENJUALAN!$E$4:$E$3651,PENJUALAN!$C$4:$C$3651,'Current Stock'!A1373)</f>
        <v>0</v>
      </c>
      <c r="J1373" s="15">
        <f t="shared" si="2"/>
        <v>0</v>
      </c>
      <c r="K1373" s="11"/>
      <c r="L1373" s="11"/>
      <c r="M1373" s="11"/>
      <c r="N1373" s="11"/>
      <c r="O1373" s="17"/>
      <c r="P1373" s="17"/>
    </row>
    <row r="1374" ht="13.5" customHeight="1">
      <c r="A1374" s="11" t="str">
        <f t="shared" si="1"/>
        <v>LFW-EXORAXYG</v>
      </c>
      <c r="B1374" s="32" t="s">
        <v>1663</v>
      </c>
      <c r="C1374" s="33" t="s">
        <v>1664</v>
      </c>
      <c r="D1374" s="33" t="s">
        <v>60</v>
      </c>
      <c r="E1374" s="11" t="s">
        <v>16</v>
      </c>
      <c r="F1374" s="33" t="s">
        <v>137</v>
      </c>
      <c r="G1374" s="11"/>
      <c r="H1374" s="11">
        <f>SUMIFS(X!$F$3:$F$5978,X!$D$3:$D$5978,'Current Stock'!A1374)</f>
        <v>0</v>
      </c>
      <c r="I1374" s="11">
        <f>SUMIFS(PENJUALAN!$E$4:$E$3651,PENJUALAN!$C$4:$C$3651,'Current Stock'!A1374)</f>
        <v>0</v>
      </c>
      <c r="J1374" s="15">
        <f t="shared" si="2"/>
        <v>0</v>
      </c>
      <c r="K1374" s="11"/>
      <c r="L1374" s="11"/>
      <c r="M1374" s="11"/>
      <c r="N1374" s="11"/>
      <c r="O1374" s="17"/>
      <c r="P1374" s="17"/>
    </row>
    <row r="1375" ht="13.5" customHeight="1">
      <c r="A1375" s="11" t="str">
        <f t="shared" si="1"/>
        <v>TRW-EXORAXYG</v>
      </c>
      <c r="B1375" s="32" t="s">
        <v>1665</v>
      </c>
      <c r="C1375" s="33" t="s">
        <v>1664</v>
      </c>
      <c r="D1375" s="33" t="s">
        <v>62</v>
      </c>
      <c r="E1375" s="11" t="s">
        <v>16</v>
      </c>
      <c r="F1375" s="33" t="s">
        <v>83</v>
      </c>
      <c r="G1375" s="11"/>
      <c r="H1375" s="11">
        <f>SUMIFS(X!$F$3:$F$5978,X!$D$3:$D$5978,'Current Stock'!A1375)</f>
        <v>0</v>
      </c>
      <c r="I1375" s="11">
        <f>SUMIFS(PENJUALAN!$E$4:$E$3651,PENJUALAN!$C$4:$C$3651,'Current Stock'!A1375)</f>
        <v>0</v>
      </c>
      <c r="J1375" s="15">
        <f t="shared" si="2"/>
        <v>0</v>
      </c>
      <c r="K1375" s="11"/>
      <c r="L1375" s="11"/>
      <c r="M1375" s="70"/>
      <c r="N1375" s="11"/>
      <c r="O1375" s="17"/>
      <c r="P1375" s="17"/>
    </row>
    <row r="1376" ht="13.5" customHeight="1">
      <c r="A1376" s="11" t="str">
        <f t="shared" si="1"/>
        <v>LFW-PROTONGEN2XYG</v>
      </c>
      <c r="B1376" s="32" t="s">
        <v>1666</v>
      </c>
      <c r="C1376" s="35" t="s">
        <v>1667</v>
      </c>
      <c r="D1376" s="33" t="s">
        <v>60</v>
      </c>
      <c r="E1376" s="11" t="s">
        <v>16</v>
      </c>
      <c r="F1376" s="33" t="s">
        <v>137</v>
      </c>
      <c r="G1376" s="11"/>
      <c r="H1376" s="11">
        <f>SUMIFS(X!$F$3:$F$5978,X!$D$3:$D$5978,'Current Stock'!A1376)</f>
        <v>0</v>
      </c>
      <c r="I1376" s="11">
        <f>SUMIFS(PENJUALAN!$E$4:$E$3651,PENJUALAN!$C$4:$C$3651,'Current Stock'!A1376)</f>
        <v>0</v>
      </c>
      <c r="J1376" s="15">
        <f t="shared" si="2"/>
        <v>0</v>
      </c>
      <c r="K1376" s="11"/>
      <c r="L1376" s="11"/>
      <c r="M1376" s="11"/>
      <c r="N1376" s="11"/>
      <c r="O1376" s="17"/>
      <c r="P1376" s="17"/>
    </row>
    <row r="1377" ht="13.5" customHeight="1">
      <c r="A1377" s="11" t="str">
        <f t="shared" si="1"/>
        <v>LFW-SAGAXYG</v>
      </c>
      <c r="B1377" s="48" t="s">
        <v>1668</v>
      </c>
      <c r="C1377" s="35" t="s">
        <v>1669</v>
      </c>
      <c r="D1377" s="35" t="s">
        <v>60</v>
      </c>
      <c r="E1377" s="11" t="s">
        <v>16</v>
      </c>
      <c r="F1377" s="35" t="s">
        <v>137</v>
      </c>
      <c r="G1377" s="11"/>
      <c r="H1377" s="11">
        <f>SUMIFS(X!$F$3:$F$5978,X!$D$3:$D$5978,'Current Stock'!A1377)</f>
        <v>0</v>
      </c>
      <c r="I1377" s="11">
        <f>SUMIFS(PENJUALAN!$E$4:$E$3651,PENJUALAN!$C$4:$C$3651,'Current Stock'!A1377)</f>
        <v>0</v>
      </c>
      <c r="J1377" s="15">
        <f t="shared" si="2"/>
        <v>0</v>
      </c>
      <c r="K1377" s="11"/>
      <c r="L1377" s="11"/>
      <c r="M1377" s="11"/>
      <c r="N1377" s="11"/>
      <c r="O1377" s="17"/>
      <c r="P1377" s="17"/>
    </row>
    <row r="1378" ht="13.5" customHeight="1">
      <c r="A1378" s="11" t="str">
        <f t="shared" si="1"/>
        <v>LFW-SAVVYXYG</v>
      </c>
      <c r="B1378" s="48" t="s">
        <v>1670</v>
      </c>
      <c r="C1378" s="35" t="s">
        <v>1671</v>
      </c>
      <c r="D1378" s="35" t="s">
        <v>60</v>
      </c>
      <c r="E1378" s="11" t="s">
        <v>16</v>
      </c>
      <c r="F1378" s="33" t="s">
        <v>137</v>
      </c>
      <c r="G1378" s="11"/>
      <c r="H1378" s="11">
        <f>SUMIFS(X!$F$3:$F$5978,X!$D$3:$D$5978,'Current Stock'!A1378)</f>
        <v>0</v>
      </c>
      <c r="I1378" s="11">
        <f>SUMIFS(PENJUALAN!$E$4:$E$3651,PENJUALAN!$C$4:$C$3651,'Current Stock'!A1378)</f>
        <v>0</v>
      </c>
      <c r="J1378" s="15">
        <f t="shared" si="2"/>
        <v>0</v>
      </c>
      <c r="K1378" s="11"/>
      <c r="L1378" s="11"/>
      <c r="M1378" s="11"/>
      <c r="N1378" s="11"/>
      <c r="O1378" s="17"/>
      <c r="P1378" s="17"/>
    </row>
    <row r="1379" ht="13.5" customHeight="1">
      <c r="A1379" s="11" t="str">
        <f t="shared" si="1"/>
        <v>LFW-RANGEROVER2DXYG</v>
      </c>
      <c r="B1379" s="32" t="s">
        <v>1672</v>
      </c>
      <c r="C1379" s="33" t="s">
        <v>1673</v>
      </c>
      <c r="D1379" s="33" t="s">
        <v>60</v>
      </c>
      <c r="E1379" s="11" t="s">
        <v>16</v>
      </c>
      <c r="F1379" s="33" t="s">
        <v>314</v>
      </c>
      <c r="G1379" s="11"/>
      <c r="H1379" s="11">
        <f>SUMIFS(X!$F$3:$F$5978,X!$D$3:$D$5978,'Current Stock'!A1379)</f>
        <v>0</v>
      </c>
      <c r="I1379" s="11">
        <f>SUMIFS(PENJUALAN!$E$4:$E$3651,PENJUALAN!$C$4:$C$3651,'Current Stock'!A1379)</f>
        <v>0</v>
      </c>
      <c r="J1379" s="15">
        <f t="shared" si="2"/>
        <v>0</v>
      </c>
      <c r="K1379" s="11"/>
      <c r="L1379" s="11"/>
      <c r="M1379" s="11"/>
      <c r="N1379" s="11"/>
      <c r="O1379" s="17"/>
      <c r="P1379" s="17"/>
    </row>
    <row r="1380" ht="13.5" customHeight="1">
      <c r="A1380" s="11" t="str">
        <f t="shared" si="1"/>
        <v>TRW-RANGEROVER2DXYG</v>
      </c>
      <c r="B1380" s="32" t="s">
        <v>1674</v>
      </c>
      <c r="C1380" s="33" t="s">
        <v>1675</v>
      </c>
      <c r="D1380" s="35" t="s">
        <v>62</v>
      </c>
      <c r="E1380" s="11" t="s">
        <v>16</v>
      </c>
      <c r="F1380" s="35" t="s">
        <v>83</v>
      </c>
      <c r="G1380" s="11"/>
      <c r="H1380" s="11">
        <f>SUMIFS(X!$F$3:$F$5978,X!$D$3:$D$5978,'Current Stock'!A1380)</f>
        <v>0</v>
      </c>
      <c r="I1380" s="11">
        <f>SUMIFS(PENJUALAN!$E$4:$E$3651,PENJUALAN!$C$4:$C$3651,'Current Stock'!A1380)</f>
        <v>0</v>
      </c>
      <c r="J1380" s="15">
        <f t="shared" si="2"/>
        <v>0</v>
      </c>
      <c r="K1380" s="11"/>
      <c r="L1380" s="11"/>
      <c r="M1380" s="11"/>
      <c r="N1380" s="11"/>
      <c r="O1380" s="17"/>
      <c r="P1380" s="17"/>
    </row>
    <row r="1381" ht="13.5" customHeight="1">
      <c r="A1381" s="11" t="str">
        <f t="shared" si="1"/>
        <v>FDL-RANGEROVER2DXYG</v>
      </c>
      <c r="B1381" s="32" t="s">
        <v>1676</v>
      </c>
      <c r="C1381" s="33" t="s">
        <v>1677</v>
      </c>
      <c r="D1381" s="35" t="s">
        <v>140</v>
      </c>
      <c r="E1381" s="11" t="s">
        <v>16</v>
      </c>
      <c r="F1381" s="35"/>
      <c r="G1381" s="11"/>
      <c r="H1381" s="11">
        <f>SUMIFS(X!$F$3:$F$5978,X!$D$3:$D$5978,'Current Stock'!A1381)</f>
        <v>0</v>
      </c>
      <c r="I1381" s="11">
        <f>SUMIFS(PENJUALAN!$E$4:$E$3651,PENJUALAN!$C$4:$C$3651,'Current Stock'!A1381)</f>
        <v>0</v>
      </c>
      <c r="J1381" s="15">
        <f t="shared" si="2"/>
        <v>0</v>
      </c>
      <c r="K1381" s="11"/>
      <c r="L1381" s="11"/>
      <c r="M1381" s="11"/>
      <c r="N1381" s="11"/>
      <c r="O1381" s="17"/>
      <c r="P1381" s="17"/>
    </row>
    <row r="1382" ht="13.5" customHeight="1">
      <c r="A1382" s="11" t="str">
        <f t="shared" si="1"/>
        <v>FDR-RANGEROVER2DXYG</v>
      </c>
      <c r="B1382" s="32" t="s">
        <v>1678</v>
      </c>
      <c r="C1382" s="33" t="s">
        <v>1677</v>
      </c>
      <c r="D1382" s="35" t="s">
        <v>142</v>
      </c>
      <c r="E1382" s="11" t="s">
        <v>16</v>
      </c>
      <c r="F1382" s="35"/>
      <c r="G1382" s="11"/>
      <c r="H1382" s="11">
        <f>SUMIFS(X!$F$3:$F$5978,X!$D$3:$D$5978,'Current Stock'!A1382)</f>
        <v>0</v>
      </c>
      <c r="I1382" s="11">
        <f>SUMIFS(PENJUALAN!$E$4:$E$3651,PENJUALAN!$C$4:$C$3651,'Current Stock'!A1382)</f>
        <v>0</v>
      </c>
      <c r="J1382" s="15">
        <f t="shared" si="2"/>
        <v>0</v>
      </c>
      <c r="K1382" s="11"/>
      <c r="L1382" s="11"/>
      <c r="M1382" s="11"/>
      <c r="N1382" s="11"/>
      <c r="O1382" s="17"/>
      <c r="P1382" s="17"/>
    </row>
    <row r="1383" ht="13.5" customHeight="1">
      <c r="A1383" s="11" t="str">
        <f t="shared" si="1"/>
        <v>SWL-RANGEROVER2DXYG</v>
      </c>
      <c r="B1383" s="32" t="s">
        <v>1679</v>
      </c>
      <c r="C1383" s="33" t="s">
        <v>1677</v>
      </c>
      <c r="D1383" s="35" t="s">
        <v>209</v>
      </c>
      <c r="E1383" s="11" t="s">
        <v>16</v>
      </c>
      <c r="F1383" s="35"/>
      <c r="G1383" s="11"/>
      <c r="H1383" s="11">
        <f>SUMIFS(X!$F$3:$F$5978,X!$D$3:$D$5978,'Current Stock'!A1383)</f>
        <v>0</v>
      </c>
      <c r="I1383" s="11">
        <f>SUMIFS(PENJUALAN!$E$4:$E$3651,PENJUALAN!$C$4:$C$3651,'Current Stock'!A1383)</f>
        <v>0</v>
      </c>
      <c r="J1383" s="15">
        <f t="shared" si="2"/>
        <v>0</v>
      </c>
      <c r="K1383" s="11"/>
      <c r="L1383" s="11"/>
      <c r="M1383" s="11"/>
      <c r="N1383" s="11"/>
      <c r="O1383" s="17"/>
      <c r="P1383" s="17"/>
    </row>
    <row r="1384" ht="13.5" customHeight="1">
      <c r="A1384" s="11" t="str">
        <f t="shared" si="1"/>
        <v>SWR-RANGEROVER2DXYG</v>
      </c>
      <c r="B1384" s="32" t="s">
        <v>1680</v>
      </c>
      <c r="C1384" s="33" t="s">
        <v>1677</v>
      </c>
      <c r="D1384" s="35" t="s">
        <v>243</v>
      </c>
      <c r="E1384" s="11" t="s">
        <v>16</v>
      </c>
      <c r="F1384" s="35"/>
      <c r="G1384" s="11"/>
      <c r="H1384" s="11">
        <f>SUMIFS(X!$F$3:$F$5978,X!$D$3:$D$5978,'Current Stock'!A1384)</f>
        <v>0</v>
      </c>
      <c r="I1384" s="11">
        <f>SUMIFS(PENJUALAN!$E$4:$E$3651,PENJUALAN!$C$4:$C$3651,'Current Stock'!A1384)</f>
        <v>0</v>
      </c>
      <c r="J1384" s="15">
        <f t="shared" si="2"/>
        <v>0</v>
      </c>
      <c r="K1384" s="11"/>
      <c r="L1384" s="11"/>
      <c r="M1384" s="11"/>
      <c r="N1384" s="11"/>
      <c r="O1384" s="17"/>
      <c r="P1384" s="17"/>
    </row>
    <row r="1385" ht="13.5" customHeight="1">
      <c r="A1385" s="11" t="str">
        <f t="shared" si="1"/>
        <v>LFW-RANGEROVER4DXYG</v>
      </c>
      <c r="B1385" s="32" t="s">
        <v>1017</v>
      </c>
      <c r="C1385" s="35" t="s">
        <v>1018</v>
      </c>
      <c r="D1385" s="33" t="s">
        <v>60</v>
      </c>
      <c r="E1385" s="11" t="s">
        <v>16</v>
      </c>
      <c r="F1385" s="33" t="s">
        <v>314</v>
      </c>
      <c r="G1385" s="11"/>
      <c r="H1385" s="11">
        <f>SUMIFS(X!$F$3:$F$5978,X!$D$3:$D$5978,'Current Stock'!A1385)</f>
        <v>0</v>
      </c>
      <c r="I1385" s="11">
        <f>SUMIFS(PENJUALAN!$E$4:$E$3651,PENJUALAN!$C$4:$C$3651,'Current Stock'!A1385)</f>
        <v>0</v>
      </c>
      <c r="J1385" s="15">
        <f t="shared" si="2"/>
        <v>0</v>
      </c>
      <c r="K1385" s="11"/>
      <c r="L1385" s="11"/>
      <c r="M1385" s="11"/>
      <c r="N1385" s="11"/>
      <c r="O1385" s="17"/>
      <c r="P1385" s="17"/>
    </row>
    <row r="1386" ht="13.5" customHeight="1">
      <c r="A1386" s="11" t="str">
        <f t="shared" si="1"/>
        <v>LFW-RANGEROVER4DRS3XYG</v>
      </c>
      <c r="B1386" s="32" t="s">
        <v>1681</v>
      </c>
      <c r="C1386" s="35" t="s">
        <v>1682</v>
      </c>
      <c r="D1386" s="35" t="s">
        <v>60</v>
      </c>
      <c r="E1386" s="11" t="s">
        <v>16</v>
      </c>
      <c r="F1386" s="35" t="s">
        <v>314</v>
      </c>
      <c r="G1386" s="11"/>
      <c r="H1386" s="11">
        <f>SUMIFS(X!$F$3:$F$5978,X!$D$3:$D$5978,'Current Stock'!A1386)</f>
        <v>0</v>
      </c>
      <c r="I1386" s="11">
        <f>SUMIFS(PENJUALAN!$E$4:$E$3651,PENJUALAN!$C$4:$C$3651,'Current Stock'!A1386)</f>
        <v>0</v>
      </c>
      <c r="J1386" s="15">
        <f t="shared" si="2"/>
        <v>0</v>
      </c>
      <c r="K1386" s="11"/>
      <c r="L1386" s="11"/>
      <c r="M1386" s="11"/>
      <c r="N1386" s="11"/>
      <c r="O1386" s="17"/>
      <c r="P1386" s="17"/>
    </row>
    <row r="1387" ht="13.5" customHeight="1">
      <c r="A1387" s="11" t="str">
        <f t="shared" si="1"/>
        <v>LFW-SUBARUXVXYG</v>
      </c>
      <c r="B1387" s="32" t="s">
        <v>1683</v>
      </c>
      <c r="C1387" s="33" t="s">
        <v>1684</v>
      </c>
      <c r="D1387" s="33" t="s">
        <v>60</v>
      </c>
      <c r="E1387" s="11" t="s">
        <v>16</v>
      </c>
      <c r="F1387" s="33" t="s">
        <v>745</v>
      </c>
      <c r="G1387" s="11"/>
      <c r="H1387" s="11">
        <f>SUMIFS(X!$F$3:$F$5978,X!$D$3:$D$5978,'Current Stock'!A1387)</f>
        <v>0</v>
      </c>
      <c r="I1387" s="11">
        <f>SUMIFS(PENJUALAN!$E$4:$E$3651,PENJUALAN!$C$4:$C$3651,'Current Stock'!A1387)</f>
        <v>0</v>
      </c>
      <c r="J1387" s="15">
        <f t="shared" si="2"/>
        <v>0</v>
      </c>
      <c r="K1387" s="11"/>
      <c r="L1387" s="11"/>
      <c r="M1387" s="11"/>
      <c r="N1387" s="11"/>
      <c r="O1387" s="17"/>
      <c r="P1387" s="17"/>
    </row>
    <row r="1388" ht="13.5" customHeight="1">
      <c r="A1388" s="11" t="str">
        <f t="shared" si="1"/>
        <v>LFW-AERIOXYG</v>
      </c>
      <c r="B1388" s="32" t="s">
        <v>1685</v>
      </c>
      <c r="C1388" s="33" t="s">
        <v>1686</v>
      </c>
      <c r="D1388" s="35" t="s">
        <v>60</v>
      </c>
      <c r="E1388" s="11" t="s">
        <v>16</v>
      </c>
      <c r="F1388" s="33" t="s">
        <v>137</v>
      </c>
      <c r="G1388" s="11"/>
      <c r="H1388" s="11">
        <f>SUMIFS(X!$F$3:$F$5978,X!$D$3:$D$5978,'Current Stock'!A1388)</f>
        <v>0</v>
      </c>
      <c r="I1388" s="11">
        <f>SUMIFS(PENJUALAN!$E$4:$E$3651,PENJUALAN!$C$4:$C$3651,'Current Stock'!A1388)</f>
        <v>0</v>
      </c>
      <c r="J1388" s="15">
        <f t="shared" si="2"/>
        <v>0</v>
      </c>
      <c r="K1388" s="11"/>
      <c r="L1388" s="11"/>
      <c r="M1388" s="11"/>
      <c r="N1388" s="11"/>
      <c r="O1388" s="17"/>
      <c r="P1388" s="17"/>
    </row>
    <row r="1389" ht="13.5" customHeight="1">
      <c r="A1389" s="11" t="str">
        <f t="shared" si="1"/>
        <v>TRW-AERIOXYG</v>
      </c>
      <c r="B1389" s="32" t="s">
        <v>1021</v>
      </c>
      <c r="C1389" s="33" t="s">
        <v>1022</v>
      </c>
      <c r="D1389" s="33" t="s">
        <v>62</v>
      </c>
      <c r="E1389" s="11" t="s">
        <v>16</v>
      </c>
      <c r="F1389" s="33" t="s">
        <v>83</v>
      </c>
      <c r="G1389" s="11"/>
      <c r="H1389" s="11">
        <f>SUMIFS(X!$F$3:$F$5978,X!$D$3:$D$5978,'Current Stock'!A1389)</f>
        <v>0</v>
      </c>
      <c r="I1389" s="11">
        <f>SUMIFS(PENJUALAN!$E$4:$E$3651,PENJUALAN!$C$4:$C$3651,'Current Stock'!A1389)</f>
        <v>0</v>
      </c>
      <c r="J1389" s="15">
        <f t="shared" si="2"/>
        <v>0</v>
      </c>
      <c r="K1389" s="11"/>
      <c r="L1389" s="11"/>
      <c r="M1389" s="11"/>
      <c r="N1389" s="11"/>
      <c r="O1389" s="17"/>
      <c r="P1389" s="17"/>
    </row>
    <row r="1390" ht="13.5" customHeight="1">
      <c r="A1390" s="11" t="str">
        <f t="shared" si="1"/>
        <v>LFW-CAMRY02XYG</v>
      </c>
      <c r="B1390" s="32" t="s">
        <v>1107</v>
      </c>
      <c r="C1390" s="33" t="s">
        <v>1108</v>
      </c>
      <c r="D1390" s="33" t="s">
        <v>60</v>
      </c>
      <c r="E1390" s="11" t="s">
        <v>16</v>
      </c>
      <c r="F1390" s="33" t="s">
        <v>137</v>
      </c>
      <c r="G1390" s="11"/>
      <c r="H1390" s="11">
        <f>SUMIFS(X!$F$3:$F$5978,X!$D$3:$D$5978,'Current Stock'!A1390)</f>
        <v>2</v>
      </c>
      <c r="I1390" s="11">
        <f>SUMIFS(PENJUALAN!$E$4:$E$3651,PENJUALAN!$C$4:$C$3651,'Current Stock'!A1390)</f>
        <v>2</v>
      </c>
      <c r="J1390" s="15">
        <f t="shared" si="2"/>
        <v>0</v>
      </c>
      <c r="K1390" s="13"/>
      <c r="L1390" s="13"/>
      <c r="M1390" s="11"/>
      <c r="N1390" s="11"/>
      <c r="O1390" s="17"/>
      <c r="P1390" s="17"/>
    </row>
    <row r="1391" ht="13.5" customHeight="1">
      <c r="A1391" s="11" t="str">
        <f t="shared" si="1"/>
        <v>LFW-BALENO96XYG</v>
      </c>
      <c r="B1391" s="32" t="s">
        <v>1687</v>
      </c>
      <c r="C1391" s="35" t="s">
        <v>1688</v>
      </c>
      <c r="D1391" s="35" t="s">
        <v>60</v>
      </c>
      <c r="E1391" s="11" t="s">
        <v>16</v>
      </c>
      <c r="F1391" s="33" t="s">
        <v>109</v>
      </c>
      <c r="G1391" s="11"/>
      <c r="H1391" s="11">
        <f>SUMIFS(X!$F$3:$F$5978,X!$D$3:$D$5978,'Current Stock'!A1391)</f>
        <v>0</v>
      </c>
      <c r="I1391" s="11">
        <f>SUMIFS(PENJUALAN!$E$4:$E$3651,PENJUALAN!$C$4:$C$3651,'Current Stock'!A1391)</f>
        <v>0</v>
      </c>
      <c r="J1391" s="15">
        <f t="shared" si="2"/>
        <v>0</v>
      </c>
      <c r="K1391" s="11"/>
      <c r="L1391" s="11"/>
      <c r="M1391" s="11"/>
      <c r="N1391" s="11"/>
      <c r="O1391" s="17"/>
      <c r="P1391" s="17"/>
    </row>
    <row r="1392" ht="13.5" customHeight="1">
      <c r="A1392" s="11" t="str">
        <f t="shared" si="1"/>
        <v>TRW-BALENO96XYG</v>
      </c>
      <c r="B1392" s="32" t="s">
        <v>1689</v>
      </c>
      <c r="C1392" s="33" t="s">
        <v>1688</v>
      </c>
      <c r="D1392" s="33" t="s">
        <v>62</v>
      </c>
      <c r="E1392" s="11" t="s">
        <v>16</v>
      </c>
      <c r="F1392" s="33" t="s">
        <v>83</v>
      </c>
      <c r="G1392" s="11"/>
      <c r="H1392" s="11">
        <f>SUMIFS(X!$F$3:$F$5978,X!$D$3:$D$5978,'Current Stock'!A1392)</f>
        <v>2</v>
      </c>
      <c r="I1392" s="11">
        <f>SUMIFS(PENJUALAN!$E$4:$E$3651,PENJUALAN!$C$4:$C$3651,'Current Stock'!A1392)</f>
        <v>2</v>
      </c>
      <c r="J1392" s="15">
        <f t="shared" si="2"/>
        <v>0</v>
      </c>
      <c r="K1392" s="13" t="s">
        <v>1690</v>
      </c>
      <c r="L1392" s="11"/>
      <c r="M1392" s="11"/>
      <c r="N1392" s="11"/>
      <c r="O1392" s="17"/>
      <c r="P1392" s="17"/>
    </row>
    <row r="1393" ht="13.5" customHeight="1">
      <c r="A1393" s="11" t="str">
        <f t="shared" si="1"/>
        <v>TRW-BALENO01XYG</v>
      </c>
      <c r="B1393" s="32" t="s">
        <v>1691</v>
      </c>
      <c r="C1393" s="33" t="s">
        <v>1692</v>
      </c>
      <c r="D1393" s="33" t="s">
        <v>62</v>
      </c>
      <c r="E1393" s="11" t="s">
        <v>16</v>
      </c>
      <c r="F1393" s="33" t="s">
        <v>83</v>
      </c>
      <c r="G1393" s="11"/>
      <c r="H1393" s="11">
        <f>SUMIFS(X!$F$3:$F$5978,X!$D$3:$D$5978,'Current Stock'!A1393)</f>
        <v>0</v>
      </c>
      <c r="I1393" s="11">
        <f>SUMIFS(PENJUALAN!$E$4:$E$3651,PENJUALAN!$C$4:$C$3651,'Current Stock'!A1393)</f>
        <v>0</v>
      </c>
      <c r="J1393" s="15">
        <f t="shared" si="2"/>
        <v>0</v>
      </c>
      <c r="K1393" s="13"/>
      <c r="L1393" s="13"/>
      <c r="M1393" s="11"/>
      <c r="N1393" s="11"/>
      <c r="O1393" s="17"/>
      <c r="P1393" s="17"/>
    </row>
    <row r="1394" ht="13.5" customHeight="1">
      <c r="A1394" s="11" t="str">
        <f t="shared" si="1"/>
        <v>LFW-BALENO08XYG</v>
      </c>
      <c r="B1394" s="32" t="s">
        <v>1693</v>
      </c>
      <c r="C1394" s="33" t="s">
        <v>1694</v>
      </c>
      <c r="D1394" s="33" t="s">
        <v>60</v>
      </c>
      <c r="E1394" s="11" t="s">
        <v>16</v>
      </c>
      <c r="F1394" s="33" t="s">
        <v>137</v>
      </c>
      <c r="G1394" s="11"/>
      <c r="H1394" s="11">
        <f>SUMIFS(X!$F$3:$F$5978,X!$D$3:$D$5978,'Current Stock'!A1394)</f>
        <v>4</v>
      </c>
      <c r="I1394" s="11">
        <f>SUMIFS(PENJUALAN!$E$4:$E$3651,PENJUALAN!$C$4:$C$3651,'Current Stock'!A1394)</f>
        <v>2</v>
      </c>
      <c r="J1394" s="15">
        <f t="shared" si="2"/>
        <v>2</v>
      </c>
      <c r="K1394" s="13" t="s">
        <v>1695</v>
      </c>
      <c r="L1394" s="13"/>
      <c r="M1394" s="11"/>
      <c r="N1394" s="11"/>
      <c r="O1394" s="17"/>
      <c r="P1394" s="17"/>
    </row>
    <row r="1395" ht="13.5" customHeight="1">
      <c r="A1395" s="11" t="str">
        <f t="shared" si="1"/>
        <v>TRW-BALENOSX408XYG</v>
      </c>
      <c r="B1395" s="32" t="s">
        <v>1696</v>
      </c>
      <c r="C1395" s="33" t="s">
        <v>1697</v>
      </c>
      <c r="D1395" s="33" t="s">
        <v>62</v>
      </c>
      <c r="E1395" s="11" t="s">
        <v>16</v>
      </c>
      <c r="F1395" s="33" t="s">
        <v>83</v>
      </c>
      <c r="G1395" s="11"/>
      <c r="H1395" s="11">
        <f>SUMIFS(X!$F$3:$F$5978,X!$D$3:$D$5978,'Current Stock'!A1395)</f>
        <v>0</v>
      </c>
      <c r="I1395" s="11">
        <f>SUMIFS(PENJUALAN!$E$4:$E$3651,PENJUALAN!$C$4:$C$3651,'Current Stock'!A1395)</f>
        <v>0</v>
      </c>
      <c r="J1395" s="15">
        <f t="shared" si="2"/>
        <v>0</v>
      </c>
      <c r="K1395" s="11"/>
      <c r="L1395" s="11"/>
      <c r="M1395" s="11"/>
      <c r="N1395" s="11"/>
      <c r="O1395" s="17"/>
      <c r="P1395" s="17"/>
    </row>
    <row r="1396" ht="13.5" customHeight="1">
      <c r="A1396" s="11" t="str">
        <f t="shared" si="1"/>
        <v>SWR-BALENOSX408XYG</v>
      </c>
      <c r="B1396" s="32" t="s">
        <v>1698</v>
      </c>
      <c r="C1396" s="33" t="s">
        <v>1697</v>
      </c>
      <c r="D1396" s="33" t="s">
        <v>243</v>
      </c>
      <c r="E1396" s="11" t="s">
        <v>16</v>
      </c>
      <c r="F1396" s="33" t="s">
        <v>109</v>
      </c>
      <c r="G1396" s="11"/>
      <c r="H1396" s="11">
        <f>SUMIFS(X!$F$3:$F$5978,X!$D$3:$D$5978,'Current Stock'!A1396)</f>
        <v>1</v>
      </c>
      <c r="I1396" s="11">
        <f>SUMIFS(PENJUALAN!$E$4:$E$3651,PENJUALAN!$C$4:$C$3651,'Current Stock'!A1396)</f>
        <v>1</v>
      </c>
      <c r="J1396" s="15">
        <f t="shared" si="2"/>
        <v>0</v>
      </c>
      <c r="K1396" s="11"/>
      <c r="L1396" s="11"/>
      <c r="M1396" s="11"/>
      <c r="N1396" s="11"/>
      <c r="O1396" s="17"/>
      <c r="P1396" s="17"/>
    </row>
    <row r="1397" ht="13.5" customHeight="1">
      <c r="A1397" s="11" t="str">
        <f t="shared" si="1"/>
        <v>SWL-BALENOSX408XYG</v>
      </c>
      <c r="B1397" s="32" t="s">
        <v>1699</v>
      </c>
      <c r="C1397" s="33" t="s">
        <v>1697</v>
      </c>
      <c r="D1397" s="33" t="s">
        <v>209</v>
      </c>
      <c r="E1397" s="11" t="s">
        <v>16</v>
      </c>
      <c r="F1397" s="33" t="s">
        <v>109</v>
      </c>
      <c r="G1397" s="11"/>
      <c r="H1397" s="11">
        <f>SUMIFS(X!$F$3:$F$5978,X!$D$3:$D$5978,'Current Stock'!A1397)</f>
        <v>1</v>
      </c>
      <c r="I1397" s="11">
        <f>SUMIFS(PENJUALAN!$E$4:$E$3651,PENJUALAN!$C$4:$C$3651,'Current Stock'!A1397)</f>
        <v>1</v>
      </c>
      <c r="J1397" s="15">
        <f t="shared" si="2"/>
        <v>0</v>
      </c>
      <c r="K1397" s="13" t="s">
        <v>1700</v>
      </c>
      <c r="L1397" s="11"/>
      <c r="M1397" s="11"/>
      <c r="N1397" s="11"/>
      <c r="O1397" s="17"/>
      <c r="P1397" s="17"/>
    </row>
    <row r="1398" ht="13.5" customHeight="1">
      <c r="A1398" s="11" t="str">
        <f t="shared" si="1"/>
        <v>TRW-BALENONEO08XYG</v>
      </c>
      <c r="B1398" s="32" t="s">
        <v>1701</v>
      </c>
      <c r="C1398" s="33" t="s">
        <v>1702</v>
      </c>
      <c r="D1398" s="33" t="s">
        <v>62</v>
      </c>
      <c r="E1398" s="11" t="s">
        <v>16</v>
      </c>
      <c r="F1398" s="33" t="s">
        <v>83</v>
      </c>
      <c r="G1398" s="11"/>
      <c r="H1398" s="11">
        <f>SUMIFS(X!$F$3:$F$5978,X!$D$3:$D$5978,'Current Stock'!A1398)</f>
        <v>0</v>
      </c>
      <c r="I1398" s="11">
        <f>SUMIFS(PENJUALAN!$E$4:$E$3651,PENJUALAN!$C$4:$C$3651,'Current Stock'!A1398)</f>
        <v>0</v>
      </c>
      <c r="J1398" s="15">
        <f t="shared" si="2"/>
        <v>0</v>
      </c>
      <c r="K1398" s="11"/>
      <c r="L1398" s="11"/>
      <c r="M1398" s="11"/>
      <c r="N1398" s="11"/>
      <c r="O1398" s="17"/>
      <c r="P1398" s="17"/>
    </row>
    <row r="1399" ht="13.5" customHeight="1">
      <c r="A1399" s="11" t="str">
        <f t="shared" si="1"/>
        <v>LFW-BALENO15XYG</v>
      </c>
      <c r="B1399" s="48" t="s">
        <v>1703</v>
      </c>
      <c r="C1399" s="33" t="s">
        <v>1704</v>
      </c>
      <c r="D1399" s="35" t="s">
        <v>60</v>
      </c>
      <c r="E1399" s="11" t="s">
        <v>16</v>
      </c>
      <c r="F1399" s="33" t="s">
        <v>137</v>
      </c>
      <c r="G1399" s="14">
        <v>45988.0</v>
      </c>
      <c r="H1399" s="11">
        <f>SUMIFS(X!$F$3:$F$5978,X!$D$3:$D$5978,'Current Stock'!A1399)</f>
        <v>0</v>
      </c>
      <c r="I1399" s="11">
        <f>SUMIFS(PENJUALAN!$E$4:$E$3651,PENJUALAN!$C$4:$C$3651,'Current Stock'!A1399)</f>
        <v>0</v>
      </c>
      <c r="J1399" s="15">
        <f t="shared" si="2"/>
        <v>0</v>
      </c>
      <c r="K1399" s="13"/>
      <c r="L1399" s="13"/>
      <c r="M1399" s="11"/>
      <c r="N1399" s="13" t="s">
        <v>1705</v>
      </c>
      <c r="O1399" s="45"/>
      <c r="P1399" s="45"/>
    </row>
    <row r="1400" ht="13.5" customHeight="1">
      <c r="A1400" s="11" t="str">
        <f t="shared" si="1"/>
        <v>LFW-NAV07XYG</v>
      </c>
      <c r="B1400" s="32" t="s">
        <v>1217</v>
      </c>
      <c r="C1400" s="33" t="s">
        <v>1218</v>
      </c>
      <c r="D1400" s="33" t="s">
        <v>60</v>
      </c>
      <c r="E1400" s="11" t="s">
        <v>16</v>
      </c>
      <c r="F1400" s="33" t="s">
        <v>137</v>
      </c>
      <c r="G1400" s="11"/>
      <c r="H1400" s="11">
        <f>SUMIFS(X!$F$3:$F$5978,X!$D$3:$D$5978,'Current Stock'!A1400)</f>
        <v>2</v>
      </c>
      <c r="I1400" s="11">
        <f>SUMIFS(PENJUALAN!$E$4:$E$3651,PENJUALAN!$C$4:$C$3651,'Current Stock'!A1400)</f>
        <v>2</v>
      </c>
      <c r="J1400" s="15">
        <f t="shared" si="2"/>
        <v>0</v>
      </c>
      <c r="K1400" s="13"/>
      <c r="L1400" s="13"/>
      <c r="M1400" s="11"/>
      <c r="N1400" s="11"/>
      <c r="O1400" s="17"/>
      <c r="P1400" s="17"/>
    </row>
    <row r="1401" ht="13.5" customHeight="1">
      <c r="A1401" s="11" t="str">
        <f t="shared" si="1"/>
        <v>LFW-CARRYFUTURAXYG</v>
      </c>
      <c r="B1401" s="32" t="s">
        <v>1706</v>
      </c>
      <c r="C1401" s="33" t="s">
        <v>1707</v>
      </c>
      <c r="D1401" s="33" t="s">
        <v>60</v>
      </c>
      <c r="E1401" s="11" t="s">
        <v>16</v>
      </c>
      <c r="F1401" s="33"/>
      <c r="G1401" s="11"/>
      <c r="H1401" s="11">
        <f>SUMIFS(X!$F$3:$F$5978,X!$D$3:$D$5978,'Current Stock'!A1401)</f>
        <v>0</v>
      </c>
      <c r="I1401" s="11">
        <f>SUMIFS(PENJUALAN!$E$4:$E$3651,PENJUALAN!$C$4:$C$3651,'Current Stock'!A1401)</f>
        <v>0</v>
      </c>
      <c r="J1401" s="15">
        <f t="shared" si="2"/>
        <v>0</v>
      </c>
      <c r="K1401" s="11"/>
      <c r="L1401" s="11"/>
      <c r="M1401" s="11"/>
      <c r="N1401" s="11"/>
      <c r="O1401" s="17"/>
      <c r="P1401" s="17"/>
    </row>
    <row r="1402" ht="13.5" customHeight="1">
      <c r="A1402" s="11" t="str">
        <f t="shared" si="1"/>
        <v>LFW-CARRY19XYG</v>
      </c>
      <c r="B1402" s="32" t="s">
        <v>1640</v>
      </c>
      <c r="C1402" s="33" t="s">
        <v>1363</v>
      </c>
      <c r="D1402" s="33" t="s">
        <v>60</v>
      </c>
      <c r="E1402" s="11" t="s">
        <v>16</v>
      </c>
      <c r="F1402" s="33"/>
      <c r="G1402" s="14"/>
      <c r="H1402" s="11">
        <f>SUMIFS(X!$F$3:$F$5978,X!$D$3:$D$5978,'Current Stock'!A1402)</f>
        <v>21</v>
      </c>
      <c r="I1402" s="11">
        <f>SUMIFS(PENJUALAN!$E$4:$E$3651,PENJUALAN!$C$4:$C$3651,'Current Stock'!A1402)</f>
        <v>21</v>
      </c>
      <c r="J1402" s="15">
        <f t="shared" si="2"/>
        <v>0</v>
      </c>
      <c r="K1402" s="13" t="s">
        <v>1700</v>
      </c>
      <c r="L1402" s="11"/>
      <c r="M1402" s="11"/>
      <c r="N1402" s="11"/>
      <c r="O1402" s="17"/>
      <c r="P1402" s="17"/>
    </row>
    <row r="1403" ht="13.5" customHeight="1">
      <c r="A1403" s="11" t="str">
        <f t="shared" si="1"/>
        <v>LFW-ERTIGA12XYG</v>
      </c>
      <c r="B1403" s="32" t="s">
        <v>1025</v>
      </c>
      <c r="C1403" s="33" t="s">
        <v>1026</v>
      </c>
      <c r="D1403" s="33" t="s">
        <v>60</v>
      </c>
      <c r="E1403" s="11" t="s">
        <v>16</v>
      </c>
      <c r="F1403" s="33" t="s">
        <v>109</v>
      </c>
      <c r="G1403" s="11"/>
      <c r="H1403" s="11">
        <f>SUMIFS(X!$F$3:$F$5978,X!$D$3:$D$5978,'Current Stock'!A1403)</f>
        <v>11</v>
      </c>
      <c r="I1403" s="11">
        <f>SUMIFS(PENJUALAN!$E$4:$E$3651,PENJUALAN!$C$4:$C$3651,'Current Stock'!A1403)</f>
        <v>8</v>
      </c>
      <c r="J1403" s="15">
        <f t="shared" si="2"/>
        <v>3</v>
      </c>
      <c r="K1403" s="13"/>
      <c r="L1403" s="13"/>
      <c r="M1403" s="11"/>
      <c r="N1403" s="11"/>
      <c r="O1403" s="17"/>
      <c r="P1403" s="17"/>
    </row>
    <row r="1404" ht="13.5" customHeight="1">
      <c r="A1404" s="11" t="str">
        <f t="shared" si="1"/>
        <v>TRW-TERIOS06HHOLEXYG</v>
      </c>
      <c r="B1404" s="32" t="s">
        <v>1250</v>
      </c>
      <c r="C1404" s="33" t="s">
        <v>1248</v>
      </c>
      <c r="D1404" s="33" t="s">
        <v>62</v>
      </c>
      <c r="E1404" s="11" t="s">
        <v>16</v>
      </c>
      <c r="F1404" s="33" t="s">
        <v>228</v>
      </c>
      <c r="G1404" s="11"/>
      <c r="H1404" s="11">
        <f>SUMIFS(X!$F$3:$F$5978,X!$D$3:$D$5978,'Current Stock'!A1404)</f>
        <v>7</v>
      </c>
      <c r="I1404" s="11">
        <f>SUMIFS(PENJUALAN!$E$4:$E$3651,PENJUALAN!$C$4:$C$3651,'Current Stock'!A1404)</f>
        <v>7</v>
      </c>
      <c r="J1404" s="15">
        <f t="shared" si="2"/>
        <v>0</v>
      </c>
      <c r="K1404" s="13"/>
      <c r="L1404" s="13"/>
      <c r="M1404" s="11"/>
      <c r="N1404" s="11"/>
      <c r="O1404" s="17"/>
      <c r="P1404" s="17"/>
    </row>
    <row r="1405" ht="13.5" customHeight="1">
      <c r="A1405" s="11" t="str">
        <f t="shared" si="1"/>
        <v>LFW-ERTIGA18XYG</v>
      </c>
      <c r="B1405" s="32" t="s">
        <v>1708</v>
      </c>
      <c r="C1405" s="33" t="s">
        <v>1709</v>
      </c>
      <c r="D1405" s="33" t="s">
        <v>60</v>
      </c>
      <c r="E1405" s="11" t="s">
        <v>16</v>
      </c>
      <c r="F1405" s="33" t="s">
        <v>109</v>
      </c>
      <c r="G1405" s="11"/>
      <c r="H1405" s="11">
        <f>SUMIFS(X!$F$3:$F$5978,X!$D$3:$D$5978,'Current Stock'!A1405)</f>
        <v>0</v>
      </c>
      <c r="I1405" s="11">
        <f>SUMIFS(PENJUALAN!$E$4:$E$3651,PENJUALAN!$C$4:$C$3651,'Current Stock'!A1405)</f>
        <v>0</v>
      </c>
      <c r="J1405" s="15">
        <f t="shared" si="2"/>
        <v>0</v>
      </c>
      <c r="K1405" s="11"/>
      <c r="L1405" s="11"/>
      <c r="M1405" s="11"/>
      <c r="N1405" s="11"/>
      <c r="O1405" s="17"/>
      <c r="P1405" s="17"/>
    </row>
    <row r="1406" ht="13.5" customHeight="1">
      <c r="A1406" s="11" t="str">
        <f t="shared" si="1"/>
        <v>TRW-ERTIGA18XYG</v>
      </c>
      <c r="B1406" s="48" t="s">
        <v>1710</v>
      </c>
      <c r="C1406" s="33" t="s">
        <v>1709</v>
      </c>
      <c r="D1406" s="33" t="s">
        <v>62</v>
      </c>
      <c r="E1406" s="11" t="s">
        <v>16</v>
      </c>
      <c r="F1406" s="33" t="s">
        <v>83</v>
      </c>
      <c r="G1406" s="11"/>
      <c r="H1406" s="11">
        <f>SUMIFS(X!$F$3:$F$5978,X!$D$3:$D$5978,'Current Stock'!A1406)</f>
        <v>0</v>
      </c>
      <c r="I1406" s="11">
        <f>SUMIFS(PENJUALAN!$E$4:$E$3651,PENJUALAN!$C$4:$C$3651,'Current Stock'!A1406)</f>
        <v>0</v>
      </c>
      <c r="J1406" s="15">
        <f t="shared" si="2"/>
        <v>0</v>
      </c>
      <c r="K1406" s="11"/>
      <c r="L1406" s="11"/>
      <c r="M1406" s="16">
        <v>1.0</v>
      </c>
      <c r="N1406" s="11"/>
      <c r="O1406" s="17"/>
      <c r="P1406" s="17"/>
    </row>
    <row r="1407" ht="13.5" customHeight="1">
      <c r="A1407" s="11" t="str">
        <f t="shared" si="1"/>
        <v>LFW-ESCUDO00XYG</v>
      </c>
      <c r="B1407" s="32" t="s">
        <v>1711</v>
      </c>
      <c r="C1407" s="35" t="s">
        <v>1712</v>
      </c>
      <c r="D1407" s="35" t="s">
        <v>60</v>
      </c>
      <c r="E1407" s="11" t="s">
        <v>16</v>
      </c>
      <c r="F1407" s="33" t="s">
        <v>137</v>
      </c>
      <c r="G1407" s="11"/>
      <c r="H1407" s="11">
        <f>SUMIFS(X!$F$3:$F$5978,X!$D$3:$D$5978,'Current Stock'!A1407)</f>
        <v>0</v>
      </c>
      <c r="I1407" s="11">
        <f>SUMIFS(PENJUALAN!$E$4:$E$3651,PENJUALAN!$C$4:$C$3651,'Current Stock'!A1407)</f>
        <v>0</v>
      </c>
      <c r="J1407" s="15">
        <f t="shared" si="2"/>
        <v>0</v>
      </c>
      <c r="K1407" s="13" t="s">
        <v>1359</v>
      </c>
      <c r="L1407" s="11"/>
      <c r="M1407" s="11"/>
      <c r="N1407" s="11"/>
      <c r="O1407" s="17"/>
      <c r="P1407" s="17"/>
    </row>
    <row r="1408" ht="13.5" customHeight="1">
      <c r="A1408" s="11" t="str">
        <f t="shared" si="1"/>
        <v>TRW-ALMAZXYG</v>
      </c>
      <c r="B1408" s="36" t="s">
        <v>1713</v>
      </c>
      <c r="C1408" s="33" t="s">
        <v>1714</v>
      </c>
      <c r="D1408" s="35" t="s">
        <v>62</v>
      </c>
      <c r="E1408" s="11" t="s">
        <v>16</v>
      </c>
      <c r="F1408" s="31" t="s">
        <v>109</v>
      </c>
      <c r="G1408" s="11"/>
      <c r="H1408" s="11">
        <f>SUMIFS(X!$F$3:$F$5978,X!$D$3:$D$5978,'Current Stock'!A1408)</f>
        <v>3</v>
      </c>
      <c r="I1408" s="11">
        <f>SUMIFS(PENJUALAN!$E$4:$E$3651,PENJUALAN!$C$4:$C$3651,'Current Stock'!A1408)</f>
        <v>3</v>
      </c>
      <c r="J1408" s="15">
        <f t="shared" si="2"/>
        <v>0</v>
      </c>
      <c r="K1408" s="13"/>
      <c r="L1408" s="13"/>
      <c r="M1408" s="11"/>
      <c r="N1408" s="11"/>
      <c r="O1408" s="17"/>
      <c r="P1408" s="17"/>
    </row>
    <row r="1409" ht="13.5" customHeight="1">
      <c r="A1409" s="11" t="str">
        <f t="shared" si="1"/>
        <v>LFW-VITARA05XYG</v>
      </c>
      <c r="B1409" s="32" t="s">
        <v>1715</v>
      </c>
      <c r="C1409" s="35" t="s">
        <v>1716</v>
      </c>
      <c r="D1409" s="33" t="s">
        <v>60</v>
      </c>
      <c r="E1409" s="11" t="s">
        <v>16</v>
      </c>
      <c r="F1409" s="33" t="s">
        <v>137</v>
      </c>
      <c r="G1409" s="14">
        <v>45988.0</v>
      </c>
      <c r="H1409" s="11">
        <f>SUMIFS(X!$F$3:$F$5978,X!$D$3:$D$5978,'Current Stock'!A1409)</f>
        <v>0</v>
      </c>
      <c r="I1409" s="11">
        <f>SUMIFS(PENJUALAN!$E$4:$E$3651,PENJUALAN!$C$4:$C$3651,'Current Stock'!A1409)</f>
        <v>0</v>
      </c>
      <c r="J1409" s="15">
        <f t="shared" si="2"/>
        <v>0</v>
      </c>
      <c r="K1409" s="13"/>
      <c r="L1409" s="11"/>
      <c r="M1409" s="11"/>
      <c r="N1409" s="11"/>
      <c r="O1409" s="17"/>
      <c r="P1409" s="17"/>
    </row>
    <row r="1410" ht="13.5" customHeight="1">
      <c r="A1410" s="11" t="str">
        <f t="shared" si="1"/>
        <v>TRW-VITARA05XYG</v>
      </c>
      <c r="B1410" s="32" t="s">
        <v>1717</v>
      </c>
      <c r="C1410" s="35" t="s">
        <v>1716</v>
      </c>
      <c r="D1410" s="33" t="s">
        <v>62</v>
      </c>
      <c r="E1410" s="11" t="s">
        <v>16</v>
      </c>
      <c r="F1410" s="33" t="s">
        <v>83</v>
      </c>
      <c r="G1410" s="11"/>
      <c r="H1410" s="11">
        <f>SUMIFS(X!$F$3:$F$5978,X!$D$3:$D$5978,'Current Stock'!A1410)</f>
        <v>0</v>
      </c>
      <c r="I1410" s="11">
        <f>SUMIFS(PENJUALAN!$E$4:$E$3651,PENJUALAN!$C$4:$C$3651,'Current Stock'!A1410)</f>
        <v>0</v>
      </c>
      <c r="J1410" s="15">
        <f t="shared" si="2"/>
        <v>0</v>
      </c>
      <c r="K1410" s="11"/>
      <c r="L1410" s="11"/>
      <c r="M1410" s="11"/>
      <c r="N1410" s="11"/>
      <c r="O1410" s="17"/>
      <c r="P1410" s="17"/>
    </row>
    <row r="1411" ht="13.5" customHeight="1">
      <c r="A1411" s="11" t="str">
        <f t="shared" si="1"/>
        <v>LFW-IGNISXYG</v>
      </c>
      <c r="B1411" s="32" t="s">
        <v>1718</v>
      </c>
      <c r="C1411" s="35" t="s">
        <v>1719</v>
      </c>
      <c r="D1411" s="33" t="s">
        <v>60</v>
      </c>
      <c r="E1411" s="11" t="s">
        <v>16</v>
      </c>
      <c r="F1411" s="33" t="s">
        <v>109</v>
      </c>
      <c r="G1411" s="11"/>
      <c r="H1411" s="11">
        <f>SUMIFS(X!$F$3:$F$5978,X!$D$3:$D$5978,'Current Stock'!A1411)</f>
        <v>0</v>
      </c>
      <c r="I1411" s="11">
        <f>SUMIFS(PENJUALAN!$E$4:$E$3651,PENJUALAN!$C$4:$C$3651,'Current Stock'!A1411)</f>
        <v>0</v>
      </c>
      <c r="J1411" s="15">
        <f t="shared" si="2"/>
        <v>0</v>
      </c>
      <c r="K1411" s="11"/>
      <c r="L1411" s="11"/>
      <c r="M1411" s="11"/>
      <c r="N1411" s="11"/>
      <c r="O1411" s="17"/>
      <c r="P1411" s="17"/>
    </row>
    <row r="1412" ht="13.5" customHeight="1">
      <c r="A1412" s="11" t="str">
        <f t="shared" si="1"/>
        <v>TRW-IGNISXYG</v>
      </c>
      <c r="B1412" s="32" t="s">
        <v>1720</v>
      </c>
      <c r="C1412" s="35" t="s">
        <v>1719</v>
      </c>
      <c r="D1412" s="33" t="s">
        <v>62</v>
      </c>
      <c r="E1412" s="11" t="s">
        <v>16</v>
      </c>
      <c r="F1412" s="33" t="s">
        <v>228</v>
      </c>
      <c r="G1412" s="34"/>
      <c r="H1412" s="11">
        <f>SUMIFS(X!$F$3:$F$5978,X!$D$3:$D$5978,'Current Stock'!A1412)</f>
        <v>6</v>
      </c>
      <c r="I1412" s="11">
        <f>SUMIFS(PENJUALAN!$E$4:$E$3651,PENJUALAN!$C$4:$C$3651,'Current Stock'!A1412)</f>
        <v>5</v>
      </c>
      <c r="J1412" s="15">
        <f t="shared" si="2"/>
        <v>1</v>
      </c>
      <c r="K1412" s="13"/>
      <c r="L1412" s="11"/>
      <c r="M1412" s="11"/>
      <c r="N1412" s="11"/>
      <c r="O1412" s="17"/>
      <c r="P1412" s="17"/>
    </row>
    <row r="1413" ht="13.5" customHeight="1">
      <c r="A1413" s="11" t="str">
        <f t="shared" si="1"/>
        <v>LFW-JIMNY19XYG</v>
      </c>
      <c r="B1413" s="48" t="s">
        <v>1721</v>
      </c>
      <c r="C1413" s="33" t="s">
        <v>1722</v>
      </c>
      <c r="D1413" s="33" t="s">
        <v>60</v>
      </c>
      <c r="E1413" s="11" t="s">
        <v>16</v>
      </c>
      <c r="F1413" s="33" t="s">
        <v>109</v>
      </c>
      <c r="G1413" s="11"/>
      <c r="H1413" s="11">
        <f>SUMIFS(X!$F$3:$F$5978,X!$D$3:$D$5978,'Current Stock'!A1413)</f>
        <v>1</v>
      </c>
      <c r="I1413" s="11">
        <f>SUMIFS(PENJUALAN!$E$4:$E$3651,PENJUALAN!$C$4:$C$3651,'Current Stock'!A1413)</f>
        <v>1</v>
      </c>
      <c r="J1413" s="15">
        <f t="shared" si="2"/>
        <v>0</v>
      </c>
      <c r="K1413" s="11"/>
      <c r="L1413" s="11"/>
      <c r="M1413" s="11"/>
      <c r="N1413" s="11"/>
      <c r="O1413" s="17"/>
      <c r="P1413" s="17"/>
    </row>
    <row r="1414" ht="13.5" customHeight="1">
      <c r="A1414" s="11" t="str">
        <f t="shared" si="1"/>
        <v>TRW-JIMNY19XYG</v>
      </c>
      <c r="B1414" s="48" t="s">
        <v>1723</v>
      </c>
      <c r="C1414" s="33" t="s">
        <v>1722</v>
      </c>
      <c r="D1414" s="33" t="s">
        <v>62</v>
      </c>
      <c r="E1414" s="11" t="s">
        <v>16</v>
      </c>
      <c r="F1414" s="33" t="s">
        <v>83</v>
      </c>
      <c r="G1414" s="11"/>
      <c r="H1414" s="11">
        <f>SUMIFS(X!$F$3:$F$5978,X!$D$3:$D$5978,'Current Stock'!A1414)</f>
        <v>0</v>
      </c>
      <c r="I1414" s="11">
        <f>SUMIFS(PENJUALAN!$E$4:$E$3651,PENJUALAN!$C$4:$C$3651,'Current Stock'!A1414)</f>
        <v>0</v>
      </c>
      <c r="J1414" s="15">
        <f t="shared" si="2"/>
        <v>0</v>
      </c>
      <c r="K1414" s="11"/>
      <c r="L1414" s="11"/>
      <c r="M1414" s="11"/>
      <c r="N1414" s="11"/>
      <c r="O1414" s="17"/>
      <c r="P1414" s="17"/>
    </row>
    <row r="1415" ht="13.5" customHeight="1">
      <c r="A1415" s="11" t="str">
        <f t="shared" si="1"/>
        <v>LFW-KARIMUN99XYG</v>
      </c>
      <c r="B1415" s="32" t="s">
        <v>1724</v>
      </c>
      <c r="C1415" s="33" t="s">
        <v>1725</v>
      </c>
      <c r="D1415" s="33" t="s">
        <v>60</v>
      </c>
      <c r="E1415" s="11" t="s">
        <v>16</v>
      </c>
      <c r="F1415" s="33" t="s">
        <v>109</v>
      </c>
      <c r="G1415" s="11"/>
      <c r="H1415" s="11">
        <f>SUMIFS(X!$F$3:$F$5978,X!$D$3:$D$5978,'Current Stock'!A1415)</f>
        <v>1</v>
      </c>
      <c r="I1415" s="11">
        <f>SUMIFS(PENJUALAN!$E$4:$E$3651,PENJUALAN!$C$4:$C$3651,'Current Stock'!A1415)</f>
        <v>1</v>
      </c>
      <c r="J1415" s="15">
        <f t="shared" si="2"/>
        <v>0</v>
      </c>
      <c r="K1415" s="13" t="s">
        <v>1623</v>
      </c>
      <c r="L1415" s="11"/>
      <c r="M1415" s="11"/>
      <c r="N1415" s="11"/>
      <c r="O1415" s="17"/>
      <c r="P1415" s="17"/>
    </row>
    <row r="1416" ht="13.5" customHeight="1">
      <c r="A1416" s="11" t="str">
        <f t="shared" si="1"/>
        <v>TRW-KARIMUN99XYG</v>
      </c>
      <c r="B1416" s="32" t="s">
        <v>1726</v>
      </c>
      <c r="C1416" s="33" t="s">
        <v>1725</v>
      </c>
      <c r="D1416" s="33" t="s">
        <v>62</v>
      </c>
      <c r="E1416" s="11" t="s">
        <v>16</v>
      </c>
      <c r="F1416" s="33" t="s">
        <v>83</v>
      </c>
      <c r="G1416" s="11"/>
      <c r="H1416" s="11">
        <f>SUMIFS(X!$F$3:$F$5978,X!$D$3:$D$5978,'Current Stock'!A1416)</f>
        <v>0</v>
      </c>
      <c r="I1416" s="11">
        <f>SUMIFS(PENJUALAN!$E$4:$E$3651,PENJUALAN!$C$4:$C$3651,'Current Stock'!A1416)</f>
        <v>0</v>
      </c>
      <c r="J1416" s="15">
        <f t="shared" si="2"/>
        <v>0</v>
      </c>
      <c r="K1416" s="11"/>
      <c r="L1416" s="11"/>
      <c r="M1416" s="11"/>
      <c r="N1416" s="11"/>
      <c r="O1416" s="17"/>
      <c r="P1416" s="17"/>
    </row>
    <row r="1417" ht="13.5" customHeight="1">
      <c r="A1417" s="11" t="str">
        <f t="shared" si="1"/>
        <v>LFW-ESTILOXYG</v>
      </c>
      <c r="B1417" s="32" t="s">
        <v>1727</v>
      </c>
      <c r="C1417" s="33" t="s">
        <v>1728</v>
      </c>
      <c r="D1417" s="33" t="s">
        <v>60</v>
      </c>
      <c r="E1417" s="11" t="s">
        <v>16</v>
      </c>
      <c r="F1417" s="33" t="s">
        <v>109</v>
      </c>
      <c r="G1417" s="11"/>
      <c r="H1417" s="11">
        <f>SUMIFS(X!$F$3:$F$5978,X!$D$3:$D$5978,'Current Stock'!A1417)</f>
        <v>1</v>
      </c>
      <c r="I1417" s="11">
        <f>SUMIFS(PENJUALAN!$E$4:$E$3651,PENJUALAN!$C$4:$C$3651,'Current Stock'!A1417)</f>
        <v>1</v>
      </c>
      <c r="J1417" s="15">
        <f t="shared" si="2"/>
        <v>0</v>
      </c>
      <c r="K1417" s="11"/>
      <c r="L1417" s="11"/>
      <c r="M1417" s="11"/>
      <c r="N1417" s="11"/>
      <c r="O1417" s="17"/>
      <c r="P1417" s="17"/>
    </row>
    <row r="1418" ht="13.5" customHeight="1">
      <c r="A1418" s="11" t="str">
        <f t="shared" si="1"/>
        <v>TRW-ESTILOXYG</v>
      </c>
      <c r="B1418" s="48" t="s">
        <v>1729</v>
      </c>
      <c r="C1418" s="35" t="s">
        <v>1728</v>
      </c>
      <c r="D1418" s="35" t="s">
        <v>62</v>
      </c>
      <c r="E1418" s="11" t="s">
        <v>16</v>
      </c>
      <c r="F1418" s="33" t="s">
        <v>109</v>
      </c>
      <c r="G1418" s="11"/>
      <c r="H1418" s="11">
        <f>SUMIFS(X!$F$3:$F$5978,X!$D$3:$D$5978,'Current Stock'!A1418)</f>
        <v>0</v>
      </c>
      <c r="I1418" s="11">
        <f>SUMIFS(PENJUALAN!$E$4:$E$3651,PENJUALAN!$C$4:$C$3651,'Current Stock'!A1418)</f>
        <v>0</v>
      </c>
      <c r="J1418" s="15">
        <f t="shared" si="2"/>
        <v>0</v>
      </c>
      <c r="K1418" s="11"/>
      <c r="L1418" s="11"/>
      <c r="M1418" s="11"/>
      <c r="N1418" s="11"/>
      <c r="O1418" s="17"/>
      <c r="P1418" s="17"/>
    </row>
    <row r="1419" ht="13.5" customHeight="1">
      <c r="A1419" s="11" t="str">
        <f t="shared" si="1"/>
        <v>LFW-SPLASHXYG</v>
      </c>
      <c r="B1419" s="32" t="s">
        <v>1027</v>
      </c>
      <c r="C1419" s="33" t="s">
        <v>1028</v>
      </c>
      <c r="D1419" s="33" t="s">
        <v>60</v>
      </c>
      <c r="E1419" s="11" t="s">
        <v>16</v>
      </c>
      <c r="F1419" s="33" t="s">
        <v>109</v>
      </c>
      <c r="G1419" s="11"/>
      <c r="H1419" s="11">
        <f>SUMIFS(X!$F$3:$F$5978,X!$D$3:$D$5978,'Current Stock'!A1419)</f>
        <v>1</v>
      </c>
      <c r="I1419" s="11">
        <f>SUMIFS(PENJUALAN!$E$4:$E$3651,PENJUALAN!$C$4:$C$3651,'Current Stock'!A1419)</f>
        <v>0</v>
      </c>
      <c r="J1419" s="15">
        <f t="shared" si="2"/>
        <v>1</v>
      </c>
      <c r="K1419" s="13" t="s">
        <v>698</v>
      </c>
      <c r="L1419" s="11"/>
      <c r="M1419" s="11"/>
      <c r="N1419" s="11"/>
      <c r="O1419" s="17"/>
      <c r="P1419" s="17"/>
    </row>
    <row r="1420" ht="13.5" customHeight="1">
      <c r="A1420" s="11" t="str">
        <f t="shared" si="1"/>
        <v>LFW-SWIFT04XYG</v>
      </c>
      <c r="B1420" s="32" t="s">
        <v>1730</v>
      </c>
      <c r="C1420" s="35" t="s">
        <v>1731</v>
      </c>
      <c r="D1420" s="33" t="s">
        <v>60</v>
      </c>
      <c r="E1420" s="11" t="s">
        <v>16</v>
      </c>
      <c r="F1420" s="33" t="s">
        <v>109</v>
      </c>
      <c r="G1420" s="11"/>
      <c r="H1420" s="11">
        <f>SUMIFS(X!$F$3:$F$5978,X!$D$3:$D$5978,'Current Stock'!A1420)</f>
        <v>1</v>
      </c>
      <c r="I1420" s="11">
        <f>SUMIFS(PENJUALAN!$E$4:$E$3651,PENJUALAN!$C$4:$C$3651,'Current Stock'!A1420)</f>
        <v>1</v>
      </c>
      <c r="J1420" s="15">
        <f t="shared" si="2"/>
        <v>0</v>
      </c>
      <c r="K1420" s="13"/>
      <c r="L1420" s="13"/>
      <c r="M1420" s="11"/>
      <c r="N1420" s="11"/>
      <c r="O1420" s="17"/>
      <c r="P1420" s="17"/>
    </row>
    <row r="1421" ht="13.5" customHeight="1">
      <c r="A1421" s="11" t="str">
        <f t="shared" si="1"/>
        <v>TRW-SWIFT04XYG</v>
      </c>
      <c r="B1421" s="32" t="s">
        <v>1732</v>
      </c>
      <c r="C1421" s="35" t="s">
        <v>1731</v>
      </c>
      <c r="D1421" s="33" t="s">
        <v>62</v>
      </c>
      <c r="E1421" s="11" t="s">
        <v>16</v>
      </c>
      <c r="F1421" s="33" t="s">
        <v>228</v>
      </c>
      <c r="G1421" s="11"/>
      <c r="H1421" s="11">
        <f>SUMIFS(X!$F$3:$F$5978,X!$D$3:$D$5978,'Current Stock'!A1421)</f>
        <v>0</v>
      </c>
      <c r="I1421" s="11">
        <f>SUMIFS(PENJUALAN!$E$4:$E$3651,PENJUALAN!$C$4:$C$3651,'Current Stock'!A1421)</f>
        <v>0</v>
      </c>
      <c r="J1421" s="15">
        <f t="shared" si="2"/>
        <v>0</v>
      </c>
      <c r="K1421" s="13" t="s">
        <v>1137</v>
      </c>
      <c r="L1421" s="11"/>
      <c r="M1421" s="11"/>
      <c r="N1421" s="11"/>
      <c r="O1421" s="17"/>
      <c r="P1421" s="17"/>
    </row>
    <row r="1422" ht="13.5" customHeight="1">
      <c r="A1422" s="11" t="str">
        <f t="shared" si="1"/>
        <v>TRW-SWIFT11XYG</v>
      </c>
      <c r="B1422" s="32" t="s">
        <v>1733</v>
      </c>
      <c r="C1422" s="35" t="s">
        <v>1734</v>
      </c>
      <c r="D1422" s="35" t="s">
        <v>62</v>
      </c>
      <c r="E1422" s="11" t="s">
        <v>16</v>
      </c>
      <c r="F1422" s="33" t="s">
        <v>83</v>
      </c>
      <c r="G1422" s="11"/>
      <c r="H1422" s="11">
        <f>SUMIFS(X!$F$3:$F$5978,X!$D$3:$D$5978,'Current Stock'!A1422)</f>
        <v>0</v>
      </c>
      <c r="I1422" s="11">
        <f>SUMIFS(PENJUALAN!$E$4:$E$3651,PENJUALAN!$C$4:$C$3651,'Current Stock'!A1422)</f>
        <v>0</v>
      </c>
      <c r="J1422" s="15">
        <f t="shared" si="2"/>
        <v>0</v>
      </c>
      <c r="K1422" s="11"/>
      <c r="L1422" s="11"/>
      <c r="M1422" s="11"/>
      <c r="N1422" s="11"/>
      <c r="O1422" s="17"/>
      <c r="P1422" s="17"/>
    </row>
    <row r="1423" ht="13.5" customHeight="1">
      <c r="A1423" s="11" t="str">
        <f t="shared" si="1"/>
        <v>TRW-WAGON13XYG</v>
      </c>
      <c r="B1423" s="48" t="s">
        <v>1735</v>
      </c>
      <c r="C1423" s="41" t="s">
        <v>1736</v>
      </c>
      <c r="D1423" s="35" t="s">
        <v>62</v>
      </c>
      <c r="E1423" s="11" t="s">
        <v>16</v>
      </c>
      <c r="F1423" s="35" t="s">
        <v>83</v>
      </c>
      <c r="G1423" s="14">
        <v>45988.0</v>
      </c>
      <c r="H1423" s="11">
        <f>SUMIFS(X!$F$3:$F$5978,X!$D$3:$D$5978,'Current Stock'!A1423)</f>
        <v>4</v>
      </c>
      <c r="I1423" s="11">
        <f>SUMIFS(PENJUALAN!$E$4:$E$3651,PENJUALAN!$C$4:$C$3651,'Current Stock'!A1423)</f>
        <v>4</v>
      </c>
      <c r="J1423" s="15">
        <f t="shared" si="2"/>
        <v>0</v>
      </c>
      <c r="K1423" s="13"/>
      <c r="L1423" s="13"/>
      <c r="M1423" s="11"/>
      <c r="N1423" s="11"/>
      <c r="O1423" s="17"/>
      <c r="P1423" s="17"/>
    </row>
    <row r="1424" ht="13.5" customHeight="1">
      <c r="A1424" s="11" t="str">
        <f t="shared" si="1"/>
        <v>LFW-TATAACEXYG</v>
      </c>
      <c r="B1424" s="48" t="s">
        <v>1737</v>
      </c>
      <c r="C1424" s="48" t="s">
        <v>1737</v>
      </c>
      <c r="D1424" s="35" t="s">
        <v>60</v>
      </c>
      <c r="E1424" s="11" t="s">
        <v>16</v>
      </c>
      <c r="F1424" s="35" t="s">
        <v>137</v>
      </c>
      <c r="G1424" s="11"/>
      <c r="H1424" s="11">
        <f>SUMIFS(X!$F$3:$F$5978,X!$D$3:$D$5978,'Current Stock'!A1424)</f>
        <v>0</v>
      </c>
      <c r="I1424" s="11">
        <f>SUMIFS(PENJUALAN!$E$4:$E$3651,PENJUALAN!$C$4:$C$3651,'Current Stock'!A1424)</f>
        <v>0</v>
      </c>
      <c r="J1424" s="15">
        <f t="shared" si="2"/>
        <v>0</v>
      </c>
      <c r="K1424" s="13"/>
      <c r="L1424" s="13"/>
      <c r="M1424" s="11"/>
      <c r="N1424" s="11"/>
      <c r="O1424" s="17"/>
      <c r="P1424" s="17"/>
    </row>
    <row r="1425" ht="13.5" customHeight="1">
      <c r="A1425" s="11" t="str">
        <f t="shared" si="1"/>
        <v>LFW-ALPHARD02XYG</v>
      </c>
      <c r="B1425" s="32" t="s">
        <v>1029</v>
      </c>
      <c r="C1425" s="33" t="s">
        <v>1030</v>
      </c>
      <c r="D1425" s="33" t="s">
        <v>60</v>
      </c>
      <c r="E1425" s="11" t="s">
        <v>16</v>
      </c>
      <c r="F1425" s="33" t="s">
        <v>137</v>
      </c>
      <c r="G1425" s="11"/>
      <c r="H1425" s="11">
        <f>SUMIFS(X!$F$3:$F$5978,X!$D$3:$D$5978,'Current Stock'!A1425)</f>
        <v>5</v>
      </c>
      <c r="I1425" s="11">
        <f>SUMIFS(PENJUALAN!$E$4:$E$3651,PENJUALAN!$C$4:$C$3651,'Current Stock'!A1425)</f>
        <v>1</v>
      </c>
      <c r="J1425" s="15">
        <f t="shared" si="2"/>
        <v>4</v>
      </c>
      <c r="K1425" s="11"/>
      <c r="L1425" s="11"/>
      <c r="M1425" s="11"/>
      <c r="N1425" s="11"/>
      <c r="O1425" s="17"/>
      <c r="P1425" s="17"/>
    </row>
    <row r="1426" ht="13.5" customHeight="1">
      <c r="A1426" s="11" t="str">
        <f t="shared" si="1"/>
        <v>TRW-ALPHARD02BLACKXYG</v>
      </c>
      <c r="B1426" s="32" t="s">
        <v>1032</v>
      </c>
      <c r="C1426" s="33" t="s">
        <v>1033</v>
      </c>
      <c r="D1426" s="33" t="s">
        <v>62</v>
      </c>
      <c r="E1426" s="11" t="s">
        <v>16</v>
      </c>
      <c r="F1426" s="33" t="s">
        <v>83</v>
      </c>
      <c r="G1426" s="34"/>
      <c r="H1426" s="11">
        <f>SUMIFS(X!$F$3:$F$5978,X!$D$3:$D$5978,'Current Stock'!A1426)</f>
        <v>2</v>
      </c>
      <c r="I1426" s="11">
        <f>SUMIFS(PENJUALAN!$E$4:$E$3651,PENJUALAN!$C$4:$C$3651,'Current Stock'!A1426)</f>
        <v>2</v>
      </c>
      <c r="J1426" s="15">
        <f t="shared" si="2"/>
        <v>0</v>
      </c>
      <c r="K1426" s="13"/>
      <c r="L1426" s="13"/>
      <c r="M1426" s="11"/>
      <c r="N1426" s="11"/>
      <c r="O1426" s="17"/>
      <c r="P1426" s="17"/>
    </row>
    <row r="1427" ht="13.5" customHeight="1">
      <c r="A1427" s="11" t="str">
        <f t="shared" si="1"/>
        <v>FVL-ALPHARD02XYG</v>
      </c>
      <c r="B1427" s="32" t="s">
        <v>1738</v>
      </c>
      <c r="C1427" s="35" t="s">
        <v>1030</v>
      </c>
      <c r="D1427" s="35" t="s">
        <v>409</v>
      </c>
      <c r="E1427" s="11" t="s">
        <v>16</v>
      </c>
      <c r="F1427" s="42"/>
      <c r="G1427" s="11"/>
      <c r="H1427" s="11">
        <f>SUMIFS(X!$F$3:$F$5978,X!$D$3:$D$5978,'Current Stock'!A1427)</f>
        <v>1</v>
      </c>
      <c r="I1427" s="11">
        <f>SUMIFS(PENJUALAN!$E$4:$E$3651,PENJUALAN!$C$4:$C$3651,'Current Stock'!A1427)</f>
        <v>1</v>
      </c>
      <c r="J1427" s="15">
        <f t="shared" si="2"/>
        <v>0</v>
      </c>
      <c r="K1427" s="11"/>
      <c r="L1427" s="11"/>
      <c r="M1427" s="11"/>
      <c r="N1427" s="11"/>
      <c r="O1427" s="17"/>
      <c r="P1427" s="17"/>
    </row>
    <row r="1428" ht="13.5" customHeight="1">
      <c r="A1428" s="11" t="str">
        <f t="shared" si="1"/>
        <v>FVR-ALPHARD02XYG</v>
      </c>
      <c r="B1428" s="32" t="s">
        <v>1739</v>
      </c>
      <c r="C1428" s="35" t="s">
        <v>1030</v>
      </c>
      <c r="D1428" s="35" t="s">
        <v>411</v>
      </c>
      <c r="E1428" s="11" t="s">
        <v>16</v>
      </c>
      <c r="F1428" s="42"/>
      <c r="G1428" s="11"/>
      <c r="H1428" s="11">
        <f>SUMIFS(X!$F$3:$F$5978,X!$D$3:$D$5978,'Current Stock'!A1428)</f>
        <v>1</v>
      </c>
      <c r="I1428" s="11">
        <f>SUMIFS(PENJUALAN!$E$4:$E$3651,PENJUALAN!$C$4:$C$3651,'Current Stock'!A1428)</f>
        <v>1</v>
      </c>
      <c r="J1428" s="15">
        <f t="shared" si="2"/>
        <v>0</v>
      </c>
      <c r="K1428" s="11"/>
      <c r="L1428" s="11"/>
      <c r="M1428" s="11"/>
      <c r="N1428" s="11"/>
      <c r="O1428" s="17"/>
      <c r="P1428" s="17"/>
    </row>
    <row r="1429" ht="13.5" customHeight="1">
      <c r="A1429" s="11" t="str">
        <f t="shared" si="1"/>
        <v>FDL-ALPHARD02XYG</v>
      </c>
      <c r="B1429" s="32" t="s">
        <v>1034</v>
      </c>
      <c r="C1429" s="33" t="s">
        <v>1030</v>
      </c>
      <c r="D1429" s="33" t="s">
        <v>140</v>
      </c>
      <c r="E1429" s="11" t="s">
        <v>16</v>
      </c>
      <c r="F1429" s="33"/>
      <c r="G1429" s="11"/>
      <c r="H1429" s="11">
        <f>SUMIFS(X!$F$3:$F$5978,X!$D$3:$D$5978,'Current Stock'!A1429)</f>
        <v>0</v>
      </c>
      <c r="I1429" s="11">
        <f>SUMIFS(PENJUALAN!$E$4:$E$3651,PENJUALAN!$C$4:$C$3651,'Current Stock'!A1429)</f>
        <v>0</v>
      </c>
      <c r="J1429" s="15">
        <f t="shared" si="2"/>
        <v>0</v>
      </c>
      <c r="K1429" s="13" t="s">
        <v>1579</v>
      </c>
      <c r="L1429" s="11"/>
      <c r="M1429" s="11"/>
      <c r="N1429" s="11"/>
      <c r="O1429" s="17"/>
      <c r="P1429" s="17"/>
    </row>
    <row r="1430" ht="13.5" customHeight="1">
      <c r="A1430" s="11" t="str">
        <f t="shared" si="1"/>
        <v>FDR-ALPHARD02XYG</v>
      </c>
      <c r="B1430" s="32" t="s">
        <v>1035</v>
      </c>
      <c r="C1430" s="33" t="s">
        <v>1030</v>
      </c>
      <c r="D1430" s="33" t="s">
        <v>142</v>
      </c>
      <c r="E1430" s="11" t="s">
        <v>16</v>
      </c>
      <c r="F1430" s="33"/>
      <c r="G1430" s="11"/>
      <c r="H1430" s="11">
        <f>SUMIFS(X!$F$3:$F$5978,X!$D$3:$D$5978,'Current Stock'!A1430)</f>
        <v>0</v>
      </c>
      <c r="I1430" s="11">
        <f>SUMIFS(PENJUALAN!$E$4:$E$3651,PENJUALAN!$C$4:$C$3651,'Current Stock'!A1430)</f>
        <v>0</v>
      </c>
      <c r="J1430" s="15">
        <f t="shared" si="2"/>
        <v>0</v>
      </c>
      <c r="K1430" s="11"/>
      <c r="L1430" s="11"/>
      <c r="M1430" s="11"/>
      <c r="N1430" s="11"/>
      <c r="O1430" s="17"/>
      <c r="P1430" s="17"/>
    </row>
    <row r="1431" ht="13.5" customHeight="1">
      <c r="A1431" s="11" t="str">
        <f t="shared" si="1"/>
        <v>SWL-ALPHARD02RATAHITAMXYG</v>
      </c>
      <c r="B1431" s="32" t="s">
        <v>1740</v>
      </c>
      <c r="C1431" s="33" t="s">
        <v>1741</v>
      </c>
      <c r="D1431" s="33" t="s">
        <v>209</v>
      </c>
      <c r="E1431" s="11" t="s">
        <v>16</v>
      </c>
      <c r="F1431" s="33" t="s">
        <v>241</v>
      </c>
      <c r="G1431" s="14">
        <v>45988.0</v>
      </c>
      <c r="H1431" s="11">
        <f>SUMIFS(X!$F$3:$F$5978,X!$D$3:$D$5978,'Current Stock'!A1431)</f>
        <v>0</v>
      </c>
      <c r="I1431" s="11">
        <f>SUMIFS(PENJUALAN!$E$4:$E$3651,PENJUALAN!$C$4:$C$3651,'Current Stock'!A1431)</f>
        <v>0</v>
      </c>
      <c r="J1431" s="15">
        <f t="shared" si="2"/>
        <v>0</v>
      </c>
      <c r="K1431" s="13" t="s">
        <v>1422</v>
      </c>
      <c r="L1431" s="11"/>
      <c r="M1431" s="11"/>
      <c r="N1431" s="11"/>
      <c r="O1431" s="17"/>
      <c r="P1431" s="17"/>
    </row>
    <row r="1432" ht="13.5" customHeight="1">
      <c r="A1432" s="11" t="str">
        <f t="shared" si="1"/>
        <v>SWR-ALPHARD08RATAHITAMXYG</v>
      </c>
      <c r="B1432" s="32" t="s">
        <v>1742</v>
      </c>
      <c r="C1432" s="33" t="s">
        <v>1741</v>
      </c>
      <c r="D1432" s="33" t="s">
        <v>243</v>
      </c>
      <c r="E1432" s="11" t="s">
        <v>16</v>
      </c>
      <c r="F1432" s="33" t="s">
        <v>241</v>
      </c>
      <c r="G1432" s="11"/>
      <c r="H1432" s="11">
        <f>SUMIFS(X!$F$3:$F$5978,X!$D$3:$D$5978,'Current Stock'!A1432)</f>
        <v>0</v>
      </c>
      <c r="I1432" s="11">
        <f>SUMIFS(PENJUALAN!$E$4:$E$3651,PENJUALAN!$C$4:$C$3651,'Current Stock'!A1432)</f>
        <v>0</v>
      </c>
      <c r="J1432" s="15">
        <f t="shared" si="2"/>
        <v>0</v>
      </c>
      <c r="K1432" s="11"/>
      <c r="L1432" s="11"/>
      <c r="M1432" s="11"/>
      <c r="N1432" s="11"/>
      <c r="O1432" s="17"/>
      <c r="P1432" s="17"/>
    </row>
    <row r="1433" ht="13.5" customHeight="1">
      <c r="A1433" s="11" t="str">
        <f t="shared" si="1"/>
        <v>LFW-ALPHARD08RSXYG</v>
      </c>
      <c r="B1433" s="32" t="s">
        <v>87</v>
      </c>
      <c r="C1433" s="33" t="s">
        <v>88</v>
      </c>
      <c r="D1433" s="33" t="s">
        <v>60</v>
      </c>
      <c r="E1433" s="11" t="s">
        <v>16</v>
      </c>
      <c r="F1433" s="33" t="s">
        <v>90</v>
      </c>
      <c r="G1433" s="14">
        <v>45988.0</v>
      </c>
      <c r="H1433" s="11">
        <f>SUMIFS(X!$F$3:$F$5978,X!$D$3:$D$5978,'Current Stock'!A1433)</f>
        <v>11</v>
      </c>
      <c r="I1433" s="11">
        <f>SUMIFS(PENJUALAN!$E$4:$E$3651,PENJUALAN!$C$4:$C$3651,'Current Stock'!A1433)</f>
        <v>4</v>
      </c>
      <c r="J1433" s="15">
        <f t="shared" si="2"/>
        <v>7</v>
      </c>
      <c r="K1433" s="13"/>
      <c r="L1433" s="11"/>
      <c r="M1433" s="11"/>
      <c r="N1433" s="11"/>
      <c r="O1433" s="17"/>
      <c r="P1433" s="17"/>
    </row>
    <row r="1434" ht="13.5" customHeight="1">
      <c r="A1434" s="11" t="str">
        <f t="shared" si="1"/>
        <v>LFW-ALPHARD08XYG</v>
      </c>
      <c r="B1434" s="32" t="s">
        <v>1046</v>
      </c>
      <c r="C1434" s="33" t="s">
        <v>88</v>
      </c>
      <c r="D1434" s="33" t="s">
        <v>60</v>
      </c>
      <c r="E1434" s="11" t="s">
        <v>16</v>
      </c>
      <c r="F1434" s="33" t="s">
        <v>137</v>
      </c>
      <c r="G1434" s="34"/>
      <c r="H1434" s="11">
        <f>SUMIFS(X!$F$3:$F$5978,X!$D$3:$D$5978,'Current Stock'!A1434)</f>
        <v>1</v>
      </c>
      <c r="I1434" s="11">
        <f>SUMIFS(PENJUALAN!$E$4:$E$3651,PENJUALAN!$C$4:$C$3651,'Current Stock'!A1434)</f>
        <v>1</v>
      </c>
      <c r="J1434" s="15">
        <f t="shared" si="2"/>
        <v>0</v>
      </c>
      <c r="K1434" s="13"/>
      <c r="L1434" s="13" t="s">
        <v>1743</v>
      </c>
      <c r="M1434" s="11"/>
      <c r="N1434" s="11"/>
      <c r="O1434" s="17"/>
      <c r="P1434" s="17"/>
    </row>
    <row r="1435" ht="13.5" customHeight="1">
      <c r="A1435" s="11" t="str">
        <f t="shared" si="1"/>
        <v>FDL-ALPHARD08XYG</v>
      </c>
      <c r="B1435" s="32" t="s">
        <v>1047</v>
      </c>
      <c r="C1435" s="33" t="s">
        <v>88</v>
      </c>
      <c r="D1435" s="33" t="s">
        <v>140</v>
      </c>
      <c r="E1435" s="11" t="s">
        <v>16</v>
      </c>
      <c r="F1435" s="33"/>
      <c r="G1435" s="11"/>
      <c r="H1435" s="11">
        <f>SUMIFS(X!$F$3:$F$5978,X!$D$3:$D$5978,'Current Stock'!A1435)</f>
        <v>0</v>
      </c>
      <c r="I1435" s="11">
        <f>SUMIFS(PENJUALAN!$E$4:$E$3651,PENJUALAN!$C$4:$C$3651,'Current Stock'!A1435)</f>
        <v>0</v>
      </c>
      <c r="J1435" s="15">
        <f t="shared" si="2"/>
        <v>0</v>
      </c>
      <c r="K1435" s="11"/>
      <c r="L1435" s="11"/>
      <c r="M1435" s="11"/>
      <c r="N1435" s="11"/>
      <c r="O1435" s="17"/>
      <c r="P1435" s="17"/>
    </row>
    <row r="1436" ht="13.5" customHeight="1">
      <c r="A1436" s="11" t="str">
        <f t="shared" si="1"/>
        <v>LFW-JAZZ01MU</v>
      </c>
      <c r="B1436" s="32" t="s">
        <v>474</v>
      </c>
      <c r="C1436" s="33" t="s">
        <v>475</v>
      </c>
      <c r="D1436" s="33" t="s">
        <v>60</v>
      </c>
      <c r="E1436" s="11" t="s">
        <v>1633</v>
      </c>
      <c r="F1436" s="33" t="s">
        <v>109</v>
      </c>
      <c r="G1436" s="11"/>
      <c r="H1436" s="11">
        <f>SUMIFS(X!$F$3:$F$5978,X!$D$3:$D$5978,'Current Stock'!A1436)</f>
        <v>3</v>
      </c>
      <c r="I1436" s="11">
        <f>SUMIFS(PENJUALAN!$E$4:$E$3651,PENJUALAN!$C$4:$C$3651,'Current Stock'!A1436)</f>
        <v>2</v>
      </c>
      <c r="J1436" s="15">
        <f t="shared" si="2"/>
        <v>1</v>
      </c>
      <c r="K1436" s="13" t="s">
        <v>430</v>
      </c>
      <c r="L1436" s="13"/>
      <c r="M1436" s="16">
        <v>1.0</v>
      </c>
      <c r="N1436" s="13" t="s">
        <v>1744</v>
      </c>
      <c r="O1436" s="17"/>
      <c r="P1436" s="17"/>
    </row>
    <row r="1437" ht="13.5" customHeight="1">
      <c r="A1437" s="11" t="str">
        <f t="shared" si="1"/>
        <v>FVR-ALPHARD08XYG</v>
      </c>
      <c r="B1437" s="32" t="s">
        <v>1745</v>
      </c>
      <c r="C1437" s="35" t="s">
        <v>88</v>
      </c>
      <c r="D1437" s="35" t="s">
        <v>411</v>
      </c>
      <c r="E1437" s="11" t="s">
        <v>16</v>
      </c>
      <c r="F1437" s="42"/>
      <c r="G1437" s="11"/>
      <c r="H1437" s="11">
        <f>SUMIFS(X!$F$3:$F$5978,X!$D$3:$D$5978,'Current Stock'!A1437)</f>
        <v>0</v>
      </c>
      <c r="I1437" s="11">
        <f>SUMIFS(PENJUALAN!$E$4:$E$3651,PENJUALAN!$C$4:$C$3651,'Current Stock'!A1437)</f>
        <v>0</v>
      </c>
      <c r="J1437" s="15">
        <f t="shared" si="2"/>
        <v>0</v>
      </c>
      <c r="K1437" s="11"/>
      <c r="L1437" s="11"/>
      <c r="M1437" s="11"/>
      <c r="N1437" s="11"/>
      <c r="O1437" s="17"/>
      <c r="P1437" s="17"/>
    </row>
    <row r="1438" ht="13.5" customHeight="1">
      <c r="A1438" s="11" t="str">
        <f t="shared" si="1"/>
        <v>RDL-ALPHARD08XYG</v>
      </c>
      <c r="B1438" s="32" t="s">
        <v>1051</v>
      </c>
      <c r="C1438" s="33" t="s">
        <v>88</v>
      </c>
      <c r="D1438" s="33" t="s">
        <v>144</v>
      </c>
      <c r="E1438" s="11" t="s">
        <v>16</v>
      </c>
      <c r="F1438" s="33"/>
      <c r="G1438" s="11"/>
      <c r="H1438" s="11">
        <f>SUMIFS(X!$F$3:$F$5978,X!$D$3:$D$5978,'Current Stock'!A1438)</f>
        <v>0</v>
      </c>
      <c r="I1438" s="11">
        <f>SUMIFS(PENJUALAN!$E$4:$E$3651,PENJUALAN!$C$4:$C$3651,'Current Stock'!A1438)</f>
        <v>0</v>
      </c>
      <c r="J1438" s="15">
        <f t="shared" si="2"/>
        <v>0</v>
      </c>
      <c r="K1438" s="11"/>
      <c r="L1438" s="11"/>
      <c r="M1438" s="11"/>
      <c r="N1438" s="11"/>
      <c r="O1438" s="17"/>
      <c r="P1438" s="17"/>
    </row>
    <row r="1439" ht="13.5" customHeight="1">
      <c r="A1439" s="11" t="str">
        <f t="shared" si="1"/>
        <v>RDR-ALPHARD08XYG</v>
      </c>
      <c r="B1439" s="32" t="s">
        <v>1052</v>
      </c>
      <c r="C1439" s="33" t="s">
        <v>88</v>
      </c>
      <c r="D1439" s="33" t="s">
        <v>146</v>
      </c>
      <c r="E1439" s="11" t="s">
        <v>16</v>
      </c>
      <c r="F1439" s="33"/>
      <c r="G1439" s="11"/>
      <c r="H1439" s="11">
        <f>SUMIFS(X!$F$3:$F$5978,X!$D$3:$D$5978,'Current Stock'!A1439)</f>
        <v>0</v>
      </c>
      <c r="I1439" s="11">
        <f>SUMIFS(PENJUALAN!$E$4:$E$3651,PENJUALAN!$C$4:$C$3651,'Current Stock'!A1439)</f>
        <v>0</v>
      </c>
      <c r="J1439" s="15">
        <f t="shared" si="2"/>
        <v>0</v>
      </c>
      <c r="K1439" s="11"/>
      <c r="L1439" s="11"/>
      <c r="M1439" s="11"/>
      <c r="N1439" s="11"/>
      <c r="O1439" s="17"/>
      <c r="P1439" s="17"/>
    </row>
    <row r="1440" ht="13.5" customHeight="1">
      <c r="A1440" s="11" t="str">
        <f t="shared" si="1"/>
        <v>LFW-AVEGA01MU</v>
      </c>
      <c r="B1440" s="32" t="s">
        <v>1443</v>
      </c>
      <c r="C1440" s="35" t="s">
        <v>1444</v>
      </c>
      <c r="D1440" s="35" t="s">
        <v>60</v>
      </c>
      <c r="E1440" s="11" t="s">
        <v>1633</v>
      </c>
      <c r="F1440" s="33"/>
      <c r="G1440" s="11"/>
      <c r="H1440" s="11">
        <f>SUMIFS(X!$F$3:$F$5978,X!$D$3:$D$5978,'Current Stock'!A1440)</f>
        <v>3</v>
      </c>
      <c r="I1440" s="11">
        <f>SUMIFS(PENJUALAN!$E$4:$E$3651,PENJUALAN!$C$4:$C$3651,'Current Stock'!A1440)</f>
        <v>3</v>
      </c>
      <c r="J1440" s="15">
        <f t="shared" si="2"/>
        <v>0</v>
      </c>
      <c r="K1440" s="11"/>
      <c r="L1440" s="11"/>
      <c r="M1440" s="16">
        <v>1.0</v>
      </c>
      <c r="N1440" s="11"/>
      <c r="O1440" s="17"/>
      <c r="P1440" s="17"/>
    </row>
    <row r="1441" ht="13.5" customHeight="1">
      <c r="A1441" s="11" t="str">
        <f t="shared" si="1"/>
        <v>SWL-ALPHARD08HITAMXYG</v>
      </c>
      <c r="B1441" s="32" t="s">
        <v>1055</v>
      </c>
      <c r="C1441" s="33" t="s">
        <v>1054</v>
      </c>
      <c r="D1441" s="33" t="s">
        <v>209</v>
      </c>
      <c r="E1441" s="11" t="s">
        <v>16</v>
      </c>
      <c r="F1441" s="33" t="s">
        <v>241</v>
      </c>
      <c r="G1441" s="11"/>
      <c r="H1441" s="11">
        <f>SUMIFS(X!$F$3:$F$5978,X!$D$3:$D$5978,'Current Stock'!A1441)</f>
        <v>0</v>
      </c>
      <c r="I1441" s="11">
        <f>SUMIFS(PENJUALAN!$E$4:$E$3651,PENJUALAN!$C$4:$C$3651,'Current Stock'!A1441)</f>
        <v>0</v>
      </c>
      <c r="J1441" s="15">
        <f t="shared" si="2"/>
        <v>0</v>
      </c>
      <c r="K1441" s="13" t="s">
        <v>1579</v>
      </c>
      <c r="L1441" s="11"/>
      <c r="M1441" s="11"/>
      <c r="N1441" s="11"/>
      <c r="O1441" s="17"/>
      <c r="P1441" s="17"/>
    </row>
    <row r="1442" ht="13.5" customHeight="1">
      <c r="A1442" s="11" t="str">
        <f t="shared" si="1"/>
        <v>SWR-ALPHARD08HITAMXYG</v>
      </c>
      <c r="B1442" s="32" t="s">
        <v>1056</v>
      </c>
      <c r="C1442" s="33" t="s">
        <v>1054</v>
      </c>
      <c r="D1442" s="33" t="s">
        <v>243</v>
      </c>
      <c r="E1442" s="11" t="s">
        <v>16</v>
      </c>
      <c r="F1442" s="33" t="s">
        <v>241</v>
      </c>
      <c r="G1442" s="11"/>
      <c r="H1442" s="11">
        <f>SUMIFS(X!$F$3:$F$5978,X!$D$3:$D$5978,'Current Stock'!A1442)</f>
        <v>0</v>
      </c>
      <c r="I1442" s="11">
        <f>SUMIFS(PENJUALAN!$E$4:$E$3651,PENJUALAN!$C$4:$C$3651,'Current Stock'!A1442)</f>
        <v>0</v>
      </c>
      <c r="J1442" s="15">
        <f t="shared" si="2"/>
        <v>0</v>
      </c>
      <c r="K1442" s="11"/>
      <c r="L1442" s="11"/>
      <c r="M1442" s="11"/>
      <c r="N1442" s="11"/>
      <c r="O1442" s="17"/>
      <c r="P1442" s="17"/>
    </row>
    <row r="1443" ht="13.5" customHeight="1">
      <c r="A1443" s="11" t="str">
        <f t="shared" si="1"/>
        <v>SWL-ALPHARD15HITAMXYG</v>
      </c>
      <c r="B1443" s="32" t="s">
        <v>1746</v>
      </c>
      <c r="C1443" s="33" t="s">
        <v>1065</v>
      </c>
      <c r="D1443" s="33" t="s">
        <v>209</v>
      </c>
      <c r="E1443" s="11" t="s">
        <v>16</v>
      </c>
      <c r="F1443" s="33" t="s">
        <v>1747</v>
      </c>
      <c r="G1443" s="14">
        <v>45988.0</v>
      </c>
      <c r="H1443" s="11">
        <f>SUMIFS(X!$F$3:$F$5978,X!$D$3:$D$5978,'Current Stock'!A1443)</f>
        <v>0</v>
      </c>
      <c r="I1443" s="11">
        <f>SUMIFS(PENJUALAN!$E$4:$E$3651,PENJUALAN!$C$4:$C$3651,'Current Stock'!A1443)</f>
        <v>0</v>
      </c>
      <c r="J1443" s="15">
        <f t="shared" si="2"/>
        <v>0</v>
      </c>
      <c r="K1443" s="13"/>
      <c r="L1443" s="11"/>
      <c r="M1443" s="11"/>
      <c r="N1443" s="11"/>
      <c r="O1443" s="17"/>
      <c r="P1443" s="17"/>
    </row>
    <row r="1444" ht="13.5" customHeight="1">
      <c r="A1444" s="11" t="str">
        <f t="shared" si="1"/>
        <v>SWR-ALPHARD15HITAMXYG</v>
      </c>
      <c r="B1444" s="32" t="s">
        <v>1748</v>
      </c>
      <c r="C1444" s="33" t="s">
        <v>1065</v>
      </c>
      <c r="D1444" s="33" t="s">
        <v>243</v>
      </c>
      <c r="E1444" s="11" t="s">
        <v>16</v>
      </c>
      <c r="F1444" s="33" t="s">
        <v>1747</v>
      </c>
      <c r="G1444" s="11"/>
      <c r="H1444" s="11">
        <f>SUMIFS(X!$F$3:$F$5978,X!$D$3:$D$5978,'Current Stock'!A1444)</f>
        <v>0</v>
      </c>
      <c r="I1444" s="11">
        <f>SUMIFS(PENJUALAN!$E$4:$E$3651,PENJUALAN!$C$4:$C$3651,'Current Stock'!A1444)</f>
        <v>0</v>
      </c>
      <c r="J1444" s="15">
        <f t="shared" si="2"/>
        <v>0</v>
      </c>
      <c r="K1444" s="11"/>
      <c r="L1444" s="11"/>
      <c r="M1444" s="11"/>
      <c r="N1444" s="11"/>
      <c r="O1444" s="17"/>
      <c r="P1444" s="17"/>
    </row>
    <row r="1445" ht="13.5" customHeight="1">
      <c r="A1445" s="11" t="str">
        <f t="shared" si="1"/>
        <v>TRW-ALPHARD15BLACKXYG</v>
      </c>
      <c r="B1445" s="32" t="s">
        <v>1067</v>
      </c>
      <c r="C1445" s="33" t="s">
        <v>1068</v>
      </c>
      <c r="D1445" s="33" t="s">
        <v>62</v>
      </c>
      <c r="E1445" s="11" t="s">
        <v>16</v>
      </c>
      <c r="F1445" s="33" t="s">
        <v>83</v>
      </c>
      <c r="G1445" s="11"/>
      <c r="H1445" s="11">
        <f>SUMIFS(X!$F$3:$F$5978,X!$D$3:$D$5978,'Current Stock'!A1445)</f>
        <v>3</v>
      </c>
      <c r="I1445" s="11">
        <f>SUMIFS(PENJUALAN!$E$4:$E$3651,PENJUALAN!$C$4:$C$3651,'Current Stock'!A1445)</f>
        <v>3</v>
      </c>
      <c r="J1445" s="15">
        <f t="shared" si="2"/>
        <v>0</v>
      </c>
      <c r="K1445" s="11"/>
      <c r="L1445" s="11"/>
      <c r="M1445" s="11"/>
      <c r="N1445" s="11"/>
      <c r="O1445" s="17"/>
      <c r="P1445" s="17"/>
    </row>
    <row r="1446" ht="13.5" customHeight="1">
      <c r="A1446" s="11" t="str">
        <f t="shared" si="1"/>
        <v>LFW-ALPHARD15XYG</v>
      </c>
      <c r="B1446" s="32" t="s">
        <v>1071</v>
      </c>
      <c r="C1446" s="33" t="s">
        <v>1072</v>
      </c>
      <c r="D1446" s="33" t="s">
        <v>60</v>
      </c>
      <c r="E1446" s="11" t="s">
        <v>16</v>
      </c>
      <c r="F1446" s="33" t="s">
        <v>90</v>
      </c>
      <c r="G1446" s="34"/>
      <c r="H1446" s="11">
        <f>SUMIFS(X!$F$3:$F$5978,X!$D$3:$D$5978,'Current Stock'!A1446)</f>
        <v>2</v>
      </c>
      <c r="I1446" s="11">
        <f>SUMIFS(PENJUALAN!$E$4:$E$3651,PENJUALAN!$C$4:$C$3651,'Current Stock'!A1446)</f>
        <v>2</v>
      </c>
      <c r="J1446" s="15">
        <f t="shared" si="2"/>
        <v>0</v>
      </c>
      <c r="K1446" s="13"/>
      <c r="L1446" s="11"/>
      <c r="M1446" s="11"/>
      <c r="N1446" s="11"/>
      <c r="O1446" s="17"/>
      <c r="P1446" s="17"/>
    </row>
    <row r="1447" ht="13.5" customHeight="1">
      <c r="A1447" s="11" t="str">
        <f t="shared" si="1"/>
        <v>TRW-AVANZA11MU</v>
      </c>
      <c r="B1447" s="32" t="s">
        <v>98</v>
      </c>
      <c r="C1447" s="31" t="s">
        <v>1749</v>
      </c>
      <c r="D1447" s="33" t="s">
        <v>62</v>
      </c>
      <c r="E1447" s="11" t="s">
        <v>1633</v>
      </c>
      <c r="F1447" s="33" t="s">
        <v>109</v>
      </c>
      <c r="G1447" s="11"/>
      <c r="H1447" s="11">
        <f>SUMIFS(X!$F$3:$F$5978,X!$D$3:$D$5978,'Current Stock'!A1447)</f>
        <v>22</v>
      </c>
      <c r="I1447" s="11">
        <f>SUMIFS(PENJUALAN!$E$4:$E$3651,PENJUALAN!$C$4:$C$3651,'Current Stock'!A1447)</f>
        <v>18</v>
      </c>
      <c r="J1447" s="15">
        <f t="shared" si="2"/>
        <v>4</v>
      </c>
      <c r="K1447" s="13"/>
      <c r="L1447" s="13"/>
      <c r="M1447" s="16">
        <v>2.0</v>
      </c>
      <c r="N1447" s="11"/>
      <c r="O1447" s="17"/>
      <c r="P1447" s="17"/>
    </row>
    <row r="1448" ht="13.5" customHeight="1">
      <c r="A1448" s="11" t="str">
        <f t="shared" si="1"/>
        <v>LFW-LOUHANMU</v>
      </c>
      <c r="B1448" s="32" t="s">
        <v>1308</v>
      </c>
      <c r="C1448" s="35" t="s">
        <v>1309</v>
      </c>
      <c r="D1448" s="35" t="s">
        <v>60</v>
      </c>
      <c r="E1448" s="11" t="s">
        <v>1633</v>
      </c>
      <c r="F1448" s="33"/>
      <c r="G1448" s="11"/>
      <c r="H1448" s="11">
        <f>SUMIFS(X!$F$3:$F$5978,X!$D$3:$D$5978,'Current Stock'!A1448)</f>
        <v>2</v>
      </c>
      <c r="I1448" s="11">
        <f>SUMIFS(PENJUALAN!$E$4:$E$3651,PENJUALAN!$C$4:$C$3651,'Current Stock'!A1448)</f>
        <v>2</v>
      </c>
      <c r="J1448" s="15">
        <f t="shared" si="2"/>
        <v>0</v>
      </c>
      <c r="K1448" s="11"/>
      <c r="L1448" s="11"/>
      <c r="M1448" s="11"/>
      <c r="N1448" s="11"/>
      <c r="O1448" s="17"/>
      <c r="P1448" s="17"/>
    </row>
    <row r="1449" ht="13.5" customHeight="1">
      <c r="A1449" s="11" t="str">
        <f t="shared" si="1"/>
        <v>LFW-ALPHARD18RS2XYG</v>
      </c>
      <c r="B1449" s="32" t="s">
        <v>1750</v>
      </c>
      <c r="C1449" s="35" t="s">
        <v>1751</v>
      </c>
      <c r="D1449" s="35" t="s">
        <v>60</v>
      </c>
      <c r="E1449" s="11" t="s">
        <v>16</v>
      </c>
      <c r="F1449" s="35" t="s">
        <v>1752</v>
      </c>
      <c r="G1449" s="11"/>
      <c r="H1449" s="11">
        <f>SUMIFS(X!$F$3:$F$5978,X!$D$3:$D$5978,'Current Stock'!A1449)</f>
        <v>3</v>
      </c>
      <c r="I1449" s="11">
        <f>SUMIFS(PENJUALAN!$E$4:$E$3651,PENJUALAN!$C$4:$C$3651,'Current Stock'!A1449)</f>
        <v>3</v>
      </c>
      <c r="J1449" s="15">
        <f t="shared" si="2"/>
        <v>0</v>
      </c>
      <c r="K1449" s="11"/>
      <c r="L1449" s="11"/>
      <c r="M1449" s="11"/>
      <c r="N1449" s="11"/>
      <c r="O1449" s="17"/>
      <c r="P1449" s="17"/>
    </row>
    <row r="1450" ht="13.5" customHeight="1">
      <c r="A1450" s="11" t="str">
        <f t="shared" si="1"/>
        <v>TRW-ALPHARD18XYG</v>
      </c>
      <c r="B1450" s="32" t="s">
        <v>1753</v>
      </c>
      <c r="C1450" s="33" t="s">
        <v>1754</v>
      </c>
      <c r="D1450" s="33" t="s">
        <v>62</v>
      </c>
      <c r="E1450" s="11" t="s">
        <v>16</v>
      </c>
      <c r="F1450" s="33" t="s">
        <v>83</v>
      </c>
      <c r="G1450" s="11"/>
      <c r="H1450" s="11">
        <f>SUMIFS(X!$F$3:$F$5978,X!$D$3:$D$5978,'Current Stock'!A1450)</f>
        <v>1</v>
      </c>
      <c r="I1450" s="11">
        <f>SUMIFS(PENJUALAN!$E$4:$E$3651,PENJUALAN!$C$4:$C$3651,'Current Stock'!A1450)</f>
        <v>1</v>
      </c>
      <c r="J1450" s="15">
        <f t="shared" si="2"/>
        <v>0</v>
      </c>
      <c r="K1450" s="11"/>
      <c r="L1450" s="11"/>
      <c r="M1450" s="11"/>
      <c r="N1450" s="11"/>
      <c r="O1450" s="17"/>
      <c r="P1450" s="17"/>
    </row>
    <row r="1451" ht="13.5" customHeight="1">
      <c r="A1451" s="11" t="str">
        <f t="shared" si="1"/>
        <v>LFW-ALTIS00XYG</v>
      </c>
      <c r="B1451" s="32" t="s">
        <v>1073</v>
      </c>
      <c r="C1451" s="33" t="s">
        <v>1074</v>
      </c>
      <c r="D1451" s="33" t="s">
        <v>60</v>
      </c>
      <c r="E1451" s="11" t="s">
        <v>16</v>
      </c>
      <c r="F1451" s="33" t="s">
        <v>109</v>
      </c>
      <c r="G1451" s="11"/>
      <c r="H1451" s="11">
        <f>SUMIFS(X!$F$3:$F$5978,X!$D$3:$D$5978,'Current Stock'!A1451)</f>
        <v>0</v>
      </c>
      <c r="I1451" s="11">
        <f>SUMIFS(PENJUALAN!$E$4:$E$3651,PENJUALAN!$C$4:$C$3651,'Current Stock'!A1451)</f>
        <v>0</v>
      </c>
      <c r="J1451" s="15">
        <f t="shared" si="2"/>
        <v>0</v>
      </c>
      <c r="K1451" s="11"/>
      <c r="L1451" s="11"/>
      <c r="M1451" s="11"/>
      <c r="N1451" s="11"/>
      <c r="O1451" s="17"/>
      <c r="P1451" s="17"/>
    </row>
    <row r="1452" ht="13.5" customHeight="1">
      <c r="A1452" s="11" t="str">
        <f t="shared" si="1"/>
        <v>TRW-ALTIS00XYG</v>
      </c>
      <c r="B1452" s="32" t="s">
        <v>1075</v>
      </c>
      <c r="C1452" s="33" t="s">
        <v>1074</v>
      </c>
      <c r="D1452" s="33" t="s">
        <v>62</v>
      </c>
      <c r="E1452" s="11" t="s">
        <v>16</v>
      </c>
      <c r="F1452" s="33" t="s">
        <v>83</v>
      </c>
      <c r="G1452" s="11"/>
      <c r="H1452" s="11">
        <f>SUMIFS(X!$F$3:$F$5978,X!$D$3:$D$5978,'Current Stock'!A1452)</f>
        <v>2</v>
      </c>
      <c r="I1452" s="11">
        <f>SUMIFS(PENJUALAN!$E$4:$E$3651,PENJUALAN!$C$4:$C$3651,'Current Stock'!A1452)</f>
        <v>1</v>
      </c>
      <c r="J1452" s="15">
        <f t="shared" si="2"/>
        <v>1</v>
      </c>
      <c r="K1452" s="11"/>
      <c r="L1452" s="11"/>
      <c r="M1452" s="11"/>
      <c r="N1452" s="11"/>
      <c r="O1452" s="17"/>
      <c r="P1452" s="17"/>
    </row>
    <row r="1453" ht="13.5" customHeight="1">
      <c r="A1453" s="11" t="str">
        <f t="shared" si="1"/>
        <v>LFW-SIRION18XYG</v>
      </c>
      <c r="B1453" s="12" t="s">
        <v>1755</v>
      </c>
      <c r="C1453" s="11" t="s">
        <v>1756</v>
      </c>
      <c r="D1453" s="11" t="s">
        <v>60</v>
      </c>
      <c r="E1453" s="11" t="s">
        <v>16</v>
      </c>
      <c r="F1453" s="11" t="s">
        <v>109</v>
      </c>
      <c r="G1453" s="11"/>
      <c r="H1453" s="11">
        <f>SUMIFS(X!$F$3:$F$5978,X!$D$3:$D$5978,'Current Stock'!A1453)</f>
        <v>3</v>
      </c>
      <c r="I1453" s="11">
        <f>SUMIFS(PENJUALAN!$E$4:$E$3651,PENJUALAN!$C$4:$C$3651,'Current Stock'!A1453)</f>
        <v>3</v>
      </c>
      <c r="J1453" s="15">
        <f t="shared" si="2"/>
        <v>0</v>
      </c>
      <c r="K1453" s="11"/>
      <c r="L1453" s="11"/>
      <c r="M1453" s="16"/>
      <c r="N1453" s="11"/>
      <c r="O1453" s="17"/>
      <c r="P1453" s="17"/>
    </row>
    <row r="1454" ht="13.5" customHeight="1">
      <c r="A1454" s="11" t="str">
        <f t="shared" si="1"/>
        <v>LFW-ALTIS06RSXYG</v>
      </c>
      <c r="B1454" s="32" t="s">
        <v>1078</v>
      </c>
      <c r="C1454" s="33" t="s">
        <v>1079</v>
      </c>
      <c r="D1454" s="33" t="s">
        <v>60</v>
      </c>
      <c r="E1454" s="11" t="s">
        <v>16</v>
      </c>
      <c r="F1454" s="33" t="s">
        <v>90</v>
      </c>
      <c r="G1454" s="37">
        <v>46021.0</v>
      </c>
      <c r="H1454" s="11">
        <f>SUMIFS(X!$F$3:$F$5978,X!$D$3:$D$5978,'Current Stock'!A1454)</f>
        <v>2</v>
      </c>
      <c r="I1454" s="11">
        <f>SUMIFS(PENJUALAN!$E$4:$E$3651,PENJUALAN!$C$4:$C$3651,'Current Stock'!A1454)</f>
        <v>2</v>
      </c>
      <c r="J1454" s="15">
        <f t="shared" si="2"/>
        <v>0</v>
      </c>
      <c r="K1454" s="13" t="s">
        <v>1757</v>
      </c>
      <c r="L1454" s="11"/>
      <c r="M1454" s="11"/>
      <c r="N1454" s="11"/>
      <c r="O1454" s="17"/>
      <c r="P1454" s="17"/>
    </row>
    <row r="1455" ht="13.5" customHeight="1">
      <c r="A1455" s="11" t="str">
        <f t="shared" si="1"/>
        <v>TRW-ALTIS06XYG</v>
      </c>
      <c r="B1455" s="32" t="s">
        <v>1080</v>
      </c>
      <c r="C1455" s="33" t="s">
        <v>1079</v>
      </c>
      <c r="D1455" s="33" t="s">
        <v>62</v>
      </c>
      <c r="E1455" s="11" t="s">
        <v>16</v>
      </c>
      <c r="F1455" s="33" t="s">
        <v>1081</v>
      </c>
      <c r="G1455" s="11"/>
      <c r="H1455" s="11">
        <f>SUMIFS(X!$F$3:$F$5978,X!$D$3:$D$5978,'Current Stock'!A1455)</f>
        <v>1</v>
      </c>
      <c r="I1455" s="11">
        <f>SUMIFS(PENJUALAN!$E$4:$E$3651,PENJUALAN!$C$4:$C$3651,'Current Stock'!A1455)</f>
        <v>1</v>
      </c>
      <c r="J1455" s="15">
        <f t="shared" si="2"/>
        <v>0</v>
      </c>
      <c r="K1455" s="11"/>
      <c r="L1455" s="11"/>
      <c r="M1455" s="11"/>
      <c r="N1455" s="11"/>
      <c r="O1455" s="17"/>
      <c r="P1455" s="17"/>
    </row>
    <row r="1456" ht="13.5" customHeight="1">
      <c r="A1456" s="11" t="str">
        <f t="shared" si="1"/>
        <v>FDL-ALTIS06XYG</v>
      </c>
      <c r="B1456" s="32" t="s">
        <v>1082</v>
      </c>
      <c r="C1456" s="33" t="s">
        <v>1079</v>
      </c>
      <c r="D1456" s="33" t="s">
        <v>140</v>
      </c>
      <c r="E1456" s="11" t="s">
        <v>16</v>
      </c>
      <c r="F1456" s="33" t="s">
        <v>406</v>
      </c>
      <c r="G1456" s="11"/>
      <c r="H1456" s="11">
        <f>SUMIFS(X!$F$3:$F$5978,X!$D$3:$D$5978,'Current Stock'!A1456)</f>
        <v>0</v>
      </c>
      <c r="I1456" s="11">
        <f>SUMIFS(PENJUALAN!$E$4:$E$3651,PENJUALAN!$C$4:$C$3651,'Current Stock'!A1456)</f>
        <v>0</v>
      </c>
      <c r="J1456" s="15">
        <f t="shared" si="2"/>
        <v>0</v>
      </c>
      <c r="K1456" s="11"/>
      <c r="L1456" s="11"/>
      <c r="M1456" s="11"/>
      <c r="N1456" s="11"/>
      <c r="O1456" s="17"/>
      <c r="P1456" s="17"/>
    </row>
    <row r="1457" ht="13.5" customHeight="1">
      <c r="A1457" s="11" t="str">
        <f t="shared" si="1"/>
        <v>FDR-ALTIS06XYG</v>
      </c>
      <c r="B1457" s="32" t="s">
        <v>1083</v>
      </c>
      <c r="C1457" s="33" t="s">
        <v>1079</v>
      </c>
      <c r="D1457" s="33" t="s">
        <v>142</v>
      </c>
      <c r="E1457" s="11" t="s">
        <v>16</v>
      </c>
      <c r="F1457" s="33" t="s">
        <v>406</v>
      </c>
      <c r="G1457" s="11"/>
      <c r="H1457" s="11">
        <f>SUMIFS(X!$F$3:$F$5978,X!$D$3:$D$5978,'Current Stock'!A1457)</f>
        <v>0</v>
      </c>
      <c r="I1457" s="11">
        <f>SUMIFS(PENJUALAN!$E$4:$E$3651,PENJUALAN!$C$4:$C$3651,'Current Stock'!A1457)</f>
        <v>0</v>
      </c>
      <c r="J1457" s="15">
        <f t="shared" si="2"/>
        <v>0</v>
      </c>
      <c r="K1457" s="11"/>
      <c r="L1457" s="11"/>
      <c r="M1457" s="11"/>
      <c r="N1457" s="11"/>
      <c r="O1457" s="17"/>
      <c r="P1457" s="17"/>
    </row>
    <row r="1458" ht="13.5" customHeight="1">
      <c r="A1458" s="11" t="str">
        <f t="shared" si="1"/>
        <v>RDL-ALTIS06XYG</v>
      </c>
      <c r="B1458" s="32" t="s">
        <v>1084</v>
      </c>
      <c r="C1458" s="33" t="s">
        <v>1079</v>
      </c>
      <c r="D1458" s="33" t="s">
        <v>144</v>
      </c>
      <c r="E1458" s="11" t="s">
        <v>16</v>
      </c>
      <c r="F1458" s="33"/>
      <c r="G1458" s="11"/>
      <c r="H1458" s="11">
        <f>SUMIFS(X!$F$3:$F$5978,X!$D$3:$D$5978,'Current Stock'!A1458)</f>
        <v>2</v>
      </c>
      <c r="I1458" s="11">
        <f>SUMIFS(PENJUALAN!$E$4:$E$3651,PENJUALAN!$C$4:$C$3651,'Current Stock'!A1458)</f>
        <v>2</v>
      </c>
      <c r="J1458" s="15">
        <f t="shared" si="2"/>
        <v>0</v>
      </c>
      <c r="K1458" s="13" t="s">
        <v>1758</v>
      </c>
      <c r="L1458" s="11"/>
      <c r="M1458" s="11"/>
      <c r="N1458" s="11"/>
      <c r="O1458" s="17"/>
      <c r="P1458" s="17"/>
    </row>
    <row r="1459" ht="13.5" customHeight="1">
      <c r="A1459" s="11" t="str">
        <f t="shared" si="1"/>
        <v>RDR-ALTIS06XYG</v>
      </c>
      <c r="B1459" s="32" t="s">
        <v>1085</v>
      </c>
      <c r="C1459" s="33" t="s">
        <v>1079</v>
      </c>
      <c r="D1459" s="33" t="s">
        <v>146</v>
      </c>
      <c r="E1459" s="11" t="s">
        <v>16</v>
      </c>
      <c r="F1459" s="33"/>
      <c r="G1459" s="11"/>
      <c r="H1459" s="11">
        <f>SUMIFS(X!$F$3:$F$5978,X!$D$3:$D$5978,'Current Stock'!A1459)</f>
        <v>0</v>
      </c>
      <c r="I1459" s="11">
        <f>SUMIFS(PENJUALAN!$E$4:$E$3651,PENJUALAN!$C$4:$C$3651,'Current Stock'!A1459)</f>
        <v>0</v>
      </c>
      <c r="J1459" s="15">
        <f t="shared" si="2"/>
        <v>0</v>
      </c>
      <c r="K1459" s="13" t="s">
        <v>1759</v>
      </c>
      <c r="L1459" s="11"/>
      <c r="M1459" s="11"/>
      <c r="N1459" s="11"/>
      <c r="O1459" s="17"/>
      <c r="P1459" s="17"/>
    </row>
    <row r="1460" ht="13.5" customHeight="1">
      <c r="A1460" s="11" t="str">
        <f t="shared" si="1"/>
        <v>LFW-ALTIS13RSXYG</v>
      </c>
      <c r="B1460" s="32" t="s">
        <v>1088</v>
      </c>
      <c r="C1460" s="33" t="s">
        <v>1089</v>
      </c>
      <c r="D1460" s="33" t="s">
        <v>60</v>
      </c>
      <c r="E1460" s="11" t="s">
        <v>16</v>
      </c>
      <c r="F1460" s="33" t="s">
        <v>90</v>
      </c>
      <c r="G1460" s="14">
        <v>45988.0</v>
      </c>
      <c r="H1460" s="11">
        <f>SUMIFS(X!$F$3:$F$5978,X!$D$3:$D$5978,'Current Stock'!A1460)</f>
        <v>0</v>
      </c>
      <c r="I1460" s="11">
        <f>SUMIFS(PENJUALAN!$E$4:$E$3651,PENJUALAN!$C$4:$C$3651,'Current Stock'!A1460)</f>
        <v>0</v>
      </c>
      <c r="J1460" s="15">
        <f t="shared" si="2"/>
        <v>0</v>
      </c>
      <c r="K1460" s="13"/>
      <c r="L1460" s="13"/>
      <c r="M1460" s="11"/>
      <c r="N1460" s="11"/>
      <c r="O1460" s="17"/>
      <c r="P1460" s="17"/>
    </row>
    <row r="1461" ht="13.5" customHeight="1">
      <c r="A1461" s="11" t="str">
        <f t="shared" si="1"/>
        <v>TRW-ALTIS13XYG</v>
      </c>
      <c r="B1461" s="32" t="s">
        <v>1090</v>
      </c>
      <c r="C1461" s="33" t="s">
        <v>1089</v>
      </c>
      <c r="D1461" s="33" t="s">
        <v>62</v>
      </c>
      <c r="E1461" s="11" t="s">
        <v>16</v>
      </c>
      <c r="F1461" s="33" t="s">
        <v>126</v>
      </c>
      <c r="G1461" s="14">
        <v>45988.0</v>
      </c>
      <c r="H1461" s="11">
        <f>SUMIFS(X!$F$3:$F$5978,X!$D$3:$D$5978,'Current Stock'!A1461)</f>
        <v>0</v>
      </c>
      <c r="I1461" s="11">
        <f>SUMIFS(PENJUALAN!$E$4:$E$3651,PENJUALAN!$C$4:$C$3651,'Current Stock'!A1461)</f>
        <v>0</v>
      </c>
      <c r="J1461" s="15">
        <f t="shared" si="2"/>
        <v>0</v>
      </c>
      <c r="K1461" s="13" t="s">
        <v>1758</v>
      </c>
      <c r="L1461" s="11"/>
      <c r="M1461" s="11"/>
      <c r="N1461" s="11"/>
      <c r="O1461" s="17"/>
      <c r="P1461" s="17"/>
    </row>
    <row r="1462" ht="13.5" customHeight="1">
      <c r="A1462" s="11" t="str">
        <f t="shared" si="1"/>
        <v>LFW-AVANZA03XYG</v>
      </c>
      <c r="B1462" s="32" t="s">
        <v>1097</v>
      </c>
      <c r="C1462" s="33" t="s">
        <v>81</v>
      </c>
      <c r="D1462" s="33" t="s">
        <v>60</v>
      </c>
      <c r="E1462" s="11" t="s">
        <v>16</v>
      </c>
      <c r="F1462" s="33" t="s">
        <v>109</v>
      </c>
      <c r="G1462" s="11"/>
      <c r="H1462" s="11">
        <f>SUMIFS(X!$F$3:$F$5978,X!$D$3:$D$5978,'Current Stock'!A1462)</f>
        <v>11</v>
      </c>
      <c r="I1462" s="11">
        <f>SUMIFS(PENJUALAN!$E$4:$E$3651,PENJUALAN!$C$4:$C$3651,'Current Stock'!A1462)</f>
        <v>11</v>
      </c>
      <c r="J1462" s="15">
        <f t="shared" si="2"/>
        <v>0</v>
      </c>
      <c r="K1462" s="13" t="s">
        <v>1760</v>
      </c>
      <c r="L1462" s="11"/>
      <c r="M1462" s="11"/>
      <c r="N1462" s="11"/>
      <c r="O1462" s="17"/>
      <c r="P1462" s="17"/>
    </row>
    <row r="1463" ht="13.5" customHeight="1">
      <c r="A1463" s="11" t="str">
        <f t="shared" si="1"/>
        <v>TRW-AVANZA03XYG</v>
      </c>
      <c r="B1463" s="32" t="s">
        <v>1098</v>
      </c>
      <c r="C1463" s="33" t="s">
        <v>81</v>
      </c>
      <c r="D1463" s="33" t="s">
        <v>62</v>
      </c>
      <c r="E1463" s="11" t="s">
        <v>16</v>
      </c>
      <c r="F1463" s="33" t="s">
        <v>109</v>
      </c>
      <c r="G1463" s="14">
        <v>45988.0</v>
      </c>
      <c r="H1463" s="11">
        <f>SUMIFS(X!$F$3:$F$5978,X!$D$3:$D$5978,'Current Stock'!A1463)</f>
        <v>7</v>
      </c>
      <c r="I1463" s="11">
        <f>SUMIFS(PENJUALAN!$E$4:$E$3651,PENJUALAN!$C$4:$C$3651,'Current Stock'!A1463)</f>
        <v>7</v>
      </c>
      <c r="J1463" s="15">
        <f t="shared" si="2"/>
        <v>0</v>
      </c>
      <c r="K1463" s="13"/>
      <c r="L1463" s="13"/>
      <c r="M1463" s="11"/>
      <c r="N1463" s="11"/>
      <c r="O1463" s="17"/>
      <c r="P1463" s="17"/>
    </row>
    <row r="1464" ht="13.5" customHeight="1">
      <c r="A1464" s="11" t="str">
        <f t="shared" si="1"/>
        <v>TRW-AVANZA03HXYG</v>
      </c>
      <c r="B1464" s="32" t="s">
        <v>80</v>
      </c>
      <c r="C1464" s="33" t="s">
        <v>81</v>
      </c>
      <c r="D1464" s="33" t="s">
        <v>62</v>
      </c>
      <c r="E1464" s="11" t="s">
        <v>16</v>
      </c>
      <c r="F1464" s="33" t="s">
        <v>83</v>
      </c>
      <c r="G1464" s="34">
        <v>45988.0</v>
      </c>
      <c r="H1464" s="11">
        <f>SUMIFS(X!$F$3:$F$5978,X!$D$3:$D$5978,'Current Stock'!A1464)</f>
        <v>3</v>
      </c>
      <c r="I1464" s="11">
        <f>SUMIFS(PENJUALAN!$E$4:$E$3651,PENJUALAN!$C$4:$C$3651,'Current Stock'!A1464)</f>
        <v>2</v>
      </c>
      <c r="J1464" s="15">
        <f t="shared" si="2"/>
        <v>1</v>
      </c>
      <c r="K1464" s="13"/>
      <c r="L1464" s="13"/>
      <c r="M1464" s="16">
        <v>2.0</v>
      </c>
      <c r="N1464" s="11"/>
      <c r="O1464" s="17"/>
      <c r="P1464" s="17"/>
    </row>
    <row r="1465" ht="13.5" customHeight="1">
      <c r="A1465" s="11" t="str">
        <f t="shared" si="1"/>
        <v>LFW-AVANZA11XYG</v>
      </c>
      <c r="B1465" s="32" t="s">
        <v>1099</v>
      </c>
      <c r="C1465" s="33" t="s">
        <v>1100</v>
      </c>
      <c r="D1465" s="33" t="s">
        <v>60</v>
      </c>
      <c r="E1465" s="11" t="s">
        <v>16</v>
      </c>
      <c r="F1465" s="33" t="s">
        <v>109</v>
      </c>
      <c r="G1465" s="11"/>
      <c r="H1465" s="11">
        <f>SUMIFS(X!$F$3:$F$5978,X!$D$3:$D$5978,'Current Stock'!A1465)</f>
        <v>21</v>
      </c>
      <c r="I1465" s="11">
        <f>SUMIFS(PENJUALAN!$E$4:$E$3651,PENJUALAN!$C$4:$C$3651,'Current Stock'!A1465)</f>
        <v>15</v>
      </c>
      <c r="J1465" s="15">
        <f t="shared" si="2"/>
        <v>6</v>
      </c>
      <c r="K1465" s="13" t="s">
        <v>1639</v>
      </c>
      <c r="L1465" s="11"/>
      <c r="M1465" s="11"/>
      <c r="N1465" s="11"/>
      <c r="O1465" s="17"/>
      <c r="P1465" s="17"/>
    </row>
    <row r="1466" ht="13.5" customHeight="1">
      <c r="A1466" s="11" t="str">
        <f t="shared" si="1"/>
        <v>TRW-AVANZA11XYG</v>
      </c>
      <c r="B1466" s="32" t="s">
        <v>98</v>
      </c>
      <c r="C1466" s="31" t="s">
        <v>1749</v>
      </c>
      <c r="D1466" s="33" t="s">
        <v>62</v>
      </c>
      <c r="E1466" s="11" t="s">
        <v>16</v>
      </c>
      <c r="F1466" s="33" t="s">
        <v>109</v>
      </c>
      <c r="G1466" s="14"/>
      <c r="H1466" s="11">
        <f>SUMIFS(X!$F$3:$F$5978,X!$D$3:$D$5978,'Current Stock'!A1466)</f>
        <v>10</v>
      </c>
      <c r="I1466" s="11">
        <f>SUMIFS(PENJUALAN!$E$4:$E$3651,PENJUALAN!$C$4:$C$3651,'Current Stock'!A1466)</f>
        <v>10</v>
      </c>
      <c r="J1466" s="15">
        <f t="shared" si="2"/>
        <v>0</v>
      </c>
      <c r="K1466" s="13" t="s">
        <v>1759</v>
      </c>
      <c r="L1466" s="11"/>
      <c r="M1466" s="11"/>
      <c r="N1466" s="11"/>
      <c r="O1466" s="17"/>
      <c r="P1466" s="17"/>
    </row>
    <row r="1467" ht="13.5" customHeight="1">
      <c r="A1467" s="11" t="str">
        <f t="shared" si="1"/>
        <v>TRW-AVANZA11HXYG</v>
      </c>
      <c r="B1467" s="32" t="s">
        <v>1101</v>
      </c>
      <c r="C1467" s="31" t="s">
        <v>1749</v>
      </c>
      <c r="D1467" s="33" t="s">
        <v>62</v>
      </c>
      <c r="E1467" s="11" t="s">
        <v>16</v>
      </c>
      <c r="F1467" s="33" t="s">
        <v>83</v>
      </c>
      <c r="G1467" s="14"/>
      <c r="H1467" s="11">
        <f>SUMIFS(X!$F$3:$F$5978,X!$D$3:$D$5978,'Current Stock'!A1467)</f>
        <v>7</v>
      </c>
      <c r="I1467" s="11">
        <f>SUMIFS(PENJUALAN!$E$4:$E$3651,PENJUALAN!$C$4:$C$3651,'Current Stock'!A1467)</f>
        <v>5</v>
      </c>
      <c r="J1467" s="15">
        <f t="shared" si="2"/>
        <v>2</v>
      </c>
      <c r="K1467" s="13" t="s">
        <v>1759</v>
      </c>
      <c r="L1467" s="13"/>
      <c r="M1467" s="16">
        <v>2.0</v>
      </c>
      <c r="N1467" s="11"/>
      <c r="O1467" s="17"/>
      <c r="P1467" s="17"/>
    </row>
    <row r="1468" ht="13.5" customHeight="1">
      <c r="A1468" s="11" t="str">
        <f t="shared" si="1"/>
        <v>LFW-AVANZA16XYG</v>
      </c>
      <c r="B1468" s="32" t="s">
        <v>1102</v>
      </c>
      <c r="C1468" s="33" t="s">
        <v>1103</v>
      </c>
      <c r="D1468" s="33" t="s">
        <v>60</v>
      </c>
      <c r="E1468" s="11" t="s">
        <v>16</v>
      </c>
      <c r="F1468" s="33" t="s">
        <v>109</v>
      </c>
      <c r="G1468" s="11"/>
      <c r="H1468" s="11">
        <f>SUMIFS(X!$F$3:$F$5978,X!$D$3:$D$5978,'Current Stock'!A1468)</f>
        <v>19</v>
      </c>
      <c r="I1468" s="11">
        <f>SUMIFS(PENJUALAN!$E$4:$E$3651,PENJUALAN!$C$4:$C$3651,'Current Stock'!A1468)</f>
        <v>14</v>
      </c>
      <c r="J1468" s="15">
        <f t="shared" si="2"/>
        <v>5</v>
      </c>
      <c r="K1468" s="13" t="s">
        <v>1761</v>
      </c>
      <c r="L1468" s="11"/>
      <c r="M1468" s="11"/>
      <c r="N1468" s="11"/>
      <c r="O1468" s="17"/>
      <c r="P1468" s="17"/>
    </row>
    <row r="1469" ht="13.5" customHeight="1">
      <c r="A1469" s="11" t="str">
        <f t="shared" si="1"/>
        <v>LFW-CAMRY96XYG</v>
      </c>
      <c r="B1469" s="32" t="s">
        <v>1104</v>
      </c>
      <c r="C1469" s="33" t="s">
        <v>1105</v>
      </c>
      <c r="D1469" s="33" t="s">
        <v>60</v>
      </c>
      <c r="E1469" s="11" t="s">
        <v>16</v>
      </c>
      <c r="F1469" s="33" t="s">
        <v>137</v>
      </c>
      <c r="G1469" s="14">
        <v>45988.0</v>
      </c>
      <c r="H1469" s="11">
        <f>SUMIFS(X!$F$3:$F$5978,X!$D$3:$D$5978,'Current Stock'!A1469)</f>
        <v>0</v>
      </c>
      <c r="I1469" s="11">
        <f>SUMIFS(PENJUALAN!$E$4:$E$3651,PENJUALAN!$C$4:$C$3651,'Current Stock'!A1469)</f>
        <v>0</v>
      </c>
      <c r="J1469" s="15">
        <f t="shared" si="2"/>
        <v>0</v>
      </c>
      <c r="K1469" s="13"/>
      <c r="L1469" s="13"/>
      <c r="M1469" s="11"/>
      <c r="N1469" s="11"/>
      <c r="O1469" s="17"/>
      <c r="P1469" s="17"/>
    </row>
    <row r="1470" ht="13.5" customHeight="1">
      <c r="A1470" s="11" t="str">
        <f t="shared" si="1"/>
        <v>RDR-INNOVA15ASH</v>
      </c>
      <c r="B1470" s="12" t="s">
        <v>1762</v>
      </c>
      <c r="C1470" s="33" t="s">
        <v>1172</v>
      </c>
      <c r="D1470" s="11" t="s">
        <v>86</v>
      </c>
      <c r="E1470" s="11" t="s">
        <v>93</v>
      </c>
      <c r="F1470" s="11"/>
      <c r="G1470" s="14">
        <v>45988.0</v>
      </c>
      <c r="H1470" s="11">
        <f>SUMIFS(X!$F$3:$F$5978,X!$D$3:$D$5978,'Current Stock'!A1470)</f>
        <v>2</v>
      </c>
      <c r="I1470" s="11">
        <f>SUMIFS(PENJUALAN!$E$4:$E$3651,PENJUALAN!$C$4:$C$3651,'Current Stock'!A1470)</f>
        <v>2</v>
      </c>
      <c r="J1470" s="15">
        <f t="shared" si="2"/>
        <v>0</v>
      </c>
      <c r="K1470" s="13"/>
      <c r="L1470" s="11"/>
      <c r="M1470" s="16"/>
      <c r="N1470" s="11"/>
      <c r="O1470" s="17"/>
      <c r="P1470" s="17"/>
    </row>
    <row r="1471" ht="13.5" customHeight="1">
      <c r="A1471" s="11" t="str">
        <f t="shared" si="1"/>
        <v>TRW-CAMRY02XYG</v>
      </c>
      <c r="B1471" s="32" t="s">
        <v>1109</v>
      </c>
      <c r="C1471" s="33" t="s">
        <v>1108</v>
      </c>
      <c r="D1471" s="33" t="s">
        <v>62</v>
      </c>
      <c r="E1471" s="11" t="s">
        <v>16</v>
      </c>
      <c r="F1471" s="33" t="s">
        <v>126</v>
      </c>
      <c r="G1471" s="11"/>
      <c r="H1471" s="11">
        <f>SUMIFS(X!$F$3:$F$5978,X!$D$3:$D$5978,'Current Stock'!A1471)</f>
        <v>1</v>
      </c>
      <c r="I1471" s="11">
        <f>SUMIFS(PENJUALAN!$E$4:$E$3651,PENJUALAN!$C$4:$C$3651,'Current Stock'!A1471)</f>
        <v>1</v>
      </c>
      <c r="J1471" s="15">
        <f t="shared" si="2"/>
        <v>0</v>
      </c>
      <c r="K1471" s="11"/>
      <c r="L1471" s="11"/>
      <c r="M1471" s="11"/>
      <c r="N1471" s="11"/>
      <c r="O1471" s="17"/>
      <c r="P1471" s="17"/>
    </row>
    <row r="1472" ht="13.5" customHeight="1">
      <c r="A1472" s="11" t="str">
        <f t="shared" si="1"/>
        <v>LFW-AUDIB811XYG</v>
      </c>
      <c r="B1472" s="13" t="s">
        <v>1763</v>
      </c>
      <c r="C1472" s="13" t="s">
        <v>1764</v>
      </c>
      <c r="D1472" s="13" t="s">
        <v>60</v>
      </c>
      <c r="E1472" s="13" t="s">
        <v>16</v>
      </c>
      <c r="F1472" s="13" t="s">
        <v>124</v>
      </c>
      <c r="G1472" s="34"/>
      <c r="H1472" s="11">
        <f>SUMIFS(X!$F$3:$F$5978,X!$D$3:$D$5978,'Current Stock'!A1472)</f>
        <v>2</v>
      </c>
      <c r="I1472" s="11">
        <f>SUMIFS(PENJUALAN!$E$4:$E$3651,PENJUALAN!$C$4:$C$3651,'Current Stock'!A1472)</f>
        <v>2</v>
      </c>
      <c r="J1472" s="15">
        <f t="shared" si="2"/>
        <v>0</v>
      </c>
      <c r="K1472" s="44"/>
      <c r="L1472" s="44"/>
      <c r="M1472" s="44"/>
      <c r="N1472" s="44"/>
      <c r="O1472" s="17"/>
      <c r="P1472" s="17"/>
    </row>
    <row r="1473" ht="13.5" customHeight="1">
      <c r="A1473" s="11" t="str">
        <f t="shared" si="1"/>
        <v>LFW-TRAGAASH</v>
      </c>
      <c r="B1473" s="13" t="s">
        <v>1765</v>
      </c>
      <c r="C1473" s="13" t="s">
        <v>1766</v>
      </c>
      <c r="D1473" s="13" t="s">
        <v>60</v>
      </c>
      <c r="E1473" s="13" t="s">
        <v>93</v>
      </c>
      <c r="F1473" s="44"/>
      <c r="G1473" s="34">
        <v>45988.0</v>
      </c>
      <c r="H1473" s="11">
        <f>SUMIFS(X!$F$3:$F$5978,X!$D$3:$D$5978,'Current Stock'!A1473)</f>
        <v>2</v>
      </c>
      <c r="I1473" s="11">
        <f>SUMIFS(PENJUALAN!$E$4:$E$3651,PENJUALAN!$C$4:$C$3651,'Current Stock'!A1473)</f>
        <v>2</v>
      </c>
      <c r="J1473" s="15">
        <f t="shared" si="2"/>
        <v>0</v>
      </c>
      <c r="K1473" s="44"/>
      <c r="L1473" s="44"/>
      <c r="M1473" s="44"/>
      <c r="N1473" s="44"/>
      <c r="O1473" s="17"/>
      <c r="P1473" s="17"/>
    </row>
    <row r="1474" ht="13.5" customHeight="1">
      <c r="A1474" s="11" t="str">
        <f t="shared" si="1"/>
        <v>LFW-CAMRY11XYG</v>
      </c>
      <c r="B1474" s="32" t="s">
        <v>1116</v>
      </c>
      <c r="C1474" s="33" t="s">
        <v>1117</v>
      </c>
      <c r="D1474" s="33" t="s">
        <v>60</v>
      </c>
      <c r="E1474" s="11" t="s">
        <v>16</v>
      </c>
      <c r="F1474" s="33" t="s">
        <v>90</v>
      </c>
      <c r="G1474" s="11"/>
      <c r="H1474" s="11">
        <f>SUMIFS(X!$F$3:$F$5978,X!$D$3:$D$5978,'Current Stock'!A1474)</f>
        <v>1</v>
      </c>
      <c r="I1474" s="11">
        <f>SUMIFS(PENJUALAN!$E$4:$E$3651,PENJUALAN!$C$4:$C$3651,'Current Stock'!A1474)</f>
        <v>1</v>
      </c>
      <c r="J1474" s="15">
        <f t="shared" si="2"/>
        <v>0</v>
      </c>
      <c r="K1474" s="11"/>
      <c r="L1474" s="11"/>
      <c r="M1474" s="11"/>
      <c r="N1474" s="11"/>
      <c r="O1474" s="17"/>
      <c r="P1474" s="17"/>
    </row>
    <row r="1475" ht="13.5" customHeight="1">
      <c r="A1475" s="11" t="str">
        <f t="shared" si="1"/>
        <v>LFW-CAMRY11NORSXYG</v>
      </c>
      <c r="B1475" s="48" t="s">
        <v>1767</v>
      </c>
      <c r="C1475" s="33" t="s">
        <v>1117</v>
      </c>
      <c r="D1475" s="35" t="s">
        <v>60</v>
      </c>
      <c r="E1475" s="11" t="s">
        <v>16</v>
      </c>
      <c r="F1475" s="33" t="s">
        <v>137</v>
      </c>
      <c r="G1475" s="11"/>
      <c r="H1475" s="11">
        <f>SUMIFS(X!$F$3:$F$5978,X!$D$3:$D$5978,'Current Stock'!A1475)</f>
        <v>0</v>
      </c>
      <c r="I1475" s="11">
        <f>SUMIFS(PENJUALAN!$E$4:$E$3651,PENJUALAN!$C$4:$C$3651,'Current Stock'!A1475)</f>
        <v>0</v>
      </c>
      <c r="J1475" s="15">
        <f t="shared" si="2"/>
        <v>0</v>
      </c>
      <c r="K1475" s="11"/>
      <c r="L1475" s="11"/>
      <c r="M1475" s="11"/>
      <c r="N1475" s="11"/>
      <c r="O1475" s="17"/>
      <c r="P1475" s="17"/>
    </row>
    <row r="1476" ht="13.5" customHeight="1">
      <c r="A1476" s="11" t="str">
        <f t="shared" si="1"/>
        <v>LFW-APVXYG</v>
      </c>
      <c r="B1476" s="32" t="s">
        <v>1023</v>
      </c>
      <c r="C1476" s="33" t="s">
        <v>1024</v>
      </c>
      <c r="D1476" s="33" t="s">
        <v>60</v>
      </c>
      <c r="E1476" s="11" t="s">
        <v>16</v>
      </c>
      <c r="F1476" s="33" t="s">
        <v>109</v>
      </c>
      <c r="G1476" s="34"/>
      <c r="H1476" s="11">
        <f>SUMIFS(X!$F$3:$F$5978,X!$D$3:$D$5978,'Current Stock'!A1476)</f>
        <v>3</v>
      </c>
      <c r="I1476" s="11">
        <f>SUMIFS(PENJUALAN!$E$4:$E$3651,PENJUALAN!$C$4:$C$3651,'Current Stock'!A1476)</f>
        <v>3</v>
      </c>
      <c r="J1476" s="15">
        <f t="shared" si="2"/>
        <v>0</v>
      </c>
      <c r="K1476" s="11"/>
      <c r="L1476" s="11"/>
      <c r="M1476" s="11"/>
      <c r="N1476" s="11"/>
      <c r="O1476" s="17"/>
      <c r="P1476" s="17"/>
    </row>
    <row r="1477" ht="13.5" customHeight="1">
      <c r="A1477" s="11" t="str">
        <f t="shared" si="1"/>
        <v>LFW-CAMRY18RSXYG</v>
      </c>
      <c r="B1477" s="32" t="s">
        <v>1768</v>
      </c>
      <c r="C1477" s="35" t="s">
        <v>1769</v>
      </c>
      <c r="D1477" s="35" t="s">
        <v>60</v>
      </c>
      <c r="E1477" s="11" t="s">
        <v>16</v>
      </c>
      <c r="F1477" s="33" t="s">
        <v>90</v>
      </c>
      <c r="G1477" s="11"/>
      <c r="H1477" s="11">
        <f>SUMIFS(X!$F$3:$F$5978,X!$D$3:$D$5978,'Current Stock'!A1477)</f>
        <v>1</v>
      </c>
      <c r="I1477" s="11">
        <f>SUMIFS(PENJUALAN!$E$4:$E$3651,PENJUALAN!$C$4:$C$3651,'Current Stock'!A1477)</f>
        <v>1</v>
      </c>
      <c r="J1477" s="15">
        <f t="shared" si="2"/>
        <v>0</v>
      </c>
      <c r="K1477" s="11"/>
      <c r="L1477" s="11"/>
      <c r="M1477" s="11"/>
      <c r="N1477" s="11"/>
      <c r="O1477" s="17"/>
      <c r="P1477" s="17"/>
    </row>
    <row r="1478" ht="13.5" customHeight="1">
      <c r="A1478" s="11" t="str">
        <f t="shared" si="1"/>
        <v>LFW-CHRXYG</v>
      </c>
      <c r="B1478" s="32" t="s">
        <v>1770</v>
      </c>
      <c r="C1478" s="33" t="s">
        <v>1771</v>
      </c>
      <c r="D1478" s="33" t="s">
        <v>60</v>
      </c>
      <c r="E1478" s="11" t="s">
        <v>16</v>
      </c>
      <c r="F1478" s="33" t="s">
        <v>745</v>
      </c>
      <c r="G1478" s="11"/>
      <c r="H1478" s="11">
        <f>SUMIFS(X!$F$3:$F$5978,X!$D$3:$D$5978,'Current Stock'!A1478)</f>
        <v>0</v>
      </c>
      <c r="I1478" s="11">
        <f>SUMIFS(PENJUALAN!$E$4:$E$3651,PENJUALAN!$C$4:$C$3651,'Current Stock'!A1478)</f>
        <v>0</v>
      </c>
      <c r="J1478" s="15">
        <f t="shared" si="2"/>
        <v>0</v>
      </c>
      <c r="K1478" s="11"/>
      <c r="L1478" s="11"/>
      <c r="M1478" s="11"/>
      <c r="N1478" s="11"/>
      <c r="O1478" s="17"/>
      <c r="P1478" s="17"/>
    </row>
    <row r="1479" ht="13.5" customHeight="1">
      <c r="A1479" s="11" t="str">
        <f t="shared" si="1"/>
        <v>LFW-COROLLA87XYG</v>
      </c>
      <c r="B1479" s="32" t="s">
        <v>1772</v>
      </c>
      <c r="C1479" s="33" t="s">
        <v>1123</v>
      </c>
      <c r="D1479" s="33" t="s">
        <v>60</v>
      </c>
      <c r="E1479" s="11" t="s">
        <v>16</v>
      </c>
      <c r="F1479" s="33" t="s">
        <v>109</v>
      </c>
      <c r="G1479" s="11"/>
      <c r="H1479" s="11">
        <f>SUMIFS(X!$F$3:$F$5978,X!$D$3:$D$5978,'Current Stock'!A1479)</f>
        <v>0</v>
      </c>
      <c r="I1479" s="11">
        <f>SUMIFS(PENJUALAN!$E$4:$E$3651,PENJUALAN!$C$4:$C$3651,'Current Stock'!A1479)</f>
        <v>0</v>
      </c>
      <c r="J1479" s="15">
        <f t="shared" si="2"/>
        <v>0</v>
      </c>
      <c r="K1479" s="11"/>
      <c r="L1479" s="11"/>
      <c r="M1479" s="11"/>
      <c r="N1479" s="11"/>
      <c r="O1479" s="17"/>
      <c r="P1479" s="17"/>
    </row>
    <row r="1480" ht="13.5" customHeight="1">
      <c r="A1480" s="11" t="str">
        <f t="shared" si="1"/>
        <v>TRW-COROLLA87XYG</v>
      </c>
      <c r="B1480" s="32" t="s">
        <v>1122</v>
      </c>
      <c r="C1480" s="33" t="s">
        <v>1123</v>
      </c>
      <c r="D1480" s="33" t="s">
        <v>62</v>
      </c>
      <c r="E1480" s="11" t="s">
        <v>16</v>
      </c>
      <c r="F1480" s="33" t="s">
        <v>83</v>
      </c>
      <c r="G1480" s="11"/>
      <c r="H1480" s="11">
        <f>SUMIFS(X!$F$3:$F$5978,X!$D$3:$D$5978,'Current Stock'!A1480)</f>
        <v>0</v>
      </c>
      <c r="I1480" s="11">
        <f>SUMIFS(PENJUALAN!$E$4:$E$3651,PENJUALAN!$C$4:$C$3651,'Current Stock'!A1480)</f>
        <v>0</v>
      </c>
      <c r="J1480" s="15">
        <f t="shared" si="2"/>
        <v>0</v>
      </c>
      <c r="K1480" s="11"/>
      <c r="L1480" s="11"/>
      <c r="M1480" s="11"/>
      <c r="N1480" s="11"/>
      <c r="O1480" s="17"/>
      <c r="P1480" s="17"/>
    </row>
    <row r="1481" ht="13.5" customHeight="1">
      <c r="A1481" s="11" t="str">
        <f t="shared" si="1"/>
        <v>TRW-BALENO15XYG</v>
      </c>
      <c r="B1481" s="48" t="s">
        <v>1773</v>
      </c>
      <c r="C1481" s="33" t="s">
        <v>1704</v>
      </c>
      <c r="D1481" s="33" t="s">
        <v>62</v>
      </c>
      <c r="E1481" s="11" t="s">
        <v>16</v>
      </c>
      <c r="F1481" s="33" t="s">
        <v>83</v>
      </c>
      <c r="G1481" s="11"/>
      <c r="H1481" s="11">
        <f>SUMIFS(X!$F$3:$F$5978,X!$D$3:$D$5978,'Current Stock'!A1481)</f>
        <v>1</v>
      </c>
      <c r="I1481" s="11">
        <f>SUMIFS(PENJUALAN!$E$4:$E$3651,PENJUALAN!$C$4:$C$3651,'Current Stock'!A1481)</f>
        <v>1</v>
      </c>
      <c r="J1481" s="15">
        <f t="shared" si="2"/>
        <v>0</v>
      </c>
      <c r="K1481" s="11"/>
      <c r="L1481" s="11"/>
      <c r="M1481" s="11"/>
      <c r="N1481" s="11"/>
      <c r="O1481" s="17"/>
      <c r="P1481" s="17"/>
    </row>
    <row r="1482" ht="13.5" customHeight="1">
      <c r="A1482" s="11" t="str">
        <f t="shared" si="1"/>
        <v>FDL-COROLLA91XYG</v>
      </c>
      <c r="B1482" s="32" t="s">
        <v>1774</v>
      </c>
      <c r="C1482" s="35" t="s">
        <v>1125</v>
      </c>
      <c r="D1482" s="35" t="s">
        <v>140</v>
      </c>
      <c r="E1482" s="11" t="s">
        <v>16</v>
      </c>
      <c r="F1482" s="42" t="s">
        <v>406</v>
      </c>
      <c r="G1482" s="11"/>
      <c r="H1482" s="11">
        <f>SUMIFS(X!$F$3:$F$5978,X!$D$3:$D$5978,'Current Stock'!A1482)</f>
        <v>0</v>
      </c>
      <c r="I1482" s="11">
        <f>SUMIFS(PENJUALAN!$E$4:$E$3651,PENJUALAN!$C$4:$C$3651,'Current Stock'!A1482)</f>
        <v>0</v>
      </c>
      <c r="J1482" s="15">
        <f t="shared" si="2"/>
        <v>0</v>
      </c>
      <c r="K1482" s="11"/>
      <c r="L1482" s="11"/>
      <c r="M1482" s="11"/>
      <c r="N1482" s="11"/>
      <c r="O1482" s="17"/>
      <c r="P1482" s="17"/>
    </row>
    <row r="1483" ht="13.5" customHeight="1">
      <c r="A1483" s="11" t="str">
        <f t="shared" si="1"/>
        <v>FDR-COROLLA91XYG</v>
      </c>
      <c r="B1483" s="32" t="s">
        <v>1775</v>
      </c>
      <c r="C1483" s="35" t="s">
        <v>1125</v>
      </c>
      <c r="D1483" s="35" t="s">
        <v>142</v>
      </c>
      <c r="E1483" s="11" t="s">
        <v>16</v>
      </c>
      <c r="F1483" s="42" t="s">
        <v>406</v>
      </c>
      <c r="G1483" s="11"/>
      <c r="H1483" s="11">
        <f>SUMIFS(X!$F$3:$F$5978,X!$D$3:$D$5978,'Current Stock'!A1483)</f>
        <v>0</v>
      </c>
      <c r="I1483" s="11">
        <f>SUMIFS(PENJUALAN!$E$4:$E$3651,PENJUALAN!$C$4:$C$3651,'Current Stock'!A1483)</f>
        <v>0</v>
      </c>
      <c r="J1483" s="15">
        <f t="shared" si="2"/>
        <v>0</v>
      </c>
      <c r="K1483" s="11"/>
      <c r="L1483" s="11"/>
      <c r="M1483" s="11"/>
      <c r="N1483" s="11"/>
      <c r="O1483" s="17"/>
      <c r="P1483" s="17"/>
    </row>
    <row r="1484" ht="13.5" customHeight="1">
      <c r="A1484" s="11" t="str">
        <f t="shared" si="1"/>
        <v>RDL-COROLLA91XYG</v>
      </c>
      <c r="B1484" s="32" t="s">
        <v>1776</v>
      </c>
      <c r="C1484" s="35" t="s">
        <v>1125</v>
      </c>
      <c r="D1484" s="35" t="s">
        <v>144</v>
      </c>
      <c r="E1484" s="11" t="s">
        <v>16</v>
      </c>
      <c r="F1484" s="42"/>
      <c r="G1484" s="11"/>
      <c r="H1484" s="11">
        <f>SUMIFS(X!$F$3:$F$5978,X!$D$3:$D$5978,'Current Stock'!A1484)</f>
        <v>0</v>
      </c>
      <c r="I1484" s="11">
        <f>SUMIFS(PENJUALAN!$E$4:$E$3651,PENJUALAN!$C$4:$C$3651,'Current Stock'!A1484)</f>
        <v>0</v>
      </c>
      <c r="J1484" s="15">
        <f t="shared" si="2"/>
        <v>0</v>
      </c>
      <c r="K1484" s="11"/>
      <c r="L1484" s="11"/>
      <c r="M1484" s="11"/>
      <c r="N1484" s="11"/>
      <c r="O1484" s="17"/>
      <c r="P1484" s="17"/>
    </row>
    <row r="1485" ht="13.5" customHeight="1">
      <c r="A1485" s="11" t="str">
        <f t="shared" si="1"/>
        <v>RDR-COROLLA91XYG</v>
      </c>
      <c r="B1485" s="32" t="s">
        <v>1777</v>
      </c>
      <c r="C1485" s="35" t="s">
        <v>1125</v>
      </c>
      <c r="D1485" s="35" t="s">
        <v>146</v>
      </c>
      <c r="E1485" s="11" t="s">
        <v>16</v>
      </c>
      <c r="F1485" s="42"/>
      <c r="G1485" s="11"/>
      <c r="H1485" s="11">
        <f>SUMIFS(X!$F$3:$F$5978,X!$D$3:$D$5978,'Current Stock'!A1485)</f>
        <v>0</v>
      </c>
      <c r="I1485" s="11">
        <f>SUMIFS(PENJUALAN!$E$4:$E$3651,PENJUALAN!$C$4:$C$3651,'Current Stock'!A1485)</f>
        <v>0</v>
      </c>
      <c r="J1485" s="15">
        <f t="shared" si="2"/>
        <v>0</v>
      </c>
      <c r="K1485" s="13" t="s">
        <v>1137</v>
      </c>
      <c r="L1485" s="11"/>
      <c r="M1485" s="11"/>
      <c r="N1485" s="11"/>
      <c r="O1485" s="17"/>
      <c r="P1485" s="17"/>
    </row>
    <row r="1486" ht="13.5" customHeight="1">
      <c r="A1486" s="11" t="str">
        <f t="shared" si="1"/>
        <v>LFW-COROLLA95XYG</v>
      </c>
      <c r="B1486" s="32" t="s">
        <v>1778</v>
      </c>
      <c r="C1486" s="33" t="s">
        <v>1128</v>
      </c>
      <c r="D1486" s="33" t="s">
        <v>60</v>
      </c>
      <c r="E1486" s="11" t="s">
        <v>16</v>
      </c>
      <c r="F1486" s="33" t="s">
        <v>109</v>
      </c>
      <c r="G1486" s="11"/>
      <c r="H1486" s="11">
        <f>SUMIFS(X!$F$3:$F$5978,X!$D$3:$D$5978,'Current Stock'!A1486)</f>
        <v>0</v>
      </c>
      <c r="I1486" s="11">
        <f>SUMIFS(PENJUALAN!$E$4:$E$3651,PENJUALAN!$C$4:$C$3651,'Current Stock'!A1486)</f>
        <v>0</v>
      </c>
      <c r="J1486" s="15">
        <f t="shared" si="2"/>
        <v>0</v>
      </c>
      <c r="K1486" s="11"/>
      <c r="L1486" s="11"/>
      <c r="M1486" s="11"/>
      <c r="N1486" s="11"/>
      <c r="O1486" s="17"/>
      <c r="P1486" s="17"/>
    </row>
    <row r="1487" ht="13.5" customHeight="1">
      <c r="A1487" s="11" t="str">
        <f t="shared" si="1"/>
        <v>TRW-COROLLA95XYG</v>
      </c>
      <c r="B1487" s="32" t="s">
        <v>1127</v>
      </c>
      <c r="C1487" s="33" t="s">
        <v>1128</v>
      </c>
      <c r="D1487" s="33" t="s">
        <v>62</v>
      </c>
      <c r="E1487" s="11" t="s">
        <v>16</v>
      </c>
      <c r="F1487" s="33" t="s">
        <v>126</v>
      </c>
      <c r="G1487" s="14">
        <v>45988.0</v>
      </c>
      <c r="H1487" s="11">
        <f>SUMIFS(X!$F$3:$F$5978,X!$D$3:$D$5978,'Current Stock'!A1487)</f>
        <v>1</v>
      </c>
      <c r="I1487" s="11">
        <f>SUMIFS(PENJUALAN!$E$4:$E$3651,PENJUALAN!$C$4:$C$3651,'Current Stock'!A1487)</f>
        <v>1</v>
      </c>
      <c r="J1487" s="15">
        <f t="shared" si="2"/>
        <v>0</v>
      </c>
      <c r="K1487" s="13"/>
      <c r="L1487" s="11"/>
      <c r="M1487" s="11"/>
      <c r="N1487" s="11"/>
      <c r="O1487" s="17"/>
      <c r="P1487" s="17"/>
    </row>
    <row r="1488" ht="12.75" customHeight="1">
      <c r="A1488" s="11" t="str">
        <f t="shared" si="1"/>
        <v>LFW-FORTUNER05XYG</v>
      </c>
      <c r="B1488" s="32" t="s">
        <v>1131</v>
      </c>
      <c r="C1488" s="33" t="s">
        <v>1132</v>
      </c>
      <c r="D1488" s="33" t="s">
        <v>60</v>
      </c>
      <c r="E1488" s="11" t="s">
        <v>16</v>
      </c>
      <c r="F1488" s="33" t="s">
        <v>1779</v>
      </c>
      <c r="G1488" s="11"/>
      <c r="H1488" s="11">
        <f>SUMIFS(X!$F$3:$F$5978,X!$D$3:$D$5978,'Current Stock'!A1488)</f>
        <v>11</v>
      </c>
      <c r="I1488" s="11">
        <f>SUMIFS(PENJUALAN!$E$4:$E$3651,PENJUALAN!$C$4:$C$3651,'Current Stock'!A1488)</f>
        <v>10</v>
      </c>
      <c r="J1488" s="15">
        <f t="shared" si="2"/>
        <v>1</v>
      </c>
      <c r="K1488" s="11"/>
      <c r="L1488" s="11"/>
      <c r="M1488" s="16">
        <v>2.0</v>
      </c>
      <c r="N1488" s="11"/>
      <c r="O1488" s="17"/>
      <c r="P1488" s="17"/>
    </row>
    <row r="1489" ht="13.5" customHeight="1">
      <c r="A1489" s="11" t="str">
        <f t="shared" si="1"/>
        <v>TRW-ESCUDO00XYG</v>
      </c>
      <c r="B1489" s="48" t="s">
        <v>1780</v>
      </c>
      <c r="C1489" s="35" t="s">
        <v>1712</v>
      </c>
      <c r="D1489" s="33" t="s">
        <v>62</v>
      </c>
      <c r="E1489" s="11" t="s">
        <v>16</v>
      </c>
      <c r="F1489" s="33" t="s">
        <v>83</v>
      </c>
      <c r="G1489" s="11"/>
      <c r="H1489" s="11">
        <f>SUMIFS(X!$F$3:$F$5978,X!$D$3:$D$5978,'Current Stock'!A1489)</f>
        <v>1</v>
      </c>
      <c r="I1489" s="11">
        <f>SUMIFS(PENJUALAN!$E$4:$E$3651,PENJUALAN!$C$4:$C$3651,'Current Stock'!A1489)</f>
        <v>1</v>
      </c>
      <c r="J1489" s="15">
        <f t="shared" si="2"/>
        <v>0</v>
      </c>
      <c r="K1489" s="13"/>
      <c r="L1489" s="13"/>
      <c r="M1489" s="11"/>
      <c r="N1489" s="11"/>
      <c r="O1489" s="17"/>
      <c r="P1489" s="17"/>
    </row>
    <row r="1490" ht="13.5" customHeight="1">
      <c r="A1490" s="11" t="str">
        <f t="shared" si="1"/>
        <v>TRW-FORTUNER05XYG</v>
      </c>
      <c r="B1490" s="36" t="s">
        <v>1133</v>
      </c>
      <c r="C1490" s="31" t="s">
        <v>1781</v>
      </c>
      <c r="D1490" s="33" t="s">
        <v>62</v>
      </c>
      <c r="E1490" s="11" t="s">
        <v>16</v>
      </c>
      <c r="F1490" s="33" t="s">
        <v>83</v>
      </c>
      <c r="G1490" s="34"/>
      <c r="H1490" s="11">
        <f>SUMIFS(X!$F$3:$F$5978,X!$D$3:$D$5978,'Current Stock'!A1490)</f>
        <v>2</v>
      </c>
      <c r="I1490" s="11">
        <f>SUMIFS(PENJUALAN!$E$4:$E$3651,PENJUALAN!$C$4:$C$3651,'Current Stock'!A1490)</f>
        <v>1</v>
      </c>
      <c r="J1490" s="15">
        <f t="shared" si="2"/>
        <v>1</v>
      </c>
      <c r="K1490" s="13"/>
      <c r="L1490" s="13"/>
      <c r="M1490" s="16"/>
      <c r="N1490" s="13"/>
      <c r="O1490" s="45"/>
      <c r="P1490" s="45"/>
    </row>
    <row r="1491" ht="13.5" customHeight="1">
      <c r="A1491" s="11" t="str">
        <f t="shared" si="1"/>
        <v>RDL-FORTUNER05XYG</v>
      </c>
      <c r="B1491" s="32" t="s">
        <v>1138</v>
      </c>
      <c r="C1491" s="33" t="s">
        <v>1132</v>
      </c>
      <c r="D1491" s="33" t="s">
        <v>144</v>
      </c>
      <c r="E1491" s="11" t="s">
        <v>16</v>
      </c>
      <c r="F1491" s="33"/>
      <c r="G1491" s="11"/>
      <c r="H1491" s="11">
        <f>SUMIFS(X!$F$3:$F$5978,X!$D$3:$D$5978,'Current Stock'!A1491)</f>
        <v>0</v>
      </c>
      <c r="I1491" s="11">
        <f>SUMIFS(PENJUALAN!$E$4:$E$3651,PENJUALAN!$C$4:$C$3651,'Current Stock'!A1491)</f>
        <v>0</v>
      </c>
      <c r="J1491" s="15">
        <f t="shared" si="2"/>
        <v>0</v>
      </c>
      <c r="K1491" s="13"/>
      <c r="L1491" s="13"/>
      <c r="M1491" s="16">
        <v>1.0</v>
      </c>
      <c r="N1491" s="11"/>
      <c r="O1491" s="17"/>
      <c r="P1491" s="17"/>
    </row>
    <row r="1492" ht="13.5" customHeight="1">
      <c r="A1492" s="11" t="str">
        <f t="shared" si="1"/>
        <v>RDR-FORTUNER05XYG</v>
      </c>
      <c r="B1492" s="32" t="s">
        <v>1139</v>
      </c>
      <c r="C1492" s="33" t="s">
        <v>1132</v>
      </c>
      <c r="D1492" s="33" t="s">
        <v>146</v>
      </c>
      <c r="E1492" s="11" t="s">
        <v>16</v>
      </c>
      <c r="F1492" s="33"/>
      <c r="G1492" s="11"/>
      <c r="H1492" s="11">
        <f>SUMIFS(X!$F$3:$F$5978,X!$D$3:$D$5978,'Current Stock'!A1492)</f>
        <v>1</v>
      </c>
      <c r="I1492" s="11">
        <f>SUMIFS(PENJUALAN!$E$4:$E$3651,PENJUALAN!$C$4:$C$3651,'Current Stock'!A1492)</f>
        <v>1</v>
      </c>
      <c r="J1492" s="15">
        <f t="shared" si="2"/>
        <v>0</v>
      </c>
      <c r="K1492" s="13" t="s">
        <v>1137</v>
      </c>
      <c r="L1492" s="13"/>
      <c r="M1492" s="11"/>
      <c r="N1492" s="11"/>
      <c r="O1492" s="17"/>
      <c r="P1492" s="17"/>
    </row>
    <row r="1493" ht="13.5" customHeight="1">
      <c r="A1493" s="11" t="str">
        <f t="shared" si="1"/>
        <v>SWL-FORTUNER05BLACKXYG</v>
      </c>
      <c r="B1493" s="32" t="s">
        <v>1140</v>
      </c>
      <c r="C1493" s="33" t="s">
        <v>1136</v>
      </c>
      <c r="D1493" s="33" t="s">
        <v>209</v>
      </c>
      <c r="E1493" s="11" t="s">
        <v>16</v>
      </c>
      <c r="F1493" s="33" t="s">
        <v>109</v>
      </c>
      <c r="G1493" s="11"/>
      <c r="H1493" s="11">
        <f>SUMIFS(X!$F$3:$F$5978,X!$D$3:$D$5978,'Current Stock'!A1493)</f>
        <v>0</v>
      </c>
      <c r="I1493" s="11">
        <f>SUMIFS(PENJUALAN!$E$4:$E$3651,PENJUALAN!$C$4:$C$3651,'Current Stock'!A1493)</f>
        <v>0</v>
      </c>
      <c r="J1493" s="15">
        <f t="shared" si="2"/>
        <v>0</v>
      </c>
      <c r="K1493" s="11"/>
      <c r="L1493" s="11"/>
      <c r="M1493" s="11"/>
      <c r="N1493" s="11"/>
      <c r="O1493" s="17"/>
      <c r="P1493" s="17"/>
    </row>
    <row r="1494" ht="13.5" customHeight="1">
      <c r="A1494" s="11" t="str">
        <f t="shared" si="1"/>
        <v>SWR-FORTUNER05BLACKXYG</v>
      </c>
      <c r="B1494" s="32" t="s">
        <v>1141</v>
      </c>
      <c r="C1494" s="33" t="s">
        <v>1136</v>
      </c>
      <c r="D1494" s="33" t="s">
        <v>243</v>
      </c>
      <c r="E1494" s="11" t="s">
        <v>16</v>
      </c>
      <c r="F1494" s="33" t="s">
        <v>241</v>
      </c>
      <c r="G1494" s="14">
        <v>45988.0</v>
      </c>
      <c r="H1494" s="11">
        <f>SUMIFS(X!$F$3:$F$5978,X!$D$3:$D$5978,'Current Stock'!A1494)</f>
        <v>2</v>
      </c>
      <c r="I1494" s="11">
        <f>SUMIFS(PENJUALAN!$E$4:$E$3651,PENJUALAN!$C$4:$C$3651,'Current Stock'!A1494)</f>
        <v>2</v>
      </c>
      <c r="J1494" s="15">
        <f t="shared" si="2"/>
        <v>0</v>
      </c>
      <c r="K1494" s="13"/>
      <c r="L1494" s="11"/>
      <c r="M1494" s="11"/>
      <c r="N1494" s="11"/>
      <c r="O1494" s="17"/>
      <c r="P1494" s="17"/>
    </row>
    <row r="1495" ht="13.5" customHeight="1">
      <c r="A1495" s="11" t="str">
        <f t="shared" si="1"/>
        <v>LFW-FORTUNER15XYG</v>
      </c>
      <c r="B1495" s="32" t="s">
        <v>1142</v>
      </c>
      <c r="C1495" s="33" t="s">
        <v>1143</v>
      </c>
      <c r="D1495" s="33" t="s">
        <v>60</v>
      </c>
      <c r="E1495" s="11" t="s">
        <v>16</v>
      </c>
      <c r="F1495" s="33" t="s">
        <v>137</v>
      </c>
      <c r="G1495" s="11"/>
      <c r="H1495" s="11">
        <f>SUMIFS(X!$F$3:$F$5978,X!$D$3:$D$5978,'Current Stock'!A1495)</f>
        <v>8</v>
      </c>
      <c r="I1495" s="11">
        <f>SUMIFS(PENJUALAN!$E$4:$E$3651,PENJUALAN!$C$4:$C$3651,'Current Stock'!A1495)</f>
        <v>3</v>
      </c>
      <c r="J1495" s="15">
        <f t="shared" si="2"/>
        <v>5</v>
      </c>
      <c r="K1495" s="11"/>
      <c r="L1495" s="11"/>
      <c r="M1495" s="11"/>
      <c r="N1495" s="11"/>
      <c r="O1495" s="17"/>
      <c r="P1495" s="17"/>
    </row>
    <row r="1496" ht="13.5" customHeight="1">
      <c r="A1496" s="11" t="str">
        <f t="shared" si="1"/>
        <v>LFW-ALPHARD18XYG</v>
      </c>
      <c r="B1496" s="32" t="s">
        <v>1782</v>
      </c>
      <c r="C1496" s="35" t="s">
        <v>1783</v>
      </c>
      <c r="D1496" s="35" t="s">
        <v>60</v>
      </c>
      <c r="E1496" s="11" t="s">
        <v>16</v>
      </c>
      <c r="F1496" s="42" t="s">
        <v>137</v>
      </c>
      <c r="G1496" s="11"/>
      <c r="H1496" s="11">
        <f>SUMIFS(X!$F$3:$F$5978,X!$D$3:$D$5978,'Current Stock'!A1496)</f>
        <v>1</v>
      </c>
      <c r="I1496" s="11">
        <f>SUMIFS(PENJUALAN!$E$4:$E$3651,PENJUALAN!$C$4:$C$3651,'Current Stock'!A1496)</f>
        <v>1</v>
      </c>
      <c r="J1496" s="15">
        <f t="shared" si="2"/>
        <v>0</v>
      </c>
      <c r="K1496" s="17"/>
      <c r="L1496" s="17"/>
      <c r="M1496" s="11"/>
      <c r="N1496" s="11"/>
      <c r="O1496" s="17"/>
      <c r="P1496" s="17"/>
    </row>
    <row r="1497" ht="13.5" customHeight="1">
      <c r="A1497" s="11" t="str">
        <f t="shared" si="1"/>
        <v>TRW-FORTUNER15BLACKXYG</v>
      </c>
      <c r="B1497" s="32" t="s">
        <v>1145</v>
      </c>
      <c r="C1497" s="33" t="s">
        <v>1146</v>
      </c>
      <c r="D1497" s="33" t="s">
        <v>62</v>
      </c>
      <c r="E1497" s="11" t="s">
        <v>16</v>
      </c>
      <c r="F1497" s="33" t="s">
        <v>228</v>
      </c>
      <c r="G1497" s="34"/>
      <c r="H1497" s="11">
        <f>SUMIFS(X!$F$3:$F$5978,X!$D$3:$D$5978,'Current Stock'!A1497)</f>
        <v>1</v>
      </c>
      <c r="I1497" s="11">
        <f>SUMIFS(PENJUALAN!$E$4:$E$3651,PENJUALAN!$C$4:$C$3651,'Current Stock'!A1497)</f>
        <v>0</v>
      </c>
      <c r="J1497" s="15">
        <f t="shared" si="2"/>
        <v>1</v>
      </c>
      <c r="K1497" s="13"/>
      <c r="L1497" s="11"/>
      <c r="M1497" s="11"/>
      <c r="N1497" s="11"/>
      <c r="O1497" s="17"/>
      <c r="P1497" s="17"/>
    </row>
    <row r="1498" ht="13.5" customHeight="1">
      <c r="A1498" s="11" t="str">
        <f t="shared" si="1"/>
        <v>RDL-FORTUNER15XYG</v>
      </c>
      <c r="B1498" s="32" t="s">
        <v>1147</v>
      </c>
      <c r="C1498" s="33" t="s">
        <v>1143</v>
      </c>
      <c r="D1498" s="33" t="s">
        <v>144</v>
      </c>
      <c r="E1498" s="11" t="s">
        <v>16</v>
      </c>
      <c r="F1498" s="33"/>
      <c r="G1498" s="11"/>
      <c r="H1498" s="11">
        <f>SUMIFS(X!$F$3:$F$5978,X!$D$3:$D$5978,'Current Stock'!A1498)</f>
        <v>1</v>
      </c>
      <c r="I1498" s="11">
        <f>SUMIFS(PENJUALAN!$E$4:$E$3651,PENJUALAN!$C$4:$C$3651,'Current Stock'!A1498)</f>
        <v>1</v>
      </c>
      <c r="J1498" s="15">
        <f t="shared" si="2"/>
        <v>0</v>
      </c>
      <c r="K1498" s="11"/>
      <c r="L1498" s="11"/>
      <c r="M1498" s="11"/>
      <c r="N1498" s="11"/>
      <c r="O1498" s="17"/>
      <c r="P1498" s="17"/>
    </row>
    <row r="1499" ht="13.5" customHeight="1">
      <c r="A1499" s="11" t="str">
        <f t="shared" si="1"/>
        <v>LFW-ALPHARD18RSXYG</v>
      </c>
      <c r="B1499" s="32" t="s">
        <v>1784</v>
      </c>
      <c r="C1499" s="35" t="s">
        <v>1785</v>
      </c>
      <c r="D1499" s="35" t="s">
        <v>60</v>
      </c>
      <c r="E1499" s="11" t="s">
        <v>16</v>
      </c>
      <c r="F1499" s="42" t="s">
        <v>90</v>
      </c>
      <c r="G1499" s="11"/>
      <c r="H1499" s="11">
        <f>SUMIFS(X!$F$3:$F$5978,X!$D$3:$D$5978,'Current Stock'!A1499)</f>
        <v>3</v>
      </c>
      <c r="I1499" s="11">
        <f>SUMIFS(PENJUALAN!$E$4:$E$3651,PENJUALAN!$C$4:$C$3651,'Current Stock'!A1499)</f>
        <v>3</v>
      </c>
      <c r="J1499" s="15">
        <f t="shared" si="2"/>
        <v>0</v>
      </c>
      <c r="K1499" s="11"/>
      <c r="L1499" s="11"/>
      <c r="M1499" s="11"/>
      <c r="N1499" s="11"/>
      <c r="O1499" s="17"/>
      <c r="P1499" s="17"/>
    </row>
    <row r="1500" ht="13.5" customHeight="1">
      <c r="A1500" s="11" t="str">
        <f t="shared" si="1"/>
        <v>LFW-FT86XYG</v>
      </c>
      <c r="B1500" s="32" t="s">
        <v>1786</v>
      </c>
      <c r="C1500" s="33" t="s">
        <v>1787</v>
      </c>
      <c r="D1500" s="33" t="s">
        <v>60</v>
      </c>
      <c r="E1500" s="11" t="s">
        <v>16</v>
      </c>
      <c r="F1500" s="33" t="s">
        <v>745</v>
      </c>
      <c r="G1500" s="11"/>
      <c r="H1500" s="11">
        <f>SUMIFS(X!$F$3:$F$5978,X!$D$3:$D$5978,'Current Stock'!A1500)</f>
        <v>0</v>
      </c>
      <c r="I1500" s="11">
        <f>SUMIFS(PENJUALAN!$E$4:$E$3651,PENJUALAN!$C$4:$C$3651,'Current Stock'!A1500)</f>
        <v>0</v>
      </c>
      <c r="J1500" s="15">
        <f t="shared" si="2"/>
        <v>0</v>
      </c>
      <c r="K1500" s="11"/>
      <c r="L1500" s="11"/>
      <c r="M1500" s="11"/>
      <c r="N1500" s="11"/>
      <c r="O1500" s="17"/>
      <c r="P1500" s="17"/>
    </row>
    <row r="1501" ht="13.5" customHeight="1">
      <c r="A1501" s="11" t="str">
        <f t="shared" si="1"/>
        <v>TRW-FT86XYG</v>
      </c>
      <c r="B1501" s="32" t="s">
        <v>1788</v>
      </c>
      <c r="C1501" s="33" t="s">
        <v>1787</v>
      </c>
      <c r="D1501" s="33" t="s">
        <v>62</v>
      </c>
      <c r="E1501" s="11" t="s">
        <v>16</v>
      </c>
      <c r="F1501" s="33" t="s">
        <v>83</v>
      </c>
      <c r="G1501" s="11"/>
      <c r="H1501" s="11">
        <f>SUMIFS(X!$F$3:$F$5978,X!$D$3:$D$5978,'Current Stock'!A1501)</f>
        <v>0</v>
      </c>
      <c r="I1501" s="11">
        <f>SUMIFS(PENJUALAN!$E$4:$E$3651,PENJUALAN!$C$4:$C$3651,'Current Stock'!A1501)</f>
        <v>0</v>
      </c>
      <c r="J1501" s="15">
        <f t="shared" si="2"/>
        <v>0</v>
      </c>
      <c r="K1501" s="11"/>
      <c r="L1501" s="11"/>
      <c r="M1501" s="11"/>
      <c r="N1501" s="11"/>
      <c r="O1501" s="17"/>
      <c r="P1501" s="17"/>
    </row>
    <row r="1502" ht="13.5" customHeight="1">
      <c r="A1502" s="11" t="str">
        <f t="shared" si="1"/>
        <v>LFW-ALTIS06XYG</v>
      </c>
      <c r="B1502" s="32" t="s">
        <v>1076</v>
      </c>
      <c r="C1502" s="33" t="s">
        <v>1077</v>
      </c>
      <c r="D1502" s="33" t="s">
        <v>60</v>
      </c>
      <c r="E1502" s="11" t="s">
        <v>16</v>
      </c>
      <c r="F1502" s="33" t="s">
        <v>137</v>
      </c>
      <c r="G1502" s="11"/>
      <c r="H1502" s="11">
        <f>SUMIFS(X!$F$3:$F$5978,X!$D$3:$D$5978,'Current Stock'!A1502)</f>
        <v>2</v>
      </c>
      <c r="I1502" s="11">
        <f>SUMIFS(PENJUALAN!$E$4:$E$3651,PENJUALAN!$C$4:$C$3651,'Current Stock'!A1502)</f>
        <v>2</v>
      </c>
      <c r="J1502" s="15">
        <f t="shared" si="2"/>
        <v>0</v>
      </c>
      <c r="K1502" s="11"/>
      <c r="L1502" s="11"/>
      <c r="M1502" s="11"/>
      <c r="N1502" s="11"/>
      <c r="O1502" s="17"/>
      <c r="P1502" s="17"/>
    </row>
    <row r="1503" ht="13.5" customHeight="1">
      <c r="A1503" s="11" t="str">
        <f t="shared" si="1"/>
        <v>TRW-HIACEXYG</v>
      </c>
      <c r="B1503" s="32" t="s">
        <v>1151</v>
      </c>
      <c r="C1503" s="31" t="s">
        <v>1789</v>
      </c>
      <c r="D1503" s="33" t="s">
        <v>60</v>
      </c>
      <c r="E1503" s="11" t="s">
        <v>16</v>
      </c>
      <c r="F1503" s="33" t="s">
        <v>450</v>
      </c>
      <c r="G1503" s="11"/>
      <c r="H1503" s="11">
        <f>SUMIFS(X!$F$3:$F$5978,X!$D$3:$D$5978,'Current Stock'!A1503)</f>
        <v>2</v>
      </c>
      <c r="I1503" s="11">
        <f>SUMIFS(PENJUALAN!$E$4:$E$3651,PENJUALAN!$C$4:$C$3651,'Current Stock'!A1503)</f>
        <v>2</v>
      </c>
      <c r="J1503" s="15">
        <f t="shared" si="2"/>
        <v>0</v>
      </c>
      <c r="K1503" s="13"/>
      <c r="L1503" s="13"/>
      <c r="M1503" s="11"/>
      <c r="N1503" s="13"/>
      <c r="O1503" s="45"/>
      <c r="P1503" s="45"/>
    </row>
    <row r="1504" ht="13.5" customHeight="1">
      <c r="A1504" s="11" t="str">
        <f t="shared" si="1"/>
        <v>TRW-HIACEC20XYG</v>
      </c>
      <c r="B1504" s="36" t="s">
        <v>1790</v>
      </c>
      <c r="C1504" s="31" t="s">
        <v>1791</v>
      </c>
      <c r="D1504" s="31" t="s">
        <v>62</v>
      </c>
      <c r="E1504" s="13" t="s">
        <v>16</v>
      </c>
      <c r="F1504" s="31" t="s">
        <v>1792</v>
      </c>
      <c r="G1504" s="11"/>
      <c r="H1504" s="11">
        <f>SUMIFS(X!$F$3:$F$5978,X!$D$3:$D$5978,'Current Stock'!A1504)</f>
        <v>0</v>
      </c>
      <c r="I1504" s="11">
        <f>SUMIFS(PENJUALAN!$E$4:$E$3651,PENJUALAN!$C$4:$C$3651,'Current Stock'!A1504)</f>
        <v>0</v>
      </c>
      <c r="J1504" s="15">
        <f t="shared" si="2"/>
        <v>0</v>
      </c>
      <c r="K1504" s="13"/>
      <c r="L1504" s="13"/>
      <c r="M1504" s="11"/>
      <c r="N1504" s="11"/>
      <c r="O1504" s="17"/>
      <c r="P1504" s="17"/>
    </row>
    <row r="1505" ht="13.5" customHeight="1">
      <c r="A1505" s="11" t="str">
        <f t="shared" si="1"/>
        <v>FDL-HIACEXYG</v>
      </c>
      <c r="B1505" s="32" t="s">
        <v>1152</v>
      </c>
      <c r="C1505" s="33" t="s">
        <v>1150</v>
      </c>
      <c r="D1505" s="33" t="s">
        <v>140</v>
      </c>
      <c r="E1505" s="11" t="s">
        <v>16</v>
      </c>
      <c r="F1505" s="33" t="s">
        <v>406</v>
      </c>
      <c r="G1505" s="14">
        <v>45988.0</v>
      </c>
      <c r="H1505" s="11">
        <f>SUMIFS(X!$F$3:$F$5978,X!$D$3:$D$5978,'Current Stock'!A1505)</f>
        <v>0</v>
      </c>
      <c r="I1505" s="11">
        <f>SUMIFS(PENJUALAN!$E$4:$E$3651,PENJUALAN!$C$4:$C$3651,'Current Stock'!A1505)</f>
        <v>0</v>
      </c>
      <c r="J1505" s="15">
        <f t="shared" si="2"/>
        <v>0</v>
      </c>
      <c r="K1505" s="13"/>
      <c r="L1505" s="13"/>
      <c r="M1505" s="11"/>
      <c r="N1505" s="11"/>
      <c r="O1505" s="17"/>
      <c r="P1505" s="17"/>
    </row>
    <row r="1506" ht="13.5" customHeight="1">
      <c r="A1506" s="11" t="str">
        <f t="shared" si="1"/>
        <v>FDR-HIACEXYG</v>
      </c>
      <c r="B1506" s="32" t="s">
        <v>1153</v>
      </c>
      <c r="C1506" s="33" t="s">
        <v>1150</v>
      </c>
      <c r="D1506" s="33" t="s">
        <v>142</v>
      </c>
      <c r="E1506" s="11" t="s">
        <v>16</v>
      </c>
      <c r="F1506" s="33" t="s">
        <v>406</v>
      </c>
      <c r="G1506" s="11"/>
      <c r="H1506" s="11">
        <f>SUMIFS(X!$F$3:$F$5978,X!$D$3:$D$5978,'Current Stock'!A1506)</f>
        <v>0</v>
      </c>
      <c r="I1506" s="11">
        <f>SUMIFS(PENJUALAN!$E$4:$E$3651,PENJUALAN!$C$4:$C$3651,'Current Stock'!A1506)</f>
        <v>0</v>
      </c>
      <c r="J1506" s="15">
        <f t="shared" si="2"/>
        <v>0</v>
      </c>
      <c r="K1506" s="13"/>
      <c r="L1506" s="13"/>
      <c r="M1506" s="11"/>
      <c r="N1506" s="11"/>
      <c r="O1506" s="17"/>
      <c r="P1506" s="17"/>
    </row>
    <row r="1507" ht="13.5" customHeight="1">
      <c r="A1507" s="11" t="str">
        <f t="shared" si="1"/>
        <v>RDR-HIACEXYG</v>
      </c>
      <c r="B1507" s="32" t="s">
        <v>1793</v>
      </c>
      <c r="C1507" s="33" t="s">
        <v>1150</v>
      </c>
      <c r="D1507" s="33" t="s">
        <v>146</v>
      </c>
      <c r="E1507" s="11" t="s">
        <v>16</v>
      </c>
      <c r="F1507" s="33" t="s">
        <v>109</v>
      </c>
      <c r="G1507" s="11"/>
      <c r="H1507" s="11">
        <f>SUMIFS(X!$F$3:$F$5978,X!$D$3:$D$5978,'Current Stock'!A1507)</f>
        <v>0</v>
      </c>
      <c r="I1507" s="11">
        <f>SUMIFS(PENJUALAN!$E$4:$E$3651,PENJUALAN!$C$4:$C$3651,'Current Stock'!A1507)</f>
        <v>0</v>
      </c>
      <c r="J1507" s="15">
        <f t="shared" si="2"/>
        <v>0</v>
      </c>
      <c r="K1507" s="13"/>
      <c r="L1507" s="13"/>
      <c r="M1507" s="11"/>
      <c r="N1507" s="11"/>
      <c r="O1507" s="17"/>
      <c r="P1507" s="17"/>
    </row>
    <row r="1508" ht="13.5" customHeight="1">
      <c r="A1508" s="11" t="str">
        <f t="shared" si="1"/>
        <v>LFW-CAMRY06XYG</v>
      </c>
      <c r="B1508" s="32" t="s">
        <v>1112</v>
      </c>
      <c r="C1508" s="33" t="s">
        <v>1113</v>
      </c>
      <c r="D1508" s="33" t="s">
        <v>60</v>
      </c>
      <c r="E1508" s="11" t="s">
        <v>16</v>
      </c>
      <c r="F1508" s="33" t="s">
        <v>137</v>
      </c>
      <c r="G1508" s="34">
        <v>46021.0</v>
      </c>
      <c r="H1508" s="11">
        <f>SUMIFS(X!$F$3:$F$5978,X!$D$3:$D$5978,'Current Stock'!A1508)</f>
        <v>2</v>
      </c>
      <c r="I1508" s="11">
        <f>SUMIFS(PENJUALAN!$E$4:$E$3651,PENJUALAN!$C$4:$C$3651,'Current Stock'!A1508)</f>
        <v>1</v>
      </c>
      <c r="J1508" s="15">
        <f t="shared" si="2"/>
        <v>1</v>
      </c>
      <c r="K1508" s="13" t="s">
        <v>1616</v>
      </c>
      <c r="L1508" s="13"/>
      <c r="M1508" s="11"/>
      <c r="N1508" s="11"/>
      <c r="O1508" s="17"/>
      <c r="P1508" s="17"/>
    </row>
    <row r="1509" ht="13.5" customHeight="1">
      <c r="A1509" s="11" t="str">
        <f t="shared" si="1"/>
        <v>SFR-HIACEXYG</v>
      </c>
      <c r="B1509" s="32" t="s">
        <v>1794</v>
      </c>
      <c r="C1509" s="33" t="s">
        <v>1150</v>
      </c>
      <c r="D1509" s="33" t="s">
        <v>908</v>
      </c>
      <c r="E1509" s="11" t="s">
        <v>16</v>
      </c>
      <c r="F1509" s="33" t="s">
        <v>109</v>
      </c>
      <c r="G1509" s="11"/>
      <c r="H1509" s="11">
        <f>SUMIFS(X!$F$3:$F$5978,X!$D$3:$D$5978,'Current Stock'!A1509)</f>
        <v>0</v>
      </c>
      <c r="I1509" s="11">
        <f>SUMIFS(PENJUALAN!$E$4:$E$3651,PENJUALAN!$C$4:$C$3651,'Current Stock'!A1509)</f>
        <v>0</v>
      </c>
      <c r="J1509" s="15">
        <f t="shared" si="2"/>
        <v>0</v>
      </c>
      <c r="K1509" s="13"/>
      <c r="L1509" s="13"/>
      <c r="M1509" s="11"/>
      <c r="N1509" s="11"/>
      <c r="O1509" s="17"/>
      <c r="P1509" s="17"/>
    </row>
    <row r="1510" ht="13.5" customHeight="1">
      <c r="A1510" s="11" t="str">
        <f t="shared" si="1"/>
        <v>SRL-HIACEXYG</v>
      </c>
      <c r="B1510" s="32" t="s">
        <v>1154</v>
      </c>
      <c r="C1510" s="33" t="s">
        <v>1150</v>
      </c>
      <c r="D1510" s="33" t="s">
        <v>910</v>
      </c>
      <c r="E1510" s="11" t="s">
        <v>16</v>
      </c>
      <c r="F1510" s="33" t="s">
        <v>109</v>
      </c>
      <c r="G1510" s="11"/>
      <c r="H1510" s="11">
        <f>SUMIFS(X!$F$3:$F$5978,X!$D$3:$D$5978,'Current Stock'!A1510)</f>
        <v>1</v>
      </c>
      <c r="I1510" s="11">
        <f>SUMIFS(PENJUALAN!$E$4:$E$3651,PENJUALAN!$C$4:$C$3651,'Current Stock'!A1510)</f>
        <v>1</v>
      </c>
      <c r="J1510" s="15">
        <f t="shared" si="2"/>
        <v>0</v>
      </c>
      <c r="K1510" s="13"/>
      <c r="L1510" s="13"/>
      <c r="M1510" s="16">
        <v>1.0</v>
      </c>
      <c r="N1510" s="11"/>
      <c r="O1510" s="17"/>
      <c r="P1510" s="17"/>
    </row>
    <row r="1511" ht="13.5" customHeight="1">
      <c r="A1511" s="11" t="str">
        <f t="shared" si="1"/>
        <v>SRR-HIACEXYG</v>
      </c>
      <c r="B1511" s="32" t="s">
        <v>1155</v>
      </c>
      <c r="C1511" s="33" t="s">
        <v>1150</v>
      </c>
      <c r="D1511" s="33" t="s">
        <v>913</v>
      </c>
      <c r="E1511" s="11" t="s">
        <v>16</v>
      </c>
      <c r="F1511" s="33" t="s">
        <v>109</v>
      </c>
      <c r="G1511" s="11"/>
      <c r="H1511" s="11">
        <f>SUMIFS(X!$F$3:$F$5978,X!$D$3:$D$5978,'Current Stock'!A1511)</f>
        <v>0</v>
      </c>
      <c r="I1511" s="11">
        <f>SUMIFS(PENJUALAN!$E$4:$E$3651,PENJUALAN!$C$4:$C$3651,'Current Stock'!A1511)</f>
        <v>0</v>
      </c>
      <c r="J1511" s="15">
        <f t="shared" si="2"/>
        <v>0</v>
      </c>
      <c r="K1511" s="13"/>
      <c r="L1511" s="13"/>
      <c r="M1511" s="11"/>
      <c r="N1511" s="11"/>
      <c r="O1511" s="17"/>
      <c r="P1511" s="17"/>
    </row>
    <row r="1512" ht="13.5" customHeight="1">
      <c r="A1512" s="11" t="str">
        <f t="shared" si="1"/>
        <v>TRW-HIACEBLACKXYG</v>
      </c>
      <c r="B1512" s="32" t="s">
        <v>1156</v>
      </c>
      <c r="C1512" s="33" t="s">
        <v>1157</v>
      </c>
      <c r="D1512" s="33" t="s">
        <v>62</v>
      </c>
      <c r="E1512" s="11" t="s">
        <v>16</v>
      </c>
      <c r="F1512" s="33" t="s">
        <v>450</v>
      </c>
      <c r="G1512" s="11"/>
      <c r="H1512" s="11">
        <f>SUMIFS(X!$F$3:$F$5978,X!$D$3:$D$5978,'Current Stock'!A1512)</f>
        <v>0</v>
      </c>
      <c r="I1512" s="11">
        <f>SUMIFS(PENJUALAN!$E$4:$E$3651,PENJUALAN!$C$4:$C$3651,'Current Stock'!A1512)</f>
        <v>0</v>
      </c>
      <c r="J1512" s="15">
        <f t="shared" si="2"/>
        <v>0</v>
      </c>
      <c r="K1512" s="13"/>
      <c r="L1512" s="13"/>
      <c r="M1512" s="11"/>
      <c r="N1512" s="11"/>
      <c r="O1512" s="17"/>
      <c r="P1512" s="17"/>
    </row>
    <row r="1513" ht="13.5" customHeight="1">
      <c r="A1513" s="11" t="str">
        <f t="shared" si="1"/>
        <v>RDL-HIACEFXYG</v>
      </c>
      <c r="B1513" s="36" t="s">
        <v>1795</v>
      </c>
      <c r="C1513" s="33" t="s">
        <v>1796</v>
      </c>
      <c r="D1513" s="33" t="s">
        <v>144</v>
      </c>
      <c r="E1513" s="11" t="s">
        <v>16</v>
      </c>
      <c r="F1513" s="33" t="s">
        <v>109</v>
      </c>
      <c r="G1513" s="11"/>
      <c r="H1513" s="11">
        <f>SUMIFS(X!$F$3:$F$5978,X!$D$3:$D$5978,'Current Stock'!A1513)</f>
        <v>1</v>
      </c>
      <c r="I1513" s="11">
        <f>SUMIFS(PENJUALAN!$E$4:$E$3651,PENJUALAN!$C$4:$C$3651,'Current Stock'!A1513)</f>
        <v>1</v>
      </c>
      <c r="J1513" s="15">
        <f t="shared" si="2"/>
        <v>0</v>
      </c>
      <c r="K1513" s="13"/>
      <c r="L1513" s="13"/>
      <c r="M1513" s="11"/>
      <c r="N1513" s="11"/>
      <c r="O1513" s="17"/>
      <c r="P1513" s="17"/>
    </row>
    <row r="1514" ht="13.5" customHeight="1">
      <c r="A1514" s="11" t="str">
        <f t="shared" si="1"/>
        <v>LFW-CAMRY06RSXYG</v>
      </c>
      <c r="B1514" s="32" t="s">
        <v>1114</v>
      </c>
      <c r="C1514" s="33" t="s">
        <v>1113</v>
      </c>
      <c r="D1514" s="33" t="s">
        <v>60</v>
      </c>
      <c r="E1514" s="11" t="s">
        <v>16</v>
      </c>
      <c r="F1514" s="33" t="s">
        <v>90</v>
      </c>
      <c r="G1514" s="11"/>
      <c r="H1514" s="11">
        <f>SUMIFS(X!$F$3:$F$5978,X!$D$3:$D$5978,'Current Stock'!A1514)</f>
        <v>2</v>
      </c>
      <c r="I1514" s="11">
        <f>SUMIFS(PENJUALAN!$E$4:$E$3651,PENJUALAN!$C$4:$C$3651,'Current Stock'!A1514)</f>
        <v>2</v>
      </c>
      <c r="J1514" s="15">
        <f t="shared" si="2"/>
        <v>0</v>
      </c>
      <c r="K1514" s="13"/>
      <c r="L1514" s="13"/>
      <c r="M1514" s="11"/>
      <c r="N1514" s="11"/>
      <c r="O1514" s="17"/>
      <c r="P1514" s="17"/>
    </row>
    <row r="1515" ht="13.5" customHeight="1">
      <c r="A1515" s="11" t="str">
        <f t="shared" si="1"/>
        <v>FDL-HIACE19XYG</v>
      </c>
      <c r="B1515" s="32" t="s">
        <v>1797</v>
      </c>
      <c r="C1515" s="33" t="s">
        <v>1798</v>
      </c>
      <c r="D1515" s="33" t="s">
        <v>140</v>
      </c>
      <c r="E1515" s="11" t="s">
        <v>16</v>
      </c>
      <c r="F1515" s="33"/>
      <c r="G1515" s="11"/>
      <c r="H1515" s="11">
        <f>SUMIFS(X!$F$3:$F$5978,X!$D$3:$D$5978,'Current Stock'!A1515)</f>
        <v>0</v>
      </c>
      <c r="I1515" s="11">
        <f>SUMIFS(PENJUALAN!$E$4:$E$3651,PENJUALAN!$C$4:$C$3651,'Current Stock'!A1515)</f>
        <v>0</v>
      </c>
      <c r="J1515" s="15">
        <f t="shared" si="2"/>
        <v>0</v>
      </c>
      <c r="K1515" s="11"/>
      <c r="L1515" s="11"/>
      <c r="M1515" s="11"/>
      <c r="N1515" s="11"/>
      <c r="O1515" s="17"/>
      <c r="P1515" s="17"/>
    </row>
    <row r="1516" ht="13.5" customHeight="1">
      <c r="A1516" s="11" t="str">
        <f t="shared" si="1"/>
        <v>FDR-HIACE19XYG</v>
      </c>
      <c r="B1516" s="32" t="s">
        <v>1799</v>
      </c>
      <c r="C1516" s="33" t="s">
        <v>1798</v>
      </c>
      <c r="D1516" s="33" t="s">
        <v>142</v>
      </c>
      <c r="E1516" s="11" t="s">
        <v>16</v>
      </c>
      <c r="F1516" s="33"/>
      <c r="G1516" s="11"/>
      <c r="H1516" s="11">
        <f>SUMIFS(X!$F$3:$F$5978,X!$D$3:$D$5978,'Current Stock'!A1516)</f>
        <v>0</v>
      </c>
      <c r="I1516" s="11">
        <f>SUMIFS(PENJUALAN!$E$4:$E$3651,PENJUALAN!$C$4:$C$3651,'Current Stock'!A1516)</f>
        <v>0</v>
      </c>
      <c r="J1516" s="15">
        <f t="shared" si="2"/>
        <v>0</v>
      </c>
      <c r="K1516" s="13" t="s">
        <v>1800</v>
      </c>
      <c r="L1516" s="11"/>
      <c r="M1516" s="11"/>
      <c r="N1516" s="11"/>
      <c r="O1516" s="17"/>
      <c r="P1516" s="17"/>
    </row>
    <row r="1517" ht="13.5" customHeight="1">
      <c r="A1517" s="11" t="str">
        <f t="shared" si="1"/>
        <v>RDL-HIACE19FRAMEXYG</v>
      </c>
      <c r="B1517" s="32" t="s">
        <v>1801</v>
      </c>
      <c r="C1517" s="33" t="s">
        <v>1802</v>
      </c>
      <c r="D1517" s="33" t="s">
        <v>144</v>
      </c>
      <c r="E1517" s="11" t="s">
        <v>16</v>
      </c>
      <c r="F1517" s="33" t="s">
        <v>109</v>
      </c>
      <c r="G1517" s="11"/>
      <c r="H1517" s="11">
        <f>SUMIFS(X!$F$3:$F$5978,X!$D$3:$D$5978,'Current Stock'!A1517)</f>
        <v>0</v>
      </c>
      <c r="I1517" s="11">
        <f>SUMIFS(PENJUALAN!$E$4:$E$3651,PENJUALAN!$C$4:$C$3651,'Current Stock'!A1517)</f>
        <v>0</v>
      </c>
      <c r="J1517" s="15">
        <f t="shared" si="2"/>
        <v>0</v>
      </c>
      <c r="K1517" s="11"/>
      <c r="L1517" s="11"/>
      <c r="M1517" s="11"/>
      <c r="N1517" s="11"/>
      <c r="O1517" s="17"/>
      <c r="P1517" s="17"/>
    </row>
    <row r="1518" ht="13.5" customHeight="1">
      <c r="A1518" s="11" t="str">
        <f t="shared" si="1"/>
        <v>RDR-HIACE19XYG</v>
      </c>
      <c r="B1518" s="32" t="s">
        <v>1803</v>
      </c>
      <c r="C1518" s="33" t="s">
        <v>1798</v>
      </c>
      <c r="D1518" s="33" t="s">
        <v>146</v>
      </c>
      <c r="E1518" s="11" t="s">
        <v>16</v>
      </c>
      <c r="F1518" s="33" t="s">
        <v>109</v>
      </c>
      <c r="G1518" s="14">
        <v>45988.0</v>
      </c>
      <c r="H1518" s="11">
        <f>SUMIFS(X!$F$3:$F$5978,X!$D$3:$D$5978,'Current Stock'!A1518)</f>
        <v>0</v>
      </c>
      <c r="I1518" s="11">
        <f>SUMIFS(PENJUALAN!$E$4:$E$3651,PENJUALAN!$C$4:$C$3651,'Current Stock'!A1518)</f>
        <v>0</v>
      </c>
      <c r="J1518" s="15">
        <f t="shared" si="2"/>
        <v>0</v>
      </c>
      <c r="K1518" s="13"/>
      <c r="L1518" s="11"/>
      <c r="M1518" s="11"/>
      <c r="N1518" s="11"/>
      <c r="O1518" s="17"/>
      <c r="P1518" s="17"/>
    </row>
    <row r="1519" ht="13.5" customHeight="1">
      <c r="A1519" s="11" t="str">
        <f t="shared" si="1"/>
        <v>SRL-HIACE19XYG</v>
      </c>
      <c r="B1519" s="32" t="s">
        <v>1804</v>
      </c>
      <c r="C1519" s="33" t="s">
        <v>1798</v>
      </c>
      <c r="D1519" s="33" t="s">
        <v>910</v>
      </c>
      <c r="E1519" s="11" t="s">
        <v>16</v>
      </c>
      <c r="F1519" s="33" t="s">
        <v>109</v>
      </c>
      <c r="G1519" s="11"/>
      <c r="H1519" s="11">
        <f>SUMIFS(X!$F$3:$F$5978,X!$D$3:$D$5978,'Current Stock'!A1519)</f>
        <v>0</v>
      </c>
      <c r="I1519" s="11">
        <f>SUMIFS(PENJUALAN!$E$4:$E$3651,PENJUALAN!$C$4:$C$3651,'Current Stock'!A1519)</f>
        <v>0</v>
      </c>
      <c r="J1519" s="15">
        <f t="shared" si="2"/>
        <v>0</v>
      </c>
      <c r="K1519" s="11"/>
      <c r="L1519" s="11"/>
      <c r="M1519" s="11"/>
      <c r="N1519" s="11"/>
      <c r="O1519" s="17"/>
      <c r="P1519" s="17"/>
    </row>
    <row r="1520" ht="13.5" customHeight="1">
      <c r="A1520" s="11" t="str">
        <f t="shared" si="1"/>
        <v>SRR-HIACE19FRAMEXYG</v>
      </c>
      <c r="B1520" s="32" t="s">
        <v>1805</v>
      </c>
      <c r="C1520" s="33" t="s">
        <v>1802</v>
      </c>
      <c r="D1520" s="33" t="s">
        <v>913</v>
      </c>
      <c r="E1520" s="11" t="s">
        <v>16</v>
      </c>
      <c r="F1520" s="33" t="s">
        <v>109</v>
      </c>
      <c r="G1520" s="11"/>
      <c r="H1520" s="11">
        <f>SUMIFS(X!$F$3:$F$5978,X!$D$3:$D$5978,'Current Stock'!A1520)</f>
        <v>0</v>
      </c>
      <c r="I1520" s="11">
        <f>SUMIFS(PENJUALAN!$E$4:$E$3651,PENJUALAN!$C$4:$C$3651,'Current Stock'!A1520)</f>
        <v>0</v>
      </c>
      <c r="J1520" s="15">
        <f t="shared" si="2"/>
        <v>0</v>
      </c>
      <c r="K1520" s="11"/>
      <c r="L1520" s="11"/>
      <c r="M1520" s="11"/>
      <c r="N1520" s="11"/>
      <c r="O1520" s="17"/>
      <c r="P1520" s="17"/>
    </row>
    <row r="1521" ht="13.5" customHeight="1">
      <c r="A1521" s="11" t="str">
        <f t="shared" si="1"/>
        <v>TRW-CAMRY11XYG</v>
      </c>
      <c r="B1521" s="32" t="s">
        <v>1119</v>
      </c>
      <c r="C1521" s="33" t="s">
        <v>1117</v>
      </c>
      <c r="D1521" s="33" t="s">
        <v>62</v>
      </c>
      <c r="E1521" s="11" t="s">
        <v>16</v>
      </c>
      <c r="F1521" s="33" t="s">
        <v>126</v>
      </c>
      <c r="G1521" s="11"/>
      <c r="H1521" s="11">
        <f>SUMIFS(X!$F$3:$F$5978,X!$D$3:$D$5978,'Current Stock'!A1521)</f>
        <v>1</v>
      </c>
      <c r="I1521" s="11">
        <f>SUMIFS(PENJUALAN!$E$4:$E$3651,PENJUALAN!$C$4:$C$3651,'Current Stock'!A1521)</f>
        <v>1</v>
      </c>
      <c r="J1521" s="15">
        <f t="shared" si="2"/>
        <v>0</v>
      </c>
      <c r="K1521" s="13"/>
      <c r="L1521" s="11"/>
      <c r="M1521" s="11"/>
      <c r="N1521" s="11"/>
      <c r="O1521" s="17"/>
      <c r="P1521" s="17"/>
    </row>
    <row r="1522" ht="13.5" customHeight="1">
      <c r="A1522" s="11" t="str">
        <f t="shared" si="1"/>
        <v>TRW-HIACE19XYG</v>
      </c>
      <c r="B1522" s="32" t="s">
        <v>1806</v>
      </c>
      <c r="C1522" s="33" t="s">
        <v>1807</v>
      </c>
      <c r="D1522" s="33" t="s">
        <v>62</v>
      </c>
      <c r="E1522" s="11" t="s">
        <v>16</v>
      </c>
      <c r="F1522" s="33" t="s">
        <v>228</v>
      </c>
      <c r="G1522" s="11"/>
      <c r="H1522" s="11">
        <f>SUMIFS(X!$F$3:$F$5978,X!$D$3:$D$5978,'Current Stock'!A1522)</f>
        <v>0</v>
      </c>
      <c r="I1522" s="11">
        <f>SUMIFS(PENJUALAN!$E$4:$E$3651,PENJUALAN!$C$4:$C$3651,'Current Stock'!A1522)</f>
        <v>0</v>
      </c>
      <c r="J1522" s="15">
        <f t="shared" si="2"/>
        <v>0</v>
      </c>
      <c r="K1522" s="13"/>
      <c r="L1522" s="13"/>
      <c r="M1522" s="11"/>
      <c r="N1522" s="11"/>
      <c r="O1522" s="17"/>
      <c r="P1522" s="17"/>
    </row>
    <row r="1523" ht="13.5" customHeight="1">
      <c r="A1523" s="11" t="str">
        <f t="shared" si="1"/>
        <v>LFW-HILUX05XYG</v>
      </c>
      <c r="B1523" s="32" t="s">
        <v>1808</v>
      </c>
      <c r="C1523" s="33" t="s">
        <v>1159</v>
      </c>
      <c r="D1523" s="35" t="s">
        <v>60</v>
      </c>
      <c r="E1523" s="11" t="s">
        <v>16</v>
      </c>
      <c r="F1523" s="33" t="s">
        <v>137</v>
      </c>
      <c r="G1523" s="11"/>
      <c r="H1523" s="11">
        <f>SUMIFS(X!$F$3:$F$5978,X!$D$3:$D$5978,'Current Stock'!A1523)</f>
        <v>0</v>
      </c>
      <c r="I1523" s="11">
        <f>SUMIFS(PENJUALAN!$E$4:$E$3651,PENJUALAN!$C$4:$C$3651,'Current Stock'!A1523)</f>
        <v>1</v>
      </c>
      <c r="J1523" s="15">
        <f t="shared" si="2"/>
        <v>-1</v>
      </c>
      <c r="K1523" s="11"/>
      <c r="L1523" s="11"/>
      <c r="M1523" s="11"/>
      <c r="N1523" s="11"/>
      <c r="O1523" s="17"/>
      <c r="P1523" s="17"/>
    </row>
    <row r="1524" ht="13.5" customHeight="1">
      <c r="A1524" s="11" t="str">
        <f t="shared" si="1"/>
        <v>TRW-HILUX05XYG</v>
      </c>
      <c r="B1524" s="32" t="s">
        <v>1158</v>
      </c>
      <c r="C1524" s="33" t="s">
        <v>1159</v>
      </c>
      <c r="D1524" s="33" t="s">
        <v>62</v>
      </c>
      <c r="E1524" s="11" t="s">
        <v>16</v>
      </c>
      <c r="F1524" s="33" t="s">
        <v>130</v>
      </c>
      <c r="G1524" s="11"/>
      <c r="H1524" s="11">
        <f>SUMIFS(X!$F$3:$F$5978,X!$D$3:$D$5978,'Current Stock'!A1524)</f>
        <v>0</v>
      </c>
      <c r="I1524" s="11">
        <f>SUMIFS(PENJUALAN!$E$4:$E$3651,PENJUALAN!$C$4:$C$3651,'Current Stock'!A1524)</f>
        <v>0</v>
      </c>
      <c r="J1524" s="15">
        <f t="shared" si="2"/>
        <v>0</v>
      </c>
      <c r="K1524" s="13"/>
      <c r="L1524" s="13"/>
      <c r="M1524" s="11"/>
      <c r="N1524" s="11"/>
      <c r="O1524" s="17"/>
      <c r="P1524" s="17"/>
    </row>
    <row r="1525" ht="13.5" customHeight="1">
      <c r="A1525" s="11" t="str">
        <f t="shared" si="1"/>
        <v>LFW-HILUX15XYG</v>
      </c>
      <c r="B1525" s="36" t="s">
        <v>1160</v>
      </c>
      <c r="C1525" s="33" t="s">
        <v>1161</v>
      </c>
      <c r="D1525" s="31" t="s">
        <v>60</v>
      </c>
      <c r="E1525" s="13" t="s">
        <v>16</v>
      </c>
      <c r="F1525" s="31" t="s">
        <v>109</v>
      </c>
      <c r="G1525" s="11"/>
      <c r="H1525" s="11">
        <f>SUMIFS(X!$F$3:$F$5978,X!$D$3:$D$5978,'Current Stock'!A1525)</f>
        <v>0</v>
      </c>
      <c r="I1525" s="11">
        <f>SUMIFS(PENJUALAN!$E$4:$E$3651,PENJUALAN!$C$4:$C$3651,'Current Stock'!A1525)</f>
        <v>0</v>
      </c>
      <c r="J1525" s="15">
        <f t="shared" si="2"/>
        <v>0</v>
      </c>
      <c r="K1525" s="13"/>
      <c r="L1525" s="13"/>
      <c r="M1525" s="11"/>
      <c r="N1525" s="11"/>
      <c r="O1525" s="17"/>
      <c r="P1525" s="17"/>
    </row>
    <row r="1526" ht="13.5" customHeight="1">
      <c r="A1526" s="11" t="str">
        <f t="shared" si="1"/>
        <v>TRW-HILUX15HXYG</v>
      </c>
      <c r="B1526" s="32" t="s">
        <v>1162</v>
      </c>
      <c r="C1526" s="33" t="s">
        <v>1161</v>
      </c>
      <c r="D1526" s="33" t="s">
        <v>62</v>
      </c>
      <c r="E1526" s="11" t="s">
        <v>16</v>
      </c>
      <c r="F1526" s="33" t="s">
        <v>83</v>
      </c>
      <c r="G1526" s="11"/>
      <c r="H1526" s="11">
        <f>SUMIFS(X!$F$3:$F$5978,X!$D$3:$D$5978,'Current Stock'!A1526)</f>
        <v>0</v>
      </c>
      <c r="I1526" s="11">
        <f>SUMIFS(PENJUALAN!$E$4:$E$3651,PENJUALAN!$C$4:$C$3651,'Current Stock'!A1526)</f>
        <v>0</v>
      </c>
      <c r="J1526" s="15">
        <f t="shared" si="2"/>
        <v>0</v>
      </c>
      <c r="K1526" s="13"/>
      <c r="L1526" s="13"/>
      <c r="M1526" s="11"/>
      <c r="N1526" s="11"/>
      <c r="O1526" s="17"/>
      <c r="P1526" s="17"/>
    </row>
    <row r="1527" ht="13.5" customHeight="1">
      <c r="A1527" s="11" t="str">
        <f t="shared" si="1"/>
        <v>TRW-HILUX15XYG</v>
      </c>
      <c r="B1527" s="32" t="s">
        <v>1163</v>
      </c>
      <c r="C1527" s="33" t="s">
        <v>1161</v>
      </c>
      <c r="D1527" s="33" t="s">
        <v>62</v>
      </c>
      <c r="E1527" s="11" t="s">
        <v>16</v>
      </c>
      <c r="F1527" s="33" t="s">
        <v>109</v>
      </c>
      <c r="G1527" s="11"/>
      <c r="H1527" s="11">
        <f>SUMIFS(X!$F$3:$F$5978,X!$D$3:$D$5978,'Current Stock'!A1527)</f>
        <v>0</v>
      </c>
      <c r="I1527" s="11">
        <f>SUMIFS(PENJUALAN!$E$4:$E$3651,PENJUALAN!$C$4:$C$3651,'Current Stock'!A1527)</f>
        <v>0</v>
      </c>
      <c r="J1527" s="15">
        <f t="shared" si="2"/>
        <v>0</v>
      </c>
      <c r="K1527" s="13"/>
      <c r="L1527" s="13"/>
      <c r="M1527" s="11"/>
      <c r="N1527" s="11"/>
      <c r="O1527" s="17"/>
      <c r="P1527" s="17"/>
    </row>
    <row r="1528" ht="13.5" customHeight="1">
      <c r="A1528" s="11" t="str">
        <f t="shared" si="1"/>
        <v>RDL-HILUX15XYG</v>
      </c>
      <c r="B1528" s="32" t="s">
        <v>1809</v>
      </c>
      <c r="C1528" s="35" t="s">
        <v>1161</v>
      </c>
      <c r="D1528" s="35" t="s">
        <v>144</v>
      </c>
      <c r="E1528" s="11" t="s">
        <v>16</v>
      </c>
      <c r="F1528" s="35"/>
      <c r="G1528" s="11"/>
      <c r="H1528" s="11">
        <f>SUMIFS(X!$F$3:$F$5978,X!$D$3:$D$5978,'Current Stock'!A1528)</f>
        <v>0</v>
      </c>
      <c r="I1528" s="11">
        <f>SUMIFS(PENJUALAN!$E$4:$E$3651,PENJUALAN!$C$4:$C$3651,'Current Stock'!A1528)</f>
        <v>0</v>
      </c>
      <c r="J1528" s="15">
        <f t="shared" si="2"/>
        <v>0</v>
      </c>
      <c r="K1528" s="13" t="s">
        <v>1137</v>
      </c>
      <c r="L1528" s="13"/>
      <c r="M1528" s="11"/>
      <c r="N1528" s="11"/>
      <c r="O1528" s="17"/>
      <c r="P1528" s="17"/>
    </row>
    <row r="1529" ht="13.5" customHeight="1">
      <c r="A1529" s="11" t="str">
        <f t="shared" si="1"/>
        <v>RDR-HILUX15XYG</v>
      </c>
      <c r="B1529" s="32" t="s">
        <v>1810</v>
      </c>
      <c r="C1529" s="35" t="s">
        <v>1161</v>
      </c>
      <c r="D1529" s="35" t="s">
        <v>146</v>
      </c>
      <c r="E1529" s="11" t="s">
        <v>16</v>
      </c>
      <c r="F1529" s="35"/>
      <c r="G1529" s="11"/>
      <c r="H1529" s="11">
        <f>SUMIFS(X!$F$3:$F$5978,X!$D$3:$D$5978,'Current Stock'!A1529)</f>
        <v>0</v>
      </c>
      <c r="I1529" s="11">
        <f>SUMIFS(PENJUALAN!$E$4:$E$3651,PENJUALAN!$C$4:$C$3651,'Current Stock'!A1529)</f>
        <v>0</v>
      </c>
      <c r="J1529" s="15">
        <f t="shared" si="2"/>
        <v>0</v>
      </c>
      <c r="K1529" s="13"/>
      <c r="L1529" s="13"/>
      <c r="M1529" s="11"/>
      <c r="N1529" s="11"/>
      <c r="O1529" s="17"/>
      <c r="P1529" s="17"/>
    </row>
    <row r="1530" ht="13.5" customHeight="1">
      <c r="A1530" s="11" t="str">
        <f t="shared" si="1"/>
        <v>RVL-HILUX15XYG</v>
      </c>
      <c r="B1530" s="32" t="s">
        <v>1811</v>
      </c>
      <c r="C1530" s="35" t="s">
        <v>1161</v>
      </c>
      <c r="D1530" s="35" t="s">
        <v>396</v>
      </c>
      <c r="E1530" s="11" t="s">
        <v>16</v>
      </c>
      <c r="F1530" s="35"/>
      <c r="G1530" s="14">
        <v>45988.0</v>
      </c>
      <c r="H1530" s="11">
        <f>SUMIFS(X!$F$3:$F$5978,X!$D$3:$D$5978,'Current Stock'!A1530)</f>
        <v>0</v>
      </c>
      <c r="I1530" s="11">
        <f>SUMIFS(PENJUALAN!$E$4:$E$3651,PENJUALAN!$C$4:$C$3651,'Current Stock'!A1530)</f>
        <v>0</v>
      </c>
      <c r="J1530" s="15">
        <f t="shared" si="2"/>
        <v>0</v>
      </c>
      <c r="K1530" s="13"/>
      <c r="L1530" s="11"/>
      <c r="M1530" s="11"/>
      <c r="N1530" s="11"/>
      <c r="O1530" s="17"/>
      <c r="P1530" s="17"/>
    </row>
    <row r="1531" ht="13.5" customHeight="1">
      <c r="A1531" s="11" t="str">
        <f t="shared" si="1"/>
        <v>RVR-HILUX15XYG</v>
      </c>
      <c r="B1531" s="32" t="s">
        <v>1812</v>
      </c>
      <c r="C1531" s="35" t="s">
        <v>1161</v>
      </c>
      <c r="D1531" s="35" t="s">
        <v>398</v>
      </c>
      <c r="E1531" s="11" t="s">
        <v>16</v>
      </c>
      <c r="F1531" s="35"/>
      <c r="G1531" s="11"/>
      <c r="H1531" s="11">
        <f>SUMIFS(X!$F$3:$F$5978,X!$D$3:$D$5978,'Current Stock'!A1531)</f>
        <v>0</v>
      </c>
      <c r="I1531" s="11">
        <f>SUMIFS(PENJUALAN!$E$4:$E$3651,PENJUALAN!$C$4:$C$3651,'Current Stock'!A1531)</f>
        <v>0</v>
      </c>
      <c r="J1531" s="15">
        <f t="shared" si="2"/>
        <v>0</v>
      </c>
      <c r="K1531" s="13" t="s">
        <v>1137</v>
      </c>
      <c r="L1531" s="13"/>
      <c r="M1531" s="11"/>
      <c r="N1531" s="13"/>
      <c r="O1531" s="45"/>
      <c r="P1531" s="45"/>
    </row>
    <row r="1532" ht="13.5" customHeight="1">
      <c r="A1532" s="11" t="str">
        <f t="shared" si="1"/>
        <v>LFW-INNOVA04XYG</v>
      </c>
      <c r="B1532" s="32" t="s">
        <v>1164</v>
      </c>
      <c r="C1532" s="33" t="s">
        <v>1165</v>
      </c>
      <c r="D1532" s="33" t="s">
        <v>60</v>
      </c>
      <c r="E1532" s="11" t="s">
        <v>16</v>
      </c>
      <c r="F1532" s="33" t="s">
        <v>137</v>
      </c>
      <c r="G1532" s="11"/>
      <c r="H1532" s="11">
        <f>SUMIFS(X!$F$3:$F$5978,X!$D$3:$D$5978,'Current Stock'!A1532)</f>
        <v>23</v>
      </c>
      <c r="I1532" s="11">
        <f>SUMIFS(PENJUALAN!$E$4:$E$3651,PENJUALAN!$C$4:$C$3651,'Current Stock'!A1532)</f>
        <v>20</v>
      </c>
      <c r="J1532" s="15">
        <f t="shared" si="2"/>
        <v>3</v>
      </c>
      <c r="K1532" s="13" t="s">
        <v>1616</v>
      </c>
      <c r="L1532" s="13"/>
      <c r="M1532" s="11"/>
      <c r="N1532" s="11"/>
      <c r="O1532" s="17"/>
      <c r="P1532" s="17"/>
    </row>
    <row r="1533" ht="13.5" customHeight="1">
      <c r="A1533" s="11" t="str">
        <f t="shared" si="1"/>
        <v>TRW-INNOVA04HXYG</v>
      </c>
      <c r="B1533" s="32" t="s">
        <v>1166</v>
      </c>
      <c r="C1533" s="33" t="s">
        <v>1165</v>
      </c>
      <c r="D1533" s="33" t="s">
        <v>62</v>
      </c>
      <c r="E1533" s="11" t="s">
        <v>16</v>
      </c>
      <c r="F1533" s="33" t="s">
        <v>83</v>
      </c>
      <c r="G1533" s="34">
        <v>45988.0</v>
      </c>
      <c r="H1533" s="11">
        <f>SUMIFS(X!$F$3:$F$5978,X!$D$3:$D$5978,'Current Stock'!A1533)</f>
        <v>7</v>
      </c>
      <c r="I1533" s="11">
        <f>SUMIFS(PENJUALAN!$E$4:$E$3651,PENJUALAN!$C$4:$C$3651,'Current Stock'!A1533)</f>
        <v>7</v>
      </c>
      <c r="J1533" s="15">
        <f t="shared" si="2"/>
        <v>0</v>
      </c>
      <c r="K1533" s="13"/>
      <c r="L1533" s="13"/>
      <c r="M1533" s="16">
        <v>1.0</v>
      </c>
      <c r="N1533" s="13"/>
      <c r="O1533" s="45"/>
      <c r="P1533" s="45"/>
    </row>
    <row r="1534" ht="13.5" customHeight="1">
      <c r="A1534" s="11" t="str">
        <f t="shared" si="1"/>
        <v>LFW-COROLLA91XYG</v>
      </c>
      <c r="B1534" s="32" t="s">
        <v>1124</v>
      </c>
      <c r="C1534" s="33" t="s">
        <v>1125</v>
      </c>
      <c r="D1534" s="33" t="s">
        <v>60</v>
      </c>
      <c r="E1534" s="11" t="s">
        <v>16</v>
      </c>
      <c r="F1534" s="33" t="s">
        <v>109</v>
      </c>
      <c r="G1534" s="14">
        <v>45988.0</v>
      </c>
      <c r="H1534" s="11">
        <f>SUMIFS(X!$F$3:$F$5978,X!$D$3:$D$5978,'Current Stock'!A1534)</f>
        <v>1</v>
      </c>
      <c r="I1534" s="11">
        <f>SUMIFS(PENJUALAN!$E$4:$E$3651,PENJUALAN!$C$4:$C$3651,'Current Stock'!A1534)</f>
        <v>1</v>
      </c>
      <c r="J1534" s="15">
        <f t="shared" si="2"/>
        <v>0</v>
      </c>
      <c r="K1534" s="13" t="s">
        <v>1137</v>
      </c>
      <c r="L1534" s="11"/>
      <c r="M1534" s="11"/>
      <c r="N1534" s="11"/>
      <c r="O1534" s="45"/>
      <c r="P1534" s="45"/>
    </row>
    <row r="1535" ht="13.5" customHeight="1">
      <c r="A1535" s="11" t="str">
        <f t="shared" si="1"/>
        <v>LFW-INNOVA15XYG</v>
      </c>
      <c r="B1535" s="32" t="s">
        <v>1171</v>
      </c>
      <c r="C1535" s="33" t="s">
        <v>1172</v>
      </c>
      <c r="D1535" s="33" t="s">
        <v>60</v>
      </c>
      <c r="E1535" s="11" t="s">
        <v>16</v>
      </c>
      <c r="F1535" s="33" t="s">
        <v>137</v>
      </c>
      <c r="G1535" s="11"/>
      <c r="H1535" s="11">
        <f>SUMIFS(X!$F$3:$F$5978,X!$D$3:$D$5978,'Current Stock'!A1535)</f>
        <v>10</v>
      </c>
      <c r="I1535" s="11">
        <f>SUMIFS(PENJUALAN!$E$4:$E$3651,PENJUALAN!$C$4:$C$3651,'Current Stock'!A1535)</f>
        <v>7</v>
      </c>
      <c r="J1535" s="15">
        <f t="shared" si="2"/>
        <v>3</v>
      </c>
      <c r="K1535" s="13" t="s">
        <v>1137</v>
      </c>
      <c r="L1535" s="11"/>
      <c r="M1535" s="11"/>
      <c r="N1535" s="11"/>
      <c r="O1535" s="17"/>
      <c r="P1535" s="17"/>
    </row>
    <row r="1536" ht="13.5" customHeight="1">
      <c r="A1536" s="11" t="str">
        <f t="shared" si="1"/>
        <v>TRW-INNOVA15XYG</v>
      </c>
      <c r="B1536" s="32" t="s">
        <v>1813</v>
      </c>
      <c r="C1536" s="33" t="s">
        <v>1172</v>
      </c>
      <c r="D1536" s="33" t="s">
        <v>62</v>
      </c>
      <c r="E1536" s="11" t="s">
        <v>16</v>
      </c>
      <c r="F1536" s="33" t="s">
        <v>546</v>
      </c>
      <c r="G1536" s="34">
        <v>45988.0</v>
      </c>
      <c r="H1536" s="11">
        <f>SUMIFS(X!$F$3:$F$5978,X!$D$3:$D$5978,'Current Stock'!A1536)</f>
        <v>6</v>
      </c>
      <c r="I1536" s="11">
        <f>SUMIFS(PENJUALAN!$E$4:$E$3651,PENJUALAN!$C$4:$C$3651,'Current Stock'!A1536)</f>
        <v>6</v>
      </c>
      <c r="J1536" s="15">
        <f t="shared" si="2"/>
        <v>0</v>
      </c>
      <c r="K1536" s="13" t="s">
        <v>1137</v>
      </c>
      <c r="L1536" s="13"/>
      <c r="M1536" s="11"/>
      <c r="N1536" s="11"/>
      <c r="O1536" s="17"/>
      <c r="P1536" s="17"/>
    </row>
    <row r="1537" ht="13.5" customHeight="1">
      <c r="A1537" s="11" t="str">
        <f t="shared" si="1"/>
        <v>TRW-INNOVA15HXYG</v>
      </c>
      <c r="B1537" s="32" t="s">
        <v>1814</v>
      </c>
      <c r="C1537" s="33" t="s">
        <v>1172</v>
      </c>
      <c r="D1537" s="33" t="s">
        <v>62</v>
      </c>
      <c r="E1537" s="11" t="s">
        <v>16</v>
      </c>
      <c r="F1537" s="33" t="s">
        <v>228</v>
      </c>
      <c r="G1537" s="14">
        <v>45988.0</v>
      </c>
      <c r="H1537" s="11">
        <f>SUMIFS(X!$F$3:$F$5978,X!$D$3:$D$5978,'Current Stock'!A1537)</f>
        <v>3</v>
      </c>
      <c r="I1537" s="11">
        <f>SUMIFS(PENJUALAN!$E$4:$E$3651,PENJUALAN!$C$4:$C$3651,'Current Stock'!A1537)</f>
        <v>2</v>
      </c>
      <c r="J1537" s="15">
        <f t="shared" si="2"/>
        <v>1</v>
      </c>
      <c r="K1537" s="13" t="s">
        <v>1137</v>
      </c>
      <c r="L1537" s="13"/>
      <c r="M1537" s="11"/>
      <c r="N1537" s="11"/>
      <c r="O1537" s="17"/>
      <c r="P1537" s="17"/>
    </row>
    <row r="1538" ht="13.5" customHeight="1">
      <c r="A1538" s="11" t="str">
        <f t="shared" si="1"/>
        <v>LFW-ISTXYG</v>
      </c>
      <c r="B1538" s="32" t="s">
        <v>1173</v>
      </c>
      <c r="C1538" s="33" t="s">
        <v>1174</v>
      </c>
      <c r="D1538" s="33" t="s">
        <v>60</v>
      </c>
      <c r="E1538" s="11" t="s">
        <v>16</v>
      </c>
      <c r="F1538" s="33" t="s">
        <v>137</v>
      </c>
      <c r="G1538" s="11"/>
      <c r="H1538" s="11">
        <f>SUMIFS(X!$F$3:$F$5978,X!$D$3:$D$5978,'Current Stock'!A1538)</f>
        <v>0</v>
      </c>
      <c r="I1538" s="11">
        <f>SUMIFS(PENJUALAN!$E$4:$E$3651,PENJUALAN!$C$4:$C$3651,'Current Stock'!A1538)</f>
        <v>0</v>
      </c>
      <c r="J1538" s="15">
        <f t="shared" si="2"/>
        <v>0</v>
      </c>
      <c r="K1538" s="13"/>
      <c r="L1538" s="13"/>
      <c r="M1538" s="11"/>
      <c r="N1538" s="11"/>
      <c r="O1538" s="17"/>
      <c r="P1538" s="17"/>
    </row>
    <row r="1539" ht="13.5" customHeight="1">
      <c r="A1539" s="11" t="str">
        <f t="shared" si="1"/>
        <v>TRW-FORTUNER05BLACKXYG</v>
      </c>
      <c r="B1539" s="32" t="s">
        <v>1135</v>
      </c>
      <c r="C1539" s="33" t="s">
        <v>1136</v>
      </c>
      <c r="D1539" s="33" t="s">
        <v>62</v>
      </c>
      <c r="E1539" s="11" t="s">
        <v>16</v>
      </c>
      <c r="F1539" s="33" t="s">
        <v>83</v>
      </c>
      <c r="G1539" s="11"/>
      <c r="H1539" s="11">
        <f>SUMIFS(X!$F$3:$F$5978,X!$D$3:$D$5978,'Current Stock'!A1539)</f>
        <v>2</v>
      </c>
      <c r="I1539" s="11">
        <f>SUMIFS(PENJUALAN!$E$4:$E$3651,PENJUALAN!$C$4:$C$3651,'Current Stock'!A1539)</f>
        <v>2</v>
      </c>
      <c r="J1539" s="15">
        <f t="shared" si="2"/>
        <v>0</v>
      </c>
      <c r="K1539" s="13"/>
      <c r="L1539" s="13"/>
      <c r="M1539" s="16">
        <v>1.0</v>
      </c>
      <c r="N1539" s="11"/>
      <c r="O1539" s="17"/>
      <c r="P1539" s="17"/>
    </row>
    <row r="1540" ht="13.5" customHeight="1">
      <c r="A1540" s="11" t="str">
        <f t="shared" si="1"/>
        <v>TRW-FORTUNER15XYG</v>
      </c>
      <c r="B1540" s="32" t="s">
        <v>1144</v>
      </c>
      <c r="C1540" s="33" t="s">
        <v>1143</v>
      </c>
      <c r="D1540" s="33" t="s">
        <v>62</v>
      </c>
      <c r="E1540" s="11" t="s">
        <v>16</v>
      </c>
      <c r="F1540" s="33" t="s">
        <v>228</v>
      </c>
      <c r="G1540" s="14"/>
      <c r="H1540" s="11">
        <f>SUMIFS(X!$F$3:$F$5978,X!$D$3:$D$5978,'Current Stock'!A1540)</f>
        <v>2</v>
      </c>
      <c r="I1540" s="11">
        <f>SUMIFS(PENJUALAN!$E$4:$E$3651,PENJUALAN!$C$4:$C$3651,'Current Stock'!A1540)</f>
        <v>1</v>
      </c>
      <c r="J1540" s="15">
        <f t="shared" si="2"/>
        <v>1</v>
      </c>
      <c r="K1540" s="13"/>
      <c r="L1540" s="13"/>
      <c r="M1540" s="16">
        <v>1.0</v>
      </c>
      <c r="N1540" s="11"/>
      <c r="O1540" s="17"/>
      <c r="P1540" s="17"/>
    </row>
    <row r="1541" ht="13.5" customHeight="1">
      <c r="A1541" s="11" t="str">
        <f t="shared" si="1"/>
        <v>LFW-FJ40XYG</v>
      </c>
      <c r="B1541" s="48" t="s">
        <v>1815</v>
      </c>
      <c r="C1541" s="33" t="s">
        <v>1816</v>
      </c>
      <c r="D1541" s="33" t="s">
        <v>60</v>
      </c>
      <c r="E1541" s="11" t="s">
        <v>16</v>
      </c>
      <c r="F1541" s="33"/>
      <c r="G1541" s="11"/>
      <c r="H1541" s="11">
        <f>SUMIFS(X!$F$3:$F$5978,X!$D$3:$D$5978,'Current Stock'!A1541)</f>
        <v>0</v>
      </c>
      <c r="I1541" s="11">
        <f>SUMIFS(PENJUALAN!$E$4:$E$3651,PENJUALAN!$C$4:$C$3651,'Current Stock'!A1541)</f>
        <v>0</v>
      </c>
      <c r="J1541" s="15">
        <f t="shared" si="2"/>
        <v>0</v>
      </c>
      <c r="K1541" s="11"/>
      <c r="L1541" s="11"/>
      <c r="M1541" s="11"/>
      <c r="N1541" s="11"/>
      <c r="O1541" s="17"/>
      <c r="P1541" s="17"/>
    </row>
    <row r="1542" ht="13.5" customHeight="1">
      <c r="A1542" s="11" t="str">
        <f t="shared" si="1"/>
        <v>LFW-FJ80XYG</v>
      </c>
      <c r="B1542" s="32" t="s">
        <v>1176</v>
      </c>
      <c r="C1542" s="33" t="s">
        <v>755</v>
      </c>
      <c r="D1542" s="33" t="s">
        <v>60</v>
      </c>
      <c r="E1542" s="11" t="s">
        <v>16</v>
      </c>
      <c r="F1542" s="33"/>
      <c r="G1542" s="14">
        <v>45988.0</v>
      </c>
      <c r="H1542" s="11">
        <f>SUMIFS(X!$F$3:$F$5978,X!$D$3:$D$5978,'Current Stock'!A1542)</f>
        <v>0</v>
      </c>
      <c r="I1542" s="11">
        <f>SUMIFS(PENJUALAN!$E$4:$E$3651,PENJUALAN!$C$4:$C$3651,'Current Stock'!A1542)</f>
        <v>0</v>
      </c>
      <c r="J1542" s="15">
        <f t="shared" si="2"/>
        <v>0</v>
      </c>
      <c r="K1542" s="11"/>
      <c r="L1542" s="11"/>
      <c r="M1542" s="11"/>
      <c r="N1542" s="11"/>
      <c r="O1542" s="17"/>
      <c r="P1542" s="17"/>
    </row>
    <row r="1543" ht="13.5" customHeight="1">
      <c r="A1543" s="11" t="str">
        <f t="shared" si="1"/>
        <v>TRW-FJ80XYG</v>
      </c>
      <c r="B1543" s="32" t="s">
        <v>1177</v>
      </c>
      <c r="C1543" s="33" t="s">
        <v>755</v>
      </c>
      <c r="D1543" s="33" t="s">
        <v>62</v>
      </c>
      <c r="E1543" s="11" t="s">
        <v>16</v>
      </c>
      <c r="F1543" s="33" t="s">
        <v>134</v>
      </c>
      <c r="G1543" s="11"/>
      <c r="H1543" s="11">
        <f>SUMIFS(X!$F$3:$F$5978,X!$D$3:$D$5978,'Current Stock'!A1543)</f>
        <v>0</v>
      </c>
      <c r="I1543" s="11">
        <f>SUMIFS(PENJUALAN!$E$4:$E$3651,PENJUALAN!$C$4:$C$3651,'Current Stock'!A1543)</f>
        <v>0</v>
      </c>
      <c r="J1543" s="15">
        <f t="shared" si="2"/>
        <v>0</v>
      </c>
      <c r="K1543" s="11"/>
      <c r="L1543" s="11"/>
      <c r="M1543" s="11"/>
      <c r="N1543" s="11"/>
      <c r="O1543" s="17"/>
      <c r="P1543" s="17"/>
    </row>
    <row r="1544" ht="13.5" customHeight="1">
      <c r="A1544" s="11" t="str">
        <f t="shared" si="1"/>
        <v>LFW-FJ100XYG</v>
      </c>
      <c r="B1544" s="36" t="s">
        <v>1184</v>
      </c>
      <c r="C1544" s="31" t="s">
        <v>1187</v>
      </c>
      <c r="D1544" s="33" t="s">
        <v>60</v>
      </c>
      <c r="E1544" s="11" t="s">
        <v>16</v>
      </c>
      <c r="F1544" s="31" t="s">
        <v>137</v>
      </c>
      <c r="G1544" s="11"/>
      <c r="H1544" s="11">
        <f>SUMIFS(X!$F$3:$F$5978,X!$D$3:$D$5978,'Current Stock'!A1544)</f>
        <v>0</v>
      </c>
      <c r="I1544" s="11">
        <f>SUMIFS(PENJUALAN!$E$4:$E$3651,PENJUALAN!$C$4:$C$3651,'Current Stock'!A1544)</f>
        <v>0</v>
      </c>
      <c r="J1544" s="15">
        <f t="shared" si="2"/>
        <v>0</v>
      </c>
      <c r="K1544" s="11"/>
      <c r="L1544" s="11"/>
      <c r="M1544" s="11"/>
      <c r="N1544" s="11"/>
      <c r="O1544" s="17"/>
      <c r="P1544" s="17"/>
    </row>
    <row r="1545" ht="13.5" customHeight="1">
      <c r="A1545" s="11" t="str">
        <f t="shared" si="1"/>
        <v>LFW-FJ100RSXYG</v>
      </c>
      <c r="B1545" s="32" t="s">
        <v>1817</v>
      </c>
      <c r="C1545" s="33" t="s">
        <v>1818</v>
      </c>
      <c r="D1545" s="33" t="s">
        <v>60</v>
      </c>
      <c r="E1545" s="11" t="s">
        <v>16</v>
      </c>
      <c r="F1545" s="33" t="s">
        <v>90</v>
      </c>
      <c r="G1545" s="11"/>
      <c r="H1545" s="11">
        <f>SUMIFS(X!$F$3:$F$5978,X!$D$3:$D$5978,'Current Stock'!A1545)</f>
        <v>0</v>
      </c>
      <c r="I1545" s="11">
        <f>SUMIFS(PENJUALAN!$E$4:$E$3651,PENJUALAN!$C$4:$C$3651,'Current Stock'!A1545)</f>
        <v>0</v>
      </c>
      <c r="J1545" s="15">
        <f t="shared" si="2"/>
        <v>0</v>
      </c>
      <c r="K1545" s="11"/>
      <c r="L1545" s="11"/>
      <c r="M1545" s="11"/>
      <c r="N1545" s="11"/>
      <c r="O1545" s="17"/>
      <c r="P1545" s="17"/>
    </row>
    <row r="1546" ht="13.5" customHeight="1">
      <c r="A1546" s="11" t="str">
        <f t="shared" si="1"/>
        <v>RDR-FORTUNER15XYG</v>
      </c>
      <c r="B1546" s="32" t="s">
        <v>1148</v>
      </c>
      <c r="C1546" s="33" t="s">
        <v>1143</v>
      </c>
      <c r="D1546" s="33" t="s">
        <v>146</v>
      </c>
      <c r="E1546" s="11" t="s">
        <v>16</v>
      </c>
      <c r="F1546" s="33"/>
      <c r="G1546" s="34"/>
      <c r="H1546" s="11">
        <f>SUMIFS(X!$F$3:$F$5978,X!$D$3:$D$5978,'Current Stock'!A1546)</f>
        <v>2</v>
      </c>
      <c r="I1546" s="11">
        <f>SUMIFS(PENJUALAN!$E$4:$E$3651,PENJUALAN!$C$4:$C$3651,'Current Stock'!A1546)</f>
        <v>2</v>
      </c>
      <c r="J1546" s="15">
        <f t="shared" si="2"/>
        <v>0</v>
      </c>
      <c r="K1546" s="11"/>
      <c r="L1546" s="11"/>
      <c r="M1546" s="11"/>
      <c r="N1546" s="11"/>
      <c r="O1546" s="17"/>
      <c r="P1546" s="17"/>
    </row>
    <row r="1547" ht="13.5" customHeight="1">
      <c r="A1547" s="11" t="str">
        <f t="shared" si="1"/>
        <v>LFW-FJ200XYG</v>
      </c>
      <c r="B1547" s="32" t="s">
        <v>1194</v>
      </c>
      <c r="C1547" s="33" t="s">
        <v>1193</v>
      </c>
      <c r="D1547" s="33" t="s">
        <v>60</v>
      </c>
      <c r="E1547" s="11" t="s">
        <v>16</v>
      </c>
      <c r="F1547" s="33" t="s">
        <v>137</v>
      </c>
      <c r="G1547" s="11"/>
      <c r="H1547" s="11">
        <f>SUMIFS(X!$F$3:$F$5978,X!$D$3:$D$5978,'Current Stock'!A1547)</f>
        <v>0</v>
      </c>
      <c r="I1547" s="11">
        <f>SUMIFS(PENJUALAN!$E$4:$E$3651,PENJUALAN!$C$4:$C$3651,'Current Stock'!A1547)</f>
        <v>0</v>
      </c>
      <c r="J1547" s="15">
        <f t="shared" si="2"/>
        <v>0</v>
      </c>
      <c r="K1547" s="11"/>
      <c r="L1547" s="11"/>
      <c r="M1547" s="11"/>
      <c r="N1547" s="11"/>
      <c r="O1547" s="17"/>
      <c r="P1547" s="17"/>
    </row>
    <row r="1548" ht="13.5" customHeight="1">
      <c r="A1548" s="11" t="str">
        <f t="shared" si="1"/>
        <v>TRW-FJ200XYG</v>
      </c>
      <c r="B1548" s="32" t="s">
        <v>1195</v>
      </c>
      <c r="C1548" s="33" t="s">
        <v>1193</v>
      </c>
      <c r="D1548" s="33" t="s">
        <v>62</v>
      </c>
      <c r="E1548" s="11" t="s">
        <v>16</v>
      </c>
      <c r="F1548" s="33" t="s">
        <v>228</v>
      </c>
      <c r="G1548" s="11"/>
      <c r="H1548" s="11">
        <f>SUMIFS(X!$F$3:$F$5978,X!$D$3:$D$5978,'Current Stock'!A1548)</f>
        <v>0</v>
      </c>
      <c r="I1548" s="11">
        <f>SUMIFS(PENJUALAN!$E$4:$E$3651,PENJUALAN!$C$4:$C$3651,'Current Stock'!A1548)</f>
        <v>0</v>
      </c>
      <c r="J1548" s="15">
        <f t="shared" si="2"/>
        <v>0</v>
      </c>
      <c r="K1548" s="11"/>
      <c r="L1548" s="11"/>
      <c r="M1548" s="11"/>
      <c r="N1548" s="11"/>
      <c r="O1548" s="17"/>
      <c r="P1548" s="17"/>
    </row>
    <row r="1549" ht="13.5" customHeight="1">
      <c r="A1549" s="11" t="str">
        <f t="shared" si="1"/>
        <v>LFW-F90XYG</v>
      </c>
      <c r="B1549" s="32" t="s">
        <v>1819</v>
      </c>
      <c r="C1549" s="33" t="s">
        <v>1820</v>
      </c>
      <c r="D1549" s="33" t="s">
        <v>60</v>
      </c>
      <c r="E1549" s="11" t="s">
        <v>16</v>
      </c>
      <c r="F1549" s="33" t="s">
        <v>1558</v>
      </c>
      <c r="G1549" s="11"/>
      <c r="H1549" s="11">
        <f>SUMIFS(X!$F$3:$F$5978,X!$D$3:$D$5978,'Current Stock'!A1549)</f>
        <v>1</v>
      </c>
      <c r="I1549" s="11">
        <f>SUMIFS(PENJUALAN!$E$4:$E$3651,PENJUALAN!$C$4:$C$3651,'Current Stock'!A1549)</f>
        <v>1</v>
      </c>
      <c r="J1549" s="15">
        <f t="shared" si="2"/>
        <v>0</v>
      </c>
      <c r="K1549" s="11"/>
      <c r="L1549" s="11"/>
      <c r="M1549" s="11"/>
      <c r="N1549" s="11"/>
      <c r="O1549" s="17"/>
      <c r="P1549" s="17"/>
    </row>
    <row r="1550" ht="13.5" customHeight="1">
      <c r="A1550" s="11" t="str">
        <f t="shared" si="1"/>
        <v>LFW-FJ120XYG</v>
      </c>
      <c r="B1550" s="32" t="s">
        <v>1202</v>
      </c>
      <c r="C1550" s="33" t="s">
        <v>1203</v>
      </c>
      <c r="D1550" s="33" t="s">
        <v>60</v>
      </c>
      <c r="E1550" s="11" t="s">
        <v>16</v>
      </c>
      <c r="F1550" s="33" t="s">
        <v>137</v>
      </c>
      <c r="G1550" s="11"/>
      <c r="H1550" s="11">
        <f>SUMIFS(X!$F$3:$F$5978,X!$D$3:$D$5978,'Current Stock'!A1550)</f>
        <v>1</v>
      </c>
      <c r="I1550" s="11">
        <f>SUMIFS(PENJUALAN!$E$4:$E$3651,PENJUALAN!$C$4:$C$3651,'Current Stock'!A1550)</f>
        <v>1</v>
      </c>
      <c r="J1550" s="15">
        <f t="shared" si="2"/>
        <v>0</v>
      </c>
      <c r="K1550" s="11"/>
      <c r="L1550" s="11"/>
      <c r="M1550" s="11"/>
      <c r="N1550" s="11"/>
      <c r="O1550" s="17"/>
      <c r="P1550" s="17"/>
    </row>
    <row r="1551" ht="13.5" customHeight="1">
      <c r="A1551" s="11" t="str">
        <f t="shared" si="1"/>
        <v>TRW-FJ120XYG</v>
      </c>
      <c r="B1551" s="32" t="s">
        <v>1209</v>
      </c>
      <c r="C1551" s="33" t="s">
        <v>1210</v>
      </c>
      <c r="D1551" s="33" t="s">
        <v>62</v>
      </c>
      <c r="E1551" s="11" t="s">
        <v>16</v>
      </c>
      <c r="F1551" s="33" t="s">
        <v>228</v>
      </c>
      <c r="G1551" s="11"/>
      <c r="H1551" s="11">
        <f>SUMIFS(X!$F$3:$F$5978,X!$D$3:$D$5978,'Current Stock'!A1551)</f>
        <v>0</v>
      </c>
      <c r="I1551" s="11">
        <f>SUMIFS(PENJUALAN!$E$4:$E$3651,PENJUALAN!$C$4:$C$3651,'Current Stock'!A1551)</f>
        <v>0</v>
      </c>
      <c r="J1551" s="15">
        <f t="shared" si="2"/>
        <v>0</v>
      </c>
      <c r="K1551" s="11"/>
      <c r="L1551" s="11"/>
      <c r="M1551" s="11"/>
      <c r="N1551" s="11"/>
      <c r="O1551" s="17"/>
      <c r="P1551" s="17"/>
    </row>
    <row r="1552" ht="13.5" customHeight="1">
      <c r="A1552" s="11" t="str">
        <f t="shared" si="1"/>
        <v>TRW-FJ120NOLBGXYG</v>
      </c>
      <c r="B1552" s="32" t="s">
        <v>1821</v>
      </c>
      <c r="C1552" s="33" t="s">
        <v>1822</v>
      </c>
      <c r="D1552" s="33" t="s">
        <v>62</v>
      </c>
      <c r="E1552" s="11" t="s">
        <v>16</v>
      </c>
      <c r="F1552" s="33" t="s">
        <v>83</v>
      </c>
      <c r="G1552" s="11"/>
      <c r="H1552" s="11">
        <f>SUMIFS(X!$F$3:$F$5978,X!$D$3:$D$5978,'Current Stock'!A1552)</f>
        <v>0</v>
      </c>
      <c r="I1552" s="11">
        <f>SUMIFS(PENJUALAN!$E$4:$E$3651,PENJUALAN!$C$4:$C$3651,'Current Stock'!A1552)</f>
        <v>0</v>
      </c>
      <c r="J1552" s="15">
        <f t="shared" si="2"/>
        <v>0</v>
      </c>
      <c r="K1552" s="11"/>
      <c r="L1552" s="11"/>
      <c r="M1552" s="11"/>
      <c r="N1552" s="11"/>
      <c r="O1552" s="17"/>
      <c r="P1552" s="17"/>
    </row>
    <row r="1553" ht="13.5" customHeight="1">
      <c r="A1553" s="11" t="str">
        <f t="shared" si="1"/>
        <v>LFW-HIACEXYG</v>
      </c>
      <c r="B1553" s="32" t="s">
        <v>1149</v>
      </c>
      <c r="C1553" s="33" t="s">
        <v>1150</v>
      </c>
      <c r="D1553" s="33" t="s">
        <v>60</v>
      </c>
      <c r="E1553" s="11" t="s">
        <v>16</v>
      </c>
      <c r="F1553" s="33" t="s">
        <v>137</v>
      </c>
      <c r="G1553" s="11"/>
      <c r="H1553" s="11">
        <f>SUMIFS(X!$F$3:$F$5978,X!$D$3:$D$5978,'Current Stock'!A1553)</f>
        <v>2</v>
      </c>
      <c r="I1553" s="11">
        <f>SUMIFS(PENJUALAN!$E$4:$E$3651,PENJUALAN!$C$4:$C$3651,'Current Stock'!A1553)</f>
        <v>2</v>
      </c>
      <c r="J1553" s="15">
        <f t="shared" si="2"/>
        <v>0</v>
      </c>
      <c r="K1553" s="11"/>
      <c r="L1553" s="11"/>
      <c r="M1553" s="11"/>
      <c r="N1553" s="11"/>
      <c r="O1553" s="17"/>
      <c r="P1553" s="17"/>
    </row>
    <row r="1554" ht="13.5" customHeight="1">
      <c r="A1554" s="11" t="str">
        <f t="shared" si="1"/>
        <v>SFL-HIACEXYG</v>
      </c>
      <c r="B1554" s="32" t="s">
        <v>1823</v>
      </c>
      <c r="C1554" s="33" t="s">
        <v>1150</v>
      </c>
      <c r="D1554" s="33" t="s">
        <v>906</v>
      </c>
      <c r="E1554" s="11" t="s">
        <v>16</v>
      </c>
      <c r="F1554" s="33" t="s">
        <v>109</v>
      </c>
      <c r="G1554" s="11"/>
      <c r="H1554" s="11">
        <f>SUMIFS(X!$F$3:$F$5978,X!$D$3:$D$5978,'Current Stock'!A1554)</f>
        <v>2</v>
      </c>
      <c r="I1554" s="11">
        <f>SUMIFS(PENJUALAN!$E$4:$E$3651,PENJUALAN!$C$4:$C$3651,'Current Stock'!A1554)</f>
        <v>2</v>
      </c>
      <c r="J1554" s="15">
        <f t="shared" si="2"/>
        <v>0</v>
      </c>
      <c r="K1554" s="13"/>
      <c r="L1554" s="13"/>
      <c r="M1554" s="11"/>
      <c r="N1554" s="11"/>
      <c r="O1554" s="17"/>
      <c r="P1554" s="17"/>
    </row>
    <row r="1555" ht="13.5" customHeight="1">
      <c r="A1555" s="11" t="str">
        <f t="shared" si="1"/>
        <v>TRW-NAV07XYG</v>
      </c>
      <c r="B1555" s="32" t="s">
        <v>1219</v>
      </c>
      <c r="C1555" s="33" t="s">
        <v>1218</v>
      </c>
      <c r="D1555" s="33" t="s">
        <v>62</v>
      </c>
      <c r="E1555" s="11" t="s">
        <v>16</v>
      </c>
      <c r="F1555" s="33" t="s">
        <v>83</v>
      </c>
      <c r="G1555" s="11"/>
      <c r="H1555" s="11">
        <f>SUMIFS(X!$F$3:$F$5978,X!$D$3:$D$5978,'Current Stock'!A1555)</f>
        <v>0</v>
      </c>
      <c r="I1555" s="11">
        <f>SUMIFS(PENJUALAN!$E$4:$E$3651,PENJUALAN!$C$4:$C$3651,'Current Stock'!A1555)</f>
        <v>0</v>
      </c>
      <c r="J1555" s="15">
        <f t="shared" si="2"/>
        <v>0</v>
      </c>
      <c r="K1555" s="11"/>
      <c r="L1555" s="11"/>
      <c r="M1555" s="11"/>
      <c r="N1555" s="11"/>
      <c r="O1555" s="17"/>
      <c r="P1555" s="17"/>
    </row>
    <row r="1556" ht="13.5" customHeight="1">
      <c r="A1556" s="11" t="str">
        <f t="shared" si="1"/>
        <v>LFW-NOAHXYG</v>
      </c>
      <c r="B1556" s="32" t="s">
        <v>1222</v>
      </c>
      <c r="C1556" s="33" t="s">
        <v>1223</v>
      </c>
      <c r="D1556" s="33" t="s">
        <v>60</v>
      </c>
      <c r="E1556" s="11" t="s">
        <v>16</v>
      </c>
      <c r="F1556" s="33" t="s">
        <v>137</v>
      </c>
      <c r="G1556" s="11"/>
      <c r="H1556" s="11">
        <f>SUMIFS(X!$F$3:$F$5978,X!$D$3:$D$5978,'Current Stock'!A1556)</f>
        <v>0</v>
      </c>
      <c r="I1556" s="11">
        <f>SUMIFS(PENJUALAN!$E$4:$E$3651,PENJUALAN!$C$4:$C$3651,'Current Stock'!A1556)</f>
        <v>0</v>
      </c>
      <c r="J1556" s="15">
        <f t="shared" si="2"/>
        <v>0</v>
      </c>
      <c r="K1556" s="11"/>
      <c r="L1556" s="11"/>
      <c r="M1556" s="11"/>
      <c r="N1556" s="11"/>
      <c r="O1556" s="17"/>
      <c r="P1556" s="17"/>
    </row>
    <row r="1557" ht="13.5" customHeight="1">
      <c r="A1557" s="11" t="str">
        <f t="shared" si="1"/>
        <v>TRW-NOAHXYG</v>
      </c>
      <c r="B1557" s="32" t="s">
        <v>1224</v>
      </c>
      <c r="C1557" s="33" t="s">
        <v>1223</v>
      </c>
      <c r="D1557" s="33" t="s">
        <v>62</v>
      </c>
      <c r="E1557" s="11" t="s">
        <v>16</v>
      </c>
      <c r="F1557" s="33" t="s">
        <v>83</v>
      </c>
      <c r="G1557" s="11"/>
      <c r="H1557" s="11">
        <f>SUMIFS(X!$F$3:$F$5978,X!$D$3:$D$5978,'Current Stock'!A1557)</f>
        <v>0</v>
      </c>
      <c r="I1557" s="11">
        <f>SUMIFS(PENJUALAN!$E$4:$E$3651,PENJUALAN!$C$4:$C$3651,'Current Stock'!A1557)</f>
        <v>0</v>
      </c>
      <c r="J1557" s="15">
        <f t="shared" si="2"/>
        <v>0</v>
      </c>
      <c r="K1557" s="11"/>
      <c r="L1557" s="11"/>
      <c r="M1557" s="11"/>
      <c r="N1557" s="11"/>
      <c r="O1557" s="17"/>
      <c r="P1557" s="17"/>
    </row>
    <row r="1558" ht="13.5" customHeight="1">
      <c r="A1558" s="11" t="str">
        <f t="shared" si="1"/>
        <v>LFW-PREVIA00XYG</v>
      </c>
      <c r="B1558" s="32" t="s">
        <v>1228</v>
      </c>
      <c r="C1558" s="33" t="s">
        <v>1229</v>
      </c>
      <c r="D1558" s="33" t="s">
        <v>60</v>
      </c>
      <c r="E1558" s="11" t="s">
        <v>16</v>
      </c>
      <c r="F1558" s="33" t="s">
        <v>109</v>
      </c>
      <c r="G1558" s="11"/>
      <c r="H1558" s="11">
        <f>SUMIFS(X!$F$3:$F$5978,X!$D$3:$D$5978,'Current Stock'!A1558)</f>
        <v>0</v>
      </c>
      <c r="I1558" s="11">
        <f>SUMIFS(PENJUALAN!$E$4:$E$3651,PENJUALAN!$C$4:$C$3651,'Current Stock'!A1558)</f>
        <v>0</v>
      </c>
      <c r="J1558" s="15">
        <f t="shared" si="2"/>
        <v>0</v>
      </c>
      <c r="K1558" s="11"/>
      <c r="L1558" s="11"/>
      <c r="M1558" s="11"/>
      <c r="N1558" s="11"/>
      <c r="O1558" s="17"/>
      <c r="P1558" s="17"/>
    </row>
    <row r="1559" ht="13.5" customHeight="1">
      <c r="A1559" s="11" t="str">
        <f t="shared" si="1"/>
        <v>LFW-PREVIA06XYG</v>
      </c>
      <c r="B1559" s="32" t="s">
        <v>1231</v>
      </c>
      <c r="C1559" s="33" t="s">
        <v>1232</v>
      </c>
      <c r="D1559" s="33" t="s">
        <v>60</v>
      </c>
      <c r="E1559" s="11" t="s">
        <v>16</v>
      </c>
      <c r="F1559" s="33" t="s">
        <v>745</v>
      </c>
      <c r="G1559" s="11"/>
      <c r="H1559" s="11">
        <f>SUMIFS(X!$F$3:$F$5978,X!$D$3:$D$5978,'Current Stock'!A1559)</f>
        <v>0</v>
      </c>
      <c r="I1559" s="11">
        <f>SUMIFS(PENJUALAN!$E$4:$E$3651,PENJUALAN!$C$4:$C$3651,'Current Stock'!A1559)</f>
        <v>0</v>
      </c>
      <c r="J1559" s="15">
        <f t="shared" si="2"/>
        <v>0</v>
      </c>
      <c r="K1559" s="11"/>
      <c r="L1559" s="11"/>
      <c r="M1559" s="11"/>
      <c r="N1559" s="11"/>
      <c r="O1559" s="17"/>
      <c r="P1559" s="17"/>
    </row>
    <row r="1560" ht="13.5" customHeight="1">
      <c r="A1560" s="11" t="str">
        <f t="shared" si="1"/>
        <v>LFW-RAIZERSXYG</v>
      </c>
      <c r="B1560" s="32" t="s">
        <v>1824</v>
      </c>
      <c r="C1560" s="33" t="s">
        <v>1825</v>
      </c>
      <c r="D1560" s="33" t="s">
        <v>60</v>
      </c>
      <c r="E1560" s="11" t="s">
        <v>16</v>
      </c>
      <c r="F1560" s="33" t="s">
        <v>90</v>
      </c>
      <c r="G1560" s="11"/>
      <c r="H1560" s="11">
        <f>SUMIFS(X!$F$3:$F$5978,X!$D$3:$D$5978,'Current Stock'!A1560)</f>
        <v>2</v>
      </c>
      <c r="I1560" s="11">
        <f>SUMIFS(PENJUALAN!$E$4:$E$3651,PENJUALAN!$C$4:$C$3651,'Current Stock'!A1560)</f>
        <v>1</v>
      </c>
      <c r="J1560" s="15">
        <f t="shared" si="2"/>
        <v>1</v>
      </c>
      <c r="K1560" s="11"/>
      <c r="L1560" s="11"/>
      <c r="M1560" s="11"/>
      <c r="N1560" s="11"/>
      <c r="O1560" s="17"/>
      <c r="P1560" s="17"/>
    </row>
    <row r="1561" ht="13.5" customHeight="1">
      <c r="A1561" s="11" t="str">
        <f t="shared" si="1"/>
        <v>TRW-RAV400XYG</v>
      </c>
      <c r="B1561" s="32" t="s">
        <v>1234</v>
      </c>
      <c r="C1561" s="33" t="s">
        <v>1235</v>
      </c>
      <c r="D1561" s="33" t="s">
        <v>62</v>
      </c>
      <c r="E1561" s="11" t="s">
        <v>16</v>
      </c>
      <c r="F1561" s="33" t="s">
        <v>228</v>
      </c>
      <c r="G1561" s="11"/>
      <c r="H1561" s="11">
        <f>SUMIFS(X!$F$3:$F$5978,X!$D$3:$D$5978,'Current Stock'!A1561)</f>
        <v>0</v>
      </c>
      <c r="I1561" s="11">
        <f>SUMIFS(PENJUALAN!$E$4:$E$3651,PENJUALAN!$C$4:$C$3651,'Current Stock'!A1561)</f>
        <v>0</v>
      </c>
      <c r="J1561" s="15">
        <f t="shared" si="2"/>
        <v>0</v>
      </c>
      <c r="K1561" s="11"/>
      <c r="L1561" s="11"/>
      <c r="M1561" s="11"/>
      <c r="N1561" s="11"/>
      <c r="O1561" s="17"/>
      <c r="P1561" s="17"/>
    </row>
    <row r="1562" ht="13.5" customHeight="1">
      <c r="A1562" s="11" t="str">
        <f t="shared" si="1"/>
        <v>LFW-RAV400XYG</v>
      </c>
      <c r="B1562" s="32" t="s">
        <v>1236</v>
      </c>
      <c r="C1562" s="33" t="s">
        <v>1237</v>
      </c>
      <c r="D1562" s="33" t="s">
        <v>60</v>
      </c>
      <c r="E1562" s="11" t="s">
        <v>16</v>
      </c>
      <c r="F1562" s="33" t="s">
        <v>137</v>
      </c>
      <c r="G1562" s="11"/>
      <c r="H1562" s="11">
        <f>SUMIFS(X!$F$3:$F$5978,X!$D$3:$D$5978,'Current Stock'!A1562)</f>
        <v>0</v>
      </c>
      <c r="I1562" s="11">
        <f>SUMIFS(PENJUALAN!$E$4:$E$3651,PENJUALAN!$C$4:$C$3651,'Current Stock'!A1562)</f>
        <v>0</v>
      </c>
      <c r="J1562" s="15">
        <f t="shared" si="2"/>
        <v>0</v>
      </c>
      <c r="K1562" s="11"/>
      <c r="L1562" s="11"/>
      <c r="M1562" s="11"/>
      <c r="N1562" s="11"/>
      <c r="O1562" s="17"/>
      <c r="P1562" s="17"/>
    </row>
    <row r="1563" ht="13.5" customHeight="1">
      <c r="A1563" s="11" t="str">
        <f t="shared" si="1"/>
        <v>LFW-TERIOS06XYG</v>
      </c>
      <c r="B1563" s="32" t="s">
        <v>1247</v>
      </c>
      <c r="C1563" s="33" t="s">
        <v>1248</v>
      </c>
      <c r="D1563" s="33" t="s">
        <v>60</v>
      </c>
      <c r="E1563" s="11" t="s">
        <v>16</v>
      </c>
      <c r="F1563" s="33" t="s">
        <v>109</v>
      </c>
      <c r="G1563" s="11"/>
      <c r="H1563" s="11">
        <f>SUMIFS(X!$F$3:$F$5978,X!$D$3:$D$5978,'Current Stock'!A1563)</f>
        <v>14</v>
      </c>
      <c r="I1563" s="11">
        <f>SUMIFS(PENJUALAN!$E$4:$E$3651,PENJUALAN!$C$4:$C$3651,'Current Stock'!A1563)</f>
        <v>14</v>
      </c>
      <c r="J1563" s="15">
        <f t="shared" si="2"/>
        <v>0</v>
      </c>
      <c r="K1563" s="13" t="s">
        <v>472</v>
      </c>
      <c r="L1563" s="11"/>
      <c r="M1563" s="11"/>
      <c r="N1563" s="11"/>
      <c r="O1563" s="17"/>
      <c r="P1563" s="17"/>
    </row>
    <row r="1564" ht="13.5" customHeight="1">
      <c r="A1564" s="11" t="str">
        <f t="shared" si="1"/>
        <v>TRW-TERIOS06HOLEXYG</v>
      </c>
      <c r="B1564" s="32" t="s">
        <v>1249</v>
      </c>
      <c r="C1564" s="33" t="s">
        <v>1248</v>
      </c>
      <c r="D1564" s="33" t="s">
        <v>62</v>
      </c>
      <c r="E1564" s="11" t="s">
        <v>16</v>
      </c>
      <c r="F1564" s="33" t="s">
        <v>546</v>
      </c>
      <c r="G1564" s="11"/>
      <c r="H1564" s="11">
        <f>SUMIFS(X!$F$3:$F$5978,X!$D$3:$D$5978,'Current Stock'!A1564)</f>
        <v>3</v>
      </c>
      <c r="I1564" s="11">
        <f>SUMIFS(PENJUALAN!$E$4:$E$3651,PENJUALAN!$C$4:$C$3651,'Current Stock'!A1564)</f>
        <v>2</v>
      </c>
      <c r="J1564" s="15">
        <f t="shared" si="2"/>
        <v>1</v>
      </c>
      <c r="K1564" s="13"/>
      <c r="L1564" s="13"/>
      <c r="M1564" s="11"/>
      <c r="N1564" s="11"/>
      <c r="O1564" s="17"/>
      <c r="P1564" s="17"/>
    </row>
    <row r="1565" ht="13.5" customHeight="1">
      <c r="A1565" s="11" t="str">
        <f t="shared" si="1"/>
        <v>SRR-HIACEFXYG</v>
      </c>
      <c r="B1565" s="32" t="s">
        <v>1826</v>
      </c>
      <c r="C1565" s="33" t="s">
        <v>1796</v>
      </c>
      <c r="D1565" s="33" t="s">
        <v>913</v>
      </c>
      <c r="E1565" s="11" t="s">
        <v>16</v>
      </c>
      <c r="F1565" s="33" t="s">
        <v>109</v>
      </c>
      <c r="G1565" s="11"/>
      <c r="H1565" s="11">
        <f>SUMIFS(X!$F$3:$F$5978,X!$D$3:$D$5978,'Current Stock'!A1565)</f>
        <v>1</v>
      </c>
      <c r="I1565" s="11">
        <f>SUMIFS(PENJUALAN!$E$4:$E$3651,PENJUALAN!$C$4:$C$3651,'Current Stock'!A1565)</f>
        <v>1</v>
      </c>
      <c r="J1565" s="15">
        <f t="shared" si="2"/>
        <v>0</v>
      </c>
      <c r="K1565" s="13" t="s">
        <v>1137</v>
      </c>
      <c r="L1565" s="13"/>
      <c r="M1565" s="16">
        <v>1.0</v>
      </c>
      <c r="N1565" s="11"/>
      <c r="O1565" s="17"/>
      <c r="P1565" s="17"/>
    </row>
    <row r="1566" ht="13.5" customHeight="1">
      <c r="A1566" s="11" t="str">
        <f t="shared" si="1"/>
        <v>LFW-HIACE19XYG</v>
      </c>
      <c r="B1566" s="32" t="s">
        <v>1827</v>
      </c>
      <c r="C1566" s="33" t="s">
        <v>1798</v>
      </c>
      <c r="D1566" s="33" t="s">
        <v>60</v>
      </c>
      <c r="E1566" s="11" t="s">
        <v>16</v>
      </c>
      <c r="F1566" s="33" t="s">
        <v>137</v>
      </c>
      <c r="G1566" s="11"/>
      <c r="H1566" s="11">
        <f>SUMIFS(X!$F$3:$F$5978,X!$D$3:$D$5978,'Current Stock'!A1566)</f>
        <v>1</v>
      </c>
      <c r="I1566" s="11">
        <f>SUMIFS(PENJUALAN!$E$4:$E$3651,PENJUALAN!$C$4:$C$3651,'Current Stock'!A1566)</f>
        <v>1</v>
      </c>
      <c r="J1566" s="15">
        <f t="shared" si="2"/>
        <v>0</v>
      </c>
      <c r="K1566" s="11"/>
      <c r="L1566" s="11"/>
      <c r="M1566" s="11"/>
      <c r="N1566" s="11"/>
      <c r="O1566" s="17"/>
      <c r="P1566" s="17"/>
    </row>
    <row r="1567" ht="13.5" customHeight="1">
      <c r="A1567" s="11" t="str">
        <f t="shared" si="1"/>
        <v>SWL-TERIOS06XYG</v>
      </c>
      <c r="B1567" s="48" t="s">
        <v>1828</v>
      </c>
      <c r="C1567" s="33" t="s">
        <v>1248</v>
      </c>
      <c r="D1567" s="33" t="s">
        <v>209</v>
      </c>
      <c r="E1567" s="11" t="s">
        <v>16</v>
      </c>
      <c r="F1567" s="33" t="s">
        <v>109</v>
      </c>
      <c r="G1567" s="14">
        <v>45988.0</v>
      </c>
      <c r="H1567" s="11">
        <f>SUMIFS(X!$F$3:$F$5978,X!$D$3:$D$5978,'Current Stock'!A1567)</f>
        <v>0</v>
      </c>
      <c r="I1567" s="11">
        <f>SUMIFS(PENJUALAN!$E$4:$E$3651,PENJUALAN!$C$4:$C$3651,'Current Stock'!A1567)</f>
        <v>0</v>
      </c>
      <c r="J1567" s="15">
        <f t="shared" si="2"/>
        <v>0</v>
      </c>
      <c r="K1567" s="13"/>
      <c r="L1567" s="11"/>
      <c r="M1567" s="11"/>
      <c r="N1567" s="11"/>
      <c r="O1567" s="17"/>
      <c r="P1567" s="17"/>
    </row>
    <row r="1568" ht="13.5" customHeight="1">
      <c r="A1568" s="11" t="str">
        <f t="shared" si="1"/>
        <v>SWR-TERIOS06XYG</v>
      </c>
      <c r="B1568" s="48" t="s">
        <v>1829</v>
      </c>
      <c r="C1568" s="33" t="s">
        <v>1248</v>
      </c>
      <c r="D1568" s="33" t="s">
        <v>243</v>
      </c>
      <c r="E1568" s="11" t="s">
        <v>16</v>
      </c>
      <c r="F1568" s="33" t="s">
        <v>109</v>
      </c>
      <c r="G1568" s="11"/>
      <c r="H1568" s="11">
        <f>SUMIFS(X!$F$3:$F$5978,X!$D$3:$D$5978,'Current Stock'!A1568)</f>
        <v>0</v>
      </c>
      <c r="I1568" s="11">
        <f>SUMIFS(PENJUALAN!$E$4:$E$3651,PENJUALAN!$C$4:$C$3651,'Current Stock'!A1568)</f>
        <v>0</v>
      </c>
      <c r="J1568" s="15">
        <f t="shared" si="2"/>
        <v>0</v>
      </c>
      <c r="K1568" s="11"/>
      <c r="L1568" s="11"/>
      <c r="M1568" s="11"/>
      <c r="N1568" s="11"/>
      <c r="O1568" s="17"/>
      <c r="P1568" s="17"/>
    </row>
    <row r="1569" ht="13.5" customHeight="1">
      <c r="A1569" s="11" t="str">
        <f t="shared" si="1"/>
        <v>LFW-RUSH17XYG</v>
      </c>
      <c r="B1569" s="32" t="s">
        <v>1830</v>
      </c>
      <c r="C1569" s="33" t="s">
        <v>1831</v>
      </c>
      <c r="D1569" s="33" t="s">
        <v>60</v>
      </c>
      <c r="E1569" s="11" t="s">
        <v>16</v>
      </c>
      <c r="F1569" s="33" t="s">
        <v>109</v>
      </c>
      <c r="G1569" s="11"/>
      <c r="H1569" s="11">
        <f>SUMIFS(X!$F$3:$F$5978,X!$D$3:$D$5978,'Current Stock'!A1569)</f>
        <v>0</v>
      </c>
      <c r="I1569" s="11">
        <f>SUMIFS(PENJUALAN!$E$4:$E$3651,PENJUALAN!$C$4:$C$3651,'Current Stock'!A1569)</f>
        <v>1</v>
      </c>
      <c r="J1569" s="15">
        <f t="shared" si="2"/>
        <v>-1</v>
      </c>
      <c r="K1569" s="13"/>
      <c r="L1569" s="13"/>
      <c r="M1569" s="11"/>
      <c r="N1569" s="11"/>
      <c r="O1569" s="17"/>
      <c r="P1569" s="17"/>
    </row>
    <row r="1570" ht="13.5" customHeight="1">
      <c r="A1570" s="11" t="str">
        <f t="shared" si="1"/>
        <v>TRW-INNOVA04XYG</v>
      </c>
      <c r="B1570" s="32" t="s">
        <v>1167</v>
      </c>
      <c r="C1570" s="33" t="s">
        <v>1165</v>
      </c>
      <c r="D1570" s="33" t="s">
        <v>62</v>
      </c>
      <c r="E1570" s="11" t="s">
        <v>16</v>
      </c>
      <c r="F1570" s="33" t="s">
        <v>109</v>
      </c>
      <c r="G1570" s="14"/>
      <c r="H1570" s="11">
        <f>SUMIFS(X!$F$3:$F$5978,X!$D$3:$D$5978,'Current Stock'!A1570)</f>
        <v>5</v>
      </c>
      <c r="I1570" s="11">
        <f>SUMIFS(PENJUALAN!$E$4:$E$3651,PENJUALAN!$C$4:$C$3651,'Current Stock'!A1570)</f>
        <v>3</v>
      </c>
      <c r="J1570" s="15">
        <f t="shared" si="2"/>
        <v>2</v>
      </c>
      <c r="K1570" s="13" t="s">
        <v>1137</v>
      </c>
      <c r="L1570" s="13"/>
      <c r="M1570" s="16">
        <v>1.0</v>
      </c>
      <c r="N1570" s="13"/>
      <c r="O1570" s="17"/>
      <c r="P1570" s="17"/>
    </row>
    <row r="1571" ht="13.5" customHeight="1">
      <c r="A1571" s="11" t="str">
        <f t="shared" si="1"/>
        <v>TRW-RUSH17XYG</v>
      </c>
      <c r="B1571" s="32" t="s">
        <v>1832</v>
      </c>
      <c r="C1571" s="33" t="s">
        <v>1831</v>
      </c>
      <c r="D1571" s="33" t="s">
        <v>62</v>
      </c>
      <c r="E1571" s="11" t="s">
        <v>16</v>
      </c>
      <c r="F1571" s="33" t="s">
        <v>109</v>
      </c>
      <c r="G1571" s="11"/>
      <c r="H1571" s="11">
        <f>SUMIFS(X!$F$3:$F$5978,X!$D$3:$D$5978,'Current Stock'!A1571)</f>
        <v>0</v>
      </c>
      <c r="I1571" s="11">
        <f>SUMIFS(PENJUALAN!$E$4:$E$3651,PENJUALAN!$C$4:$C$3651,'Current Stock'!A1571)</f>
        <v>0</v>
      </c>
      <c r="J1571" s="15">
        <f t="shared" si="2"/>
        <v>0</v>
      </c>
      <c r="K1571" s="13"/>
      <c r="L1571" s="11"/>
      <c r="M1571" s="11"/>
      <c r="N1571" s="11"/>
      <c r="O1571" s="17"/>
      <c r="P1571" s="17"/>
    </row>
    <row r="1572" ht="13.5" customHeight="1">
      <c r="A1572" s="11" t="str">
        <f t="shared" si="1"/>
        <v>LFW-SIENTAXYG</v>
      </c>
      <c r="B1572" s="32" t="s">
        <v>1252</v>
      </c>
      <c r="C1572" s="33" t="s">
        <v>1253</v>
      </c>
      <c r="D1572" s="33" t="s">
        <v>60</v>
      </c>
      <c r="E1572" s="11" t="s">
        <v>16</v>
      </c>
      <c r="F1572" s="33" t="s">
        <v>137</v>
      </c>
      <c r="G1572" s="11"/>
      <c r="H1572" s="11">
        <f>SUMIFS(X!$F$3:$F$5978,X!$D$3:$D$5978,'Current Stock'!A1572)</f>
        <v>1</v>
      </c>
      <c r="I1572" s="11">
        <f>SUMIFS(PENJUALAN!$E$4:$E$3651,PENJUALAN!$C$4:$C$3651,'Current Stock'!A1572)</f>
        <v>1</v>
      </c>
      <c r="J1572" s="15">
        <f t="shared" si="2"/>
        <v>0</v>
      </c>
      <c r="K1572" s="13"/>
      <c r="L1572" s="13"/>
      <c r="M1572" s="16">
        <v>1.0</v>
      </c>
      <c r="N1572" s="11"/>
      <c r="O1572" s="17"/>
      <c r="P1572" s="17"/>
    </row>
    <row r="1573" ht="13.5" customHeight="1">
      <c r="A1573" s="11" t="str">
        <f t="shared" si="1"/>
        <v>LFW-KAPSUL97XYG</v>
      </c>
      <c r="B1573" s="32" t="s">
        <v>1833</v>
      </c>
      <c r="C1573" s="33" t="s">
        <v>1834</v>
      </c>
      <c r="D1573" s="33" t="s">
        <v>60</v>
      </c>
      <c r="E1573" s="11" t="s">
        <v>16</v>
      </c>
      <c r="F1573" s="33"/>
      <c r="G1573" s="11"/>
      <c r="H1573" s="11">
        <f>SUMIFS(X!$F$3:$F$5978,X!$D$3:$D$5978,'Current Stock'!A1573)</f>
        <v>2</v>
      </c>
      <c r="I1573" s="11">
        <f>SUMIFS(PENJUALAN!$E$4:$E$3651,PENJUALAN!$C$4:$C$3651,'Current Stock'!A1573)</f>
        <v>4</v>
      </c>
      <c r="J1573" s="15">
        <f t="shared" si="2"/>
        <v>-2</v>
      </c>
      <c r="K1573" s="11"/>
      <c r="L1573" s="11"/>
      <c r="M1573" s="11"/>
      <c r="N1573" s="11"/>
      <c r="O1573" s="17"/>
      <c r="P1573" s="17"/>
    </row>
    <row r="1574" ht="13.5" customHeight="1">
      <c r="A1574" s="11" t="str">
        <f t="shared" si="1"/>
        <v>LFW-SOLUNAXYG</v>
      </c>
      <c r="B1574" s="32" t="s">
        <v>1255</v>
      </c>
      <c r="C1574" s="33" t="s">
        <v>1256</v>
      </c>
      <c r="D1574" s="33" t="s">
        <v>60</v>
      </c>
      <c r="E1574" s="11" t="s">
        <v>16</v>
      </c>
      <c r="F1574" s="33" t="s">
        <v>109</v>
      </c>
      <c r="G1574" s="11"/>
      <c r="H1574" s="11">
        <f>SUMIFS(X!$F$3:$F$5978,X!$D$3:$D$5978,'Current Stock'!A1574)</f>
        <v>0</v>
      </c>
      <c r="I1574" s="11">
        <f>SUMIFS(PENJUALAN!$E$4:$E$3651,PENJUALAN!$C$4:$C$3651,'Current Stock'!A1574)</f>
        <v>0</v>
      </c>
      <c r="J1574" s="15">
        <f t="shared" si="2"/>
        <v>0</v>
      </c>
      <c r="K1574" s="11"/>
      <c r="L1574" s="11"/>
      <c r="M1574" s="11"/>
      <c r="N1574" s="11"/>
      <c r="O1574" s="17"/>
      <c r="P1574" s="17"/>
    </row>
    <row r="1575" ht="13.5" customHeight="1">
      <c r="A1575" s="11" t="str">
        <f t="shared" si="1"/>
        <v>TRW-SOLUNAXYG</v>
      </c>
      <c r="B1575" s="32" t="s">
        <v>1835</v>
      </c>
      <c r="C1575" s="33" t="s">
        <v>1256</v>
      </c>
      <c r="D1575" s="33" t="s">
        <v>62</v>
      </c>
      <c r="E1575" s="11" t="s">
        <v>16</v>
      </c>
      <c r="F1575" s="33" t="s">
        <v>83</v>
      </c>
      <c r="G1575" s="11"/>
      <c r="H1575" s="11">
        <f>SUMIFS(X!$F$3:$F$5978,X!$D$3:$D$5978,'Current Stock'!A1575)</f>
        <v>0</v>
      </c>
      <c r="I1575" s="11">
        <f>SUMIFS(PENJUALAN!$E$4:$E$3651,PENJUALAN!$C$4:$C$3651,'Current Stock'!A1575)</f>
        <v>0</v>
      </c>
      <c r="J1575" s="15">
        <f t="shared" si="2"/>
        <v>0</v>
      </c>
      <c r="K1575" s="11"/>
      <c r="L1575" s="11"/>
      <c r="M1575" s="11"/>
      <c r="N1575" s="11"/>
      <c r="O1575" s="17"/>
      <c r="P1575" s="17"/>
    </row>
    <row r="1576" ht="13.5" customHeight="1">
      <c r="A1576" s="11" t="str">
        <f t="shared" si="1"/>
        <v>LFW-STARLETXYG</v>
      </c>
      <c r="B1576" s="32" t="s">
        <v>1257</v>
      </c>
      <c r="C1576" s="33" t="s">
        <v>1258</v>
      </c>
      <c r="D1576" s="33" t="s">
        <v>60</v>
      </c>
      <c r="E1576" s="11" t="s">
        <v>16</v>
      </c>
      <c r="F1576" s="33" t="s">
        <v>109</v>
      </c>
      <c r="G1576" s="11"/>
      <c r="H1576" s="11">
        <f>SUMIFS(X!$F$3:$F$5978,X!$D$3:$D$5978,'Current Stock'!A1576)</f>
        <v>0</v>
      </c>
      <c r="I1576" s="11">
        <f>SUMIFS(PENJUALAN!$E$4:$E$3651,PENJUALAN!$C$4:$C$3651,'Current Stock'!A1576)</f>
        <v>0</v>
      </c>
      <c r="J1576" s="15">
        <f t="shared" si="2"/>
        <v>0</v>
      </c>
      <c r="K1576" s="11"/>
      <c r="L1576" s="11"/>
      <c r="M1576" s="11"/>
      <c r="N1576" s="11"/>
      <c r="O1576" s="17"/>
      <c r="P1576" s="17"/>
    </row>
    <row r="1577" ht="13.5" customHeight="1">
      <c r="A1577" s="11" t="str">
        <f t="shared" si="1"/>
        <v>TRW-STARLETXYG</v>
      </c>
      <c r="B1577" s="32" t="s">
        <v>1259</v>
      </c>
      <c r="C1577" s="33" t="s">
        <v>1258</v>
      </c>
      <c r="D1577" s="33" t="s">
        <v>62</v>
      </c>
      <c r="E1577" s="11" t="s">
        <v>16</v>
      </c>
      <c r="F1577" s="33" t="s">
        <v>83</v>
      </c>
      <c r="G1577" s="11"/>
      <c r="H1577" s="11">
        <f>SUMIFS(X!$F$3:$F$5978,X!$D$3:$D$5978,'Current Stock'!A1577)</f>
        <v>0</v>
      </c>
      <c r="I1577" s="11">
        <f>SUMIFS(PENJUALAN!$E$4:$E$3651,PENJUALAN!$C$4:$C$3651,'Current Stock'!A1577)</f>
        <v>0</v>
      </c>
      <c r="J1577" s="15">
        <f t="shared" si="2"/>
        <v>0</v>
      </c>
      <c r="K1577" s="11"/>
      <c r="L1577" s="11"/>
      <c r="M1577" s="11"/>
      <c r="N1577" s="11"/>
      <c r="O1577" s="17"/>
      <c r="P1577" s="17"/>
    </row>
    <row r="1578" ht="13.5" customHeight="1">
      <c r="A1578" s="11" t="str">
        <f t="shared" si="1"/>
        <v>RDL-STARLETXYG</v>
      </c>
      <c r="B1578" s="32" t="s">
        <v>1260</v>
      </c>
      <c r="C1578" s="33" t="s">
        <v>1258</v>
      </c>
      <c r="D1578" s="33" t="s">
        <v>144</v>
      </c>
      <c r="E1578" s="11" t="s">
        <v>16</v>
      </c>
      <c r="F1578" s="33"/>
      <c r="G1578" s="11"/>
      <c r="H1578" s="11">
        <f>SUMIFS(X!$F$3:$F$5978,X!$D$3:$D$5978,'Current Stock'!A1578)</f>
        <v>0</v>
      </c>
      <c r="I1578" s="11">
        <f>SUMIFS(PENJUALAN!$E$4:$E$3651,PENJUALAN!$C$4:$C$3651,'Current Stock'!A1578)</f>
        <v>0</v>
      </c>
      <c r="J1578" s="15">
        <f t="shared" si="2"/>
        <v>0</v>
      </c>
      <c r="K1578" s="11"/>
      <c r="L1578" s="11"/>
      <c r="M1578" s="11"/>
      <c r="N1578" s="11"/>
      <c r="O1578" s="17"/>
      <c r="P1578" s="17"/>
    </row>
    <row r="1579" ht="13.5" customHeight="1">
      <c r="A1579" s="11" t="str">
        <f t="shared" si="1"/>
        <v>RDR-STARLETXYG</v>
      </c>
      <c r="B1579" s="32" t="s">
        <v>1261</v>
      </c>
      <c r="C1579" s="33" t="s">
        <v>1258</v>
      </c>
      <c r="D1579" s="33" t="s">
        <v>146</v>
      </c>
      <c r="E1579" s="11" t="s">
        <v>16</v>
      </c>
      <c r="F1579" s="33"/>
      <c r="G1579" s="11"/>
      <c r="H1579" s="11">
        <f>SUMIFS(X!$F$3:$F$5978,X!$D$3:$D$5978,'Current Stock'!A1579)</f>
        <v>0</v>
      </c>
      <c r="I1579" s="11">
        <f>SUMIFS(PENJUALAN!$E$4:$E$3651,PENJUALAN!$C$4:$C$3651,'Current Stock'!A1579)</f>
        <v>0</v>
      </c>
      <c r="J1579" s="15">
        <f t="shared" si="2"/>
        <v>0</v>
      </c>
      <c r="K1579" s="11"/>
      <c r="L1579" s="11"/>
      <c r="M1579" s="11"/>
      <c r="N1579" s="11"/>
      <c r="O1579" s="17"/>
      <c r="P1579" s="17"/>
    </row>
    <row r="1580" ht="13.5" customHeight="1">
      <c r="A1580" s="11" t="str">
        <f t="shared" si="1"/>
        <v>LFW-VIOS02XYG</v>
      </c>
      <c r="B1580" s="32" t="s">
        <v>1836</v>
      </c>
      <c r="C1580" s="33" t="s">
        <v>1263</v>
      </c>
      <c r="D1580" s="33" t="s">
        <v>60</v>
      </c>
      <c r="E1580" s="11" t="s">
        <v>16</v>
      </c>
      <c r="F1580" s="33" t="s">
        <v>137</v>
      </c>
      <c r="G1580" s="11"/>
      <c r="H1580" s="11">
        <f>SUMIFS(X!$F$3:$F$5978,X!$D$3:$D$5978,'Current Stock'!A1580)</f>
        <v>0</v>
      </c>
      <c r="I1580" s="11">
        <f>SUMIFS(PENJUALAN!$E$4:$E$3651,PENJUALAN!$C$4:$C$3651,'Current Stock'!A1580)</f>
        <v>0</v>
      </c>
      <c r="J1580" s="15">
        <f t="shared" si="2"/>
        <v>0</v>
      </c>
      <c r="K1580" s="11"/>
      <c r="L1580" s="11"/>
      <c r="M1580" s="11"/>
      <c r="N1580" s="11"/>
      <c r="O1580" s="17"/>
      <c r="P1580" s="17"/>
    </row>
    <row r="1581" ht="13.5" customHeight="1">
      <c r="A1581" s="11" t="str">
        <f t="shared" si="1"/>
        <v>TRW-VIOS02XYG</v>
      </c>
      <c r="B1581" s="32" t="s">
        <v>1262</v>
      </c>
      <c r="C1581" s="33" t="s">
        <v>1263</v>
      </c>
      <c r="D1581" s="33" t="s">
        <v>62</v>
      </c>
      <c r="E1581" s="11" t="s">
        <v>16</v>
      </c>
      <c r="F1581" s="33" t="s">
        <v>83</v>
      </c>
      <c r="G1581" s="11"/>
      <c r="H1581" s="11">
        <f>SUMIFS(X!$F$3:$F$5978,X!$D$3:$D$5978,'Current Stock'!A1581)</f>
        <v>1</v>
      </c>
      <c r="I1581" s="11">
        <f>SUMIFS(PENJUALAN!$E$4:$E$3651,PENJUALAN!$C$4:$C$3651,'Current Stock'!A1581)</f>
        <v>1</v>
      </c>
      <c r="J1581" s="15">
        <f t="shared" si="2"/>
        <v>0</v>
      </c>
      <c r="K1581" s="11"/>
      <c r="L1581" s="11"/>
      <c r="M1581" s="11"/>
      <c r="N1581" s="11"/>
      <c r="O1581" s="17"/>
      <c r="P1581" s="17"/>
    </row>
    <row r="1582" ht="13.5" customHeight="1">
      <c r="A1582" s="11" t="str">
        <f t="shared" si="1"/>
        <v>FDL-VIOS02XYG</v>
      </c>
      <c r="B1582" s="32" t="s">
        <v>1837</v>
      </c>
      <c r="C1582" s="33" t="s">
        <v>1263</v>
      </c>
      <c r="D1582" s="33" t="s">
        <v>140</v>
      </c>
      <c r="E1582" s="11" t="s">
        <v>16</v>
      </c>
      <c r="F1582" s="33"/>
      <c r="G1582" s="11"/>
      <c r="H1582" s="11">
        <f>SUMIFS(X!$F$3:$F$5978,X!$D$3:$D$5978,'Current Stock'!A1582)</f>
        <v>0</v>
      </c>
      <c r="I1582" s="11">
        <f>SUMIFS(PENJUALAN!$E$4:$E$3651,PENJUALAN!$C$4:$C$3651,'Current Stock'!A1582)</f>
        <v>0</v>
      </c>
      <c r="J1582" s="15">
        <f t="shared" si="2"/>
        <v>0</v>
      </c>
      <c r="K1582" s="11"/>
      <c r="L1582" s="11"/>
      <c r="M1582" s="11"/>
      <c r="N1582" s="11"/>
      <c r="O1582" s="17"/>
      <c r="P1582" s="17"/>
    </row>
    <row r="1583" ht="13.5" customHeight="1">
      <c r="A1583" s="11" t="str">
        <f t="shared" si="1"/>
        <v>FDR-VIOS02XYG</v>
      </c>
      <c r="B1583" s="32" t="s">
        <v>1838</v>
      </c>
      <c r="C1583" s="33" t="s">
        <v>1263</v>
      </c>
      <c r="D1583" s="33" t="s">
        <v>142</v>
      </c>
      <c r="E1583" s="11" t="s">
        <v>16</v>
      </c>
      <c r="F1583" s="33"/>
      <c r="G1583" s="11"/>
      <c r="H1583" s="11">
        <f>SUMIFS(X!$F$3:$F$5978,X!$D$3:$D$5978,'Current Stock'!A1583)</f>
        <v>0</v>
      </c>
      <c r="I1583" s="11">
        <f>SUMIFS(PENJUALAN!$E$4:$E$3651,PENJUALAN!$C$4:$C$3651,'Current Stock'!A1583)</f>
        <v>0</v>
      </c>
      <c r="J1583" s="15">
        <f t="shared" si="2"/>
        <v>0</v>
      </c>
      <c r="K1583" s="11"/>
      <c r="L1583" s="11"/>
      <c r="M1583" s="11"/>
      <c r="N1583" s="11"/>
      <c r="O1583" s="17"/>
      <c r="P1583" s="17"/>
    </row>
    <row r="1584" ht="13.5" customHeight="1">
      <c r="A1584" s="11" t="str">
        <f t="shared" si="1"/>
        <v>RDL-VIOS02XYG</v>
      </c>
      <c r="B1584" s="32" t="s">
        <v>1264</v>
      </c>
      <c r="C1584" s="33" t="s">
        <v>1263</v>
      </c>
      <c r="D1584" s="33" t="s">
        <v>144</v>
      </c>
      <c r="E1584" s="11" t="s">
        <v>16</v>
      </c>
      <c r="F1584" s="33"/>
      <c r="G1584" s="11"/>
      <c r="H1584" s="11">
        <f>SUMIFS(X!$F$3:$F$5978,X!$D$3:$D$5978,'Current Stock'!A1584)</f>
        <v>0</v>
      </c>
      <c r="I1584" s="11">
        <f>SUMIFS(PENJUALAN!$E$4:$E$3651,PENJUALAN!$C$4:$C$3651,'Current Stock'!A1584)</f>
        <v>0</v>
      </c>
      <c r="J1584" s="15">
        <f t="shared" si="2"/>
        <v>0</v>
      </c>
      <c r="K1584" s="11"/>
      <c r="L1584" s="11"/>
      <c r="M1584" s="11"/>
      <c r="N1584" s="11"/>
      <c r="O1584" s="17"/>
      <c r="P1584" s="17"/>
    </row>
    <row r="1585" ht="13.5" customHeight="1">
      <c r="A1585" s="11" t="str">
        <f t="shared" si="1"/>
        <v>RDR-VIOS02XYG</v>
      </c>
      <c r="B1585" s="32" t="s">
        <v>1265</v>
      </c>
      <c r="C1585" s="33" t="s">
        <v>1263</v>
      </c>
      <c r="D1585" s="33" t="s">
        <v>146</v>
      </c>
      <c r="E1585" s="11" t="s">
        <v>16</v>
      </c>
      <c r="F1585" s="33"/>
      <c r="G1585" s="11"/>
      <c r="H1585" s="11">
        <f>SUMIFS(X!$F$3:$F$5978,X!$D$3:$D$5978,'Current Stock'!A1585)</f>
        <v>0</v>
      </c>
      <c r="I1585" s="11">
        <f>SUMIFS(PENJUALAN!$E$4:$E$3651,PENJUALAN!$C$4:$C$3651,'Current Stock'!A1585)</f>
        <v>0</v>
      </c>
      <c r="J1585" s="15">
        <f t="shared" si="2"/>
        <v>0</v>
      </c>
      <c r="K1585" s="11"/>
      <c r="L1585" s="11"/>
      <c r="M1585" s="11"/>
      <c r="N1585" s="11"/>
      <c r="O1585" s="17"/>
      <c r="P1585" s="17"/>
    </row>
    <row r="1586" ht="13.5" customHeight="1">
      <c r="A1586" s="11" t="str">
        <f t="shared" si="1"/>
        <v>LFW-VIOS07XYG</v>
      </c>
      <c r="B1586" s="32" t="s">
        <v>1266</v>
      </c>
      <c r="C1586" s="33" t="s">
        <v>1267</v>
      </c>
      <c r="D1586" s="33" t="s">
        <v>60</v>
      </c>
      <c r="E1586" s="11" t="s">
        <v>16</v>
      </c>
      <c r="F1586" s="33" t="s">
        <v>137</v>
      </c>
      <c r="G1586" s="11"/>
      <c r="H1586" s="11">
        <f>SUMIFS(X!$F$3:$F$5978,X!$D$3:$D$5978,'Current Stock'!A1586)</f>
        <v>0</v>
      </c>
      <c r="I1586" s="11">
        <f>SUMIFS(PENJUALAN!$E$4:$E$3651,PENJUALAN!$C$4:$C$3651,'Current Stock'!A1586)</f>
        <v>0</v>
      </c>
      <c r="J1586" s="15">
        <f t="shared" si="2"/>
        <v>0</v>
      </c>
      <c r="K1586" s="11"/>
      <c r="L1586" s="11"/>
      <c r="M1586" s="11"/>
      <c r="N1586" s="11"/>
      <c r="O1586" s="17"/>
      <c r="P1586" s="17"/>
    </row>
    <row r="1587" ht="13.5" customHeight="1">
      <c r="A1587" s="11" t="str">
        <f t="shared" si="1"/>
        <v>LFW-KAPSUL02XYG</v>
      </c>
      <c r="B1587" s="32" t="s">
        <v>1839</v>
      </c>
      <c r="C1587" s="35" t="s">
        <v>1840</v>
      </c>
      <c r="D1587" s="33" t="s">
        <v>60</v>
      </c>
      <c r="E1587" s="11" t="s">
        <v>16</v>
      </c>
      <c r="F1587" s="33" t="s">
        <v>109</v>
      </c>
      <c r="G1587" s="11"/>
      <c r="H1587" s="11">
        <f>SUMIFS(X!$F$3:$F$5978,X!$D$3:$D$5978,'Current Stock'!A1587)</f>
        <v>12</v>
      </c>
      <c r="I1587" s="11">
        <f>SUMIFS(PENJUALAN!$E$4:$E$3651,PENJUALAN!$C$4:$C$3651,'Current Stock'!A1587)</f>
        <v>3</v>
      </c>
      <c r="J1587" s="15">
        <f t="shared" si="2"/>
        <v>9</v>
      </c>
      <c r="K1587" s="13"/>
      <c r="L1587" s="11"/>
      <c r="M1587" s="11"/>
      <c r="N1587" s="11"/>
      <c r="O1587" s="17"/>
      <c r="P1587" s="17"/>
    </row>
    <row r="1588" ht="13.5" customHeight="1">
      <c r="A1588" s="11" t="str">
        <f t="shared" si="1"/>
        <v>RVL-VIOS07XYG</v>
      </c>
      <c r="B1588" s="32" t="s">
        <v>1272</v>
      </c>
      <c r="C1588" s="33" t="s">
        <v>1267</v>
      </c>
      <c r="D1588" s="33" t="s">
        <v>396</v>
      </c>
      <c r="E1588" s="11" t="s">
        <v>16</v>
      </c>
      <c r="F1588" s="33"/>
      <c r="G1588" s="11"/>
      <c r="H1588" s="11">
        <f>SUMIFS(X!$F$3:$F$5978,X!$D$3:$D$5978,'Current Stock'!A1588)</f>
        <v>0</v>
      </c>
      <c r="I1588" s="11">
        <f>SUMIFS(PENJUALAN!$E$4:$E$3651,PENJUALAN!$C$4:$C$3651,'Current Stock'!A1588)</f>
        <v>0</v>
      </c>
      <c r="J1588" s="15">
        <f t="shared" si="2"/>
        <v>0</v>
      </c>
      <c r="K1588" s="11"/>
      <c r="L1588" s="11"/>
      <c r="M1588" s="11"/>
      <c r="N1588" s="11"/>
      <c r="O1588" s="17"/>
      <c r="P1588" s="17"/>
    </row>
    <row r="1589" ht="13.5" customHeight="1">
      <c r="A1589" s="11" t="str">
        <f t="shared" si="1"/>
        <v>RVR-VIOS07XYG</v>
      </c>
      <c r="B1589" s="32" t="s">
        <v>1841</v>
      </c>
      <c r="C1589" s="33" t="s">
        <v>1267</v>
      </c>
      <c r="D1589" s="33" t="s">
        <v>398</v>
      </c>
      <c r="E1589" s="11" t="s">
        <v>16</v>
      </c>
      <c r="F1589" s="33"/>
      <c r="G1589" s="11"/>
      <c r="H1589" s="11">
        <f>SUMIFS(X!$F$3:$F$5978,X!$D$3:$D$5978,'Current Stock'!A1589)</f>
        <v>0</v>
      </c>
      <c r="I1589" s="11">
        <f>SUMIFS(PENJUALAN!$E$4:$E$3651,PENJUALAN!$C$4:$C$3651,'Current Stock'!A1589)</f>
        <v>0</v>
      </c>
      <c r="J1589" s="15">
        <f t="shared" si="2"/>
        <v>0</v>
      </c>
      <c r="K1589" s="11"/>
      <c r="L1589" s="11"/>
      <c r="M1589" s="11"/>
      <c r="N1589" s="11"/>
      <c r="O1589" s="17"/>
      <c r="P1589" s="17"/>
    </row>
    <row r="1590" ht="13.5" customHeight="1">
      <c r="A1590" s="11" t="str">
        <f t="shared" si="1"/>
        <v>TRW-VIOS07LIMOXYG</v>
      </c>
      <c r="B1590" s="32" t="s">
        <v>1842</v>
      </c>
      <c r="C1590" s="33" t="s">
        <v>1843</v>
      </c>
      <c r="D1590" s="33" t="s">
        <v>62</v>
      </c>
      <c r="E1590" s="11" t="s">
        <v>16</v>
      </c>
      <c r="F1590" s="33" t="s">
        <v>109</v>
      </c>
      <c r="G1590" s="11"/>
      <c r="H1590" s="11">
        <f>SUMIFS(X!$F$3:$F$5978,X!$D$3:$D$5978,'Current Stock'!A1590)</f>
        <v>0</v>
      </c>
      <c r="I1590" s="11">
        <f>SUMIFS(PENJUALAN!$E$4:$E$3651,PENJUALAN!$C$4:$C$3651,'Current Stock'!A1590)</f>
        <v>0</v>
      </c>
      <c r="J1590" s="15">
        <f t="shared" si="2"/>
        <v>0</v>
      </c>
      <c r="K1590" s="13"/>
      <c r="L1590" s="13"/>
      <c r="M1590" s="11"/>
      <c r="N1590" s="11"/>
      <c r="O1590" s="17"/>
      <c r="P1590" s="17"/>
    </row>
    <row r="1591" ht="13.5" customHeight="1">
      <c r="A1591" s="11" t="str">
        <f t="shared" si="1"/>
        <v>TRW-VIOS13XYG</v>
      </c>
      <c r="B1591" s="32" t="s">
        <v>1844</v>
      </c>
      <c r="C1591" s="33" t="s">
        <v>1845</v>
      </c>
      <c r="D1591" s="33" t="s">
        <v>62</v>
      </c>
      <c r="E1591" s="11" t="s">
        <v>16</v>
      </c>
      <c r="F1591" s="33" t="s">
        <v>83</v>
      </c>
      <c r="G1591" s="11"/>
      <c r="H1591" s="11">
        <f>SUMIFS(X!$F$3:$F$5978,X!$D$3:$D$5978,'Current Stock'!A1591)</f>
        <v>0</v>
      </c>
      <c r="I1591" s="11">
        <f>SUMIFS(PENJUALAN!$E$4:$E$3651,PENJUALAN!$C$4:$C$3651,'Current Stock'!A1591)</f>
        <v>0</v>
      </c>
      <c r="J1591" s="15">
        <f t="shared" si="2"/>
        <v>0</v>
      </c>
      <c r="K1591" s="11"/>
      <c r="L1591" s="11"/>
      <c r="M1591" s="11"/>
      <c r="N1591" s="11"/>
      <c r="O1591" s="17"/>
      <c r="P1591" s="17"/>
    </row>
    <row r="1592" ht="13.5" customHeight="1">
      <c r="A1592" s="11" t="str">
        <f t="shared" si="1"/>
        <v>LFW-VOXY17XYG</v>
      </c>
      <c r="B1592" s="32" t="s">
        <v>1273</v>
      </c>
      <c r="C1592" s="33" t="s">
        <v>1274</v>
      </c>
      <c r="D1592" s="33" t="s">
        <v>60</v>
      </c>
      <c r="E1592" s="11" t="s">
        <v>16</v>
      </c>
      <c r="F1592" s="33" t="s">
        <v>137</v>
      </c>
      <c r="G1592" s="11"/>
      <c r="H1592" s="11">
        <f>SUMIFS(X!$F$3:$F$5978,X!$D$3:$D$5978,'Current Stock'!A1592)</f>
        <v>3</v>
      </c>
      <c r="I1592" s="11">
        <f>SUMIFS(PENJUALAN!$E$4:$E$3651,PENJUALAN!$C$4:$C$3651,'Current Stock'!A1592)</f>
        <v>3</v>
      </c>
      <c r="J1592" s="15">
        <f t="shared" si="2"/>
        <v>0</v>
      </c>
      <c r="K1592" s="13"/>
      <c r="L1592" s="13"/>
      <c r="M1592" s="11"/>
      <c r="N1592" s="11"/>
      <c r="O1592" s="17"/>
      <c r="P1592" s="17"/>
    </row>
    <row r="1593" ht="13.5" customHeight="1">
      <c r="A1593" s="11" t="str">
        <f t="shared" si="1"/>
        <v>TRW-VOXY17XYG</v>
      </c>
      <c r="B1593" s="36" t="s">
        <v>1846</v>
      </c>
      <c r="C1593" s="31" t="s">
        <v>1847</v>
      </c>
      <c r="D1593" s="31" t="s">
        <v>62</v>
      </c>
      <c r="E1593" s="11" t="s">
        <v>16</v>
      </c>
      <c r="F1593" s="31" t="s">
        <v>228</v>
      </c>
      <c r="G1593" s="11"/>
      <c r="H1593" s="11">
        <f>SUMIFS(X!$F$3:$F$5978,X!$D$3:$D$5978,'Current Stock'!A1593)</f>
        <v>1</v>
      </c>
      <c r="I1593" s="11">
        <f>SUMIFS(PENJUALAN!$E$4:$E$3651,PENJUALAN!$C$4:$C$3651,'Current Stock'!A1593)</f>
        <v>1</v>
      </c>
      <c r="J1593" s="15">
        <f t="shared" si="2"/>
        <v>0</v>
      </c>
      <c r="K1593" s="13"/>
      <c r="L1593" s="13"/>
      <c r="M1593" s="11"/>
      <c r="N1593" s="11"/>
      <c r="O1593" s="17"/>
      <c r="P1593" s="17"/>
    </row>
    <row r="1594" ht="13.5" customHeight="1">
      <c r="A1594" s="11" t="str">
        <f t="shared" si="1"/>
        <v>LFW-VOXY22RSXYG</v>
      </c>
      <c r="B1594" s="36" t="s">
        <v>1848</v>
      </c>
      <c r="C1594" s="31" t="s">
        <v>1849</v>
      </c>
      <c r="D1594" s="33" t="s">
        <v>60</v>
      </c>
      <c r="E1594" s="11" t="s">
        <v>16</v>
      </c>
      <c r="F1594" s="31" t="s">
        <v>90</v>
      </c>
      <c r="G1594" s="11"/>
      <c r="H1594" s="11">
        <f>SUMIFS(X!$F$3:$F$5978,X!$D$3:$D$5978,'Current Stock'!A1594)</f>
        <v>0</v>
      </c>
      <c r="I1594" s="11">
        <f>SUMIFS(PENJUALAN!$E$4:$E$3651,PENJUALAN!$C$4:$C$3651,'Current Stock'!A1594)</f>
        <v>1</v>
      </c>
      <c r="J1594" s="15">
        <f t="shared" si="2"/>
        <v>-1</v>
      </c>
      <c r="K1594" s="13"/>
      <c r="L1594" s="13"/>
      <c r="M1594" s="11"/>
      <c r="N1594" s="11"/>
      <c r="O1594" s="17"/>
      <c r="P1594" s="17"/>
    </row>
    <row r="1595" ht="13.5" customHeight="1">
      <c r="A1595" s="11" t="str">
        <f t="shared" si="1"/>
        <v>TRW-VOXY22XYG</v>
      </c>
      <c r="B1595" s="36" t="s">
        <v>1850</v>
      </c>
      <c r="C1595" s="31" t="s">
        <v>1851</v>
      </c>
      <c r="D1595" s="31" t="s">
        <v>62</v>
      </c>
      <c r="E1595" s="11" t="s">
        <v>16</v>
      </c>
      <c r="F1595" s="31" t="s">
        <v>83</v>
      </c>
      <c r="G1595" s="11"/>
      <c r="H1595" s="11">
        <f>SUMIFS(X!$F$3:$F$5978,X!$D$3:$D$5978,'Current Stock'!A1595)</f>
        <v>1</v>
      </c>
      <c r="I1595" s="11">
        <f>SUMIFS(PENJUALAN!$E$4:$E$3651,PENJUALAN!$C$4:$C$3651,'Current Stock'!A1595)</f>
        <v>1</v>
      </c>
      <c r="J1595" s="15">
        <f t="shared" si="2"/>
        <v>0</v>
      </c>
      <c r="K1595" s="13"/>
      <c r="L1595" s="13"/>
      <c r="M1595" s="11"/>
      <c r="N1595" s="11"/>
      <c r="O1595" s="17"/>
      <c r="P1595" s="17"/>
    </row>
    <row r="1596" ht="13.5" customHeight="1">
      <c r="A1596" s="11" t="str">
        <f t="shared" si="1"/>
        <v>LFW-FJ200RSXYG</v>
      </c>
      <c r="B1596" s="32" t="s">
        <v>1192</v>
      </c>
      <c r="C1596" s="33" t="s">
        <v>1193</v>
      </c>
      <c r="D1596" s="33" t="s">
        <v>60</v>
      </c>
      <c r="E1596" s="11" t="s">
        <v>16</v>
      </c>
      <c r="F1596" s="33" t="s">
        <v>90</v>
      </c>
      <c r="G1596" s="11"/>
      <c r="H1596" s="11">
        <f>SUMIFS(X!$F$3:$F$5978,X!$D$3:$D$5978,'Current Stock'!A1596)</f>
        <v>3</v>
      </c>
      <c r="I1596" s="11">
        <f>SUMIFS(PENJUALAN!$E$4:$E$3651,PENJUALAN!$C$4:$C$3651,'Current Stock'!A1596)</f>
        <v>3</v>
      </c>
      <c r="J1596" s="15">
        <f t="shared" si="2"/>
        <v>0</v>
      </c>
      <c r="K1596" s="11"/>
      <c r="L1596" s="11"/>
      <c r="M1596" s="11"/>
      <c r="N1596" s="11"/>
      <c r="O1596" s="17"/>
      <c r="P1596" s="17"/>
    </row>
    <row r="1597" ht="13.5" customHeight="1">
      <c r="A1597" s="11" t="str">
        <f t="shared" si="1"/>
        <v>LFW-WISHXYG</v>
      </c>
      <c r="B1597" s="32" t="s">
        <v>1277</v>
      </c>
      <c r="C1597" s="33" t="s">
        <v>1278</v>
      </c>
      <c r="D1597" s="33" t="s">
        <v>60</v>
      </c>
      <c r="E1597" s="11" t="s">
        <v>16</v>
      </c>
      <c r="F1597" s="33" t="s">
        <v>137</v>
      </c>
      <c r="G1597" s="11"/>
      <c r="H1597" s="11">
        <f>SUMIFS(X!$F$3:$F$5978,X!$D$3:$D$5978,'Current Stock'!A1597)</f>
        <v>0</v>
      </c>
      <c r="I1597" s="11">
        <f>SUMIFS(PENJUALAN!$E$4:$E$3651,PENJUALAN!$C$4:$C$3651,'Current Stock'!A1597)</f>
        <v>0</v>
      </c>
      <c r="J1597" s="15">
        <f t="shared" si="2"/>
        <v>0</v>
      </c>
      <c r="K1597" s="11"/>
      <c r="L1597" s="11"/>
      <c r="M1597" s="11"/>
      <c r="N1597" s="11"/>
      <c r="O1597" s="17"/>
      <c r="P1597" s="17"/>
    </row>
    <row r="1598" ht="13.5" customHeight="1">
      <c r="A1598" s="11" t="str">
        <f t="shared" si="1"/>
        <v>TRW-WISHXYG</v>
      </c>
      <c r="B1598" s="32" t="s">
        <v>1279</v>
      </c>
      <c r="C1598" s="33" t="s">
        <v>1278</v>
      </c>
      <c r="D1598" s="33" t="s">
        <v>62</v>
      </c>
      <c r="E1598" s="11" t="s">
        <v>16</v>
      </c>
      <c r="F1598" s="33" t="s">
        <v>228</v>
      </c>
      <c r="G1598" s="11"/>
      <c r="H1598" s="11">
        <f>SUMIFS(X!$F$3:$F$5978,X!$D$3:$D$5978,'Current Stock'!A1598)</f>
        <v>0</v>
      </c>
      <c r="I1598" s="11">
        <f>SUMIFS(PENJUALAN!$E$4:$E$3651,PENJUALAN!$C$4:$C$3651,'Current Stock'!A1598)</f>
        <v>0</v>
      </c>
      <c r="J1598" s="15">
        <f t="shared" si="2"/>
        <v>0</v>
      </c>
      <c r="K1598" s="11"/>
      <c r="L1598" s="11"/>
      <c r="M1598" s="11"/>
      <c r="N1598" s="11"/>
      <c r="O1598" s="17"/>
      <c r="P1598" s="17"/>
    </row>
    <row r="1599" ht="13.5" customHeight="1">
      <c r="A1599" s="11" t="str">
        <f t="shared" si="1"/>
        <v>LFW-YARIS05XYG</v>
      </c>
      <c r="B1599" s="32" t="s">
        <v>1280</v>
      </c>
      <c r="C1599" s="33" t="s">
        <v>1281</v>
      </c>
      <c r="D1599" s="33" t="s">
        <v>60</v>
      </c>
      <c r="E1599" s="11" t="s">
        <v>16</v>
      </c>
      <c r="F1599" s="33" t="s">
        <v>137</v>
      </c>
      <c r="G1599" s="11"/>
      <c r="H1599" s="11">
        <f>SUMIFS(X!$F$3:$F$5978,X!$D$3:$D$5978,'Current Stock'!A1599)</f>
        <v>0</v>
      </c>
      <c r="I1599" s="11">
        <f>SUMIFS(PENJUALAN!$E$4:$E$3651,PENJUALAN!$C$4:$C$3651,'Current Stock'!A1599)</f>
        <v>0</v>
      </c>
      <c r="J1599" s="15">
        <f t="shared" si="2"/>
        <v>0</v>
      </c>
      <c r="K1599" s="11"/>
      <c r="L1599" s="11"/>
      <c r="M1599" s="11"/>
      <c r="N1599" s="11"/>
      <c r="O1599" s="17"/>
      <c r="P1599" s="17"/>
    </row>
    <row r="1600" ht="13.5" customHeight="1">
      <c r="A1600" s="11" t="str">
        <f t="shared" si="1"/>
        <v>LFW-FJ150XYG</v>
      </c>
      <c r="B1600" s="32" t="s">
        <v>1211</v>
      </c>
      <c r="C1600" s="33" t="s">
        <v>1212</v>
      </c>
      <c r="D1600" s="33" t="s">
        <v>60</v>
      </c>
      <c r="E1600" s="11" t="s">
        <v>16</v>
      </c>
      <c r="F1600" s="33" t="s">
        <v>314</v>
      </c>
      <c r="G1600" s="11"/>
      <c r="H1600" s="11">
        <f>SUMIFS(X!$F$3:$F$5978,X!$D$3:$D$5978,'Current Stock'!A1600)</f>
        <v>1</v>
      </c>
      <c r="I1600" s="11">
        <f>SUMIFS(PENJUALAN!$E$4:$E$3651,PENJUALAN!$C$4:$C$3651,'Current Stock'!A1600)</f>
        <v>1</v>
      </c>
      <c r="J1600" s="15">
        <f t="shared" si="2"/>
        <v>0</v>
      </c>
      <c r="K1600" s="11"/>
      <c r="L1600" s="11"/>
      <c r="M1600" s="11"/>
      <c r="N1600" s="11"/>
      <c r="O1600" s="17"/>
      <c r="P1600" s="17"/>
    </row>
    <row r="1601" ht="13.5" customHeight="1">
      <c r="A1601" s="11" t="str">
        <f t="shared" si="1"/>
        <v>TRW-TERIOS06XYG</v>
      </c>
      <c r="B1601" s="32" t="s">
        <v>1251</v>
      </c>
      <c r="C1601" s="33" t="s">
        <v>1248</v>
      </c>
      <c r="D1601" s="33" t="s">
        <v>62</v>
      </c>
      <c r="E1601" s="11" t="s">
        <v>16</v>
      </c>
      <c r="F1601" s="33" t="s">
        <v>109</v>
      </c>
      <c r="G1601" s="11"/>
      <c r="H1601" s="11">
        <f>SUMIFS(X!$F$3:$F$5978,X!$D$3:$D$5978,'Current Stock'!A1601)</f>
        <v>2</v>
      </c>
      <c r="I1601" s="11">
        <f>SUMIFS(PENJUALAN!$E$4:$E$3651,PENJUALAN!$C$4:$C$3651,'Current Stock'!A1601)</f>
        <v>2</v>
      </c>
      <c r="J1601" s="15">
        <f t="shared" si="2"/>
        <v>0</v>
      </c>
      <c r="K1601" s="11"/>
      <c r="L1601" s="11"/>
      <c r="M1601" s="11"/>
      <c r="N1601" s="11"/>
      <c r="O1601" s="17"/>
      <c r="P1601" s="17"/>
    </row>
    <row r="1602" ht="13.5" customHeight="1">
      <c r="A1602" s="11" t="str">
        <f t="shared" si="1"/>
        <v>TRW-YARIS13XYG</v>
      </c>
      <c r="B1602" s="32" t="s">
        <v>1852</v>
      </c>
      <c r="C1602" s="33" t="s">
        <v>1853</v>
      </c>
      <c r="D1602" s="33" t="s">
        <v>62</v>
      </c>
      <c r="E1602" s="11" t="s">
        <v>16</v>
      </c>
      <c r="F1602" s="33" t="s">
        <v>83</v>
      </c>
      <c r="G1602" s="11"/>
      <c r="H1602" s="11">
        <f>SUMIFS(X!$F$3:$F$5978,X!$D$3:$D$5978,'Current Stock'!A1602)</f>
        <v>0</v>
      </c>
      <c r="I1602" s="11">
        <f>SUMIFS(PENJUALAN!$E$4:$E$3651,PENJUALAN!$C$4:$C$3651,'Current Stock'!A1602)</f>
        <v>0</v>
      </c>
      <c r="J1602" s="15">
        <f t="shared" si="2"/>
        <v>0</v>
      </c>
      <c r="K1602" s="13"/>
      <c r="L1602" s="13"/>
      <c r="M1602" s="11"/>
      <c r="N1602" s="11"/>
      <c r="O1602" s="17"/>
      <c r="P1602" s="17"/>
    </row>
    <row r="1603" ht="13.5" customHeight="1">
      <c r="A1603" s="11" t="str">
        <f t="shared" si="1"/>
        <v>TRW-YARIS17XYG</v>
      </c>
      <c r="B1603" s="32" t="s">
        <v>1854</v>
      </c>
      <c r="C1603" s="33" t="s">
        <v>1855</v>
      </c>
      <c r="D1603" s="33" t="s">
        <v>62</v>
      </c>
      <c r="E1603" s="11" t="s">
        <v>16</v>
      </c>
      <c r="F1603" s="33" t="s">
        <v>83</v>
      </c>
      <c r="G1603" s="11"/>
      <c r="H1603" s="11">
        <f>SUMIFS(X!$F$3:$F$5978,X!$D$3:$D$5978,'Current Stock'!A1603)</f>
        <v>1</v>
      </c>
      <c r="I1603" s="11">
        <f>SUMIFS(PENJUALAN!$E$4:$E$3651,PENJUALAN!$C$4:$C$3651,'Current Stock'!A1603)</f>
        <v>1</v>
      </c>
      <c r="J1603" s="15">
        <f t="shared" si="2"/>
        <v>0</v>
      </c>
      <c r="K1603" s="13"/>
      <c r="L1603" s="13"/>
      <c r="M1603" s="11"/>
      <c r="N1603" s="11"/>
      <c r="O1603" s="17"/>
      <c r="P1603" s="17"/>
    </row>
    <row r="1604" ht="13.5" customHeight="1">
      <c r="A1604" s="11" t="str">
        <f t="shared" si="1"/>
        <v>LFW-T5XYG</v>
      </c>
      <c r="B1604" s="32" t="s">
        <v>1285</v>
      </c>
      <c r="C1604" s="33" t="s">
        <v>1286</v>
      </c>
      <c r="D1604" s="33" t="s">
        <v>60</v>
      </c>
      <c r="E1604" s="11" t="s">
        <v>16</v>
      </c>
      <c r="F1604" s="33" t="s">
        <v>137</v>
      </c>
      <c r="G1604" s="11"/>
      <c r="H1604" s="11">
        <f>SUMIFS(X!$F$3:$F$5978,X!$D$3:$D$5978,'Current Stock'!A1604)</f>
        <v>0</v>
      </c>
      <c r="I1604" s="11">
        <f>SUMIFS(PENJUALAN!$E$4:$E$3651,PENJUALAN!$C$4:$C$3651,'Current Stock'!A1604)</f>
        <v>0</v>
      </c>
      <c r="J1604" s="15">
        <f t="shared" si="2"/>
        <v>0</v>
      </c>
      <c r="K1604" s="11"/>
      <c r="L1604" s="11"/>
      <c r="M1604" s="11"/>
      <c r="N1604" s="11"/>
      <c r="O1604" s="17"/>
      <c r="P1604" s="17"/>
    </row>
    <row r="1605" ht="13.5" customHeight="1">
      <c r="A1605" s="11" t="str">
        <f t="shared" si="1"/>
        <v>TRW-T5XYG</v>
      </c>
      <c r="B1605" s="32" t="s">
        <v>1287</v>
      </c>
      <c r="C1605" s="33" t="s">
        <v>1286</v>
      </c>
      <c r="D1605" s="33" t="s">
        <v>62</v>
      </c>
      <c r="E1605" s="11" t="s">
        <v>16</v>
      </c>
      <c r="F1605" s="33" t="s">
        <v>228</v>
      </c>
      <c r="G1605" s="11"/>
      <c r="H1605" s="11">
        <f>SUMIFS(X!$F$3:$F$5978,X!$D$3:$D$5978,'Current Stock'!A1605)</f>
        <v>0</v>
      </c>
      <c r="I1605" s="11">
        <f>SUMIFS(PENJUALAN!$E$4:$E$3651,PENJUALAN!$C$4:$C$3651,'Current Stock'!A1605)</f>
        <v>0</v>
      </c>
      <c r="J1605" s="15">
        <f t="shared" si="2"/>
        <v>0</v>
      </c>
      <c r="K1605" s="11"/>
      <c r="L1605" s="11"/>
      <c r="M1605" s="11"/>
      <c r="N1605" s="11"/>
      <c r="O1605" s="17"/>
      <c r="P1605" s="17"/>
    </row>
    <row r="1606" ht="13.5" customHeight="1">
      <c r="A1606" s="11" t="str">
        <f t="shared" si="1"/>
        <v>LFW-GOLFMK6XYG</v>
      </c>
      <c r="B1606" s="32" t="s">
        <v>1290</v>
      </c>
      <c r="C1606" s="33" t="s">
        <v>1291</v>
      </c>
      <c r="D1606" s="33" t="s">
        <v>60</v>
      </c>
      <c r="E1606" s="11" t="s">
        <v>16</v>
      </c>
      <c r="F1606" s="33" t="s">
        <v>124</v>
      </c>
      <c r="G1606" s="11"/>
      <c r="H1606" s="11">
        <f>SUMIFS(X!$F$3:$F$5978,X!$D$3:$D$5978,'Current Stock'!A1606)</f>
        <v>0</v>
      </c>
      <c r="I1606" s="11">
        <f>SUMIFS(PENJUALAN!$E$4:$E$3651,PENJUALAN!$C$4:$C$3651,'Current Stock'!A1606)</f>
        <v>0</v>
      </c>
      <c r="J1606" s="15">
        <f t="shared" si="2"/>
        <v>0</v>
      </c>
      <c r="K1606" s="11"/>
      <c r="L1606" s="11"/>
      <c r="M1606" s="11"/>
      <c r="N1606" s="11"/>
      <c r="O1606" s="17"/>
      <c r="P1606" s="17"/>
    </row>
    <row r="1607" ht="13.5" customHeight="1">
      <c r="A1607" s="11" t="str">
        <f t="shared" si="1"/>
        <v>TRW-MK6XYG</v>
      </c>
      <c r="B1607" s="32" t="s">
        <v>1292</v>
      </c>
      <c r="C1607" s="33" t="s">
        <v>1291</v>
      </c>
      <c r="D1607" s="33" t="s">
        <v>62</v>
      </c>
      <c r="E1607" s="11" t="s">
        <v>16</v>
      </c>
      <c r="F1607" s="33" t="s">
        <v>670</v>
      </c>
      <c r="G1607" s="11"/>
      <c r="H1607" s="11">
        <f>SUMIFS(X!$F$3:$F$5978,X!$D$3:$D$5978,'Current Stock'!A1607)</f>
        <v>1</v>
      </c>
      <c r="I1607" s="11">
        <f>SUMIFS(PENJUALAN!$E$4:$E$3651,PENJUALAN!$C$4:$C$3651,'Current Stock'!A1607)</f>
        <v>1</v>
      </c>
      <c r="J1607" s="15">
        <f t="shared" si="2"/>
        <v>0</v>
      </c>
      <c r="K1607" s="11"/>
      <c r="L1607" s="11"/>
      <c r="M1607" s="11"/>
      <c r="N1607" s="11"/>
      <c r="O1607" s="17"/>
      <c r="P1607" s="17"/>
    </row>
    <row r="1608" ht="13.5" customHeight="1">
      <c r="A1608" s="11" t="str">
        <f t="shared" si="1"/>
        <v>LFW-POLO09RSXYG</v>
      </c>
      <c r="B1608" s="32" t="s">
        <v>1297</v>
      </c>
      <c r="C1608" s="33" t="s">
        <v>1298</v>
      </c>
      <c r="D1608" s="33" t="s">
        <v>60</v>
      </c>
      <c r="E1608" s="11" t="s">
        <v>16</v>
      </c>
      <c r="F1608" s="33" t="s">
        <v>124</v>
      </c>
      <c r="G1608" s="11"/>
      <c r="H1608" s="11">
        <f>SUMIFS(X!$F$3:$F$5978,X!$D$3:$D$5978,'Current Stock'!A1608)</f>
        <v>0</v>
      </c>
      <c r="I1608" s="11">
        <f>SUMIFS(PENJUALAN!$E$4:$E$3651,PENJUALAN!$C$4:$C$3651,'Current Stock'!A1608)</f>
        <v>0</v>
      </c>
      <c r="J1608" s="15">
        <f t="shared" si="2"/>
        <v>0</v>
      </c>
      <c r="K1608" s="11"/>
      <c r="L1608" s="11"/>
      <c r="M1608" s="11"/>
      <c r="N1608" s="11"/>
      <c r="O1608" s="17"/>
      <c r="P1608" s="17"/>
    </row>
    <row r="1609" ht="13.5" customHeight="1">
      <c r="A1609" s="11" t="str">
        <f t="shared" si="1"/>
        <v>LFW-POLO09XYG</v>
      </c>
      <c r="B1609" s="32" t="s">
        <v>1299</v>
      </c>
      <c r="C1609" s="33" t="s">
        <v>1300</v>
      </c>
      <c r="D1609" s="33" t="s">
        <v>60</v>
      </c>
      <c r="E1609" s="11" t="s">
        <v>16</v>
      </c>
      <c r="F1609" s="33" t="s">
        <v>745</v>
      </c>
      <c r="G1609" s="11"/>
      <c r="H1609" s="11">
        <f>SUMIFS(X!$F$3:$F$5978,X!$D$3:$D$5978,'Current Stock'!A1609)</f>
        <v>1</v>
      </c>
      <c r="I1609" s="11">
        <f>SUMIFS(PENJUALAN!$E$4:$E$3651,PENJUALAN!$C$4:$C$3651,'Current Stock'!A1609)</f>
        <v>1</v>
      </c>
      <c r="J1609" s="15">
        <f t="shared" si="2"/>
        <v>0</v>
      </c>
      <c r="K1609" s="11"/>
      <c r="L1609" s="11"/>
      <c r="M1609" s="11"/>
      <c r="N1609" s="11"/>
      <c r="O1609" s="17"/>
      <c r="P1609" s="17"/>
    </row>
    <row r="1610" ht="13.5" customHeight="1">
      <c r="A1610" s="11" t="str">
        <f t="shared" si="1"/>
        <v>LFW-SCIROCCOXYG</v>
      </c>
      <c r="B1610" s="32" t="s">
        <v>1302</v>
      </c>
      <c r="C1610" s="33" t="s">
        <v>1303</v>
      </c>
      <c r="D1610" s="33" t="s">
        <v>60</v>
      </c>
      <c r="E1610" s="11" t="s">
        <v>16</v>
      </c>
      <c r="F1610" s="33" t="s">
        <v>196</v>
      </c>
      <c r="G1610" s="11"/>
      <c r="H1610" s="11">
        <f>SUMIFS(X!$F$3:$F$5978,X!$D$3:$D$5978,'Current Stock'!A1610)</f>
        <v>1</v>
      </c>
      <c r="I1610" s="11">
        <f>SUMIFS(PENJUALAN!$E$4:$E$3651,PENJUALAN!$C$4:$C$3651,'Current Stock'!A1610)</f>
        <v>1</v>
      </c>
      <c r="J1610" s="15">
        <f t="shared" si="2"/>
        <v>0</v>
      </c>
      <c r="K1610" s="11"/>
      <c r="L1610" s="11"/>
      <c r="M1610" s="11"/>
      <c r="N1610" s="11"/>
      <c r="O1610" s="17"/>
      <c r="P1610" s="17"/>
    </row>
    <row r="1611" ht="13.5" customHeight="1">
      <c r="A1611" s="11" t="str">
        <f t="shared" si="1"/>
        <v>TRW-SCIROCCOXYG</v>
      </c>
      <c r="B1611" s="32" t="s">
        <v>1856</v>
      </c>
      <c r="C1611" s="33" t="s">
        <v>1303</v>
      </c>
      <c r="D1611" s="35" t="s">
        <v>62</v>
      </c>
      <c r="E1611" s="11" t="s">
        <v>16</v>
      </c>
      <c r="F1611" s="35" t="s">
        <v>228</v>
      </c>
      <c r="G1611" s="11"/>
      <c r="H1611" s="11">
        <f>SUMIFS(X!$F$3:$F$5978,X!$D$3:$D$5978,'Current Stock'!A1611)</f>
        <v>0</v>
      </c>
      <c r="I1611" s="11">
        <f>SUMIFS(PENJUALAN!$E$4:$E$3651,PENJUALAN!$C$4:$C$3651,'Current Stock'!A1611)</f>
        <v>0</v>
      </c>
      <c r="J1611" s="15">
        <f t="shared" si="2"/>
        <v>0</v>
      </c>
      <c r="K1611" s="11"/>
      <c r="L1611" s="11"/>
      <c r="M1611" s="11"/>
      <c r="N1611" s="11"/>
      <c r="O1611" s="17"/>
      <c r="P1611" s="17"/>
    </row>
    <row r="1612" ht="13.5" customHeight="1">
      <c r="A1612" s="11" t="str">
        <f t="shared" si="1"/>
        <v>LFW-TIGUANXYG</v>
      </c>
      <c r="B1612" s="32" t="s">
        <v>1304</v>
      </c>
      <c r="C1612" s="33" t="s">
        <v>1305</v>
      </c>
      <c r="D1612" s="33" t="s">
        <v>60</v>
      </c>
      <c r="E1612" s="11" t="s">
        <v>16</v>
      </c>
      <c r="F1612" s="33" t="s">
        <v>124</v>
      </c>
      <c r="G1612" s="11"/>
      <c r="H1612" s="11">
        <f>SUMIFS(X!$F$3:$F$5978,X!$D$3:$D$5978,'Current Stock'!A1612)</f>
        <v>0</v>
      </c>
      <c r="I1612" s="11">
        <f>SUMIFS(PENJUALAN!$E$4:$E$3651,PENJUALAN!$C$4:$C$3651,'Current Stock'!A1612)</f>
        <v>0</v>
      </c>
      <c r="J1612" s="15">
        <f t="shared" si="2"/>
        <v>0</v>
      </c>
      <c r="K1612" s="11"/>
      <c r="L1612" s="11"/>
      <c r="M1612" s="11"/>
      <c r="N1612" s="11"/>
      <c r="O1612" s="17"/>
      <c r="P1612" s="17"/>
    </row>
    <row r="1613" ht="13.5" customHeight="1">
      <c r="A1613" s="11" t="str">
        <f t="shared" si="1"/>
        <v>TRW-TIGUAN07XYG</v>
      </c>
      <c r="B1613" s="48" t="s">
        <v>1857</v>
      </c>
      <c r="C1613" s="33" t="s">
        <v>1305</v>
      </c>
      <c r="D1613" s="33" t="s">
        <v>62</v>
      </c>
      <c r="E1613" s="11" t="s">
        <v>16</v>
      </c>
      <c r="F1613" s="33" t="s">
        <v>228</v>
      </c>
      <c r="G1613" s="11"/>
      <c r="H1613" s="11">
        <f>SUMIFS(X!$F$3:$F$5978,X!$D$3:$D$5978,'Current Stock'!A1613)</f>
        <v>0</v>
      </c>
      <c r="I1613" s="11">
        <f>SUMIFS(PENJUALAN!$E$4:$E$3651,PENJUALAN!$C$4:$C$3651,'Current Stock'!A1613)</f>
        <v>0</v>
      </c>
      <c r="J1613" s="15">
        <f t="shared" si="2"/>
        <v>0</v>
      </c>
      <c r="K1613" s="11"/>
      <c r="L1613" s="11"/>
      <c r="M1613" s="11"/>
      <c r="N1613" s="11"/>
      <c r="O1613" s="17"/>
      <c r="P1613" s="17"/>
    </row>
    <row r="1614" ht="13.5" customHeight="1">
      <c r="A1614" s="11" t="str">
        <f t="shared" si="1"/>
        <v>LFW-TIGUAN17RSXYG</v>
      </c>
      <c r="B1614" s="48" t="s">
        <v>1858</v>
      </c>
      <c r="C1614" s="35" t="s">
        <v>1859</v>
      </c>
      <c r="D1614" s="35" t="s">
        <v>60</v>
      </c>
      <c r="E1614" s="11" t="s">
        <v>16</v>
      </c>
      <c r="F1614" s="35" t="s">
        <v>124</v>
      </c>
      <c r="G1614" s="11"/>
      <c r="H1614" s="11">
        <f>SUMIFS(X!$F$3:$F$5978,X!$D$3:$D$5978,'Current Stock'!A1614)</f>
        <v>0</v>
      </c>
      <c r="I1614" s="11">
        <f>SUMIFS(PENJUALAN!$E$4:$E$3651,PENJUALAN!$C$4:$C$3651,'Current Stock'!A1614)</f>
        <v>0</v>
      </c>
      <c r="J1614" s="15">
        <f t="shared" si="2"/>
        <v>0</v>
      </c>
      <c r="K1614" s="11"/>
      <c r="L1614" s="11"/>
      <c r="M1614" s="11"/>
      <c r="N1614" s="11"/>
      <c r="O1614" s="17"/>
      <c r="P1614" s="17"/>
    </row>
    <row r="1615" ht="13.5" customHeight="1">
      <c r="A1615" s="11" t="str">
        <f t="shared" si="1"/>
        <v>TRW-TIGUAN17XYG</v>
      </c>
      <c r="B1615" s="48" t="s">
        <v>1860</v>
      </c>
      <c r="C1615" s="33" t="s">
        <v>1859</v>
      </c>
      <c r="D1615" s="33" t="s">
        <v>62</v>
      </c>
      <c r="E1615" s="11" t="s">
        <v>16</v>
      </c>
      <c r="F1615" s="33" t="s">
        <v>228</v>
      </c>
      <c r="G1615" s="11"/>
      <c r="H1615" s="11">
        <f>SUMIFS(X!$F$3:$F$5978,X!$D$3:$D$5978,'Current Stock'!A1615)</f>
        <v>0</v>
      </c>
      <c r="I1615" s="11">
        <f>SUMIFS(PENJUALAN!$E$4:$E$3651,PENJUALAN!$C$4:$C$3651,'Current Stock'!A1615)</f>
        <v>0</v>
      </c>
      <c r="J1615" s="15">
        <f t="shared" si="2"/>
        <v>0</v>
      </c>
      <c r="K1615" s="11"/>
      <c r="L1615" s="11"/>
      <c r="M1615" s="11"/>
      <c r="N1615" s="11"/>
      <c r="O1615" s="17"/>
      <c r="P1615" s="17"/>
    </row>
    <row r="1616" ht="13.5" customHeight="1">
      <c r="A1616" s="11" t="str">
        <f t="shared" si="1"/>
        <v>TRW-RUSH17HXYG</v>
      </c>
      <c r="B1616" s="32" t="s">
        <v>1861</v>
      </c>
      <c r="C1616" s="33" t="s">
        <v>1831</v>
      </c>
      <c r="D1616" s="33" t="s">
        <v>62</v>
      </c>
      <c r="E1616" s="11" t="s">
        <v>16</v>
      </c>
      <c r="F1616" s="33" t="s">
        <v>83</v>
      </c>
      <c r="G1616" s="11"/>
      <c r="H1616" s="11">
        <f>SUMIFS(X!$F$3:$F$5978,X!$D$3:$D$5978,'Current Stock'!A1616)</f>
        <v>1</v>
      </c>
      <c r="I1616" s="11">
        <f>SUMIFS(PENJUALAN!$E$4:$E$3651,PENJUALAN!$C$4:$C$3651,'Current Stock'!A1616)</f>
        <v>1</v>
      </c>
      <c r="J1616" s="15">
        <f t="shared" si="2"/>
        <v>0</v>
      </c>
      <c r="K1616" s="13" t="s">
        <v>120</v>
      </c>
      <c r="L1616" s="11"/>
      <c r="M1616" s="11"/>
      <c r="N1616" s="11"/>
      <c r="O1616" s="17"/>
      <c r="P1616" s="17"/>
    </row>
    <row r="1617" ht="13.5" customHeight="1">
      <c r="A1617" s="11" t="str">
        <f t="shared" si="1"/>
        <v>LFW-ALMAZXYG</v>
      </c>
      <c r="B1617" s="32" t="s">
        <v>1862</v>
      </c>
      <c r="C1617" s="33" t="s">
        <v>1714</v>
      </c>
      <c r="D1617" s="33" t="s">
        <v>60</v>
      </c>
      <c r="E1617" s="11" t="s">
        <v>16</v>
      </c>
      <c r="F1617" s="33" t="s">
        <v>137</v>
      </c>
      <c r="G1617" s="11"/>
      <c r="H1617" s="11">
        <f>SUMIFS(X!$F$3:$F$5978,X!$D$3:$D$5978,'Current Stock'!A1617)</f>
        <v>2</v>
      </c>
      <c r="I1617" s="11">
        <f>SUMIFS(PENJUALAN!$E$4:$E$3651,PENJUALAN!$C$4:$C$3651,'Current Stock'!A1617)</f>
        <v>2</v>
      </c>
      <c r="J1617" s="15">
        <f t="shared" si="2"/>
        <v>0</v>
      </c>
      <c r="K1617" s="13"/>
      <c r="L1617" s="13"/>
      <c r="M1617" s="11"/>
      <c r="N1617" s="11"/>
      <c r="O1617" s="17"/>
      <c r="P1617" s="17"/>
    </row>
    <row r="1618" ht="13.5" customHeight="1">
      <c r="A1618" s="11" t="str">
        <f t="shared" si="1"/>
        <v>TRW-ALMAZHXYG</v>
      </c>
      <c r="B1618" s="36" t="s">
        <v>1863</v>
      </c>
      <c r="C1618" s="33" t="s">
        <v>1714</v>
      </c>
      <c r="D1618" s="35" t="s">
        <v>62</v>
      </c>
      <c r="E1618" s="11" t="s">
        <v>16</v>
      </c>
      <c r="F1618" s="33" t="s">
        <v>83</v>
      </c>
      <c r="G1618" s="14">
        <v>45988.0</v>
      </c>
      <c r="H1618" s="11">
        <f>SUMIFS(X!$F$3:$F$5978,X!$D$3:$D$5978,'Current Stock'!A1618)</f>
        <v>0</v>
      </c>
      <c r="I1618" s="11">
        <f>SUMIFS(PENJUALAN!$E$4:$E$3651,PENJUALAN!$C$4:$C$3651,'Current Stock'!A1618)</f>
        <v>0</v>
      </c>
      <c r="J1618" s="15">
        <f t="shared" si="2"/>
        <v>0</v>
      </c>
      <c r="K1618" s="13"/>
      <c r="L1618" s="11"/>
      <c r="M1618" s="11"/>
      <c r="N1618" s="11"/>
      <c r="O1618" s="17"/>
      <c r="P1618" s="17"/>
    </row>
    <row r="1619" ht="13.5" customHeight="1">
      <c r="A1619" s="11" t="str">
        <f t="shared" si="1"/>
        <v>TRW-SIENTAXYG</v>
      </c>
      <c r="B1619" s="32" t="s">
        <v>1254</v>
      </c>
      <c r="C1619" s="33" t="s">
        <v>1253</v>
      </c>
      <c r="D1619" s="33" t="s">
        <v>62</v>
      </c>
      <c r="E1619" s="11" t="s">
        <v>16</v>
      </c>
      <c r="F1619" s="33" t="s">
        <v>83</v>
      </c>
      <c r="G1619" s="11"/>
      <c r="H1619" s="11">
        <f>SUMIFS(X!$F$3:$F$5978,X!$D$3:$D$5978,'Current Stock'!A1619)</f>
        <v>2</v>
      </c>
      <c r="I1619" s="11">
        <f>SUMIFS(PENJUALAN!$E$4:$E$3651,PENJUALAN!$C$4:$C$3651,'Current Stock'!A1619)</f>
        <v>2</v>
      </c>
      <c r="J1619" s="15">
        <f t="shared" si="2"/>
        <v>0</v>
      </c>
      <c r="K1619" s="13"/>
      <c r="L1619" s="11"/>
      <c r="M1619" s="11"/>
      <c r="N1619" s="11"/>
      <c r="O1619" s="17"/>
      <c r="P1619" s="17"/>
    </row>
    <row r="1620" ht="13.5" customHeight="1">
      <c r="A1620" s="11" t="str">
        <f t="shared" si="1"/>
        <v>LFW-CONFEROXYG</v>
      </c>
      <c r="B1620" s="32" t="s">
        <v>1306</v>
      </c>
      <c r="C1620" s="33" t="s">
        <v>1307</v>
      </c>
      <c r="D1620" s="33" t="s">
        <v>60</v>
      </c>
      <c r="E1620" s="11" t="s">
        <v>16</v>
      </c>
      <c r="F1620" s="33" t="s">
        <v>137</v>
      </c>
      <c r="G1620" s="11"/>
      <c r="H1620" s="11">
        <f>SUMIFS(X!$F$3:$F$5978,X!$D$3:$D$5978,'Current Stock'!A1620)</f>
        <v>11</v>
      </c>
      <c r="I1620" s="11">
        <f>SUMIFS(PENJUALAN!$E$4:$E$3651,PENJUALAN!$C$4:$C$3651,'Current Stock'!A1620)</f>
        <v>10</v>
      </c>
      <c r="J1620" s="15">
        <f t="shared" si="2"/>
        <v>1</v>
      </c>
      <c r="K1620" s="13"/>
      <c r="L1620" s="11"/>
      <c r="M1620" s="11"/>
      <c r="N1620" s="11"/>
      <c r="O1620" s="17"/>
      <c r="P1620" s="17"/>
    </row>
    <row r="1621" ht="13.5" customHeight="1">
      <c r="A1621" s="11" t="str">
        <f t="shared" si="1"/>
        <v>TRW-CONFEROHHOLEXYG</v>
      </c>
      <c r="B1621" s="32" t="s">
        <v>1864</v>
      </c>
      <c r="C1621" s="31" t="s">
        <v>1865</v>
      </c>
      <c r="D1621" s="33" t="s">
        <v>62</v>
      </c>
      <c r="E1621" s="11" t="s">
        <v>16</v>
      </c>
      <c r="F1621" s="33" t="s">
        <v>228</v>
      </c>
      <c r="G1621" s="34"/>
      <c r="H1621" s="11">
        <f>SUMIFS(X!$F$3:$F$5978,X!$D$3:$D$5978,'Current Stock'!A1621)</f>
        <v>1</v>
      </c>
      <c r="I1621" s="11">
        <f>SUMIFS(PENJUALAN!$E$4:$E$3651,PENJUALAN!$C$4:$C$3651,'Current Stock'!A1621)</f>
        <v>0</v>
      </c>
      <c r="J1621" s="15">
        <f t="shared" si="2"/>
        <v>1</v>
      </c>
      <c r="K1621" s="13"/>
      <c r="L1621" s="13"/>
      <c r="M1621" s="11"/>
      <c r="N1621" s="11"/>
      <c r="O1621" s="17"/>
      <c r="P1621" s="17"/>
    </row>
    <row r="1622" ht="13.5" customHeight="1">
      <c r="A1622" s="11" t="str">
        <f t="shared" si="1"/>
        <v>TRW-VIOS07XYG</v>
      </c>
      <c r="B1622" s="32" t="s">
        <v>1269</v>
      </c>
      <c r="C1622" s="33" t="s">
        <v>1267</v>
      </c>
      <c r="D1622" s="33" t="s">
        <v>62</v>
      </c>
      <c r="E1622" s="11" t="s">
        <v>16</v>
      </c>
      <c r="F1622" s="33" t="s">
        <v>83</v>
      </c>
      <c r="G1622" s="11"/>
      <c r="H1622" s="11">
        <f>SUMIFS(X!$F$3:$F$5978,X!$D$3:$D$5978,'Current Stock'!A1622)</f>
        <v>1</v>
      </c>
      <c r="I1622" s="11">
        <f>SUMIFS(PENJUALAN!$E$4:$E$3651,PENJUALAN!$C$4:$C$3651,'Current Stock'!A1622)</f>
        <v>1</v>
      </c>
      <c r="J1622" s="15">
        <f t="shared" si="2"/>
        <v>0</v>
      </c>
      <c r="K1622" s="13"/>
      <c r="L1622" s="13"/>
      <c r="M1622" s="11"/>
      <c r="N1622" s="11"/>
      <c r="O1622" s="17"/>
      <c r="P1622" s="17"/>
    </row>
    <row r="1623" ht="13.5" customHeight="1">
      <c r="A1623" s="11" t="str">
        <f t="shared" si="1"/>
        <v>TRW-CONFEROXYG</v>
      </c>
      <c r="B1623" s="32" t="s">
        <v>1866</v>
      </c>
      <c r="C1623" s="41" t="s">
        <v>1867</v>
      </c>
      <c r="D1623" s="35" t="s">
        <v>62</v>
      </c>
      <c r="E1623" s="11" t="s">
        <v>16</v>
      </c>
      <c r="F1623" s="35" t="s">
        <v>109</v>
      </c>
      <c r="G1623" s="11"/>
      <c r="H1623" s="11">
        <f>SUMIFS(X!$F$3:$F$5978,X!$D$3:$D$5978,'Current Stock'!A1623)</f>
        <v>1</v>
      </c>
      <c r="I1623" s="11">
        <f>SUMIFS(PENJUALAN!$E$4:$E$3651,PENJUALAN!$C$4:$C$3651,'Current Stock'!A1623)</f>
        <v>1</v>
      </c>
      <c r="J1623" s="15">
        <f t="shared" si="2"/>
        <v>0</v>
      </c>
      <c r="K1623" s="11"/>
      <c r="L1623" s="11"/>
      <c r="M1623" s="11"/>
      <c r="N1623" s="11"/>
      <c r="O1623" s="17"/>
      <c r="P1623" s="17"/>
    </row>
    <row r="1624" ht="13.5" customHeight="1">
      <c r="A1624" s="11" t="str">
        <f t="shared" si="1"/>
        <v>LFW-CORTEZRSXYG</v>
      </c>
      <c r="B1624" s="36" t="s">
        <v>1868</v>
      </c>
      <c r="C1624" s="31" t="s">
        <v>1869</v>
      </c>
      <c r="D1624" s="33" t="s">
        <v>60</v>
      </c>
      <c r="E1624" s="11" t="s">
        <v>16</v>
      </c>
      <c r="F1624" s="31" t="s">
        <v>1870</v>
      </c>
      <c r="G1624" s="11"/>
      <c r="H1624" s="11">
        <f>SUMIFS(X!$F$3:$F$5978,X!$D$3:$D$5978,'Current Stock'!A1624)</f>
        <v>3</v>
      </c>
      <c r="I1624" s="11">
        <f>SUMIFS(PENJUALAN!$E$4:$E$3651,PENJUALAN!$C$4:$C$3651,'Current Stock'!A1624)</f>
        <v>3</v>
      </c>
      <c r="J1624" s="15">
        <f t="shared" si="2"/>
        <v>0</v>
      </c>
      <c r="K1624" s="13"/>
      <c r="L1624" s="13"/>
      <c r="M1624" s="11"/>
      <c r="N1624" s="11"/>
      <c r="O1624" s="17"/>
      <c r="P1624" s="17"/>
    </row>
    <row r="1625" ht="13.5" customHeight="1">
      <c r="A1625" s="11" t="str">
        <f t="shared" si="1"/>
        <v>TRW-CORTEZXYG</v>
      </c>
      <c r="B1625" s="32" t="s">
        <v>1871</v>
      </c>
      <c r="C1625" s="33" t="s">
        <v>1869</v>
      </c>
      <c r="D1625" s="33" t="s">
        <v>62</v>
      </c>
      <c r="E1625" s="11" t="s">
        <v>16</v>
      </c>
      <c r="F1625" s="33" t="s">
        <v>228</v>
      </c>
      <c r="G1625" s="11"/>
      <c r="H1625" s="11">
        <f>SUMIFS(X!$F$3:$F$5978,X!$D$3:$D$5978,'Current Stock'!A1625)</f>
        <v>1</v>
      </c>
      <c r="I1625" s="11">
        <f>SUMIFS(PENJUALAN!$E$4:$E$3651,PENJUALAN!$C$4:$C$3651,'Current Stock'!A1625)</f>
        <v>0</v>
      </c>
      <c r="J1625" s="15">
        <f t="shared" si="2"/>
        <v>1</v>
      </c>
      <c r="K1625" s="13" t="s">
        <v>120</v>
      </c>
      <c r="L1625" s="13"/>
      <c r="M1625" s="11"/>
      <c r="N1625" s="11"/>
      <c r="O1625" s="17"/>
      <c r="P1625" s="17"/>
    </row>
    <row r="1626" ht="13.5" customHeight="1">
      <c r="A1626" s="11" t="str">
        <f t="shared" si="1"/>
        <v>LFW-LOUHANXYG</v>
      </c>
      <c r="B1626" s="32" t="s">
        <v>1308</v>
      </c>
      <c r="C1626" s="35" t="s">
        <v>1309</v>
      </c>
      <c r="D1626" s="35" t="s">
        <v>60</v>
      </c>
      <c r="E1626" s="11" t="s">
        <v>16</v>
      </c>
      <c r="F1626" s="33"/>
      <c r="G1626" s="11"/>
      <c r="H1626" s="11">
        <f>SUMIFS(X!$F$3:$F$5978,X!$D$3:$D$5978,'Current Stock'!A1626)</f>
        <v>1</v>
      </c>
      <c r="I1626" s="11">
        <f>SUMIFS(PENJUALAN!$E$4:$E$3651,PENJUALAN!$C$4:$C$3651,'Current Stock'!A1626)</f>
        <v>1</v>
      </c>
      <c r="J1626" s="15">
        <f t="shared" si="2"/>
        <v>0</v>
      </c>
      <c r="K1626" s="11"/>
      <c r="L1626" s="11"/>
      <c r="M1626" s="11"/>
      <c r="N1626" s="11"/>
      <c r="O1626" s="17"/>
      <c r="P1626" s="17"/>
    </row>
    <row r="1627" ht="13.5" customHeight="1">
      <c r="A1627" s="11" t="str">
        <f t="shared" si="1"/>
        <v>FDL-LOUHANXYGXYG</v>
      </c>
      <c r="B1627" s="32" t="s">
        <v>1872</v>
      </c>
      <c r="C1627" s="35" t="s">
        <v>1309</v>
      </c>
      <c r="D1627" s="33" t="s">
        <v>140</v>
      </c>
      <c r="E1627" s="11" t="s">
        <v>16</v>
      </c>
      <c r="F1627" s="33"/>
      <c r="G1627" s="14">
        <v>45988.0</v>
      </c>
      <c r="H1627" s="11">
        <f>SUMIFS(X!$F$3:$F$5978,X!$D$3:$D$5978,'Current Stock'!A1627)</f>
        <v>0</v>
      </c>
      <c r="I1627" s="11">
        <f>SUMIFS(PENJUALAN!$E$4:$E$3651,PENJUALAN!$C$4:$C$3651,'Current Stock'!A1627)</f>
        <v>0</v>
      </c>
      <c r="J1627" s="15">
        <f t="shared" si="2"/>
        <v>0</v>
      </c>
      <c r="K1627" s="13"/>
      <c r="L1627" s="11"/>
      <c r="M1627" s="11"/>
      <c r="N1627" s="11"/>
      <c r="O1627" s="17"/>
      <c r="P1627" s="17"/>
    </row>
    <row r="1628" ht="13.5" customHeight="1">
      <c r="A1628" s="11" t="str">
        <f t="shared" si="1"/>
        <v>FDR-LOUHANXYGXYG</v>
      </c>
      <c r="B1628" s="32" t="s">
        <v>1873</v>
      </c>
      <c r="C1628" s="35" t="s">
        <v>1309</v>
      </c>
      <c r="D1628" s="33" t="s">
        <v>142</v>
      </c>
      <c r="E1628" s="11" t="s">
        <v>16</v>
      </c>
      <c r="F1628" s="33"/>
      <c r="G1628" s="11"/>
      <c r="H1628" s="11">
        <f>SUMIFS(X!$F$3:$F$5978,X!$D$3:$D$5978,'Current Stock'!A1628)</f>
        <v>0</v>
      </c>
      <c r="I1628" s="11">
        <f>SUMIFS(PENJUALAN!$E$4:$E$3651,PENJUALAN!$C$4:$C$3651,'Current Stock'!A1628)</f>
        <v>0</v>
      </c>
      <c r="J1628" s="15">
        <f t="shared" si="2"/>
        <v>0</v>
      </c>
      <c r="K1628" s="11"/>
      <c r="L1628" s="11"/>
      <c r="M1628" s="11"/>
      <c r="N1628" s="11"/>
      <c r="O1628" s="17"/>
      <c r="P1628" s="17"/>
    </row>
    <row r="1629" ht="13.5" customHeight="1">
      <c r="A1629" s="11" t="str">
        <f t="shared" si="1"/>
        <v>LFW-MIGHTYXYG</v>
      </c>
      <c r="B1629" s="32" t="s">
        <v>1874</v>
      </c>
      <c r="C1629" s="33" t="s">
        <v>1875</v>
      </c>
      <c r="D1629" s="33" t="s">
        <v>60</v>
      </c>
      <c r="E1629" s="11" t="s">
        <v>16</v>
      </c>
      <c r="F1629" s="33" t="s">
        <v>1876</v>
      </c>
      <c r="G1629" s="11"/>
      <c r="H1629" s="11">
        <f>SUMIFS(X!$F$3:$F$5978,X!$D$3:$D$5978,'Current Stock'!A1629)</f>
        <v>0</v>
      </c>
      <c r="I1629" s="11">
        <f>SUMIFS(PENJUALAN!$E$4:$E$3651,PENJUALAN!$C$4:$C$3651,'Current Stock'!A1629)</f>
        <v>0</v>
      </c>
      <c r="J1629" s="15">
        <f t="shared" si="2"/>
        <v>0</v>
      </c>
      <c r="K1629" s="11"/>
      <c r="L1629" s="11"/>
      <c r="M1629" s="11"/>
      <c r="N1629" s="11"/>
      <c r="O1629" s="17"/>
      <c r="P1629" s="17"/>
    </row>
    <row r="1630" ht="13.5" customHeight="1">
      <c r="A1630" s="11" t="str">
        <f t="shared" si="1"/>
        <v>LFW-ELFNKRXYG</v>
      </c>
      <c r="B1630" s="32" t="s">
        <v>1310</v>
      </c>
      <c r="C1630" s="35" t="s">
        <v>1311</v>
      </c>
      <c r="D1630" s="33" t="s">
        <v>60</v>
      </c>
      <c r="E1630" s="11" t="s">
        <v>16</v>
      </c>
      <c r="F1630" s="33"/>
      <c r="G1630" s="11"/>
      <c r="H1630" s="11">
        <f>SUMIFS(X!$F$3:$F$5978,X!$D$3:$D$5978,'Current Stock'!A1630)</f>
        <v>5</v>
      </c>
      <c r="I1630" s="11">
        <f>SUMIFS(PENJUALAN!$E$4:$E$3651,PENJUALAN!$C$4:$C$3651,'Current Stock'!A1630)</f>
        <v>5</v>
      </c>
      <c r="J1630" s="15">
        <f t="shared" si="2"/>
        <v>0</v>
      </c>
      <c r="K1630" s="13" t="s">
        <v>1700</v>
      </c>
      <c r="L1630" s="13"/>
      <c r="M1630" s="11"/>
      <c r="N1630" s="11"/>
      <c r="O1630" s="17"/>
      <c r="P1630" s="17"/>
    </row>
    <row r="1631" ht="13.5" customHeight="1">
      <c r="A1631" s="11" t="str">
        <f t="shared" si="1"/>
        <v>TRW-VOXYXYG</v>
      </c>
      <c r="B1631" s="32" t="s">
        <v>1275</v>
      </c>
      <c r="C1631" s="33" t="s">
        <v>1276</v>
      </c>
      <c r="D1631" s="33" t="s">
        <v>62</v>
      </c>
      <c r="E1631" s="11" t="s">
        <v>16</v>
      </c>
      <c r="F1631" s="33" t="s">
        <v>228</v>
      </c>
      <c r="G1631" s="11"/>
      <c r="H1631" s="11">
        <f>SUMIFS(X!$F$3:$F$5978,X!$D$3:$D$5978,'Current Stock'!A1631)</f>
        <v>4</v>
      </c>
      <c r="I1631" s="11">
        <f>SUMIFS(PENJUALAN!$E$4:$E$3651,PENJUALAN!$C$4:$C$3651,'Current Stock'!A1631)</f>
        <v>4</v>
      </c>
      <c r="J1631" s="15">
        <f t="shared" si="2"/>
        <v>0</v>
      </c>
      <c r="K1631" s="11"/>
      <c r="L1631" s="11"/>
      <c r="M1631" s="11"/>
      <c r="N1631" s="11"/>
      <c r="O1631" s="17"/>
      <c r="P1631" s="17"/>
    </row>
    <row r="1632" ht="13.5" customHeight="1">
      <c r="A1632" s="11" t="str">
        <f t="shared" si="1"/>
        <v>TRW-YARIS05XYG</v>
      </c>
      <c r="B1632" s="32" t="s">
        <v>1282</v>
      </c>
      <c r="C1632" s="33" t="s">
        <v>1281</v>
      </c>
      <c r="D1632" s="33" t="s">
        <v>62</v>
      </c>
      <c r="E1632" s="11" t="s">
        <v>16</v>
      </c>
      <c r="F1632" s="33" t="s">
        <v>83</v>
      </c>
      <c r="G1632" s="11"/>
      <c r="H1632" s="11">
        <f>SUMIFS(X!$F$3:$F$5978,X!$D$3:$D$5978,'Current Stock'!A1632)</f>
        <v>2</v>
      </c>
      <c r="I1632" s="11">
        <f>SUMIFS(PENJUALAN!$E$4:$E$3651,PENJUALAN!$C$4:$C$3651,'Current Stock'!A1632)</f>
        <v>2</v>
      </c>
      <c r="J1632" s="15">
        <f t="shared" si="2"/>
        <v>0</v>
      </c>
      <c r="K1632" s="13" t="s">
        <v>1877</v>
      </c>
      <c r="L1632" s="13"/>
      <c r="M1632" s="11"/>
      <c r="N1632" s="11"/>
      <c r="O1632" s="17"/>
      <c r="P1632" s="17"/>
    </row>
    <row r="1633" ht="13.5" customHeight="1">
      <c r="A1633" s="11" t="str">
        <f t="shared" si="1"/>
        <v>LFW-GIGASHORTXYG</v>
      </c>
      <c r="B1633" s="32" t="s">
        <v>1878</v>
      </c>
      <c r="C1633" s="33" t="s">
        <v>1879</v>
      </c>
      <c r="D1633" s="33" t="s">
        <v>60</v>
      </c>
      <c r="E1633" s="11" t="s">
        <v>16</v>
      </c>
      <c r="F1633" s="33"/>
      <c r="G1633" s="11"/>
      <c r="H1633" s="11">
        <f>SUMIFS(X!$F$3:$F$5978,X!$D$3:$D$5978,'Current Stock'!A1633)</f>
        <v>2</v>
      </c>
      <c r="I1633" s="11">
        <f>SUMIFS(PENJUALAN!$E$4:$E$3651,PENJUALAN!$C$4:$C$3651,'Current Stock'!A1633)</f>
        <v>2</v>
      </c>
      <c r="J1633" s="15">
        <f t="shared" si="2"/>
        <v>0</v>
      </c>
      <c r="K1633" s="13"/>
      <c r="L1633" s="13"/>
      <c r="M1633" s="11"/>
      <c r="N1633" s="11"/>
      <c r="O1633" s="17"/>
      <c r="P1633" s="17"/>
    </row>
    <row r="1634" ht="13.5" customHeight="1">
      <c r="A1634" s="11" t="str">
        <f t="shared" si="1"/>
        <v>LFW-AXORXYG</v>
      </c>
      <c r="B1634" s="48" t="s">
        <v>1880</v>
      </c>
      <c r="C1634" s="35" t="s">
        <v>1881</v>
      </c>
      <c r="D1634" s="35" t="s">
        <v>60</v>
      </c>
      <c r="E1634" s="11" t="s">
        <v>16</v>
      </c>
      <c r="F1634" s="33" t="s">
        <v>109</v>
      </c>
      <c r="G1634" s="14">
        <v>45988.0</v>
      </c>
      <c r="H1634" s="11">
        <f>SUMIFS(X!$F$3:$F$5978,X!$D$3:$D$5978,'Current Stock'!A1634)</f>
        <v>2</v>
      </c>
      <c r="I1634" s="11">
        <f>SUMIFS(PENJUALAN!$E$4:$E$3651,PENJUALAN!$C$4:$C$3651,'Current Stock'!A1634)</f>
        <v>2</v>
      </c>
      <c r="J1634" s="15">
        <f t="shared" si="2"/>
        <v>0</v>
      </c>
      <c r="K1634" s="13"/>
      <c r="L1634" s="11"/>
      <c r="M1634" s="11"/>
      <c r="N1634" s="11"/>
      <c r="O1634" s="17"/>
      <c r="P1634" s="17"/>
    </row>
    <row r="1635" ht="13.5" customHeight="1">
      <c r="A1635" s="11" t="str">
        <f t="shared" si="1"/>
        <v>LFW-FE300XYG</v>
      </c>
      <c r="B1635" s="32" t="s">
        <v>1882</v>
      </c>
      <c r="C1635" s="35" t="s">
        <v>1883</v>
      </c>
      <c r="D1635" s="33" t="s">
        <v>60</v>
      </c>
      <c r="E1635" s="11" t="s">
        <v>16</v>
      </c>
      <c r="F1635" s="33"/>
      <c r="G1635" s="11"/>
      <c r="H1635" s="11">
        <f>SUMIFS(X!$F$3:$F$5978,X!$D$3:$D$5978,'Current Stock'!A1635)</f>
        <v>0</v>
      </c>
      <c r="I1635" s="11">
        <f>SUMIFS(PENJUALAN!$E$4:$E$3651,PENJUALAN!$C$4:$C$3651,'Current Stock'!A1635)</f>
        <v>0</v>
      </c>
      <c r="J1635" s="15">
        <f t="shared" si="2"/>
        <v>0</v>
      </c>
      <c r="K1635" s="11"/>
      <c r="L1635" s="11"/>
      <c r="M1635" s="11"/>
      <c r="N1635" s="11"/>
      <c r="O1635" s="17"/>
      <c r="P1635" s="17"/>
    </row>
    <row r="1636" ht="13.5" customHeight="1">
      <c r="A1636" s="11" t="str">
        <f t="shared" si="1"/>
        <v>LFW-FE700XYG</v>
      </c>
      <c r="B1636" s="32" t="s">
        <v>1314</v>
      </c>
      <c r="C1636" s="35" t="s">
        <v>1315</v>
      </c>
      <c r="D1636" s="33" t="s">
        <v>60</v>
      </c>
      <c r="E1636" s="11" t="s">
        <v>16</v>
      </c>
      <c r="F1636" s="33"/>
      <c r="G1636" s="11"/>
      <c r="H1636" s="11">
        <f>SUMIFS(X!$F$3:$F$5978,X!$D$3:$D$5978,'Current Stock'!A1636)</f>
        <v>2</v>
      </c>
      <c r="I1636" s="11">
        <f>SUMIFS(PENJUALAN!$E$4:$E$3651,PENJUALAN!$C$4:$C$3651,'Current Stock'!A1636)</f>
        <v>0</v>
      </c>
      <c r="J1636" s="15">
        <f t="shared" si="2"/>
        <v>2</v>
      </c>
      <c r="K1636" s="13" t="s">
        <v>1884</v>
      </c>
      <c r="L1636" s="13"/>
      <c r="M1636" s="11"/>
      <c r="N1636" s="11"/>
      <c r="O1636" s="17"/>
      <c r="P1636" s="17"/>
    </row>
    <row r="1637" ht="13.5" customHeight="1">
      <c r="A1637" s="11" t="str">
        <f t="shared" si="1"/>
        <v>LFW-FE800XYG</v>
      </c>
      <c r="B1637" s="32" t="s">
        <v>1316</v>
      </c>
      <c r="C1637" s="35" t="s">
        <v>1317</v>
      </c>
      <c r="D1637" s="33" t="s">
        <v>60</v>
      </c>
      <c r="E1637" s="11" t="s">
        <v>16</v>
      </c>
      <c r="F1637" s="33"/>
      <c r="G1637" s="34"/>
      <c r="H1637" s="11">
        <f>SUMIFS(X!$F$3:$F$5978,X!$D$3:$D$5978,'Current Stock'!A1637)</f>
        <v>22</v>
      </c>
      <c r="I1637" s="11">
        <f>SUMIFS(PENJUALAN!$E$4:$E$3651,PENJUALAN!$C$4:$C$3651,'Current Stock'!A1637)</f>
        <v>15</v>
      </c>
      <c r="J1637" s="15">
        <f t="shared" si="2"/>
        <v>7</v>
      </c>
      <c r="K1637" s="13" t="s">
        <v>1877</v>
      </c>
      <c r="L1637" s="13"/>
      <c r="M1637" s="16">
        <v>1.0</v>
      </c>
      <c r="N1637" s="11"/>
      <c r="O1637" s="17"/>
      <c r="P1637" s="17"/>
    </row>
    <row r="1638" ht="13.5" customHeight="1">
      <c r="A1638" s="11" t="str">
        <f t="shared" si="1"/>
        <v>LFW-FK40XYG</v>
      </c>
      <c r="B1638" s="32" t="s">
        <v>1318</v>
      </c>
      <c r="C1638" s="35" t="s">
        <v>1319</v>
      </c>
      <c r="D1638" s="33" t="s">
        <v>60</v>
      </c>
      <c r="E1638" s="11" t="s">
        <v>16</v>
      </c>
      <c r="F1638" s="33"/>
      <c r="G1638" s="11"/>
      <c r="H1638" s="11">
        <f>SUMIFS(X!$F$3:$F$5978,X!$D$3:$D$5978,'Current Stock'!A1638)</f>
        <v>1</v>
      </c>
      <c r="I1638" s="11">
        <f>SUMIFS(PENJUALAN!$E$4:$E$3651,PENJUALAN!$C$4:$C$3651,'Current Stock'!A1638)</f>
        <v>1</v>
      </c>
      <c r="J1638" s="15">
        <f t="shared" si="2"/>
        <v>0</v>
      </c>
      <c r="K1638" s="13"/>
      <c r="L1638" s="13"/>
      <c r="M1638" s="11"/>
      <c r="N1638" s="11"/>
      <c r="O1638" s="17"/>
      <c r="P1638" s="17"/>
    </row>
    <row r="1639" ht="13.5" customHeight="1">
      <c r="A1639" s="11" t="str">
        <f t="shared" si="1"/>
        <v>LFW-VIOS13XYG</v>
      </c>
      <c r="B1639" s="32" t="s">
        <v>1283</v>
      </c>
      <c r="C1639" s="33" t="s">
        <v>1284</v>
      </c>
      <c r="D1639" s="33" t="s">
        <v>60</v>
      </c>
      <c r="E1639" s="11" t="s">
        <v>16</v>
      </c>
      <c r="F1639" s="33" t="s">
        <v>137</v>
      </c>
      <c r="G1639" s="11"/>
      <c r="H1639" s="11">
        <f>SUMIFS(X!$F$3:$F$5978,X!$D$3:$D$5978,'Current Stock'!A1639)</f>
        <v>14</v>
      </c>
      <c r="I1639" s="11">
        <f>SUMIFS(PENJUALAN!$E$4:$E$3651,PENJUALAN!$C$4:$C$3651,'Current Stock'!A1639)</f>
        <v>12</v>
      </c>
      <c r="J1639" s="15">
        <f t="shared" si="2"/>
        <v>2</v>
      </c>
      <c r="K1639" s="13" t="s">
        <v>472</v>
      </c>
      <c r="L1639" s="11"/>
      <c r="M1639" s="11"/>
      <c r="N1639" s="11"/>
      <c r="O1639" s="17"/>
      <c r="P1639" s="17"/>
    </row>
    <row r="1640" ht="13.5" customHeight="1">
      <c r="A1640" s="11" t="str">
        <f t="shared" si="1"/>
        <v>LFW-L300XYG</v>
      </c>
      <c r="B1640" s="32" t="s">
        <v>1322</v>
      </c>
      <c r="C1640" s="35" t="s">
        <v>1323</v>
      </c>
      <c r="D1640" s="33" t="s">
        <v>60</v>
      </c>
      <c r="E1640" s="11" t="s">
        <v>16</v>
      </c>
      <c r="F1640" s="33"/>
      <c r="G1640" s="11"/>
      <c r="H1640" s="11">
        <f>SUMIFS(X!$F$3:$F$5978,X!$D$3:$D$5978,'Current Stock'!A1640)</f>
        <v>12</v>
      </c>
      <c r="I1640" s="11">
        <f>SUMIFS(PENJUALAN!$E$4:$E$3651,PENJUALAN!$C$4:$C$3651,'Current Stock'!A1640)</f>
        <v>10</v>
      </c>
      <c r="J1640" s="15">
        <f t="shared" si="2"/>
        <v>2</v>
      </c>
      <c r="K1640" s="11"/>
      <c r="L1640" s="11"/>
      <c r="M1640" s="11"/>
      <c r="N1640" s="11"/>
      <c r="O1640" s="17"/>
      <c r="P1640" s="17"/>
    </row>
    <row r="1641" ht="13.5" customHeight="1">
      <c r="A1641" s="11" t="str">
        <f t="shared" si="1"/>
        <v>LFW-QUESTERXYG</v>
      </c>
      <c r="B1641" s="32" t="s">
        <v>1885</v>
      </c>
      <c r="C1641" s="35" t="s">
        <v>1886</v>
      </c>
      <c r="D1641" s="33" t="s">
        <v>60</v>
      </c>
      <c r="E1641" s="11" t="s">
        <v>16</v>
      </c>
      <c r="F1641" s="33"/>
      <c r="G1641" s="11"/>
      <c r="H1641" s="11">
        <f>SUMIFS(X!$F$3:$F$5978,X!$D$3:$D$5978,'Current Stock'!A1641)</f>
        <v>3</v>
      </c>
      <c r="I1641" s="11">
        <f>SUMIFS(PENJUALAN!$E$4:$E$3651,PENJUALAN!$C$4:$C$3651,'Current Stock'!A1641)</f>
        <v>3</v>
      </c>
      <c r="J1641" s="15">
        <f t="shared" si="2"/>
        <v>0</v>
      </c>
      <c r="K1641" s="11"/>
      <c r="L1641" s="11"/>
      <c r="M1641" s="11"/>
      <c r="N1641" s="11"/>
      <c r="O1641" s="17"/>
      <c r="P1641" s="17"/>
    </row>
    <row r="1642" ht="13.5" customHeight="1">
      <c r="A1642" s="11" t="str">
        <f t="shared" si="1"/>
        <v>LFW-DYNAXYG</v>
      </c>
      <c r="B1642" s="32" t="s">
        <v>1887</v>
      </c>
      <c r="C1642" s="35" t="s">
        <v>1888</v>
      </c>
      <c r="D1642" s="33" t="s">
        <v>60</v>
      </c>
      <c r="E1642" s="11" t="s">
        <v>16</v>
      </c>
      <c r="F1642" s="33"/>
      <c r="G1642" s="11"/>
      <c r="H1642" s="11">
        <f>SUMIFS(X!$F$3:$F$5978,X!$D$3:$D$5978,'Current Stock'!A1642)</f>
        <v>22</v>
      </c>
      <c r="I1642" s="11">
        <f>SUMIFS(PENJUALAN!$E$4:$E$3651,PENJUALAN!$C$4:$C$3651,'Current Stock'!A1642)</f>
        <v>12</v>
      </c>
      <c r="J1642" s="15">
        <f t="shared" si="2"/>
        <v>10</v>
      </c>
      <c r="K1642" s="11"/>
      <c r="L1642" s="11"/>
      <c r="M1642" s="11"/>
      <c r="N1642" s="11"/>
      <c r="O1642" s="17"/>
      <c r="P1642" s="17"/>
    </row>
    <row r="1643" ht="13.5" customHeight="1">
      <c r="A1643" s="11" t="str">
        <f t="shared" si="1"/>
        <v>LFW-AUDIA4B5MU</v>
      </c>
      <c r="B1643" s="67" t="s">
        <v>1889</v>
      </c>
      <c r="C1643" s="67" t="s">
        <v>1890</v>
      </c>
      <c r="D1643" s="67" t="s">
        <v>60</v>
      </c>
      <c r="E1643" s="71" t="s">
        <v>1633</v>
      </c>
      <c r="F1643" s="67" t="s">
        <v>1891</v>
      </c>
      <c r="G1643" s="11"/>
      <c r="H1643" s="11">
        <f>SUMIFS(X!$F$3:$F$5978,X!$D$3:$D$5978,'Current Stock'!A1643)</f>
        <v>0</v>
      </c>
      <c r="I1643" s="11">
        <f>SUMIFS(PENJUALAN!$E$4:$E$3651,PENJUALAN!$C$4:$C$3651,'Current Stock'!A1643)</f>
        <v>0</v>
      </c>
      <c r="J1643" s="15">
        <f t="shared" si="2"/>
        <v>0</v>
      </c>
      <c r="K1643" s="72" t="s">
        <v>1695</v>
      </c>
      <c r="L1643" s="71"/>
      <c r="M1643" s="73">
        <v>1.0</v>
      </c>
      <c r="N1643" s="71"/>
      <c r="O1643" s="74"/>
      <c r="P1643" s="74"/>
    </row>
    <row r="1644" ht="13.5" customHeight="1">
      <c r="A1644" s="11" t="str">
        <f t="shared" si="1"/>
        <v>LFW-E34MU</v>
      </c>
      <c r="B1644" s="67" t="s">
        <v>1892</v>
      </c>
      <c r="C1644" s="67" t="s">
        <v>1893</v>
      </c>
      <c r="D1644" s="67" t="s">
        <v>60</v>
      </c>
      <c r="E1644" s="71" t="s">
        <v>1633</v>
      </c>
      <c r="F1644" s="67" t="s">
        <v>1779</v>
      </c>
      <c r="G1644" s="11"/>
      <c r="H1644" s="11">
        <f>SUMIFS(X!$F$3:$F$5978,X!$D$3:$D$5978,'Current Stock'!A1644)</f>
        <v>1</v>
      </c>
      <c r="I1644" s="11">
        <f>SUMIFS(PENJUALAN!$E$4:$E$3651,PENJUALAN!$C$4:$C$3651,'Current Stock'!A1644)</f>
        <v>1</v>
      </c>
      <c r="J1644" s="15">
        <f t="shared" si="2"/>
        <v>0</v>
      </c>
      <c r="K1644" s="71"/>
      <c r="L1644" s="71"/>
      <c r="M1644" s="73">
        <v>1.0</v>
      </c>
      <c r="N1644" s="71"/>
      <c r="O1644" s="74"/>
      <c r="P1644" s="74"/>
    </row>
    <row r="1645" ht="13.5" customHeight="1">
      <c r="A1645" s="11" t="str">
        <f t="shared" si="1"/>
        <v>LFW-E36MU</v>
      </c>
      <c r="B1645" s="67" t="s">
        <v>135</v>
      </c>
      <c r="C1645" s="67" t="s">
        <v>136</v>
      </c>
      <c r="D1645" s="67" t="s">
        <v>60</v>
      </c>
      <c r="E1645" s="71" t="s">
        <v>1633</v>
      </c>
      <c r="F1645" s="67" t="s">
        <v>137</v>
      </c>
      <c r="G1645" s="14">
        <v>45988.0</v>
      </c>
      <c r="H1645" s="11">
        <f>SUMIFS(X!$F$3:$F$5978,X!$D$3:$D$5978,'Current Stock'!A1645)</f>
        <v>0</v>
      </c>
      <c r="I1645" s="11">
        <f>SUMIFS(PENJUALAN!$E$4:$E$3651,PENJUALAN!$C$4:$C$3651,'Current Stock'!A1645)</f>
        <v>0</v>
      </c>
      <c r="J1645" s="15">
        <f t="shared" si="2"/>
        <v>0</v>
      </c>
      <c r="K1645" s="72"/>
      <c r="L1645" s="72"/>
      <c r="M1645" s="73">
        <v>1.0</v>
      </c>
      <c r="N1645" s="71"/>
      <c r="O1645" s="74"/>
      <c r="P1645" s="74"/>
    </row>
    <row r="1646" ht="13.5" customHeight="1">
      <c r="A1646" s="11" t="str">
        <f t="shared" si="1"/>
        <v>LFW-E46NORSMU</v>
      </c>
      <c r="B1646" s="67" t="s">
        <v>1894</v>
      </c>
      <c r="C1646" s="67" t="s">
        <v>148</v>
      </c>
      <c r="D1646" s="67" t="s">
        <v>60</v>
      </c>
      <c r="E1646" s="71" t="s">
        <v>1633</v>
      </c>
      <c r="F1646" s="67" t="s">
        <v>1779</v>
      </c>
      <c r="G1646" s="11"/>
      <c r="H1646" s="11">
        <f>SUMIFS(X!$F$3:$F$5978,X!$D$3:$D$5978,'Current Stock'!A1646)</f>
        <v>1</v>
      </c>
      <c r="I1646" s="11">
        <f>SUMIFS(PENJUALAN!$E$4:$E$3651,PENJUALAN!$C$4:$C$3651,'Current Stock'!A1646)</f>
        <v>1</v>
      </c>
      <c r="J1646" s="15">
        <f t="shared" si="2"/>
        <v>0</v>
      </c>
      <c r="K1646" s="72"/>
      <c r="L1646" s="72"/>
      <c r="M1646" s="73">
        <v>1.0</v>
      </c>
      <c r="N1646" s="71"/>
      <c r="O1646" s="74"/>
      <c r="P1646" s="74"/>
    </row>
    <row r="1647" ht="13.5" customHeight="1">
      <c r="A1647" s="11" t="str">
        <f t="shared" si="1"/>
        <v>LFW-E8187MU</v>
      </c>
      <c r="B1647" s="67" t="s">
        <v>1895</v>
      </c>
      <c r="C1647" s="67" t="s">
        <v>1896</v>
      </c>
      <c r="D1647" s="67" t="s">
        <v>60</v>
      </c>
      <c r="E1647" s="71" t="s">
        <v>1633</v>
      </c>
      <c r="F1647" s="67" t="s">
        <v>1897</v>
      </c>
      <c r="G1647" s="11"/>
      <c r="H1647" s="11">
        <f>SUMIFS(X!$F$3:$F$5978,X!$D$3:$D$5978,'Current Stock'!A1647)</f>
        <v>1</v>
      </c>
      <c r="I1647" s="11">
        <f>SUMIFS(PENJUALAN!$E$4:$E$3651,PENJUALAN!$C$4:$C$3651,'Current Stock'!A1647)</f>
        <v>1</v>
      </c>
      <c r="J1647" s="15">
        <f t="shared" si="2"/>
        <v>0</v>
      </c>
      <c r="K1647" s="72" t="s">
        <v>1376</v>
      </c>
      <c r="L1647" s="71"/>
      <c r="M1647" s="73">
        <v>1.0</v>
      </c>
      <c r="N1647" s="71"/>
      <c r="O1647" s="74"/>
      <c r="P1647" s="74"/>
    </row>
    <row r="1648" ht="13.5" customHeight="1">
      <c r="A1648" s="11" t="str">
        <f t="shared" si="1"/>
        <v>LFW-ALMAZRSXYG</v>
      </c>
      <c r="B1648" s="48" t="s">
        <v>1898</v>
      </c>
      <c r="C1648" s="33" t="s">
        <v>1899</v>
      </c>
      <c r="D1648" s="33" t="s">
        <v>60</v>
      </c>
      <c r="E1648" s="11" t="s">
        <v>16</v>
      </c>
      <c r="F1648" s="31" t="s">
        <v>1870</v>
      </c>
      <c r="G1648" s="14"/>
      <c r="H1648" s="11">
        <f>SUMIFS(X!$F$3:$F$5978,X!$D$3:$D$5978,'Current Stock'!A1648)</f>
        <v>4</v>
      </c>
      <c r="I1648" s="11">
        <f>SUMIFS(PENJUALAN!$E$4:$E$3651,PENJUALAN!$C$4:$C$3651,'Current Stock'!A1648)</f>
        <v>4</v>
      </c>
      <c r="J1648" s="15">
        <f t="shared" si="2"/>
        <v>0</v>
      </c>
      <c r="K1648" s="13" t="s">
        <v>1137</v>
      </c>
      <c r="L1648" s="11"/>
      <c r="M1648" s="11"/>
      <c r="N1648" s="11"/>
      <c r="O1648" s="17"/>
      <c r="P1648" s="17"/>
    </row>
    <row r="1649" ht="13.5" customHeight="1">
      <c r="A1649" s="11" t="str">
        <f t="shared" si="1"/>
        <v>LFW-AVEO08MU</v>
      </c>
      <c r="B1649" s="32" t="s">
        <v>223</v>
      </c>
      <c r="C1649" s="33" t="s">
        <v>1900</v>
      </c>
      <c r="D1649" s="33" t="s">
        <v>60</v>
      </c>
      <c r="E1649" s="11" t="s">
        <v>1633</v>
      </c>
      <c r="F1649" s="33" t="s">
        <v>109</v>
      </c>
      <c r="G1649" s="14">
        <v>45988.0</v>
      </c>
      <c r="H1649" s="11">
        <f>SUMIFS(X!$F$3:$F$5978,X!$D$3:$D$5978,'Current Stock'!A1649)</f>
        <v>0</v>
      </c>
      <c r="I1649" s="11">
        <f>SUMIFS(PENJUALAN!$E$4:$E$3651,PENJUALAN!$C$4:$C$3651,'Current Stock'!A1649)</f>
        <v>0</v>
      </c>
      <c r="J1649" s="15">
        <f t="shared" si="2"/>
        <v>0</v>
      </c>
      <c r="K1649" s="13"/>
      <c r="L1649" s="13"/>
      <c r="M1649" s="16">
        <v>1.0</v>
      </c>
      <c r="N1649" s="11"/>
      <c r="O1649" s="17"/>
      <c r="P1649" s="17"/>
    </row>
    <row r="1650" ht="13.5" customHeight="1">
      <c r="A1650" s="11" t="str">
        <f t="shared" si="1"/>
        <v>LFW-SPINMU</v>
      </c>
      <c r="B1650" s="32" t="s">
        <v>267</v>
      </c>
      <c r="C1650" s="33" t="s">
        <v>268</v>
      </c>
      <c r="D1650" s="33" t="s">
        <v>60</v>
      </c>
      <c r="E1650" s="11" t="s">
        <v>1633</v>
      </c>
      <c r="F1650" s="33" t="s">
        <v>137</v>
      </c>
      <c r="G1650" s="14">
        <v>45988.0</v>
      </c>
      <c r="H1650" s="11">
        <f>SUMIFS(X!$F$3:$F$5978,X!$D$3:$D$5978,'Current Stock'!A1650)</f>
        <v>0</v>
      </c>
      <c r="I1650" s="11">
        <f>SUMIFS(PENJUALAN!$E$4:$E$3651,PENJUALAN!$C$4:$C$3651,'Current Stock'!A1650)</f>
        <v>0</v>
      </c>
      <c r="J1650" s="15">
        <f t="shared" si="2"/>
        <v>0</v>
      </c>
      <c r="K1650" s="13"/>
      <c r="L1650" s="13"/>
      <c r="M1650" s="16">
        <v>1.0</v>
      </c>
      <c r="N1650" s="11"/>
      <c r="O1650" s="17"/>
      <c r="P1650" s="17"/>
    </row>
    <row r="1651" ht="13.5" customHeight="1">
      <c r="A1651" s="11" t="str">
        <f t="shared" si="1"/>
        <v>LFW-TROOPERMU</v>
      </c>
      <c r="B1651" s="32" t="s">
        <v>1901</v>
      </c>
      <c r="C1651" s="33" t="s">
        <v>1902</v>
      </c>
      <c r="D1651" s="33" t="s">
        <v>60</v>
      </c>
      <c r="E1651" s="11" t="s">
        <v>1633</v>
      </c>
      <c r="F1651" s="33"/>
      <c r="G1651" s="11"/>
      <c r="H1651" s="11">
        <f>SUMIFS(X!$F$3:$F$5978,X!$D$3:$D$5978,'Current Stock'!A1651)</f>
        <v>0</v>
      </c>
      <c r="I1651" s="11">
        <f>SUMIFS(PENJUALAN!$E$4:$E$3651,PENJUALAN!$C$4:$C$3651,'Current Stock'!A1651)</f>
        <v>0</v>
      </c>
      <c r="J1651" s="15">
        <f t="shared" si="2"/>
        <v>0</v>
      </c>
      <c r="K1651" s="11"/>
      <c r="L1651" s="11"/>
      <c r="M1651" s="11"/>
      <c r="N1651" s="11"/>
      <c r="O1651" s="17"/>
      <c r="P1651" s="17"/>
    </row>
    <row r="1652" ht="13.5" customHeight="1">
      <c r="A1652" s="11" t="str">
        <f t="shared" si="1"/>
        <v>LFW-GRANMAXMU</v>
      </c>
      <c r="B1652" s="32" t="s">
        <v>281</v>
      </c>
      <c r="C1652" s="33" t="s">
        <v>282</v>
      </c>
      <c r="D1652" s="33" t="s">
        <v>60</v>
      </c>
      <c r="E1652" s="11" t="s">
        <v>1633</v>
      </c>
      <c r="F1652" s="33" t="s">
        <v>109</v>
      </c>
      <c r="G1652" s="34"/>
      <c r="H1652" s="11">
        <f>SUMIFS(X!$F$3:$F$5978,X!$D$3:$D$5978,'Current Stock'!A1652)</f>
        <v>56</v>
      </c>
      <c r="I1652" s="11">
        <f>SUMIFS(PENJUALAN!$E$4:$E$3651,PENJUALAN!$C$4:$C$3651,'Current Stock'!A1652)</f>
        <v>56</v>
      </c>
      <c r="J1652" s="15">
        <f t="shared" si="2"/>
        <v>0</v>
      </c>
      <c r="K1652" s="13" t="s">
        <v>1884</v>
      </c>
      <c r="L1652" s="13"/>
      <c r="M1652" s="16">
        <v>3.0</v>
      </c>
      <c r="N1652" s="13"/>
      <c r="O1652" s="45"/>
      <c r="P1652" s="45"/>
    </row>
    <row r="1653" ht="13.5" customHeight="1">
      <c r="A1653" s="11" t="str">
        <f t="shared" si="1"/>
        <v>TRW-GRANMAXVANMU</v>
      </c>
      <c r="B1653" s="32" t="s">
        <v>1903</v>
      </c>
      <c r="C1653" s="33" t="s">
        <v>1904</v>
      </c>
      <c r="D1653" s="33" t="s">
        <v>62</v>
      </c>
      <c r="E1653" s="11" t="s">
        <v>1633</v>
      </c>
      <c r="F1653" s="33" t="s">
        <v>109</v>
      </c>
      <c r="G1653" s="34"/>
      <c r="H1653" s="11">
        <f>SUMIFS(X!$F$3:$F$5978,X!$D$3:$D$5978,'Current Stock'!A1653)</f>
        <v>23</v>
      </c>
      <c r="I1653" s="11">
        <f>SUMIFS(PENJUALAN!$E$4:$E$3651,PENJUALAN!$C$4:$C$3651,'Current Stock'!A1653)</f>
        <v>15</v>
      </c>
      <c r="J1653" s="15">
        <f t="shared" si="2"/>
        <v>8</v>
      </c>
      <c r="K1653" s="13" t="s">
        <v>606</v>
      </c>
      <c r="L1653" s="13"/>
      <c r="M1653" s="16">
        <v>2.0</v>
      </c>
      <c r="N1653" s="11"/>
      <c r="O1653" s="17"/>
      <c r="P1653" s="17"/>
    </row>
    <row r="1654" ht="13.5" customHeight="1">
      <c r="A1654" s="11" t="str">
        <f t="shared" si="1"/>
        <v>LFW-SIRION1MU</v>
      </c>
      <c r="B1654" s="32" t="s">
        <v>1377</v>
      </c>
      <c r="C1654" s="35" t="s">
        <v>284</v>
      </c>
      <c r="D1654" s="35" t="s">
        <v>60</v>
      </c>
      <c r="E1654" s="11" t="s">
        <v>1633</v>
      </c>
      <c r="F1654" s="42" t="s">
        <v>137</v>
      </c>
      <c r="G1654" s="11"/>
      <c r="H1654" s="11">
        <f>SUMIFS(X!$F$3:$F$5978,X!$D$3:$D$5978,'Current Stock'!A1654)</f>
        <v>0</v>
      </c>
      <c r="I1654" s="11">
        <f>SUMIFS(PENJUALAN!$E$4:$E$3651,PENJUALAN!$C$4:$C$3651,'Current Stock'!A1654)</f>
        <v>0</v>
      </c>
      <c r="J1654" s="15">
        <f t="shared" si="2"/>
        <v>0</v>
      </c>
      <c r="K1654" s="11"/>
      <c r="L1654" s="11"/>
      <c r="M1654" s="11"/>
      <c r="N1654" s="11"/>
      <c r="O1654" s="17"/>
      <c r="P1654" s="17"/>
    </row>
    <row r="1655" ht="13.5" customHeight="1">
      <c r="A1655" s="11" t="str">
        <f t="shared" si="1"/>
        <v>LFW-SIRION2MU</v>
      </c>
      <c r="B1655" s="32" t="s">
        <v>1905</v>
      </c>
      <c r="C1655" s="35" t="s">
        <v>1379</v>
      </c>
      <c r="D1655" s="35" t="s">
        <v>60</v>
      </c>
      <c r="E1655" s="11" t="s">
        <v>1633</v>
      </c>
      <c r="F1655" s="33" t="s">
        <v>137</v>
      </c>
      <c r="G1655" s="11"/>
      <c r="H1655" s="11">
        <f>SUMIFS(X!$F$3:$F$5978,X!$D$3:$D$5978,'Current Stock'!A1655)</f>
        <v>2</v>
      </c>
      <c r="I1655" s="11">
        <f>SUMIFS(PENJUALAN!$E$4:$E$3651,PENJUALAN!$C$4:$C$3651,'Current Stock'!A1655)</f>
        <v>2</v>
      </c>
      <c r="J1655" s="15">
        <f t="shared" si="2"/>
        <v>0</v>
      </c>
      <c r="K1655" s="13"/>
      <c r="L1655" s="13"/>
      <c r="M1655" s="16">
        <v>1.0</v>
      </c>
      <c r="N1655" s="11"/>
      <c r="O1655" s="17"/>
      <c r="P1655" s="17"/>
    </row>
    <row r="1656" ht="13.5" customHeight="1">
      <c r="A1656" s="11" t="str">
        <f t="shared" si="1"/>
        <v>TRW-CONFEROHOLEXYG</v>
      </c>
      <c r="B1656" s="32" t="s">
        <v>1906</v>
      </c>
      <c r="C1656" s="35" t="s">
        <v>1907</v>
      </c>
      <c r="D1656" s="35" t="s">
        <v>62</v>
      </c>
      <c r="E1656" s="11" t="s">
        <v>16</v>
      </c>
      <c r="F1656" s="35" t="s">
        <v>546</v>
      </c>
      <c r="G1656" s="11"/>
      <c r="H1656" s="11">
        <f>SUMIFS(X!$F$3:$F$5978,X!$D$3:$D$5978,'Current Stock'!A1656)</f>
        <v>2</v>
      </c>
      <c r="I1656" s="11">
        <f>SUMIFS(PENJUALAN!$E$4:$E$3651,PENJUALAN!$C$4:$C$3651,'Current Stock'!A1656)</f>
        <v>2</v>
      </c>
      <c r="J1656" s="15">
        <f t="shared" si="2"/>
        <v>0</v>
      </c>
      <c r="K1656" s="11"/>
      <c r="L1656" s="11"/>
      <c r="M1656" s="11"/>
      <c r="N1656" s="11"/>
      <c r="O1656" s="17"/>
      <c r="P1656" s="17"/>
    </row>
    <row r="1657" ht="13.5" customHeight="1">
      <c r="A1657" s="11" t="str">
        <f t="shared" si="1"/>
        <v>LFW-RANGER04MU</v>
      </c>
      <c r="B1657" s="32" t="s">
        <v>301</v>
      </c>
      <c r="C1657" s="33" t="s">
        <v>302</v>
      </c>
      <c r="D1657" s="33" t="s">
        <v>60</v>
      </c>
      <c r="E1657" s="11" t="s">
        <v>1633</v>
      </c>
      <c r="F1657" s="33" t="s">
        <v>109</v>
      </c>
      <c r="G1657" s="11"/>
      <c r="H1657" s="11">
        <f>SUMIFS(X!$F$3:$F$5978,X!$D$3:$D$5978,'Current Stock'!A1657)</f>
        <v>1</v>
      </c>
      <c r="I1657" s="11">
        <f>SUMIFS(PENJUALAN!$E$4:$E$3651,PENJUALAN!$C$4:$C$3651,'Current Stock'!A1657)</f>
        <v>1</v>
      </c>
      <c r="J1657" s="15">
        <f t="shared" si="2"/>
        <v>0</v>
      </c>
      <c r="K1657" s="13"/>
      <c r="L1657" s="13"/>
      <c r="M1657" s="16">
        <v>1.0</v>
      </c>
      <c r="N1657" s="11"/>
      <c r="O1657" s="17"/>
      <c r="P1657" s="17"/>
    </row>
    <row r="1658" ht="13.5" customHeight="1">
      <c r="A1658" s="11" t="str">
        <f t="shared" si="1"/>
        <v>LFW-ELFNMRXYG</v>
      </c>
      <c r="B1658" s="32" t="s">
        <v>1312</v>
      </c>
      <c r="C1658" s="33" t="s">
        <v>1313</v>
      </c>
      <c r="D1658" s="33" t="s">
        <v>60</v>
      </c>
      <c r="E1658" s="11" t="s">
        <v>16</v>
      </c>
      <c r="F1658" s="31" t="s">
        <v>109</v>
      </c>
      <c r="G1658" s="11"/>
      <c r="H1658" s="11">
        <f>SUMIFS(X!$F$3:$F$5978,X!$D$3:$D$5978,'Current Stock'!A1658)</f>
        <v>32</v>
      </c>
      <c r="I1658" s="11">
        <f>SUMIFS(PENJUALAN!$E$4:$E$3651,PENJUALAN!$C$4:$C$3651,'Current Stock'!A1658)</f>
        <v>32</v>
      </c>
      <c r="J1658" s="15">
        <f t="shared" si="2"/>
        <v>0</v>
      </c>
      <c r="K1658" s="13" t="s">
        <v>1398</v>
      </c>
      <c r="L1658" s="13"/>
      <c r="M1658" s="11"/>
      <c r="N1658" s="11"/>
      <c r="O1658" s="17"/>
      <c r="P1658" s="17"/>
    </row>
    <row r="1659" ht="13.5" customHeight="1">
      <c r="A1659" s="11" t="str">
        <f t="shared" si="1"/>
        <v>LFW-FOCUS04MU</v>
      </c>
      <c r="B1659" s="32" t="s">
        <v>317</v>
      </c>
      <c r="C1659" s="33" t="s">
        <v>318</v>
      </c>
      <c r="D1659" s="33" t="s">
        <v>60</v>
      </c>
      <c r="E1659" s="11" t="s">
        <v>1633</v>
      </c>
      <c r="F1659" s="33"/>
      <c r="G1659" s="11"/>
      <c r="H1659" s="11">
        <f>SUMIFS(X!$F$3:$F$5978,X!$D$3:$D$5978,'Current Stock'!A1659)</f>
        <v>0</v>
      </c>
      <c r="I1659" s="11">
        <f>SUMIFS(PENJUALAN!$E$4:$E$3651,PENJUALAN!$C$4:$C$3651,'Current Stock'!A1659)</f>
        <v>0</v>
      </c>
      <c r="J1659" s="15">
        <f t="shared" si="2"/>
        <v>0</v>
      </c>
      <c r="K1659" s="11"/>
      <c r="L1659" s="11"/>
      <c r="M1659" s="16">
        <v>1.0</v>
      </c>
      <c r="N1659" s="11"/>
      <c r="O1659" s="17"/>
      <c r="P1659" s="17"/>
    </row>
    <row r="1660" ht="13.5" customHeight="1">
      <c r="A1660" s="11" t="str">
        <f t="shared" si="1"/>
        <v>LFW-RANGER11MU</v>
      </c>
      <c r="B1660" s="32" t="s">
        <v>1386</v>
      </c>
      <c r="C1660" s="33" t="s">
        <v>326</v>
      </c>
      <c r="D1660" s="33" t="s">
        <v>60</v>
      </c>
      <c r="E1660" s="11" t="s">
        <v>1633</v>
      </c>
      <c r="F1660" s="33" t="s">
        <v>137</v>
      </c>
      <c r="G1660" s="14">
        <v>45988.0</v>
      </c>
      <c r="H1660" s="11">
        <f>SUMIFS(X!$F$3:$F$5978,X!$D$3:$D$5978,'Current Stock'!A1660)</f>
        <v>0</v>
      </c>
      <c r="I1660" s="11">
        <f>SUMIFS(PENJUALAN!$E$4:$E$3651,PENJUALAN!$C$4:$C$3651,'Current Stock'!A1660)</f>
        <v>0</v>
      </c>
      <c r="J1660" s="15">
        <f t="shared" si="2"/>
        <v>0</v>
      </c>
      <c r="K1660" s="13"/>
      <c r="L1660" s="13"/>
      <c r="M1660" s="11"/>
      <c r="N1660" s="11"/>
      <c r="O1660" s="17"/>
      <c r="P1660" s="17"/>
    </row>
    <row r="1661" ht="13.5" customHeight="1">
      <c r="A1661" s="11" t="str">
        <f t="shared" si="1"/>
        <v>LFW-ACCORD93MU</v>
      </c>
      <c r="B1661" s="32" t="s">
        <v>341</v>
      </c>
      <c r="C1661" s="33" t="s">
        <v>342</v>
      </c>
      <c r="D1661" s="33" t="s">
        <v>60</v>
      </c>
      <c r="E1661" s="11" t="s">
        <v>1633</v>
      </c>
      <c r="F1661" s="33"/>
      <c r="G1661" s="11"/>
      <c r="H1661" s="11">
        <f>SUMIFS(X!$F$3:$F$5978,X!$D$3:$D$5978,'Current Stock'!A1661)</f>
        <v>0</v>
      </c>
      <c r="I1661" s="11">
        <f>SUMIFS(PENJUALAN!$E$4:$E$3651,PENJUALAN!$C$4:$C$3651,'Current Stock'!A1661)</f>
        <v>0</v>
      </c>
      <c r="J1661" s="15">
        <f t="shared" si="2"/>
        <v>0</v>
      </c>
      <c r="K1661" s="11"/>
      <c r="L1661" s="11"/>
      <c r="M1661" s="16">
        <v>1.0</v>
      </c>
      <c r="N1661" s="11"/>
      <c r="O1661" s="17"/>
      <c r="P1661" s="17"/>
    </row>
    <row r="1662" ht="13.5" customHeight="1">
      <c r="A1662" s="11" t="str">
        <f t="shared" si="1"/>
        <v>LFW-BRV16MU</v>
      </c>
      <c r="B1662" s="32" t="s">
        <v>1396</v>
      </c>
      <c r="C1662" s="33" t="s">
        <v>1397</v>
      </c>
      <c r="D1662" s="33" t="s">
        <v>60</v>
      </c>
      <c r="E1662" s="11" t="s">
        <v>1633</v>
      </c>
      <c r="F1662" s="33"/>
      <c r="G1662" s="11"/>
      <c r="H1662" s="11">
        <f>SUMIFS(X!$F$3:$F$5978,X!$D$3:$D$5978,'Current Stock'!A1662)</f>
        <v>0</v>
      </c>
      <c r="I1662" s="11">
        <f>SUMIFS(PENJUALAN!$E$4:$E$3651,PENJUALAN!$C$4:$C$3651,'Current Stock'!A1662)</f>
        <v>0</v>
      </c>
      <c r="J1662" s="15">
        <f t="shared" si="2"/>
        <v>0</v>
      </c>
      <c r="K1662" s="13"/>
      <c r="L1662" s="13"/>
      <c r="M1662" s="16">
        <v>1.0</v>
      </c>
      <c r="N1662" s="13" t="s">
        <v>1908</v>
      </c>
      <c r="O1662" s="45"/>
      <c r="P1662" s="45"/>
    </row>
    <row r="1663" ht="13.5" customHeight="1">
      <c r="A1663" s="11" t="str">
        <f t="shared" si="1"/>
        <v>LFW-BRIOMU</v>
      </c>
      <c r="B1663" s="32" t="s">
        <v>365</v>
      </c>
      <c r="C1663" s="33" t="s">
        <v>366</v>
      </c>
      <c r="D1663" s="33" t="s">
        <v>60</v>
      </c>
      <c r="E1663" s="11" t="s">
        <v>1633</v>
      </c>
      <c r="F1663" s="33" t="s">
        <v>109</v>
      </c>
      <c r="G1663" s="34"/>
      <c r="H1663" s="11">
        <f>SUMIFS(X!$F$3:$F$5978,X!$D$3:$D$5978,'Current Stock'!A1663)</f>
        <v>8</v>
      </c>
      <c r="I1663" s="11">
        <f>SUMIFS(PENJUALAN!$E$4:$E$3651,PENJUALAN!$C$4:$C$3651,'Current Stock'!A1663)</f>
        <v>8</v>
      </c>
      <c r="J1663" s="15">
        <f t="shared" si="2"/>
        <v>0</v>
      </c>
      <c r="K1663" s="13"/>
      <c r="L1663" s="13"/>
      <c r="M1663" s="16">
        <v>2.0</v>
      </c>
      <c r="N1663" s="13"/>
      <c r="O1663" s="45"/>
      <c r="P1663" s="45"/>
    </row>
    <row r="1664" ht="13.5" customHeight="1">
      <c r="A1664" s="11" t="str">
        <f t="shared" si="1"/>
        <v>LFW-CITY96MU</v>
      </c>
      <c r="B1664" s="32" t="s">
        <v>367</v>
      </c>
      <c r="C1664" s="33" t="s">
        <v>368</v>
      </c>
      <c r="D1664" s="33" t="s">
        <v>60</v>
      </c>
      <c r="E1664" s="11" t="s">
        <v>1633</v>
      </c>
      <c r="F1664" s="33" t="s">
        <v>1891</v>
      </c>
      <c r="G1664" s="11"/>
      <c r="H1664" s="11">
        <f>SUMIFS(X!$F$3:$F$5978,X!$D$3:$D$5978,'Current Stock'!A1664)</f>
        <v>0</v>
      </c>
      <c r="I1664" s="11">
        <f>SUMIFS(PENJUALAN!$E$4:$E$3651,PENJUALAN!$C$4:$C$3651,'Current Stock'!A1664)</f>
        <v>0</v>
      </c>
      <c r="J1664" s="15">
        <f t="shared" si="2"/>
        <v>0</v>
      </c>
      <c r="K1664" s="13"/>
      <c r="L1664" s="13"/>
      <c r="M1664" s="16">
        <v>1.0</v>
      </c>
      <c r="N1664" s="11"/>
      <c r="O1664" s="17"/>
      <c r="P1664" s="17"/>
    </row>
    <row r="1665" ht="13.5" customHeight="1">
      <c r="A1665" s="11" t="str">
        <f t="shared" si="1"/>
        <v>LFW-CITY02MU</v>
      </c>
      <c r="B1665" s="32" t="s">
        <v>370</v>
      </c>
      <c r="C1665" s="33" t="s">
        <v>371</v>
      </c>
      <c r="D1665" s="33" t="s">
        <v>60</v>
      </c>
      <c r="E1665" s="11" t="s">
        <v>1633</v>
      </c>
      <c r="F1665" s="33" t="s">
        <v>109</v>
      </c>
      <c r="G1665" s="11"/>
      <c r="H1665" s="11">
        <f>SUMIFS(X!$F$3:$F$5978,X!$D$3:$D$5978,'Current Stock'!A1665)</f>
        <v>1</v>
      </c>
      <c r="I1665" s="11">
        <f>SUMIFS(PENJUALAN!$E$4:$E$3651,PENJUALAN!$C$4:$C$3651,'Current Stock'!A1665)</f>
        <v>1</v>
      </c>
      <c r="J1665" s="15">
        <f t="shared" si="2"/>
        <v>0</v>
      </c>
      <c r="K1665" s="13"/>
      <c r="L1665" s="13"/>
      <c r="M1665" s="16">
        <v>1.0</v>
      </c>
      <c r="N1665" s="13" t="s">
        <v>1909</v>
      </c>
      <c r="O1665" s="45"/>
      <c r="P1665" s="45"/>
    </row>
    <row r="1666" ht="13.5" customHeight="1">
      <c r="A1666" s="11" t="str">
        <f t="shared" si="1"/>
        <v>LFW-CIVIC88MU</v>
      </c>
      <c r="B1666" s="32" t="s">
        <v>1910</v>
      </c>
      <c r="C1666" s="35" t="s">
        <v>1911</v>
      </c>
      <c r="D1666" s="35" t="s">
        <v>60</v>
      </c>
      <c r="E1666" s="11" t="s">
        <v>1633</v>
      </c>
      <c r="F1666" s="33" t="s">
        <v>1912</v>
      </c>
      <c r="G1666" s="11"/>
      <c r="H1666" s="11">
        <f>SUMIFS(X!$F$3:$F$5978,X!$D$3:$D$5978,'Current Stock'!A1666)</f>
        <v>0</v>
      </c>
      <c r="I1666" s="11">
        <f>SUMIFS(PENJUALAN!$E$4:$E$3651,PENJUALAN!$C$4:$C$3651,'Current Stock'!A1666)</f>
        <v>0</v>
      </c>
      <c r="J1666" s="15">
        <f t="shared" si="2"/>
        <v>0</v>
      </c>
      <c r="K1666" s="11"/>
      <c r="L1666" s="11"/>
      <c r="M1666" s="16">
        <v>1.0</v>
      </c>
      <c r="N1666" s="11"/>
      <c r="O1666" s="17"/>
      <c r="P1666" s="17"/>
    </row>
    <row r="1667" ht="13.5" customHeight="1">
      <c r="A1667" s="11" t="str">
        <f t="shared" si="1"/>
        <v>LFW-CIVIC882DMU</v>
      </c>
      <c r="B1667" s="32" t="s">
        <v>1913</v>
      </c>
      <c r="C1667" s="35" t="s">
        <v>1914</v>
      </c>
      <c r="D1667" s="35" t="s">
        <v>60</v>
      </c>
      <c r="E1667" s="11" t="s">
        <v>1633</v>
      </c>
      <c r="F1667" s="33" t="s">
        <v>1912</v>
      </c>
      <c r="G1667" s="11"/>
      <c r="H1667" s="11">
        <f>SUMIFS(X!$F$3:$F$5978,X!$D$3:$D$5978,'Current Stock'!A1667)</f>
        <v>0</v>
      </c>
      <c r="I1667" s="11">
        <f>SUMIFS(PENJUALAN!$E$4:$E$3651,PENJUALAN!$C$4:$C$3651,'Current Stock'!A1667)</f>
        <v>0</v>
      </c>
      <c r="J1667" s="15">
        <f t="shared" si="2"/>
        <v>0</v>
      </c>
      <c r="K1667" s="11"/>
      <c r="L1667" s="11"/>
      <c r="M1667" s="16">
        <v>1.0</v>
      </c>
      <c r="N1667" s="11"/>
      <c r="O1667" s="17"/>
      <c r="P1667" s="17"/>
    </row>
    <row r="1668" ht="13.5" customHeight="1">
      <c r="A1668" s="11" t="str">
        <f t="shared" si="1"/>
        <v>LFW-CIVIC96MU</v>
      </c>
      <c r="B1668" s="32" t="s">
        <v>391</v>
      </c>
      <c r="C1668" s="67" t="s">
        <v>1915</v>
      </c>
      <c r="D1668" s="35" t="s">
        <v>60</v>
      </c>
      <c r="E1668" s="11" t="s">
        <v>1633</v>
      </c>
      <c r="F1668" s="33" t="s">
        <v>1891</v>
      </c>
      <c r="G1668" s="11"/>
      <c r="H1668" s="11">
        <f>SUMIFS(X!$F$3:$F$5978,X!$D$3:$D$5978,'Current Stock'!A1668)</f>
        <v>0</v>
      </c>
      <c r="I1668" s="11">
        <f>SUMIFS(PENJUALAN!$E$4:$E$3651,PENJUALAN!$C$4:$C$3651,'Current Stock'!A1668)</f>
        <v>0</v>
      </c>
      <c r="J1668" s="15">
        <f t="shared" si="2"/>
        <v>0</v>
      </c>
      <c r="K1668" s="13"/>
      <c r="L1668" s="13"/>
      <c r="M1668" s="16">
        <v>1.0</v>
      </c>
      <c r="N1668" s="11"/>
      <c r="O1668" s="17"/>
      <c r="P1668" s="17"/>
    </row>
    <row r="1669" ht="13.5" customHeight="1">
      <c r="A1669" s="11" t="str">
        <f t="shared" si="1"/>
        <v>LFW-GIGALONGXYG</v>
      </c>
      <c r="B1669" s="32" t="s">
        <v>1916</v>
      </c>
      <c r="C1669" s="33" t="s">
        <v>1917</v>
      </c>
      <c r="D1669" s="33" t="s">
        <v>60</v>
      </c>
      <c r="E1669" s="11" t="s">
        <v>16</v>
      </c>
      <c r="F1669" s="31" t="s">
        <v>109</v>
      </c>
      <c r="G1669" s="11"/>
      <c r="H1669" s="11">
        <f>SUMIFS(X!$F$3:$F$5978,X!$D$3:$D$5978,'Current Stock'!A1669)</f>
        <v>12</v>
      </c>
      <c r="I1669" s="11">
        <f>SUMIFS(PENJUALAN!$E$4:$E$3651,PENJUALAN!$C$4:$C$3651,'Current Stock'!A1669)</f>
        <v>11</v>
      </c>
      <c r="J1669" s="15">
        <f t="shared" si="2"/>
        <v>1</v>
      </c>
      <c r="K1669" s="13"/>
      <c r="L1669" s="13"/>
      <c r="M1669" s="11"/>
      <c r="N1669" s="11"/>
      <c r="O1669" s="17"/>
      <c r="P1669" s="17"/>
    </row>
    <row r="1670" ht="13.5" customHeight="1">
      <c r="A1670" s="11" t="str">
        <f t="shared" si="1"/>
        <v>LFW-CRV07MU</v>
      </c>
      <c r="B1670" s="32" t="s">
        <v>439</v>
      </c>
      <c r="C1670" s="33" t="s">
        <v>440</v>
      </c>
      <c r="D1670" s="33" t="s">
        <v>60</v>
      </c>
      <c r="E1670" s="11" t="s">
        <v>1633</v>
      </c>
      <c r="F1670" s="33" t="s">
        <v>1634</v>
      </c>
      <c r="G1670" s="11"/>
      <c r="H1670" s="11">
        <f>SUMIFS(X!$F$3:$F$5978,X!$D$3:$D$5978,'Current Stock'!A1670)</f>
        <v>0</v>
      </c>
      <c r="I1670" s="11">
        <f>SUMIFS(PENJUALAN!$E$4:$E$3651,PENJUALAN!$C$4:$C$3651,'Current Stock'!A1670)</f>
        <v>0</v>
      </c>
      <c r="J1670" s="15">
        <f t="shared" si="2"/>
        <v>0</v>
      </c>
      <c r="K1670" s="13"/>
      <c r="L1670" s="13"/>
      <c r="M1670" s="16">
        <v>1.0</v>
      </c>
      <c r="N1670" s="11"/>
      <c r="O1670" s="17"/>
      <c r="P1670" s="17"/>
    </row>
    <row r="1671" ht="13.5" customHeight="1">
      <c r="A1671" s="11" t="str">
        <f t="shared" si="1"/>
        <v>LFW-FV100XYG</v>
      </c>
      <c r="B1671" s="32" t="s">
        <v>1320</v>
      </c>
      <c r="C1671" s="33" t="s">
        <v>1321</v>
      </c>
      <c r="D1671" s="33" t="s">
        <v>60</v>
      </c>
      <c r="E1671" s="11" t="s">
        <v>16</v>
      </c>
      <c r="F1671" s="33"/>
      <c r="G1671" s="11"/>
      <c r="H1671" s="11">
        <f>SUMIFS(X!$F$3:$F$5978,X!$D$3:$D$5978,'Current Stock'!A1671)</f>
        <v>2</v>
      </c>
      <c r="I1671" s="11">
        <f>SUMIFS(PENJUALAN!$E$4:$E$3651,PENJUALAN!$C$4:$C$3651,'Current Stock'!A1671)</f>
        <v>2</v>
      </c>
      <c r="J1671" s="15">
        <f t="shared" si="2"/>
        <v>0</v>
      </c>
      <c r="K1671" s="13" t="s">
        <v>430</v>
      </c>
      <c r="L1671" s="11"/>
      <c r="M1671" s="11"/>
      <c r="N1671" s="11"/>
      <c r="O1671" s="17"/>
      <c r="P1671" s="17"/>
    </row>
    <row r="1672" ht="13.5" customHeight="1">
      <c r="A1672" s="11" t="str">
        <f t="shared" si="1"/>
        <v>LFW-FREEDMU</v>
      </c>
      <c r="B1672" s="32" t="s">
        <v>465</v>
      </c>
      <c r="C1672" s="33" t="s">
        <v>466</v>
      </c>
      <c r="D1672" s="33" t="s">
        <v>60</v>
      </c>
      <c r="E1672" s="11" t="s">
        <v>1633</v>
      </c>
      <c r="F1672" s="33" t="s">
        <v>137</v>
      </c>
      <c r="G1672" s="11"/>
      <c r="H1672" s="11">
        <f>SUMIFS(X!$F$3:$F$5978,X!$D$3:$D$5978,'Current Stock'!A1672)</f>
        <v>0</v>
      </c>
      <c r="I1672" s="11">
        <f>SUMIFS(PENJUALAN!$E$4:$E$3651,PENJUALAN!$C$4:$C$3651,'Current Stock'!A1672)</f>
        <v>0</v>
      </c>
      <c r="J1672" s="15">
        <f t="shared" si="2"/>
        <v>0</v>
      </c>
      <c r="K1672" s="11"/>
      <c r="L1672" s="75"/>
      <c r="M1672" s="16">
        <v>1.0</v>
      </c>
      <c r="N1672" s="11"/>
      <c r="O1672" s="17"/>
      <c r="P1672" s="17"/>
    </row>
    <row r="1673" ht="13.5" customHeight="1">
      <c r="A1673" s="11" t="str">
        <f t="shared" si="1"/>
        <v>LFW-QQ03MU</v>
      </c>
      <c r="B1673" s="32" t="s">
        <v>214</v>
      </c>
      <c r="C1673" s="33" t="s">
        <v>215</v>
      </c>
      <c r="D1673" s="33" t="s">
        <v>60</v>
      </c>
      <c r="E1673" s="11" t="s">
        <v>1633</v>
      </c>
      <c r="F1673" s="33" t="s">
        <v>137</v>
      </c>
      <c r="G1673" s="14">
        <v>45988.0</v>
      </c>
      <c r="H1673" s="11">
        <f>SUMIFS(X!$F$3:$F$5978,X!$D$3:$D$5978,'Current Stock'!A1673)</f>
        <v>1</v>
      </c>
      <c r="I1673" s="11">
        <f>SUMIFS(PENJUALAN!$E$4:$E$3651,PENJUALAN!$C$4:$C$3651,'Current Stock'!A1673)</f>
        <v>1</v>
      </c>
      <c r="J1673" s="15">
        <f t="shared" si="2"/>
        <v>0</v>
      </c>
      <c r="K1673" s="13"/>
      <c r="L1673" s="11"/>
      <c r="M1673" s="16">
        <v>1.0</v>
      </c>
      <c r="N1673" s="11"/>
      <c r="O1673" s="45"/>
      <c r="P1673" s="45"/>
    </row>
    <row r="1674" ht="13.5" customHeight="1">
      <c r="A1674" s="11" t="str">
        <f t="shared" si="1"/>
        <v>LFW-TARUNAMU</v>
      </c>
      <c r="B1674" s="32" t="s">
        <v>1918</v>
      </c>
      <c r="C1674" s="35" t="s">
        <v>1381</v>
      </c>
      <c r="D1674" s="35" t="s">
        <v>60</v>
      </c>
      <c r="E1674" s="11" t="s">
        <v>1633</v>
      </c>
      <c r="F1674" s="33" t="s">
        <v>109</v>
      </c>
      <c r="G1674" s="11"/>
      <c r="H1674" s="11">
        <f>SUMIFS(X!$F$3:$F$5978,X!$D$3:$D$5978,'Current Stock'!A1674)</f>
        <v>1</v>
      </c>
      <c r="I1674" s="11">
        <f>SUMIFS(PENJUALAN!$E$4:$E$3651,PENJUALAN!$C$4:$C$3651,'Current Stock'!A1674)</f>
        <v>1</v>
      </c>
      <c r="J1674" s="15">
        <f t="shared" si="2"/>
        <v>0</v>
      </c>
      <c r="K1674" s="13"/>
      <c r="L1674" s="13"/>
      <c r="M1674" s="16">
        <v>1.0</v>
      </c>
      <c r="N1674" s="11"/>
      <c r="O1674" s="45"/>
      <c r="P1674" s="45"/>
    </row>
    <row r="1675" ht="13.5" customHeight="1">
      <c r="A1675" s="11" t="str">
        <f t="shared" si="1"/>
        <v>LFW-FIESTAMU</v>
      </c>
      <c r="B1675" s="32" t="s">
        <v>305</v>
      </c>
      <c r="C1675" s="33" t="s">
        <v>306</v>
      </c>
      <c r="D1675" s="33" t="s">
        <v>60</v>
      </c>
      <c r="E1675" s="11" t="s">
        <v>1633</v>
      </c>
      <c r="F1675" s="33" t="s">
        <v>137</v>
      </c>
      <c r="G1675" s="11"/>
      <c r="H1675" s="11">
        <f>SUMIFS(X!$F$3:$F$5978,X!$D$3:$D$5978,'Current Stock'!A1675)</f>
        <v>1</v>
      </c>
      <c r="I1675" s="11">
        <f>SUMIFS(PENJUALAN!$E$4:$E$3651,PENJUALAN!$C$4:$C$3651,'Current Stock'!A1675)</f>
        <v>1</v>
      </c>
      <c r="J1675" s="15">
        <f t="shared" si="2"/>
        <v>0</v>
      </c>
      <c r="K1675" s="13"/>
      <c r="L1675" s="13"/>
      <c r="M1675" s="16">
        <v>1.0</v>
      </c>
      <c r="N1675" s="11"/>
      <c r="O1675" s="17"/>
      <c r="P1675" s="17"/>
    </row>
    <row r="1676" ht="13.5" customHeight="1">
      <c r="A1676" s="11" t="str">
        <f t="shared" si="1"/>
        <v>LFW-JAZZ13MU</v>
      </c>
      <c r="B1676" s="32" t="s">
        <v>488</v>
      </c>
      <c r="C1676" s="33" t="s">
        <v>489</v>
      </c>
      <c r="D1676" s="33" t="s">
        <v>60</v>
      </c>
      <c r="E1676" s="11" t="s">
        <v>1633</v>
      </c>
      <c r="F1676" s="33" t="s">
        <v>137</v>
      </c>
      <c r="G1676" s="34"/>
      <c r="H1676" s="11">
        <f>SUMIFS(X!$F$3:$F$5978,X!$D$3:$D$5978,'Current Stock'!A1676)</f>
        <v>1</v>
      </c>
      <c r="I1676" s="11">
        <f>SUMIFS(PENJUALAN!$E$4:$E$3651,PENJUALAN!$C$4:$C$3651,'Current Stock'!A1676)</f>
        <v>1</v>
      </c>
      <c r="J1676" s="15">
        <f t="shared" si="2"/>
        <v>0</v>
      </c>
      <c r="K1676" s="13"/>
      <c r="L1676" s="13"/>
      <c r="M1676" s="16">
        <v>1.0</v>
      </c>
      <c r="N1676" s="11"/>
      <c r="O1676" s="17"/>
      <c r="P1676" s="17"/>
    </row>
    <row r="1677" ht="13.5" customHeight="1">
      <c r="A1677" s="11" t="str">
        <f t="shared" si="1"/>
        <v>LFW-EXCEL94MU</v>
      </c>
      <c r="B1677" s="32" t="s">
        <v>1919</v>
      </c>
      <c r="C1677" s="35" t="s">
        <v>1441</v>
      </c>
      <c r="D1677" s="35" t="s">
        <v>60</v>
      </c>
      <c r="E1677" s="11" t="s">
        <v>1633</v>
      </c>
      <c r="F1677" s="33" t="s">
        <v>109</v>
      </c>
      <c r="G1677" s="11"/>
      <c r="H1677" s="11">
        <f>SUMIFS(X!$F$3:$F$5978,X!$D$3:$D$5978,'Current Stock'!A1677)</f>
        <v>0</v>
      </c>
      <c r="I1677" s="11">
        <f>SUMIFS(PENJUALAN!$E$4:$E$3651,PENJUALAN!$C$4:$C$3651,'Current Stock'!A1677)</f>
        <v>0</v>
      </c>
      <c r="J1677" s="15">
        <f t="shared" si="2"/>
        <v>0</v>
      </c>
      <c r="K1677" s="13"/>
      <c r="L1677" s="13"/>
      <c r="M1677" s="16">
        <v>1.0</v>
      </c>
      <c r="N1677" s="11"/>
      <c r="O1677" s="17"/>
      <c r="P1677" s="17"/>
    </row>
    <row r="1678" ht="13.5" customHeight="1">
      <c r="A1678" s="11" t="str">
        <f t="shared" si="1"/>
        <v>LFW-CIVIC05MU</v>
      </c>
      <c r="B1678" s="32" t="s">
        <v>402</v>
      </c>
      <c r="C1678" s="67" t="s">
        <v>403</v>
      </c>
      <c r="D1678" s="35" t="s">
        <v>60</v>
      </c>
      <c r="E1678" s="11" t="s">
        <v>1633</v>
      </c>
      <c r="F1678" s="33" t="s">
        <v>1920</v>
      </c>
      <c r="G1678" s="11"/>
      <c r="H1678" s="11">
        <f>SUMIFS(X!$F$3:$F$5978,X!$D$3:$D$5978,'Current Stock'!A1678)</f>
        <v>3</v>
      </c>
      <c r="I1678" s="11">
        <f>SUMIFS(PENJUALAN!$E$4:$E$3651,PENJUALAN!$C$4:$C$3651,'Current Stock'!A1678)</f>
        <v>3</v>
      </c>
      <c r="J1678" s="15">
        <f t="shared" si="2"/>
        <v>0</v>
      </c>
      <c r="K1678" s="13" t="s">
        <v>1369</v>
      </c>
      <c r="L1678" s="11"/>
      <c r="M1678" s="11"/>
      <c r="N1678" s="11"/>
      <c r="O1678" s="17"/>
      <c r="P1678" s="17"/>
    </row>
    <row r="1679" ht="13.5" customHeight="1">
      <c r="A1679" s="11" t="str">
        <f t="shared" si="1"/>
        <v>LFW-ATOZMU</v>
      </c>
      <c r="B1679" s="32" t="s">
        <v>1921</v>
      </c>
      <c r="C1679" s="35" t="s">
        <v>1922</v>
      </c>
      <c r="D1679" s="35" t="s">
        <v>60</v>
      </c>
      <c r="E1679" s="11" t="s">
        <v>1633</v>
      </c>
      <c r="F1679" s="33" t="s">
        <v>109</v>
      </c>
      <c r="G1679" s="11"/>
      <c r="H1679" s="11">
        <f>SUMIFS(X!$F$3:$F$5978,X!$D$3:$D$5978,'Current Stock'!A1679)</f>
        <v>0</v>
      </c>
      <c r="I1679" s="11">
        <f>SUMIFS(PENJUALAN!$E$4:$E$3651,PENJUALAN!$C$4:$C$3651,'Current Stock'!A1679)</f>
        <v>0</v>
      </c>
      <c r="J1679" s="15">
        <f t="shared" si="2"/>
        <v>0</v>
      </c>
      <c r="K1679" s="13" t="s">
        <v>1877</v>
      </c>
      <c r="L1679" s="11"/>
      <c r="M1679" s="16">
        <v>1.0</v>
      </c>
      <c r="N1679" s="11"/>
      <c r="O1679" s="17"/>
      <c r="P1679" s="17"/>
    </row>
    <row r="1680" ht="13.5" customHeight="1">
      <c r="A1680" s="11" t="str">
        <f t="shared" si="1"/>
        <v>LFW-GETZMU</v>
      </c>
      <c r="B1680" s="32" t="s">
        <v>528</v>
      </c>
      <c r="C1680" s="33" t="s">
        <v>529</v>
      </c>
      <c r="D1680" s="33" t="s">
        <v>60</v>
      </c>
      <c r="E1680" s="11" t="s">
        <v>1633</v>
      </c>
      <c r="F1680" s="33" t="s">
        <v>137</v>
      </c>
      <c r="G1680" s="14">
        <v>45988.0</v>
      </c>
      <c r="H1680" s="11">
        <f>SUMIFS(X!$F$3:$F$5978,X!$D$3:$D$5978,'Current Stock'!A1680)</f>
        <v>0</v>
      </c>
      <c r="I1680" s="11">
        <f>SUMIFS(PENJUALAN!$E$4:$E$3651,PENJUALAN!$C$4:$C$3651,'Current Stock'!A1680)</f>
        <v>0</v>
      </c>
      <c r="J1680" s="15">
        <f t="shared" si="2"/>
        <v>0</v>
      </c>
      <c r="K1680" s="13"/>
      <c r="L1680" s="11"/>
      <c r="M1680" s="16">
        <v>1.0</v>
      </c>
      <c r="N1680" s="11"/>
      <c r="O1680" s="17"/>
      <c r="P1680" s="17"/>
    </row>
    <row r="1681" ht="13.5" customHeight="1">
      <c r="A1681" s="11" t="str">
        <f t="shared" si="1"/>
        <v>LFW-DMAX1MU</v>
      </c>
      <c r="B1681" s="32" t="s">
        <v>1923</v>
      </c>
      <c r="C1681" s="35" t="s">
        <v>1924</v>
      </c>
      <c r="D1681" s="35" t="s">
        <v>60</v>
      </c>
      <c r="E1681" s="11" t="s">
        <v>1633</v>
      </c>
      <c r="F1681" s="33" t="s">
        <v>109</v>
      </c>
      <c r="G1681" s="14">
        <v>45988.0</v>
      </c>
      <c r="H1681" s="11">
        <f>SUMIFS(X!$F$3:$F$5978,X!$D$3:$D$5978,'Current Stock'!A1681)</f>
        <v>0</v>
      </c>
      <c r="I1681" s="11">
        <f>SUMIFS(PENJUALAN!$E$4:$E$3651,PENJUALAN!$C$4:$C$3651,'Current Stock'!A1681)</f>
        <v>0</v>
      </c>
      <c r="J1681" s="15">
        <f t="shared" si="2"/>
        <v>0</v>
      </c>
      <c r="K1681" s="13"/>
      <c r="L1681" s="13"/>
      <c r="M1681" s="16">
        <v>1.0</v>
      </c>
      <c r="N1681" s="11"/>
      <c r="O1681" s="17"/>
      <c r="P1681" s="17"/>
    </row>
    <row r="1682" ht="13.5" customHeight="1">
      <c r="A1682" s="11" t="str">
        <f t="shared" si="1"/>
        <v>LFW-PANTHER00MU</v>
      </c>
      <c r="B1682" s="32" t="s">
        <v>1476</v>
      </c>
      <c r="C1682" s="33" t="s">
        <v>1477</v>
      </c>
      <c r="D1682" s="35" t="s">
        <v>60</v>
      </c>
      <c r="E1682" s="11" t="s">
        <v>1633</v>
      </c>
      <c r="F1682" s="31" t="s">
        <v>109</v>
      </c>
      <c r="G1682" s="11"/>
      <c r="H1682" s="11">
        <f>SUMIFS(X!$F$3:$F$5978,X!$D$3:$D$5978,'Current Stock'!A1682)</f>
        <v>0</v>
      </c>
      <c r="I1682" s="11">
        <f>SUMIFS(PENJUALAN!$E$4:$E$3651,PENJUALAN!$C$4:$C$3651,'Current Stock'!A1682)</f>
        <v>0</v>
      </c>
      <c r="J1682" s="15">
        <f t="shared" si="2"/>
        <v>0</v>
      </c>
      <c r="K1682" s="11"/>
      <c r="L1682" s="11"/>
      <c r="M1682" s="16"/>
      <c r="N1682" s="11"/>
      <c r="O1682" s="17"/>
      <c r="P1682" s="17"/>
    </row>
    <row r="1683" ht="13.5" customHeight="1">
      <c r="A1683" s="11" t="str">
        <f t="shared" si="1"/>
        <v>LFW-PANTHER91MU</v>
      </c>
      <c r="B1683" s="32" t="s">
        <v>1925</v>
      </c>
      <c r="C1683" s="35" t="s">
        <v>1926</v>
      </c>
      <c r="D1683" s="35" t="s">
        <v>60</v>
      </c>
      <c r="E1683" s="11" t="s">
        <v>1633</v>
      </c>
      <c r="F1683" s="33"/>
      <c r="G1683" s="11"/>
      <c r="H1683" s="11">
        <f>SUMIFS(X!$F$3:$F$5978,X!$D$3:$D$5978,'Current Stock'!A1683)</f>
        <v>4</v>
      </c>
      <c r="I1683" s="11">
        <f>SUMIFS(PENJUALAN!$E$4:$E$3651,PENJUALAN!$C$4:$C$3651,'Current Stock'!A1683)</f>
        <v>3</v>
      </c>
      <c r="J1683" s="15">
        <f t="shared" si="2"/>
        <v>1</v>
      </c>
      <c r="K1683" s="13" t="s">
        <v>1369</v>
      </c>
      <c r="L1683" s="13"/>
      <c r="M1683" s="16">
        <v>1.0</v>
      </c>
      <c r="N1683" s="11"/>
      <c r="O1683" s="17"/>
      <c r="P1683" s="17"/>
    </row>
    <row r="1684" ht="13.5" customHeight="1">
      <c r="A1684" s="11" t="str">
        <f t="shared" si="1"/>
        <v>LFW-TRAGAMU</v>
      </c>
      <c r="B1684" s="32" t="s">
        <v>1765</v>
      </c>
      <c r="C1684" s="35" t="s">
        <v>1766</v>
      </c>
      <c r="D1684" s="35" t="s">
        <v>60</v>
      </c>
      <c r="E1684" s="11" t="s">
        <v>1633</v>
      </c>
      <c r="F1684" s="33"/>
      <c r="G1684" s="34"/>
      <c r="H1684" s="11">
        <f>SUMIFS(X!$F$3:$F$5978,X!$D$3:$D$5978,'Current Stock'!A1684)</f>
        <v>15</v>
      </c>
      <c r="I1684" s="11">
        <f>SUMIFS(PENJUALAN!$E$4:$E$3651,PENJUALAN!$C$4:$C$3651,'Current Stock'!A1684)</f>
        <v>9</v>
      </c>
      <c r="J1684" s="15">
        <f t="shared" si="2"/>
        <v>6</v>
      </c>
      <c r="K1684" s="13" t="s">
        <v>1877</v>
      </c>
      <c r="L1684" s="13"/>
      <c r="M1684" s="16">
        <v>1.0</v>
      </c>
      <c r="N1684" s="11"/>
      <c r="O1684" s="17"/>
      <c r="P1684" s="17"/>
    </row>
    <row r="1685" ht="13.5" customHeight="1">
      <c r="A1685" s="11" t="str">
        <f t="shared" si="1"/>
        <v>LFW-CHEROKEEMU</v>
      </c>
      <c r="B1685" s="32" t="s">
        <v>1927</v>
      </c>
      <c r="C1685" s="35" t="s">
        <v>1928</v>
      </c>
      <c r="D1685" s="35" t="s">
        <v>60</v>
      </c>
      <c r="E1685" s="11" t="s">
        <v>1633</v>
      </c>
      <c r="F1685" s="33" t="s">
        <v>1912</v>
      </c>
      <c r="G1685" s="11"/>
      <c r="H1685" s="11">
        <f>SUMIFS(X!$F$3:$F$5978,X!$D$3:$D$5978,'Current Stock'!A1685)</f>
        <v>0</v>
      </c>
      <c r="I1685" s="11">
        <f>SUMIFS(PENJUALAN!$E$4:$E$3651,PENJUALAN!$C$4:$C$3651,'Current Stock'!A1685)</f>
        <v>0</v>
      </c>
      <c r="J1685" s="15">
        <f t="shared" si="2"/>
        <v>0</v>
      </c>
      <c r="K1685" s="13"/>
      <c r="L1685" s="13"/>
      <c r="M1685" s="16">
        <v>1.0</v>
      </c>
      <c r="N1685" s="11"/>
      <c r="O1685" s="17"/>
      <c r="P1685" s="17"/>
    </row>
    <row r="1686" ht="13.5" customHeight="1">
      <c r="A1686" s="11" t="str">
        <f t="shared" si="1"/>
        <v>LFW-GCHEROKEEMU</v>
      </c>
      <c r="B1686" s="32" t="s">
        <v>1929</v>
      </c>
      <c r="C1686" s="35" t="s">
        <v>1930</v>
      </c>
      <c r="D1686" s="35" t="s">
        <v>60</v>
      </c>
      <c r="E1686" s="11" t="s">
        <v>1633</v>
      </c>
      <c r="F1686" s="33"/>
      <c r="G1686" s="11"/>
      <c r="H1686" s="11">
        <f>SUMIFS(X!$F$3:$F$5978,X!$D$3:$D$5978,'Current Stock'!A1686)</f>
        <v>0</v>
      </c>
      <c r="I1686" s="11">
        <f>SUMIFS(PENJUALAN!$E$4:$E$3651,PENJUALAN!$C$4:$C$3651,'Current Stock'!A1686)</f>
        <v>0</v>
      </c>
      <c r="J1686" s="15">
        <f t="shared" si="2"/>
        <v>0</v>
      </c>
      <c r="K1686" s="13"/>
      <c r="L1686" s="13"/>
      <c r="M1686" s="16">
        <v>1.0</v>
      </c>
      <c r="N1686" s="13" t="s">
        <v>1931</v>
      </c>
      <c r="O1686" s="45"/>
      <c r="P1686" s="45"/>
    </row>
    <row r="1687" ht="13.5" customHeight="1">
      <c r="A1687" s="11" t="str">
        <f t="shared" si="1"/>
        <v>LFW-RUBICON07MU</v>
      </c>
      <c r="B1687" s="32" t="s">
        <v>588</v>
      </c>
      <c r="C1687" s="35" t="s">
        <v>589</v>
      </c>
      <c r="D1687" s="35" t="s">
        <v>60</v>
      </c>
      <c r="E1687" s="11" t="s">
        <v>1633</v>
      </c>
      <c r="F1687" s="33"/>
      <c r="G1687" s="11"/>
      <c r="H1687" s="11">
        <f>SUMIFS(X!$F$3:$F$5978,X!$D$3:$D$5978,'Current Stock'!A1687)</f>
        <v>2</v>
      </c>
      <c r="I1687" s="11">
        <f>SUMIFS(PENJUALAN!$E$4:$E$3651,PENJUALAN!$C$4:$C$3651,'Current Stock'!A1687)</f>
        <v>2</v>
      </c>
      <c r="J1687" s="15">
        <f t="shared" si="2"/>
        <v>0</v>
      </c>
      <c r="K1687" s="11"/>
      <c r="L1687" s="11"/>
      <c r="M1687" s="11"/>
      <c r="N1687" s="11"/>
      <c r="O1687" s="17"/>
      <c r="P1687" s="17"/>
    </row>
    <row r="1688" ht="13.5" customHeight="1">
      <c r="A1688" s="11" t="str">
        <f t="shared" si="1"/>
        <v>LFW-CAREN99MU</v>
      </c>
      <c r="B1688" s="32" t="s">
        <v>592</v>
      </c>
      <c r="C1688" s="35" t="s">
        <v>593</v>
      </c>
      <c r="D1688" s="35" t="s">
        <v>60</v>
      </c>
      <c r="E1688" s="11" t="s">
        <v>1633</v>
      </c>
      <c r="F1688" s="33" t="s">
        <v>1634</v>
      </c>
      <c r="G1688" s="11"/>
      <c r="H1688" s="11">
        <f>SUMIFS(X!$F$3:$F$5978,X!$D$3:$D$5978,'Current Stock'!A1688)</f>
        <v>0</v>
      </c>
      <c r="I1688" s="11">
        <f>SUMIFS(PENJUALAN!$E$4:$E$3651,PENJUALAN!$C$4:$C$3651,'Current Stock'!A1688)</f>
        <v>0</v>
      </c>
      <c r="J1688" s="15">
        <f t="shared" si="2"/>
        <v>0</v>
      </c>
      <c r="K1688" s="13"/>
      <c r="L1688" s="13"/>
      <c r="M1688" s="16">
        <v>1.0</v>
      </c>
      <c r="N1688" s="11"/>
      <c r="O1688" s="17"/>
      <c r="P1688" s="17"/>
    </row>
    <row r="1689" ht="13.5" customHeight="1">
      <c r="A1689" s="11" t="str">
        <f t="shared" si="1"/>
        <v>LFW-CERATO09MU</v>
      </c>
      <c r="B1689" s="32" t="s">
        <v>1495</v>
      </c>
      <c r="C1689" s="33" t="s">
        <v>1496</v>
      </c>
      <c r="D1689" s="33" t="s">
        <v>60</v>
      </c>
      <c r="E1689" s="11" t="s">
        <v>1633</v>
      </c>
      <c r="F1689" s="33" t="s">
        <v>137</v>
      </c>
      <c r="G1689" s="11"/>
      <c r="H1689" s="11">
        <f>SUMIFS(X!$F$3:$F$5978,X!$D$3:$D$5978,'Current Stock'!A1689)</f>
        <v>0</v>
      </c>
      <c r="I1689" s="11">
        <f>SUMIFS(PENJUALAN!$E$4:$E$3651,PENJUALAN!$C$4:$C$3651,'Current Stock'!A1689)</f>
        <v>0</v>
      </c>
      <c r="J1689" s="15">
        <f t="shared" si="2"/>
        <v>0</v>
      </c>
      <c r="K1689" s="11"/>
      <c r="L1689" s="11"/>
      <c r="M1689" s="16">
        <v>1.0</v>
      </c>
      <c r="N1689" s="11"/>
      <c r="O1689" s="17"/>
      <c r="P1689" s="17"/>
    </row>
    <row r="1690" ht="13.5" customHeight="1">
      <c r="A1690" s="11" t="str">
        <f t="shared" si="1"/>
        <v>LFW-PREGIOMU</v>
      </c>
      <c r="B1690" s="32" t="s">
        <v>1932</v>
      </c>
      <c r="C1690" s="35" t="s">
        <v>616</v>
      </c>
      <c r="D1690" s="35" t="s">
        <v>60</v>
      </c>
      <c r="E1690" s="11" t="s">
        <v>1633</v>
      </c>
      <c r="F1690" s="33" t="s">
        <v>1358</v>
      </c>
      <c r="G1690" s="11"/>
      <c r="H1690" s="11">
        <f>SUMIFS(X!$F$3:$F$5978,X!$D$3:$D$5978,'Current Stock'!A1690)</f>
        <v>0</v>
      </c>
      <c r="I1690" s="11">
        <f>SUMIFS(PENJUALAN!$E$4:$E$3651,PENJUALAN!$C$4:$C$3651,'Current Stock'!A1690)</f>
        <v>0</v>
      </c>
      <c r="J1690" s="15">
        <f t="shared" si="2"/>
        <v>0</v>
      </c>
      <c r="K1690" s="13" t="s">
        <v>1422</v>
      </c>
      <c r="L1690" s="13"/>
      <c r="M1690" s="16">
        <v>1.0</v>
      </c>
      <c r="N1690" s="13" t="s">
        <v>1933</v>
      </c>
      <c r="O1690" s="45"/>
      <c r="P1690" s="45"/>
    </row>
    <row r="1691" ht="13.5" customHeight="1">
      <c r="A1691" s="11" t="str">
        <f t="shared" si="1"/>
        <v>LFW-RIO00MU</v>
      </c>
      <c r="B1691" s="32" t="s">
        <v>620</v>
      </c>
      <c r="C1691" s="67" t="s">
        <v>1934</v>
      </c>
      <c r="D1691" s="35" t="s">
        <v>60</v>
      </c>
      <c r="E1691" s="11" t="s">
        <v>1633</v>
      </c>
      <c r="F1691" s="33" t="s">
        <v>137</v>
      </c>
      <c r="G1691" s="11"/>
      <c r="H1691" s="11">
        <f>SUMIFS(X!$F$3:$F$5978,X!$D$3:$D$5978,'Current Stock'!A1691)</f>
        <v>0</v>
      </c>
      <c r="I1691" s="11">
        <f>SUMIFS(PENJUALAN!$E$4:$E$3651,PENJUALAN!$C$4:$C$3651,'Current Stock'!A1691)</f>
        <v>0</v>
      </c>
      <c r="J1691" s="15">
        <f t="shared" si="2"/>
        <v>0</v>
      </c>
      <c r="K1691" s="13"/>
      <c r="L1691" s="13"/>
      <c r="M1691" s="16">
        <v>1.0</v>
      </c>
      <c r="N1691" s="11"/>
      <c r="O1691" s="17"/>
      <c r="P1691" s="17"/>
    </row>
    <row r="1692" ht="13.5" customHeight="1">
      <c r="A1692" s="11" t="str">
        <f t="shared" si="1"/>
        <v>LFW-RIO11MU</v>
      </c>
      <c r="B1692" s="32" t="s">
        <v>628</v>
      </c>
      <c r="C1692" s="67" t="s">
        <v>1935</v>
      </c>
      <c r="D1692" s="35" t="s">
        <v>60</v>
      </c>
      <c r="E1692" s="11" t="s">
        <v>1633</v>
      </c>
      <c r="F1692" s="33" t="s">
        <v>137</v>
      </c>
      <c r="G1692" s="14">
        <v>45988.0</v>
      </c>
      <c r="H1692" s="11">
        <f>SUMIFS(X!$F$3:$F$5978,X!$D$3:$D$5978,'Current Stock'!A1692)</f>
        <v>0</v>
      </c>
      <c r="I1692" s="11">
        <f>SUMIFS(PENJUALAN!$E$4:$E$3651,PENJUALAN!$C$4:$C$3651,'Current Stock'!A1692)</f>
        <v>0</v>
      </c>
      <c r="J1692" s="15">
        <f t="shared" si="2"/>
        <v>0</v>
      </c>
      <c r="K1692" s="13"/>
      <c r="L1692" s="11"/>
      <c r="M1692" s="16">
        <v>1.0</v>
      </c>
      <c r="N1692" s="11"/>
      <c r="O1692" s="17"/>
      <c r="P1692" s="17"/>
    </row>
    <row r="1693" ht="13.5" customHeight="1">
      <c r="A1693" s="11" t="str">
        <f t="shared" si="1"/>
        <v>LFW-SPORTAGE93MU</v>
      </c>
      <c r="B1693" s="32" t="s">
        <v>1936</v>
      </c>
      <c r="C1693" s="67" t="s">
        <v>1937</v>
      </c>
      <c r="D1693" s="35" t="s">
        <v>60</v>
      </c>
      <c r="E1693" s="11" t="s">
        <v>1633</v>
      </c>
      <c r="F1693" s="33" t="s">
        <v>1938</v>
      </c>
      <c r="G1693" s="11"/>
      <c r="H1693" s="11">
        <f>SUMIFS(X!$F$3:$F$5978,X!$D$3:$D$5978,'Current Stock'!A1693)</f>
        <v>0</v>
      </c>
      <c r="I1693" s="11">
        <f>SUMIFS(PENJUALAN!$E$4:$E$3651,PENJUALAN!$C$4:$C$3651,'Current Stock'!A1693)</f>
        <v>0</v>
      </c>
      <c r="J1693" s="15">
        <f t="shared" si="2"/>
        <v>0</v>
      </c>
      <c r="K1693" s="11"/>
      <c r="L1693" s="11"/>
      <c r="M1693" s="16">
        <v>1.0</v>
      </c>
      <c r="N1693" s="11"/>
      <c r="O1693" s="17"/>
      <c r="P1693" s="17"/>
    </row>
    <row r="1694" ht="13.5" customHeight="1">
      <c r="A1694" s="11" t="str">
        <f t="shared" si="1"/>
        <v>LFW-SPORTAGE04MU</v>
      </c>
      <c r="B1694" s="32" t="s">
        <v>1503</v>
      </c>
      <c r="C1694" s="67" t="s">
        <v>1504</v>
      </c>
      <c r="D1694" s="35" t="s">
        <v>60</v>
      </c>
      <c r="E1694" s="11" t="s">
        <v>1633</v>
      </c>
      <c r="F1694" s="33" t="s">
        <v>1634</v>
      </c>
      <c r="G1694" s="11"/>
      <c r="H1694" s="11">
        <f>SUMIFS(X!$F$3:$F$5978,X!$D$3:$D$5978,'Current Stock'!A1694)</f>
        <v>1</v>
      </c>
      <c r="I1694" s="11">
        <f>SUMIFS(PENJUALAN!$E$4:$E$3651,PENJUALAN!$C$4:$C$3651,'Current Stock'!A1694)</f>
        <v>1</v>
      </c>
      <c r="J1694" s="15">
        <f t="shared" si="2"/>
        <v>0</v>
      </c>
      <c r="K1694" s="13"/>
      <c r="L1694" s="13"/>
      <c r="M1694" s="16">
        <v>1.0</v>
      </c>
      <c r="N1694" s="11"/>
      <c r="O1694" s="17"/>
      <c r="P1694" s="17"/>
    </row>
    <row r="1695" ht="13.5" customHeight="1">
      <c r="A1695" s="11" t="str">
        <f t="shared" si="1"/>
        <v>LFW-JAZZ07MU</v>
      </c>
      <c r="B1695" s="32" t="s">
        <v>482</v>
      </c>
      <c r="C1695" s="33" t="s">
        <v>483</v>
      </c>
      <c r="D1695" s="33" t="s">
        <v>60</v>
      </c>
      <c r="E1695" s="11" t="s">
        <v>1633</v>
      </c>
      <c r="F1695" s="33" t="s">
        <v>137</v>
      </c>
      <c r="G1695" s="11"/>
      <c r="H1695" s="11">
        <f>SUMIFS(X!$F$3:$F$5978,X!$D$3:$D$5978,'Current Stock'!A1695)</f>
        <v>5</v>
      </c>
      <c r="I1695" s="11">
        <f>SUMIFS(PENJUALAN!$E$4:$E$3651,PENJUALAN!$C$4:$C$3651,'Current Stock'!A1695)</f>
        <v>5</v>
      </c>
      <c r="J1695" s="15">
        <f t="shared" si="2"/>
        <v>0</v>
      </c>
      <c r="K1695" s="45"/>
      <c r="L1695" s="45"/>
      <c r="M1695" s="16">
        <v>1.0</v>
      </c>
      <c r="N1695" s="11"/>
      <c r="O1695" s="17"/>
      <c r="P1695" s="17"/>
    </row>
    <row r="1696" ht="13.5" customHeight="1">
      <c r="A1696" s="11" t="str">
        <f t="shared" si="1"/>
        <v>LFW-TRAVELLOMU</v>
      </c>
      <c r="B1696" s="32" t="s">
        <v>1939</v>
      </c>
      <c r="C1696" s="35" t="s">
        <v>1940</v>
      </c>
      <c r="D1696" s="35" t="s">
        <v>60</v>
      </c>
      <c r="E1696" s="11" t="s">
        <v>1633</v>
      </c>
      <c r="F1696" s="33" t="s">
        <v>1358</v>
      </c>
      <c r="G1696" s="11"/>
      <c r="H1696" s="11">
        <f>SUMIFS(X!$F$3:$F$5978,X!$D$3:$D$5978,'Current Stock'!A1696)</f>
        <v>1</v>
      </c>
      <c r="I1696" s="11">
        <f>SUMIFS(PENJUALAN!$E$4:$E$3651,PENJUALAN!$C$4:$C$3651,'Current Stock'!A1696)</f>
        <v>1</v>
      </c>
      <c r="J1696" s="15">
        <f t="shared" si="2"/>
        <v>0</v>
      </c>
      <c r="K1696" s="11"/>
      <c r="L1696" s="11"/>
      <c r="M1696" s="16">
        <v>1.0</v>
      </c>
      <c r="N1696" s="11"/>
      <c r="O1696" s="17"/>
      <c r="P1696" s="17"/>
    </row>
    <row r="1697" ht="13.5" customHeight="1">
      <c r="A1697" s="11" t="str">
        <f t="shared" si="1"/>
        <v>LFW-VISTOMU</v>
      </c>
      <c r="B1697" s="32" t="s">
        <v>658</v>
      </c>
      <c r="C1697" s="35" t="s">
        <v>659</v>
      </c>
      <c r="D1697" s="35" t="s">
        <v>60</v>
      </c>
      <c r="E1697" s="11" t="s">
        <v>1633</v>
      </c>
      <c r="F1697" s="33" t="s">
        <v>1941</v>
      </c>
      <c r="G1697" s="11"/>
      <c r="H1697" s="11">
        <f>SUMIFS(X!$F$3:$F$5978,X!$D$3:$D$5978,'Current Stock'!A1697)</f>
        <v>0</v>
      </c>
      <c r="I1697" s="11">
        <f>SUMIFS(PENJUALAN!$E$4:$E$3651,PENJUALAN!$C$4:$C$3651,'Current Stock'!A1697)</f>
        <v>0</v>
      </c>
      <c r="J1697" s="15">
        <f t="shared" si="2"/>
        <v>0</v>
      </c>
      <c r="K1697" s="11"/>
      <c r="L1697" s="11"/>
      <c r="M1697" s="16">
        <v>1.0</v>
      </c>
      <c r="N1697" s="11"/>
      <c r="O1697" s="17"/>
      <c r="P1697" s="17"/>
    </row>
    <row r="1698" ht="13.5" customHeight="1">
      <c r="A1698" s="11" t="str">
        <f t="shared" si="1"/>
        <v>LFW-TIMORMU</v>
      </c>
      <c r="B1698" s="32" t="s">
        <v>1942</v>
      </c>
      <c r="C1698" s="33" t="s">
        <v>657</v>
      </c>
      <c r="D1698" s="35" t="s">
        <v>60</v>
      </c>
      <c r="E1698" s="11" t="s">
        <v>1633</v>
      </c>
      <c r="F1698" s="33" t="s">
        <v>109</v>
      </c>
      <c r="G1698" s="11"/>
      <c r="H1698" s="11">
        <f>SUMIFS(X!$F$3:$F$5978,X!$D$3:$D$5978,'Current Stock'!A1698)</f>
        <v>1</v>
      </c>
      <c r="I1698" s="11">
        <f>SUMIFS(PENJUALAN!$E$4:$E$3651,PENJUALAN!$C$4:$C$3651,'Current Stock'!A1698)</f>
        <v>1</v>
      </c>
      <c r="J1698" s="15">
        <f t="shared" si="2"/>
        <v>0</v>
      </c>
      <c r="K1698" s="76"/>
      <c r="L1698" s="20"/>
      <c r="M1698" s="16">
        <v>1.0</v>
      </c>
      <c r="N1698" s="11"/>
      <c r="O1698" s="17"/>
      <c r="P1698" s="17"/>
    </row>
    <row r="1699" ht="13.5" customHeight="1">
      <c r="A1699" s="11" t="str">
        <f t="shared" si="1"/>
        <v>LFW-MX6COUPEMU</v>
      </c>
      <c r="B1699" s="32" t="s">
        <v>1943</v>
      </c>
      <c r="C1699" s="67" t="s">
        <v>1944</v>
      </c>
      <c r="D1699" s="33" t="s">
        <v>60</v>
      </c>
      <c r="E1699" s="11" t="s">
        <v>1633</v>
      </c>
      <c r="F1699" s="33"/>
      <c r="G1699" s="11"/>
      <c r="H1699" s="11">
        <f>SUMIFS(X!$F$3:$F$5978,X!$D$3:$D$5978,'Current Stock'!A1699)</f>
        <v>0</v>
      </c>
      <c r="I1699" s="11">
        <f>SUMIFS(PENJUALAN!$E$4:$E$3651,PENJUALAN!$C$4:$C$3651,'Current Stock'!A1699)</f>
        <v>0</v>
      </c>
      <c r="J1699" s="15">
        <f t="shared" si="2"/>
        <v>0</v>
      </c>
      <c r="K1699" s="11"/>
      <c r="L1699" s="11"/>
      <c r="M1699" s="11"/>
      <c r="N1699" s="11"/>
      <c r="O1699" s="17"/>
      <c r="P1699" s="17"/>
    </row>
    <row r="1700" ht="13.5" customHeight="1">
      <c r="A1700" s="11" t="str">
        <f t="shared" si="1"/>
        <v>LFW-INTERPLAYMU</v>
      </c>
      <c r="B1700" s="32" t="s">
        <v>1945</v>
      </c>
      <c r="C1700" s="67" t="s">
        <v>1946</v>
      </c>
      <c r="D1700" s="33" t="s">
        <v>60</v>
      </c>
      <c r="E1700" s="11" t="s">
        <v>1633</v>
      </c>
      <c r="F1700" s="33"/>
      <c r="G1700" s="11"/>
      <c r="H1700" s="11">
        <f>SUMIFS(X!$F$3:$F$5978,X!$D$3:$D$5978,'Current Stock'!A1700)</f>
        <v>0</v>
      </c>
      <c r="I1700" s="11">
        <f>SUMIFS(PENJUALAN!$E$4:$E$3651,PENJUALAN!$C$4:$C$3651,'Current Stock'!A1700)</f>
        <v>0</v>
      </c>
      <c r="J1700" s="15">
        <f t="shared" si="2"/>
        <v>0</v>
      </c>
      <c r="K1700" s="13"/>
      <c r="L1700" s="13"/>
      <c r="M1700" s="11"/>
      <c r="N1700" s="13" t="s">
        <v>1947</v>
      </c>
      <c r="O1700" s="45"/>
      <c r="P1700" s="45"/>
    </row>
    <row r="1701" ht="13.5" customHeight="1">
      <c r="A1701" s="11" t="str">
        <f t="shared" si="1"/>
        <v>LFW-LANTISMU</v>
      </c>
      <c r="B1701" s="36" t="s">
        <v>1948</v>
      </c>
      <c r="C1701" s="77" t="s">
        <v>1949</v>
      </c>
      <c r="D1701" s="33" t="s">
        <v>60</v>
      </c>
      <c r="E1701" s="11" t="s">
        <v>1633</v>
      </c>
      <c r="F1701" s="33" t="s">
        <v>1941</v>
      </c>
      <c r="G1701" s="11"/>
      <c r="H1701" s="11">
        <f>SUMIFS(X!$F$3:$F$5978,X!$D$3:$D$5978,'Current Stock'!A1701)</f>
        <v>0</v>
      </c>
      <c r="I1701" s="11">
        <f>SUMIFS(PENJUALAN!$E$4:$E$3651,PENJUALAN!$C$4:$C$3651,'Current Stock'!A1701)</f>
        <v>0</v>
      </c>
      <c r="J1701" s="15">
        <f t="shared" si="2"/>
        <v>0</v>
      </c>
      <c r="K1701" s="13"/>
      <c r="L1701" s="13"/>
      <c r="M1701" s="16">
        <v>1.0</v>
      </c>
      <c r="N1701" s="11"/>
      <c r="O1701" s="17"/>
      <c r="P1701" s="17"/>
    </row>
    <row r="1702" ht="13.5" customHeight="1">
      <c r="A1702" s="11" t="str">
        <f t="shared" si="1"/>
        <v>LFW-LELEMU</v>
      </c>
      <c r="B1702" s="32" t="s">
        <v>1950</v>
      </c>
      <c r="C1702" s="35" t="s">
        <v>826</v>
      </c>
      <c r="D1702" s="35" t="s">
        <v>60</v>
      </c>
      <c r="E1702" s="11" t="s">
        <v>1633</v>
      </c>
      <c r="F1702" s="33"/>
      <c r="G1702" s="11"/>
      <c r="H1702" s="11">
        <f>SUMIFS(X!$F$3:$F$5978,X!$D$3:$D$5978,'Current Stock'!A1702)</f>
        <v>0</v>
      </c>
      <c r="I1702" s="11">
        <f>SUMIFS(PENJUALAN!$E$4:$E$3651,PENJUALAN!$C$4:$C$3651,'Current Stock'!A1702)</f>
        <v>0</v>
      </c>
      <c r="J1702" s="15">
        <f t="shared" si="2"/>
        <v>0</v>
      </c>
      <c r="K1702" s="11"/>
      <c r="L1702" s="11"/>
      <c r="M1702" s="11"/>
      <c r="N1702" s="11"/>
      <c r="O1702" s="17"/>
      <c r="P1702" s="17"/>
    </row>
    <row r="1703" ht="13.5" customHeight="1">
      <c r="A1703" s="11" t="str">
        <f t="shared" si="1"/>
        <v>LFW-W203RS2MU</v>
      </c>
      <c r="B1703" s="32" t="s">
        <v>1514</v>
      </c>
      <c r="C1703" s="33" t="s">
        <v>1515</v>
      </c>
      <c r="D1703" s="35" t="s">
        <v>60</v>
      </c>
      <c r="E1703" s="11" t="s">
        <v>1633</v>
      </c>
      <c r="F1703" s="33" t="s">
        <v>1951</v>
      </c>
      <c r="G1703" s="11"/>
      <c r="H1703" s="11">
        <f>SUMIFS(X!$F$3:$F$5978,X!$D$3:$D$5978,'Current Stock'!A1703)</f>
        <v>0</v>
      </c>
      <c r="I1703" s="11">
        <f>SUMIFS(PENJUALAN!$E$4:$E$3651,PENJUALAN!$C$4:$C$3651,'Current Stock'!A1703)</f>
        <v>0</v>
      </c>
      <c r="J1703" s="15">
        <f t="shared" si="2"/>
        <v>0</v>
      </c>
      <c r="K1703" s="11"/>
      <c r="L1703" s="11"/>
      <c r="M1703" s="16">
        <v>1.0</v>
      </c>
      <c r="N1703" s="11"/>
      <c r="O1703" s="17"/>
      <c r="P1703" s="17"/>
    </row>
    <row r="1704" ht="13.5" customHeight="1">
      <c r="A1704" s="11" t="str">
        <f t="shared" si="1"/>
        <v>LFW-W204RS1MU</v>
      </c>
      <c r="B1704" s="32" t="s">
        <v>1952</v>
      </c>
      <c r="C1704" s="67" t="s">
        <v>1953</v>
      </c>
      <c r="D1704" s="35" t="s">
        <v>60</v>
      </c>
      <c r="E1704" s="11" t="s">
        <v>1633</v>
      </c>
      <c r="F1704" s="33" t="s">
        <v>1897</v>
      </c>
      <c r="G1704" s="11"/>
      <c r="H1704" s="11">
        <f>SUMIFS(X!$F$3:$F$5978,X!$D$3:$D$5978,'Current Stock'!A1704)</f>
        <v>1</v>
      </c>
      <c r="I1704" s="11">
        <f>SUMIFS(PENJUALAN!$E$4:$E$3651,PENJUALAN!$C$4:$C$3651,'Current Stock'!A1704)</f>
        <v>1</v>
      </c>
      <c r="J1704" s="15">
        <f t="shared" si="2"/>
        <v>0</v>
      </c>
      <c r="K1704" s="11"/>
      <c r="L1704" s="11"/>
      <c r="M1704" s="16">
        <v>1.0</v>
      </c>
      <c r="N1704" s="11"/>
      <c r="O1704" s="17"/>
      <c r="P1704" s="17"/>
    </row>
    <row r="1705" ht="13.5" customHeight="1">
      <c r="A1705" s="11" t="str">
        <f t="shared" si="1"/>
        <v>LFW-W1244DOORMU</v>
      </c>
      <c r="B1705" s="32" t="s">
        <v>1573</v>
      </c>
      <c r="C1705" s="67" t="s">
        <v>1954</v>
      </c>
      <c r="D1705" s="35" t="s">
        <v>60</v>
      </c>
      <c r="E1705" s="11" t="s">
        <v>1633</v>
      </c>
      <c r="F1705" s="33" t="s">
        <v>1891</v>
      </c>
      <c r="G1705" s="11"/>
      <c r="H1705" s="11">
        <f>SUMIFS(X!$F$3:$F$5978,X!$D$3:$D$5978,'Current Stock'!A1705)</f>
        <v>0</v>
      </c>
      <c r="I1705" s="11">
        <f>SUMIFS(PENJUALAN!$E$4:$E$3651,PENJUALAN!$C$4:$C$3651,'Current Stock'!A1705)</f>
        <v>0</v>
      </c>
      <c r="J1705" s="15">
        <f t="shared" si="2"/>
        <v>0</v>
      </c>
      <c r="K1705" s="11"/>
      <c r="L1705" s="11"/>
      <c r="M1705" s="16">
        <v>1.0</v>
      </c>
      <c r="N1705" s="11"/>
      <c r="O1705" s="17"/>
      <c r="P1705" s="17"/>
    </row>
    <row r="1706" ht="13.5" customHeight="1">
      <c r="A1706" s="11" t="str">
        <f t="shared" si="1"/>
        <v>LFW-W210MU</v>
      </c>
      <c r="B1706" s="32" t="s">
        <v>800</v>
      </c>
      <c r="C1706" s="67" t="s">
        <v>1955</v>
      </c>
      <c r="D1706" s="35" t="s">
        <v>60</v>
      </c>
      <c r="E1706" s="11" t="s">
        <v>1633</v>
      </c>
      <c r="F1706" s="33" t="s">
        <v>1951</v>
      </c>
      <c r="G1706" s="11"/>
      <c r="H1706" s="11">
        <f>SUMIFS(X!$F$3:$F$5978,X!$D$3:$D$5978,'Current Stock'!A1706)</f>
        <v>0</v>
      </c>
      <c r="I1706" s="11">
        <f>SUMIFS(PENJUALAN!$E$4:$E$3651,PENJUALAN!$C$4:$C$3651,'Current Stock'!A1706)</f>
        <v>0</v>
      </c>
      <c r="J1706" s="15">
        <f t="shared" si="2"/>
        <v>0</v>
      </c>
      <c r="K1706" s="11"/>
      <c r="L1706" s="11"/>
      <c r="M1706" s="16">
        <v>1.0</v>
      </c>
      <c r="N1706" s="11"/>
      <c r="O1706" s="17"/>
      <c r="P1706" s="17"/>
    </row>
    <row r="1707" ht="13.5" customHeight="1">
      <c r="A1707" s="11" t="str">
        <f t="shared" si="1"/>
        <v>LFW-W211MU</v>
      </c>
      <c r="B1707" s="32" t="s">
        <v>803</v>
      </c>
      <c r="C1707" s="67" t="s">
        <v>1956</v>
      </c>
      <c r="D1707" s="35" t="s">
        <v>60</v>
      </c>
      <c r="E1707" s="11" t="s">
        <v>1633</v>
      </c>
      <c r="F1707" s="33" t="s">
        <v>1897</v>
      </c>
      <c r="G1707" s="11"/>
      <c r="H1707" s="11">
        <f>SUMIFS(X!$F$3:$F$5978,X!$D$3:$D$5978,'Current Stock'!A1707)</f>
        <v>0</v>
      </c>
      <c r="I1707" s="11">
        <f>SUMIFS(PENJUALAN!$E$4:$E$3651,PENJUALAN!$C$4:$C$3651,'Current Stock'!A1707)</f>
        <v>0</v>
      </c>
      <c r="J1707" s="15">
        <f t="shared" si="2"/>
        <v>0</v>
      </c>
      <c r="K1707" s="11"/>
      <c r="L1707" s="11"/>
      <c r="M1707" s="16">
        <v>1.0</v>
      </c>
      <c r="N1707" s="11"/>
      <c r="O1707" s="17"/>
      <c r="P1707" s="17"/>
    </row>
    <row r="1708" ht="13.5" customHeight="1">
      <c r="A1708" s="11" t="str">
        <f t="shared" si="1"/>
        <v>LFW-W220MU</v>
      </c>
      <c r="B1708" s="32" t="s">
        <v>1587</v>
      </c>
      <c r="C1708" s="67" t="s">
        <v>1957</v>
      </c>
      <c r="D1708" s="35" t="s">
        <v>60</v>
      </c>
      <c r="E1708" s="11" t="s">
        <v>1633</v>
      </c>
      <c r="F1708" s="33" t="s">
        <v>1951</v>
      </c>
      <c r="G1708" s="11"/>
      <c r="H1708" s="11">
        <f>SUMIFS(X!$F$3:$F$5978,X!$D$3:$D$5978,'Current Stock'!A1708)</f>
        <v>0</v>
      </c>
      <c r="I1708" s="11">
        <f>SUMIFS(PENJUALAN!$E$4:$E$3651,PENJUALAN!$C$4:$C$3651,'Current Stock'!A1708)</f>
        <v>0</v>
      </c>
      <c r="J1708" s="15">
        <f t="shared" si="2"/>
        <v>0</v>
      </c>
      <c r="K1708" s="11"/>
      <c r="L1708" s="11"/>
      <c r="M1708" s="16">
        <v>1.0</v>
      </c>
      <c r="N1708" s="11"/>
      <c r="O1708" s="17"/>
      <c r="P1708" s="17"/>
    </row>
    <row r="1709" ht="13.5" customHeight="1">
      <c r="A1709" s="11" t="str">
        <f t="shared" si="1"/>
        <v>LFW-W123MU</v>
      </c>
      <c r="B1709" s="32" t="s">
        <v>1958</v>
      </c>
      <c r="C1709" s="67" t="s">
        <v>1959</v>
      </c>
      <c r="D1709" s="35" t="s">
        <v>60</v>
      </c>
      <c r="E1709" s="11" t="s">
        <v>1633</v>
      </c>
      <c r="F1709" s="33"/>
      <c r="G1709" s="11"/>
      <c r="H1709" s="11">
        <f>SUMIFS(X!$F$3:$F$5978,X!$D$3:$D$5978,'Current Stock'!A1709)</f>
        <v>0</v>
      </c>
      <c r="I1709" s="11">
        <f>SUMIFS(PENJUALAN!$E$4:$E$3651,PENJUALAN!$C$4:$C$3651,'Current Stock'!A1709)</f>
        <v>0</v>
      </c>
      <c r="J1709" s="15">
        <f t="shared" si="2"/>
        <v>0</v>
      </c>
      <c r="K1709" s="13" t="s">
        <v>1623</v>
      </c>
      <c r="L1709" s="11"/>
      <c r="M1709" s="16">
        <v>1.0</v>
      </c>
      <c r="N1709" s="11"/>
      <c r="O1709" s="17"/>
      <c r="P1709" s="17"/>
    </row>
    <row r="1710" ht="13.5" customHeight="1">
      <c r="A1710" s="11" t="str">
        <f t="shared" si="1"/>
        <v>LFW-KUDAMU</v>
      </c>
      <c r="B1710" s="32" t="s">
        <v>1960</v>
      </c>
      <c r="C1710" s="35" t="s">
        <v>1961</v>
      </c>
      <c r="D1710" s="35" t="s">
        <v>60</v>
      </c>
      <c r="E1710" s="11" t="s">
        <v>1633</v>
      </c>
      <c r="F1710" s="42" t="s">
        <v>1938</v>
      </c>
      <c r="G1710" s="11"/>
      <c r="H1710" s="11">
        <f>SUMIFS(X!$F$3:$F$5978,X!$D$3:$D$5978,'Current Stock'!A1710)</f>
        <v>0</v>
      </c>
      <c r="I1710" s="11">
        <f>SUMIFS(PENJUALAN!$E$4:$E$3651,PENJUALAN!$C$4:$C$3651,'Current Stock'!A1710)</f>
        <v>0</v>
      </c>
      <c r="J1710" s="15">
        <f t="shared" si="2"/>
        <v>0</v>
      </c>
      <c r="K1710" s="13"/>
      <c r="L1710" s="13"/>
      <c r="M1710" s="16">
        <v>1.0</v>
      </c>
      <c r="N1710" s="11"/>
      <c r="O1710" s="17"/>
      <c r="P1710" s="17"/>
    </row>
    <row r="1711" ht="13.5" customHeight="1">
      <c r="A1711" s="11" t="str">
        <f t="shared" si="1"/>
        <v>LFW-EVO3MU</v>
      </c>
      <c r="B1711" s="32" t="s">
        <v>847</v>
      </c>
      <c r="C1711" s="77" t="s">
        <v>848</v>
      </c>
      <c r="D1711" s="35" t="s">
        <v>60</v>
      </c>
      <c r="E1711" s="11" t="s">
        <v>1633</v>
      </c>
      <c r="F1711" s="42" t="s">
        <v>1891</v>
      </c>
      <c r="G1711" s="14">
        <v>45988.0</v>
      </c>
      <c r="H1711" s="11">
        <f>SUMIFS(X!$F$3:$F$5978,X!$D$3:$D$5978,'Current Stock'!A1711)</f>
        <v>1</v>
      </c>
      <c r="I1711" s="11">
        <f>SUMIFS(PENJUALAN!$E$4:$E$3651,PENJUALAN!$C$4:$C$3651,'Current Stock'!A1711)</f>
        <v>0</v>
      </c>
      <c r="J1711" s="15">
        <f t="shared" si="2"/>
        <v>1</v>
      </c>
      <c r="K1711" s="13"/>
      <c r="L1711" s="13"/>
      <c r="M1711" s="16">
        <v>1.0</v>
      </c>
      <c r="N1711" s="11"/>
      <c r="O1711" s="17"/>
      <c r="P1711" s="17"/>
    </row>
    <row r="1712" ht="13.5" customHeight="1">
      <c r="A1712" s="11" t="str">
        <f t="shared" si="1"/>
        <v>LFW-MIRAGEMU</v>
      </c>
      <c r="B1712" s="32" t="s">
        <v>876</v>
      </c>
      <c r="C1712" s="67" t="s">
        <v>1962</v>
      </c>
      <c r="D1712" s="35" t="s">
        <v>60</v>
      </c>
      <c r="E1712" s="11" t="s">
        <v>1633</v>
      </c>
      <c r="F1712" s="42" t="s">
        <v>109</v>
      </c>
      <c r="G1712" s="11"/>
      <c r="H1712" s="11">
        <f>SUMIFS(X!$F$3:$F$5978,X!$D$3:$D$5978,'Current Stock'!A1712)</f>
        <v>1</v>
      </c>
      <c r="I1712" s="11">
        <f>SUMIFS(PENJUALAN!$E$4:$E$3651,PENJUALAN!$C$4:$C$3651,'Current Stock'!A1712)</f>
        <v>1</v>
      </c>
      <c r="J1712" s="15">
        <f t="shared" si="2"/>
        <v>0</v>
      </c>
      <c r="K1712" s="13"/>
      <c r="L1712" s="13"/>
      <c r="M1712" s="16">
        <v>1.0</v>
      </c>
      <c r="N1712" s="11"/>
      <c r="O1712" s="17"/>
      <c r="P1712" s="17"/>
    </row>
    <row r="1713" ht="13.5" customHeight="1">
      <c r="A1713" s="11" t="str">
        <f t="shared" si="1"/>
        <v>LFW-PAJERO08MU</v>
      </c>
      <c r="B1713" s="32" t="s">
        <v>882</v>
      </c>
      <c r="C1713" s="33" t="s">
        <v>883</v>
      </c>
      <c r="D1713" s="33" t="s">
        <v>60</v>
      </c>
      <c r="E1713" s="11" t="s">
        <v>1633</v>
      </c>
      <c r="F1713" s="33" t="s">
        <v>137</v>
      </c>
      <c r="G1713" s="11"/>
      <c r="H1713" s="11">
        <f>SUMIFS(X!$F$3:$F$5978,X!$D$3:$D$5978,'Current Stock'!A1713)</f>
        <v>12</v>
      </c>
      <c r="I1713" s="11">
        <f>SUMIFS(PENJUALAN!$E$4:$E$3651,PENJUALAN!$C$4:$C$3651,'Current Stock'!A1713)</f>
        <v>5</v>
      </c>
      <c r="J1713" s="15">
        <f t="shared" si="2"/>
        <v>7</v>
      </c>
      <c r="K1713" s="13" t="s">
        <v>1623</v>
      </c>
      <c r="L1713" s="13"/>
      <c r="M1713" s="16">
        <v>1.0</v>
      </c>
      <c r="N1713" s="11"/>
      <c r="O1713" s="17"/>
      <c r="P1713" s="17"/>
    </row>
    <row r="1714" ht="13.5" customHeight="1">
      <c r="A1714" s="11" t="str">
        <f t="shared" si="1"/>
        <v>LFW-PAJERO16MU</v>
      </c>
      <c r="B1714" s="32" t="s">
        <v>885</v>
      </c>
      <c r="C1714" s="33" t="s">
        <v>886</v>
      </c>
      <c r="D1714" s="33" t="s">
        <v>60</v>
      </c>
      <c r="E1714" s="11" t="s">
        <v>1633</v>
      </c>
      <c r="F1714" s="33" t="s">
        <v>137</v>
      </c>
      <c r="G1714" s="14">
        <v>46021.0</v>
      </c>
      <c r="H1714" s="11">
        <f>SUMIFS(X!$F$3:$F$5978,X!$D$3:$D$5978,'Current Stock'!A1714)</f>
        <v>11</v>
      </c>
      <c r="I1714" s="11">
        <f>SUMIFS(PENJUALAN!$E$4:$E$3651,PENJUALAN!$C$4:$C$3651,'Current Stock'!A1714)</f>
        <v>7</v>
      </c>
      <c r="J1714" s="15">
        <f t="shared" si="2"/>
        <v>4</v>
      </c>
      <c r="K1714" s="13" t="s">
        <v>1623</v>
      </c>
      <c r="L1714" s="13"/>
      <c r="M1714" s="16">
        <v>1.0</v>
      </c>
      <c r="N1714" s="11"/>
      <c r="O1714" s="17"/>
      <c r="P1714" s="17"/>
    </row>
    <row r="1715" ht="13.5" customHeight="1">
      <c r="A1715" s="11" t="str">
        <f t="shared" si="1"/>
        <v>LFW-TRITON05MU</v>
      </c>
      <c r="B1715" s="32" t="s">
        <v>888</v>
      </c>
      <c r="C1715" s="33" t="s">
        <v>889</v>
      </c>
      <c r="D1715" s="33" t="s">
        <v>60</v>
      </c>
      <c r="E1715" s="11" t="s">
        <v>1633</v>
      </c>
      <c r="F1715" s="33" t="s">
        <v>137</v>
      </c>
      <c r="G1715" s="14">
        <v>45988.0</v>
      </c>
      <c r="H1715" s="11">
        <f>SUMIFS(X!$F$3:$F$5978,X!$D$3:$D$5978,'Current Stock'!A1715)</f>
        <v>0</v>
      </c>
      <c r="I1715" s="11">
        <f>SUMIFS(PENJUALAN!$E$4:$E$3651,PENJUALAN!$C$4:$C$3651,'Current Stock'!A1715)</f>
        <v>0</v>
      </c>
      <c r="J1715" s="15">
        <f t="shared" si="2"/>
        <v>0</v>
      </c>
      <c r="K1715" s="13"/>
      <c r="L1715" s="13"/>
      <c r="M1715" s="11"/>
      <c r="N1715" s="11"/>
      <c r="O1715" s="17"/>
      <c r="P1715" s="17"/>
    </row>
    <row r="1716" ht="13.5" customHeight="1">
      <c r="A1716" s="11" t="str">
        <f t="shared" si="1"/>
        <v>LFW-MAZDA209MU</v>
      </c>
      <c r="B1716" s="32" t="s">
        <v>696</v>
      </c>
      <c r="C1716" s="33" t="s">
        <v>697</v>
      </c>
      <c r="D1716" s="33" t="s">
        <v>60</v>
      </c>
      <c r="E1716" s="11" t="s">
        <v>1633</v>
      </c>
      <c r="F1716" s="33" t="s">
        <v>137</v>
      </c>
      <c r="G1716" s="14">
        <v>45988.0</v>
      </c>
      <c r="H1716" s="11">
        <f>SUMIFS(X!$F$3:$F$5978,X!$D$3:$D$5978,'Current Stock'!A1716)</f>
        <v>1</v>
      </c>
      <c r="I1716" s="11">
        <f>SUMIFS(PENJUALAN!$E$4:$E$3651,PENJUALAN!$C$4:$C$3651,'Current Stock'!A1716)</f>
        <v>1</v>
      </c>
      <c r="J1716" s="15">
        <f t="shared" si="2"/>
        <v>0</v>
      </c>
      <c r="K1716" s="13"/>
      <c r="L1716" s="13"/>
      <c r="M1716" s="16">
        <v>1.0</v>
      </c>
      <c r="N1716" s="11"/>
      <c r="O1716" s="17"/>
      <c r="P1716" s="17"/>
    </row>
    <row r="1717" ht="13.5" customHeight="1">
      <c r="A1717" s="11" t="str">
        <f t="shared" si="1"/>
        <v>TRW-XPANDERHXYG</v>
      </c>
      <c r="B1717" s="36" t="s">
        <v>1963</v>
      </c>
      <c r="C1717" s="31" t="s">
        <v>1964</v>
      </c>
      <c r="D1717" s="33" t="s">
        <v>62</v>
      </c>
      <c r="E1717" s="11" t="s">
        <v>16</v>
      </c>
      <c r="F1717" s="31" t="s">
        <v>1437</v>
      </c>
      <c r="G1717" s="11"/>
      <c r="H1717" s="11">
        <f>SUMIFS(X!$F$3:$F$5978,X!$D$3:$D$5978,'Current Stock'!A1717)</f>
        <v>1</v>
      </c>
      <c r="I1717" s="11">
        <f>SUMIFS(PENJUALAN!$E$4:$E$3651,PENJUALAN!$C$4:$C$3651,'Current Stock'!A1717)</f>
        <v>1</v>
      </c>
      <c r="J1717" s="15">
        <f t="shared" si="2"/>
        <v>0</v>
      </c>
      <c r="K1717" s="13"/>
      <c r="L1717" s="13"/>
      <c r="M1717" s="16"/>
      <c r="N1717" s="11"/>
      <c r="O1717" s="17"/>
      <c r="P1717" s="17"/>
    </row>
    <row r="1718" ht="13.5" customHeight="1">
      <c r="A1718" s="11" t="str">
        <f t="shared" si="1"/>
        <v>TRW-XPANDER22HXYG</v>
      </c>
      <c r="B1718" s="36" t="s">
        <v>1965</v>
      </c>
      <c r="C1718" s="31" t="s">
        <v>1966</v>
      </c>
      <c r="D1718" s="33" t="s">
        <v>62</v>
      </c>
      <c r="E1718" s="11" t="s">
        <v>16</v>
      </c>
      <c r="F1718" s="31" t="s">
        <v>1437</v>
      </c>
      <c r="G1718" s="11"/>
      <c r="H1718" s="11">
        <f>SUMIFS(X!$F$3:$F$5978,X!$D$3:$D$5978,'Current Stock'!A1718)</f>
        <v>0</v>
      </c>
      <c r="I1718" s="11">
        <f>SUMIFS(PENJUALAN!$E$4:$E$3651,PENJUALAN!$C$4:$C$3651,'Current Stock'!A1718)</f>
        <v>1</v>
      </c>
      <c r="J1718" s="15">
        <f t="shared" si="2"/>
        <v>-1</v>
      </c>
      <c r="K1718" s="13"/>
      <c r="L1718" s="13"/>
      <c r="M1718" s="16"/>
      <c r="N1718" s="11"/>
      <c r="O1718" s="17"/>
      <c r="P1718" s="17"/>
    </row>
    <row r="1719" ht="13.5" customHeight="1">
      <c r="A1719" s="11" t="str">
        <f t="shared" si="1"/>
        <v>LFW-XPANDERMU</v>
      </c>
      <c r="B1719" s="32" t="s">
        <v>1631</v>
      </c>
      <c r="C1719" s="33" t="s">
        <v>1632</v>
      </c>
      <c r="D1719" s="33" t="s">
        <v>60</v>
      </c>
      <c r="E1719" s="11" t="s">
        <v>1633</v>
      </c>
      <c r="F1719" s="33" t="s">
        <v>137</v>
      </c>
      <c r="G1719" s="34"/>
      <c r="H1719" s="11">
        <f>SUMIFS(X!$F$3:$F$5978,X!$D$3:$D$5978,'Current Stock'!A1719)</f>
        <v>17</v>
      </c>
      <c r="I1719" s="11">
        <f>SUMIFS(PENJUALAN!$E$4:$E$3651,PENJUALAN!$C$4:$C$3651,'Current Stock'!A1719)</f>
        <v>16</v>
      </c>
      <c r="J1719" s="15">
        <f t="shared" si="2"/>
        <v>1</v>
      </c>
      <c r="K1719" s="13"/>
      <c r="L1719" s="13"/>
      <c r="M1719" s="16">
        <v>2.0</v>
      </c>
      <c r="N1719" s="13" t="s">
        <v>1967</v>
      </c>
      <c r="O1719" s="17"/>
      <c r="P1719" s="17"/>
    </row>
    <row r="1720" ht="13.5" customHeight="1">
      <c r="A1720" s="11" t="str">
        <f t="shared" si="1"/>
        <v>LFW-DATSUNGOMU</v>
      </c>
      <c r="B1720" s="32" t="s">
        <v>1968</v>
      </c>
      <c r="C1720" s="33" t="s">
        <v>897</v>
      </c>
      <c r="D1720" s="33" t="s">
        <v>60</v>
      </c>
      <c r="E1720" s="11" t="s">
        <v>1633</v>
      </c>
      <c r="F1720" s="31" t="s">
        <v>109</v>
      </c>
      <c r="G1720" s="34"/>
      <c r="H1720" s="11">
        <f>SUMIFS(X!$F$3:$F$5978,X!$D$3:$D$5978,'Current Stock'!A1720)</f>
        <v>1</v>
      </c>
      <c r="I1720" s="11">
        <f>SUMIFS(PENJUALAN!$E$4:$E$3651,PENJUALAN!$C$4:$C$3651,'Current Stock'!A1720)</f>
        <v>1</v>
      </c>
      <c r="J1720" s="15">
        <f t="shared" si="2"/>
        <v>0</v>
      </c>
      <c r="K1720" s="13"/>
      <c r="L1720" s="13"/>
      <c r="M1720" s="16">
        <v>1.0</v>
      </c>
      <c r="N1720" s="66" t="s">
        <v>1969</v>
      </c>
      <c r="O1720" s="78"/>
      <c r="P1720" s="78"/>
    </row>
    <row r="1721" ht="13.5" customHeight="1">
      <c r="A1721" s="11" t="str">
        <f t="shared" si="1"/>
        <v>LFW-NAVARA97MU</v>
      </c>
      <c r="B1721" s="32" t="s">
        <v>1970</v>
      </c>
      <c r="C1721" s="35" t="s">
        <v>925</v>
      </c>
      <c r="D1721" s="35" t="s">
        <v>60</v>
      </c>
      <c r="E1721" s="11" t="s">
        <v>1633</v>
      </c>
      <c r="F1721" s="33"/>
      <c r="G1721" s="11"/>
      <c r="H1721" s="11">
        <f>SUMIFS(X!$F$3:$F$5978,X!$D$3:$D$5978,'Current Stock'!A1721)</f>
        <v>0</v>
      </c>
      <c r="I1721" s="11">
        <f>SUMIFS(PENJUALAN!$E$4:$E$3651,PENJUALAN!$C$4:$C$3651,'Current Stock'!A1721)</f>
        <v>0</v>
      </c>
      <c r="J1721" s="15">
        <f t="shared" si="2"/>
        <v>0</v>
      </c>
      <c r="K1721" s="11"/>
      <c r="L1721" s="11"/>
      <c r="M1721" s="16">
        <v>1.0</v>
      </c>
      <c r="N1721" s="11"/>
      <c r="O1721" s="17"/>
      <c r="P1721" s="17"/>
    </row>
    <row r="1722" ht="13.5" customHeight="1">
      <c r="A1722" s="11" t="str">
        <f t="shared" si="1"/>
        <v>LFW-NAVARA04MU</v>
      </c>
      <c r="B1722" s="32" t="s">
        <v>926</v>
      </c>
      <c r="C1722" s="35" t="s">
        <v>927</v>
      </c>
      <c r="D1722" s="35" t="s">
        <v>60</v>
      </c>
      <c r="E1722" s="11" t="s">
        <v>1633</v>
      </c>
      <c r="F1722" s="33" t="s">
        <v>137</v>
      </c>
      <c r="G1722" s="11"/>
      <c r="H1722" s="11">
        <f>SUMIFS(X!$F$3:$F$5978,X!$D$3:$D$5978,'Current Stock'!A1722)</f>
        <v>0</v>
      </c>
      <c r="I1722" s="11">
        <f>SUMIFS(PENJUALAN!$E$4:$E$3651,PENJUALAN!$C$4:$C$3651,'Current Stock'!A1722)</f>
        <v>0</v>
      </c>
      <c r="J1722" s="15">
        <f t="shared" si="2"/>
        <v>0</v>
      </c>
      <c r="K1722" s="13" t="s">
        <v>1648</v>
      </c>
      <c r="L1722" s="11"/>
      <c r="M1722" s="16">
        <v>1.0</v>
      </c>
      <c r="N1722" s="11"/>
      <c r="O1722" s="17"/>
      <c r="P1722" s="17"/>
    </row>
    <row r="1723" ht="13.5" customHeight="1">
      <c r="A1723" s="11" t="str">
        <f t="shared" si="1"/>
        <v>LFW-NAVARA15MU</v>
      </c>
      <c r="B1723" s="32" t="s">
        <v>956</v>
      </c>
      <c r="C1723" s="35" t="s">
        <v>957</v>
      </c>
      <c r="D1723" s="35" t="s">
        <v>60</v>
      </c>
      <c r="E1723" s="11" t="s">
        <v>1633</v>
      </c>
      <c r="F1723" s="33" t="s">
        <v>137</v>
      </c>
      <c r="G1723" s="11"/>
      <c r="H1723" s="11">
        <f>SUMIFS(X!$F$3:$F$5978,X!$D$3:$D$5978,'Current Stock'!A1723)</f>
        <v>0</v>
      </c>
      <c r="I1723" s="11">
        <f>SUMIFS(PENJUALAN!$E$4:$E$3651,PENJUALAN!$C$4:$C$3651,'Current Stock'!A1723)</f>
        <v>0</v>
      </c>
      <c r="J1723" s="15">
        <f t="shared" si="2"/>
        <v>0</v>
      </c>
      <c r="K1723" s="13"/>
      <c r="L1723" s="11"/>
      <c r="M1723" s="16">
        <v>1.0</v>
      </c>
      <c r="N1723" s="11"/>
      <c r="O1723" s="17"/>
      <c r="P1723" s="17"/>
    </row>
    <row r="1724" ht="13.5" customHeight="1">
      <c r="A1724" s="11" t="str">
        <f t="shared" si="1"/>
        <v>LFW-JUKEMU</v>
      </c>
      <c r="B1724" s="32" t="s">
        <v>929</v>
      </c>
      <c r="C1724" s="35" t="s">
        <v>930</v>
      </c>
      <c r="D1724" s="35" t="s">
        <v>60</v>
      </c>
      <c r="E1724" s="11" t="s">
        <v>1633</v>
      </c>
      <c r="F1724" s="33"/>
      <c r="G1724" s="11"/>
      <c r="H1724" s="11">
        <f>SUMIFS(X!$F$3:$F$5978,X!$D$3:$D$5978,'Current Stock'!A1724)</f>
        <v>0</v>
      </c>
      <c r="I1724" s="11">
        <f>SUMIFS(PENJUALAN!$E$4:$E$3651,PENJUALAN!$C$4:$C$3651,'Current Stock'!A1724)</f>
        <v>0</v>
      </c>
      <c r="J1724" s="15">
        <f t="shared" si="2"/>
        <v>0</v>
      </c>
      <c r="K1724" s="13"/>
      <c r="L1724" s="13"/>
      <c r="M1724" s="16">
        <v>1.0</v>
      </c>
      <c r="N1724" s="11"/>
      <c r="O1724" s="17"/>
      <c r="P1724" s="17"/>
    </row>
    <row r="1725" ht="13.5" customHeight="1">
      <c r="A1725" s="11" t="str">
        <f t="shared" si="1"/>
        <v>LFW-LATIOMU</v>
      </c>
      <c r="B1725" s="32" t="s">
        <v>1971</v>
      </c>
      <c r="C1725" s="35" t="s">
        <v>1972</v>
      </c>
      <c r="D1725" s="35" t="s">
        <v>60</v>
      </c>
      <c r="E1725" s="11" t="s">
        <v>1633</v>
      </c>
      <c r="F1725" s="33" t="s">
        <v>1634</v>
      </c>
      <c r="G1725" s="14">
        <v>45988.0</v>
      </c>
      <c r="H1725" s="11">
        <f>SUMIFS(X!$F$3:$F$5978,X!$D$3:$D$5978,'Current Stock'!A1725)</f>
        <v>0</v>
      </c>
      <c r="I1725" s="11">
        <f>SUMIFS(PENJUALAN!$E$4:$E$3651,PENJUALAN!$C$4:$C$3651,'Current Stock'!A1725)</f>
        <v>0</v>
      </c>
      <c r="J1725" s="15">
        <f t="shared" si="2"/>
        <v>0</v>
      </c>
      <c r="K1725" s="13" t="s">
        <v>1648</v>
      </c>
      <c r="L1725" s="11"/>
      <c r="M1725" s="16">
        <v>1.0</v>
      </c>
      <c r="N1725" s="11"/>
      <c r="O1725" s="17"/>
      <c r="P1725" s="17"/>
    </row>
    <row r="1726" ht="13.5" customHeight="1">
      <c r="A1726" s="11" t="str">
        <f t="shared" si="1"/>
        <v>LFW-MARCHMU</v>
      </c>
      <c r="B1726" s="32" t="s">
        <v>941</v>
      </c>
      <c r="C1726" s="33" t="s">
        <v>942</v>
      </c>
      <c r="D1726" s="33" t="s">
        <v>60</v>
      </c>
      <c r="E1726" s="11" t="s">
        <v>1633</v>
      </c>
      <c r="F1726" s="33" t="s">
        <v>137</v>
      </c>
      <c r="G1726" s="37">
        <v>46021.0</v>
      </c>
      <c r="H1726" s="11">
        <f>SUMIFS(X!$F$3:$F$5978,X!$D$3:$D$5978,'Current Stock'!A1726)</f>
        <v>3</v>
      </c>
      <c r="I1726" s="11">
        <f>SUMIFS(PENJUALAN!$E$4:$E$3651,PENJUALAN!$C$4:$C$3651,'Current Stock'!A1726)</f>
        <v>3</v>
      </c>
      <c r="J1726" s="15">
        <f t="shared" si="2"/>
        <v>0</v>
      </c>
      <c r="K1726" s="13"/>
      <c r="L1726" s="13"/>
      <c r="M1726" s="16">
        <v>1.0</v>
      </c>
      <c r="N1726" s="11"/>
      <c r="O1726" s="17"/>
      <c r="P1726" s="17"/>
    </row>
    <row r="1727" ht="13.5" customHeight="1">
      <c r="A1727" s="11" t="str">
        <f t="shared" si="1"/>
        <v>LFW-C24MU</v>
      </c>
      <c r="B1727" s="32" t="s">
        <v>965</v>
      </c>
      <c r="C1727" s="33" t="s">
        <v>966</v>
      </c>
      <c r="D1727" s="33" t="s">
        <v>60</v>
      </c>
      <c r="E1727" s="11" t="s">
        <v>1633</v>
      </c>
      <c r="F1727" s="33" t="s">
        <v>109</v>
      </c>
      <c r="G1727" s="11"/>
      <c r="H1727" s="11">
        <f>SUMIFS(X!$F$3:$F$5978,X!$D$3:$D$5978,'Current Stock'!A1727)</f>
        <v>3</v>
      </c>
      <c r="I1727" s="11">
        <f>SUMIFS(PENJUALAN!$E$4:$E$3651,PENJUALAN!$C$4:$C$3651,'Current Stock'!A1727)</f>
        <v>2</v>
      </c>
      <c r="J1727" s="15">
        <f t="shared" si="2"/>
        <v>1</v>
      </c>
      <c r="K1727" s="13" t="s">
        <v>1648</v>
      </c>
      <c r="L1727" s="13"/>
      <c r="M1727" s="16">
        <v>1.0</v>
      </c>
      <c r="N1727" s="13" t="s">
        <v>1973</v>
      </c>
      <c r="O1727" s="17"/>
      <c r="P1727" s="17"/>
    </row>
    <row r="1728" ht="13.5" customHeight="1">
      <c r="A1728" s="11" t="str">
        <f t="shared" si="1"/>
        <v>LFW-TERRANOMU</v>
      </c>
      <c r="B1728" s="32" t="s">
        <v>1974</v>
      </c>
      <c r="C1728" s="35" t="s">
        <v>1975</v>
      </c>
      <c r="D1728" s="35" t="s">
        <v>60</v>
      </c>
      <c r="E1728" s="11" t="s">
        <v>1633</v>
      </c>
      <c r="F1728" s="33"/>
      <c r="G1728" s="14">
        <v>45988.0</v>
      </c>
      <c r="H1728" s="11">
        <f>SUMIFS(X!$F$3:$F$5978,X!$D$3:$D$5978,'Current Stock'!A1728)</f>
        <v>3</v>
      </c>
      <c r="I1728" s="11">
        <f>SUMIFS(PENJUALAN!$E$4:$E$3651,PENJUALAN!$C$4:$C$3651,'Current Stock'!A1728)</f>
        <v>2</v>
      </c>
      <c r="J1728" s="15">
        <f t="shared" si="2"/>
        <v>1</v>
      </c>
      <c r="K1728" s="13"/>
      <c r="L1728" s="13"/>
      <c r="M1728" s="16">
        <v>1.0</v>
      </c>
      <c r="N1728" s="13" t="s">
        <v>1976</v>
      </c>
      <c r="O1728" s="45"/>
      <c r="P1728" s="45"/>
    </row>
    <row r="1729" ht="13.5" customHeight="1">
      <c r="A1729" s="11" t="str">
        <f t="shared" si="1"/>
        <v>LFW-TEANAMU</v>
      </c>
      <c r="B1729" s="32" t="s">
        <v>1977</v>
      </c>
      <c r="C1729" s="33" t="s">
        <v>1653</v>
      </c>
      <c r="D1729" s="33" t="s">
        <v>60</v>
      </c>
      <c r="E1729" s="11" t="s">
        <v>1633</v>
      </c>
      <c r="F1729" s="33"/>
      <c r="G1729" s="11"/>
      <c r="H1729" s="11">
        <f>SUMIFS(X!$F$3:$F$5978,X!$D$3:$D$5978,'Current Stock'!A1729)</f>
        <v>0</v>
      </c>
      <c r="I1729" s="11">
        <f>SUMIFS(PENJUALAN!$E$4:$E$3651,PENJUALAN!$C$4:$C$3651,'Current Stock'!A1729)</f>
        <v>0</v>
      </c>
      <c r="J1729" s="15">
        <f t="shared" si="2"/>
        <v>0</v>
      </c>
      <c r="K1729" s="13" t="s">
        <v>1359</v>
      </c>
      <c r="L1729" s="11"/>
      <c r="M1729" s="11"/>
      <c r="N1729" s="11"/>
      <c r="O1729" s="17"/>
      <c r="P1729" s="17"/>
    </row>
    <row r="1730" ht="13.5" customHeight="1">
      <c r="A1730" s="11" t="str">
        <f t="shared" si="1"/>
        <v>LFW-T30MU</v>
      </c>
      <c r="B1730" s="32" t="s">
        <v>984</v>
      </c>
      <c r="C1730" s="33" t="s">
        <v>985</v>
      </c>
      <c r="D1730" s="33" t="s">
        <v>60</v>
      </c>
      <c r="E1730" s="11" t="s">
        <v>1633</v>
      </c>
      <c r="F1730" s="33" t="s">
        <v>109</v>
      </c>
      <c r="G1730" s="11"/>
      <c r="H1730" s="11">
        <f>SUMIFS(X!$F$3:$F$5978,X!$D$3:$D$5978,'Current Stock'!A1730)</f>
        <v>1</v>
      </c>
      <c r="I1730" s="11">
        <f>SUMIFS(PENJUALAN!$E$4:$E$3651,PENJUALAN!$C$4:$C$3651,'Current Stock'!A1730)</f>
        <v>1</v>
      </c>
      <c r="J1730" s="15">
        <f t="shared" si="2"/>
        <v>0</v>
      </c>
      <c r="K1730" s="13" t="s">
        <v>1648</v>
      </c>
      <c r="L1730" s="13"/>
      <c r="M1730" s="16">
        <v>1.0</v>
      </c>
      <c r="N1730" s="13" t="s">
        <v>1978</v>
      </c>
      <c r="O1730" s="45"/>
      <c r="P1730" s="45"/>
    </row>
    <row r="1731" ht="13.5" customHeight="1">
      <c r="A1731" s="11" t="str">
        <f t="shared" si="1"/>
        <v>LFW-SWIFT11MU</v>
      </c>
      <c r="B1731" s="32" t="s">
        <v>1979</v>
      </c>
      <c r="C1731" s="35" t="s">
        <v>1734</v>
      </c>
      <c r="D1731" s="35" t="s">
        <v>60</v>
      </c>
      <c r="E1731" s="11" t="s">
        <v>1633</v>
      </c>
      <c r="F1731" s="33"/>
      <c r="G1731" s="34">
        <v>46021.0</v>
      </c>
      <c r="H1731" s="11">
        <f>SUMIFS(X!$F$3:$F$5978,X!$D$3:$D$5978,'Current Stock'!A1731)</f>
        <v>4</v>
      </c>
      <c r="I1731" s="11">
        <f>SUMIFS(PENJUALAN!$E$4:$E$3651,PENJUALAN!$C$4:$C$3651,'Current Stock'!A1731)</f>
        <v>4</v>
      </c>
      <c r="J1731" s="15">
        <f t="shared" si="2"/>
        <v>0</v>
      </c>
      <c r="K1731" s="13" t="s">
        <v>1700</v>
      </c>
      <c r="L1731" s="13"/>
      <c r="M1731" s="16">
        <v>1.0</v>
      </c>
      <c r="N1731" s="13" t="s">
        <v>1973</v>
      </c>
      <c r="O1731" s="45"/>
      <c r="P1731" s="45"/>
    </row>
    <row r="1732" ht="13.5" customHeight="1">
      <c r="A1732" s="11" t="str">
        <f t="shared" si="1"/>
        <v>LFW-T31MU</v>
      </c>
      <c r="B1732" s="32" t="s">
        <v>992</v>
      </c>
      <c r="C1732" s="33" t="s">
        <v>993</v>
      </c>
      <c r="D1732" s="33" t="s">
        <v>60</v>
      </c>
      <c r="E1732" s="11" t="s">
        <v>1633</v>
      </c>
      <c r="F1732" s="33" t="s">
        <v>1634</v>
      </c>
      <c r="G1732" s="14">
        <v>45988.0</v>
      </c>
      <c r="H1732" s="11">
        <f>SUMIFS(X!$F$3:$F$5978,X!$D$3:$D$5978,'Current Stock'!A1732)</f>
        <v>0</v>
      </c>
      <c r="I1732" s="11">
        <f>SUMIFS(PENJUALAN!$E$4:$E$3651,PENJUALAN!$C$4:$C$3651,'Current Stock'!A1732)</f>
        <v>0</v>
      </c>
      <c r="J1732" s="15">
        <f t="shared" si="2"/>
        <v>0</v>
      </c>
      <c r="K1732" s="13"/>
      <c r="L1732" s="13"/>
      <c r="M1732" s="16">
        <v>1.0</v>
      </c>
      <c r="N1732" s="13"/>
      <c r="O1732" s="45"/>
      <c r="P1732" s="45"/>
    </row>
    <row r="1733" ht="13.5" customHeight="1">
      <c r="A1733" s="11" t="str">
        <f t="shared" si="1"/>
        <v>LFW-EXORAMU</v>
      </c>
      <c r="B1733" s="32" t="s">
        <v>1663</v>
      </c>
      <c r="C1733" s="33" t="s">
        <v>1664</v>
      </c>
      <c r="D1733" s="33" t="s">
        <v>60</v>
      </c>
      <c r="E1733" s="11" t="s">
        <v>1633</v>
      </c>
      <c r="F1733" s="33" t="s">
        <v>137</v>
      </c>
      <c r="G1733" s="11"/>
      <c r="H1733" s="11">
        <f>SUMIFS(X!$F$3:$F$5978,X!$D$3:$D$5978,'Current Stock'!A1733)</f>
        <v>0</v>
      </c>
      <c r="I1733" s="11">
        <f>SUMIFS(PENJUALAN!$E$4:$E$3651,PENJUALAN!$C$4:$C$3651,'Current Stock'!A1733)</f>
        <v>0</v>
      </c>
      <c r="J1733" s="15">
        <f t="shared" si="2"/>
        <v>0</v>
      </c>
      <c r="K1733" s="11"/>
      <c r="L1733" s="11"/>
      <c r="M1733" s="11"/>
      <c r="N1733" s="11"/>
      <c r="O1733" s="17"/>
      <c r="P1733" s="17"/>
    </row>
    <row r="1734" ht="13.5" customHeight="1">
      <c r="A1734" s="11" t="str">
        <f t="shared" si="1"/>
        <v>LFW-APVMU</v>
      </c>
      <c r="B1734" s="32" t="s">
        <v>1023</v>
      </c>
      <c r="C1734" s="33" t="s">
        <v>1980</v>
      </c>
      <c r="D1734" s="33" t="s">
        <v>60</v>
      </c>
      <c r="E1734" s="11" t="s">
        <v>1633</v>
      </c>
      <c r="F1734" s="33" t="s">
        <v>109</v>
      </c>
      <c r="G1734" s="14">
        <v>45988.0</v>
      </c>
      <c r="H1734" s="11">
        <f>SUMIFS(X!$F$3:$F$5978,X!$D$3:$D$5978,'Current Stock'!A1734)</f>
        <v>10</v>
      </c>
      <c r="I1734" s="11">
        <f>SUMIFS(PENJUALAN!$E$4:$E$3651,PENJUALAN!$C$4:$C$3651,'Current Stock'!A1734)</f>
        <v>10</v>
      </c>
      <c r="J1734" s="15">
        <f t="shared" si="2"/>
        <v>0</v>
      </c>
      <c r="K1734" s="13" t="s">
        <v>1616</v>
      </c>
      <c r="L1734" s="13"/>
      <c r="M1734" s="16">
        <v>3.0</v>
      </c>
      <c r="N1734" s="11"/>
      <c r="O1734" s="17"/>
      <c r="P1734" s="17"/>
    </row>
    <row r="1735" ht="13.5" customHeight="1">
      <c r="A1735" s="11" t="str">
        <f t="shared" si="1"/>
        <v>TRW-APVVANMU</v>
      </c>
      <c r="B1735" s="32" t="s">
        <v>1981</v>
      </c>
      <c r="C1735" s="35" t="s">
        <v>1982</v>
      </c>
      <c r="D1735" s="35" t="s">
        <v>62</v>
      </c>
      <c r="E1735" s="11" t="s">
        <v>1633</v>
      </c>
      <c r="F1735" s="33"/>
      <c r="G1735" s="11"/>
      <c r="H1735" s="11">
        <f>SUMIFS(X!$F$3:$F$5978,X!$D$3:$D$5978,'Current Stock'!A1735)</f>
        <v>2</v>
      </c>
      <c r="I1735" s="11">
        <f>SUMIFS(PENJUALAN!$E$4:$E$3651,PENJUALAN!$C$4:$C$3651,'Current Stock'!A1735)</f>
        <v>2</v>
      </c>
      <c r="J1735" s="15">
        <f t="shared" si="2"/>
        <v>0</v>
      </c>
      <c r="K1735" s="13" t="s">
        <v>1648</v>
      </c>
      <c r="L1735" s="13"/>
      <c r="M1735" s="16">
        <v>3.0</v>
      </c>
      <c r="N1735" s="11"/>
      <c r="O1735" s="17"/>
      <c r="P1735" s="17"/>
    </row>
    <row r="1736" ht="13.5" customHeight="1">
      <c r="A1736" s="11" t="str">
        <f t="shared" si="1"/>
        <v>LFW-BALENO96MU</v>
      </c>
      <c r="B1736" s="32" t="s">
        <v>1687</v>
      </c>
      <c r="C1736" s="35" t="s">
        <v>1688</v>
      </c>
      <c r="D1736" s="35" t="s">
        <v>60</v>
      </c>
      <c r="E1736" s="11" t="s">
        <v>1633</v>
      </c>
      <c r="F1736" s="33" t="s">
        <v>1891</v>
      </c>
      <c r="G1736" s="11"/>
      <c r="H1736" s="11">
        <f>SUMIFS(X!$F$3:$F$5978,X!$D$3:$D$5978,'Current Stock'!A1736)</f>
        <v>0</v>
      </c>
      <c r="I1736" s="11">
        <f>SUMIFS(PENJUALAN!$E$4:$E$3651,PENJUALAN!$C$4:$C$3651,'Current Stock'!A1736)</f>
        <v>0</v>
      </c>
      <c r="J1736" s="15">
        <f t="shared" si="2"/>
        <v>0</v>
      </c>
      <c r="K1736" s="13" t="s">
        <v>1648</v>
      </c>
      <c r="L1736" s="13"/>
      <c r="M1736" s="16">
        <v>1.0</v>
      </c>
      <c r="N1736" s="11"/>
      <c r="O1736" s="17"/>
      <c r="P1736" s="17"/>
    </row>
    <row r="1737" ht="13.5" customHeight="1">
      <c r="A1737" s="11" t="str">
        <f t="shared" si="1"/>
        <v>LFW-CARRYFUTURAMU</v>
      </c>
      <c r="B1737" s="32" t="s">
        <v>1706</v>
      </c>
      <c r="C1737" s="33" t="s">
        <v>1707</v>
      </c>
      <c r="D1737" s="33" t="s">
        <v>60</v>
      </c>
      <c r="E1737" s="11" t="s">
        <v>1633</v>
      </c>
      <c r="F1737" s="33"/>
      <c r="G1737" s="34">
        <v>45988.0</v>
      </c>
      <c r="H1737" s="11">
        <f>SUMIFS(X!$F$3:$F$5978,X!$D$3:$D$5978,'Current Stock'!A1737)</f>
        <v>2</v>
      </c>
      <c r="I1737" s="11">
        <f>SUMIFS(PENJUALAN!$E$4:$E$3651,PENJUALAN!$C$4:$C$3651,'Current Stock'!A1737)</f>
        <v>2</v>
      </c>
      <c r="J1737" s="15">
        <f t="shared" si="2"/>
        <v>0</v>
      </c>
      <c r="K1737" s="13"/>
      <c r="L1737" s="13"/>
      <c r="M1737" s="16">
        <v>2.0</v>
      </c>
      <c r="N1737" s="11"/>
      <c r="O1737" s="17"/>
      <c r="P1737" s="17"/>
    </row>
    <row r="1738" ht="13.5" customHeight="1">
      <c r="A1738" s="11" t="str">
        <f t="shared" si="1"/>
        <v>FDL-CARRYFUTURAMU</v>
      </c>
      <c r="B1738" s="32" t="s">
        <v>1983</v>
      </c>
      <c r="C1738" s="77" t="s">
        <v>1984</v>
      </c>
      <c r="D1738" s="33" t="s">
        <v>104</v>
      </c>
      <c r="E1738" s="11" t="s">
        <v>1633</v>
      </c>
      <c r="F1738" s="33"/>
      <c r="G1738" s="14">
        <v>45988.0</v>
      </c>
      <c r="H1738" s="11">
        <f>SUMIFS(X!$F$3:$F$5978,X!$D$3:$D$5978,'Current Stock'!A1738)</f>
        <v>0</v>
      </c>
      <c r="I1738" s="11">
        <f>SUMIFS(PENJUALAN!$E$4:$E$3651,PENJUALAN!$C$4:$C$3651,'Current Stock'!A1738)</f>
        <v>0</v>
      </c>
      <c r="J1738" s="15">
        <f t="shared" si="2"/>
        <v>0</v>
      </c>
      <c r="K1738" s="13"/>
      <c r="L1738" s="11"/>
      <c r="M1738" s="16">
        <v>1.0</v>
      </c>
      <c r="N1738" s="11"/>
      <c r="O1738" s="17"/>
      <c r="P1738" s="17"/>
    </row>
    <row r="1739" ht="13.5" customHeight="1">
      <c r="A1739" s="11" t="str">
        <f t="shared" si="1"/>
        <v>FDR-CARRYFUTURAMU</v>
      </c>
      <c r="B1739" s="32" t="s">
        <v>1985</v>
      </c>
      <c r="C1739" s="77" t="s">
        <v>1984</v>
      </c>
      <c r="D1739" s="33" t="s">
        <v>106</v>
      </c>
      <c r="E1739" s="11" t="s">
        <v>1633</v>
      </c>
      <c r="F1739" s="33"/>
      <c r="G1739" s="14">
        <v>45988.0</v>
      </c>
      <c r="H1739" s="11">
        <f>SUMIFS(X!$F$3:$F$5978,X!$D$3:$D$5978,'Current Stock'!A1739)</f>
        <v>2</v>
      </c>
      <c r="I1739" s="11">
        <f>SUMIFS(PENJUALAN!$E$4:$E$3651,PENJUALAN!$C$4:$C$3651,'Current Stock'!A1739)</f>
        <v>2</v>
      </c>
      <c r="J1739" s="15">
        <f t="shared" si="2"/>
        <v>0</v>
      </c>
      <c r="K1739" s="13"/>
      <c r="L1739" s="11"/>
      <c r="M1739" s="16">
        <v>1.0</v>
      </c>
      <c r="N1739" s="11"/>
      <c r="O1739" s="17"/>
      <c r="P1739" s="17"/>
    </row>
    <row r="1740" ht="13.5" customHeight="1">
      <c r="A1740" s="11" t="str">
        <f t="shared" si="1"/>
        <v>LFW-AGYA23MU</v>
      </c>
      <c r="B1740" s="36" t="s">
        <v>1986</v>
      </c>
      <c r="C1740" s="79" t="s">
        <v>1987</v>
      </c>
      <c r="D1740" s="41" t="s">
        <v>60</v>
      </c>
      <c r="E1740" s="13" t="s">
        <v>1633</v>
      </c>
      <c r="F1740" s="31" t="s">
        <v>109</v>
      </c>
      <c r="G1740" s="11"/>
      <c r="H1740" s="11">
        <f>SUMIFS(X!$F$3:$F$5978,X!$D$3:$D$5978,'Current Stock'!A1740)</f>
        <v>2</v>
      </c>
      <c r="I1740" s="11">
        <f>SUMIFS(PENJUALAN!$E$4:$E$3651,PENJUALAN!$C$4:$C$3651,'Current Stock'!A1740)</f>
        <v>2</v>
      </c>
      <c r="J1740" s="15">
        <f t="shared" si="2"/>
        <v>0</v>
      </c>
      <c r="K1740" s="13"/>
      <c r="L1740" s="13"/>
      <c r="M1740" s="16"/>
      <c r="N1740" s="13" t="s">
        <v>1988</v>
      </c>
      <c r="O1740" s="17"/>
      <c r="P1740" s="17"/>
    </row>
    <row r="1741" ht="13.5" customHeight="1">
      <c r="A1741" s="11" t="str">
        <f t="shared" si="1"/>
        <v>LFW-ERTIGA12MU</v>
      </c>
      <c r="B1741" s="32" t="s">
        <v>1025</v>
      </c>
      <c r="C1741" s="33" t="s">
        <v>1026</v>
      </c>
      <c r="D1741" s="33" t="s">
        <v>60</v>
      </c>
      <c r="E1741" s="11" t="s">
        <v>1633</v>
      </c>
      <c r="F1741" s="33" t="s">
        <v>109</v>
      </c>
      <c r="G1741" s="34"/>
      <c r="H1741" s="11">
        <f>SUMIFS(X!$F$3:$F$5978,X!$D$3:$D$5978,'Current Stock'!A1741)</f>
        <v>4</v>
      </c>
      <c r="I1741" s="11">
        <f>SUMIFS(PENJUALAN!$E$4:$E$3651,PENJUALAN!$C$4:$C$3651,'Current Stock'!A1741)</f>
        <v>4</v>
      </c>
      <c r="J1741" s="15">
        <f t="shared" si="2"/>
        <v>0</v>
      </c>
      <c r="K1741" s="13"/>
      <c r="L1741" s="13"/>
      <c r="M1741" s="16">
        <v>2.0</v>
      </c>
      <c r="N1741" s="11"/>
      <c r="O1741" s="17"/>
      <c r="P1741" s="17"/>
    </row>
    <row r="1742" ht="13.5" customHeight="1">
      <c r="A1742" s="11" t="str">
        <f t="shared" si="1"/>
        <v>LFW-ERTIGA18MU</v>
      </c>
      <c r="B1742" s="32" t="s">
        <v>1708</v>
      </c>
      <c r="C1742" s="31" t="s">
        <v>1709</v>
      </c>
      <c r="D1742" s="33" t="s">
        <v>60</v>
      </c>
      <c r="E1742" s="11" t="s">
        <v>1633</v>
      </c>
      <c r="F1742" s="33"/>
      <c r="G1742" s="34"/>
      <c r="H1742" s="11">
        <f>SUMIFS(X!$F$3:$F$5978,X!$D$3:$D$5978,'Current Stock'!A1742)</f>
        <v>15</v>
      </c>
      <c r="I1742" s="11">
        <f>SUMIFS(PENJUALAN!$E$4:$E$3651,PENJUALAN!$C$4:$C$3651,'Current Stock'!A1742)</f>
        <v>11</v>
      </c>
      <c r="J1742" s="15">
        <f t="shared" si="2"/>
        <v>4</v>
      </c>
      <c r="K1742" s="13"/>
      <c r="L1742" s="13"/>
      <c r="M1742" s="16">
        <v>1.0</v>
      </c>
      <c r="N1742" s="11"/>
      <c r="O1742" s="17"/>
      <c r="P1742" s="17"/>
    </row>
    <row r="1743" ht="13.5" customHeight="1">
      <c r="A1743" s="11" t="str">
        <f t="shared" si="1"/>
        <v>FDL-ERTIGA18MU</v>
      </c>
      <c r="B1743" s="36" t="s">
        <v>1989</v>
      </c>
      <c r="C1743" s="33" t="s">
        <v>1990</v>
      </c>
      <c r="D1743" s="35" t="s">
        <v>140</v>
      </c>
      <c r="E1743" s="11" t="s">
        <v>1633</v>
      </c>
      <c r="F1743" s="33"/>
      <c r="G1743" s="11"/>
      <c r="H1743" s="11">
        <f>SUMIFS(X!$F$3:$F$5978,X!$D$3:$D$5978,'Current Stock'!A1743)</f>
        <v>1</v>
      </c>
      <c r="I1743" s="11">
        <f>SUMIFS(PENJUALAN!$E$4:$E$3651,PENJUALAN!$C$4:$C$3651,'Current Stock'!A1743)</f>
        <v>1</v>
      </c>
      <c r="J1743" s="15">
        <f t="shared" si="2"/>
        <v>0</v>
      </c>
      <c r="K1743" s="13" t="s">
        <v>1648</v>
      </c>
      <c r="L1743" s="13"/>
      <c r="M1743" s="11"/>
      <c r="N1743" s="11"/>
      <c r="O1743" s="17"/>
      <c r="P1743" s="17"/>
    </row>
    <row r="1744" ht="13.5" customHeight="1">
      <c r="A1744" s="11" t="str">
        <f t="shared" si="1"/>
        <v>FDR-ERTIGA18MU</v>
      </c>
      <c r="B1744" s="36" t="s">
        <v>1991</v>
      </c>
      <c r="C1744" s="33" t="s">
        <v>1990</v>
      </c>
      <c r="D1744" s="35" t="s">
        <v>142</v>
      </c>
      <c r="E1744" s="11" t="s">
        <v>1633</v>
      </c>
      <c r="F1744" s="33"/>
      <c r="G1744" s="11"/>
      <c r="H1744" s="11">
        <f>SUMIFS(X!$F$3:$F$5978,X!$D$3:$D$5978,'Current Stock'!A1744)</f>
        <v>1</v>
      </c>
      <c r="I1744" s="11">
        <f>SUMIFS(PENJUALAN!$E$4:$E$3651,PENJUALAN!$C$4:$C$3651,'Current Stock'!A1744)</f>
        <v>1</v>
      </c>
      <c r="J1744" s="15">
        <f t="shared" si="2"/>
        <v>0</v>
      </c>
      <c r="K1744" s="13"/>
      <c r="L1744" s="13"/>
      <c r="M1744" s="11"/>
      <c r="N1744" s="11"/>
      <c r="O1744" s="17"/>
      <c r="P1744" s="17"/>
    </row>
    <row r="1745" ht="13.5" customHeight="1">
      <c r="A1745" s="11" t="str">
        <f t="shared" si="1"/>
        <v>RDL-ERTIGA18MU</v>
      </c>
      <c r="B1745" s="36" t="s">
        <v>1992</v>
      </c>
      <c r="C1745" s="33" t="s">
        <v>1990</v>
      </c>
      <c r="D1745" s="35" t="s">
        <v>144</v>
      </c>
      <c r="E1745" s="11" t="s">
        <v>1633</v>
      </c>
      <c r="F1745" s="33"/>
      <c r="G1745" s="11"/>
      <c r="H1745" s="11">
        <f>SUMIFS(X!$F$3:$F$5978,X!$D$3:$D$5978,'Current Stock'!A1745)</f>
        <v>2</v>
      </c>
      <c r="I1745" s="11">
        <f>SUMIFS(PENJUALAN!$E$4:$E$3651,PENJUALAN!$C$4:$C$3651,'Current Stock'!A1745)</f>
        <v>0</v>
      </c>
      <c r="J1745" s="15">
        <f t="shared" si="2"/>
        <v>2</v>
      </c>
      <c r="K1745" s="13"/>
      <c r="L1745" s="13"/>
      <c r="M1745" s="11"/>
      <c r="N1745" s="11"/>
      <c r="O1745" s="17"/>
      <c r="P1745" s="17"/>
    </row>
    <row r="1746" ht="13.5" customHeight="1">
      <c r="A1746" s="11" t="str">
        <f t="shared" si="1"/>
        <v>RDR-ERTIGA18MU</v>
      </c>
      <c r="B1746" s="36" t="s">
        <v>1993</v>
      </c>
      <c r="C1746" s="33" t="s">
        <v>1990</v>
      </c>
      <c r="D1746" s="35" t="s">
        <v>146</v>
      </c>
      <c r="E1746" s="11" t="s">
        <v>1633</v>
      </c>
      <c r="F1746" s="33"/>
      <c r="G1746" s="14">
        <v>45988.0</v>
      </c>
      <c r="H1746" s="11">
        <f>SUMIFS(X!$F$3:$F$5978,X!$D$3:$D$5978,'Current Stock'!A1746)</f>
        <v>1</v>
      </c>
      <c r="I1746" s="11">
        <f>SUMIFS(PENJUALAN!$E$4:$E$3651,PENJUALAN!$C$4:$C$3651,'Current Stock'!A1746)</f>
        <v>1</v>
      </c>
      <c r="J1746" s="15">
        <f t="shared" si="2"/>
        <v>0</v>
      </c>
      <c r="K1746" s="13"/>
      <c r="L1746" s="13"/>
      <c r="M1746" s="11"/>
      <c r="N1746" s="11"/>
      <c r="O1746" s="17"/>
      <c r="P1746" s="17"/>
    </row>
    <row r="1747" ht="13.5" customHeight="1">
      <c r="A1747" s="11" t="str">
        <f t="shared" si="1"/>
        <v>LFW-ESTEEMMU</v>
      </c>
      <c r="B1747" s="32" t="s">
        <v>1994</v>
      </c>
      <c r="C1747" s="35" t="s">
        <v>1995</v>
      </c>
      <c r="D1747" s="35" t="s">
        <v>60</v>
      </c>
      <c r="E1747" s="11" t="s">
        <v>1633</v>
      </c>
      <c r="F1747" s="33"/>
      <c r="G1747" s="11"/>
      <c r="H1747" s="11">
        <f>SUMIFS(X!$F$3:$F$5978,X!$D$3:$D$5978,'Current Stock'!A1747)</f>
        <v>0</v>
      </c>
      <c r="I1747" s="11">
        <f>SUMIFS(PENJUALAN!$E$4:$E$3651,PENJUALAN!$C$4:$C$3651,'Current Stock'!A1747)</f>
        <v>0</v>
      </c>
      <c r="J1747" s="15">
        <f t="shared" si="2"/>
        <v>0</v>
      </c>
      <c r="K1747" s="11"/>
      <c r="L1747" s="11"/>
      <c r="M1747" s="11"/>
      <c r="N1747" s="11"/>
      <c r="O1747" s="17"/>
      <c r="P1747" s="17"/>
    </row>
    <row r="1748" ht="13.5" customHeight="1">
      <c r="A1748" s="11" t="str">
        <f t="shared" si="1"/>
        <v>LFW-ESCUDO00MU</v>
      </c>
      <c r="B1748" s="32" t="s">
        <v>1711</v>
      </c>
      <c r="C1748" s="35" t="s">
        <v>1712</v>
      </c>
      <c r="D1748" s="35" t="s">
        <v>60</v>
      </c>
      <c r="E1748" s="11" t="s">
        <v>1633</v>
      </c>
      <c r="F1748" s="33" t="s">
        <v>137</v>
      </c>
      <c r="G1748" s="11"/>
      <c r="H1748" s="11">
        <f>SUMIFS(X!$F$3:$F$5978,X!$D$3:$D$5978,'Current Stock'!A1748)</f>
        <v>0</v>
      </c>
      <c r="I1748" s="11">
        <f>SUMIFS(PENJUALAN!$E$4:$E$3651,PENJUALAN!$C$4:$C$3651,'Current Stock'!A1748)</f>
        <v>0</v>
      </c>
      <c r="J1748" s="15">
        <f t="shared" si="2"/>
        <v>0</v>
      </c>
      <c r="K1748" s="13"/>
      <c r="L1748" s="13"/>
      <c r="M1748" s="11"/>
      <c r="N1748" s="11"/>
      <c r="O1748" s="17"/>
      <c r="P1748" s="17"/>
    </row>
    <row r="1749" ht="13.5" customHeight="1">
      <c r="A1749" s="11" t="str">
        <f t="shared" si="1"/>
        <v>LFW-IGNISMU</v>
      </c>
      <c r="B1749" s="32" t="s">
        <v>1718</v>
      </c>
      <c r="C1749" s="35" t="s">
        <v>1719</v>
      </c>
      <c r="D1749" s="33" t="s">
        <v>60</v>
      </c>
      <c r="E1749" s="11" t="s">
        <v>1633</v>
      </c>
      <c r="F1749" s="33" t="s">
        <v>109</v>
      </c>
      <c r="G1749" s="34"/>
      <c r="H1749" s="11">
        <f>SUMIFS(X!$F$3:$F$5978,X!$D$3:$D$5978,'Current Stock'!A1749)</f>
        <v>3</v>
      </c>
      <c r="I1749" s="11">
        <f>SUMIFS(PENJUALAN!$E$4:$E$3651,PENJUALAN!$C$4:$C$3651,'Current Stock'!A1749)</f>
        <v>3</v>
      </c>
      <c r="J1749" s="15">
        <f t="shared" si="2"/>
        <v>0</v>
      </c>
      <c r="K1749" s="13" t="s">
        <v>1761</v>
      </c>
      <c r="L1749" s="11"/>
      <c r="M1749" s="11"/>
      <c r="N1749" s="11"/>
      <c r="O1749" s="17"/>
      <c r="P1749" s="17"/>
    </row>
    <row r="1750" ht="13.5" customHeight="1">
      <c r="A1750" s="11" t="str">
        <f t="shared" si="1"/>
        <v>LFW-KATANAG84MU</v>
      </c>
      <c r="B1750" s="36" t="s">
        <v>1996</v>
      </c>
      <c r="C1750" s="35" t="s">
        <v>1997</v>
      </c>
      <c r="D1750" s="35" t="s">
        <v>60</v>
      </c>
      <c r="E1750" s="11" t="s">
        <v>1633</v>
      </c>
      <c r="F1750" s="33"/>
      <c r="G1750" s="11"/>
      <c r="H1750" s="11">
        <f>SUMIFS(X!$F$3:$F$5978,X!$D$3:$D$5978,'Current Stock'!A1750)</f>
        <v>2</v>
      </c>
      <c r="I1750" s="11">
        <f>SUMIFS(PENJUALAN!$E$4:$E$3651,PENJUALAN!$C$4:$C$3651,'Current Stock'!A1750)</f>
        <v>2</v>
      </c>
      <c r="J1750" s="15">
        <f t="shared" si="2"/>
        <v>0</v>
      </c>
      <c r="K1750" s="13"/>
      <c r="L1750" s="13"/>
      <c r="M1750" s="11"/>
      <c r="N1750" s="11"/>
      <c r="O1750" s="17"/>
      <c r="P1750" s="17"/>
    </row>
    <row r="1751" ht="13.5" customHeight="1">
      <c r="A1751" s="11" t="str">
        <f t="shared" si="1"/>
        <v>LFW-SPLASHMU</v>
      </c>
      <c r="B1751" s="32" t="s">
        <v>1027</v>
      </c>
      <c r="C1751" s="33" t="s">
        <v>1028</v>
      </c>
      <c r="D1751" s="33" t="s">
        <v>60</v>
      </c>
      <c r="E1751" s="11" t="s">
        <v>1633</v>
      </c>
      <c r="F1751" s="33" t="s">
        <v>109</v>
      </c>
      <c r="G1751" s="11"/>
      <c r="H1751" s="11">
        <f>SUMIFS(X!$F$3:$F$5978,X!$D$3:$D$5978,'Current Stock'!A1751)</f>
        <v>0</v>
      </c>
      <c r="I1751" s="11">
        <f>SUMIFS(PENJUALAN!$E$4:$E$3651,PENJUALAN!$C$4:$C$3651,'Current Stock'!A1751)</f>
        <v>0</v>
      </c>
      <c r="J1751" s="15">
        <f t="shared" si="2"/>
        <v>0</v>
      </c>
      <c r="K1751" s="13"/>
      <c r="L1751" s="13"/>
      <c r="M1751" s="16">
        <v>1.0</v>
      </c>
      <c r="N1751" s="11"/>
      <c r="O1751" s="17"/>
      <c r="P1751" s="17"/>
    </row>
    <row r="1752" ht="13.5" customHeight="1">
      <c r="A1752" s="11" t="str">
        <f t="shared" si="1"/>
        <v>SWL-AVANZA11MU</v>
      </c>
      <c r="B1752" s="32" t="s">
        <v>1998</v>
      </c>
      <c r="C1752" s="31" t="s">
        <v>1749</v>
      </c>
      <c r="D1752" s="33" t="s">
        <v>1410</v>
      </c>
      <c r="E1752" s="11" t="s">
        <v>1633</v>
      </c>
      <c r="F1752" s="33"/>
      <c r="G1752" s="14">
        <v>45988.0</v>
      </c>
      <c r="H1752" s="11">
        <f>SUMIFS(X!$F$3:$F$5978,X!$D$3:$D$5978,'Current Stock'!A1752)</f>
        <v>23</v>
      </c>
      <c r="I1752" s="11">
        <f>SUMIFS(PENJUALAN!$E$4:$E$3651,PENJUALAN!$C$4:$C$3651,'Current Stock'!A1752)</f>
        <v>9</v>
      </c>
      <c r="J1752" s="15">
        <f t="shared" si="2"/>
        <v>14</v>
      </c>
      <c r="K1752" s="13" t="s">
        <v>1760</v>
      </c>
      <c r="L1752" s="13"/>
      <c r="M1752" s="16">
        <v>2.0</v>
      </c>
      <c r="N1752" s="11"/>
      <c r="O1752" s="45"/>
      <c r="P1752" s="45"/>
    </row>
    <row r="1753" ht="13.5" customHeight="1">
      <c r="A1753" s="11" t="str">
        <f t="shared" si="1"/>
        <v>LFW-VITARA88MU</v>
      </c>
      <c r="B1753" s="32" t="s">
        <v>1999</v>
      </c>
      <c r="C1753" s="35" t="s">
        <v>2000</v>
      </c>
      <c r="D1753" s="35" t="s">
        <v>60</v>
      </c>
      <c r="E1753" s="11" t="s">
        <v>1633</v>
      </c>
      <c r="F1753" s="33"/>
      <c r="G1753" s="11"/>
      <c r="H1753" s="11">
        <f>SUMIFS(X!$F$3:$F$5978,X!$D$3:$D$5978,'Current Stock'!A1753)</f>
        <v>1</v>
      </c>
      <c r="I1753" s="11">
        <f>SUMIFS(PENJUALAN!$E$4:$E$3651,PENJUALAN!$C$4:$C$3651,'Current Stock'!A1753)</f>
        <v>1</v>
      </c>
      <c r="J1753" s="15">
        <f t="shared" si="2"/>
        <v>0</v>
      </c>
      <c r="K1753" s="13"/>
      <c r="L1753" s="13"/>
      <c r="M1753" s="16">
        <v>1.0</v>
      </c>
      <c r="N1753" s="11"/>
      <c r="O1753" s="17"/>
      <c r="P1753" s="17"/>
    </row>
    <row r="1754" ht="13.5" customHeight="1">
      <c r="A1754" s="11" t="str">
        <f t="shared" si="1"/>
        <v>LFW-WAGONRMU</v>
      </c>
      <c r="B1754" s="32" t="s">
        <v>2001</v>
      </c>
      <c r="C1754" s="35" t="s">
        <v>1736</v>
      </c>
      <c r="D1754" s="35" t="s">
        <v>60</v>
      </c>
      <c r="E1754" s="11" t="s">
        <v>1633</v>
      </c>
      <c r="F1754" s="33"/>
      <c r="G1754" s="11"/>
      <c r="H1754" s="11">
        <f>SUMIFS(X!$F$3:$F$5978,X!$D$3:$D$5978,'Current Stock'!A1754)</f>
        <v>1</v>
      </c>
      <c r="I1754" s="11">
        <f>SUMIFS(PENJUALAN!$E$4:$E$3651,PENJUALAN!$C$4:$C$3651,'Current Stock'!A1754)</f>
        <v>1</v>
      </c>
      <c r="J1754" s="15">
        <f t="shared" si="2"/>
        <v>0</v>
      </c>
      <c r="K1754" s="13" t="s">
        <v>1639</v>
      </c>
      <c r="L1754" s="13"/>
      <c r="M1754" s="16">
        <v>1.0</v>
      </c>
      <c r="N1754" s="13" t="s">
        <v>2002</v>
      </c>
      <c r="O1754" s="45"/>
      <c r="P1754" s="45"/>
    </row>
    <row r="1755" ht="13.5" customHeight="1">
      <c r="A1755" s="13" t="s">
        <v>2003</v>
      </c>
      <c r="B1755" s="36" t="s">
        <v>2004</v>
      </c>
      <c r="C1755" s="79" t="s">
        <v>2005</v>
      </c>
      <c r="D1755" s="35" t="s">
        <v>60</v>
      </c>
      <c r="E1755" s="11" t="s">
        <v>1633</v>
      </c>
      <c r="F1755" s="33" t="s">
        <v>109</v>
      </c>
      <c r="G1755" s="34">
        <v>45988.0</v>
      </c>
      <c r="H1755" s="11">
        <f>SUMIFS(X!$F$3:$F$5978,X!$D$3:$D$5978,'Current Stock'!A1755)</f>
        <v>50</v>
      </c>
      <c r="I1755" s="11">
        <f>SUMIFS(PENJUALAN!$E$4:$E$3651,PENJUALAN!$C$4:$C$3651,'Current Stock'!A1755)</f>
        <v>49</v>
      </c>
      <c r="J1755" s="15">
        <f t="shared" si="2"/>
        <v>1</v>
      </c>
      <c r="K1755" s="13" t="s">
        <v>1760</v>
      </c>
      <c r="L1755" s="13"/>
      <c r="M1755" s="16">
        <v>3.0</v>
      </c>
      <c r="N1755" s="11"/>
      <c r="O1755" s="17"/>
      <c r="P1755" s="17"/>
    </row>
    <row r="1756" ht="13.5" customHeight="1">
      <c r="A1756" s="11" t="str">
        <f t="shared" ref="A1756:A1777" si="3">CONCATENATE(B1756,E1756)</f>
        <v>LFW-KAPSUL97MU</v>
      </c>
      <c r="B1756" s="32" t="s">
        <v>1833</v>
      </c>
      <c r="C1756" s="33" t="s">
        <v>1834</v>
      </c>
      <c r="D1756" s="33" t="s">
        <v>60</v>
      </c>
      <c r="E1756" s="11" t="s">
        <v>1633</v>
      </c>
      <c r="F1756" s="33"/>
      <c r="G1756" s="11"/>
      <c r="H1756" s="11">
        <f>SUMIFS(X!$F$3:$F$5978,X!$D$3:$D$5978,'Current Stock'!A1756)</f>
        <v>1</v>
      </c>
      <c r="I1756" s="11">
        <f>SUMIFS(PENJUALAN!$E$4:$E$3651,PENJUALAN!$C$4:$C$3651,'Current Stock'!A1756)</f>
        <v>1</v>
      </c>
      <c r="J1756" s="15">
        <f t="shared" si="2"/>
        <v>0</v>
      </c>
      <c r="K1756" s="13"/>
      <c r="L1756" s="13"/>
      <c r="M1756" s="16">
        <v>1.0</v>
      </c>
      <c r="N1756" s="11"/>
      <c r="O1756" s="45"/>
      <c r="P1756" s="45"/>
    </row>
    <row r="1757" ht="13.5" customHeight="1">
      <c r="A1757" s="11" t="str">
        <f t="shared" si="3"/>
        <v>LFW-ALTIS00MU</v>
      </c>
      <c r="B1757" s="32" t="s">
        <v>1073</v>
      </c>
      <c r="C1757" s="67" t="s">
        <v>1074</v>
      </c>
      <c r="D1757" s="35" t="s">
        <v>60</v>
      </c>
      <c r="E1757" s="11" t="s">
        <v>1633</v>
      </c>
      <c r="F1757" s="33"/>
      <c r="G1757" s="11"/>
      <c r="H1757" s="11">
        <f>SUMIFS(X!$F$3:$F$5978,X!$D$3:$D$5978,'Current Stock'!A1757)</f>
        <v>0</v>
      </c>
      <c r="I1757" s="11">
        <f>SUMIFS(PENJUALAN!$E$4:$E$3651,PENJUALAN!$C$4:$C$3651,'Current Stock'!A1757)</f>
        <v>0</v>
      </c>
      <c r="J1757" s="15">
        <f t="shared" si="2"/>
        <v>0</v>
      </c>
      <c r="K1757" s="13" t="s">
        <v>1760</v>
      </c>
      <c r="L1757" s="11"/>
      <c r="M1757" s="16">
        <v>1.0</v>
      </c>
      <c r="N1757" s="11"/>
      <c r="O1757" s="17"/>
      <c r="P1757" s="17"/>
    </row>
    <row r="1758" ht="13.5" customHeight="1">
      <c r="A1758" s="11" t="str">
        <f t="shared" si="3"/>
        <v>LFW-AVANZA03MU</v>
      </c>
      <c r="B1758" s="32" t="s">
        <v>1097</v>
      </c>
      <c r="C1758" s="33" t="s">
        <v>81</v>
      </c>
      <c r="D1758" s="33" t="s">
        <v>60</v>
      </c>
      <c r="E1758" s="11" t="s">
        <v>1633</v>
      </c>
      <c r="F1758" s="33" t="s">
        <v>109</v>
      </c>
      <c r="G1758" s="34">
        <v>45988.0</v>
      </c>
      <c r="H1758" s="11">
        <f>SUMIFS(X!$F$3:$F$5978,X!$D$3:$D$5978,'Current Stock'!A1758)</f>
        <v>32</v>
      </c>
      <c r="I1758" s="11">
        <f>SUMIFS(PENJUALAN!$E$4:$E$3651,PENJUALAN!$C$4:$C$3651,'Current Stock'!A1758)</f>
        <v>31</v>
      </c>
      <c r="J1758" s="15">
        <f t="shared" si="2"/>
        <v>1</v>
      </c>
      <c r="K1758" s="13"/>
      <c r="L1758" s="13"/>
      <c r="M1758" s="16">
        <v>3.0</v>
      </c>
      <c r="N1758" s="13" t="s">
        <v>2006</v>
      </c>
      <c r="O1758" s="45"/>
      <c r="P1758" s="45"/>
    </row>
    <row r="1759" ht="13.5" customHeight="1">
      <c r="A1759" s="11" t="str">
        <f t="shared" si="3"/>
        <v>SWL-AVANZA03MU</v>
      </c>
      <c r="B1759" s="32" t="s">
        <v>2007</v>
      </c>
      <c r="C1759" s="33" t="s">
        <v>81</v>
      </c>
      <c r="D1759" s="33" t="s">
        <v>1410</v>
      </c>
      <c r="E1759" s="11" t="s">
        <v>1633</v>
      </c>
      <c r="F1759" s="33"/>
      <c r="G1759" s="11"/>
      <c r="H1759" s="11">
        <f>SUMIFS(X!$F$3:$F$5978,X!$D$3:$D$5978,'Current Stock'!A1759)</f>
        <v>20</v>
      </c>
      <c r="I1759" s="11">
        <f>SUMIFS(PENJUALAN!$E$4:$E$3651,PENJUALAN!$C$4:$C$3651,'Current Stock'!A1759)</f>
        <v>1</v>
      </c>
      <c r="J1759" s="15">
        <f t="shared" si="2"/>
        <v>19</v>
      </c>
      <c r="K1759" s="13" t="s">
        <v>1760</v>
      </c>
      <c r="L1759" s="13"/>
      <c r="M1759" s="16">
        <v>2.0</v>
      </c>
      <c r="N1759" s="11"/>
      <c r="O1759" s="17"/>
      <c r="P1759" s="17"/>
    </row>
    <row r="1760" ht="13.5" customHeight="1">
      <c r="A1760" s="11" t="str">
        <f t="shared" si="3"/>
        <v>SWR-AVANZA03MU</v>
      </c>
      <c r="B1760" s="32" t="s">
        <v>2008</v>
      </c>
      <c r="C1760" s="33" t="s">
        <v>81</v>
      </c>
      <c r="D1760" s="33" t="s">
        <v>116</v>
      </c>
      <c r="E1760" s="11" t="s">
        <v>1633</v>
      </c>
      <c r="F1760" s="33"/>
      <c r="G1760" s="14">
        <v>45988.0</v>
      </c>
      <c r="H1760" s="11">
        <f>SUMIFS(X!$F$3:$F$5978,X!$D$3:$D$5978,'Current Stock'!A1760)</f>
        <v>2</v>
      </c>
      <c r="I1760" s="11">
        <f>SUMIFS(PENJUALAN!$E$4:$E$3651,PENJUALAN!$C$4:$C$3651,'Current Stock'!A1760)</f>
        <v>0</v>
      </c>
      <c r="J1760" s="15">
        <f t="shared" si="2"/>
        <v>2</v>
      </c>
      <c r="K1760" s="13" t="s">
        <v>1760</v>
      </c>
      <c r="L1760" s="13"/>
      <c r="M1760" s="16">
        <v>2.0</v>
      </c>
      <c r="N1760" s="11"/>
      <c r="O1760" s="17"/>
      <c r="P1760" s="17"/>
    </row>
    <row r="1761" ht="13.5" customHeight="1">
      <c r="A1761" s="11" t="str">
        <f t="shared" si="3"/>
        <v>LFW-AVANZA11MU</v>
      </c>
      <c r="B1761" s="32" t="s">
        <v>1099</v>
      </c>
      <c r="C1761" s="33" t="s">
        <v>1100</v>
      </c>
      <c r="D1761" s="33" t="s">
        <v>60</v>
      </c>
      <c r="E1761" s="11" t="s">
        <v>1633</v>
      </c>
      <c r="F1761" s="33" t="s">
        <v>109</v>
      </c>
      <c r="G1761" s="34"/>
      <c r="H1761" s="11">
        <f>SUMIFS(X!$F$3:$F$5978,X!$D$3:$D$5978,'Current Stock'!A1761)</f>
        <v>34</v>
      </c>
      <c r="I1761" s="11">
        <f>SUMIFS(PENJUALAN!$E$4:$E$3651,PENJUALAN!$C$4:$C$3651,'Current Stock'!A1761)</f>
        <v>34</v>
      </c>
      <c r="J1761" s="15">
        <f t="shared" si="2"/>
        <v>0</v>
      </c>
      <c r="K1761" s="13" t="s">
        <v>1639</v>
      </c>
      <c r="L1761" s="13"/>
      <c r="M1761" s="16">
        <v>3.0</v>
      </c>
      <c r="N1761" s="13" t="s">
        <v>2009</v>
      </c>
      <c r="O1761" s="45"/>
      <c r="P1761" s="45"/>
    </row>
    <row r="1762" ht="13.5" customHeight="1">
      <c r="A1762" s="11" t="str">
        <f t="shared" si="3"/>
        <v>LFW-VIOS02MU</v>
      </c>
      <c r="B1762" s="32" t="s">
        <v>1836</v>
      </c>
      <c r="C1762" s="33" t="s">
        <v>1263</v>
      </c>
      <c r="D1762" s="33" t="s">
        <v>60</v>
      </c>
      <c r="E1762" s="11" t="s">
        <v>1633</v>
      </c>
      <c r="F1762" s="33" t="s">
        <v>137</v>
      </c>
      <c r="G1762" s="14">
        <v>45988.0</v>
      </c>
      <c r="H1762" s="11">
        <f>SUMIFS(X!$F$3:$F$5978,X!$D$3:$D$5978,'Current Stock'!A1762)</f>
        <v>1</v>
      </c>
      <c r="I1762" s="11">
        <f>SUMIFS(PENJUALAN!$E$4:$E$3651,PENJUALAN!$C$4:$C$3651,'Current Stock'!A1762)</f>
        <v>1</v>
      </c>
      <c r="J1762" s="15">
        <f t="shared" si="2"/>
        <v>0</v>
      </c>
      <c r="K1762" s="13" t="s">
        <v>1137</v>
      </c>
      <c r="L1762" s="13"/>
      <c r="M1762" s="16">
        <v>1.0</v>
      </c>
      <c r="N1762" s="11"/>
      <c r="O1762" s="17"/>
      <c r="P1762" s="17"/>
    </row>
    <row r="1763" ht="13.5" customHeight="1">
      <c r="A1763" s="23" t="str">
        <f t="shared" si="3"/>
        <v>FDL-INNOVA15ASH</v>
      </c>
      <c r="B1763" s="24" t="s">
        <v>2010</v>
      </c>
      <c r="C1763" s="80" t="s">
        <v>1172</v>
      </c>
      <c r="D1763" s="23" t="s">
        <v>104</v>
      </c>
      <c r="E1763" s="23" t="s">
        <v>93</v>
      </c>
      <c r="F1763" s="23" t="s">
        <v>406</v>
      </c>
      <c r="G1763" s="81">
        <v>45988.0</v>
      </c>
      <c r="H1763" s="11">
        <f>SUMIFS(X!$F$3:$F$5978,X!$D$3:$D$5978,'Current Stock'!A1763)</f>
        <v>3</v>
      </c>
      <c r="I1763" s="11">
        <f>SUMIFS(PENJUALAN!$E$4:$E$3651,PENJUALAN!$C$4:$C$3651,'Current Stock'!A1763)</f>
        <v>2</v>
      </c>
      <c r="J1763" s="15">
        <f t="shared" si="2"/>
        <v>1</v>
      </c>
      <c r="K1763" s="25"/>
      <c r="L1763" s="25"/>
      <c r="M1763" s="26"/>
      <c r="N1763" s="23"/>
      <c r="O1763" s="17"/>
      <c r="P1763" s="17"/>
    </row>
    <row r="1764" ht="13.5" customHeight="1">
      <c r="A1764" s="11" t="str">
        <f t="shared" si="3"/>
        <v>SWR-AVANZA11MU</v>
      </c>
      <c r="B1764" s="32" t="s">
        <v>2011</v>
      </c>
      <c r="C1764" s="31" t="s">
        <v>1749</v>
      </c>
      <c r="D1764" s="33" t="s">
        <v>116</v>
      </c>
      <c r="E1764" s="11" t="s">
        <v>1633</v>
      </c>
      <c r="F1764" s="33"/>
      <c r="G1764" s="14">
        <v>45988.0</v>
      </c>
      <c r="H1764" s="11">
        <f>SUMIFS(X!$F$3:$F$5978,X!$D$3:$D$5978,'Current Stock'!A1764)</f>
        <v>20</v>
      </c>
      <c r="I1764" s="11">
        <f>SUMIFS(PENJUALAN!$E$4:$E$3651,PENJUALAN!$C$4:$C$3651,'Current Stock'!A1764)</f>
        <v>8</v>
      </c>
      <c r="J1764" s="15">
        <f t="shared" si="2"/>
        <v>12</v>
      </c>
      <c r="K1764" s="13"/>
      <c r="L1764" s="13"/>
      <c r="M1764" s="16">
        <v>2.0</v>
      </c>
      <c r="N1764" s="11"/>
      <c r="O1764" s="17"/>
      <c r="P1764" s="17"/>
    </row>
    <row r="1765" ht="13.5" customHeight="1">
      <c r="A1765" s="11" t="str">
        <f t="shared" si="3"/>
        <v>SWR-AVANZA11MU</v>
      </c>
      <c r="B1765" s="32" t="s">
        <v>2011</v>
      </c>
      <c r="C1765" s="33" t="s">
        <v>1103</v>
      </c>
      <c r="D1765" s="33" t="s">
        <v>60</v>
      </c>
      <c r="E1765" s="11" t="s">
        <v>1633</v>
      </c>
      <c r="F1765" s="33" t="s">
        <v>109</v>
      </c>
      <c r="G1765" s="34">
        <v>45988.0</v>
      </c>
      <c r="H1765" s="11">
        <f>SUMIFS(X!$F$3:$F$5978,X!$D$3:$D$5978,'Current Stock'!A1765)</f>
        <v>20</v>
      </c>
      <c r="I1765" s="11">
        <f>SUMIFS(PENJUALAN!$E$4:$E$3651,PENJUALAN!$C$4:$C$3651,'Current Stock'!A1765)</f>
        <v>8</v>
      </c>
      <c r="J1765" s="15">
        <f t="shared" si="2"/>
        <v>12</v>
      </c>
      <c r="K1765" s="13" t="s">
        <v>1761</v>
      </c>
      <c r="L1765" s="13"/>
      <c r="M1765" s="16">
        <v>3.0</v>
      </c>
      <c r="N1765" s="13" t="s">
        <v>2012</v>
      </c>
      <c r="O1765" s="45"/>
      <c r="P1765" s="45"/>
    </row>
    <row r="1766" ht="13.5" customHeight="1">
      <c r="A1766" s="11" t="str">
        <f t="shared" si="3"/>
        <v>LFW-AVANZA21MU</v>
      </c>
      <c r="B1766" s="48" t="s">
        <v>2013</v>
      </c>
      <c r="C1766" s="35" t="s">
        <v>2014</v>
      </c>
      <c r="D1766" s="35" t="s">
        <v>60</v>
      </c>
      <c r="E1766" s="11" t="s">
        <v>1633</v>
      </c>
      <c r="F1766" s="33" t="s">
        <v>137</v>
      </c>
      <c r="G1766" s="34"/>
      <c r="H1766" s="11">
        <f>SUMIFS(X!$F$3:$F$5978,X!$D$3:$D$5978,'Current Stock'!A1766)</f>
        <v>26</v>
      </c>
      <c r="I1766" s="11">
        <f>SUMIFS(PENJUALAN!$E$4:$E$3651,PENJUALAN!$C$4:$C$3651,'Current Stock'!A1766)</f>
        <v>22</v>
      </c>
      <c r="J1766" s="15">
        <f t="shared" si="2"/>
        <v>4</v>
      </c>
      <c r="K1766" s="13" t="s">
        <v>1761</v>
      </c>
      <c r="L1766" s="13"/>
      <c r="M1766" s="16">
        <v>1.0</v>
      </c>
      <c r="N1766" s="11"/>
      <c r="O1766" s="17"/>
      <c r="P1766" s="17"/>
    </row>
    <row r="1767" ht="13.5" customHeight="1">
      <c r="A1767" s="11" t="str">
        <f t="shared" si="3"/>
        <v>LFW-SIGRA16MU</v>
      </c>
      <c r="B1767" s="36" t="s">
        <v>2015</v>
      </c>
      <c r="C1767" s="35" t="s">
        <v>2016</v>
      </c>
      <c r="D1767" s="35" t="s">
        <v>60</v>
      </c>
      <c r="E1767" s="11" t="s">
        <v>1633</v>
      </c>
      <c r="F1767" s="33"/>
      <c r="G1767" s="34"/>
      <c r="H1767" s="11">
        <f>SUMIFS(X!$F$3:$F$5978,X!$D$3:$D$5978,'Current Stock'!A1767)</f>
        <v>75</v>
      </c>
      <c r="I1767" s="11">
        <f>SUMIFS(PENJUALAN!$E$4:$E$3651,PENJUALAN!$C$4:$C$3651,'Current Stock'!A1767)</f>
        <v>67</v>
      </c>
      <c r="J1767" s="15">
        <f t="shared" si="2"/>
        <v>8</v>
      </c>
      <c r="K1767" s="13" t="s">
        <v>1759</v>
      </c>
      <c r="L1767" s="13"/>
      <c r="M1767" s="16">
        <v>3.0</v>
      </c>
      <c r="N1767" s="13" t="s">
        <v>2017</v>
      </c>
      <c r="O1767" s="45"/>
      <c r="P1767" s="45"/>
    </row>
    <row r="1768" ht="13.5" customHeight="1">
      <c r="A1768" s="11" t="str">
        <f t="shared" si="3"/>
        <v>TRW-SIGRA16MU</v>
      </c>
      <c r="B1768" s="49" t="s">
        <v>2018</v>
      </c>
      <c r="C1768" s="35" t="s">
        <v>2016</v>
      </c>
      <c r="D1768" s="35" t="s">
        <v>62</v>
      </c>
      <c r="E1768" s="11" t="s">
        <v>1633</v>
      </c>
      <c r="F1768" s="33"/>
      <c r="G1768" s="34">
        <v>46021.0</v>
      </c>
      <c r="H1768" s="11">
        <f>SUMIFS(X!$F$3:$F$5978,X!$D$3:$D$5978,'Current Stock'!A1768)</f>
        <v>53</v>
      </c>
      <c r="I1768" s="11">
        <f>SUMIFS(PENJUALAN!$E$4:$E$3651,PENJUALAN!$C$4:$C$3651,'Current Stock'!A1768)</f>
        <v>49</v>
      </c>
      <c r="J1768" s="15">
        <f t="shared" si="2"/>
        <v>4</v>
      </c>
      <c r="K1768" s="13"/>
      <c r="L1768" s="13"/>
      <c r="M1768" s="16">
        <v>2.0</v>
      </c>
      <c r="N1768" s="13" t="s">
        <v>2019</v>
      </c>
      <c r="O1768" s="17"/>
      <c r="P1768" s="17"/>
    </row>
    <row r="1769" ht="13.5" customHeight="1">
      <c r="A1769" s="11" t="str">
        <f t="shared" si="3"/>
        <v>SWL-SIGRA16MU</v>
      </c>
      <c r="B1769" s="32" t="s">
        <v>2020</v>
      </c>
      <c r="C1769" s="33" t="s">
        <v>2016</v>
      </c>
      <c r="D1769" s="33" t="s">
        <v>1410</v>
      </c>
      <c r="E1769" s="11" t="s">
        <v>1633</v>
      </c>
      <c r="F1769" s="33"/>
      <c r="G1769" s="14">
        <v>45988.0</v>
      </c>
      <c r="H1769" s="11">
        <f>SUMIFS(X!$F$3:$F$5978,X!$D$3:$D$5978,'Current Stock'!A1769)</f>
        <v>20</v>
      </c>
      <c r="I1769" s="11">
        <f>SUMIFS(PENJUALAN!$E$4:$E$3651,PENJUALAN!$C$4:$C$3651,'Current Stock'!A1769)</f>
        <v>12</v>
      </c>
      <c r="J1769" s="15">
        <f t="shared" si="2"/>
        <v>8</v>
      </c>
      <c r="K1769" s="13"/>
      <c r="L1769" s="13"/>
      <c r="M1769" s="16">
        <v>1.0</v>
      </c>
      <c r="N1769" s="11"/>
      <c r="O1769" s="17"/>
      <c r="P1769" s="17"/>
    </row>
    <row r="1770" ht="13.5" customHeight="1">
      <c r="A1770" s="11" t="str">
        <f t="shared" si="3"/>
        <v>SWR-SIGRA16MU</v>
      </c>
      <c r="B1770" s="32" t="s">
        <v>2021</v>
      </c>
      <c r="C1770" s="33" t="s">
        <v>2016</v>
      </c>
      <c r="D1770" s="33" t="s">
        <v>116</v>
      </c>
      <c r="E1770" s="11" t="s">
        <v>1633</v>
      </c>
      <c r="F1770" s="33"/>
      <c r="G1770" s="11"/>
      <c r="H1770" s="11">
        <f>SUMIFS(X!$F$3:$F$5978,X!$D$3:$D$5978,'Current Stock'!A1770)</f>
        <v>20</v>
      </c>
      <c r="I1770" s="11">
        <f>SUMIFS(PENJUALAN!$E$4:$E$3651,PENJUALAN!$C$4:$C$3651,'Current Stock'!A1770)</f>
        <v>6</v>
      </c>
      <c r="J1770" s="15">
        <f t="shared" si="2"/>
        <v>14</v>
      </c>
      <c r="K1770" s="13"/>
      <c r="L1770" s="13"/>
      <c r="M1770" s="16">
        <v>1.0</v>
      </c>
      <c r="N1770" s="11"/>
      <c r="O1770" s="17"/>
      <c r="P1770" s="17"/>
    </row>
    <row r="1771" ht="13.5" customHeight="1">
      <c r="A1771" s="11" t="str">
        <f t="shared" si="3"/>
        <v>FDL-SIGRA16MU</v>
      </c>
      <c r="B1771" s="32" t="s">
        <v>2022</v>
      </c>
      <c r="C1771" s="33" t="s">
        <v>2016</v>
      </c>
      <c r="D1771" s="33" t="s">
        <v>104</v>
      </c>
      <c r="E1771" s="11" t="s">
        <v>1633</v>
      </c>
      <c r="F1771" s="31" t="s">
        <v>406</v>
      </c>
      <c r="G1771" s="11"/>
      <c r="H1771" s="11">
        <f>SUMIFS(X!$F$3:$F$5978,X!$D$3:$D$5978,'Current Stock'!A1771)</f>
        <v>0</v>
      </c>
      <c r="I1771" s="11">
        <f>SUMIFS(PENJUALAN!$E$4:$E$3651,PENJUALAN!$C$4:$C$3651,'Current Stock'!A1771)</f>
        <v>0</v>
      </c>
      <c r="J1771" s="15">
        <f t="shared" si="2"/>
        <v>0</v>
      </c>
      <c r="K1771" s="13"/>
      <c r="L1771" s="13"/>
      <c r="M1771" s="16">
        <v>1.0</v>
      </c>
      <c r="N1771" s="68"/>
      <c r="O1771" s="68"/>
      <c r="P1771" s="68"/>
    </row>
    <row r="1772" ht="13.5" customHeight="1">
      <c r="A1772" s="11" t="str">
        <f t="shared" si="3"/>
        <v>FDR-SIGRA16MU</v>
      </c>
      <c r="B1772" s="32" t="s">
        <v>2023</v>
      </c>
      <c r="C1772" s="33" t="s">
        <v>2016</v>
      </c>
      <c r="D1772" s="33" t="s">
        <v>106</v>
      </c>
      <c r="E1772" s="11" t="s">
        <v>1633</v>
      </c>
      <c r="F1772" s="31" t="s">
        <v>406</v>
      </c>
      <c r="G1772" s="34"/>
      <c r="H1772" s="11">
        <f>SUMIFS(X!$F$3:$F$5978,X!$D$3:$D$5978,'Current Stock'!A1772)</f>
        <v>4</v>
      </c>
      <c r="I1772" s="11">
        <f>SUMIFS(PENJUALAN!$E$4:$E$3651,PENJUALAN!$C$4:$C$3651,'Current Stock'!A1772)</f>
        <v>4</v>
      </c>
      <c r="J1772" s="15">
        <f t="shared" si="2"/>
        <v>0</v>
      </c>
      <c r="K1772" s="13" t="s">
        <v>1757</v>
      </c>
      <c r="L1772" s="13"/>
      <c r="M1772" s="16">
        <v>1.0</v>
      </c>
      <c r="N1772" s="45" t="s">
        <v>2024</v>
      </c>
      <c r="O1772" s="45"/>
      <c r="P1772" s="45"/>
    </row>
    <row r="1773" ht="13.5" customHeight="1">
      <c r="A1773" s="11" t="str">
        <f t="shared" si="3"/>
        <v>LFW-CAMRY11RSMU</v>
      </c>
      <c r="B1773" s="48" t="s">
        <v>1118</v>
      </c>
      <c r="C1773" s="67" t="s">
        <v>1117</v>
      </c>
      <c r="D1773" s="35" t="s">
        <v>60</v>
      </c>
      <c r="E1773" s="11" t="s">
        <v>1633</v>
      </c>
      <c r="F1773" s="33" t="s">
        <v>2025</v>
      </c>
      <c r="G1773" s="11"/>
      <c r="H1773" s="11">
        <f>SUMIFS(X!$F$3:$F$5978,X!$D$3:$D$5978,'Current Stock'!A1773)</f>
        <v>1</v>
      </c>
      <c r="I1773" s="11">
        <f>SUMIFS(PENJUALAN!$E$4:$E$3651,PENJUALAN!$C$4:$C$3651,'Current Stock'!A1773)</f>
        <v>1</v>
      </c>
      <c r="J1773" s="15">
        <f t="shared" si="2"/>
        <v>0</v>
      </c>
      <c r="K1773" s="13" t="s">
        <v>1757</v>
      </c>
      <c r="L1773" s="11"/>
      <c r="M1773" s="16">
        <v>1.0</v>
      </c>
      <c r="N1773" s="11"/>
      <c r="O1773" s="17"/>
      <c r="P1773" s="17"/>
    </row>
    <row r="1774" ht="13.5" customHeight="1">
      <c r="A1774" s="11" t="str">
        <f t="shared" si="3"/>
        <v>LFW-COROLLA83MU</v>
      </c>
      <c r="B1774" s="48" t="s">
        <v>2026</v>
      </c>
      <c r="C1774" s="67" t="s">
        <v>2027</v>
      </c>
      <c r="D1774" s="35" t="s">
        <v>60</v>
      </c>
      <c r="E1774" s="11" t="s">
        <v>1633</v>
      </c>
      <c r="F1774" s="33" t="s">
        <v>1938</v>
      </c>
      <c r="G1774" s="11"/>
      <c r="H1774" s="11">
        <f>SUMIFS(X!$F$3:$F$5978,X!$D$3:$D$5978,'Current Stock'!A1774)</f>
        <v>0</v>
      </c>
      <c r="I1774" s="11">
        <f>SUMIFS(PENJUALAN!$E$4:$E$3651,PENJUALAN!$C$4:$C$3651,'Current Stock'!A1774)</f>
        <v>0</v>
      </c>
      <c r="J1774" s="15">
        <f t="shared" si="2"/>
        <v>0</v>
      </c>
      <c r="K1774" s="13"/>
      <c r="L1774" s="11"/>
      <c r="M1774" s="11"/>
      <c r="N1774" s="11"/>
      <c r="O1774" s="17"/>
      <c r="P1774" s="17"/>
    </row>
    <row r="1775" ht="13.5" customHeight="1">
      <c r="A1775" s="11" t="str">
        <f t="shared" si="3"/>
        <v>LFW-COROLLA87MU</v>
      </c>
      <c r="B1775" s="48" t="s">
        <v>1772</v>
      </c>
      <c r="C1775" s="67" t="s">
        <v>1123</v>
      </c>
      <c r="D1775" s="35" t="s">
        <v>60</v>
      </c>
      <c r="E1775" s="11" t="s">
        <v>1633</v>
      </c>
      <c r="F1775" s="33" t="s">
        <v>1912</v>
      </c>
      <c r="G1775" s="14">
        <v>45988.0</v>
      </c>
      <c r="H1775" s="11">
        <f>SUMIFS(X!$F$3:$F$5978,X!$D$3:$D$5978,'Current Stock'!A1775)</f>
        <v>0</v>
      </c>
      <c r="I1775" s="11">
        <f>SUMIFS(PENJUALAN!$E$4:$E$3651,PENJUALAN!$C$4:$C$3651,'Current Stock'!A1775)</f>
        <v>0</v>
      </c>
      <c r="J1775" s="15">
        <f t="shared" si="2"/>
        <v>0</v>
      </c>
      <c r="K1775" s="13"/>
      <c r="L1775" s="13"/>
      <c r="M1775" s="16">
        <v>1.0</v>
      </c>
      <c r="N1775" s="11"/>
      <c r="O1775" s="17"/>
      <c r="P1775" s="17"/>
    </row>
    <row r="1776" ht="13.5" customHeight="1">
      <c r="A1776" s="11" t="str">
        <f t="shared" si="3"/>
        <v>LFW-COROLLA91MU</v>
      </c>
      <c r="B1776" s="48" t="s">
        <v>1124</v>
      </c>
      <c r="C1776" s="67" t="s">
        <v>1125</v>
      </c>
      <c r="D1776" s="35" t="s">
        <v>60</v>
      </c>
      <c r="E1776" s="11" t="s">
        <v>1633</v>
      </c>
      <c r="F1776" s="33" t="s">
        <v>1912</v>
      </c>
      <c r="G1776" s="14">
        <v>45988.0</v>
      </c>
      <c r="H1776" s="11">
        <f>SUMIFS(X!$F$3:$F$5978,X!$D$3:$D$5978,'Current Stock'!A1776)</f>
        <v>0</v>
      </c>
      <c r="I1776" s="11">
        <f>SUMIFS(PENJUALAN!$E$4:$E$3651,PENJUALAN!$C$4:$C$3651,'Current Stock'!A1776)</f>
        <v>0</v>
      </c>
      <c r="J1776" s="15">
        <f t="shared" si="2"/>
        <v>0</v>
      </c>
      <c r="K1776" s="13" t="s">
        <v>1616</v>
      </c>
      <c r="L1776" s="11"/>
      <c r="M1776" s="16">
        <v>1.0</v>
      </c>
      <c r="N1776" s="11"/>
      <c r="O1776" s="17"/>
      <c r="P1776" s="17"/>
    </row>
    <row r="1777" ht="13.5" customHeight="1">
      <c r="A1777" s="11" t="str">
        <f t="shared" si="3"/>
        <v>LFW-COROLLA95MU</v>
      </c>
      <c r="B1777" s="32" t="s">
        <v>1778</v>
      </c>
      <c r="C1777" s="33" t="s">
        <v>2028</v>
      </c>
      <c r="D1777" s="33" t="s">
        <v>60</v>
      </c>
      <c r="E1777" s="11" t="s">
        <v>1633</v>
      </c>
      <c r="F1777" s="33" t="s">
        <v>1912</v>
      </c>
      <c r="G1777" s="11"/>
      <c r="H1777" s="11">
        <f>SUMIFS(X!$F$3:$F$5978,X!$D$3:$D$5978,'Current Stock'!A1777)</f>
        <v>0</v>
      </c>
      <c r="I1777" s="11">
        <f>SUMIFS(PENJUALAN!$E$4:$E$3651,PENJUALAN!$C$4:$C$3651,'Current Stock'!A1777)</f>
        <v>0</v>
      </c>
      <c r="J1777" s="15">
        <f t="shared" si="2"/>
        <v>0</v>
      </c>
      <c r="K1777" s="13" t="s">
        <v>1757</v>
      </c>
      <c r="L1777" s="13"/>
      <c r="M1777" s="16">
        <v>1.0</v>
      </c>
      <c r="N1777" s="11"/>
      <c r="O1777" s="17"/>
      <c r="P1777" s="17"/>
    </row>
    <row r="1778" ht="13.5" customHeight="1">
      <c r="A1778" s="13" t="s">
        <v>2029</v>
      </c>
      <c r="B1778" s="32" t="s">
        <v>1131</v>
      </c>
      <c r="C1778" s="33" t="s">
        <v>1132</v>
      </c>
      <c r="D1778" s="33" t="s">
        <v>60</v>
      </c>
      <c r="E1778" s="11" t="s">
        <v>1633</v>
      </c>
      <c r="F1778" s="33" t="s">
        <v>1779</v>
      </c>
      <c r="G1778" s="34"/>
      <c r="H1778" s="11">
        <f>SUMIFS(X!$F$3:$F$5978,X!$D$3:$D$5978,'Current Stock'!A1778)</f>
        <v>5</v>
      </c>
      <c r="I1778" s="11">
        <f>SUMIFS(PENJUALAN!$E$4:$E$3651,PENJUALAN!$C$4:$C$3651,'Current Stock'!A1778)</f>
        <v>4</v>
      </c>
      <c r="J1778" s="15">
        <f t="shared" si="2"/>
        <v>1</v>
      </c>
      <c r="K1778" s="13" t="s">
        <v>1757</v>
      </c>
      <c r="L1778" s="13"/>
      <c r="M1778" s="16">
        <v>2.0</v>
      </c>
      <c r="N1778" s="13" t="s">
        <v>2030</v>
      </c>
      <c r="O1778" s="45"/>
      <c r="P1778" s="45"/>
    </row>
    <row r="1779" ht="13.5" customHeight="1">
      <c r="A1779" s="11" t="str">
        <f t="shared" ref="A1779:A2391" si="4">CONCATENATE(B1779,E1779)</f>
        <v>LFW-FORTUNER15MU</v>
      </c>
      <c r="B1779" s="32" t="s">
        <v>1142</v>
      </c>
      <c r="C1779" s="33" t="s">
        <v>1143</v>
      </c>
      <c r="D1779" s="33" t="s">
        <v>60</v>
      </c>
      <c r="E1779" s="11" t="s">
        <v>1633</v>
      </c>
      <c r="F1779" s="33" t="s">
        <v>1779</v>
      </c>
      <c r="G1779" s="34">
        <v>45988.0</v>
      </c>
      <c r="H1779" s="11">
        <f>SUMIFS(X!$F$3:$F$5978,X!$D$3:$D$5978,'Current Stock'!A1779)</f>
        <v>12</v>
      </c>
      <c r="I1779" s="11">
        <f>SUMIFS(PENJUALAN!$E$4:$E$3651,PENJUALAN!$C$4:$C$3651,'Current Stock'!A1779)</f>
        <v>10</v>
      </c>
      <c r="J1779" s="15">
        <f t="shared" si="2"/>
        <v>2</v>
      </c>
      <c r="K1779" s="13"/>
      <c r="L1779" s="11"/>
      <c r="M1779" s="16">
        <v>1.0</v>
      </c>
      <c r="N1779" s="11"/>
      <c r="O1779" s="17"/>
      <c r="P1779" s="17"/>
    </row>
    <row r="1780" ht="13.5" customHeight="1">
      <c r="A1780" s="11" t="str">
        <f t="shared" si="4"/>
        <v>LFW-HILUX05MU</v>
      </c>
      <c r="B1780" s="32" t="s">
        <v>1808</v>
      </c>
      <c r="C1780" s="33" t="s">
        <v>1159</v>
      </c>
      <c r="D1780" s="35" t="s">
        <v>60</v>
      </c>
      <c r="E1780" s="11" t="s">
        <v>1633</v>
      </c>
      <c r="F1780" s="33" t="s">
        <v>137</v>
      </c>
      <c r="G1780" s="14">
        <v>45988.0</v>
      </c>
      <c r="H1780" s="11">
        <f>SUMIFS(X!$F$3:$F$5978,X!$D$3:$D$5978,'Current Stock'!A1780)</f>
        <v>0</v>
      </c>
      <c r="I1780" s="11">
        <f>SUMIFS(PENJUALAN!$E$4:$E$3651,PENJUALAN!$C$4:$C$3651,'Current Stock'!A1780)</f>
        <v>0</v>
      </c>
      <c r="J1780" s="15">
        <f t="shared" si="2"/>
        <v>0</v>
      </c>
      <c r="K1780" s="13"/>
      <c r="L1780" s="11"/>
      <c r="M1780" s="16">
        <v>2.0</v>
      </c>
      <c r="N1780" s="11"/>
      <c r="O1780" s="17"/>
      <c r="P1780" s="17"/>
    </row>
    <row r="1781" ht="13.5" customHeight="1">
      <c r="A1781" s="11" t="str">
        <f t="shared" si="4"/>
        <v>LFW-HILUX15MU</v>
      </c>
      <c r="B1781" s="32" t="s">
        <v>1160</v>
      </c>
      <c r="C1781" s="31" t="s">
        <v>1161</v>
      </c>
      <c r="D1781" s="35" t="s">
        <v>60</v>
      </c>
      <c r="E1781" s="11" t="s">
        <v>1633</v>
      </c>
      <c r="F1781" s="33" t="s">
        <v>137</v>
      </c>
      <c r="G1781" s="11"/>
      <c r="H1781" s="11">
        <f>SUMIFS(X!$F$3:$F$5978,X!$D$3:$D$5978,'Current Stock'!A1781)</f>
        <v>1</v>
      </c>
      <c r="I1781" s="11">
        <f>SUMIFS(PENJUALAN!$E$4:$E$3651,PENJUALAN!$C$4:$C$3651,'Current Stock'!A1781)</f>
        <v>1</v>
      </c>
      <c r="J1781" s="15">
        <f t="shared" si="2"/>
        <v>0</v>
      </c>
      <c r="K1781" s="13" t="s">
        <v>1616</v>
      </c>
      <c r="L1781" s="13"/>
      <c r="M1781" s="16">
        <v>1.0</v>
      </c>
      <c r="N1781" s="11"/>
      <c r="O1781" s="17"/>
      <c r="P1781" s="17"/>
    </row>
    <row r="1782" ht="13.5" customHeight="1">
      <c r="A1782" s="11" t="str">
        <f t="shared" si="4"/>
        <v>LFW-INNOVA04MU</v>
      </c>
      <c r="B1782" s="32" t="s">
        <v>1164</v>
      </c>
      <c r="C1782" s="33" t="s">
        <v>1165</v>
      </c>
      <c r="D1782" s="33" t="s">
        <v>60</v>
      </c>
      <c r="E1782" s="11" t="s">
        <v>1633</v>
      </c>
      <c r="F1782" s="33" t="s">
        <v>137</v>
      </c>
      <c r="G1782" s="14">
        <v>46025.0</v>
      </c>
      <c r="H1782" s="11">
        <f>SUMIFS(X!$F$3:$F$5978,X!$D$3:$D$5978,'Current Stock'!A1782)</f>
        <v>14</v>
      </c>
      <c r="I1782" s="11">
        <f>SUMIFS(PENJUALAN!$E$4:$E$3651,PENJUALAN!$C$4:$C$3651,'Current Stock'!A1782)</f>
        <v>14</v>
      </c>
      <c r="J1782" s="15">
        <f t="shared" si="2"/>
        <v>0</v>
      </c>
      <c r="K1782" s="13" t="s">
        <v>1616</v>
      </c>
      <c r="L1782" s="13"/>
      <c r="M1782" s="16">
        <v>3.0</v>
      </c>
      <c r="N1782" s="11"/>
      <c r="O1782" s="17"/>
      <c r="P1782" s="17"/>
    </row>
    <row r="1783" ht="13.5" customHeight="1">
      <c r="A1783" s="11" t="str">
        <f t="shared" si="4"/>
        <v>LFW-INNOVA15MU</v>
      </c>
      <c r="B1783" s="32" t="s">
        <v>1171</v>
      </c>
      <c r="C1783" s="33" t="s">
        <v>1172</v>
      </c>
      <c r="D1783" s="33" t="s">
        <v>60</v>
      </c>
      <c r="E1783" s="11" t="s">
        <v>1633</v>
      </c>
      <c r="F1783" s="33" t="s">
        <v>137</v>
      </c>
      <c r="G1783" s="34"/>
      <c r="H1783" s="11">
        <f>SUMIFS(X!$F$3:$F$5978,X!$D$3:$D$5978,'Current Stock'!A1783)</f>
        <v>11</v>
      </c>
      <c r="I1783" s="11">
        <f>SUMIFS(PENJUALAN!$E$4:$E$3651,PENJUALAN!$C$4:$C$3651,'Current Stock'!A1783)</f>
        <v>10</v>
      </c>
      <c r="J1783" s="15">
        <f t="shared" si="2"/>
        <v>1</v>
      </c>
      <c r="K1783" s="13"/>
      <c r="L1783" s="13"/>
      <c r="M1783" s="16">
        <v>2.0</v>
      </c>
      <c r="N1783" s="11"/>
      <c r="O1783" s="17"/>
      <c r="P1783" s="17"/>
    </row>
    <row r="1784" ht="13.5" customHeight="1">
      <c r="A1784" s="11" t="str">
        <f t="shared" si="4"/>
        <v>LFW-KIJANGK125MU</v>
      </c>
      <c r="B1784" s="32" t="s">
        <v>2031</v>
      </c>
      <c r="C1784" s="31" t="s">
        <v>2032</v>
      </c>
      <c r="D1784" s="33" t="s">
        <v>60</v>
      </c>
      <c r="E1784" s="11" t="s">
        <v>1633</v>
      </c>
      <c r="F1784" s="33"/>
      <c r="G1784" s="11"/>
      <c r="H1784" s="11">
        <f>SUMIFS(X!$F$3:$F$5978,X!$D$3:$D$5978,'Current Stock'!A1784)</f>
        <v>1</v>
      </c>
      <c r="I1784" s="11">
        <f>SUMIFS(PENJUALAN!$E$4:$E$3651,PENJUALAN!$C$4:$C$3651,'Current Stock'!A1784)</f>
        <v>1</v>
      </c>
      <c r="J1784" s="15">
        <f t="shared" si="2"/>
        <v>0</v>
      </c>
      <c r="K1784" s="13"/>
      <c r="L1784" s="13"/>
      <c r="M1784" s="16">
        <v>1.0</v>
      </c>
      <c r="N1784" s="11"/>
      <c r="O1784" s="17"/>
      <c r="P1784" s="17"/>
    </row>
    <row r="1785" ht="13.5" customHeight="1">
      <c r="A1785" s="11" t="str">
        <f t="shared" si="4"/>
        <v>LFW-ALPHARD15FR</v>
      </c>
      <c r="B1785" s="13" t="s">
        <v>1071</v>
      </c>
      <c r="C1785" s="13" t="s">
        <v>1072</v>
      </c>
      <c r="D1785" s="13" t="s">
        <v>60</v>
      </c>
      <c r="E1785" s="13" t="s">
        <v>1429</v>
      </c>
      <c r="F1785" s="13" t="s">
        <v>90</v>
      </c>
      <c r="G1785" s="11"/>
      <c r="H1785" s="11">
        <f>SUMIFS(X!$F$3:$F$5978,X!$D$3:$D$5978,'Current Stock'!A1785)</f>
        <v>2</v>
      </c>
      <c r="I1785" s="11">
        <f>SUMIFS(PENJUALAN!$E$4:$E$3651,PENJUALAN!$C$4:$C$3651,'Current Stock'!A1785)</f>
        <v>2</v>
      </c>
      <c r="J1785" s="15">
        <f t="shared" si="2"/>
        <v>0</v>
      </c>
      <c r="K1785" s="13" t="s">
        <v>472</v>
      </c>
      <c r="L1785" s="13"/>
      <c r="M1785" s="44"/>
      <c r="N1785" s="44"/>
      <c r="O1785" s="17"/>
      <c r="P1785" s="17"/>
    </row>
    <row r="1786" ht="13.5" customHeight="1">
      <c r="A1786" s="11" t="str">
        <f t="shared" si="4"/>
        <v>LFW-KAPSUL02MU</v>
      </c>
      <c r="B1786" s="32" t="s">
        <v>1839</v>
      </c>
      <c r="C1786" s="33" t="s">
        <v>1840</v>
      </c>
      <c r="D1786" s="33" t="s">
        <v>60</v>
      </c>
      <c r="E1786" s="11" t="s">
        <v>1633</v>
      </c>
      <c r="F1786" s="33" t="s">
        <v>109</v>
      </c>
      <c r="G1786" s="11"/>
      <c r="H1786" s="11">
        <f>SUMIFS(X!$F$3:$F$5978,X!$D$3:$D$5978,'Current Stock'!A1786)</f>
        <v>0</v>
      </c>
      <c r="I1786" s="11">
        <f>SUMIFS(PENJUALAN!$E$4:$E$3651,PENJUALAN!$C$4:$C$3651,'Current Stock'!A1786)</f>
        <v>0</v>
      </c>
      <c r="J1786" s="15">
        <f t="shared" si="2"/>
        <v>0</v>
      </c>
      <c r="K1786" s="13" t="s">
        <v>472</v>
      </c>
      <c r="L1786" s="13"/>
      <c r="M1786" s="16">
        <v>1.0</v>
      </c>
      <c r="N1786" s="11"/>
      <c r="O1786" s="17"/>
      <c r="P1786" s="17"/>
    </row>
    <row r="1787" ht="13.5" customHeight="1">
      <c r="A1787" s="11" t="str">
        <f t="shared" si="4"/>
        <v>LFW-FJ40MU</v>
      </c>
      <c r="B1787" s="32" t="s">
        <v>1815</v>
      </c>
      <c r="C1787" s="33" t="s">
        <v>1816</v>
      </c>
      <c r="D1787" s="33" t="s">
        <v>60</v>
      </c>
      <c r="E1787" s="11" t="s">
        <v>1633</v>
      </c>
      <c r="F1787" s="33"/>
      <c r="G1787" s="11"/>
      <c r="H1787" s="11">
        <f>SUMIFS(X!$F$3:$F$5978,X!$D$3:$D$5978,'Current Stock'!A1787)</f>
        <v>0</v>
      </c>
      <c r="I1787" s="11">
        <f>SUMIFS(PENJUALAN!$E$4:$E$3651,PENJUALAN!$C$4:$C$3651,'Current Stock'!A1787)</f>
        <v>0</v>
      </c>
      <c r="J1787" s="15">
        <f t="shared" si="2"/>
        <v>0</v>
      </c>
      <c r="K1787" s="13" t="s">
        <v>1759</v>
      </c>
      <c r="L1787" s="13"/>
      <c r="M1787" s="16">
        <v>1.0</v>
      </c>
      <c r="N1787" s="11"/>
      <c r="O1787" s="17"/>
      <c r="P1787" s="17"/>
    </row>
    <row r="1788" ht="13.5" customHeight="1">
      <c r="A1788" s="11" t="str">
        <f t="shared" si="4"/>
        <v>LFW-FJ70HTOPMU</v>
      </c>
      <c r="B1788" s="32" t="s">
        <v>2033</v>
      </c>
      <c r="C1788" s="33" t="s">
        <v>2034</v>
      </c>
      <c r="D1788" s="35" t="s">
        <v>60</v>
      </c>
      <c r="E1788" s="11" t="s">
        <v>1633</v>
      </c>
      <c r="F1788" s="33"/>
      <c r="G1788" s="14">
        <v>45988.0</v>
      </c>
      <c r="H1788" s="11">
        <f>SUMIFS(X!$F$3:$F$5978,X!$D$3:$D$5978,'Current Stock'!A1788)</f>
        <v>0</v>
      </c>
      <c r="I1788" s="11">
        <f>SUMIFS(PENJUALAN!$E$4:$E$3651,PENJUALAN!$C$4:$C$3651,'Current Stock'!A1788)</f>
        <v>0</v>
      </c>
      <c r="J1788" s="15">
        <f t="shared" si="2"/>
        <v>0</v>
      </c>
      <c r="K1788" s="13"/>
      <c r="L1788" s="11"/>
      <c r="M1788" s="16">
        <v>1.0</v>
      </c>
      <c r="N1788" s="11"/>
      <c r="O1788" s="17"/>
      <c r="P1788" s="17"/>
    </row>
    <row r="1789" ht="13.5" customHeight="1">
      <c r="A1789" s="11" t="str">
        <f t="shared" si="4"/>
        <v>LFW-FJ80MU</v>
      </c>
      <c r="B1789" s="32" t="s">
        <v>1176</v>
      </c>
      <c r="C1789" s="33" t="s">
        <v>755</v>
      </c>
      <c r="D1789" s="35" t="s">
        <v>60</v>
      </c>
      <c r="E1789" s="11" t="s">
        <v>1633</v>
      </c>
      <c r="F1789" s="33"/>
      <c r="G1789" s="14">
        <v>45988.0</v>
      </c>
      <c r="H1789" s="11">
        <f>SUMIFS(X!$F$3:$F$5978,X!$D$3:$D$5978,'Current Stock'!A1789)</f>
        <v>1</v>
      </c>
      <c r="I1789" s="11">
        <f>SUMIFS(PENJUALAN!$E$4:$E$3651,PENJUALAN!$C$4:$C$3651,'Current Stock'!A1789)</f>
        <v>1</v>
      </c>
      <c r="J1789" s="15">
        <f t="shared" si="2"/>
        <v>0</v>
      </c>
      <c r="K1789" s="13" t="s">
        <v>1342</v>
      </c>
      <c r="L1789" s="11"/>
      <c r="M1789" s="16">
        <v>1.0</v>
      </c>
      <c r="N1789" s="11"/>
      <c r="O1789" s="17"/>
      <c r="P1789" s="17"/>
    </row>
    <row r="1790" ht="13.5" customHeight="1">
      <c r="A1790" s="11" t="str">
        <f t="shared" si="4"/>
        <v>LFW-RAIZEMU</v>
      </c>
      <c r="B1790" s="32" t="s">
        <v>2035</v>
      </c>
      <c r="C1790" s="33" t="s">
        <v>115</v>
      </c>
      <c r="D1790" s="33" t="s">
        <v>60</v>
      </c>
      <c r="E1790" s="11" t="s">
        <v>1633</v>
      </c>
      <c r="F1790" s="33" t="s">
        <v>137</v>
      </c>
      <c r="G1790" s="14">
        <v>45988.0</v>
      </c>
      <c r="H1790" s="11">
        <f>SUMIFS(X!$F$3:$F$5978,X!$D$3:$D$5978,'Current Stock'!A1790)</f>
        <v>14</v>
      </c>
      <c r="I1790" s="11">
        <f>SUMIFS(PENJUALAN!$E$4:$E$3651,PENJUALAN!$C$4:$C$3651,'Current Stock'!A1790)</f>
        <v>10</v>
      </c>
      <c r="J1790" s="15">
        <f t="shared" si="2"/>
        <v>4</v>
      </c>
      <c r="K1790" s="13"/>
      <c r="L1790" s="13"/>
      <c r="M1790" s="16">
        <v>1.0</v>
      </c>
      <c r="N1790" s="11"/>
      <c r="O1790" s="17"/>
      <c r="P1790" s="17"/>
    </row>
    <row r="1791" ht="13.5" customHeight="1">
      <c r="A1791" s="11" t="str">
        <f t="shared" si="4"/>
        <v>LFW-TERIOS06MU</v>
      </c>
      <c r="B1791" s="32" t="s">
        <v>1247</v>
      </c>
      <c r="C1791" s="33" t="s">
        <v>1248</v>
      </c>
      <c r="D1791" s="33" t="s">
        <v>60</v>
      </c>
      <c r="E1791" s="11" t="s">
        <v>1633</v>
      </c>
      <c r="F1791" s="33" t="s">
        <v>109</v>
      </c>
      <c r="G1791" s="34"/>
      <c r="H1791" s="11">
        <f>SUMIFS(X!$F$3:$F$5978,X!$D$3:$D$5978,'Current Stock'!A1791)</f>
        <v>13</v>
      </c>
      <c r="I1791" s="11">
        <f>SUMIFS(PENJUALAN!$E$4:$E$3651,PENJUALAN!$C$4:$C$3651,'Current Stock'!A1791)</f>
        <v>12</v>
      </c>
      <c r="J1791" s="15">
        <f t="shared" si="2"/>
        <v>1</v>
      </c>
      <c r="K1791" s="13" t="s">
        <v>472</v>
      </c>
      <c r="L1791" s="13"/>
      <c r="M1791" s="16">
        <v>3.0</v>
      </c>
      <c r="N1791" s="11"/>
      <c r="O1791" s="17"/>
      <c r="P1791" s="17"/>
    </row>
    <row r="1792" ht="13.5" customHeight="1">
      <c r="A1792" s="11" t="str">
        <f t="shared" si="4"/>
        <v>LFW-RUSH17MU</v>
      </c>
      <c r="B1792" s="32" t="s">
        <v>1830</v>
      </c>
      <c r="C1792" s="33" t="s">
        <v>1831</v>
      </c>
      <c r="D1792" s="33" t="s">
        <v>60</v>
      </c>
      <c r="E1792" s="11" t="s">
        <v>1633</v>
      </c>
      <c r="F1792" s="33" t="s">
        <v>109</v>
      </c>
      <c r="G1792" s="34"/>
      <c r="H1792" s="11">
        <f>SUMIFS(X!$F$3:$F$5978,X!$D$3:$D$5978,'Current Stock'!A1792)</f>
        <v>24</v>
      </c>
      <c r="I1792" s="11">
        <f>SUMIFS(PENJUALAN!$E$4:$E$3651,PENJUALAN!$C$4:$C$3651,'Current Stock'!A1792)</f>
        <v>24</v>
      </c>
      <c r="J1792" s="15">
        <f t="shared" si="2"/>
        <v>0</v>
      </c>
      <c r="K1792" s="13" t="s">
        <v>1137</v>
      </c>
      <c r="L1792" s="13"/>
      <c r="M1792" s="16">
        <v>3.0</v>
      </c>
      <c r="N1792" s="11"/>
      <c r="O1792" s="17"/>
      <c r="P1792" s="17"/>
    </row>
    <row r="1793" ht="13.5" customHeight="1">
      <c r="A1793" s="11" t="str">
        <f t="shared" si="4"/>
        <v>TRW-RUSH17HMU</v>
      </c>
      <c r="B1793" s="32" t="s">
        <v>1861</v>
      </c>
      <c r="C1793" s="33" t="s">
        <v>1831</v>
      </c>
      <c r="D1793" s="33" t="s">
        <v>62</v>
      </c>
      <c r="E1793" s="11" t="s">
        <v>1633</v>
      </c>
      <c r="F1793" s="33" t="s">
        <v>83</v>
      </c>
      <c r="G1793" s="34"/>
      <c r="H1793" s="11">
        <f>SUMIFS(X!$F$3:$F$5978,X!$D$3:$D$5978,'Current Stock'!A1793)</f>
        <v>25</v>
      </c>
      <c r="I1793" s="11">
        <f>SUMIFS(PENJUALAN!$E$4:$E$3651,PENJUALAN!$C$4:$C$3651,'Current Stock'!A1793)</f>
        <v>17</v>
      </c>
      <c r="J1793" s="15">
        <f t="shared" si="2"/>
        <v>8</v>
      </c>
      <c r="K1793" s="13" t="s">
        <v>1695</v>
      </c>
      <c r="L1793" s="13"/>
      <c r="M1793" s="16">
        <v>1.0</v>
      </c>
      <c r="N1793" s="11"/>
      <c r="O1793" s="17"/>
      <c r="P1793" s="17"/>
    </row>
    <row r="1794" ht="13.5" customHeight="1">
      <c r="A1794" s="11" t="str">
        <f t="shared" si="4"/>
        <v>LFW-SOLUNAMU</v>
      </c>
      <c r="B1794" s="32" t="s">
        <v>1255</v>
      </c>
      <c r="C1794" s="33" t="s">
        <v>1256</v>
      </c>
      <c r="D1794" s="33" t="s">
        <v>60</v>
      </c>
      <c r="E1794" s="11" t="s">
        <v>1633</v>
      </c>
      <c r="F1794" s="33" t="s">
        <v>109</v>
      </c>
      <c r="G1794" s="14">
        <v>45988.0</v>
      </c>
      <c r="H1794" s="11">
        <f>SUMIFS(X!$F$3:$F$5978,X!$D$3:$D$5978,'Current Stock'!A1794)</f>
        <v>0</v>
      </c>
      <c r="I1794" s="11">
        <f>SUMIFS(PENJUALAN!$E$4:$E$3651,PENJUALAN!$C$4:$C$3651,'Current Stock'!A1794)</f>
        <v>0</v>
      </c>
      <c r="J1794" s="15">
        <f t="shared" si="2"/>
        <v>0</v>
      </c>
      <c r="K1794" s="13"/>
      <c r="L1794" s="13"/>
      <c r="M1794" s="16">
        <v>1.0</v>
      </c>
      <c r="N1794" s="13" t="s">
        <v>2036</v>
      </c>
      <c r="O1794" s="45"/>
      <c r="P1794" s="45"/>
    </row>
    <row r="1795" ht="13.5" customHeight="1">
      <c r="A1795" s="11" t="str">
        <f t="shared" si="4"/>
        <v>LFW-T31FR</v>
      </c>
      <c r="B1795" s="13" t="s">
        <v>992</v>
      </c>
      <c r="C1795" s="13" t="s">
        <v>993</v>
      </c>
      <c r="D1795" s="13" t="s">
        <v>60</v>
      </c>
      <c r="E1795" s="13" t="s">
        <v>1429</v>
      </c>
      <c r="F1795" s="13" t="s">
        <v>137</v>
      </c>
      <c r="G1795" s="14">
        <v>45988.0</v>
      </c>
      <c r="H1795" s="11">
        <f>SUMIFS(X!$F$3:$F$5978,X!$D$3:$D$5978,'Current Stock'!A1795)</f>
        <v>1</v>
      </c>
      <c r="I1795" s="11">
        <f>SUMIFS(PENJUALAN!$E$4:$E$3651,PENJUALAN!$C$4:$C$3651,'Current Stock'!A1795)</f>
        <v>1</v>
      </c>
      <c r="J1795" s="15">
        <f t="shared" si="2"/>
        <v>0</v>
      </c>
      <c r="K1795" s="13" t="s">
        <v>472</v>
      </c>
      <c r="L1795" s="13"/>
      <c r="M1795" s="44"/>
      <c r="N1795" s="44"/>
      <c r="O1795" s="17"/>
      <c r="P1795" s="17"/>
    </row>
    <row r="1796" ht="13.5" customHeight="1">
      <c r="A1796" s="11" t="str">
        <f t="shared" si="4"/>
        <v>LFW-VIOS07MU</v>
      </c>
      <c r="B1796" s="32" t="s">
        <v>1266</v>
      </c>
      <c r="C1796" s="33" t="s">
        <v>1267</v>
      </c>
      <c r="D1796" s="33" t="s">
        <v>60</v>
      </c>
      <c r="E1796" s="11" t="s">
        <v>1633</v>
      </c>
      <c r="F1796" s="33" t="s">
        <v>137</v>
      </c>
      <c r="G1796" s="14">
        <v>45988.0</v>
      </c>
      <c r="H1796" s="11">
        <f>SUMIFS(X!$F$3:$F$5978,X!$D$3:$D$5978,'Current Stock'!A1796)</f>
        <v>3</v>
      </c>
      <c r="I1796" s="11">
        <f>SUMIFS(PENJUALAN!$E$4:$E$3651,PENJUALAN!$C$4:$C$3651,'Current Stock'!A1796)</f>
        <v>3</v>
      </c>
      <c r="J1796" s="15">
        <f t="shared" si="2"/>
        <v>0</v>
      </c>
      <c r="K1796" s="13"/>
      <c r="L1796" s="13"/>
      <c r="M1796" s="16">
        <v>1.0</v>
      </c>
      <c r="N1796" s="11"/>
      <c r="O1796" s="17"/>
      <c r="P1796" s="17"/>
    </row>
    <row r="1797" ht="13.5" customHeight="1">
      <c r="A1797" s="11" t="str">
        <f t="shared" si="4"/>
        <v>LFW-YARIS05MU</v>
      </c>
      <c r="B1797" s="32" t="s">
        <v>1280</v>
      </c>
      <c r="C1797" s="33" t="s">
        <v>1281</v>
      </c>
      <c r="D1797" s="33" t="s">
        <v>60</v>
      </c>
      <c r="E1797" s="11" t="s">
        <v>1633</v>
      </c>
      <c r="F1797" s="33" t="s">
        <v>137</v>
      </c>
      <c r="G1797" s="14"/>
      <c r="H1797" s="11">
        <f>SUMIFS(X!$F$3:$F$5978,X!$D$3:$D$5978,'Current Stock'!A1797)</f>
        <v>4</v>
      </c>
      <c r="I1797" s="11">
        <f>SUMIFS(PENJUALAN!$E$4:$E$3651,PENJUALAN!$C$4:$C$3651,'Current Stock'!A1797)</f>
        <v>4</v>
      </c>
      <c r="J1797" s="15">
        <f t="shared" si="2"/>
        <v>0</v>
      </c>
      <c r="K1797" s="13"/>
      <c r="L1797" s="13"/>
      <c r="M1797" s="16">
        <v>1.0</v>
      </c>
      <c r="N1797" s="11"/>
      <c r="O1797" s="17"/>
      <c r="P1797" s="17"/>
    </row>
    <row r="1798" ht="13.5" customHeight="1">
      <c r="A1798" s="11" t="str">
        <f t="shared" si="4"/>
        <v>LFW-VIOS13MU</v>
      </c>
      <c r="B1798" s="32" t="s">
        <v>1283</v>
      </c>
      <c r="C1798" s="33" t="s">
        <v>1284</v>
      </c>
      <c r="D1798" s="33" t="s">
        <v>60</v>
      </c>
      <c r="E1798" s="11" t="s">
        <v>1633</v>
      </c>
      <c r="F1798" s="33" t="s">
        <v>137</v>
      </c>
      <c r="G1798" s="34"/>
      <c r="H1798" s="11">
        <f>SUMIFS(X!$F$3:$F$5978,X!$D$3:$D$5978,'Current Stock'!A1798)</f>
        <v>8</v>
      </c>
      <c r="I1798" s="11">
        <f>SUMIFS(PENJUALAN!$E$4:$E$3651,PENJUALAN!$C$4:$C$3651,'Current Stock'!A1798)</f>
        <v>8</v>
      </c>
      <c r="J1798" s="15">
        <f t="shared" si="2"/>
        <v>0</v>
      </c>
      <c r="K1798" s="13" t="s">
        <v>1884</v>
      </c>
      <c r="L1798" s="13"/>
      <c r="M1798" s="16">
        <v>1.0</v>
      </c>
      <c r="N1798" s="11"/>
      <c r="O1798" s="17"/>
      <c r="P1798" s="17"/>
    </row>
    <row r="1799" ht="13.5" customHeight="1">
      <c r="A1799" s="11" t="str">
        <f t="shared" si="4"/>
        <v>LFW-CONFEROMU</v>
      </c>
      <c r="B1799" s="32" t="s">
        <v>1306</v>
      </c>
      <c r="C1799" s="33" t="s">
        <v>1307</v>
      </c>
      <c r="D1799" s="33" t="s">
        <v>60</v>
      </c>
      <c r="E1799" s="11" t="s">
        <v>1633</v>
      </c>
      <c r="F1799" s="33" t="s">
        <v>1912</v>
      </c>
      <c r="G1799" s="34"/>
      <c r="H1799" s="11">
        <f>SUMIFS(X!$F$3:$F$5978,X!$D$3:$D$5978,'Current Stock'!A1799)</f>
        <v>3</v>
      </c>
      <c r="I1799" s="11">
        <f>SUMIFS(PENJUALAN!$E$4:$E$3651,PENJUALAN!$C$4:$C$3651,'Current Stock'!A1799)</f>
        <v>3</v>
      </c>
      <c r="J1799" s="15">
        <f t="shared" si="2"/>
        <v>0</v>
      </c>
      <c r="K1799" s="13" t="s">
        <v>1884</v>
      </c>
      <c r="L1799" s="13"/>
      <c r="M1799" s="16">
        <v>1.0</v>
      </c>
      <c r="N1799" s="11"/>
      <c r="O1799" s="17"/>
      <c r="P1799" s="17"/>
    </row>
    <row r="1800" ht="13.5" customHeight="1">
      <c r="A1800" s="11" t="str">
        <f t="shared" si="4"/>
        <v>LFW-CROSSXYG</v>
      </c>
      <c r="B1800" s="13" t="s">
        <v>2037</v>
      </c>
      <c r="C1800" s="13" t="s">
        <v>2038</v>
      </c>
      <c r="D1800" s="13" t="str">
        <f>LEFT(A1800,FIND("-",A1800) - 1)</f>
        <v>LFW</v>
      </c>
      <c r="E1800" s="13" t="s">
        <v>16</v>
      </c>
      <c r="F1800" s="13" t="s">
        <v>90</v>
      </c>
      <c r="G1800" s="11"/>
      <c r="H1800" s="11">
        <f>SUMIFS(X!$F$3:$F$5978,X!$D$3:$D$5978,'Current Stock'!A1800)</f>
        <v>7</v>
      </c>
      <c r="I1800" s="11">
        <f>SUMIFS(PENJUALAN!$E$4:$E$3651,PENJUALAN!$C$4:$C$3651,'Current Stock'!A1800)</f>
        <v>4</v>
      </c>
      <c r="J1800" s="15">
        <f t="shared" si="2"/>
        <v>3</v>
      </c>
      <c r="K1800" s="13"/>
      <c r="L1800" s="44"/>
      <c r="M1800" s="44"/>
      <c r="N1800" s="44"/>
      <c r="O1800" s="17"/>
      <c r="P1800" s="17"/>
    </row>
    <row r="1801" ht="13.5" customHeight="1">
      <c r="A1801" s="11" t="str">
        <f t="shared" si="4"/>
        <v>FDL-LOUHANMU</v>
      </c>
      <c r="B1801" s="32" t="s">
        <v>2039</v>
      </c>
      <c r="C1801" s="33" t="s">
        <v>2040</v>
      </c>
      <c r="D1801" s="33" t="s">
        <v>140</v>
      </c>
      <c r="E1801" s="11" t="s">
        <v>1633</v>
      </c>
      <c r="F1801" s="33" t="s">
        <v>406</v>
      </c>
      <c r="G1801" s="14">
        <v>45988.0</v>
      </c>
      <c r="H1801" s="11">
        <f>SUMIFS(X!$F$3:$F$5978,X!$D$3:$D$5978,'Current Stock'!A1801)</f>
        <v>1</v>
      </c>
      <c r="I1801" s="11">
        <f>SUMIFS(PENJUALAN!$E$4:$E$3651,PENJUALAN!$C$4:$C$3651,'Current Stock'!A1801)</f>
        <v>0</v>
      </c>
      <c r="J1801" s="15">
        <f t="shared" si="2"/>
        <v>1</v>
      </c>
      <c r="K1801" s="13"/>
      <c r="L1801" s="13"/>
      <c r="M1801" s="16">
        <v>1.0</v>
      </c>
      <c r="N1801" s="11"/>
      <c r="O1801" s="17"/>
      <c r="P1801" s="17"/>
    </row>
    <row r="1802" ht="13.5" customHeight="1">
      <c r="A1802" s="11" t="str">
        <f t="shared" si="4"/>
        <v>FDR-LOUHANMU</v>
      </c>
      <c r="B1802" s="32" t="s">
        <v>2041</v>
      </c>
      <c r="C1802" s="33" t="s">
        <v>2040</v>
      </c>
      <c r="D1802" s="33" t="s">
        <v>142</v>
      </c>
      <c r="E1802" s="11" t="s">
        <v>1633</v>
      </c>
      <c r="F1802" s="33" t="s">
        <v>406</v>
      </c>
      <c r="G1802" s="14">
        <v>45988.0</v>
      </c>
      <c r="H1802" s="11">
        <f>SUMIFS(X!$F$3:$F$5978,X!$D$3:$D$5978,'Current Stock'!A1802)</f>
        <v>2</v>
      </c>
      <c r="I1802" s="11">
        <f>SUMIFS(PENJUALAN!$E$4:$E$3651,PENJUALAN!$C$4:$C$3651,'Current Stock'!A1802)</f>
        <v>0</v>
      </c>
      <c r="J1802" s="15">
        <f t="shared" si="2"/>
        <v>2</v>
      </c>
      <c r="K1802" s="13"/>
      <c r="L1802" s="11"/>
      <c r="M1802" s="16">
        <v>1.0</v>
      </c>
      <c r="N1802" s="11"/>
      <c r="O1802" s="17"/>
      <c r="P1802" s="17"/>
    </row>
    <row r="1803" ht="13.5" customHeight="1">
      <c r="A1803" s="11" t="str">
        <f t="shared" si="4"/>
        <v>LFW-ACTROSMU</v>
      </c>
      <c r="B1803" s="32" t="s">
        <v>2042</v>
      </c>
      <c r="C1803" s="35" t="s">
        <v>2043</v>
      </c>
      <c r="D1803" s="35" t="s">
        <v>60</v>
      </c>
      <c r="E1803" s="11" t="s">
        <v>1633</v>
      </c>
      <c r="F1803" s="33"/>
      <c r="G1803" s="11"/>
      <c r="H1803" s="11">
        <f>SUMIFS(X!$F$3:$F$5978,X!$D$3:$D$5978,'Current Stock'!A1803)</f>
        <v>0</v>
      </c>
      <c r="I1803" s="11">
        <f>SUMIFS(PENJUALAN!$E$4:$E$3651,PENJUALAN!$C$4:$C$3651,'Current Stock'!A1803)</f>
        <v>0</v>
      </c>
      <c r="J1803" s="15">
        <f t="shared" si="2"/>
        <v>0</v>
      </c>
      <c r="K1803" s="13" t="s">
        <v>1884</v>
      </c>
      <c r="L1803" s="11"/>
      <c r="M1803" s="11"/>
      <c r="N1803" s="11"/>
      <c r="O1803" s="17"/>
      <c r="P1803" s="17"/>
    </row>
    <row r="1804" ht="13.5" customHeight="1">
      <c r="A1804" s="11" t="str">
        <f t="shared" si="4"/>
        <v>LFW-FE300MU</v>
      </c>
      <c r="B1804" s="32" t="s">
        <v>1882</v>
      </c>
      <c r="C1804" s="35" t="s">
        <v>1883</v>
      </c>
      <c r="D1804" s="33" t="s">
        <v>60</v>
      </c>
      <c r="E1804" s="11" t="s">
        <v>1633</v>
      </c>
      <c r="F1804" s="33"/>
      <c r="G1804" s="14"/>
      <c r="H1804" s="11">
        <f>SUMIFS(X!$F$3:$F$5978,X!$D$3:$D$5978,'Current Stock'!A1804)</f>
        <v>10</v>
      </c>
      <c r="I1804" s="11">
        <f>SUMIFS(PENJUALAN!$E$4:$E$3651,PENJUALAN!$C$4:$C$3651,'Current Stock'!A1804)</f>
        <v>8</v>
      </c>
      <c r="J1804" s="15">
        <f t="shared" si="2"/>
        <v>2</v>
      </c>
      <c r="K1804" s="13"/>
      <c r="L1804" s="13"/>
      <c r="M1804" s="16">
        <v>1.0</v>
      </c>
      <c r="N1804" s="11"/>
      <c r="O1804" s="17"/>
      <c r="P1804" s="17"/>
    </row>
    <row r="1805" ht="13.5" customHeight="1">
      <c r="A1805" s="11" t="str">
        <f t="shared" si="4"/>
        <v>LFW-FE700MU</v>
      </c>
      <c r="B1805" s="32" t="s">
        <v>1314</v>
      </c>
      <c r="C1805" s="35" t="s">
        <v>1315</v>
      </c>
      <c r="D1805" s="33" t="s">
        <v>60</v>
      </c>
      <c r="E1805" s="11" t="s">
        <v>1633</v>
      </c>
      <c r="F1805" s="33"/>
      <c r="G1805" s="34"/>
      <c r="H1805" s="11">
        <f>SUMIFS(X!$F$3:$F$5978,X!$D$3:$D$5978,'Current Stock'!A1805)</f>
        <v>19</v>
      </c>
      <c r="I1805" s="11">
        <f>SUMIFS(PENJUALAN!$E$4:$E$3651,PENJUALAN!$C$4:$C$3651,'Current Stock'!A1805)</f>
        <v>19</v>
      </c>
      <c r="J1805" s="15">
        <f t="shared" si="2"/>
        <v>0</v>
      </c>
      <c r="K1805" s="13"/>
      <c r="L1805" s="13"/>
      <c r="M1805" s="16">
        <v>1.0</v>
      </c>
      <c r="N1805" s="11"/>
      <c r="O1805" s="17"/>
      <c r="P1805" s="17"/>
    </row>
    <row r="1806" ht="13.5" customHeight="1">
      <c r="A1806" s="11" t="str">
        <f t="shared" si="4"/>
        <v>LFW-FK40MU</v>
      </c>
      <c r="B1806" s="32" t="s">
        <v>1318</v>
      </c>
      <c r="C1806" s="67" t="s">
        <v>1319</v>
      </c>
      <c r="D1806" s="33" t="s">
        <v>60</v>
      </c>
      <c r="E1806" s="11" t="s">
        <v>1633</v>
      </c>
      <c r="F1806" s="33"/>
      <c r="G1806" s="14">
        <v>45988.0</v>
      </c>
      <c r="H1806" s="11">
        <f>SUMIFS(X!$F$3:$F$5978,X!$D$3:$D$5978,'Current Stock'!A1806)</f>
        <v>0</v>
      </c>
      <c r="I1806" s="11">
        <f>SUMIFS(PENJUALAN!$E$4:$E$3651,PENJUALAN!$C$4:$C$3651,'Current Stock'!A1806)</f>
        <v>0</v>
      </c>
      <c r="J1806" s="15">
        <f t="shared" si="2"/>
        <v>0</v>
      </c>
      <c r="K1806" s="13"/>
      <c r="L1806" s="11"/>
      <c r="M1806" s="11"/>
      <c r="N1806" s="11"/>
      <c r="O1806" s="17"/>
      <c r="P1806" s="17"/>
    </row>
    <row r="1807" ht="13.5" customHeight="1">
      <c r="A1807" s="11" t="str">
        <f t="shared" si="4"/>
        <v>LFW-L300MU</v>
      </c>
      <c r="B1807" s="32" t="s">
        <v>1322</v>
      </c>
      <c r="C1807" s="35" t="s">
        <v>1323</v>
      </c>
      <c r="D1807" s="33" t="s">
        <v>60</v>
      </c>
      <c r="E1807" s="11" t="s">
        <v>1633</v>
      </c>
      <c r="F1807" s="33"/>
      <c r="G1807" s="11"/>
      <c r="H1807" s="11">
        <f>SUMIFS(X!$F$3:$F$5978,X!$D$3:$D$5978,'Current Stock'!A1807)</f>
        <v>0</v>
      </c>
      <c r="I1807" s="11">
        <f>SUMIFS(PENJUALAN!$E$4:$E$3651,PENJUALAN!$C$4:$C$3651,'Current Stock'!A1807)</f>
        <v>0</v>
      </c>
      <c r="J1807" s="15">
        <f t="shared" si="2"/>
        <v>0</v>
      </c>
      <c r="K1807" s="13"/>
      <c r="L1807" s="13"/>
      <c r="M1807" s="16">
        <v>1.0</v>
      </c>
      <c r="N1807" s="11"/>
      <c r="O1807" s="17"/>
      <c r="P1807" s="17"/>
    </row>
    <row r="1808" ht="13.5" customHeight="1">
      <c r="A1808" s="11" t="str">
        <f t="shared" si="4"/>
        <v>LFW-SCANIAMU</v>
      </c>
      <c r="B1808" s="32" t="s">
        <v>2044</v>
      </c>
      <c r="C1808" s="35" t="s">
        <v>2045</v>
      </c>
      <c r="D1808" s="35" t="s">
        <v>60</v>
      </c>
      <c r="E1808" s="11" t="s">
        <v>1633</v>
      </c>
      <c r="F1808" s="33"/>
      <c r="G1808" s="11"/>
      <c r="H1808" s="11">
        <f>SUMIFS(X!$F$3:$F$5978,X!$D$3:$D$5978,'Current Stock'!A1808)</f>
        <v>0</v>
      </c>
      <c r="I1808" s="11">
        <f>SUMIFS(PENJUALAN!$E$4:$E$3651,PENJUALAN!$C$4:$C$3651,'Current Stock'!A1808)</f>
        <v>0</v>
      </c>
      <c r="J1808" s="15">
        <f t="shared" si="2"/>
        <v>0</v>
      </c>
      <c r="K1808" s="13" t="s">
        <v>1398</v>
      </c>
      <c r="L1808" s="11"/>
      <c r="M1808" s="11"/>
      <c r="N1808" s="11"/>
      <c r="O1808" s="17"/>
      <c r="P1808" s="17"/>
    </row>
    <row r="1809" ht="13.5" customHeight="1">
      <c r="A1809" s="11" t="str">
        <f t="shared" si="4"/>
        <v>LFW-DYNAMU</v>
      </c>
      <c r="B1809" s="32" t="s">
        <v>1887</v>
      </c>
      <c r="C1809" s="35" t="s">
        <v>1888</v>
      </c>
      <c r="D1809" s="33" t="s">
        <v>60</v>
      </c>
      <c r="E1809" s="11" t="s">
        <v>1633</v>
      </c>
      <c r="F1809" s="33"/>
      <c r="G1809" s="34"/>
      <c r="H1809" s="11">
        <f>SUMIFS(X!$F$3:$F$5978,X!$D$3:$D$5978,'Current Stock'!A1809)</f>
        <v>8</v>
      </c>
      <c r="I1809" s="11">
        <f>SUMIFS(PENJUALAN!$E$4:$E$3651,PENJUALAN!$C$4:$C$3651,'Current Stock'!A1809)</f>
        <v>7</v>
      </c>
      <c r="J1809" s="15">
        <f t="shared" si="2"/>
        <v>1</v>
      </c>
      <c r="K1809" s="13" t="s">
        <v>606</v>
      </c>
      <c r="L1809" s="13"/>
      <c r="M1809" s="16">
        <v>2.0</v>
      </c>
      <c r="N1809" s="13" t="s">
        <v>2046</v>
      </c>
      <c r="O1809" s="45"/>
      <c r="P1809" s="45"/>
    </row>
    <row r="1810" ht="13.5" customHeight="1">
      <c r="A1810" s="11" t="str">
        <f t="shared" si="4"/>
        <v>FDL-DYNAMU</v>
      </c>
      <c r="B1810" s="32" t="s">
        <v>2047</v>
      </c>
      <c r="C1810" s="35" t="s">
        <v>1888</v>
      </c>
      <c r="D1810" s="33" t="s">
        <v>140</v>
      </c>
      <c r="E1810" s="11" t="s">
        <v>1633</v>
      </c>
      <c r="F1810" s="35" t="s">
        <v>2048</v>
      </c>
      <c r="G1810" s="11"/>
      <c r="H1810" s="11">
        <f>SUMIFS(X!$F$3:$F$5978,X!$D$3:$D$5978,'Current Stock'!A1810)</f>
        <v>0</v>
      </c>
      <c r="I1810" s="11">
        <f>SUMIFS(PENJUALAN!$E$4:$E$3651,PENJUALAN!$C$4:$C$3651,'Current Stock'!A1810)</f>
        <v>0</v>
      </c>
      <c r="J1810" s="15">
        <f t="shared" si="2"/>
        <v>0</v>
      </c>
      <c r="K1810" s="13"/>
      <c r="L1810" s="11"/>
      <c r="M1810" s="11"/>
      <c r="N1810" s="11"/>
      <c r="O1810" s="17"/>
      <c r="P1810" s="17"/>
    </row>
    <row r="1811" ht="13.5" customHeight="1">
      <c r="A1811" s="11" t="str">
        <f t="shared" si="4"/>
        <v>FDR-DYNAMU</v>
      </c>
      <c r="B1811" s="32" t="s">
        <v>2049</v>
      </c>
      <c r="C1811" s="35" t="s">
        <v>1888</v>
      </c>
      <c r="D1811" s="33" t="s">
        <v>142</v>
      </c>
      <c r="E1811" s="11" t="s">
        <v>1633</v>
      </c>
      <c r="F1811" s="35" t="s">
        <v>2048</v>
      </c>
      <c r="G1811" s="14">
        <v>45988.0</v>
      </c>
      <c r="H1811" s="11">
        <f>SUMIFS(X!$F$3:$F$5978,X!$D$3:$D$5978,'Current Stock'!A1811)</f>
        <v>1</v>
      </c>
      <c r="I1811" s="11">
        <f>SUMIFS(PENJUALAN!$E$4:$E$3651,PENJUALAN!$C$4:$C$3651,'Current Stock'!A1811)</f>
        <v>1</v>
      </c>
      <c r="J1811" s="15">
        <f t="shared" si="2"/>
        <v>0</v>
      </c>
      <c r="K1811" s="13" t="s">
        <v>2050</v>
      </c>
      <c r="L1811" s="11"/>
      <c r="M1811" s="11"/>
      <c r="N1811" s="11"/>
      <c r="O1811" s="17"/>
      <c r="P1811" s="17"/>
    </row>
    <row r="1812" ht="13.5" customHeight="1">
      <c r="A1812" s="11" t="str">
        <f t="shared" si="4"/>
        <v>TRW-NKINGMU</v>
      </c>
      <c r="B1812" s="48" t="s">
        <v>2051</v>
      </c>
      <c r="C1812" s="35" t="s">
        <v>2052</v>
      </c>
      <c r="D1812" s="35" t="s">
        <v>62</v>
      </c>
      <c r="E1812" s="11" t="s">
        <v>1633</v>
      </c>
      <c r="F1812" s="35"/>
      <c r="G1812" s="14">
        <v>45988.0</v>
      </c>
      <c r="H1812" s="11">
        <f>SUMIFS(X!$F$3:$F$5978,X!$D$3:$D$5978,'Current Stock'!A1812)</f>
        <v>0</v>
      </c>
      <c r="I1812" s="11">
        <f>SUMIFS(PENJUALAN!$E$4:$E$3651,PENJUALAN!$C$4:$C$3651,'Current Stock'!A1812)</f>
        <v>0</v>
      </c>
      <c r="J1812" s="15">
        <f t="shared" si="2"/>
        <v>0</v>
      </c>
      <c r="K1812" s="13" t="s">
        <v>2053</v>
      </c>
      <c r="L1812" s="11"/>
      <c r="M1812" s="11"/>
      <c r="N1812" s="11"/>
      <c r="O1812" s="17"/>
      <c r="P1812" s="17"/>
    </row>
    <row r="1813" ht="13.5" customHeight="1">
      <c r="A1813" s="11" t="str">
        <f t="shared" si="4"/>
        <v>RDR-TARUNAASH</v>
      </c>
      <c r="B1813" s="82" t="s">
        <v>2054</v>
      </c>
      <c r="C1813" s="13" t="s">
        <v>1381</v>
      </c>
      <c r="D1813" s="13" t="str">
        <f>LEFT(A1813,FIND("-",A1813) - 1)</f>
        <v>RDR</v>
      </c>
      <c r="E1813" s="13" t="s">
        <v>93</v>
      </c>
      <c r="F1813" s="44"/>
      <c r="G1813" s="14">
        <v>45988.0</v>
      </c>
      <c r="H1813" s="11">
        <f>SUMIFS(X!$F$3:$F$5978,X!$D$3:$D$5978,'Current Stock'!A1813)</f>
        <v>1</v>
      </c>
      <c r="I1813" s="11">
        <f>SUMIFS(PENJUALAN!$E$4:$E$3651,PENJUALAN!$C$4:$C$3651,'Current Stock'!A1813)</f>
        <v>1</v>
      </c>
      <c r="J1813" s="15">
        <f t="shared" si="2"/>
        <v>0</v>
      </c>
      <c r="K1813" s="13" t="s">
        <v>1398</v>
      </c>
      <c r="L1813" s="13"/>
      <c r="M1813" s="44"/>
      <c r="N1813" s="44"/>
      <c r="O1813" s="17"/>
      <c r="P1813" s="17"/>
    </row>
    <row r="1814" ht="13.5" customHeight="1">
      <c r="A1814" s="11" t="str">
        <f t="shared" si="4"/>
        <v>LFW-BRIOAGC</v>
      </c>
      <c r="B1814" s="13" t="s">
        <v>365</v>
      </c>
      <c r="C1814" s="13" t="s">
        <v>2055</v>
      </c>
      <c r="D1814" s="13" t="s">
        <v>60</v>
      </c>
      <c r="E1814" s="13" t="s">
        <v>101</v>
      </c>
      <c r="F1814" s="13" t="s">
        <v>100</v>
      </c>
      <c r="G1814" s="34">
        <v>45988.0</v>
      </c>
      <c r="H1814" s="11">
        <f>SUMIFS(X!$F$3:$F$5978,X!$D$3:$D$5978,'Current Stock'!A1814)</f>
        <v>43</v>
      </c>
      <c r="I1814" s="11">
        <f>SUMIFS(PENJUALAN!$E$4:$E$3651,PENJUALAN!$C$4:$C$3651,'Current Stock'!A1814)</f>
        <v>38</v>
      </c>
      <c r="J1814" s="15">
        <f t="shared" si="2"/>
        <v>5</v>
      </c>
      <c r="K1814" s="13" t="s">
        <v>606</v>
      </c>
      <c r="L1814" s="11" t="str">
        <f t="shared" ref="L1814:P1814" si="5">CONCATENATE(M1814,P1814)</f>
        <v/>
      </c>
      <c r="M1814" s="11" t="str">
        <f t="shared" si="5"/>
        <v/>
      </c>
      <c r="N1814" s="11" t="str">
        <f t="shared" si="5"/>
        <v/>
      </c>
      <c r="O1814" s="11" t="str">
        <f t="shared" si="5"/>
        <v/>
      </c>
      <c r="P1814" s="11" t="str">
        <f t="shared" si="5"/>
        <v/>
      </c>
    </row>
    <row r="1815" ht="13.5" customHeight="1">
      <c r="A1815" s="11" t="str">
        <f t="shared" si="4"/>
        <v>TRW-BRIO18AGC</v>
      </c>
      <c r="B1815" s="13" t="s">
        <v>1404</v>
      </c>
      <c r="C1815" s="31" t="s">
        <v>2056</v>
      </c>
      <c r="D1815" s="13" t="s">
        <v>62</v>
      </c>
      <c r="E1815" s="13" t="s">
        <v>101</v>
      </c>
      <c r="F1815" s="13" t="s">
        <v>100</v>
      </c>
      <c r="G1815" s="34">
        <v>45988.0</v>
      </c>
      <c r="H1815" s="11">
        <f>SUMIFS(X!$F$3:$F$5978,X!$D$3:$D$5978,'Current Stock'!A1815)</f>
        <v>2</v>
      </c>
      <c r="I1815" s="11">
        <f>SUMIFS(PENJUALAN!$E$4:$E$3651,PENJUALAN!$C$4:$C$3651,'Current Stock'!A1815)</f>
        <v>1</v>
      </c>
      <c r="J1815" s="15">
        <f t="shared" si="2"/>
        <v>1</v>
      </c>
      <c r="K1815" s="13"/>
      <c r="L1815" s="11" t="str">
        <f t="shared" ref="L1815:P1815" si="6">CONCATENATE(M1815,P1815)</f>
        <v/>
      </c>
      <c r="M1815" s="11" t="str">
        <f t="shared" si="6"/>
        <v/>
      </c>
      <c r="N1815" s="11" t="str">
        <f t="shared" si="6"/>
        <v/>
      </c>
      <c r="O1815" s="11" t="str">
        <f t="shared" si="6"/>
        <v/>
      </c>
      <c r="P1815" s="11" t="str">
        <f t="shared" si="6"/>
        <v/>
      </c>
    </row>
    <row r="1816" ht="13.5" customHeight="1">
      <c r="A1816" s="11" t="str">
        <f t="shared" si="4"/>
        <v>RDR-BRIO18AGC</v>
      </c>
      <c r="B1816" s="12" t="s">
        <v>2057</v>
      </c>
      <c r="C1816" s="31" t="s">
        <v>2056</v>
      </c>
      <c r="D1816" s="11" t="s">
        <v>86</v>
      </c>
      <c r="E1816" s="13" t="s">
        <v>101</v>
      </c>
      <c r="F1816" s="13" t="s">
        <v>2058</v>
      </c>
      <c r="G1816" s="34">
        <v>45988.0</v>
      </c>
      <c r="H1816" s="11">
        <f>SUMIFS(X!$F$3:$F$5978,X!$D$3:$D$5978,'Current Stock'!A1816)</f>
        <v>5</v>
      </c>
      <c r="I1816" s="11">
        <f>SUMIFS(PENJUALAN!$E$4:$E$3651,PENJUALAN!$C$4:$C$3651,'Current Stock'!A1816)</f>
        <v>4</v>
      </c>
      <c r="J1816" s="15">
        <f t="shared" si="2"/>
        <v>1</v>
      </c>
      <c r="K1816" s="13"/>
      <c r="L1816" s="13"/>
      <c r="M1816" s="16"/>
      <c r="N1816" s="11"/>
      <c r="O1816" s="17"/>
      <c r="P1816" s="17"/>
    </row>
    <row r="1817" ht="13.5" customHeight="1">
      <c r="A1817" s="11" t="str">
        <f t="shared" si="4"/>
        <v>RDL-BRIO18AGC</v>
      </c>
      <c r="B1817" s="12" t="s">
        <v>2059</v>
      </c>
      <c r="C1817" s="31" t="s">
        <v>2056</v>
      </c>
      <c r="D1817" s="11" t="s">
        <v>92</v>
      </c>
      <c r="E1817" s="13" t="s">
        <v>101</v>
      </c>
      <c r="F1817" s="13" t="s">
        <v>2058</v>
      </c>
      <c r="G1817" s="34"/>
      <c r="H1817" s="11">
        <f>SUMIFS(X!$F$3:$F$5978,X!$D$3:$D$5978,'Current Stock'!A1817)</f>
        <v>1</v>
      </c>
      <c r="I1817" s="11">
        <f>SUMIFS(PENJUALAN!$E$4:$E$3651,PENJUALAN!$C$4:$C$3651,'Current Stock'!A1817)</f>
        <v>1</v>
      </c>
      <c r="J1817" s="15">
        <f t="shared" si="2"/>
        <v>0</v>
      </c>
      <c r="K1817" s="13"/>
      <c r="L1817" s="13"/>
      <c r="M1817" s="16"/>
      <c r="N1817" s="11"/>
      <c r="O1817" s="17"/>
      <c r="P1817" s="17"/>
    </row>
    <row r="1818" ht="13.5" customHeight="1">
      <c r="A1818" s="11" t="str">
        <f t="shared" si="4"/>
        <v>SWR-MOBILIOAGC</v>
      </c>
      <c r="B1818" s="83" t="s">
        <v>2060</v>
      </c>
      <c r="C1818" s="84" t="s">
        <v>2061</v>
      </c>
      <c r="D1818" s="13" t="s">
        <v>116</v>
      </c>
      <c r="E1818" s="13" t="s">
        <v>101</v>
      </c>
      <c r="F1818" s="13" t="s">
        <v>100</v>
      </c>
      <c r="G1818" s="34"/>
      <c r="H1818" s="11">
        <f>SUMIFS(X!$F$3:$F$5978,X!$D$3:$D$5978,'Current Stock'!A1818)</f>
        <v>4</v>
      </c>
      <c r="I1818" s="11">
        <f>SUMIFS(PENJUALAN!$E$4:$E$3651,PENJUALAN!$C$4:$C$3651,'Current Stock'!A1818)</f>
        <v>2</v>
      </c>
      <c r="J1818" s="15">
        <f t="shared" si="2"/>
        <v>2</v>
      </c>
      <c r="K1818" s="13"/>
      <c r="L1818" s="13"/>
      <c r="M1818" s="16"/>
      <c r="N1818" s="11"/>
      <c r="O1818" s="17"/>
      <c r="P1818" s="17"/>
    </row>
    <row r="1819" ht="13.5" customHeight="1">
      <c r="A1819" s="11" t="str">
        <f t="shared" si="4"/>
        <v>SWL-MOBILIOAGC</v>
      </c>
      <c r="B1819" s="83" t="s">
        <v>2062</v>
      </c>
      <c r="C1819" s="84" t="s">
        <v>2061</v>
      </c>
      <c r="D1819" s="13" t="s">
        <v>1410</v>
      </c>
      <c r="E1819" s="13" t="s">
        <v>101</v>
      </c>
      <c r="F1819" s="13" t="s">
        <v>100</v>
      </c>
      <c r="G1819" s="14"/>
      <c r="H1819" s="11">
        <f>SUMIFS(X!$F$3:$F$5978,X!$D$3:$D$5978,'Current Stock'!A1819)</f>
        <v>1</v>
      </c>
      <c r="I1819" s="11">
        <f>SUMIFS(PENJUALAN!$E$4:$E$3651,PENJUALAN!$C$4:$C$3651,'Current Stock'!A1819)</f>
        <v>1</v>
      </c>
      <c r="J1819" s="15">
        <f t="shared" si="2"/>
        <v>0</v>
      </c>
      <c r="K1819" s="13"/>
      <c r="L1819" s="13"/>
      <c r="M1819" s="16"/>
      <c r="N1819" s="11"/>
      <c r="O1819" s="17"/>
      <c r="P1819" s="17"/>
    </row>
    <row r="1820" ht="13.5" customHeight="1">
      <c r="A1820" s="11" t="str">
        <f t="shared" si="4"/>
        <v>LFW-PICANTO04BMU</v>
      </c>
      <c r="B1820" s="12" t="s">
        <v>598</v>
      </c>
      <c r="C1820" s="33" t="s">
        <v>599</v>
      </c>
      <c r="D1820" s="13" t="s">
        <v>60</v>
      </c>
      <c r="E1820" s="11" t="s">
        <v>1633</v>
      </c>
      <c r="F1820" s="11" t="s">
        <v>1358</v>
      </c>
      <c r="G1820" s="11"/>
      <c r="H1820" s="11">
        <f>SUMIFS(X!$F$3:$F$5978,X!$D$3:$D$5978,'Current Stock'!A1820)</f>
        <v>0</v>
      </c>
      <c r="I1820" s="11">
        <f>SUMIFS(PENJUALAN!$E$4:$E$3651,PENJUALAN!$C$4:$C$3651,'Current Stock'!A1820)</f>
        <v>0</v>
      </c>
      <c r="J1820" s="15">
        <f t="shared" si="2"/>
        <v>0</v>
      </c>
      <c r="K1820" s="11"/>
      <c r="L1820" s="11"/>
      <c r="M1820" s="16"/>
      <c r="N1820" s="11"/>
      <c r="O1820" s="17"/>
      <c r="P1820" s="17"/>
    </row>
    <row r="1821" ht="13.5" customHeight="1">
      <c r="A1821" s="11" t="str">
        <f t="shared" si="4"/>
        <v>RDL-RIO11XYG</v>
      </c>
      <c r="B1821" s="32" t="s">
        <v>633</v>
      </c>
      <c r="C1821" s="33" t="s">
        <v>629</v>
      </c>
      <c r="D1821" s="33" t="s">
        <v>144</v>
      </c>
      <c r="E1821" s="11" t="s">
        <v>16</v>
      </c>
      <c r="F1821" s="11" t="s">
        <v>406</v>
      </c>
      <c r="G1821" s="11"/>
      <c r="H1821" s="11">
        <f>SUMIFS(X!$F$3:$F$5978,X!$D$3:$D$5978,'Current Stock'!A1821)</f>
        <v>0</v>
      </c>
      <c r="I1821" s="11">
        <f>SUMIFS(PENJUALAN!$E$4:$E$3651,PENJUALAN!$C$4:$C$3651,'Current Stock'!A1821)</f>
        <v>0</v>
      </c>
      <c r="J1821" s="15">
        <f t="shared" si="2"/>
        <v>0</v>
      </c>
      <c r="K1821" s="13" t="s">
        <v>1398</v>
      </c>
      <c r="L1821" s="11"/>
      <c r="M1821" s="16"/>
      <c r="N1821" s="68"/>
      <c r="O1821" s="68"/>
      <c r="P1821" s="68"/>
    </row>
    <row r="1822" ht="13.5" customHeight="1">
      <c r="A1822" s="11" t="str">
        <f t="shared" si="4"/>
        <v>RDR-RIO11XYG</v>
      </c>
      <c r="B1822" s="32" t="s">
        <v>634</v>
      </c>
      <c r="C1822" s="33" t="s">
        <v>629</v>
      </c>
      <c r="D1822" s="33" t="s">
        <v>146</v>
      </c>
      <c r="E1822" s="11" t="s">
        <v>16</v>
      </c>
      <c r="F1822" s="11" t="s">
        <v>406</v>
      </c>
      <c r="G1822" s="11"/>
      <c r="H1822" s="11">
        <f>SUMIFS(X!$F$3:$F$5978,X!$D$3:$D$5978,'Current Stock'!A1822)</f>
        <v>0</v>
      </c>
      <c r="I1822" s="11">
        <f>SUMIFS(PENJUALAN!$E$4:$E$3651,PENJUALAN!$C$4:$C$3651,'Current Stock'!A1822)</f>
        <v>0</v>
      </c>
      <c r="J1822" s="15">
        <f t="shared" si="2"/>
        <v>0</v>
      </c>
      <c r="K1822" s="13"/>
      <c r="L1822" s="11"/>
      <c r="M1822" s="16"/>
      <c r="N1822" s="11"/>
      <c r="O1822" s="17"/>
      <c r="P1822" s="17"/>
    </row>
    <row r="1823" ht="13.5" customHeight="1">
      <c r="A1823" s="11" t="str">
        <f t="shared" si="4"/>
        <v>RDL-EVALIAFRAMEXYG</v>
      </c>
      <c r="B1823" s="12" t="s">
        <v>2063</v>
      </c>
      <c r="C1823" s="33" t="s">
        <v>922</v>
      </c>
      <c r="D1823" s="11" t="s">
        <v>92</v>
      </c>
      <c r="E1823" s="11" t="s">
        <v>16</v>
      </c>
      <c r="F1823" s="11" t="s">
        <v>2064</v>
      </c>
      <c r="G1823" s="11"/>
      <c r="H1823" s="11">
        <f>SUMIFS(X!$F$3:$F$5978,X!$D$3:$D$5978,'Current Stock'!A1823)</f>
        <v>0</v>
      </c>
      <c r="I1823" s="11">
        <f>SUMIFS(PENJUALAN!$E$4:$E$3651,PENJUALAN!$C$4:$C$3651,'Current Stock'!A1823)</f>
        <v>0</v>
      </c>
      <c r="J1823" s="15">
        <f t="shared" si="2"/>
        <v>0</v>
      </c>
      <c r="K1823" s="11"/>
      <c r="L1823" s="11"/>
      <c r="M1823" s="16"/>
      <c r="N1823" s="11"/>
      <c r="O1823" s="17"/>
      <c r="P1823" s="17"/>
    </row>
    <row r="1824" ht="13.5" customHeight="1">
      <c r="A1824" s="11" t="str">
        <f t="shared" si="4"/>
        <v>LFW-PICANTO11MU</v>
      </c>
      <c r="B1824" s="32" t="s">
        <v>608</v>
      </c>
      <c r="C1824" s="33" t="s">
        <v>609</v>
      </c>
      <c r="D1824" s="33" t="s">
        <v>60</v>
      </c>
      <c r="E1824" s="11" t="s">
        <v>1633</v>
      </c>
      <c r="F1824" s="33" t="s">
        <v>137</v>
      </c>
      <c r="G1824" s="14">
        <v>45988.0</v>
      </c>
      <c r="H1824" s="11">
        <f>SUMIFS(X!$F$3:$F$5978,X!$D$3:$D$5978,'Current Stock'!A1824)</f>
        <v>0</v>
      </c>
      <c r="I1824" s="11">
        <f>SUMIFS(PENJUALAN!$E$4:$E$3651,PENJUALAN!$C$4:$C$3651,'Current Stock'!A1824)</f>
        <v>0</v>
      </c>
      <c r="J1824" s="15">
        <f t="shared" si="2"/>
        <v>0</v>
      </c>
      <c r="K1824" s="13"/>
      <c r="L1824" s="11"/>
      <c r="M1824" s="16"/>
      <c r="N1824" s="11"/>
      <c r="O1824" s="17"/>
      <c r="P1824" s="17"/>
    </row>
    <row r="1825" ht="13.5" customHeight="1">
      <c r="A1825" s="11" t="str">
        <f t="shared" si="4"/>
        <v>LFW-F30AUTO</v>
      </c>
      <c r="B1825" s="32" t="s">
        <v>167</v>
      </c>
      <c r="C1825" s="33" t="s">
        <v>168</v>
      </c>
      <c r="D1825" s="33" t="s">
        <v>60</v>
      </c>
      <c r="E1825" s="11" t="s">
        <v>82</v>
      </c>
      <c r="F1825" s="33" t="s">
        <v>124</v>
      </c>
      <c r="G1825" s="11"/>
      <c r="H1825" s="11">
        <f>SUMIFS(X!$F$3:$F$5978,X!$D$3:$D$5978,'Current Stock'!A1825)</f>
        <v>0</v>
      </c>
      <c r="I1825" s="11">
        <f>SUMIFS(PENJUALAN!$E$4:$E$3651,PENJUALAN!$C$4:$C$3651,'Current Stock'!A1825)</f>
        <v>0</v>
      </c>
      <c r="J1825" s="15">
        <f t="shared" si="2"/>
        <v>0</v>
      </c>
      <c r="K1825" s="13" t="s">
        <v>606</v>
      </c>
      <c r="L1825" s="11"/>
      <c r="M1825" s="16"/>
      <c r="N1825" s="11"/>
      <c r="O1825" s="17"/>
      <c r="P1825" s="17"/>
    </row>
    <row r="1826" ht="13.5" customHeight="1">
      <c r="A1826" s="11" t="str">
        <f t="shared" si="4"/>
        <v>TRW-BRV16AUTO</v>
      </c>
      <c r="B1826" s="12" t="s">
        <v>117</v>
      </c>
      <c r="C1826" s="33" t="s">
        <v>1397</v>
      </c>
      <c r="D1826" s="11" t="s">
        <v>62</v>
      </c>
      <c r="E1826" s="11" t="s">
        <v>82</v>
      </c>
      <c r="F1826" s="11"/>
      <c r="G1826" s="11"/>
      <c r="H1826" s="11">
        <f>SUMIFS(X!$F$3:$F$5978,X!$D$3:$D$5978,'Current Stock'!A1826)</f>
        <v>0</v>
      </c>
      <c r="I1826" s="11">
        <f>SUMIFS(PENJUALAN!$E$4:$E$3651,PENJUALAN!$C$4:$C$3651,'Current Stock'!A1826)</f>
        <v>0</v>
      </c>
      <c r="J1826" s="15">
        <f t="shared" si="2"/>
        <v>0</v>
      </c>
      <c r="K1826" s="13" t="s">
        <v>355</v>
      </c>
      <c r="L1826" s="11"/>
      <c r="M1826" s="16"/>
      <c r="N1826" s="11"/>
      <c r="O1826" s="17"/>
      <c r="P1826" s="17"/>
    </row>
    <row r="1827" ht="13.5" customHeight="1">
      <c r="A1827" s="23" t="str">
        <f t="shared" si="4"/>
        <v>LFW-BRV22ASH</v>
      </c>
      <c r="B1827" s="24" t="s">
        <v>2065</v>
      </c>
      <c r="C1827" s="80" t="s">
        <v>2066</v>
      </c>
      <c r="D1827" s="23" t="s">
        <v>60</v>
      </c>
      <c r="E1827" s="23" t="s">
        <v>93</v>
      </c>
      <c r="F1827" s="23"/>
      <c r="G1827" s="28"/>
      <c r="H1827" s="11">
        <f>SUMIFS(X!$F$3:$F$5978,X!$D$3:$D$5978,'Current Stock'!A1827)</f>
        <v>2</v>
      </c>
      <c r="I1827" s="11">
        <f>SUMIFS(PENJUALAN!$E$4:$E$3651,PENJUALAN!$C$4:$C$3651,'Current Stock'!A1827)</f>
        <v>1</v>
      </c>
      <c r="J1827" s="15">
        <f t="shared" si="2"/>
        <v>1</v>
      </c>
      <c r="K1827" s="25"/>
      <c r="L1827" s="25"/>
      <c r="M1827" s="26"/>
      <c r="N1827" s="25"/>
      <c r="O1827" s="85"/>
      <c r="P1827" s="85"/>
    </row>
    <row r="1828" ht="13.5" customHeight="1">
      <c r="A1828" s="11" t="str">
        <f t="shared" si="4"/>
        <v>LFW-ALPHARD15AUTO</v>
      </c>
      <c r="B1828" s="32" t="s">
        <v>1071</v>
      </c>
      <c r="C1828" s="33" t="s">
        <v>1072</v>
      </c>
      <c r="D1828" s="33" t="s">
        <v>60</v>
      </c>
      <c r="E1828" s="11" t="s">
        <v>82</v>
      </c>
      <c r="F1828" s="33" t="s">
        <v>90</v>
      </c>
      <c r="G1828" s="14">
        <v>45988.0</v>
      </c>
      <c r="H1828" s="11">
        <f>SUMIFS(X!$F$3:$F$5978,X!$D$3:$D$5978,'Current Stock'!A1828)</f>
        <v>0</v>
      </c>
      <c r="I1828" s="11">
        <f>SUMIFS(PENJUALAN!$E$4:$E$3651,PENJUALAN!$C$4:$C$3651,'Current Stock'!A1828)</f>
        <v>0</v>
      </c>
      <c r="J1828" s="15">
        <f t="shared" si="2"/>
        <v>0</v>
      </c>
      <c r="K1828" s="13"/>
      <c r="L1828" s="11"/>
      <c r="M1828" s="16"/>
      <c r="N1828" s="11"/>
      <c r="O1828" s="17"/>
      <c r="P1828" s="17"/>
    </row>
    <row r="1829" ht="13.5" customHeight="1">
      <c r="A1829" s="11" t="str">
        <f t="shared" si="4"/>
        <v>LFW-W212RS2AUTO</v>
      </c>
      <c r="B1829" s="32" t="s">
        <v>807</v>
      </c>
      <c r="C1829" s="33" t="s">
        <v>808</v>
      </c>
      <c r="D1829" s="33" t="s">
        <v>60</v>
      </c>
      <c r="E1829" s="11" t="s">
        <v>82</v>
      </c>
      <c r="F1829" s="33" t="s">
        <v>809</v>
      </c>
      <c r="G1829" s="14">
        <v>45988.0</v>
      </c>
      <c r="H1829" s="11">
        <f>SUMIFS(X!$F$3:$F$5978,X!$D$3:$D$5978,'Current Stock'!A1829)</f>
        <v>0</v>
      </c>
      <c r="I1829" s="11">
        <f>SUMIFS(PENJUALAN!$E$4:$E$3651,PENJUALAN!$C$4:$C$3651,'Current Stock'!A1829)</f>
        <v>0</v>
      </c>
      <c r="J1829" s="15">
        <f t="shared" si="2"/>
        <v>0</v>
      </c>
      <c r="K1829" s="13" t="s">
        <v>2053</v>
      </c>
      <c r="L1829" s="11"/>
      <c r="M1829" s="16"/>
      <c r="N1829" s="11"/>
      <c r="O1829" s="17"/>
      <c r="P1829" s="17"/>
    </row>
    <row r="1830" ht="13.5" customHeight="1">
      <c r="A1830" s="11" t="str">
        <f t="shared" si="4"/>
        <v>FDL-BRIOASH</v>
      </c>
      <c r="B1830" s="12" t="s">
        <v>2067</v>
      </c>
      <c r="C1830" s="11" t="s">
        <v>2068</v>
      </c>
      <c r="D1830" s="11" t="s">
        <v>104</v>
      </c>
      <c r="E1830" s="11" t="s">
        <v>93</v>
      </c>
      <c r="F1830" s="11"/>
      <c r="G1830" s="11"/>
      <c r="H1830" s="11">
        <f>SUMIFS(X!$F$3:$F$5978,X!$D$3:$D$5978,'Current Stock'!A1830)</f>
        <v>0</v>
      </c>
      <c r="I1830" s="11">
        <f>SUMIFS(PENJUALAN!$E$4:$E$3651,PENJUALAN!$C$4:$C$3651,'Current Stock'!A1830)</f>
        <v>0</v>
      </c>
      <c r="J1830" s="15">
        <f t="shared" si="2"/>
        <v>0</v>
      </c>
      <c r="K1830" s="13"/>
      <c r="L1830" s="11"/>
      <c r="M1830" s="16"/>
      <c r="N1830" s="11"/>
      <c r="O1830" s="17"/>
      <c r="P1830" s="17"/>
    </row>
    <row r="1831" ht="13.5" customHeight="1">
      <c r="A1831" s="11" t="str">
        <f t="shared" si="4"/>
        <v>TRW-MOBILIOAGC</v>
      </c>
      <c r="B1831" s="82" t="s">
        <v>686</v>
      </c>
      <c r="C1831" s="13" t="s">
        <v>2069</v>
      </c>
      <c r="D1831" s="13" t="s">
        <v>62</v>
      </c>
      <c r="E1831" s="13" t="s">
        <v>101</v>
      </c>
      <c r="F1831" s="13" t="s">
        <v>100</v>
      </c>
      <c r="G1831" s="34"/>
      <c r="H1831" s="11">
        <f>SUMIFS(X!$F$3:$F$5978,X!$D$3:$D$5978,'Current Stock'!A1831)</f>
        <v>2</v>
      </c>
      <c r="I1831" s="11">
        <f>SUMIFS(PENJUALAN!$E$4:$E$3651,PENJUALAN!$C$4:$C$3651,'Current Stock'!A1831)</f>
        <v>1</v>
      </c>
      <c r="J1831" s="15">
        <f t="shared" si="2"/>
        <v>1</v>
      </c>
      <c r="K1831" s="13"/>
      <c r="L1831" s="13"/>
      <c r="M1831" s="44"/>
      <c r="N1831" s="44"/>
      <c r="O1831" s="27"/>
      <c r="P1831" s="27"/>
    </row>
    <row r="1832" ht="13.5" customHeight="1">
      <c r="A1832" s="11" t="str">
        <f t="shared" si="4"/>
        <v>FDR-INNOVA15ASH</v>
      </c>
      <c r="B1832" s="12" t="s">
        <v>2070</v>
      </c>
      <c r="C1832" s="33" t="s">
        <v>1172</v>
      </c>
      <c r="D1832" s="11" t="s">
        <v>106</v>
      </c>
      <c r="E1832" s="11" t="s">
        <v>93</v>
      </c>
      <c r="F1832" s="11" t="s">
        <v>406</v>
      </c>
      <c r="G1832" s="34">
        <v>45988.0</v>
      </c>
      <c r="H1832" s="11">
        <f>SUMIFS(X!$F$3:$F$5978,X!$D$3:$D$5978,'Current Stock'!A1832)</f>
        <v>1</v>
      </c>
      <c r="I1832" s="11">
        <f>SUMIFS(PENJUALAN!$E$4:$E$3651,PENJUALAN!$C$4:$C$3651,'Current Stock'!A1832)</f>
        <v>0</v>
      </c>
      <c r="J1832" s="15">
        <f t="shared" si="2"/>
        <v>1</v>
      </c>
      <c r="K1832" s="13"/>
      <c r="L1832" s="13"/>
      <c r="M1832" s="16"/>
      <c r="N1832" s="11"/>
      <c r="O1832" s="17"/>
      <c r="P1832" s="17"/>
    </row>
    <row r="1833" ht="13.5" customHeight="1">
      <c r="A1833" s="11" t="str">
        <f t="shared" si="4"/>
        <v>RDL-INNOVA15ASH</v>
      </c>
      <c r="B1833" s="12" t="s">
        <v>2071</v>
      </c>
      <c r="C1833" s="33" t="s">
        <v>1172</v>
      </c>
      <c r="D1833" s="11" t="s">
        <v>92</v>
      </c>
      <c r="E1833" s="11" t="s">
        <v>93</v>
      </c>
      <c r="F1833" s="11"/>
      <c r="G1833" s="11"/>
      <c r="H1833" s="11">
        <f>SUMIFS(X!$F$3:$F$5978,X!$D$3:$D$5978,'Current Stock'!A1833)</f>
        <v>0</v>
      </c>
      <c r="I1833" s="11">
        <f>SUMIFS(PENJUALAN!$E$4:$E$3651,PENJUALAN!$C$4:$C$3651,'Current Stock'!A1833)</f>
        <v>0</v>
      </c>
      <c r="J1833" s="15">
        <f t="shared" si="2"/>
        <v>0</v>
      </c>
      <c r="K1833" s="11"/>
      <c r="L1833" s="11"/>
      <c r="M1833" s="16"/>
      <c r="N1833" s="11"/>
      <c r="O1833" s="17"/>
      <c r="P1833" s="17"/>
    </row>
    <row r="1834" ht="13.5" customHeight="1">
      <c r="A1834" s="23" t="str">
        <f t="shared" si="4"/>
        <v>RDR-MOBILIOASH</v>
      </c>
      <c r="B1834" s="86" t="s">
        <v>2072</v>
      </c>
      <c r="C1834" s="25" t="s">
        <v>2073</v>
      </c>
      <c r="D1834" s="87" t="str">
        <f>LEFT(A1834,FIND("-",A1834) - 1)</f>
        <v>RDR</v>
      </c>
      <c r="E1834" s="25" t="s">
        <v>93</v>
      </c>
      <c r="F1834" s="87"/>
      <c r="G1834" s="23"/>
      <c r="H1834" s="11">
        <f>SUMIFS(X!$F$3:$F$5978,X!$D$3:$D$5978,'Current Stock'!A1834)</f>
        <v>3</v>
      </c>
      <c r="I1834" s="11">
        <f>SUMIFS(PENJUALAN!$E$4:$E$3651,PENJUALAN!$C$4:$C$3651,'Current Stock'!A1834)</f>
        <v>3</v>
      </c>
      <c r="J1834" s="15">
        <f t="shared" si="2"/>
        <v>0</v>
      </c>
      <c r="K1834" s="25"/>
      <c r="L1834" s="25"/>
      <c r="M1834" s="87"/>
      <c r="N1834" s="87"/>
      <c r="O1834" s="17"/>
      <c r="P1834" s="17"/>
    </row>
    <row r="1835" ht="13.5" customHeight="1">
      <c r="A1835" s="23" t="str">
        <f t="shared" si="4"/>
        <v>SWL-INNOVA15ASH</v>
      </c>
      <c r="B1835" s="24" t="s">
        <v>2074</v>
      </c>
      <c r="C1835" s="80" t="s">
        <v>1172</v>
      </c>
      <c r="D1835" s="23" t="s">
        <v>1410</v>
      </c>
      <c r="E1835" s="23" t="s">
        <v>93</v>
      </c>
      <c r="F1835" s="23" t="s">
        <v>2075</v>
      </c>
      <c r="G1835" s="28"/>
      <c r="H1835" s="11">
        <f>SUMIFS(X!$F$3:$F$5978,X!$D$3:$D$5978,'Current Stock'!A1835)</f>
        <v>1</v>
      </c>
      <c r="I1835" s="11">
        <f>SUMIFS(PENJUALAN!$E$4:$E$3651,PENJUALAN!$C$4:$C$3651,'Current Stock'!A1835)</f>
        <v>0</v>
      </c>
      <c r="J1835" s="15">
        <f t="shared" si="2"/>
        <v>1</v>
      </c>
      <c r="K1835" s="25"/>
      <c r="L1835" s="25"/>
      <c r="M1835" s="26"/>
      <c r="N1835" s="23"/>
      <c r="O1835" s="27"/>
      <c r="P1835" s="27"/>
    </row>
    <row r="1836" ht="13.5" customHeight="1">
      <c r="A1836" s="11" t="str">
        <f t="shared" si="4"/>
        <v>SWR-INNOVA15ASH</v>
      </c>
      <c r="B1836" s="12" t="s">
        <v>2076</v>
      </c>
      <c r="C1836" s="33" t="s">
        <v>1172</v>
      </c>
      <c r="D1836" s="11" t="s">
        <v>116</v>
      </c>
      <c r="E1836" s="11" t="s">
        <v>93</v>
      </c>
      <c r="F1836" s="11" t="s">
        <v>2075</v>
      </c>
      <c r="G1836" s="11"/>
      <c r="H1836" s="11">
        <f>SUMIFS(X!$F$3:$F$5978,X!$D$3:$D$5978,'Current Stock'!A1836)</f>
        <v>0</v>
      </c>
      <c r="I1836" s="11">
        <f>SUMIFS(PENJUALAN!$E$4:$E$3651,PENJUALAN!$C$4:$C$3651,'Current Stock'!A1836)</f>
        <v>0</v>
      </c>
      <c r="J1836" s="15">
        <f t="shared" si="2"/>
        <v>0</v>
      </c>
      <c r="K1836" s="11"/>
      <c r="L1836" s="11"/>
      <c r="M1836" s="16"/>
      <c r="N1836" s="11"/>
      <c r="O1836" s="17"/>
      <c r="P1836" s="17"/>
    </row>
    <row r="1837" ht="15.0" customHeight="1">
      <c r="A1837" s="11" t="str">
        <f t="shared" si="4"/>
        <v>TRW-SPORTAGE04XYG</v>
      </c>
      <c r="B1837" s="32" t="s">
        <v>2077</v>
      </c>
      <c r="C1837" s="67" t="s">
        <v>2078</v>
      </c>
      <c r="D1837" s="33" t="s">
        <v>62</v>
      </c>
      <c r="E1837" s="11" t="s">
        <v>16</v>
      </c>
      <c r="F1837" s="33" t="s">
        <v>2079</v>
      </c>
      <c r="G1837" s="11"/>
      <c r="H1837" s="11">
        <f>SUMIFS(X!$F$3:$F$5978,X!$D$3:$D$5978,'Current Stock'!A1837)</f>
        <v>0</v>
      </c>
      <c r="I1837" s="11">
        <f>SUMIFS(PENJUALAN!$E$4:$E$3651,PENJUALAN!$C$4:$C$3651,'Current Stock'!A1837)</f>
        <v>0</v>
      </c>
      <c r="J1837" s="15">
        <f t="shared" si="2"/>
        <v>0</v>
      </c>
      <c r="K1837" s="44"/>
      <c r="L1837" s="44"/>
      <c r="M1837" s="44"/>
      <c r="N1837" s="44"/>
      <c r="O1837" s="88"/>
      <c r="P1837" s="88"/>
    </row>
    <row r="1838" ht="15.0" customHeight="1">
      <c r="A1838" s="11" t="str">
        <f t="shared" si="4"/>
        <v>FDL-AVANZA03ORI</v>
      </c>
      <c r="B1838" s="12" t="s">
        <v>2080</v>
      </c>
      <c r="C1838" s="11" t="s">
        <v>81</v>
      </c>
      <c r="D1838" s="11" t="s">
        <v>104</v>
      </c>
      <c r="E1838" s="11" t="s">
        <v>99</v>
      </c>
      <c r="F1838" s="11" t="s">
        <v>2081</v>
      </c>
      <c r="G1838" s="11"/>
      <c r="H1838" s="11">
        <f>SUMIFS(X!$F$3:$F$5978,X!$D$3:$D$5978,'Current Stock'!A1838)</f>
        <v>0</v>
      </c>
      <c r="I1838" s="11">
        <f>SUMIFS(PENJUALAN!$E$4:$E$3651,PENJUALAN!$C$4:$C$3651,'Current Stock'!A1838)</f>
        <v>0</v>
      </c>
      <c r="J1838" s="15">
        <f t="shared" si="2"/>
        <v>0</v>
      </c>
      <c r="K1838" s="11"/>
      <c r="L1838" s="11"/>
      <c r="M1838" s="44"/>
      <c r="N1838" s="44"/>
      <c r="O1838" s="88"/>
      <c r="P1838" s="88"/>
    </row>
    <row r="1839" ht="15.0" customHeight="1">
      <c r="A1839" s="11" t="str">
        <f t="shared" si="4"/>
        <v>SWR-BALENOSX408ORI</v>
      </c>
      <c r="B1839" s="11" t="s">
        <v>1698</v>
      </c>
      <c r="C1839" s="33" t="s">
        <v>1697</v>
      </c>
      <c r="D1839" s="11" t="s">
        <v>116</v>
      </c>
      <c r="E1839" s="11" t="s">
        <v>99</v>
      </c>
      <c r="F1839" s="11" t="s">
        <v>109</v>
      </c>
      <c r="G1839" s="11"/>
      <c r="H1839" s="11">
        <f>SUMIFS(X!$F$3:$F$5978,X!$D$3:$D$5978,'Current Stock'!A1839)</f>
        <v>0</v>
      </c>
      <c r="I1839" s="11">
        <f>SUMIFS(PENJUALAN!$E$4:$E$3651,PENJUALAN!$C$4:$C$3651,'Current Stock'!A1839)</f>
        <v>0</v>
      </c>
      <c r="J1839" s="15">
        <f t="shared" si="2"/>
        <v>0</v>
      </c>
      <c r="K1839" s="44"/>
      <c r="L1839" s="44"/>
      <c r="M1839" s="44"/>
      <c r="N1839" s="44"/>
      <c r="O1839" s="88"/>
      <c r="P1839" s="88"/>
    </row>
    <row r="1840" ht="15.0" customHeight="1">
      <c r="A1840" s="11" t="str">
        <f t="shared" si="4"/>
        <v>LFW-TAFTGTASH</v>
      </c>
      <c r="B1840" s="12" t="s">
        <v>2082</v>
      </c>
      <c r="C1840" s="33" t="s">
        <v>2083</v>
      </c>
      <c r="D1840" s="11" t="s">
        <v>60</v>
      </c>
      <c r="E1840" s="11" t="s">
        <v>93</v>
      </c>
      <c r="F1840" s="44"/>
      <c r="G1840" s="11"/>
      <c r="H1840" s="11">
        <f>SUMIFS(X!$F$3:$F$5978,X!$D$3:$D$5978,'Current Stock'!A1840)</f>
        <v>0</v>
      </c>
      <c r="I1840" s="11">
        <f>SUMIFS(PENJUALAN!$E$4:$E$3651,PENJUALAN!$C$4:$C$3651,'Current Stock'!A1840)</f>
        <v>0</v>
      </c>
      <c r="J1840" s="15">
        <f t="shared" si="2"/>
        <v>0</v>
      </c>
      <c r="K1840" s="13" t="s">
        <v>120</v>
      </c>
      <c r="L1840" s="44"/>
      <c r="M1840" s="44"/>
      <c r="N1840" s="44"/>
      <c r="O1840" s="88"/>
      <c r="P1840" s="88"/>
    </row>
    <row r="1841" ht="15.0" customHeight="1">
      <c r="A1841" s="11" t="str">
        <f t="shared" si="4"/>
        <v>TRW-TAFTGTASH</v>
      </c>
      <c r="B1841" s="18" t="s">
        <v>2084</v>
      </c>
      <c r="C1841" s="33" t="s">
        <v>2083</v>
      </c>
      <c r="D1841" s="13" t="s">
        <v>62</v>
      </c>
      <c r="E1841" s="13" t="s">
        <v>93</v>
      </c>
      <c r="F1841" s="44"/>
      <c r="G1841" s="11"/>
      <c r="H1841" s="11">
        <f>SUMIFS(X!$F$3:$F$5978,X!$D$3:$D$5978,'Current Stock'!A1841)</f>
        <v>0</v>
      </c>
      <c r="I1841" s="11">
        <f>SUMIFS(PENJUALAN!$E$4:$E$3651,PENJUALAN!$C$4:$C$3651,'Current Stock'!A1841)</f>
        <v>0</v>
      </c>
      <c r="J1841" s="15">
        <f t="shared" si="2"/>
        <v>0</v>
      </c>
      <c r="K1841" s="13"/>
      <c r="L1841" s="44"/>
      <c r="M1841" s="44"/>
      <c r="N1841" s="44"/>
      <c r="O1841" s="88"/>
      <c r="P1841" s="88"/>
    </row>
    <row r="1842" ht="15.0" customHeight="1">
      <c r="A1842" s="11" t="str">
        <f t="shared" si="4"/>
        <v>FDR-ACCORD08MSG</v>
      </c>
      <c r="B1842" s="32" t="s">
        <v>2085</v>
      </c>
      <c r="C1842" s="33" t="s">
        <v>354</v>
      </c>
      <c r="D1842" s="33" t="s">
        <v>106</v>
      </c>
      <c r="E1842" s="11" t="s">
        <v>2086</v>
      </c>
      <c r="F1842" s="44"/>
      <c r="G1842" s="11"/>
      <c r="H1842" s="11">
        <f>SUMIFS(X!$F$3:$F$5978,X!$D$3:$D$5978,'Current Stock'!A1842)</f>
        <v>0</v>
      </c>
      <c r="I1842" s="11">
        <f>SUMIFS(PENJUALAN!$E$4:$E$3651,PENJUALAN!$C$4:$C$3651,'Current Stock'!A1842)</f>
        <v>0</v>
      </c>
      <c r="J1842" s="15">
        <f t="shared" si="2"/>
        <v>0</v>
      </c>
      <c r="K1842" s="44"/>
      <c r="L1842" s="44"/>
      <c r="M1842" s="44"/>
      <c r="N1842" s="44"/>
      <c r="O1842" s="88"/>
      <c r="P1842" s="88"/>
    </row>
    <row r="1843" ht="15.0" customHeight="1">
      <c r="A1843" s="11" t="str">
        <f t="shared" si="4"/>
        <v>RDR-BRIOASH</v>
      </c>
      <c r="B1843" s="12" t="s">
        <v>2087</v>
      </c>
      <c r="C1843" s="11" t="s">
        <v>2068</v>
      </c>
      <c r="D1843" s="11" t="s">
        <v>86</v>
      </c>
      <c r="E1843" s="11" t="s">
        <v>93</v>
      </c>
      <c r="F1843" s="44"/>
      <c r="G1843" s="14">
        <v>45988.0</v>
      </c>
      <c r="H1843" s="11">
        <f>SUMIFS(X!$F$3:$F$5978,X!$D$3:$D$5978,'Current Stock'!A1843)</f>
        <v>0</v>
      </c>
      <c r="I1843" s="11">
        <f>SUMIFS(PENJUALAN!$E$4:$E$3651,PENJUALAN!$C$4:$C$3651,'Current Stock'!A1843)</f>
        <v>0</v>
      </c>
      <c r="J1843" s="15">
        <f t="shared" si="2"/>
        <v>0</v>
      </c>
      <c r="K1843" s="13"/>
      <c r="L1843" s="11"/>
      <c r="M1843" s="44"/>
      <c r="N1843" s="44"/>
      <c r="O1843" s="88"/>
      <c r="P1843" s="88"/>
    </row>
    <row r="1844" ht="15.0" customHeight="1">
      <c r="A1844" s="11" t="str">
        <f t="shared" si="4"/>
        <v>FDR-ALTIS00ASH</v>
      </c>
      <c r="B1844" s="32" t="s">
        <v>2088</v>
      </c>
      <c r="C1844" s="67" t="s">
        <v>1074</v>
      </c>
      <c r="D1844" s="33" t="s">
        <v>106</v>
      </c>
      <c r="E1844" s="11" t="s">
        <v>93</v>
      </c>
      <c r="F1844" s="44"/>
      <c r="G1844" s="11"/>
      <c r="H1844" s="11">
        <f>SUMIFS(X!$F$3:$F$5978,X!$D$3:$D$5978,'Current Stock'!A1844)</f>
        <v>0</v>
      </c>
      <c r="I1844" s="11">
        <f>SUMIFS(PENJUALAN!$E$4:$E$3651,PENJUALAN!$C$4:$C$3651,'Current Stock'!A1844)</f>
        <v>0</v>
      </c>
      <c r="J1844" s="15">
        <f t="shared" si="2"/>
        <v>0</v>
      </c>
      <c r="K1844" s="44"/>
      <c r="L1844" s="44"/>
      <c r="M1844" s="44"/>
      <c r="N1844" s="44"/>
      <c r="O1844" s="88"/>
      <c r="P1844" s="88"/>
    </row>
    <row r="1845" ht="15.0" customHeight="1">
      <c r="A1845" s="11" t="str">
        <f t="shared" si="4"/>
        <v>FDR-AVANZA03ORI</v>
      </c>
      <c r="B1845" s="12" t="s">
        <v>2089</v>
      </c>
      <c r="C1845" s="11" t="s">
        <v>81</v>
      </c>
      <c r="D1845" s="11" t="s">
        <v>106</v>
      </c>
      <c r="E1845" s="11" t="s">
        <v>99</v>
      </c>
      <c r="F1845" s="11" t="s">
        <v>2081</v>
      </c>
      <c r="G1845" s="11"/>
      <c r="H1845" s="11">
        <f>SUMIFS(X!$F$3:$F$5978,X!$D$3:$D$5978,'Current Stock'!A1845)</f>
        <v>0</v>
      </c>
      <c r="I1845" s="11">
        <f>SUMIFS(PENJUALAN!$E$4:$E$3651,PENJUALAN!$C$4:$C$3651,'Current Stock'!A1845)</f>
        <v>0</v>
      </c>
      <c r="J1845" s="15">
        <f t="shared" si="2"/>
        <v>0</v>
      </c>
      <c r="K1845" s="44"/>
      <c r="L1845" s="44"/>
      <c r="M1845" s="44"/>
      <c r="N1845" s="44"/>
      <c r="O1845" s="88"/>
      <c r="P1845" s="88"/>
    </row>
    <row r="1846" ht="15.0" customHeight="1">
      <c r="A1846" s="23" t="str">
        <f t="shared" si="4"/>
        <v>TRW-PANTHER00SEALASH</v>
      </c>
      <c r="B1846" s="89" t="s">
        <v>2090</v>
      </c>
      <c r="C1846" s="90" t="s">
        <v>2091</v>
      </c>
      <c r="D1846" s="23" t="s">
        <v>62</v>
      </c>
      <c r="E1846" s="23" t="s">
        <v>93</v>
      </c>
      <c r="F1846" s="25" t="s">
        <v>109</v>
      </c>
      <c r="G1846" s="28"/>
      <c r="H1846" s="11">
        <f>SUMIFS(X!$F$3:$F$5978,X!$D$3:$D$5978,'Current Stock'!A1846)</f>
        <v>2</v>
      </c>
      <c r="I1846" s="11">
        <f>SUMIFS(PENJUALAN!$E$4:$E$3651,PENJUALAN!$C$4:$C$3651,'Current Stock'!A1846)</f>
        <v>2</v>
      </c>
      <c r="J1846" s="15">
        <f t="shared" si="2"/>
        <v>0</v>
      </c>
      <c r="K1846" s="25"/>
      <c r="L1846" s="25"/>
      <c r="M1846" s="87"/>
      <c r="N1846" s="25" t="s">
        <v>2092</v>
      </c>
      <c r="O1846" s="91"/>
      <c r="P1846" s="91"/>
    </row>
    <row r="1847" ht="15.0" customHeight="1">
      <c r="A1847" s="11" t="str">
        <f t="shared" si="4"/>
        <v>TRW-PANTHER00KRTASH</v>
      </c>
      <c r="B1847" s="36" t="s">
        <v>2093</v>
      </c>
      <c r="C1847" s="31" t="s">
        <v>2094</v>
      </c>
      <c r="D1847" s="11" t="s">
        <v>62</v>
      </c>
      <c r="E1847" s="11" t="s">
        <v>93</v>
      </c>
      <c r="F1847" s="11"/>
      <c r="G1847" s="11"/>
      <c r="H1847" s="11">
        <f>SUMIFS(X!$F$3:$F$5978,X!$D$3:$D$5978,'Current Stock'!A1847)</f>
        <v>0</v>
      </c>
      <c r="I1847" s="11">
        <f>SUMIFS(PENJUALAN!$E$4:$E$3651,PENJUALAN!$C$4:$C$3651,'Current Stock'!A1847)</f>
        <v>0</v>
      </c>
      <c r="J1847" s="15">
        <f t="shared" si="2"/>
        <v>0</v>
      </c>
      <c r="K1847" s="13"/>
      <c r="L1847" s="13"/>
      <c r="M1847" s="44"/>
      <c r="N1847" s="44"/>
      <c r="O1847" s="88"/>
      <c r="P1847" s="88"/>
    </row>
    <row r="1848" ht="15.0" customHeight="1">
      <c r="A1848" s="11" t="str">
        <f t="shared" si="4"/>
        <v>RDR-BALENOSX408SG</v>
      </c>
      <c r="B1848" s="32" t="s">
        <v>2095</v>
      </c>
      <c r="C1848" s="33" t="s">
        <v>1697</v>
      </c>
      <c r="D1848" s="33" t="s">
        <v>86</v>
      </c>
      <c r="E1848" s="11" t="s">
        <v>79</v>
      </c>
      <c r="F1848" s="44"/>
      <c r="G1848" s="11"/>
      <c r="H1848" s="11">
        <f>SUMIFS(X!$F$3:$F$5978,X!$D$3:$D$5978,'Current Stock'!A1848)</f>
        <v>0</v>
      </c>
      <c r="I1848" s="11">
        <f>SUMIFS(PENJUALAN!$E$4:$E$3651,PENJUALAN!$C$4:$C$3651,'Current Stock'!A1848)</f>
        <v>0</v>
      </c>
      <c r="J1848" s="15">
        <f t="shared" si="2"/>
        <v>0</v>
      </c>
      <c r="K1848" s="44"/>
      <c r="L1848" s="44"/>
      <c r="M1848" s="44"/>
      <c r="N1848" s="44"/>
      <c r="O1848" s="88"/>
      <c r="P1848" s="88"/>
    </row>
    <row r="1849" ht="15.0" customHeight="1">
      <c r="A1849" s="11" t="str">
        <f t="shared" si="4"/>
        <v>SWL-EVEREST06XYG</v>
      </c>
      <c r="B1849" s="12" t="s">
        <v>2096</v>
      </c>
      <c r="C1849" s="33" t="s">
        <v>304</v>
      </c>
      <c r="D1849" s="11" t="s">
        <v>1410</v>
      </c>
      <c r="E1849" s="11" t="s">
        <v>16</v>
      </c>
      <c r="F1849" s="11" t="s">
        <v>109</v>
      </c>
      <c r="G1849" s="11"/>
      <c r="H1849" s="11">
        <f>SUMIFS(X!$F$3:$F$5978,X!$D$3:$D$5978,'Current Stock'!A1849)</f>
        <v>0</v>
      </c>
      <c r="I1849" s="11">
        <f>SUMIFS(PENJUALAN!$E$4:$E$3651,PENJUALAN!$C$4:$C$3651,'Current Stock'!A1849)</f>
        <v>0</v>
      </c>
      <c r="J1849" s="15">
        <f t="shared" si="2"/>
        <v>0</v>
      </c>
      <c r="K1849" s="44"/>
      <c r="L1849" s="44"/>
      <c r="M1849" s="44"/>
      <c r="N1849" s="44"/>
      <c r="O1849" s="88"/>
      <c r="P1849" s="88"/>
    </row>
    <row r="1850" ht="15.0" customHeight="1">
      <c r="A1850" s="11" t="str">
        <f t="shared" si="4"/>
        <v>RDL-EVEREST06XYG</v>
      </c>
      <c r="B1850" s="12" t="s">
        <v>2097</v>
      </c>
      <c r="C1850" s="33" t="s">
        <v>304</v>
      </c>
      <c r="D1850" s="11" t="s">
        <v>92</v>
      </c>
      <c r="E1850" s="11" t="s">
        <v>16</v>
      </c>
      <c r="F1850" s="11"/>
      <c r="G1850" s="11"/>
      <c r="H1850" s="11">
        <f>SUMIFS(X!$F$3:$F$5978,X!$D$3:$D$5978,'Current Stock'!A1850)</f>
        <v>0</v>
      </c>
      <c r="I1850" s="11">
        <f>SUMIFS(PENJUALAN!$E$4:$E$3651,PENJUALAN!$C$4:$C$3651,'Current Stock'!A1850)</f>
        <v>0</v>
      </c>
      <c r="J1850" s="15">
        <f t="shared" si="2"/>
        <v>0</v>
      </c>
      <c r="K1850" s="44"/>
      <c r="L1850" s="44"/>
      <c r="M1850" s="44"/>
      <c r="N1850" s="44"/>
      <c r="O1850" s="88"/>
      <c r="P1850" s="88"/>
    </row>
    <row r="1851" ht="15.0" customHeight="1">
      <c r="A1851" s="11" t="str">
        <f t="shared" si="4"/>
        <v>SWR-EVEREST06XYG</v>
      </c>
      <c r="B1851" s="12" t="s">
        <v>2098</v>
      </c>
      <c r="C1851" s="33" t="s">
        <v>304</v>
      </c>
      <c r="D1851" s="11" t="s">
        <v>116</v>
      </c>
      <c r="E1851" s="11" t="s">
        <v>16</v>
      </c>
      <c r="F1851" s="11" t="s">
        <v>109</v>
      </c>
      <c r="G1851" s="11"/>
      <c r="H1851" s="11">
        <f>SUMIFS(X!$F$3:$F$5978,X!$D$3:$D$5978,'Current Stock'!A1851)</f>
        <v>1</v>
      </c>
      <c r="I1851" s="11">
        <f>SUMIFS(PENJUALAN!$E$4:$E$3651,PENJUALAN!$C$4:$C$3651,'Current Stock'!A1851)</f>
        <v>1</v>
      </c>
      <c r="J1851" s="15">
        <f t="shared" si="2"/>
        <v>0</v>
      </c>
      <c r="K1851" s="44"/>
      <c r="L1851" s="44"/>
      <c r="M1851" s="44"/>
      <c r="N1851" s="44"/>
      <c r="O1851" s="88"/>
      <c r="P1851" s="88"/>
    </row>
    <row r="1852" ht="15.0" customHeight="1">
      <c r="A1852" s="23" t="str">
        <f t="shared" si="4"/>
        <v>TRW-AGYA13ASH</v>
      </c>
      <c r="B1852" s="89" t="s">
        <v>2099</v>
      </c>
      <c r="C1852" s="80" t="s">
        <v>2100</v>
      </c>
      <c r="D1852" s="90" t="s">
        <v>62</v>
      </c>
      <c r="E1852" s="25" t="s">
        <v>93</v>
      </c>
      <c r="F1852" s="90" t="s">
        <v>109</v>
      </c>
      <c r="G1852" s="23"/>
      <c r="H1852" s="11">
        <f>SUMIFS(X!$F$3:$F$5978,X!$D$3:$D$5978,'Current Stock'!A1852)</f>
        <v>0</v>
      </c>
      <c r="I1852" s="11">
        <f>SUMIFS(PENJUALAN!$E$4:$E$3651,PENJUALAN!$C$4:$C$3651,'Current Stock'!A1852)</f>
        <v>0</v>
      </c>
      <c r="J1852" s="15">
        <f t="shared" si="2"/>
        <v>0</v>
      </c>
      <c r="K1852" s="25"/>
      <c r="L1852" s="25"/>
      <c r="M1852" s="87"/>
      <c r="N1852" s="87"/>
      <c r="O1852" s="91"/>
      <c r="P1852" s="91"/>
    </row>
    <row r="1853" ht="15.0" customHeight="1">
      <c r="A1853" s="11" t="str">
        <f t="shared" si="4"/>
        <v>TRW-FUTURAMBASH</v>
      </c>
      <c r="B1853" s="36" t="s">
        <v>2101</v>
      </c>
      <c r="C1853" s="41" t="s">
        <v>2102</v>
      </c>
      <c r="D1853" s="41" t="s">
        <v>62</v>
      </c>
      <c r="E1853" s="13" t="s">
        <v>93</v>
      </c>
      <c r="F1853" s="31"/>
      <c r="G1853" s="11"/>
      <c r="H1853" s="11">
        <f>SUMIFS(X!$F$3:$F$5978,X!$D$3:$D$5978,'Current Stock'!A1853)</f>
        <v>0</v>
      </c>
      <c r="I1853" s="11">
        <f>SUMIFS(PENJUALAN!$E$4:$E$3651,PENJUALAN!$C$4:$C$3651,'Current Stock'!A1853)</f>
        <v>0</v>
      </c>
      <c r="J1853" s="15">
        <f t="shared" si="2"/>
        <v>0</v>
      </c>
      <c r="K1853" s="13"/>
      <c r="L1853" s="13"/>
      <c r="M1853" s="44"/>
      <c r="N1853" s="44"/>
      <c r="O1853" s="88"/>
      <c r="P1853" s="88"/>
    </row>
    <row r="1854" ht="15.0" customHeight="1">
      <c r="A1854" s="11" t="str">
        <f t="shared" si="4"/>
        <v>LFW-KATANAC84MU</v>
      </c>
      <c r="B1854" s="36" t="s">
        <v>2103</v>
      </c>
      <c r="C1854" s="35" t="s">
        <v>1997</v>
      </c>
      <c r="D1854" s="35" t="s">
        <v>60</v>
      </c>
      <c r="E1854" s="11" t="s">
        <v>1633</v>
      </c>
      <c r="F1854" s="31" t="s">
        <v>1938</v>
      </c>
      <c r="G1854" s="11"/>
      <c r="H1854" s="11">
        <f>SUMIFS(X!$F$3:$F$5978,X!$D$3:$D$5978,'Current Stock'!A1854)</f>
        <v>0</v>
      </c>
      <c r="I1854" s="11">
        <f>SUMIFS(PENJUALAN!$E$4:$E$3651,PENJUALAN!$C$4:$C$3651,'Current Stock'!A1854)</f>
        <v>0</v>
      </c>
      <c r="J1854" s="15">
        <f t="shared" si="2"/>
        <v>0</v>
      </c>
      <c r="K1854" s="13"/>
      <c r="L1854" s="13"/>
      <c r="M1854" s="44"/>
      <c r="N1854" s="44"/>
      <c r="O1854" s="88"/>
      <c r="P1854" s="88"/>
    </row>
    <row r="1855" ht="15.0" customHeight="1">
      <c r="A1855" s="11" t="str">
        <f t="shared" si="4"/>
        <v>LFW-INNOVA04MSG</v>
      </c>
      <c r="B1855" s="13" t="s">
        <v>1164</v>
      </c>
      <c r="C1855" s="33" t="s">
        <v>1165</v>
      </c>
      <c r="D1855" s="13" t="s">
        <v>60</v>
      </c>
      <c r="E1855" s="13" t="s">
        <v>2086</v>
      </c>
      <c r="F1855" s="13" t="s">
        <v>2104</v>
      </c>
      <c r="G1855" s="11"/>
      <c r="H1855" s="11">
        <f>SUMIFS(X!$F$3:$F$5978,X!$D$3:$D$5978,'Current Stock'!A1855)</f>
        <v>0</v>
      </c>
      <c r="I1855" s="11">
        <f>SUMIFS(PENJUALAN!$E$4:$E$3651,PENJUALAN!$C$4:$C$3651,'Current Stock'!A1855)</f>
        <v>0</v>
      </c>
      <c r="J1855" s="15">
        <f t="shared" si="2"/>
        <v>0</v>
      </c>
      <c r="K1855" s="13"/>
      <c r="L1855" s="13"/>
      <c r="M1855" s="44"/>
      <c r="N1855" s="44"/>
      <c r="O1855" s="88"/>
      <c r="P1855" s="88"/>
    </row>
    <row r="1856" ht="15.0" customHeight="1">
      <c r="A1856" s="23" t="str">
        <f t="shared" si="4"/>
        <v>TRW-ALPHARD08BLACKFR</v>
      </c>
      <c r="B1856" s="25" t="s">
        <v>1053</v>
      </c>
      <c r="C1856" s="25" t="s">
        <v>1054</v>
      </c>
      <c r="D1856" s="25" t="s">
        <v>62</v>
      </c>
      <c r="E1856" s="25" t="s">
        <v>1429</v>
      </c>
      <c r="F1856" s="25" t="s">
        <v>1442</v>
      </c>
      <c r="G1856" s="23"/>
      <c r="H1856" s="11">
        <f>SUMIFS(X!$F$3:$F$5978,X!$D$3:$D$5978,'Current Stock'!A1856)</f>
        <v>0</v>
      </c>
      <c r="I1856" s="11">
        <f>SUMIFS(PENJUALAN!$E$4:$E$3651,PENJUALAN!$C$4:$C$3651,'Current Stock'!A1856)</f>
        <v>0</v>
      </c>
      <c r="J1856" s="15">
        <f t="shared" si="2"/>
        <v>0</v>
      </c>
      <c r="K1856" s="25"/>
      <c r="L1856" s="25"/>
      <c r="M1856" s="87"/>
      <c r="N1856" s="87"/>
      <c r="O1856" s="91"/>
      <c r="P1856" s="91"/>
    </row>
    <row r="1857" ht="15.0" customHeight="1">
      <c r="A1857" s="11" t="str">
        <f t="shared" si="4"/>
        <v>FDL-ALPHARD08FR</v>
      </c>
      <c r="B1857" s="13" t="s">
        <v>1047</v>
      </c>
      <c r="C1857" s="13" t="s">
        <v>88</v>
      </c>
      <c r="D1857" s="13" t="s">
        <v>104</v>
      </c>
      <c r="E1857" s="13" t="s">
        <v>1429</v>
      </c>
      <c r="F1857" s="44"/>
      <c r="G1857" s="11"/>
      <c r="H1857" s="11">
        <f>SUMIFS(X!$F$3:$F$5978,X!$D$3:$D$5978,'Current Stock'!A1857)</f>
        <v>0</v>
      </c>
      <c r="I1857" s="11">
        <f>SUMIFS(PENJUALAN!$E$4:$E$3651,PENJUALAN!$C$4:$C$3651,'Current Stock'!A1857)</f>
        <v>0</v>
      </c>
      <c r="J1857" s="15">
        <f t="shared" si="2"/>
        <v>0</v>
      </c>
      <c r="K1857" s="13"/>
      <c r="L1857" s="13"/>
      <c r="M1857" s="44"/>
      <c r="N1857" s="44"/>
      <c r="O1857" s="88"/>
      <c r="P1857" s="88"/>
    </row>
    <row r="1858" ht="15.0" customHeight="1">
      <c r="A1858" s="11" t="str">
        <f t="shared" si="4"/>
        <v>FDR-ALPHARD08FR</v>
      </c>
      <c r="B1858" s="13" t="s">
        <v>1048</v>
      </c>
      <c r="C1858" s="13" t="s">
        <v>88</v>
      </c>
      <c r="D1858" s="13" t="s">
        <v>106</v>
      </c>
      <c r="E1858" s="13" t="s">
        <v>1429</v>
      </c>
      <c r="F1858" s="44"/>
      <c r="G1858" s="11"/>
      <c r="H1858" s="11">
        <f>SUMIFS(X!$F$3:$F$5978,X!$D$3:$D$5978,'Current Stock'!A1858)</f>
        <v>0</v>
      </c>
      <c r="I1858" s="11">
        <f>SUMIFS(PENJUALAN!$E$4:$E$3651,PENJUALAN!$C$4:$C$3651,'Current Stock'!A1858)</f>
        <v>0</v>
      </c>
      <c r="J1858" s="15">
        <f t="shared" si="2"/>
        <v>0</v>
      </c>
      <c r="K1858" s="13"/>
      <c r="L1858" s="13"/>
      <c r="M1858" s="44"/>
      <c r="N1858" s="44"/>
      <c r="O1858" s="88"/>
      <c r="P1858" s="88"/>
    </row>
    <row r="1859" ht="15.0" customHeight="1">
      <c r="A1859" s="11" t="str">
        <f t="shared" si="4"/>
        <v>LFW-ALPHARD08RSFR</v>
      </c>
      <c r="B1859" s="13" t="s">
        <v>87</v>
      </c>
      <c r="C1859" s="13" t="s">
        <v>2105</v>
      </c>
      <c r="D1859" s="13" t="s">
        <v>60</v>
      </c>
      <c r="E1859" s="13" t="s">
        <v>1429</v>
      </c>
      <c r="F1859" s="13" t="s">
        <v>90</v>
      </c>
      <c r="G1859" s="11"/>
      <c r="H1859" s="11">
        <f>SUMIFS(X!$F$3:$F$5978,X!$D$3:$D$5978,'Current Stock'!A1859)</f>
        <v>0</v>
      </c>
      <c r="I1859" s="11">
        <f>SUMIFS(PENJUALAN!$E$4:$E$3651,PENJUALAN!$C$4:$C$3651,'Current Stock'!A1859)</f>
        <v>0</v>
      </c>
      <c r="J1859" s="15">
        <f t="shared" si="2"/>
        <v>0</v>
      </c>
      <c r="K1859" s="13"/>
      <c r="L1859" s="13"/>
      <c r="M1859" s="44"/>
      <c r="N1859" s="44"/>
      <c r="O1859" s="88"/>
      <c r="P1859" s="88"/>
    </row>
    <row r="1860" ht="15.0" customHeight="1">
      <c r="A1860" s="11" t="str">
        <f t="shared" si="4"/>
        <v>TRW-ALPHARD15BLACKFR</v>
      </c>
      <c r="B1860" s="13" t="s">
        <v>1067</v>
      </c>
      <c r="C1860" s="13" t="s">
        <v>1068</v>
      </c>
      <c r="D1860" s="13" t="s">
        <v>62</v>
      </c>
      <c r="E1860" s="13" t="s">
        <v>1429</v>
      </c>
      <c r="F1860" s="13" t="s">
        <v>1442</v>
      </c>
      <c r="G1860" s="11"/>
      <c r="H1860" s="11">
        <f>SUMIFS(X!$F$3:$F$5978,X!$D$3:$D$5978,'Current Stock'!A1860)</f>
        <v>0</v>
      </c>
      <c r="I1860" s="11">
        <f>SUMIFS(PENJUALAN!$E$4:$E$3651,PENJUALAN!$C$4:$C$3651,'Current Stock'!A1860)</f>
        <v>0</v>
      </c>
      <c r="J1860" s="15">
        <f t="shared" si="2"/>
        <v>0</v>
      </c>
      <c r="K1860" s="13"/>
      <c r="L1860" s="13"/>
      <c r="M1860" s="44"/>
      <c r="N1860" s="44"/>
      <c r="O1860" s="88"/>
      <c r="P1860" s="88"/>
    </row>
    <row r="1861" ht="15.0" customHeight="1">
      <c r="A1861" s="11" t="str">
        <f t="shared" si="4"/>
        <v>RDL-ALPHARD15BLACKFR</v>
      </c>
      <c r="B1861" s="13" t="s">
        <v>2106</v>
      </c>
      <c r="C1861" s="13" t="s">
        <v>1068</v>
      </c>
      <c r="D1861" s="13" t="s">
        <v>92</v>
      </c>
      <c r="E1861" s="13" t="s">
        <v>1429</v>
      </c>
      <c r="F1861" s="44"/>
      <c r="G1861" s="11"/>
      <c r="H1861" s="11">
        <f>SUMIFS(X!$F$3:$F$5978,X!$D$3:$D$5978,'Current Stock'!A1861)</f>
        <v>0</v>
      </c>
      <c r="I1861" s="11">
        <f>SUMIFS(PENJUALAN!$E$4:$E$3651,PENJUALAN!$C$4:$C$3651,'Current Stock'!A1861)</f>
        <v>0</v>
      </c>
      <c r="J1861" s="15">
        <f t="shared" si="2"/>
        <v>0</v>
      </c>
      <c r="K1861" s="13"/>
      <c r="L1861" s="13"/>
      <c r="M1861" s="44"/>
      <c r="N1861" s="44"/>
      <c r="O1861" s="88"/>
      <c r="P1861" s="88"/>
    </row>
    <row r="1862" ht="15.0" customHeight="1">
      <c r="A1862" s="11" t="str">
        <f t="shared" si="4"/>
        <v>RDR-ALPHARD15BLACKFR</v>
      </c>
      <c r="B1862" s="13" t="s">
        <v>2107</v>
      </c>
      <c r="C1862" s="13" t="s">
        <v>1068</v>
      </c>
      <c r="D1862" s="13" t="s">
        <v>86</v>
      </c>
      <c r="E1862" s="13" t="s">
        <v>1429</v>
      </c>
      <c r="F1862" s="44"/>
      <c r="G1862" s="11"/>
      <c r="H1862" s="11">
        <f>SUMIFS(X!$F$3:$F$5978,X!$D$3:$D$5978,'Current Stock'!A1862)</f>
        <v>1</v>
      </c>
      <c r="I1862" s="11">
        <f>SUMIFS(PENJUALAN!$E$4:$E$3651,PENJUALAN!$C$4:$C$3651,'Current Stock'!A1862)</f>
        <v>1</v>
      </c>
      <c r="J1862" s="15">
        <f t="shared" si="2"/>
        <v>0</v>
      </c>
      <c r="K1862" s="13"/>
      <c r="L1862" s="13"/>
      <c r="M1862" s="44"/>
      <c r="N1862" s="44"/>
      <c r="O1862" s="88"/>
      <c r="P1862" s="88"/>
    </row>
    <row r="1863" ht="15.0" customHeight="1">
      <c r="A1863" s="11" t="str">
        <f t="shared" si="4"/>
        <v>RDL-CRV07ASH</v>
      </c>
      <c r="B1863" s="82" t="s">
        <v>2108</v>
      </c>
      <c r="C1863" s="13" t="s">
        <v>440</v>
      </c>
      <c r="D1863" s="44" t="str">
        <f>LEFT(A1863,FIND("-",A1863) - 1)</f>
        <v>RDL</v>
      </c>
      <c r="E1863" s="13" t="s">
        <v>93</v>
      </c>
      <c r="F1863" s="44"/>
      <c r="G1863" s="11"/>
      <c r="H1863" s="11">
        <f>SUMIFS(X!$F$3:$F$5978,X!$D$3:$D$5978,'Current Stock'!A1863)</f>
        <v>1</v>
      </c>
      <c r="I1863" s="11">
        <f>SUMIFS(PENJUALAN!$E$4:$E$3651,PENJUALAN!$C$4:$C$3651,'Current Stock'!A1863)</f>
        <v>1</v>
      </c>
      <c r="J1863" s="15">
        <f t="shared" si="2"/>
        <v>0</v>
      </c>
      <c r="K1863" s="13"/>
      <c r="L1863" s="13"/>
      <c r="M1863" s="44"/>
      <c r="N1863" s="44"/>
      <c r="O1863" s="88"/>
      <c r="P1863" s="88"/>
    </row>
    <row r="1864" ht="15.0" customHeight="1">
      <c r="A1864" s="11" t="str">
        <f t="shared" si="4"/>
        <v>TRW-CAPTIVAFR</v>
      </c>
      <c r="B1864" s="13" t="s">
        <v>235</v>
      </c>
      <c r="C1864" s="13" t="s">
        <v>230</v>
      </c>
      <c r="D1864" s="13" t="s">
        <v>62</v>
      </c>
      <c r="E1864" s="13" t="s">
        <v>1429</v>
      </c>
      <c r="F1864" s="13" t="s">
        <v>1442</v>
      </c>
      <c r="G1864" s="11"/>
      <c r="H1864" s="11">
        <f>SUMIFS(X!$F$3:$F$5978,X!$D$3:$D$5978,'Current Stock'!A1864)</f>
        <v>0</v>
      </c>
      <c r="I1864" s="11">
        <f>SUMIFS(PENJUALAN!$E$4:$E$3651,PENJUALAN!$C$4:$C$3651,'Current Stock'!A1864)</f>
        <v>0</v>
      </c>
      <c r="J1864" s="15">
        <f t="shared" si="2"/>
        <v>0</v>
      </c>
      <c r="K1864" s="13"/>
      <c r="L1864" s="13"/>
      <c r="M1864" s="44"/>
      <c r="N1864" s="44"/>
      <c r="O1864" s="88"/>
      <c r="P1864" s="88"/>
    </row>
    <row r="1865" ht="15.0" customHeight="1">
      <c r="A1865" s="11" t="str">
        <f t="shared" si="4"/>
        <v>LFW-CAPTIVARSFR</v>
      </c>
      <c r="B1865" s="13" t="s">
        <v>229</v>
      </c>
      <c r="C1865" s="13" t="s">
        <v>230</v>
      </c>
      <c r="D1865" s="13" t="s">
        <v>60</v>
      </c>
      <c r="E1865" s="13" t="s">
        <v>1429</v>
      </c>
      <c r="F1865" s="13" t="s">
        <v>137</v>
      </c>
      <c r="G1865" s="11"/>
      <c r="H1865" s="11">
        <f>SUMIFS(X!$F$3:$F$5978,X!$D$3:$D$5978,'Current Stock'!A1865)</f>
        <v>0</v>
      </c>
      <c r="I1865" s="11">
        <f>SUMIFS(PENJUALAN!$E$4:$E$3651,PENJUALAN!$C$4:$C$3651,'Current Stock'!A1865)</f>
        <v>0</v>
      </c>
      <c r="J1865" s="15">
        <f t="shared" si="2"/>
        <v>0</v>
      </c>
      <c r="K1865" s="13"/>
      <c r="L1865" s="13"/>
      <c r="M1865" s="44"/>
      <c r="N1865" s="44"/>
      <c r="O1865" s="88"/>
      <c r="P1865" s="88"/>
    </row>
    <row r="1866" ht="15.0" customHeight="1">
      <c r="A1866" s="11" t="str">
        <f t="shared" si="4"/>
        <v>LFW-W212RS2FR</v>
      </c>
      <c r="B1866" s="13" t="s">
        <v>807</v>
      </c>
      <c r="C1866" s="13" t="s">
        <v>2109</v>
      </c>
      <c r="D1866" s="13" t="s">
        <v>60</v>
      </c>
      <c r="E1866" s="13" t="s">
        <v>1429</v>
      </c>
      <c r="F1866" s="13" t="s">
        <v>2110</v>
      </c>
      <c r="G1866" s="11"/>
      <c r="H1866" s="11">
        <f>SUMIFS(X!$F$3:$F$5978,X!$D$3:$D$5978,'Current Stock'!A1866)</f>
        <v>0</v>
      </c>
      <c r="I1866" s="11">
        <f>SUMIFS(PENJUALAN!$E$4:$E$3651,PENJUALAN!$C$4:$C$3651,'Current Stock'!A1866)</f>
        <v>0</v>
      </c>
      <c r="J1866" s="15">
        <f t="shared" si="2"/>
        <v>0</v>
      </c>
      <c r="K1866" s="13"/>
      <c r="L1866" s="13"/>
      <c r="M1866" s="44"/>
      <c r="N1866" s="44"/>
      <c r="O1866" s="88"/>
      <c r="P1866" s="88"/>
    </row>
    <row r="1867" ht="15.0" customHeight="1">
      <c r="A1867" s="11" t="str">
        <f t="shared" si="4"/>
        <v>TRW-FIESTAFR</v>
      </c>
      <c r="B1867" s="13" t="s">
        <v>307</v>
      </c>
      <c r="C1867" s="13" t="s">
        <v>306</v>
      </c>
      <c r="D1867" s="13" t="s">
        <v>62</v>
      </c>
      <c r="E1867" s="13" t="s">
        <v>1429</v>
      </c>
      <c r="F1867" s="13" t="s">
        <v>1442</v>
      </c>
      <c r="G1867" s="11"/>
      <c r="H1867" s="11">
        <f>SUMIFS(X!$F$3:$F$5978,X!$D$3:$D$5978,'Current Stock'!A1867)</f>
        <v>0</v>
      </c>
      <c r="I1867" s="11">
        <f>SUMIFS(PENJUALAN!$E$4:$E$3651,PENJUALAN!$C$4:$C$3651,'Current Stock'!A1867)</f>
        <v>0</v>
      </c>
      <c r="J1867" s="15">
        <f t="shared" si="2"/>
        <v>0</v>
      </c>
      <c r="K1867" s="13"/>
      <c r="L1867" s="13"/>
      <c r="M1867" s="44"/>
      <c r="N1867" s="44"/>
      <c r="O1867" s="88"/>
      <c r="P1867" s="88"/>
    </row>
    <row r="1868" ht="15.0" customHeight="1">
      <c r="A1868" s="11" t="str">
        <f t="shared" si="4"/>
        <v>FDL-HARRIER480NFR</v>
      </c>
      <c r="B1868" s="13" t="s">
        <v>2111</v>
      </c>
      <c r="C1868" s="13" t="s">
        <v>2112</v>
      </c>
      <c r="D1868" s="13" t="s">
        <v>104</v>
      </c>
      <c r="E1868" s="13" t="s">
        <v>1429</v>
      </c>
      <c r="F1868" s="44"/>
      <c r="G1868" s="11"/>
      <c r="H1868" s="11">
        <f>SUMIFS(X!$F$3:$F$5978,X!$D$3:$D$5978,'Current Stock'!A1868)</f>
        <v>0</v>
      </c>
      <c r="I1868" s="11">
        <f>SUMIFS(PENJUALAN!$E$4:$E$3651,PENJUALAN!$C$4:$C$3651,'Current Stock'!A1868)</f>
        <v>0</v>
      </c>
      <c r="J1868" s="15">
        <f t="shared" si="2"/>
        <v>0</v>
      </c>
      <c r="K1868" s="13"/>
      <c r="L1868" s="13"/>
      <c r="M1868" s="44"/>
      <c r="N1868" s="44"/>
      <c r="O1868" s="88"/>
      <c r="P1868" s="88"/>
    </row>
    <row r="1869" ht="15.0" customHeight="1">
      <c r="A1869" s="11" t="str">
        <f t="shared" si="4"/>
        <v>FDR-HARRIER480NFR</v>
      </c>
      <c r="B1869" s="13" t="s">
        <v>2113</v>
      </c>
      <c r="C1869" s="13" t="s">
        <v>2112</v>
      </c>
      <c r="D1869" s="13" t="s">
        <v>106</v>
      </c>
      <c r="E1869" s="13" t="s">
        <v>1429</v>
      </c>
      <c r="F1869" s="44"/>
      <c r="G1869" s="11"/>
      <c r="H1869" s="11">
        <f>SUMIFS(X!$F$3:$F$5978,X!$D$3:$D$5978,'Current Stock'!A1869)</f>
        <v>0</v>
      </c>
      <c r="I1869" s="11">
        <f>SUMIFS(PENJUALAN!$E$4:$E$3651,PENJUALAN!$C$4:$C$3651,'Current Stock'!A1869)</f>
        <v>0</v>
      </c>
      <c r="J1869" s="15">
        <f t="shared" si="2"/>
        <v>0</v>
      </c>
      <c r="K1869" s="13"/>
      <c r="L1869" s="13"/>
      <c r="M1869" s="44"/>
      <c r="N1869" s="44"/>
      <c r="O1869" s="88"/>
      <c r="P1869" s="88"/>
    </row>
    <row r="1870" ht="15.0" customHeight="1">
      <c r="A1870" s="11" t="str">
        <f t="shared" si="4"/>
        <v>RDL-HARRIER480NFR</v>
      </c>
      <c r="B1870" s="13" t="s">
        <v>2114</v>
      </c>
      <c r="C1870" s="13" t="s">
        <v>2112</v>
      </c>
      <c r="D1870" s="13" t="s">
        <v>92</v>
      </c>
      <c r="E1870" s="13" t="s">
        <v>1429</v>
      </c>
      <c r="F1870" s="44"/>
      <c r="G1870" s="11"/>
      <c r="H1870" s="11">
        <f>SUMIFS(X!$F$3:$F$5978,X!$D$3:$D$5978,'Current Stock'!A1870)</f>
        <v>0</v>
      </c>
      <c r="I1870" s="11">
        <f>SUMIFS(PENJUALAN!$E$4:$E$3651,PENJUALAN!$C$4:$C$3651,'Current Stock'!A1870)</f>
        <v>0</v>
      </c>
      <c r="J1870" s="15">
        <f t="shared" si="2"/>
        <v>0</v>
      </c>
      <c r="K1870" s="13"/>
      <c r="L1870" s="13"/>
      <c r="M1870" s="44"/>
      <c r="N1870" s="44"/>
      <c r="O1870" s="88"/>
      <c r="P1870" s="88"/>
    </row>
    <row r="1871" ht="15.0" customHeight="1">
      <c r="A1871" s="11" t="str">
        <f t="shared" si="4"/>
        <v>RDR-HARRIER480NFR</v>
      </c>
      <c r="B1871" s="13" t="s">
        <v>2115</v>
      </c>
      <c r="C1871" s="13" t="s">
        <v>2112</v>
      </c>
      <c r="D1871" s="13" t="s">
        <v>86</v>
      </c>
      <c r="E1871" s="13" t="s">
        <v>1429</v>
      </c>
      <c r="F1871" s="44"/>
      <c r="G1871" s="11"/>
      <c r="H1871" s="11">
        <f>SUMIFS(X!$F$3:$F$5978,X!$D$3:$D$5978,'Current Stock'!A1871)</f>
        <v>0</v>
      </c>
      <c r="I1871" s="11">
        <f>SUMIFS(PENJUALAN!$E$4:$E$3651,PENJUALAN!$C$4:$C$3651,'Current Stock'!A1871)</f>
        <v>0</v>
      </c>
      <c r="J1871" s="15">
        <f t="shared" si="2"/>
        <v>0</v>
      </c>
      <c r="K1871" s="13"/>
      <c r="L1871" s="13"/>
      <c r="M1871" s="44"/>
      <c r="N1871" s="44"/>
      <c r="O1871" s="88"/>
      <c r="P1871" s="88"/>
    </row>
    <row r="1872" ht="15.0" customHeight="1">
      <c r="A1872" s="11" t="str">
        <f t="shared" si="4"/>
        <v>SRR-HIACEFFR</v>
      </c>
      <c r="B1872" s="13" t="s">
        <v>1826</v>
      </c>
      <c r="C1872" s="92" t="s">
        <v>1796</v>
      </c>
      <c r="D1872" s="13" t="s">
        <v>2116</v>
      </c>
      <c r="E1872" s="13" t="s">
        <v>1429</v>
      </c>
      <c r="F1872" s="93" t="s">
        <v>109</v>
      </c>
      <c r="G1872" s="11"/>
      <c r="H1872" s="11">
        <f>SUMIFS(X!$F$3:$F$5978,X!$D$3:$D$5978,'Current Stock'!A1872)</f>
        <v>0</v>
      </c>
      <c r="I1872" s="11">
        <f>SUMIFS(PENJUALAN!$E$4:$E$3651,PENJUALAN!$C$4:$C$3651,'Current Stock'!A1872)</f>
        <v>0</v>
      </c>
      <c r="J1872" s="15">
        <f t="shared" si="2"/>
        <v>0</v>
      </c>
      <c r="K1872" s="13"/>
      <c r="L1872" s="13"/>
      <c r="M1872" s="44"/>
      <c r="N1872" s="44"/>
      <c r="O1872" s="88"/>
      <c r="P1872" s="88"/>
    </row>
    <row r="1873" ht="15.0" customHeight="1">
      <c r="A1873" s="11" t="str">
        <f t="shared" si="4"/>
        <v>RDL-HIACEFBLACKFR</v>
      </c>
      <c r="B1873" s="13" t="s">
        <v>2117</v>
      </c>
      <c r="C1873" s="94" t="s">
        <v>2118</v>
      </c>
      <c r="D1873" s="13" t="s">
        <v>92</v>
      </c>
      <c r="E1873" s="13" t="s">
        <v>1429</v>
      </c>
      <c r="F1873" s="93" t="s">
        <v>109</v>
      </c>
      <c r="G1873" s="11"/>
      <c r="H1873" s="11">
        <f>SUMIFS(X!$F$3:$F$5978,X!$D$3:$D$5978,'Current Stock'!A1873)</f>
        <v>0</v>
      </c>
      <c r="I1873" s="11">
        <f>SUMIFS(PENJUALAN!$E$4:$E$3651,PENJUALAN!$C$4:$C$3651,'Current Stock'!A1873)</f>
        <v>0</v>
      </c>
      <c r="J1873" s="15">
        <f t="shared" si="2"/>
        <v>0</v>
      </c>
      <c r="K1873" s="13"/>
      <c r="L1873" s="13"/>
      <c r="M1873" s="44"/>
      <c r="N1873" s="44"/>
      <c r="O1873" s="88"/>
      <c r="P1873" s="88"/>
    </row>
    <row r="1874" ht="15.0" customHeight="1">
      <c r="A1874" s="11" t="str">
        <f t="shared" si="4"/>
        <v>RDL-HIACEFFR</v>
      </c>
      <c r="B1874" s="13" t="s">
        <v>1795</v>
      </c>
      <c r="C1874" s="92" t="s">
        <v>1796</v>
      </c>
      <c r="D1874" s="13" t="s">
        <v>92</v>
      </c>
      <c r="E1874" s="13" t="s">
        <v>1429</v>
      </c>
      <c r="F1874" s="93" t="s">
        <v>109</v>
      </c>
      <c r="G1874" s="11"/>
      <c r="H1874" s="11">
        <f>SUMIFS(X!$F$3:$F$5978,X!$D$3:$D$5978,'Current Stock'!A1874)</f>
        <v>1</v>
      </c>
      <c r="I1874" s="11">
        <f>SUMIFS(PENJUALAN!$E$4:$E$3651,PENJUALAN!$C$4:$C$3651,'Current Stock'!A1874)</f>
        <v>1</v>
      </c>
      <c r="J1874" s="15">
        <f t="shared" si="2"/>
        <v>0</v>
      </c>
      <c r="K1874" s="13"/>
      <c r="L1874" s="13"/>
      <c r="M1874" s="44"/>
      <c r="N1874" s="44"/>
      <c r="O1874" s="88"/>
      <c r="P1874" s="88"/>
    </row>
    <row r="1875" ht="15.0" customHeight="1">
      <c r="A1875" s="11" t="str">
        <f t="shared" si="4"/>
        <v>SRR-HIACEFBLACKFR</v>
      </c>
      <c r="B1875" s="13" t="s">
        <v>2119</v>
      </c>
      <c r="C1875" s="94" t="s">
        <v>2118</v>
      </c>
      <c r="D1875" s="13" t="s">
        <v>2116</v>
      </c>
      <c r="E1875" s="13" t="s">
        <v>1429</v>
      </c>
      <c r="F1875" s="93" t="s">
        <v>109</v>
      </c>
      <c r="G1875" s="11"/>
      <c r="H1875" s="11">
        <f>SUMIFS(X!$F$3:$F$5978,X!$D$3:$D$5978,'Current Stock'!A1875)</f>
        <v>0</v>
      </c>
      <c r="I1875" s="11">
        <f>SUMIFS(PENJUALAN!$E$4:$E$3651,PENJUALAN!$C$4:$C$3651,'Current Stock'!A1875)</f>
        <v>0</v>
      </c>
      <c r="J1875" s="15">
        <f t="shared" si="2"/>
        <v>0</v>
      </c>
      <c r="K1875" s="13"/>
      <c r="L1875" s="13"/>
      <c r="M1875" s="44"/>
      <c r="N1875" s="44"/>
      <c r="O1875" s="88"/>
      <c r="P1875" s="88"/>
    </row>
    <row r="1876" ht="15.0" customHeight="1">
      <c r="A1876" s="11" t="str">
        <f t="shared" si="4"/>
        <v>LFW-JUKEFR</v>
      </c>
      <c r="B1876" s="13" t="s">
        <v>929</v>
      </c>
      <c r="C1876" s="13" t="s">
        <v>930</v>
      </c>
      <c r="D1876" s="13" t="s">
        <v>60</v>
      </c>
      <c r="E1876" s="13" t="s">
        <v>1429</v>
      </c>
      <c r="F1876" s="13" t="s">
        <v>137</v>
      </c>
      <c r="G1876" s="11"/>
      <c r="H1876" s="11">
        <f>SUMIFS(X!$F$3:$F$5978,X!$D$3:$D$5978,'Current Stock'!A1876)</f>
        <v>0</v>
      </c>
      <c r="I1876" s="11">
        <f>SUMIFS(PENJUALAN!$E$4:$E$3651,PENJUALAN!$C$4:$C$3651,'Current Stock'!A1876)</f>
        <v>0</v>
      </c>
      <c r="J1876" s="15">
        <f t="shared" si="2"/>
        <v>0</v>
      </c>
      <c r="K1876" s="13"/>
      <c r="L1876" s="13"/>
      <c r="M1876" s="44"/>
      <c r="N1876" s="44"/>
      <c r="O1876" s="88"/>
      <c r="P1876" s="88"/>
    </row>
    <row r="1877" ht="15.0" customHeight="1">
      <c r="A1877" s="11" t="str">
        <f t="shared" si="4"/>
        <v>TRW-RX270/350FR</v>
      </c>
      <c r="B1877" s="13" t="s">
        <v>2120</v>
      </c>
      <c r="C1877" s="13" t="s">
        <v>2121</v>
      </c>
      <c r="D1877" s="13" t="s">
        <v>62</v>
      </c>
      <c r="E1877" s="13" t="s">
        <v>1429</v>
      </c>
      <c r="F1877" s="13" t="s">
        <v>1442</v>
      </c>
      <c r="G1877" s="11"/>
      <c r="H1877" s="11">
        <f>SUMIFS(X!$F$3:$F$5978,X!$D$3:$D$5978,'Current Stock'!A1877)</f>
        <v>0</v>
      </c>
      <c r="I1877" s="11">
        <f>SUMIFS(PENJUALAN!$E$4:$E$3651,PENJUALAN!$C$4:$C$3651,'Current Stock'!A1877)</f>
        <v>0</v>
      </c>
      <c r="J1877" s="15">
        <f t="shared" si="2"/>
        <v>0</v>
      </c>
      <c r="K1877" s="13"/>
      <c r="L1877" s="13"/>
      <c r="M1877" s="44"/>
      <c r="N1877" s="44"/>
      <c r="O1877" s="88"/>
      <c r="P1877" s="88"/>
    </row>
    <row r="1878" ht="15.0" customHeight="1">
      <c r="A1878" s="11" t="str">
        <f t="shared" si="4"/>
        <v>TRW-VOXY22FR</v>
      </c>
      <c r="B1878" s="13" t="s">
        <v>1850</v>
      </c>
      <c r="C1878" s="13" t="s">
        <v>1851</v>
      </c>
      <c r="D1878" s="13" t="s">
        <v>62</v>
      </c>
      <c r="E1878" s="13" t="s">
        <v>1429</v>
      </c>
      <c r="F1878" s="13" t="s">
        <v>1442</v>
      </c>
      <c r="G1878" s="11"/>
      <c r="H1878" s="11">
        <f>SUMIFS(X!$F$3:$F$5978,X!$D$3:$D$5978,'Current Stock'!A1878)</f>
        <v>1</v>
      </c>
      <c r="I1878" s="11">
        <f>SUMIFS(PENJUALAN!$E$4:$E$3651,PENJUALAN!$C$4:$C$3651,'Current Stock'!A1878)</f>
        <v>1</v>
      </c>
      <c r="J1878" s="15">
        <f t="shared" si="2"/>
        <v>0</v>
      </c>
      <c r="K1878" s="13"/>
      <c r="L1878" s="13"/>
      <c r="M1878" s="44"/>
      <c r="N1878" s="44"/>
      <c r="O1878" s="88"/>
      <c r="P1878" s="88"/>
    </row>
    <row r="1879" ht="15.0" customHeight="1">
      <c r="A1879" s="11" t="str">
        <f t="shared" si="4"/>
        <v>LFW-VOXY22RSFR</v>
      </c>
      <c r="B1879" s="13" t="s">
        <v>1848</v>
      </c>
      <c r="C1879" s="13" t="s">
        <v>1849</v>
      </c>
      <c r="D1879" s="13" t="s">
        <v>60</v>
      </c>
      <c r="E1879" s="13" t="s">
        <v>1429</v>
      </c>
      <c r="F1879" s="13" t="s">
        <v>90</v>
      </c>
      <c r="G1879" s="11"/>
      <c r="H1879" s="11">
        <f>SUMIFS(X!$F$3:$F$5978,X!$D$3:$D$5978,'Current Stock'!A1879)</f>
        <v>1</v>
      </c>
      <c r="I1879" s="11">
        <f>SUMIFS(PENJUALAN!$E$4:$E$3651,PENJUALAN!$C$4:$C$3651,'Current Stock'!A1879)</f>
        <v>1</v>
      </c>
      <c r="J1879" s="15">
        <f t="shared" si="2"/>
        <v>0</v>
      </c>
      <c r="K1879" s="13"/>
      <c r="L1879" s="13"/>
      <c r="M1879" s="44"/>
      <c r="N1879" s="44"/>
      <c r="O1879" s="88"/>
      <c r="P1879" s="88"/>
    </row>
    <row r="1880" ht="15.0" customHeight="1">
      <c r="A1880" s="11" t="str">
        <f t="shared" si="4"/>
        <v>FDL-HIACE19FR</v>
      </c>
      <c r="B1880" s="13" t="s">
        <v>1797</v>
      </c>
      <c r="C1880" s="93" t="s">
        <v>1798</v>
      </c>
      <c r="D1880" s="13" t="s">
        <v>104</v>
      </c>
      <c r="E1880" s="13" t="s">
        <v>1429</v>
      </c>
      <c r="F1880" s="44"/>
      <c r="G1880" s="11"/>
      <c r="H1880" s="11">
        <f>SUMIFS(X!$F$3:$F$5978,X!$D$3:$D$5978,'Current Stock'!A1880)</f>
        <v>0</v>
      </c>
      <c r="I1880" s="11">
        <f>SUMIFS(PENJUALAN!$E$4:$E$3651,PENJUALAN!$C$4:$C$3651,'Current Stock'!A1880)</f>
        <v>0</v>
      </c>
      <c r="J1880" s="15">
        <f t="shared" si="2"/>
        <v>0</v>
      </c>
      <c r="K1880" s="13"/>
      <c r="L1880" s="13"/>
      <c r="M1880" s="44"/>
      <c r="N1880" s="44"/>
      <c r="O1880" s="88"/>
      <c r="P1880" s="88"/>
    </row>
    <row r="1881" ht="15.0" customHeight="1">
      <c r="A1881" s="11" t="str">
        <f t="shared" si="4"/>
        <v>FDR-HIACE19FR</v>
      </c>
      <c r="B1881" s="95" t="s">
        <v>1799</v>
      </c>
      <c r="C1881" s="93" t="s">
        <v>1798</v>
      </c>
      <c r="D1881" s="13" t="s">
        <v>106</v>
      </c>
      <c r="E1881" s="13" t="s">
        <v>1429</v>
      </c>
      <c r="F1881" s="44"/>
      <c r="G1881" s="11"/>
      <c r="H1881" s="11">
        <f>SUMIFS(X!$F$3:$F$5978,X!$D$3:$D$5978,'Current Stock'!A1881)</f>
        <v>0</v>
      </c>
      <c r="I1881" s="11">
        <f>SUMIFS(PENJUALAN!$E$4:$E$3651,PENJUALAN!$C$4:$C$3651,'Current Stock'!A1881)</f>
        <v>0</v>
      </c>
      <c r="J1881" s="15">
        <f t="shared" si="2"/>
        <v>0</v>
      </c>
      <c r="K1881" s="13"/>
      <c r="L1881" s="13"/>
      <c r="M1881" s="44"/>
      <c r="N1881" s="44"/>
      <c r="O1881" s="88"/>
      <c r="P1881" s="88"/>
    </row>
    <row r="1882" ht="15.0" customHeight="1">
      <c r="A1882" s="11" t="str">
        <f t="shared" si="4"/>
        <v>LFW-HIACE19FR</v>
      </c>
      <c r="B1882" s="13" t="s">
        <v>1827</v>
      </c>
      <c r="C1882" s="92" t="s">
        <v>1798</v>
      </c>
      <c r="D1882" s="13" t="s">
        <v>60</v>
      </c>
      <c r="E1882" s="13" t="s">
        <v>1429</v>
      </c>
      <c r="F1882" s="96" t="s">
        <v>137</v>
      </c>
      <c r="G1882" s="11"/>
      <c r="H1882" s="11">
        <f>SUMIFS(X!$F$3:$F$5978,X!$D$3:$D$5978,'Current Stock'!A1882)</f>
        <v>0</v>
      </c>
      <c r="I1882" s="11">
        <f>SUMIFS(PENJUALAN!$E$4:$E$3651,PENJUALAN!$C$4:$C$3651,'Current Stock'!A1882)</f>
        <v>0</v>
      </c>
      <c r="J1882" s="15">
        <f t="shared" si="2"/>
        <v>0</v>
      </c>
      <c r="K1882" s="13"/>
      <c r="L1882" s="13"/>
      <c r="M1882" s="44"/>
      <c r="N1882" s="44"/>
      <c r="O1882" s="88"/>
      <c r="P1882" s="88"/>
    </row>
    <row r="1883" ht="15.0" customHeight="1">
      <c r="A1883" s="11" t="str">
        <f t="shared" si="4"/>
        <v>RDR-HIACE19FR</v>
      </c>
      <c r="B1883" s="13" t="s">
        <v>1803</v>
      </c>
      <c r="C1883" s="93" t="s">
        <v>1798</v>
      </c>
      <c r="D1883" s="13" t="s">
        <v>86</v>
      </c>
      <c r="E1883" s="13" t="s">
        <v>1429</v>
      </c>
      <c r="F1883" s="93" t="s">
        <v>109</v>
      </c>
      <c r="G1883" s="11"/>
      <c r="H1883" s="11">
        <f>SUMIFS(X!$F$3:$F$5978,X!$D$3:$D$5978,'Current Stock'!A1883)</f>
        <v>0</v>
      </c>
      <c r="I1883" s="11">
        <f>SUMIFS(PENJUALAN!$E$4:$E$3651,PENJUALAN!$C$4:$C$3651,'Current Stock'!A1883)</f>
        <v>0</v>
      </c>
      <c r="J1883" s="15">
        <f t="shared" si="2"/>
        <v>0</v>
      </c>
      <c r="K1883" s="13"/>
      <c r="L1883" s="13"/>
      <c r="M1883" s="44"/>
      <c r="N1883" s="44"/>
      <c r="O1883" s="88"/>
      <c r="P1883" s="88"/>
    </row>
    <row r="1884" ht="15.0" customHeight="1">
      <c r="A1884" s="11" t="str">
        <f t="shared" si="4"/>
        <v>RDL-HIACE19FR</v>
      </c>
      <c r="B1884" s="13" t="s">
        <v>2122</v>
      </c>
      <c r="C1884" s="93" t="s">
        <v>1798</v>
      </c>
      <c r="D1884" s="13" t="s">
        <v>92</v>
      </c>
      <c r="E1884" s="13" t="s">
        <v>1429</v>
      </c>
      <c r="F1884" s="93" t="s">
        <v>109</v>
      </c>
      <c r="G1884" s="11"/>
      <c r="H1884" s="11">
        <f>SUMIFS(X!$F$3:$F$5978,X!$D$3:$D$5978,'Current Stock'!A1884)</f>
        <v>0</v>
      </c>
      <c r="I1884" s="11">
        <f>SUMIFS(PENJUALAN!$E$4:$E$3651,PENJUALAN!$C$4:$C$3651,'Current Stock'!A1884)</f>
        <v>0</v>
      </c>
      <c r="J1884" s="15">
        <f t="shared" si="2"/>
        <v>0</v>
      </c>
      <c r="K1884" s="13"/>
      <c r="L1884" s="13"/>
      <c r="M1884" s="44"/>
      <c r="N1884" s="44"/>
      <c r="O1884" s="88"/>
      <c r="P1884" s="88"/>
    </row>
    <row r="1885" ht="15.0" customHeight="1">
      <c r="A1885" s="11" t="str">
        <f t="shared" si="4"/>
        <v>SRL-HIACE19FR</v>
      </c>
      <c r="B1885" s="13" t="s">
        <v>1804</v>
      </c>
      <c r="C1885" s="93" t="s">
        <v>1798</v>
      </c>
      <c r="D1885" s="13" t="s">
        <v>2123</v>
      </c>
      <c r="E1885" s="13" t="s">
        <v>1429</v>
      </c>
      <c r="F1885" s="93" t="s">
        <v>109</v>
      </c>
      <c r="G1885" s="11"/>
      <c r="H1885" s="11">
        <f>SUMIFS(X!$F$3:$F$5978,X!$D$3:$D$5978,'Current Stock'!A1885)</f>
        <v>0</v>
      </c>
      <c r="I1885" s="11">
        <f>SUMIFS(PENJUALAN!$E$4:$E$3651,PENJUALAN!$C$4:$C$3651,'Current Stock'!A1885)</f>
        <v>0</v>
      </c>
      <c r="J1885" s="15">
        <f t="shared" si="2"/>
        <v>0</v>
      </c>
      <c r="K1885" s="13"/>
      <c r="L1885" s="13"/>
      <c r="M1885" s="44"/>
      <c r="N1885" s="44"/>
      <c r="O1885" s="88"/>
      <c r="P1885" s="88"/>
    </row>
    <row r="1886" ht="15.0" customHeight="1">
      <c r="A1886" s="11" t="str">
        <f t="shared" si="4"/>
        <v>SRR-HIACE19FR</v>
      </c>
      <c r="B1886" s="13" t="s">
        <v>2124</v>
      </c>
      <c r="C1886" s="93" t="s">
        <v>1798</v>
      </c>
      <c r="D1886" s="13" t="s">
        <v>2116</v>
      </c>
      <c r="E1886" s="13" t="s">
        <v>1429</v>
      </c>
      <c r="F1886" s="93" t="s">
        <v>109</v>
      </c>
      <c r="G1886" s="11"/>
      <c r="H1886" s="11">
        <f>SUMIFS(X!$F$3:$F$5978,X!$D$3:$D$5978,'Current Stock'!A1886)</f>
        <v>0</v>
      </c>
      <c r="I1886" s="11">
        <f>SUMIFS(PENJUALAN!$E$4:$E$3651,PENJUALAN!$C$4:$C$3651,'Current Stock'!A1886)</f>
        <v>0</v>
      </c>
      <c r="J1886" s="15">
        <f t="shared" si="2"/>
        <v>0</v>
      </c>
      <c r="K1886" s="13"/>
      <c r="L1886" s="13"/>
      <c r="M1886" s="44"/>
      <c r="N1886" s="44"/>
      <c r="O1886" s="88"/>
      <c r="P1886" s="88"/>
    </row>
    <row r="1887" ht="15.0" customHeight="1">
      <c r="A1887" s="11" t="str">
        <f t="shared" si="4"/>
        <v>TRW-YARIS05FR</v>
      </c>
      <c r="B1887" s="13" t="s">
        <v>1282</v>
      </c>
      <c r="C1887" s="13" t="s">
        <v>1281</v>
      </c>
      <c r="D1887" s="13" t="s">
        <v>62</v>
      </c>
      <c r="E1887" s="13" t="s">
        <v>1429</v>
      </c>
      <c r="F1887" s="13" t="s">
        <v>1442</v>
      </c>
      <c r="G1887" s="11"/>
      <c r="H1887" s="11">
        <f>SUMIFS(X!$F$3:$F$5978,X!$D$3:$D$5978,'Current Stock'!A1887)</f>
        <v>0</v>
      </c>
      <c r="I1887" s="11">
        <f>SUMIFS(PENJUALAN!$E$4:$E$3651,PENJUALAN!$C$4:$C$3651,'Current Stock'!A1887)</f>
        <v>0</v>
      </c>
      <c r="J1887" s="15">
        <f t="shared" si="2"/>
        <v>0</v>
      </c>
      <c r="K1887" s="13"/>
      <c r="L1887" s="13"/>
      <c r="M1887" s="44"/>
      <c r="N1887" s="44"/>
      <c r="O1887" s="88"/>
      <c r="P1887" s="88"/>
    </row>
    <row r="1888" ht="15.0" customHeight="1">
      <c r="A1888" s="11" t="str">
        <f t="shared" si="4"/>
        <v>TRW-T30FR</v>
      </c>
      <c r="B1888" s="13" t="s">
        <v>986</v>
      </c>
      <c r="C1888" s="13" t="s">
        <v>985</v>
      </c>
      <c r="D1888" s="13" t="s">
        <v>62</v>
      </c>
      <c r="E1888" s="13" t="s">
        <v>1429</v>
      </c>
      <c r="F1888" s="13" t="s">
        <v>1437</v>
      </c>
      <c r="G1888" s="11"/>
      <c r="H1888" s="11">
        <f>SUMIFS(X!$F$3:$F$5978,X!$D$3:$D$5978,'Current Stock'!A1888)</f>
        <v>0</v>
      </c>
      <c r="I1888" s="11">
        <f>SUMIFS(PENJUALAN!$E$4:$E$3651,PENJUALAN!$C$4:$C$3651,'Current Stock'!A1888)</f>
        <v>0</v>
      </c>
      <c r="J1888" s="15">
        <f t="shared" si="2"/>
        <v>0</v>
      </c>
      <c r="K1888" s="13"/>
      <c r="L1888" s="13"/>
      <c r="M1888" s="44"/>
      <c r="N1888" s="13" t="s">
        <v>2125</v>
      </c>
      <c r="O1888" s="45"/>
      <c r="P1888" s="45"/>
    </row>
    <row r="1889" ht="15.0" customHeight="1">
      <c r="A1889" s="11" t="str">
        <f t="shared" si="4"/>
        <v>SWR-XPANDERCHASH</v>
      </c>
      <c r="B1889" s="82" t="s">
        <v>2126</v>
      </c>
      <c r="C1889" s="13" t="s">
        <v>2127</v>
      </c>
      <c r="D1889" s="13" t="s">
        <v>116</v>
      </c>
      <c r="E1889" s="13" t="s">
        <v>93</v>
      </c>
      <c r="F1889" s="13" t="s">
        <v>2128</v>
      </c>
      <c r="G1889" s="11"/>
      <c r="H1889" s="11">
        <f>SUMIFS(X!$F$3:$F$5978,X!$D$3:$D$5978,'Current Stock'!A1889)</f>
        <v>2</v>
      </c>
      <c r="I1889" s="11">
        <f>SUMIFS(PENJUALAN!$E$4:$E$3651,PENJUALAN!$C$4:$C$3651,'Current Stock'!A1889)</f>
        <v>2</v>
      </c>
      <c r="J1889" s="15">
        <f t="shared" si="2"/>
        <v>0</v>
      </c>
      <c r="K1889" s="13"/>
      <c r="L1889" s="13"/>
      <c r="M1889" s="44"/>
      <c r="N1889" s="44"/>
      <c r="O1889" s="88"/>
      <c r="P1889" s="88"/>
    </row>
    <row r="1890" ht="15.0" customHeight="1">
      <c r="A1890" s="11" t="str">
        <f t="shared" si="4"/>
        <v>LFW-JAZZ13PIL</v>
      </c>
      <c r="B1890" s="13" t="s">
        <v>488</v>
      </c>
      <c r="C1890" s="13" t="s">
        <v>2129</v>
      </c>
      <c r="D1890" s="13" t="str">
        <f>LEFT(A1890,FIND("-",A1890) - 1)</f>
        <v>LFW</v>
      </c>
      <c r="E1890" s="13" t="s">
        <v>89</v>
      </c>
      <c r="F1890" s="13" t="s">
        <v>2130</v>
      </c>
      <c r="G1890" s="11"/>
      <c r="H1890" s="11">
        <f>SUMIFS(X!$F$3:$F$5978,X!$D$3:$D$5978,'Current Stock'!A1890)</f>
        <v>0</v>
      </c>
      <c r="I1890" s="11">
        <f>SUMIFS(PENJUALAN!$E$4:$E$3651,PENJUALAN!$C$4:$C$3651,'Current Stock'!A1890)</f>
        <v>0</v>
      </c>
      <c r="J1890" s="15">
        <f t="shared" si="2"/>
        <v>0</v>
      </c>
      <c r="K1890" s="13"/>
      <c r="L1890" s="13"/>
      <c r="M1890" s="44"/>
      <c r="N1890" s="44"/>
      <c r="O1890" s="88"/>
      <c r="P1890" s="88"/>
    </row>
    <row r="1891" ht="15.0" customHeight="1">
      <c r="A1891" s="11" t="str">
        <f t="shared" si="4"/>
        <v>TRW-JAZZ13PIL</v>
      </c>
      <c r="B1891" s="13" t="s">
        <v>490</v>
      </c>
      <c r="C1891" s="13" t="s">
        <v>2129</v>
      </c>
      <c r="D1891" s="13" t="s">
        <v>62</v>
      </c>
      <c r="E1891" s="13" t="s">
        <v>89</v>
      </c>
      <c r="F1891" s="13" t="s">
        <v>119</v>
      </c>
      <c r="G1891" s="11"/>
      <c r="H1891" s="11">
        <f>SUMIFS(X!$F$3:$F$5978,X!$D$3:$D$5978,'Current Stock'!A1891)</f>
        <v>0</v>
      </c>
      <c r="I1891" s="11">
        <f>SUMIFS(PENJUALAN!$E$4:$E$3651,PENJUALAN!$C$4:$C$3651,'Current Stock'!A1891)</f>
        <v>0</v>
      </c>
      <c r="J1891" s="15">
        <f t="shared" si="2"/>
        <v>0</v>
      </c>
      <c r="K1891" s="13" t="s">
        <v>1757</v>
      </c>
      <c r="L1891" s="13"/>
      <c r="M1891" s="44"/>
      <c r="N1891" s="44"/>
      <c r="O1891" s="88"/>
      <c r="P1891" s="88"/>
    </row>
    <row r="1892" ht="15.0" customHeight="1">
      <c r="A1892" s="11" t="str">
        <f t="shared" si="4"/>
        <v>LFW-HIACEPIL</v>
      </c>
      <c r="B1892" s="13" t="s">
        <v>1149</v>
      </c>
      <c r="C1892" s="13" t="s">
        <v>1150</v>
      </c>
      <c r="D1892" s="13" t="str">
        <f t="shared" ref="D1892:D1894" si="7">LEFT(A1892,FIND("-",A1892) - 1)</f>
        <v>LFW</v>
      </c>
      <c r="E1892" s="13" t="s">
        <v>89</v>
      </c>
      <c r="F1892" s="13" t="s">
        <v>109</v>
      </c>
      <c r="G1892" s="11"/>
      <c r="H1892" s="11">
        <f>SUMIFS(X!$F$3:$F$5978,X!$D$3:$D$5978,'Current Stock'!A1892)</f>
        <v>0</v>
      </c>
      <c r="I1892" s="11">
        <f>SUMIFS(PENJUALAN!$E$4:$E$3651,PENJUALAN!$C$4:$C$3651,'Current Stock'!A1892)</f>
        <v>0</v>
      </c>
      <c r="J1892" s="15">
        <f t="shared" si="2"/>
        <v>0</v>
      </c>
      <c r="K1892" s="13"/>
      <c r="L1892" s="13"/>
      <c r="M1892" s="44"/>
      <c r="N1892" s="44"/>
      <c r="O1892" s="88"/>
      <c r="P1892" s="88"/>
    </row>
    <row r="1893" ht="15.0" customHeight="1">
      <c r="A1893" s="11" t="str">
        <f t="shared" si="4"/>
        <v>LFW-INNOVA15PIL</v>
      </c>
      <c r="B1893" s="13" t="s">
        <v>1171</v>
      </c>
      <c r="C1893" s="13" t="s">
        <v>1172</v>
      </c>
      <c r="D1893" s="13" t="str">
        <f t="shared" si="7"/>
        <v>LFW</v>
      </c>
      <c r="E1893" s="13" t="s">
        <v>89</v>
      </c>
      <c r="F1893" s="13" t="s">
        <v>2131</v>
      </c>
      <c r="G1893" s="11"/>
      <c r="H1893" s="11">
        <f>SUMIFS(X!$F$3:$F$5978,X!$D$3:$D$5978,'Current Stock'!A1893)</f>
        <v>0</v>
      </c>
      <c r="I1893" s="11">
        <f>SUMIFS(PENJUALAN!$E$4:$E$3651,PENJUALAN!$C$4:$C$3651,'Current Stock'!A1893)</f>
        <v>0</v>
      </c>
      <c r="J1893" s="15">
        <f t="shared" si="2"/>
        <v>0</v>
      </c>
      <c r="K1893" s="13"/>
      <c r="L1893" s="13"/>
      <c r="M1893" s="44"/>
      <c r="N1893" s="44"/>
      <c r="O1893" s="88"/>
      <c r="P1893" s="88"/>
    </row>
    <row r="1894" ht="15.0" customHeight="1">
      <c r="A1894" s="11" t="str">
        <f t="shared" si="4"/>
        <v>LFW-HRV14PIL</v>
      </c>
      <c r="B1894" s="32" t="s">
        <v>470</v>
      </c>
      <c r="C1894" s="31" t="s">
        <v>2132</v>
      </c>
      <c r="D1894" s="33" t="str">
        <f t="shared" si="7"/>
        <v>LFW</v>
      </c>
      <c r="E1894" s="13" t="s">
        <v>89</v>
      </c>
      <c r="F1894" s="31" t="s">
        <v>2133</v>
      </c>
      <c r="G1894" s="14">
        <v>45988.0</v>
      </c>
      <c r="H1894" s="11">
        <f>SUMIFS(X!$F$3:$F$5978,X!$D$3:$D$5978,'Current Stock'!A1894)</f>
        <v>0</v>
      </c>
      <c r="I1894" s="11">
        <f>SUMIFS(PENJUALAN!$E$4:$E$3651,PENJUALAN!$C$4:$C$3651,'Current Stock'!A1894)</f>
        <v>0</v>
      </c>
      <c r="J1894" s="15">
        <f t="shared" si="2"/>
        <v>0</v>
      </c>
      <c r="K1894" s="13"/>
      <c r="L1894" s="13"/>
      <c r="M1894" s="44"/>
      <c r="N1894" s="44"/>
      <c r="O1894" s="88"/>
      <c r="P1894" s="88"/>
    </row>
    <row r="1895" ht="15.0" customHeight="1">
      <c r="A1895" s="11" t="str">
        <f t="shared" si="4"/>
        <v>TRW-HRV14PIL</v>
      </c>
      <c r="B1895" s="36" t="s">
        <v>473</v>
      </c>
      <c r="C1895" s="31" t="s">
        <v>2132</v>
      </c>
      <c r="D1895" s="31" t="s">
        <v>62</v>
      </c>
      <c r="E1895" s="13" t="s">
        <v>89</v>
      </c>
      <c r="F1895" s="31" t="s">
        <v>119</v>
      </c>
      <c r="G1895" s="11"/>
      <c r="H1895" s="11">
        <f>SUMIFS(X!$F$3:$F$5978,X!$D$3:$D$5978,'Current Stock'!A1895)</f>
        <v>0</v>
      </c>
      <c r="I1895" s="11">
        <f>SUMIFS(PENJUALAN!$E$4:$E$3651,PENJUALAN!$C$4:$C$3651,'Current Stock'!A1895)</f>
        <v>0</v>
      </c>
      <c r="J1895" s="15">
        <f t="shared" si="2"/>
        <v>0</v>
      </c>
      <c r="K1895" s="13"/>
      <c r="L1895" s="13"/>
      <c r="M1895" s="44"/>
      <c r="N1895" s="44"/>
      <c r="O1895" s="88"/>
      <c r="P1895" s="88"/>
    </row>
    <row r="1896" ht="15.0" customHeight="1">
      <c r="A1896" s="11" t="str">
        <f t="shared" si="4"/>
        <v>TRW-DATSUN3AGC</v>
      </c>
      <c r="B1896" s="13" t="s">
        <v>2134</v>
      </c>
      <c r="C1896" s="13" t="s">
        <v>2135</v>
      </c>
      <c r="D1896" s="13" t="str">
        <f t="shared" ref="D1896:D1909" si="8">LEFT(A1896,FIND("-",A1896) - 1)</f>
        <v>TRW</v>
      </c>
      <c r="E1896" s="13" t="s">
        <v>101</v>
      </c>
      <c r="F1896" s="13" t="s">
        <v>109</v>
      </c>
      <c r="G1896" s="11"/>
      <c r="H1896" s="11">
        <f>SUMIFS(X!$F$3:$F$5978,X!$D$3:$D$5978,'Current Stock'!A1896)</f>
        <v>0</v>
      </c>
      <c r="I1896" s="11">
        <f>SUMIFS(PENJUALAN!$E$4:$E$3651,PENJUALAN!$C$4:$C$3651,'Current Stock'!A1896)</f>
        <v>0</v>
      </c>
      <c r="J1896" s="15">
        <f t="shared" si="2"/>
        <v>0</v>
      </c>
      <c r="K1896" s="13"/>
      <c r="L1896" s="13"/>
      <c r="M1896" s="44"/>
      <c r="N1896" s="44"/>
      <c r="O1896" s="88"/>
      <c r="P1896" s="88"/>
    </row>
    <row r="1897" ht="15.0" customHeight="1">
      <c r="A1897" s="11" t="str">
        <f t="shared" si="4"/>
        <v>LFW-FORTUNER05MSG</v>
      </c>
      <c r="B1897" s="32" t="s">
        <v>1131</v>
      </c>
      <c r="C1897" s="31" t="s">
        <v>2136</v>
      </c>
      <c r="D1897" s="33" t="str">
        <f t="shared" si="8"/>
        <v>LFW</v>
      </c>
      <c r="E1897" s="13" t="s">
        <v>2086</v>
      </c>
      <c r="F1897" s="31" t="s">
        <v>2137</v>
      </c>
      <c r="G1897" s="34"/>
      <c r="H1897" s="11">
        <f>SUMIFS(X!$F$3:$F$5978,X!$D$3:$D$5978,'Current Stock'!A1897)</f>
        <v>1</v>
      </c>
      <c r="I1897" s="11">
        <f>SUMIFS(PENJUALAN!$E$4:$E$3651,PENJUALAN!$C$4:$C$3651,'Current Stock'!A1897)</f>
        <v>1</v>
      </c>
      <c r="J1897" s="15">
        <f t="shared" si="2"/>
        <v>0</v>
      </c>
      <c r="K1897" s="13"/>
      <c r="L1897" s="13"/>
      <c r="M1897" s="44"/>
      <c r="N1897" s="44"/>
      <c r="O1897" s="88"/>
      <c r="P1897" s="88"/>
    </row>
    <row r="1898" ht="15.0" customHeight="1">
      <c r="A1898" s="11" t="str">
        <f t="shared" si="4"/>
        <v>TRW-FORTUNER05MSG</v>
      </c>
      <c r="B1898" s="13" t="s">
        <v>1133</v>
      </c>
      <c r="C1898" s="31" t="s">
        <v>2138</v>
      </c>
      <c r="D1898" s="13" t="str">
        <f t="shared" si="8"/>
        <v>TRW</v>
      </c>
      <c r="E1898" s="13" t="s">
        <v>2086</v>
      </c>
      <c r="F1898" s="13" t="s">
        <v>119</v>
      </c>
      <c r="G1898" s="11"/>
      <c r="H1898" s="11">
        <f>SUMIFS(X!$F$3:$F$5978,X!$D$3:$D$5978,'Current Stock'!A1898)</f>
        <v>0</v>
      </c>
      <c r="I1898" s="11">
        <f>SUMIFS(PENJUALAN!$E$4:$E$3651,PENJUALAN!$C$4:$C$3651,'Current Stock'!A1898)</f>
        <v>0</v>
      </c>
      <c r="J1898" s="15">
        <f t="shared" si="2"/>
        <v>0</v>
      </c>
      <c r="K1898" s="13"/>
      <c r="L1898" s="13"/>
      <c r="M1898" s="44"/>
      <c r="N1898" s="44"/>
      <c r="O1898" s="88"/>
      <c r="P1898" s="88"/>
    </row>
    <row r="1899" ht="15.0" customHeight="1">
      <c r="A1899" s="11" t="str">
        <f t="shared" si="4"/>
        <v>FDR-CARRY19ASH</v>
      </c>
      <c r="B1899" s="82" t="s">
        <v>1362</v>
      </c>
      <c r="C1899" s="13" t="s">
        <v>1363</v>
      </c>
      <c r="D1899" s="44" t="str">
        <f t="shared" si="8"/>
        <v>FDR</v>
      </c>
      <c r="E1899" s="13" t="s">
        <v>93</v>
      </c>
      <c r="F1899" s="44"/>
      <c r="G1899" s="11"/>
      <c r="H1899" s="11">
        <f>SUMIFS(X!$F$3:$F$5978,X!$D$3:$D$5978,'Current Stock'!A1899)</f>
        <v>2</v>
      </c>
      <c r="I1899" s="11">
        <f>SUMIFS(PENJUALAN!$E$4:$E$3651,PENJUALAN!$C$4:$C$3651,'Current Stock'!A1899)</f>
        <v>2</v>
      </c>
      <c r="J1899" s="15">
        <f t="shared" si="2"/>
        <v>0</v>
      </c>
      <c r="K1899" s="13"/>
      <c r="L1899" s="13"/>
      <c r="M1899" s="44"/>
      <c r="N1899" s="44"/>
      <c r="O1899" s="88"/>
      <c r="P1899" s="88"/>
    </row>
    <row r="1900" ht="15.0" customHeight="1">
      <c r="A1900" s="11" t="str">
        <f t="shared" si="4"/>
        <v>FDL-HRV14PIL</v>
      </c>
      <c r="B1900" s="13" t="s">
        <v>2139</v>
      </c>
      <c r="C1900" s="33" t="s">
        <v>471</v>
      </c>
      <c r="D1900" s="13" t="str">
        <f t="shared" si="8"/>
        <v>FDL</v>
      </c>
      <c r="E1900" s="13" t="s">
        <v>89</v>
      </c>
      <c r="F1900" s="44"/>
      <c r="G1900" s="11"/>
      <c r="H1900" s="11">
        <f>SUMIFS(X!$F$3:$F$5978,X!$D$3:$D$5978,'Current Stock'!A1900)</f>
        <v>0</v>
      </c>
      <c r="I1900" s="11">
        <f>SUMIFS(PENJUALAN!$E$4:$E$3651,PENJUALAN!$C$4:$C$3651,'Current Stock'!A1900)</f>
        <v>0</v>
      </c>
      <c r="J1900" s="15">
        <f t="shared" si="2"/>
        <v>0</v>
      </c>
      <c r="K1900" s="13"/>
      <c r="L1900" s="13"/>
      <c r="M1900" s="44"/>
      <c r="N1900" s="44"/>
      <c r="O1900" s="88"/>
      <c r="P1900" s="88"/>
    </row>
    <row r="1901" ht="15.0" customHeight="1">
      <c r="A1901" s="11" t="str">
        <f t="shared" si="4"/>
        <v>FDR-HRV14PIL</v>
      </c>
      <c r="B1901" s="13" t="s">
        <v>2140</v>
      </c>
      <c r="C1901" s="33" t="s">
        <v>471</v>
      </c>
      <c r="D1901" s="13" t="str">
        <f t="shared" si="8"/>
        <v>FDR</v>
      </c>
      <c r="E1901" s="13" t="s">
        <v>89</v>
      </c>
      <c r="F1901" s="44"/>
      <c r="G1901" s="11"/>
      <c r="H1901" s="11">
        <f>SUMIFS(X!$F$3:$F$5978,X!$D$3:$D$5978,'Current Stock'!A1901)</f>
        <v>0</v>
      </c>
      <c r="I1901" s="11">
        <f>SUMIFS(PENJUALAN!$E$4:$E$3651,PENJUALAN!$C$4:$C$3651,'Current Stock'!A1901)</f>
        <v>0</v>
      </c>
      <c r="J1901" s="15">
        <f t="shared" si="2"/>
        <v>0</v>
      </c>
      <c r="K1901" s="13"/>
      <c r="L1901" s="13"/>
      <c r="M1901" s="44"/>
      <c r="N1901" s="44"/>
      <c r="O1901" s="88"/>
      <c r="P1901" s="88"/>
    </row>
    <row r="1902" ht="15.0" customHeight="1">
      <c r="A1902" s="11" t="str">
        <f t="shared" si="4"/>
        <v>RDL-HRV14PIL</v>
      </c>
      <c r="B1902" s="13" t="s">
        <v>2141</v>
      </c>
      <c r="C1902" s="33" t="s">
        <v>471</v>
      </c>
      <c r="D1902" s="13" t="str">
        <f t="shared" si="8"/>
        <v>RDL</v>
      </c>
      <c r="E1902" s="13" t="s">
        <v>89</v>
      </c>
      <c r="F1902" s="13" t="s">
        <v>2142</v>
      </c>
      <c r="G1902" s="11"/>
      <c r="H1902" s="11">
        <f>SUMIFS(X!$F$3:$F$5978,X!$D$3:$D$5978,'Current Stock'!A1902)</f>
        <v>0</v>
      </c>
      <c r="I1902" s="11">
        <f>SUMIFS(PENJUALAN!$E$4:$E$3651,PENJUALAN!$C$4:$C$3651,'Current Stock'!A1902)</f>
        <v>0</v>
      </c>
      <c r="J1902" s="15">
        <f t="shared" si="2"/>
        <v>0</v>
      </c>
      <c r="K1902" s="13"/>
      <c r="L1902" s="13"/>
      <c r="M1902" s="44"/>
      <c r="N1902" s="44"/>
      <c r="O1902" s="88"/>
      <c r="P1902" s="88"/>
    </row>
    <row r="1903" ht="15.0" customHeight="1">
      <c r="A1903" s="11" t="str">
        <f t="shared" si="4"/>
        <v>FDR-INNOVA04MSG</v>
      </c>
      <c r="B1903" s="13" t="s">
        <v>2143</v>
      </c>
      <c r="C1903" s="33" t="s">
        <v>1165</v>
      </c>
      <c r="D1903" s="13" t="str">
        <f t="shared" si="8"/>
        <v>FDR</v>
      </c>
      <c r="E1903" s="13" t="s">
        <v>2086</v>
      </c>
      <c r="F1903" s="44"/>
      <c r="G1903" s="11"/>
      <c r="H1903" s="11">
        <f>SUMIFS(X!$F$3:$F$5978,X!$D$3:$D$5978,'Current Stock'!A1903)</f>
        <v>0</v>
      </c>
      <c r="I1903" s="11">
        <f>SUMIFS(PENJUALAN!$E$4:$E$3651,PENJUALAN!$C$4:$C$3651,'Current Stock'!A1903)</f>
        <v>0</v>
      </c>
      <c r="J1903" s="15">
        <f t="shared" si="2"/>
        <v>0</v>
      </c>
      <c r="K1903" s="13"/>
      <c r="L1903" s="13"/>
      <c r="M1903" s="44"/>
      <c r="N1903" s="44"/>
      <c r="O1903" s="88"/>
      <c r="P1903" s="88"/>
    </row>
    <row r="1904" ht="15.0" customHeight="1">
      <c r="A1904" s="23" t="str">
        <f t="shared" si="4"/>
        <v>FDL-INNOVA04MSG</v>
      </c>
      <c r="B1904" s="25" t="s">
        <v>2144</v>
      </c>
      <c r="C1904" s="80" t="s">
        <v>1165</v>
      </c>
      <c r="D1904" s="25" t="str">
        <f t="shared" si="8"/>
        <v>FDL</v>
      </c>
      <c r="E1904" s="25" t="s">
        <v>2086</v>
      </c>
      <c r="F1904" s="87"/>
      <c r="G1904" s="23"/>
      <c r="H1904" s="11">
        <f>SUMIFS(X!$F$3:$F$5978,X!$D$3:$D$5978,'Current Stock'!A1904)</f>
        <v>0</v>
      </c>
      <c r="I1904" s="11">
        <f>SUMIFS(PENJUALAN!$E$4:$E$3651,PENJUALAN!$C$4:$C$3651,'Current Stock'!A1904)</f>
        <v>0</v>
      </c>
      <c r="J1904" s="15">
        <f t="shared" si="2"/>
        <v>0</v>
      </c>
      <c r="K1904" s="25"/>
      <c r="L1904" s="25"/>
      <c r="M1904" s="87"/>
      <c r="N1904" s="87"/>
      <c r="O1904" s="91"/>
      <c r="P1904" s="91"/>
    </row>
    <row r="1905" ht="15.0" customHeight="1">
      <c r="A1905" s="11" t="str">
        <f t="shared" si="4"/>
        <v>SWL-LUXIOASH</v>
      </c>
      <c r="B1905" s="82" t="s">
        <v>2145</v>
      </c>
      <c r="C1905" s="13" t="s">
        <v>111</v>
      </c>
      <c r="D1905" s="13" t="str">
        <f t="shared" si="8"/>
        <v>SWL</v>
      </c>
      <c r="E1905" s="13" t="s">
        <v>93</v>
      </c>
      <c r="F1905" s="44"/>
      <c r="G1905" s="11"/>
      <c r="H1905" s="11">
        <f>SUMIFS(X!$F$3:$F$5978,X!$D$3:$D$5978,'Current Stock'!A1905)</f>
        <v>0</v>
      </c>
      <c r="I1905" s="11">
        <f>SUMIFS(PENJUALAN!$E$4:$E$3651,PENJUALAN!$C$4:$C$3651,'Current Stock'!A1905)</f>
        <v>0</v>
      </c>
      <c r="J1905" s="15">
        <f t="shared" si="2"/>
        <v>0</v>
      </c>
      <c r="K1905" s="13"/>
      <c r="L1905" s="13"/>
      <c r="M1905" s="44"/>
      <c r="N1905" s="44"/>
      <c r="O1905" s="88"/>
      <c r="P1905" s="88"/>
    </row>
    <row r="1906" ht="15.0" customHeight="1">
      <c r="A1906" s="11" t="str">
        <f t="shared" si="4"/>
        <v>FDL-TARUNAASH</v>
      </c>
      <c r="B1906" s="82" t="s">
        <v>2146</v>
      </c>
      <c r="C1906" s="13" t="s">
        <v>1381</v>
      </c>
      <c r="D1906" s="13" t="str">
        <f t="shared" si="8"/>
        <v>FDL</v>
      </c>
      <c r="E1906" s="13" t="s">
        <v>93</v>
      </c>
      <c r="F1906" s="44"/>
      <c r="G1906" s="11"/>
      <c r="H1906" s="11">
        <f>SUMIFS(X!$F$3:$F$5978,X!$D$3:$D$5978,'Current Stock'!A1906)</f>
        <v>0</v>
      </c>
      <c r="I1906" s="11">
        <f>SUMIFS(PENJUALAN!$E$4:$E$3651,PENJUALAN!$C$4:$C$3651,'Current Stock'!A1906)</f>
        <v>0</v>
      </c>
      <c r="J1906" s="15">
        <f t="shared" si="2"/>
        <v>0</v>
      </c>
      <c r="K1906" s="13"/>
      <c r="L1906" s="13"/>
      <c r="M1906" s="44"/>
      <c r="N1906" s="44"/>
      <c r="O1906" s="88"/>
      <c r="P1906" s="88"/>
    </row>
    <row r="1907" ht="15.0" customHeight="1">
      <c r="A1907" s="11" t="str">
        <f t="shared" si="4"/>
        <v>FDR-TARUNAASH</v>
      </c>
      <c r="B1907" s="82" t="s">
        <v>2147</v>
      </c>
      <c r="C1907" s="13" t="s">
        <v>1381</v>
      </c>
      <c r="D1907" s="13" t="str">
        <f t="shared" si="8"/>
        <v>FDR</v>
      </c>
      <c r="E1907" s="13" t="s">
        <v>93</v>
      </c>
      <c r="F1907" s="44"/>
      <c r="G1907" s="11"/>
      <c r="H1907" s="11">
        <f>SUMIFS(X!$F$3:$F$5978,X!$D$3:$D$5978,'Current Stock'!A1907)</f>
        <v>0</v>
      </c>
      <c r="I1907" s="11">
        <f>SUMIFS(PENJUALAN!$E$4:$E$3651,PENJUALAN!$C$4:$C$3651,'Current Stock'!A1907)</f>
        <v>0</v>
      </c>
      <c r="J1907" s="15">
        <f t="shared" si="2"/>
        <v>0</v>
      </c>
      <c r="K1907" s="13"/>
      <c r="L1907" s="13"/>
      <c r="M1907" s="44"/>
      <c r="N1907" s="44"/>
      <c r="O1907" s="88"/>
      <c r="P1907" s="88"/>
    </row>
    <row r="1908" ht="15.0" customHeight="1">
      <c r="A1908" s="11" t="str">
        <f t="shared" si="4"/>
        <v>FDL-FORTUNER05ASH</v>
      </c>
      <c r="B1908" s="82" t="s">
        <v>2148</v>
      </c>
      <c r="C1908" s="13" t="s">
        <v>2149</v>
      </c>
      <c r="D1908" s="44" t="str">
        <f t="shared" si="8"/>
        <v>FDL</v>
      </c>
      <c r="E1908" s="13" t="s">
        <v>93</v>
      </c>
      <c r="F1908" s="44"/>
      <c r="G1908" s="11"/>
      <c r="H1908" s="11">
        <f>SUMIFS(X!$F$3:$F$5978,X!$D$3:$D$5978,'Current Stock'!A1908)</f>
        <v>3</v>
      </c>
      <c r="I1908" s="11">
        <f>SUMIFS(PENJUALAN!$E$4:$E$3651,PENJUALAN!$C$4:$C$3651,'Current Stock'!A1908)</f>
        <v>3</v>
      </c>
      <c r="J1908" s="15">
        <f t="shared" si="2"/>
        <v>0</v>
      </c>
      <c r="K1908" s="13"/>
      <c r="L1908" s="13"/>
      <c r="M1908" s="44"/>
      <c r="N1908" s="44"/>
      <c r="O1908" s="88"/>
      <c r="P1908" s="88"/>
    </row>
    <row r="1909" ht="15.0" customHeight="1">
      <c r="A1909" s="11" t="str">
        <f t="shared" si="4"/>
        <v>FDL-DATSUNASH</v>
      </c>
      <c r="B1909" s="82" t="s">
        <v>896</v>
      </c>
      <c r="C1909" s="13" t="s">
        <v>897</v>
      </c>
      <c r="D1909" s="44" t="str">
        <f t="shared" si="8"/>
        <v>FDL</v>
      </c>
      <c r="E1909" s="13" t="s">
        <v>93</v>
      </c>
      <c r="F1909" s="44"/>
      <c r="G1909" s="11"/>
      <c r="H1909" s="11">
        <f>SUMIFS(X!$F$3:$F$5978,X!$D$3:$D$5978,'Current Stock'!A1909)</f>
        <v>0</v>
      </c>
      <c r="I1909" s="11">
        <f>SUMIFS(PENJUALAN!$E$4:$E$3651,PENJUALAN!$C$4:$C$3651,'Current Stock'!A1909)</f>
        <v>0</v>
      </c>
      <c r="J1909" s="15">
        <f t="shared" si="2"/>
        <v>0</v>
      </c>
      <c r="K1909" s="13"/>
      <c r="L1909" s="13"/>
      <c r="M1909" s="44"/>
      <c r="N1909" s="44"/>
      <c r="O1909" s="88"/>
      <c r="P1909" s="88"/>
    </row>
    <row r="1910" ht="15.0" customHeight="1">
      <c r="A1910" s="11" t="str">
        <f t="shared" si="4"/>
        <v>FDR-DATSUNASH</v>
      </c>
      <c r="B1910" s="32" t="s">
        <v>2150</v>
      </c>
      <c r="C1910" s="33" t="s">
        <v>897</v>
      </c>
      <c r="D1910" s="33" t="s">
        <v>106</v>
      </c>
      <c r="E1910" s="11" t="s">
        <v>93</v>
      </c>
      <c r="F1910" s="44"/>
      <c r="G1910" s="11"/>
      <c r="H1910" s="11">
        <f>SUMIFS(X!$F$3:$F$5978,X!$D$3:$D$5978,'Current Stock'!A1910)</f>
        <v>0</v>
      </c>
      <c r="I1910" s="11">
        <f>SUMIFS(PENJUALAN!$E$4:$E$3651,PENJUALAN!$C$4:$C$3651,'Current Stock'!A1910)</f>
        <v>0</v>
      </c>
      <c r="J1910" s="15">
        <f t="shared" si="2"/>
        <v>0</v>
      </c>
      <c r="K1910" s="13"/>
      <c r="L1910" s="13"/>
      <c r="M1910" s="44"/>
      <c r="N1910" s="44"/>
      <c r="O1910" s="88"/>
      <c r="P1910" s="88"/>
    </row>
    <row r="1911" ht="15.0" customHeight="1">
      <c r="A1911" s="11" t="str">
        <f t="shared" si="4"/>
        <v>RDL-RANGER02ASH</v>
      </c>
      <c r="B1911" s="82" t="s">
        <v>2151</v>
      </c>
      <c r="C1911" s="13" t="s">
        <v>2152</v>
      </c>
      <c r="D1911" s="44" t="str">
        <f t="shared" ref="D1911:D1913" si="9">LEFT(A1911,FIND("-",A1911) - 1)</f>
        <v>RDL</v>
      </c>
      <c r="E1911" s="13" t="s">
        <v>93</v>
      </c>
      <c r="F1911" s="44"/>
      <c r="G1911" s="11"/>
      <c r="H1911" s="11">
        <f>SUMIFS(X!$F$3:$F$5978,X!$D$3:$D$5978,'Current Stock'!A1911)</f>
        <v>0</v>
      </c>
      <c r="I1911" s="11">
        <f>SUMIFS(PENJUALAN!$E$4:$E$3651,PENJUALAN!$C$4:$C$3651,'Current Stock'!A1911)</f>
        <v>0</v>
      </c>
      <c r="J1911" s="15">
        <f t="shared" si="2"/>
        <v>0</v>
      </c>
      <c r="K1911" s="13"/>
      <c r="L1911" s="13"/>
      <c r="M1911" s="44"/>
      <c r="N1911" s="44"/>
      <c r="O1911" s="88"/>
      <c r="P1911" s="88"/>
    </row>
    <row r="1912" ht="15.0" customHeight="1">
      <c r="A1912" s="11" t="str">
        <f t="shared" si="4"/>
        <v>FDR-RANGER06ASH</v>
      </c>
      <c r="B1912" s="82" t="s">
        <v>2153</v>
      </c>
      <c r="C1912" s="13" t="s">
        <v>2154</v>
      </c>
      <c r="D1912" s="44" t="str">
        <f t="shared" si="9"/>
        <v>FDR</v>
      </c>
      <c r="E1912" s="13" t="s">
        <v>93</v>
      </c>
      <c r="F1912" s="44"/>
      <c r="G1912" s="11"/>
      <c r="H1912" s="11">
        <f>SUMIFS(X!$F$3:$F$5978,X!$D$3:$D$5978,'Current Stock'!A1912)</f>
        <v>0</v>
      </c>
      <c r="I1912" s="11">
        <f>SUMIFS(PENJUALAN!$E$4:$E$3651,PENJUALAN!$C$4:$C$3651,'Current Stock'!A1912)</f>
        <v>0</v>
      </c>
      <c r="J1912" s="15">
        <f t="shared" si="2"/>
        <v>0</v>
      </c>
      <c r="K1912" s="13"/>
      <c r="L1912" s="13"/>
      <c r="M1912" s="44"/>
      <c r="N1912" s="44"/>
      <c r="O1912" s="88"/>
      <c r="P1912" s="88"/>
    </row>
    <row r="1913" ht="15.0" customHeight="1">
      <c r="A1913" s="11" t="str">
        <f t="shared" si="4"/>
        <v>FDR-RANGER11ASH</v>
      </c>
      <c r="B1913" s="82" t="s">
        <v>2155</v>
      </c>
      <c r="C1913" s="13" t="s">
        <v>2156</v>
      </c>
      <c r="D1913" s="44" t="str">
        <f t="shared" si="9"/>
        <v>FDR</v>
      </c>
      <c r="E1913" s="13" t="s">
        <v>93</v>
      </c>
      <c r="F1913" s="44"/>
      <c r="G1913" s="11"/>
      <c r="H1913" s="11">
        <f>SUMIFS(X!$F$3:$F$5978,X!$D$3:$D$5978,'Current Stock'!A1913)</f>
        <v>0</v>
      </c>
      <c r="I1913" s="11">
        <f>SUMIFS(PENJUALAN!$E$4:$E$3651,PENJUALAN!$C$4:$C$3651,'Current Stock'!A1913)</f>
        <v>0</v>
      </c>
      <c r="J1913" s="15">
        <f t="shared" si="2"/>
        <v>0</v>
      </c>
      <c r="K1913" s="13"/>
      <c r="L1913" s="13"/>
      <c r="M1913" s="44"/>
      <c r="N1913" s="44"/>
      <c r="O1913" s="88"/>
      <c r="P1913" s="88"/>
    </row>
    <row r="1914" ht="15.0" customHeight="1">
      <c r="A1914" s="11" t="str">
        <f t="shared" si="4"/>
        <v>FDL-RANGER11ASH</v>
      </c>
      <c r="B1914" s="82" t="s">
        <v>2157</v>
      </c>
      <c r="C1914" s="13" t="s">
        <v>2156</v>
      </c>
      <c r="D1914" s="13" t="s">
        <v>104</v>
      </c>
      <c r="E1914" s="13" t="s">
        <v>93</v>
      </c>
      <c r="F1914" s="44"/>
      <c r="G1914" s="11"/>
      <c r="H1914" s="11">
        <f>SUMIFS(X!$F$3:$F$5978,X!$D$3:$D$5978,'Current Stock'!A1914)</f>
        <v>0</v>
      </c>
      <c r="I1914" s="11">
        <f>SUMIFS(PENJUALAN!$E$4:$E$3651,PENJUALAN!$C$4:$C$3651,'Current Stock'!A1914)</f>
        <v>0</v>
      </c>
      <c r="J1914" s="15">
        <f t="shared" si="2"/>
        <v>0</v>
      </c>
      <c r="K1914" s="13"/>
      <c r="L1914" s="13"/>
      <c r="M1914" s="44"/>
      <c r="N1914" s="44"/>
      <c r="O1914" s="88"/>
      <c r="P1914" s="88"/>
    </row>
    <row r="1915" ht="15.0" customHeight="1">
      <c r="A1915" s="11" t="str">
        <f t="shared" si="4"/>
        <v>RDR-RANGER11ASH</v>
      </c>
      <c r="B1915" s="82" t="s">
        <v>2158</v>
      </c>
      <c r="C1915" s="13" t="s">
        <v>2156</v>
      </c>
      <c r="D1915" s="13" t="s">
        <v>86</v>
      </c>
      <c r="E1915" s="13" t="s">
        <v>93</v>
      </c>
      <c r="F1915" s="44"/>
      <c r="G1915" s="11"/>
      <c r="H1915" s="11">
        <f>SUMIFS(X!$F$3:$F$5978,X!$D$3:$D$5978,'Current Stock'!A1915)</f>
        <v>1</v>
      </c>
      <c r="I1915" s="11">
        <f>SUMIFS(PENJUALAN!$E$4:$E$3651,PENJUALAN!$C$4:$C$3651,'Current Stock'!A1915)</f>
        <v>1</v>
      </c>
      <c r="J1915" s="15">
        <f t="shared" si="2"/>
        <v>0</v>
      </c>
      <c r="K1915" s="13"/>
      <c r="L1915" s="13"/>
      <c r="M1915" s="44"/>
      <c r="N1915" s="44"/>
      <c r="O1915" s="88"/>
      <c r="P1915" s="88"/>
    </row>
    <row r="1916" ht="15.0" customHeight="1">
      <c r="A1916" s="11" t="str">
        <f t="shared" si="4"/>
        <v>RDL-RANGER11ASH</v>
      </c>
      <c r="B1916" s="82" t="s">
        <v>2159</v>
      </c>
      <c r="C1916" s="13" t="s">
        <v>2156</v>
      </c>
      <c r="D1916" s="13" t="s">
        <v>92</v>
      </c>
      <c r="E1916" s="13" t="s">
        <v>93</v>
      </c>
      <c r="F1916" s="44"/>
      <c r="G1916" s="11"/>
      <c r="H1916" s="11">
        <f>SUMIFS(X!$F$3:$F$5978,X!$D$3:$D$5978,'Current Stock'!A1916)</f>
        <v>0</v>
      </c>
      <c r="I1916" s="11">
        <f>SUMIFS(PENJUALAN!$E$4:$E$3651,PENJUALAN!$C$4:$C$3651,'Current Stock'!A1916)</f>
        <v>0</v>
      </c>
      <c r="J1916" s="15">
        <f t="shared" si="2"/>
        <v>0</v>
      </c>
      <c r="K1916" s="13"/>
      <c r="L1916" s="13"/>
      <c r="M1916" s="44"/>
      <c r="N1916" s="44"/>
      <c r="O1916" s="88"/>
      <c r="P1916" s="88"/>
    </row>
    <row r="1917" ht="15.0" customHeight="1">
      <c r="A1917" s="11" t="str">
        <f t="shared" si="4"/>
        <v>RDL-BRIO10ASH</v>
      </c>
      <c r="B1917" s="82" t="s">
        <v>2160</v>
      </c>
      <c r="C1917" s="13" t="s">
        <v>2161</v>
      </c>
      <c r="D1917" s="44" t="str">
        <f t="shared" ref="D1917:D1936" si="10">LEFT(A1917,FIND("-",A1917) - 1)</f>
        <v>RDL</v>
      </c>
      <c r="E1917" s="13" t="s">
        <v>93</v>
      </c>
      <c r="F1917" s="44"/>
      <c r="G1917" s="11"/>
      <c r="H1917" s="11">
        <f>SUMIFS(X!$F$3:$F$5978,X!$D$3:$D$5978,'Current Stock'!A1917)</f>
        <v>0</v>
      </c>
      <c r="I1917" s="11">
        <f>SUMIFS(PENJUALAN!$E$4:$E$3651,PENJUALAN!$C$4:$C$3651,'Current Stock'!A1917)</f>
        <v>0</v>
      </c>
      <c r="J1917" s="15">
        <f t="shared" si="2"/>
        <v>0</v>
      </c>
      <c r="K1917" s="13"/>
      <c r="L1917" s="13"/>
      <c r="M1917" s="44"/>
      <c r="N1917" s="44"/>
      <c r="O1917" s="88"/>
      <c r="P1917" s="88"/>
    </row>
    <row r="1918" ht="15.0" customHeight="1">
      <c r="A1918" s="23" t="str">
        <f t="shared" si="4"/>
        <v>FDL-FORTUNER15ASH</v>
      </c>
      <c r="B1918" s="86" t="s">
        <v>2162</v>
      </c>
      <c r="C1918" s="25" t="s">
        <v>2163</v>
      </c>
      <c r="D1918" s="87" t="str">
        <f t="shared" si="10"/>
        <v>FDL</v>
      </c>
      <c r="E1918" s="25" t="s">
        <v>93</v>
      </c>
      <c r="F1918" s="87"/>
      <c r="G1918" s="23"/>
      <c r="H1918" s="11">
        <f>SUMIFS(X!$F$3:$F$5978,X!$D$3:$D$5978,'Current Stock'!A1918)</f>
        <v>1</v>
      </c>
      <c r="I1918" s="11">
        <f>SUMIFS(PENJUALAN!$E$4:$E$3651,PENJUALAN!$C$4:$C$3651,'Current Stock'!A1918)</f>
        <v>1</v>
      </c>
      <c r="J1918" s="15">
        <f t="shared" si="2"/>
        <v>0</v>
      </c>
      <c r="K1918" s="25"/>
      <c r="L1918" s="25"/>
      <c r="M1918" s="87"/>
      <c r="N1918" s="87"/>
      <c r="O1918" s="88"/>
      <c r="P1918" s="88"/>
    </row>
    <row r="1919" ht="15.0" customHeight="1">
      <c r="A1919" s="23" t="str">
        <f t="shared" si="4"/>
        <v>FDL-MOBILIOASH</v>
      </c>
      <c r="B1919" s="86" t="s">
        <v>2164</v>
      </c>
      <c r="C1919" s="25" t="s">
        <v>2073</v>
      </c>
      <c r="D1919" s="87" t="str">
        <f t="shared" si="10"/>
        <v>FDL</v>
      </c>
      <c r="E1919" s="25" t="s">
        <v>93</v>
      </c>
      <c r="F1919" s="87"/>
      <c r="G1919" s="23"/>
      <c r="H1919" s="11">
        <f>SUMIFS(X!$F$3:$F$5978,X!$D$3:$D$5978,'Current Stock'!A1919)</f>
        <v>1</v>
      </c>
      <c r="I1919" s="11">
        <f>SUMIFS(PENJUALAN!$E$4:$E$3651,PENJUALAN!$C$4:$C$3651,'Current Stock'!A1919)</f>
        <v>1</v>
      </c>
      <c r="J1919" s="15">
        <f t="shared" si="2"/>
        <v>0</v>
      </c>
      <c r="K1919" s="25"/>
      <c r="L1919" s="25"/>
      <c r="M1919" s="87"/>
      <c r="N1919" s="87"/>
      <c r="O1919" s="91"/>
      <c r="P1919" s="91"/>
    </row>
    <row r="1920" ht="15.0" customHeight="1">
      <c r="A1920" s="23" t="str">
        <f t="shared" si="4"/>
        <v>FDR-MOBILIOASH</v>
      </c>
      <c r="B1920" s="86" t="s">
        <v>2165</v>
      </c>
      <c r="C1920" s="25" t="s">
        <v>2073</v>
      </c>
      <c r="D1920" s="87" t="str">
        <f t="shared" si="10"/>
        <v>FDR</v>
      </c>
      <c r="E1920" s="25" t="s">
        <v>93</v>
      </c>
      <c r="F1920" s="87"/>
      <c r="G1920" s="23"/>
      <c r="H1920" s="11">
        <f>SUMIFS(X!$F$3:$F$5978,X!$D$3:$D$5978,'Current Stock'!A1920)</f>
        <v>2</v>
      </c>
      <c r="I1920" s="11">
        <f>SUMIFS(PENJUALAN!$E$4:$E$3651,PENJUALAN!$C$4:$C$3651,'Current Stock'!A1920)</f>
        <v>2</v>
      </c>
      <c r="J1920" s="15">
        <f t="shared" si="2"/>
        <v>0</v>
      </c>
      <c r="K1920" s="25"/>
      <c r="L1920" s="25"/>
      <c r="M1920" s="87"/>
      <c r="N1920" s="87"/>
      <c r="O1920" s="91"/>
      <c r="P1920" s="91"/>
    </row>
    <row r="1921" ht="15.0" customHeight="1">
      <c r="A1921" s="23" t="str">
        <f t="shared" si="4"/>
        <v>RDL-MOBILIOASH</v>
      </c>
      <c r="B1921" s="86" t="s">
        <v>2166</v>
      </c>
      <c r="C1921" s="25" t="s">
        <v>2073</v>
      </c>
      <c r="D1921" s="87" t="str">
        <f t="shared" si="10"/>
        <v>RDL</v>
      </c>
      <c r="E1921" s="25" t="s">
        <v>93</v>
      </c>
      <c r="F1921" s="87"/>
      <c r="G1921" s="23"/>
      <c r="H1921" s="11">
        <f>SUMIFS(X!$F$3:$F$5978,X!$D$3:$D$5978,'Current Stock'!A1921)</f>
        <v>1</v>
      </c>
      <c r="I1921" s="11">
        <f>SUMIFS(PENJUALAN!$E$4:$E$3651,PENJUALAN!$C$4:$C$3651,'Current Stock'!A1921)</f>
        <v>1</v>
      </c>
      <c r="J1921" s="15">
        <f t="shared" si="2"/>
        <v>0</v>
      </c>
      <c r="K1921" s="25"/>
      <c r="L1921" s="25"/>
      <c r="M1921" s="87"/>
      <c r="N1921" s="87"/>
      <c r="O1921" s="91"/>
      <c r="P1921" s="91"/>
    </row>
    <row r="1922" ht="15.0" customHeight="1">
      <c r="A1922" s="11" t="str">
        <f t="shared" si="4"/>
        <v>FVR-JAZZ01ASH</v>
      </c>
      <c r="B1922" s="82" t="s">
        <v>2167</v>
      </c>
      <c r="C1922" s="13" t="s">
        <v>475</v>
      </c>
      <c r="D1922" s="44" t="str">
        <f t="shared" si="10"/>
        <v>FVR</v>
      </c>
      <c r="E1922" s="13" t="s">
        <v>93</v>
      </c>
      <c r="F1922" s="44"/>
      <c r="G1922" s="11"/>
      <c r="H1922" s="11">
        <f>SUMIFS(X!$F$3:$F$5978,X!$D$3:$D$5978,'Current Stock'!A1922)</f>
        <v>1</v>
      </c>
      <c r="I1922" s="11">
        <f>SUMIFS(PENJUALAN!$E$4:$E$3651,PENJUALAN!$C$4:$C$3651,'Current Stock'!A1922)</f>
        <v>1</v>
      </c>
      <c r="J1922" s="15">
        <f t="shared" si="2"/>
        <v>0</v>
      </c>
      <c r="K1922" s="13"/>
      <c r="L1922" s="13"/>
      <c r="M1922" s="44"/>
      <c r="N1922" s="44"/>
      <c r="O1922" s="91"/>
      <c r="P1922" s="91"/>
    </row>
    <row r="1923" ht="15.0" customHeight="1">
      <c r="A1923" s="11" t="str">
        <f t="shared" si="4"/>
        <v>FDL-CRV02ASH</v>
      </c>
      <c r="B1923" s="82" t="s">
        <v>2168</v>
      </c>
      <c r="C1923" s="13" t="s">
        <v>434</v>
      </c>
      <c r="D1923" s="44" t="str">
        <f t="shared" si="10"/>
        <v>FDL</v>
      </c>
      <c r="E1923" s="13" t="s">
        <v>93</v>
      </c>
      <c r="F1923" s="44"/>
      <c r="G1923" s="11"/>
      <c r="H1923" s="11">
        <f>SUMIFS(X!$F$3:$F$5978,X!$D$3:$D$5978,'Current Stock'!A1923)</f>
        <v>0</v>
      </c>
      <c r="I1923" s="11">
        <f>SUMIFS(PENJUALAN!$E$4:$E$3651,PENJUALAN!$C$4:$C$3651,'Current Stock'!A1923)</f>
        <v>0</v>
      </c>
      <c r="J1923" s="15">
        <f t="shared" si="2"/>
        <v>0</v>
      </c>
      <c r="K1923" s="13"/>
      <c r="L1923" s="13"/>
      <c r="M1923" s="44"/>
      <c r="N1923" s="44"/>
      <c r="O1923" s="88"/>
      <c r="P1923" s="88"/>
    </row>
    <row r="1924" ht="15.0" customHeight="1">
      <c r="A1924" s="11" t="str">
        <f t="shared" si="4"/>
        <v>FDR-CRV02ASH</v>
      </c>
      <c r="B1924" s="82" t="s">
        <v>2169</v>
      </c>
      <c r="C1924" s="13" t="s">
        <v>434</v>
      </c>
      <c r="D1924" s="44" t="str">
        <f t="shared" si="10"/>
        <v>FDR</v>
      </c>
      <c r="E1924" s="13" t="s">
        <v>93</v>
      </c>
      <c r="F1924" s="44"/>
      <c r="G1924" s="11"/>
      <c r="H1924" s="11">
        <f>SUMIFS(X!$F$3:$F$5978,X!$D$3:$D$5978,'Current Stock'!A1924)</f>
        <v>0</v>
      </c>
      <c r="I1924" s="11">
        <f>SUMIFS(PENJUALAN!$E$4:$E$3651,PENJUALAN!$C$4:$C$3651,'Current Stock'!A1924)</f>
        <v>0</v>
      </c>
      <c r="J1924" s="15">
        <f t="shared" si="2"/>
        <v>0</v>
      </c>
      <c r="K1924" s="13"/>
      <c r="L1924" s="13"/>
      <c r="M1924" s="44"/>
      <c r="N1924" s="44"/>
      <c r="O1924" s="88"/>
      <c r="P1924" s="88"/>
    </row>
    <row r="1925" ht="15.0" customHeight="1">
      <c r="A1925" s="11" t="str">
        <f t="shared" si="4"/>
        <v>RDL-CRV02ASH</v>
      </c>
      <c r="B1925" s="82" t="s">
        <v>435</v>
      </c>
      <c r="C1925" s="13" t="s">
        <v>434</v>
      </c>
      <c r="D1925" s="44" t="str">
        <f t="shared" si="10"/>
        <v>RDL</v>
      </c>
      <c r="E1925" s="13" t="s">
        <v>93</v>
      </c>
      <c r="F1925" s="44"/>
      <c r="G1925" s="11"/>
      <c r="H1925" s="11">
        <f>SUMIFS(X!$F$3:$F$5978,X!$D$3:$D$5978,'Current Stock'!A1925)</f>
        <v>0</v>
      </c>
      <c r="I1925" s="11">
        <f>SUMIFS(PENJUALAN!$E$4:$E$3651,PENJUALAN!$C$4:$C$3651,'Current Stock'!A1925)</f>
        <v>0</v>
      </c>
      <c r="J1925" s="15">
        <f t="shared" si="2"/>
        <v>0</v>
      </c>
      <c r="K1925" s="13"/>
      <c r="L1925" s="13"/>
      <c r="M1925" s="44"/>
      <c r="N1925" s="44"/>
      <c r="O1925" s="88"/>
      <c r="P1925" s="88"/>
    </row>
    <row r="1926" ht="15.0" customHeight="1">
      <c r="A1926" s="11" t="str">
        <f t="shared" si="4"/>
        <v>RDR-CRV02ASH</v>
      </c>
      <c r="B1926" s="82" t="s">
        <v>436</v>
      </c>
      <c r="C1926" s="13" t="s">
        <v>434</v>
      </c>
      <c r="D1926" s="44" t="str">
        <f t="shared" si="10"/>
        <v>RDR</v>
      </c>
      <c r="E1926" s="13" t="s">
        <v>93</v>
      </c>
      <c r="F1926" s="44"/>
      <c r="G1926" s="11"/>
      <c r="H1926" s="11">
        <f>SUMIFS(X!$F$3:$F$5978,X!$D$3:$D$5978,'Current Stock'!A1926)</f>
        <v>0</v>
      </c>
      <c r="I1926" s="11">
        <f>SUMIFS(PENJUALAN!$E$4:$E$3651,PENJUALAN!$C$4:$C$3651,'Current Stock'!A1926)</f>
        <v>0</v>
      </c>
      <c r="J1926" s="15">
        <f t="shared" si="2"/>
        <v>0</v>
      </c>
      <c r="K1926" s="13"/>
      <c r="L1926" s="13"/>
      <c r="M1926" s="44"/>
      <c r="N1926" s="44"/>
      <c r="O1926" s="88"/>
      <c r="P1926" s="88"/>
    </row>
    <row r="1927" ht="15.0" customHeight="1">
      <c r="A1927" s="11" t="str">
        <f t="shared" si="4"/>
        <v>FDR-CRV07ASH</v>
      </c>
      <c r="B1927" s="82" t="s">
        <v>2170</v>
      </c>
      <c r="C1927" s="13" t="s">
        <v>440</v>
      </c>
      <c r="D1927" s="44" t="str">
        <f t="shared" si="10"/>
        <v>FDR</v>
      </c>
      <c r="E1927" s="13" t="s">
        <v>93</v>
      </c>
      <c r="F1927" s="44"/>
      <c r="G1927" s="11"/>
      <c r="H1927" s="11">
        <f>SUMIFS(X!$F$3:$F$5978,X!$D$3:$D$5978,'Current Stock'!A1927)</f>
        <v>0</v>
      </c>
      <c r="I1927" s="11">
        <f>SUMIFS(PENJUALAN!$E$4:$E$3651,PENJUALAN!$C$4:$C$3651,'Current Stock'!A1927)</f>
        <v>0</v>
      </c>
      <c r="J1927" s="15">
        <f t="shared" si="2"/>
        <v>0</v>
      </c>
      <c r="K1927" s="44"/>
      <c r="L1927" s="44"/>
      <c r="M1927" s="44"/>
      <c r="N1927" s="44"/>
      <c r="O1927" s="88"/>
      <c r="P1927" s="88"/>
    </row>
    <row r="1928" ht="15.0" customHeight="1">
      <c r="A1928" s="11" t="str">
        <f t="shared" si="4"/>
        <v>RDR-TERIOS06ASH</v>
      </c>
      <c r="B1928" s="82" t="s">
        <v>2171</v>
      </c>
      <c r="C1928" s="13" t="s">
        <v>1248</v>
      </c>
      <c r="D1928" s="44" t="str">
        <f t="shared" si="10"/>
        <v>RDR</v>
      </c>
      <c r="E1928" s="13" t="s">
        <v>93</v>
      </c>
      <c r="F1928" s="44"/>
      <c r="G1928" s="11"/>
      <c r="H1928" s="11">
        <f>SUMIFS(X!$F$3:$F$5978,X!$D$3:$D$5978,'Current Stock'!A1928)</f>
        <v>2</v>
      </c>
      <c r="I1928" s="11">
        <f>SUMIFS(PENJUALAN!$E$4:$E$3651,PENJUALAN!$C$4:$C$3651,'Current Stock'!A1928)</f>
        <v>2</v>
      </c>
      <c r="J1928" s="15">
        <f t="shared" si="2"/>
        <v>0</v>
      </c>
      <c r="K1928" s="13"/>
      <c r="L1928" s="13"/>
      <c r="M1928" s="44"/>
      <c r="N1928" s="44"/>
      <c r="O1928" s="88"/>
      <c r="P1928" s="88"/>
    </row>
    <row r="1929" ht="15.0" customHeight="1">
      <c r="A1929" s="11" t="str">
        <f t="shared" si="4"/>
        <v>RDR-CRV07ASH</v>
      </c>
      <c r="B1929" s="82" t="s">
        <v>2172</v>
      </c>
      <c r="C1929" s="13" t="s">
        <v>440</v>
      </c>
      <c r="D1929" s="44" t="str">
        <f t="shared" si="10"/>
        <v>RDR</v>
      </c>
      <c r="E1929" s="13" t="s">
        <v>93</v>
      </c>
      <c r="F1929" s="44"/>
      <c r="G1929" s="11"/>
      <c r="H1929" s="11">
        <f>SUMIFS(X!$F$3:$F$5978,X!$D$3:$D$5978,'Current Stock'!A1929)</f>
        <v>0</v>
      </c>
      <c r="I1929" s="11">
        <f>SUMIFS(PENJUALAN!$E$4:$E$3651,PENJUALAN!$C$4:$C$3651,'Current Stock'!A1929)</f>
        <v>0</v>
      </c>
      <c r="J1929" s="15">
        <f t="shared" si="2"/>
        <v>0</v>
      </c>
      <c r="K1929" s="13"/>
      <c r="L1929" s="13"/>
      <c r="M1929" s="44"/>
      <c r="N1929" s="44"/>
      <c r="O1929" s="88"/>
      <c r="P1929" s="88"/>
    </row>
    <row r="1930" ht="15.0" customHeight="1">
      <c r="A1930" s="11" t="str">
        <f t="shared" si="4"/>
        <v>RDL-JAZZ13ASH</v>
      </c>
      <c r="B1930" s="82" t="s">
        <v>2173</v>
      </c>
      <c r="C1930" s="13" t="s">
        <v>2174</v>
      </c>
      <c r="D1930" s="44" t="str">
        <f t="shared" si="10"/>
        <v>RDL</v>
      </c>
      <c r="E1930" s="13" t="s">
        <v>93</v>
      </c>
      <c r="F1930" s="44"/>
      <c r="G1930" s="11"/>
      <c r="H1930" s="11">
        <f>SUMIFS(X!$F$3:$F$5978,X!$D$3:$D$5978,'Current Stock'!A1930)</f>
        <v>0</v>
      </c>
      <c r="I1930" s="11">
        <f>SUMIFS(PENJUALAN!$E$4:$E$3651,PENJUALAN!$C$4:$C$3651,'Current Stock'!A1930)</f>
        <v>0</v>
      </c>
      <c r="J1930" s="15">
        <f t="shared" si="2"/>
        <v>0</v>
      </c>
      <c r="K1930" s="13"/>
      <c r="L1930" s="13"/>
      <c r="M1930" s="44"/>
      <c r="N1930" s="44"/>
      <c r="O1930" s="88"/>
      <c r="P1930" s="88"/>
    </row>
    <row r="1931" ht="15.0" customHeight="1">
      <c r="A1931" s="11" t="str">
        <f t="shared" si="4"/>
        <v>TRW-GIGAPUASH</v>
      </c>
      <c r="B1931" s="82" t="s">
        <v>2175</v>
      </c>
      <c r="C1931" s="13" t="s">
        <v>2176</v>
      </c>
      <c r="D1931" s="44" t="str">
        <f t="shared" si="10"/>
        <v>TRW</v>
      </c>
      <c r="E1931" s="13" t="s">
        <v>93</v>
      </c>
      <c r="F1931" s="44"/>
      <c r="G1931" s="11"/>
      <c r="H1931" s="11">
        <f>SUMIFS(X!$F$3:$F$5978,X!$D$3:$D$5978,'Current Stock'!A1931)</f>
        <v>0</v>
      </c>
      <c r="I1931" s="11">
        <f>SUMIFS(PENJUALAN!$E$4:$E$3651,PENJUALAN!$C$4:$C$3651,'Current Stock'!A1931)</f>
        <v>0</v>
      </c>
      <c r="J1931" s="15">
        <f t="shared" si="2"/>
        <v>0</v>
      </c>
      <c r="K1931" s="13"/>
      <c r="L1931" s="13"/>
      <c r="M1931" s="44"/>
      <c r="N1931" s="44"/>
      <c r="O1931" s="88"/>
      <c r="P1931" s="88"/>
    </row>
    <row r="1932" ht="15.0" customHeight="1">
      <c r="A1932" s="11" t="str">
        <f t="shared" si="4"/>
        <v>RDL-TRITON05ASH</v>
      </c>
      <c r="B1932" s="82" t="s">
        <v>2177</v>
      </c>
      <c r="C1932" s="13" t="s">
        <v>889</v>
      </c>
      <c r="D1932" s="44" t="str">
        <f t="shared" si="10"/>
        <v>RDL</v>
      </c>
      <c r="E1932" s="13" t="s">
        <v>93</v>
      </c>
      <c r="F1932" s="44"/>
      <c r="G1932" s="11"/>
      <c r="H1932" s="11">
        <f>SUMIFS(X!$F$3:$F$5978,X!$D$3:$D$5978,'Current Stock'!A1932)</f>
        <v>0</v>
      </c>
      <c r="I1932" s="11">
        <f>SUMIFS(PENJUALAN!$E$4:$E$3651,PENJUALAN!$C$4:$C$3651,'Current Stock'!A1932)</f>
        <v>0</v>
      </c>
      <c r="J1932" s="15">
        <f t="shared" si="2"/>
        <v>0</v>
      </c>
      <c r="K1932" s="13"/>
      <c r="L1932" s="13"/>
      <c r="M1932" s="44"/>
      <c r="N1932" s="44"/>
      <c r="O1932" s="88"/>
      <c r="P1932" s="88"/>
    </row>
    <row r="1933" ht="15.0" customHeight="1">
      <c r="A1933" s="11" t="str">
        <f t="shared" si="4"/>
        <v>FDL-XPANDERASH</v>
      </c>
      <c r="B1933" s="82" t="s">
        <v>2178</v>
      </c>
      <c r="C1933" s="13" t="s">
        <v>2179</v>
      </c>
      <c r="D1933" s="44" t="str">
        <f t="shared" si="10"/>
        <v>FDL</v>
      </c>
      <c r="E1933" s="13" t="s">
        <v>93</v>
      </c>
      <c r="F1933" s="44"/>
      <c r="G1933" s="11"/>
      <c r="H1933" s="11">
        <f>SUMIFS(X!$F$3:$F$5978,X!$D$3:$D$5978,'Current Stock'!A1933)</f>
        <v>0</v>
      </c>
      <c r="I1933" s="11">
        <f>SUMIFS(PENJUALAN!$E$4:$E$3651,PENJUALAN!$C$4:$C$3651,'Current Stock'!A1933)</f>
        <v>0</v>
      </c>
      <c r="J1933" s="15">
        <f t="shared" si="2"/>
        <v>0</v>
      </c>
      <c r="K1933" s="13" t="s">
        <v>96</v>
      </c>
      <c r="L1933" s="13"/>
      <c r="M1933" s="44"/>
      <c r="N1933" s="44"/>
      <c r="O1933" s="88"/>
      <c r="P1933" s="88"/>
    </row>
    <row r="1934" ht="15.0" customHeight="1">
      <c r="A1934" s="11" t="str">
        <f t="shared" si="4"/>
        <v>FDR-XPANDERASH</v>
      </c>
      <c r="B1934" s="82" t="s">
        <v>2180</v>
      </c>
      <c r="C1934" s="13" t="s">
        <v>2179</v>
      </c>
      <c r="D1934" s="44" t="str">
        <f t="shared" si="10"/>
        <v>FDR</v>
      </c>
      <c r="E1934" s="13" t="s">
        <v>93</v>
      </c>
      <c r="F1934" s="44"/>
      <c r="G1934" s="11"/>
      <c r="H1934" s="11">
        <f>SUMIFS(X!$F$3:$F$5978,X!$D$3:$D$5978,'Current Stock'!A1934)</f>
        <v>1</v>
      </c>
      <c r="I1934" s="11">
        <f>SUMIFS(PENJUALAN!$E$4:$E$3651,PENJUALAN!$C$4:$C$3651,'Current Stock'!A1934)</f>
        <v>1</v>
      </c>
      <c r="J1934" s="15">
        <f t="shared" si="2"/>
        <v>0</v>
      </c>
      <c r="K1934" s="13"/>
      <c r="L1934" s="13"/>
      <c r="M1934" s="44"/>
      <c r="N1934" s="44"/>
      <c r="O1934" s="88"/>
      <c r="P1934" s="88"/>
    </row>
    <row r="1935" ht="15.0" customHeight="1">
      <c r="A1935" s="11" t="str">
        <f t="shared" si="4"/>
        <v>RDL-XPANDERASH</v>
      </c>
      <c r="B1935" s="82" t="s">
        <v>2181</v>
      </c>
      <c r="C1935" s="13" t="s">
        <v>2179</v>
      </c>
      <c r="D1935" s="44" t="str">
        <f t="shared" si="10"/>
        <v>RDL</v>
      </c>
      <c r="E1935" s="13" t="s">
        <v>93</v>
      </c>
      <c r="F1935" s="44"/>
      <c r="G1935" s="11"/>
      <c r="H1935" s="11">
        <f>SUMIFS(X!$F$3:$F$5978,X!$D$3:$D$5978,'Current Stock'!A1935)</f>
        <v>1</v>
      </c>
      <c r="I1935" s="11">
        <f>SUMIFS(PENJUALAN!$E$4:$E$3651,PENJUALAN!$C$4:$C$3651,'Current Stock'!A1935)</f>
        <v>1</v>
      </c>
      <c r="J1935" s="15">
        <f t="shared" si="2"/>
        <v>0</v>
      </c>
      <c r="K1935" s="13" t="s">
        <v>2182</v>
      </c>
      <c r="L1935" s="13"/>
      <c r="M1935" s="44"/>
      <c r="N1935" s="44"/>
      <c r="O1935" s="88"/>
      <c r="P1935" s="88"/>
    </row>
    <row r="1936" ht="15.0" customHeight="1">
      <c r="A1936" s="11" t="str">
        <f t="shared" si="4"/>
        <v>RDR-XPANDERASH</v>
      </c>
      <c r="B1936" s="82" t="s">
        <v>2183</v>
      </c>
      <c r="C1936" s="13" t="s">
        <v>2179</v>
      </c>
      <c r="D1936" s="44" t="str">
        <f t="shared" si="10"/>
        <v>RDR</v>
      </c>
      <c r="E1936" s="13" t="s">
        <v>93</v>
      </c>
      <c r="F1936" s="44"/>
      <c r="G1936" s="14">
        <v>45988.0</v>
      </c>
      <c r="H1936" s="11">
        <f>SUMIFS(X!$F$3:$F$5978,X!$D$3:$D$5978,'Current Stock'!A1936)</f>
        <v>1</v>
      </c>
      <c r="I1936" s="11">
        <f>SUMIFS(PENJUALAN!$E$4:$E$3651,PENJUALAN!$C$4:$C$3651,'Current Stock'!A1936)</f>
        <v>1</v>
      </c>
      <c r="J1936" s="15">
        <f t="shared" si="2"/>
        <v>0</v>
      </c>
      <c r="K1936" s="13"/>
      <c r="L1936" s="44"/>
      <c r="M1936" s="44"/>
      <c r="N1936" s="44"/>
      <c r="O1936" s="88"/>
      <c r="P1936" s="88"/>
    </row>
    <row r="1937" ht="15.0" customHeight="1">
      <c r="A1937" s="11" t="str">
        <f t="shared" si="4"/>
        <v>SWR-XPANDERASH</v>
      </c>
      <c r="B1937" s="82" t="s">
        <v>2184</v>
      </c>
      <c r="C1937" s="13" t="s">
        <v>2179</v>
      </c>
      <c r="D1937" s="13" t="s">
        <v>116</v>
      </c>
      <c r="E1937" s="13" t="s">
        <v>93</v>
      </c>
      <c r="F1937" s="13" t="s">
        <v>2185</v>
      </c>
      <c r="G1937" s="11"/>
      <c r="H1937" s="11">
        <f>SUMIFS(X!$F$3:$F$5978,X!$D$3:$D$5978,'Current Stock'!A1937)</f>
        <v>0</v>
      </c>
      <c r="I1937" s="11">
        <f>SUMIFS(PENJUALAN!$E$4:$E$3651,PENJUALAN!$C$4:$C$3651,'Current Stock'!A1937)</f>
        <v>0</v>
      </c>
      <c r="J1937" s="15">
        <f t="shared" si="2"/>
        <v>0</v>
      </c>
      <c r="K1937" s="13" t="s">
        <v>2186</v>
      </c>
      <c r="L1937" s="13"/>
      <c r="M1937" s="44"/>
      <c r="N1937" s="44"/>
      <c r="O1937" s="88"/>
      <c r="P1937" s="88"/>
    </row>
    <row r="1938" ht="15.0" customHeight="1">
      <c r="A1938" s="11" t="str">
        <f t="shared" si="4"/>
        <v>SWL-XPANDERASH</v>
      </c>
      <c r="B1938" s="82" t="s">
        <v>2187</v>
      </c>
      <c r="C1938" s="13" t="s">
        <v>2179</v>
      </c>
      <c r="D1938" s="44" t="str">
        <f t="shared" ref="D1938:D1940" si="11">LEFT(A1938,FIND("-",A1938) - 1)</f>
        <v>SWL</v>
      </c>
      <c r="E1938" s="13" t="s">
        <v>93</v>
      </c>
      <c r="F1938" s="13" t="s">
        <v>2185</v>
      </c>
      <c r="G1938" s="11"/>
      <c r="H1938" s="11">
        <f>SUMIFS(X!$F$3:$F$5978,X!$D$3:$D$5978,'Current Stock'!A1938)</f>
        <v>0</v>
      </c>
      <c r="I1938" s="11">
        <f>SUMIFS(PENJUALAN!$E$4:$E$3651,PENJUALAN!$C$4:$C$3651,'Current Stock'!A1938)</f>
        <v>0</v>
      </c>
      <c r="J1938" s="15">
        <f t="shared" si="2"/>
        <v>0</v>
      </c>
      <c r="K1938" s="13"/>
      <c r="L1938" s="13"/>
      <c r="M1938" s="44"/>
      <c r="N1938" s="44"/>
      <c r="O1938" s="88"/>
      <c r="P1938" s="88"/>
    </row>
    <row r="1939" ht="15.0" customHeight="1">
      <c r="A1939" s="11" t="str">
        <f t="shared" si="4"/>
        <v>SWL-XPANDERCHASH</v>
      </c>
      <c r="B1939" s="82" t="s">
        <v>2188</v>
      </c>
      <c r="C1939" s="13" t="s">
        <v>2127</v>
      </c>
      <c r="D1939" s="44" t="str">
        <f t="shared" si="11"/>
        <v>SWL</v>
      </c>
      <c r="E1939" s="13" t="s">
        <v>93</v>
      </c>
      <c r="F1939" s="13" t="s">
        <v>2128</v>
      </c>
      <c r="G1939" s="14">
        <v>45988.0</v>
      </c>
      <c r="H1939" s="11">
        <f>SUMIFS(X!$F$3:$F$5978,X!$D$3:$D$5978,'Current Stock'!A1939)</f>
        <v>0</v>
      </c>
      <c r="I1939" s="11">
        <f>SUMIFS(PENJUALAN!$E$4:$E$3651,PENJUALAN!$C$4:$C$3651,'Current Stock'!A1939)</f>
        <v>0</v>
      </c>
      <c r="J1939" s="15">
        <f t="shared" si="2"/>
        <v>0</v>
      </c>
      <c r="K1939" s="13"/>
      <c r="L1939" s="13"/>
      <c r="M1939" s="44"/>
      <c r="N1939" s="44"/>
      <c r="O1939" s="88"/>
      <c r="P1939" s="88"/>
    </row>
    <row r="1940" ht="15.0" customHeight="1">
      <c r="A1940" s="11" t="str">
        <f t="shared" si="4"/>
        <v>SWL-XPANDERCHAGC</v>
      </c>
      <c r="B1940" s="82" t="s">
        <v>2188</v>
      </c>
      <c r="C1940" s="13" t="s">
        <v>2127</v>
      </c>
      <c r="D1940" s="44" t="str">
        <f t="shared" si="11"/>
        <v>SWL</v>
      </c>
      <c r="E1940" s="13" t="s">
        <v>101</v>
      </c>
      <c r="F1940" s="13" t="s">
        <v>2128</v>
      </c>
      <c r="G1940" s="14"/>
      <c r="H1940" s="11">
        <f>SUMIFS(X!$F$3:$F$5978,X!$D$3:$D$5978,'Current Stock'!A1940)</f>
        <v>1</v>
      </c>
      <c r="I1940" s="11">
        <f>SUMIFS(PENJUALAN!$E$4:$E$3651,PENJUALAN!$C$4:$C$3651,'Current Stock'!A1940)</f>
        <v>0</v>
      </c>
      <c r="J1940" s="15">
        <f t="shared" si="2"/>
        <v>1</v>
      </c>
      <c r="K1940" s="13"/>
      <c r="L1940" s="13"/>
      <c r="M1940" s="44"/>
      <c r="N1940" s="44"/>
      <c r="O1940" s="88"/>
      <c r="P1940" s="88"/>
    </row>
    <row r="1941" ht="15.0" customHeight="1">
      <c r="A1941" s="11" t="str">
        <f t="shared" si="4"/>
        <v>SWR-XPANDERCHAGC</v>
      </c>
      <c r="B1941" s="82" t="s">
        <v>2126</v>
      </c>
      <c r="C1941" s="13" t="s">
        <v>2127</v>
      </c>
      <c r="D1941" s="13" t="s">
        <v>116</v>
      </c>
      <c r="E1941" s="13" t="s">
        <v>101</v>
      </c>
      <c r="F1941" s="13" t="s">
        <v>2128</v>
      </c>
      <c r="G1941" s="14"/>
      <c r="H1941" s="11">
        <f>SUMIFS(X!$F$3:$F$5978,X!$D$3:$D$5978,'Current Stock'!A1941)</f>
        <v>1</v>
      </c>
      <c r="I1941" s="11">
        <f>SUMIFS(PENJUALAN!$E$4:$E$3651,PENJUALAN!$C$4:$C$3651,'Current Stock'!A1941)</f>
        <v>0</v>
      </c>
      <c r="J1941" s="15">
        <f t="shared" si="2"/>
        <v>1</v>
      </c>
      <c r="K1941" s="13"/>
      <c r="L1941" s="13"/>
      <c r="M1941" s="44"/>
      <c r="N1941" s="44"/>
      <c r="O1941" s="88"/>
      <c r="P1941" s="88"/>
    </row>
    <row r="1942" ht="15.0" customHeight="1">
      <c r="A1942" s="23" t="str">
        <f t="shared" si="4"/>
        <v>RDR-GRANMAXASH</v>
      </c>
      <c r="B1942" s="86" t="s">
        <v>2189</v>
      </c>
      <c r="C1942" s="25" t="s">
        <v>282</v>
      </c>
      <c r="D1942" s="87" t="str">
        <f t="shared" ref="D1942:D1946" si="12">LEFT(A1942,FIND("-",A1942) - 1)</f>
        <v>RDR</v>
      </c>
      <c r="E1942" s="25" t="s">
        <v>93</v>
      </c>
      <c r="F1942" s="87"/>
      <c r="G1942" s="28"/>
      <c r="H1942" s="11">
        <f>SUMIFS(X!$F$3:$F$5978,X!$D$3:$D$5978,'Current Stock'!A1942)</f>
        <v>5</v>
      </c>
      <c r="I1942" s="11">
        <f>SUMIFS(PENJUALAN!$E$4:$E$3651,PENJUALAN!$C$4:$C$3651,'Current Stock'!A1942)</f>
        <v>3</v>
      </c>
      <c r="J1942" s="15">
        <f t="shared" si="2"/>
        <v>2</v>
      </c>
      <c r="K1942" s="25"/>
      <c r="L1942" s="25"/>
      <c r="M1942" s="87"/>
      <c r="N1942" s="87"/>
      <c r="O1942" s="88"/>
      <c r="P1942" s="88"/>
    </row>
    <row r="1943" ht="15.0" customHeight="1">
      <c r="A1943" s="11" t="str">
        <f t="shared" si="4"/>
        <v>FDL-LIVINA07ASH</v>
      </c>
      <c r="B1943" s="82" t="s">
        <v>940</v>
      </c>
      <c r="C1943" s="13" t="s">
        <v>2190</v>
      </c>
      <c r="D1943" s="44" t="str">
        <f t="shared" si="12"/>
        <v>FDL</v>
      </c>
      <c r="E1943" s="13" t="s">
        <v>93</v>
      </c>
      <c r="F1943" s="44"/>
      <c r="G1943" s="11"/>
      <c r="H1943" s="11">
        <f>SUMIFS(X!$F$3:$F$5978,X!$D$3:$D$5978,'Current Stock'!A1943)</f>
        <v>2</v>
      </c>
      <c r="I1943" s="11">
        <f>SUMIFS(PENJUALAN!$E$4:$E$3651,PENJUALAN!$C$4:$C$3651,'Current Stock'!A1943)</f>
        <v>1</v>
      </c>
      <c r="J1943" s="15">
        <f t="shared" si="2"/>
        <v>1</v>
      </c>
      <c r="K1943" s="13" t="s">
        <v>2191</v>
      </c>
      <c r="L1943" s="13"/>
      <c r="M1943" s="44"/>
      <c r="N1943" s="44"/>
      <c r="O1943" s="88"/>
      <c r="P1943" s="88"/>
    </row>
    <row r="1944" ht="15.0" customHeight="1">
      <c r="A1944" s="11" t="str">
        <f t="shared" si="4"/>
        <v>RDL-LIVINA07ASH</v>
      </c>
      <c r="B1944" s="82" t="s">
        <v>2192</v>
      </c>
      <c r="C1944" s="13" t="s">
        <v>2190</v>
      </c>
      <c r="D1944" s="44" t="str">
        <f t="shared" si="12"/>
        <v>RDL</v>
      </c>
      <c r="E1944" s="13" t="s">
        <v>93</v>
      </c>
      <c r="F1944" s="44"/>
      <c r="G1944" s="11"/>
      <c r="H1944" s="11">
        <f>SUMIFS(X!$F$3:$F$5978,X!$D$3:$D$5978,'Current Stock'!A1944)</f>
        <v>0</v>
      </c>
      <c r="I1944" s="11">
        <f>SUMIFS(PENJUALAN!$E$4:$E$3651,PENJUALAN!$C$4:$C$3651,'Current Stock'!A1944)</f>
        <v>0</v>
      </c>
      <c r="J1944" s="15">
        <f t="shared" si="2"/>
        <v>0</v>
      </c>
      <c r="K1944" s="13"/>
      <c r="L1944" s="13"/>
      <c r="M1944" s="44"/>
      <c r="N1944" s="44"/>
      <c r="O1944" s="88"/>
      <c r="P1944" s="88"/>
    </row>
    <row r="1945" ht="15.0" customHeight="1">
      <c r="A1945" s="11" t="str">
        <f t="shared" si="4"/>
        <v>RDR-LIVINA07ASH</v>
      </c>
      <c r="B1945" s="82" t="s">
        <v>2193</v>
      </c>
      <c r="C1945" s="13" t="s">
        <v>2190</v>
      </c>
      <c r="D1945" s="44" t="str">
        <f t="shared" si="12"/>
        <v>RDR</v>
      </c>
      <c r="E1945" s="13" t="s">
        <v>93</v>
      </c>
      <c r="F1945" s="44"/>
      <c r="G1945" s="14"/>
      <c r="H1945" s="11">
        <f>SUMIFS(X!$F$3:$F$5978,X!$D$3:$D$5978,'Current Stock'!A1945)</f>
        <v>1</v>
      </c>
      <c r="I1945" s="11">
        <f>SUMIFS(PENJUALAN!$E$4:$E$3651,PENJUALAN!$C$4:$C$3651,'Current Stock'!A1945)</f>
        <v>0</v>
      </c>
      <c r="J1945" s="15">
        <f t="shared" si="2"/>
        <v>1</v>
      </c>
      <c r="K1945" s="13"/>
      <c r="L1945" s="13"/>
      <c r="M1945" s="44"/>
      <c r="N1945" s="44"/>
      <c r="O1945" s="88"/>
      <c r="P1945" s="88"/>
    </row>
    <row r="1946" ht="15.0" customHeight="1">
      <c r="A1946" s="11" t="str">
        <f t="shared" si="4"/>
        <v>FDL-APVASH</v>
      </c>
      <c r="B1946" s="82" t="s">
        <v>2194</v>
      </c>
      <c r="C1946" s="13" t="s">
        <v>1024</v>
      </c>
      <c r="D1946" s="44" t="str">
        <f t="shared" si="12"/>
        <v>FDL</v>
      </c>
      <c r="E1946" s="13" t="s">
        <v>93</v>
      </c>
      <c r="F1946" s="44"/>
      <c r="G1946" s="14">
        <v>45988.0</v>
      </c>
      <c r="H1946" s="11">
        <f>SUMIFS(X!$F$3:$F$5978,X!$D$3:$D$5978,'Current Stock'!A1946)</f>
        <v>0</v>
      </c>
      <c r="I1946" s="11">
        <f>SUMIFS(PENJUALAN!$E$4:$E$3651,PENJUALAN!$C$4:$C$3651,'Current Stock'!A1946)</f>
        <v>0</v>
      </c>
      <c r="J1946" s="15">
        <f t="shared" si="2"/>
        <v>0</v>
      </c>
      <c r="K1946" s="13"/>
      <c r="L1946" s="13"/>
      <c r="M1946" s="44"/>
      <c r="N1946" s="44"/>
      <c r="O1946" s="88"/>
      <c r="P1946" s="88"/>
    </row>
    <row r="1947" ht="15.0" customHeight="1">
      <c r="A1947" s="11" t="str">
        <f t="shared" si="4"/>
        <v>FDR-APVASH</v>
      </c>
      <c r="B1947" s="82" t="s">
        <v>2195</v>
      </c>
      <c r="C1947" s="13" t="s">
        <v>1024</v>
      </c>
      <c r="D1947" s="13" t="s">
        <v>106</v>
      </c>
      <c r="E1947" s="13" t="s">
        <v>93</v>
      </c>
      <c r="F1947" s="44"/>
      <c r="G1947" s="14"/>
      <c r="H1947" s="11">
        <f>SUMIFS(X!$F$3:$F$5978,X!$D$3:$D$5978,'Current Stock'!A1947)</f>
        <v>1</v>
      </c>
      <c r="I1947" s="11">
        <f>SUMIFS(PENJUALAN!$E$4:$E$3651,PENJUALAN!$C$4:$C$3651,'Current Stock'!A1947)</f>
        <v>1</v>
      </c>
      <c r="J1947" s="15">
        <f t="shared" si="2"/>
        <v>0</v>
      </c>
      <c r="K1947" s="13"/>
      <c r="L1947" s="13"/>
      <c r="M1947" s="44"/>
      <c r="N1947" s="44"/>
      <c r="O1947" s="88"/>
      <c r="P1947" s="88"/>
    </row>
    <row r="1948" ht="15.0" customHeight="1">
      <c r="A1948" s="11" t="str">
        <f t="shared" si="4"/>
        <v>RDL-APVASH</v>
      </c>
      <c r="B1948" s="82" t="s">
        <v>2196</v>
      </c>
      <c r="C1948" s="13" t="s">
        <v>1982</v>
      </c>
      <c r="D1948" s="13" t="s">
        <v>92</v>
      </c>
      <c r="E1948" s="13" t="s">
        <v>93</v>
      </c>
      <c r="F1948" s="44"/>
      <c r="G1948" s="14"/>
      <c r="H1948" s="11">
        <f>SUMIFS(X!$F$3:$F$5978,X!$D$3:$D$5978,'Current Stock'!A1948)</f>
        <v>0</v>
      </c>
      <c r="I1948" s="11">
        <f>SUMIFS(PENJUALAN!$E$4:$E$3651,PENJUALAN!$C$4:$C$3651,'Current Stock'!A1948)</f>
        <v>0</v>
      </c>
      <c r="J1948" s="15">
        <f t="shared" si="2"/>
        <v>0</v>
      </c>
      <c r="K1948" s="13"/>
      <c r="L1948" s="13"/>
      <c r="M1948" s="44"/>
      <c r="N1948" s="44"/>
      <c r="O1948" s="88"/>
      <c r="P1948" s="88"/>
    </row>
    <row r="1949" ht="15.0" customHeight="1">
      <c r="A1949" s="11" t="str">
        <f t="shared" si="4"/>
        <v>RDR-APVASH</v>
      </c>
      <c r="B1949" s="82" t="s">
        <v>2197</v>
      </c>
      <c r="C1949" s="13" t="s">
        <v>1982</v>
      </c>
      <c r="D1949" s="13" t="s">
        <v>86</v>
      </c>
      <c r="E1949" s="13" t="s">
        <v>93</v>
      </c>
      <c r="F1949" s="44"/>
      <c r="G1949" s="14"/>
      <c r="H1949" s="11">
        <f>SUMIFS(X!$F$3:$F$5978,X!$D$3:$D$5978,'Current Stock'!A1949)</f>
        <v>0</v>
      </c>
      <c r="I1949" s="11">
        <f>SUMIFS(PENJUALAN!$E$4:$E$3651,PENJUALAN!$C$4:$C$3651,'Current Stock'!A1949)</f>
        <v>0</v>
      </c>
      <c r="J1949" s="15">
        <f t="shared" si="2"/>
        <v>0</v>
      </c>
      <c r="K1949" s="13"/>
      <c r="L1949" s="13"/>
      <c r="M1949" s="44"/>
      <c r="N1949" s="44"/>
      <c r="O1949" s="88"/>
      <c r="P1949" s="88"/>
    </row>
    <row r="1950" ht="15.0" customHeight="1">
      <c r="A1950" s="11" t="str">
        <f t="shared" si="4"/>
        <v>SWL-APVASH</v>
      </c>
      <c r="B1950" s="82" t="s">
        <v>2198</v>
      </c>
      <c r="C1950" s="13" t="s">
        <v>1024</v>
      </c>
      <c r="D1950" s="44" t="str">
        <f>LEFT(A1950,FIND("-",A1950) - 1)</f>
        <v>SWL</v>
      </c>
      <c r="E1950" s="13" t="s">
        <v>93</v>
      </c>
      <c r="F1950" s="44"/>
      <c r="G1950" s="11"/>
      <c r="H1950" s="11">
        <f>SUMIFS(X!$F$3:$F$5978,X!$D$3:$D$5978,'Current Stock'!A1950)</f>
        <v>0</v>
      </c>
      <c r="I1950" s="11">
        <f>SUMIFS(PENJUALAN!$E$4:$E$3651,PENJUALAN!$C$4:$C$3651,'Current Stock'!A1950)</f>
        <v>0</v>
      </c>
      <c r="J1950" s="15">
        <f t="shared" si="2"/>
        <v>0</v>
      </c>
      <c r="K1950" s="13"/>
      <c r="L1950" s="13"/>
      <c r="M1950" s="44"/>
      <c r="N1950" s="44"/>
      <c r="O1950" s="88"/>
      <c r="P1950" s="88"/>
    </row>
    <row r="1951" ht="15.0" customHeight="1">
      <c r="A1951" s="11" t="str">
        <f t="shared" si="4"/>
        <v>SWR-APVASH</v>
      </c>
      <c r="B1951" s="82" t="s">
        <v>2199</v>
      </c>
      <c r="C1951" s="13" t="s">
        <v>1024</v>
      </c>
      <c r="D1951" s="13" t="s">
        <v>116</v>
      </c>
      <c r="E1951" s="13" t="s">
        <v>93</v>
      </c>
      <c r="F1951" s="44"/>
      <c r="G1951" s="14"/>
      <c r="H1951" s="11">
        <f>SUMIFS(X!$F$3:$F$5978,X!$D$3:$D$5978,'Current Stock'!A1951)</f>
        <v>0</v>
      </c>
      <c r="I1951" s="11">
        <f>SUMIFS(PENJUALAN!$E$4:$E$3651,PENJUALAN!$C$4:$C$3651,'Current Stock'!A1951)</f>
        <v>0</v>
      </c>
      <c r="J1951" s="15">
        <f t="shared" si="2"/>
        <v>0</v>
      </c>
      <c r="K1951" s="13"/>
      <c r="L1951" s="13"/>
      <c r="M1951" s="44"/>
      <c r="N1951" s="44"/>
      <c r="O1951" s="88"/>
      <c r="P1951" s="88"/>
    </row>
    <row r="1952" ht="15.0" customHeight="1">
      <c r="A1952" s="11" t="str">
        <f t="shared" si="4"/>
        <v>FDL-CARRY19ASH</v>
      </c>
      <c r="B1952" s="82" t="s">
        <v>2200</v>
      </c>
      <c r="C1952" s="13" t="s">
        <v>1363</v>
      </c>
      <c r="D1952" s="44" t="str">
        <f t="shared" ref="D1952:D1953" si="13">LEFT(A1952,FIND("-",A1952) - 1)</f>
        <v>FDL</v>
      </c>
      <c r="E1952" s="13" t="s">
        <v>93</v>
      </c>
      <c r="F1952" s="44"/>
      <c r="G1952" s="11"/>
      <c r="H1952" s="11">
        <f>SUMIFS(X!$F$3:$F$5978,X!$D$3:$D$5978,'Current Stock'!A1952)</f>
        <v>0</v>
      </c>
      <c r="I1952" s="11">
        <f>SUMIFS(PENJUALAN!$E$4:$E$3651,PENJUALAN!$C$4:$C$3651,'Current Stock'!A1952)</f>
        <v>0</v>
      </c>
      <c r="J1952" s="15">
        <f t="shared" si="2"/>
        <v>0</v>
      </c>
      <c r="K1952" s="13" t="s">
        <v>2053</v>
      </c>
      <c r="L1952" s="13"/>
      <c r="M1952" s="44"/>
      <c r="N1952" s="44"/>
      <c r="O1952" s="88"/>
      <c r="P1952" s="88"/>
    </row>
    <row r="1953" ht="15.0" customHeight="1">
      <c r="A1953" s="23" t="str">
        <f t="shared" si="4"/>
        <v>SWL-GRANMAXLUXIOASH</v>
      </c>
      <c r="B1953" s="86" t="s">
        <v>2201</v>
      </c>
      <c r="C1953" s="25" t="s">
        <v>2202</v>
      </c>
      <c r="D1953" s="87" t="str">
        <f t="shared" si="13"/>
        <v>SWL</v>
      </c>
      <c r="E1953" s="25" t="s">
        <v>93</v>
      </c>
      <c r="F1953" s="87"/>
      <c r="G1953" s="28"/>
      <c r="H1953" s="11">
        <f>SUMIFS(X!$F$3:$F$5978,X!$D$3:$D$5978,'Current Stock'!A1953)</f>
        <v>2</v>
      </c>
      <c r="I1953" s="11">
        <f>SUMIFS(PENJUALAN!$E$4:$E$3651,PENJUALAN!$C$4:$C$3651,'Current Stock'!A1953)</f>
        <v>1</v>
      </c>
      <c r="J1953" s="15">
        <f t="shared" si="2"/>
        <v>1</v>
      </c>
      <c r="K1953" s="25"/>
      <c r="L1953" s="25"/>
      <c r="M1953" s="87"/>
      <c r="N1953" s="87"/>
      <c r="O1953" s="88"/>
      <c r="P1953" s="88"/>
    </row>
    <row r="1954" ht="15.0" customHeight="1">
      <c r="A1954" s="11" t="str">
        <f t="shared" si="4"/>
        <v>TRW-CARRY19AGC</v>
      </c>
      <c r="B1954" s="82" t="s">
        <v>2203</v>
      </c>
      <c r="C1954" s="13" t="s">
        <v>2204</v>
      </c>
      <c r="D1954" s="13" t="s">
        <v>62</v>
      </c>
      <c r="E1954" s="13" t="s">
        <v>101</v>
      </c>
      <c r="F1954" s="44"/>
      <c r="G1954" s="11"/>
      <c r="H1954" s="11">
        <f>SUMIFS(X!$F$3:$F$5978,X!$D$3:$D$5978,'Current Stock'!A1954)</f>
        <v>0</v>
      </c>
      <c r="I1954" s="11">
        <f>SUMIFS(PENJUALAN!$E$4:$E$3651,PENJUALAN!$C$4:$C$3651,'Current Stock'!A1954)</f>
        <v>0</v>
      </c>
      <c r="J1954" s="15">
        <f t="shared" si="2"/>
        <v>0</v>
      </c>
      <c r="K1954" s="13" t="s">
        <v>1647</v>
      </c>
      <c r="L1954" s="13"/>
      <c r="M1954" s="44"/>
      <c r="N1954" s="44"/>
      <c r="O1954" s="88"/>
      <c r="P1954" s="88"/>
    </row>
    <row r="1955" ht="15.0" customHeight="1">
      <c r="A1955" s="11" t="str">
        <f t="shared" si="4"/>
        <v>FVL-ERTIGA12ASH</v>
      </c>
      <c r="B1955" s="82" t="s">
        <v>2205</v>
      </c>
      <c r="C1955" s="13" t="s">
        <v>1026</v>
      </c>
      <c r="D1955" s="44" t="str">
        <f t="shared" ref="D1955:D1961" si="14">LEFT(A1955,FIND("-",A1955) - 1)</f>
        <v>FVL</v>
      </c>
      <c r="E1955" s="13" t="s">
        <v>93</v>
      </c>
      <c r="F1955" s="44"/>
      <c r="G1955" s="14">
        <v>45988.0</v>
      </c>
      <c r="H1955" s="11">
        <f>SUMIFS(X!$F$3:$F$5978,X!$D$3:$D$5978,'Current Stock'!A1955)</f>
        <v>0</v>
      </c>
      <c r="I1955" s="11">
        <f>SUMIFS(PENJUALAN!$E$4:$E$3651,PENJUALAN!$C$4:$C$3651,'Current Stock'!A1955)</f>
        <v>0</v>
      </c>
      <c r="J1955" s="15">
        <f t="shared" si="2"/>
        <v>0</v>
      </c>
      <c r="K1955" s="13"/>
      <c r="L1955" s="13"/>
      <c r="M1955" s="44"/>
      <c r="N1955" s="44"/>
      <c r="O1955" s="88"/>
      <c r="P1955" s="88"/>
    </row>
    <row r="1956" ht="15.0" customHeight="1">
      <c r="A1956" s="11" t="str">
        <f t="shared" si="4"/>
        <v>FVR-ERTIGA12ASH</v>
      </c>
      <c r="B1956" s="82" t="s">
        <v>2206</v>
      </c>
      <c r="C1956" s="13" t="s">
        <v>1026</v>
      </c>
      <c r="D1956" s="44" t="str">
        <f t="shared" si="14"/>
        <v>FVR</v>
      </c>
      <c r="E1956" s="13" t="s">
        <v>93</v>
      </c>
      <c r="F1956" s="44"/>
      <c r="G1956" s="11"/>
      <c r="H1956" s="11">
        <f>SUMIFS(X!$F$3:$F$5978,X!$D$3:$D$5978,'Current Stock'!A1956)</f>
        <v>0</v>
      </c>
      <c r="I1956" s="11">
        <f>SUMIFS(PENJUALAN!$E$4:$E$3651,PENJUALAN!$C$4:$C$3651,'Current Stock'!A1956)</f>
        <v>0</v>
      </c>
      <c r="J1956" s="15">
        <f t="shared" si="2"/>
        <v>0</v>
      </c>
      <c r="K1956" s="13" t="s">
        <v>2207</v>
      </c>
      <c r="L1956" s="13"/>
      <c r="M1956" s="44"/>
      <c r="N1956" s="44"/>
      <c r="O1956" s="88"/>
      <c r="P1956" s="88"/>
    </row>
    <row r="1957" ht="15.0" customHeight="1">
      <c r="A1957" s="11" t="str">
        <f t="shared" si="4"/>
        <v>SWR-ERTIGA12ASH</v>
      </c>
      <c r="B1957" s="82" t="s">
        <v>2208</v>
      </c>
      <c r="C1957" s="13" t="s">
        <v>1026</v>
      </c>
      <c r="D1957" s="44" t="str">
        <f t="shared" si="14"/>
        <v>SWR</v>
      </c>
      <c r="E1957" s="13" t="s">
        <v>93</v>
      </c>
      <c r="F1957" s="44"/>
      <c r="G1957" s="14">
        <v>45988.0</v>
      </c>
      <c r="H1957" s="11">
        <f>SUMIFS(X!$F$3:$F$5978,X!$D$3:$D$5978,'Current Stock'!A1957)</f>
        <v>2</v>
      </c>
      <c r="I1957" s="11">
        <f>SUMIFS(PENJUALAN!$E$4:$E$3651,PENJUALAN!$C$4:$C$3651,'Current Stock'!A1957)</f>
        <v>2</v>
      </c>
      <c r="J1957" s="15">
        <f t="shared" si="2"/>
        <v>0</v>
      </c>
      <c r="K1957" s="13"/>
      <c r="L1957" s="13"/>
      <c r="M1957" s="44"/>
      <c r="N1957" s="44"/>
      <c r="O1957" s="88"/>
      <c r="P1957" s="88"/>
    </row>
    <row r="1958" ht="15.0" customHeight="1">
      <c r="A1958" s="11" t="str">
        <f t="shared" si="4"/>
        <v>RVL-AGYA13ASH</v>
      </c>
      <c r="B1958" s="82" t="s">
        <v>2209</v>
      </c>
      <c r="C1958" s="13" t="s">
        <v>2005</v>
      </c>
      <c r="D1958" s="44" t="str">
        <f t="shared" si="14"/>
        <v>RVL</v>
      </c>
      <c r="E1958" s="13" t="s">
        <v>93</v>
      </c>
      <c r="F1958" s="44"/>
      <c r="G1958" s="14"/>
      <c r="H1958" s="11">
        <f>SUMIFS(X!$F$3:$F$5978,X!$D$3:$D$5978,'Current Stock'!A1958)</f>
        <v>1</v>
      </c>
      <c r="I1958" s="11">
        <f>SUMIFS(PENJUALAN!$E$4:$E$3651,PENJUALAN!$C$4:$C$3651,'Current Stock'!A1958)</f>
        <v>0</v>
      </c>
      <c r="J1958" s="15">
        <f t="shared" si="2"/>
        <v>1</v>
      </c>
      <c r="K1958" s="13"/>
      <c r="L1958" s="13"/>
      <c r="M1958" s="44"/>
      <c r="N1958" s="44"/>
      <c r="O1958" s="88"/>
      <c r="P1958" s="88"/>
    </row>
    <row r="1959" ht="15.0" customHeight="1">
      <c r="A1959" s="11" t="str">
        <f t="shared" si="4"/>
        <v>RVR-AGYA13ASH</v>
      </c>
      <c r="B1959" s="82" t="s">
        <v>2210</v>
      </c>
      <c r="C1959" s="13" t="s">
        <v>2005</v>
      </c>
      <c r="D1959" s="44" t="str">
        <f t="shared" si="14"/>
        <v>RVR</v>
      </c>
      <c r="E1959" s="13" t="s">
        <v>93</v>
      </c>
      <c r="F1959" s="44"/>
      <c r="G1959" s="14">
        <v>45988.0</v>
      </c>
      <c r="H1959" s="11">
        <f>SUMIFS(X!$F$3:$F$5978,X!$D$3:$D$5978,'Current Stock'!A1959)</f>
        <v>0</v>
      </c>
      <c r="I1959" s="11">
        <f>SUMIFS(PENJUALAN!$E$4:$E$3651,PENJUALAN!$C$4:$C$3651,'Current Stock'!A1959)</f>
        <v>0</v>
      </c>
      <c r="J1959" s="15">
        <f t="shared" si="2"/>
        <v>0</v>
      </c>
      <c r="K1959" s="13"/>
      <c r="L1959" s="13"/>
      <c r="M1959" s="44"/>
      <c r="N1959" s="44"/>
      <c r="O1959" s="88"/>
      <c r="P1959" s="88"/>
    </row>
    <row r="1960" ht="15.0" customHeight="1">
      <c r="A1960" s="23" t="str">
        <f t="shared" si="4"/>
        <v>RDR-INNOVA04ASH</v>
      </c>
      <c r="B1960" s="86" t="s">
        <v>2211</v>
      </c>
      <c r="C1960" s="80" t="s">
        <v>1165</v>
      </c>
      <c r="D1960" s="25" t="str">
        <f t="shared" si="14"/>
        <v>RDR</v>
      </c>
      <c r="E1960" s="25" t="s">
        <v>93</v>
      </c>
      <c r="F1960" s="87"/>
      <c r="G1960" s="28"/>
      <c r="H1960" s="11">
        <f>SUMIFS(X!$F$3:$F$5978,X!$D$3:$D$5978,'Current Stock'!A1960)</f>
        <v>2</v>
      </c>
      <c r="I1960" s="11">
        <f>SUMIFS(PENJUALAN!$E$4:$E$3651,PENJUALAN!$C$4:$C$3651,'Current Stock'!A1960)</f>
        <v>2</v>
      </c>
      <c r="J1960" s="15">
        <f t="shared" si="2"/>
        <v>0</v>
      </c>
      <c r="K1960" s="25"/>
      <c r="L1960" s="25"/>
      <c r="M1960" s="87"/>
      <c r="N1960" s="87"/>
      <c r="O1960" s="88"/>
      <c r="P1960" s="88"/>
    </row>
    <row r="1961" ht="15.0" customHeight="1">
      <c r="A1961" s="23" t="str">
        <f t="shared" si="4"/>
        <v>RDR-HILUX05ASH</v>
      </c>
      <c r="B1961" s="86" t="s">
        <v>2212</v>
      </c>
      <c r="C1961" s="25" t="s">
        <v>1159</v>
      </c>
      <c r="D1961" s="87" t="str">
        <f t="shared" si="14"/>
        <v>RDR</v>
      </c>
      <c r="E1961" s="25" t="s">
        <v>93</v>
      </c>
      <c r="F1961" s="87"/>
      <c r="G1961" s="23"/>
      <c r="H1961" s="11">
        <f>SUMIFS(X!$F$3:$F$5978,X!$D$3:$D$5978,'Current Stock'!A1961)</f>
        <v>0</v>
      </c>
      <c r="I1961" s="11">
        <f>SUMIFS(PENJUALAN!$E$4:$E$3651,PENJUALAN!$C$4:$C$3651,'Current Stock'!A1961)</f>
        <v>0</v>
      </c>
      <c r="J1961" s="15">
        <f t="shared" si="2"/>
        <v>0</v>
      </c>
      <c r="K1961" s="25"/>
      <c r="L1961" s="25"/>
      <c r="M1961" s="87"/>
      <c r="N1961" s="87"/>
      <c r="O1961" s="91"/>
      <c r="P1961" s="91"/>
    </row>
    <row r="1962" ht="15.0" customHeight="1">
      <c r="A1962" s="23" t="str">
        <f t="shared" si="4"/>
        <v>FDL-AVANZA21ASH</v>
      </c>
      <c r="B1962" s="86" t="s">
        <v>2213</v>
      </c>
      <c r="C1962" s="25" t="s">
        <v>2214</v>
      </c>
      <c r="D1962" s="25" t="s">
        <v>104</v>
      </c>
      <c r="E1962" s="25" t="s">
        <v>93</v>
      </c>
      <c r="F1962" s="87"/>
      <c r="G1962" s="28"/>
      <c r="H1962" s="11">
        <f>SUMIFS(X!$F$3:$F$5978,X!$D$3:$D$5978,'Current Stock'!A1962)</f>
        <v>3</v>
      </c>
      <c r="I1962" s="11">
        <f>SUMIFS(PENJUALAN!$E$4:$E$3651,PENJUALAN!$C$4:$C$3651,'Current Stock'!A1962)</f>
        <v>1</v>
      </c>
      <c r="J1962" s="15">
        <f t="shared" si="2"/>
        <v>2</v>
      </c>
      <c r="K1962" s="25" t="s">
        <v>1690</v>
      </c>
      <c r="L1962" s="25"/>
      <c r="M1962" s="87"/>
      <c r="N1962" s="87"/>
      <c r="O1962" s="91"/>
      <c r="P1962" s="91"/>
    </row>
    <row r="1963" ht="15.0" customHeight="1">
      <c r="A1963" s="11" t="str">
        <f t="shared" si="4"/>
        <v>RDL-FORTUNER15ASH</v>
      </c>
      <c r="B1963" s="82" t="s">
        <v>1147</v>
      </c>
      <c r="C1963" s="13" t="s">
        <v>2215</v>
      </c>
      <c r="D1963" s="44" t="str">
        <f t="shared" ref="D1963:D1978" si="15">LEFT(A1963,FIND("-",A1963) - 1)</f>
        <v>RDL</v>
      </c>
      <c r="E1963" s="13" t="s">
        <v>93</v>
      </c>
      <c r="F1963" s="44"/>
      <c r="G1963" s="11"/>
      <c r="H1963" s="11">
        <f>SUMIFS(X!$F$3:$F$5978,X!$D$3:$D$5978,'Current Stock'!A1963)</f>
        <v>0</v>
      </c>
      <c r="I1963" s="11">
        <f>SUMIFS(PENJUALAN!$E$4:$E$3651,PENJUALAN!$C$4:$C$3651,'Current Stock'!A1963)</f>
        <v>0</v>
      </c>
      <c r="J1963" s="15">
        <f t="shared" si="2"/>
        <v>0</v>
      </c>
      <c r="K1963" s="13"/>
      <c r="L1963" s="13"/>
      <c r="M1963" s="44"/>
      <c r="N1963" s="44"/>
      <c r="O1963" s="88"/>
      <c r="P1963" s="88"/>
    </row>
    <row r="1964" ht="15.0" customHeight="1">
      <c r="A1964" s="11" t="str">
        <f t="shared" si="4"/>
        <v>RDR-FORTUNER15ASH</v>
      </c>
      <c r="B1964" s="82" t="s">
        <v>1148</v>
      </c>
      <c r="C1964" s="13" t="s">
        <v>2215</v>
      </c>
      <c r="D1964" s="44" t="str">
        <f t="shared" si="15"/>
        <v>RDR</v>
      </c>
      <c r="E1964" s="13" t="s">
        <v>93</v>
      </c>
      <c r="F1964" s="44"/>
      <c r="G1964" s="34"/>
      <c r="H1964" s="11">
        <f>SUMIFS(X!$F$3:$F$5978,X!$D$3:$D$5978,'Current Stock'!A1964)</f>
        <v>2</v>
      </c>
      <c r="I1964" s="11">
        <f>SUMIFS(PENJUALAN!$E$4:$E$3651,PENJUALAN!$C$4:$C$3651,'Current Stock'!A1964)</f>
        <v>2</v>
      </c>
      <c r="J1964" s="15">
        <f t="shared" si="2"/>
        <v>0</v>
      </c>
      <c r="K1964" s="13"/>
      <c r="L1964" s="13"/>
      <c r="M1964" s="44"/>
      <c r="N1964" s="44"/>
      <c r="O1964" s="88"/>
      <c r="P1964" s="88"/>
    </row>
    <row r="1965" ht="15.0" customHeight="1">
      <c r="A1965" s="23" t="str">
        <f t="shared" si="4"/>
        <v>RVL-FORTUNER15ASH</v>
      </c>
      <c r="B1965" s="86" t="s">
        <v>2216</v>
      </c>
      <c r="C1965" s="25" t="s">
        <v>2215</v>
      </c>
      <c r="D1965" s="87" t="str">
        <f t="shared" si="15"/>
        <v>RVL</v>
      </c>
      <c r="E1965" s="25" t="s">
        <v>93</v>
      </c>
      <c r="F1965" s="87"/>
      <c r="G1965" s="28">
        <v>45988.0</v>
      </c>
      <c r="H1965" s="11">
        <f>SUMIFS(X!$F$3:$F$5978,X!$D$3:$D$5978,'Current Stock'!A1965)</f>
        <v>0</v>
      </c>
      <c r="I1965" s="11">
        <f>SUMIFS(PENJUALAN!$E$4:$E$3651,PENJUALAN!$C$4:$C$3651,'Current Stock'!A1965)</f>
        <v>0</v>
      </c>
      <c r="J1965" s="15">
        <f t="shared" si="2"/>
        <v>0</v>
      </c>
      <c r="K1965" s="25"/>
      <c r="L1965" s="25"/>
      <c r="M1965" s="87"/>
      <c r="N1965" s="87"/>
      <c r="O1965" s="91"/>
      <c r="P1965" s="91"/>
    </row>
    <row r="1966" ht="15.0" customHeight="1">
      <c r="A1966" s="23" t="str">
        <f t="shared" si="4"/>
        <v>RVR-FORTUNER15ASH</v>
      </c>
      <c r="B1966" s="86" t="s">
        <v>2217</v>
      </c>
      <c r="C1966" s="25" t="s">
        <v>2215</v>
      </c>
      <c r="D1966" s="87" t="str">
        <f t="shared" si="15"/>
        <v>RVR</v>
      </c>
      <c r="E1966" s="25" t="s">
        <v>93</v>
      </c>
      <c r="F1966" s="87"/>
      <c r="G1966" s="23"/>
      <c r="H1966" s="11">
        <f>SUMIFS(X!$F$3:$F$5978,X!$D$3:$D$5978,'Current Stock'!A1966)</f>
        <v>0</v>
      </c>
      <c r="I1966" s="11">
        <f>SUMIFS(PENJUALAN!$E$4:$E$3651,PENJUALAN!$C$4:$C$3651,'Current Stock'!A1966)</f>
        <v>0</v>
      </c>
      <c r="J1966" s="15">
        <f t="shared" si="2"/>
        <v>0</v>
      </c>
      <c r="K1966" s="25"/>
      <c r="L1966" s="25"/>
      <c r="M1966" s="87"/>
      <c r="N1966" s="87"/>
      <c r="O1966" s="91"/>
      <c r="P1966" s="91"/>
    </row>
    <row r="1967" ht="15.0" customHeight="1">
      <c r="A1967" s="23" t="str">
        <f t="shared" si="4"/>
        <v>SWR-FORTUNER15ASH</v>
      </c>
      <c r="B1967" s="86" t="s">
        <v>2218</v>
      </c>
      <c r="C1967" s="25" t="s">
        <v>2215</v>
      </c>
      <c r="D1967" s="87" t="str">
        <f t="shared" si="15"/>
        <v>SWR</v>
      </c>
      <c r="E1967" s="25" t="s">
        <v>93</v>
      </c>
      <c r="F1967" s="87"/>
      <c r="G1967" s="23"/>
      <c r="H1967" s="11">
        <f>SUMIFS(X!$F$3:$F$5978,X!$D$3:$D$5978,'Current Stock'!A1967)</f>
        <v>0</v>
      </c>
      <c r="I1967" s="11">
        <f>SUMIFS(PENJUALAN!$E$4:$E$3651,PENJUALAN!$C$4:$C$3651,'Current Stock'!A1967)</f>
        <v>0</v>
      </c>
      <c r="J1967" s="15">
        <f t="shared" si="2"/>
        <v>0</v>
      </c>
      <c r="K1967" s="25"/>
      <c r="L1967" s="25"/>
      <c r="M1967" s="87"/>
      <c r="N1967" s="87"/>
      <c r="O1967" s="91"/>
      <c r="P1967" s="91"/>
    </row>
    <row r="1968" ht="15.0" customHeight="1">
      <c r="A1968" s="11" t="str">
        <f t="shared" si="4"/>
        <v>SWL-FORTUNER15ASH</v>
      </c>
      <c r="B1968" s="82" t="s">
        <v>2219</v>
      </c>
      <c r="C1968" s="13" t="s">
        <v>2215</v>
      </c>
      <c r="D1968" s="44" t="str">
        <f t="shared" si="15"/>
        <v>SWL</v>
      </c>
      <c r="E1968" s="13" t="s">
        <v>93</v>
      </c>
      <c r="F1968" s="44"/>
      <c r="G1968" s="14"/>
      <c r="H1968" s="11">
        <f>SUMIFS(X!$F$3:$F$5978,X!$D$3:$D$5978,'Current Stock'!A1968)</f>
        <v>2</v>
      </c>
      <c r="I1968" s="11">
        <f>SUMIFS(PENJUALAN!$E$4:$E$3651,PENJUALAN!$C$4:$C$3651,'Current Stock'!A1968)</f>
        <v>2</v>
      </c>
      <c r="J1968" s="15">
        <f t="shared" si="2"/>
        <v>0</v>
      </c>
      <c r="K1968" s="13"/>
      <c r="L1968" s="13"/>
      <c r="M1968" s="44"/>
      <c r="N1968" s="44"/>
      <c r="O1968" s="88"/>
      <c r="P1968" s="88"/>
    </row>
    <row r="1969" ht="15.0" customHeight="1">
      <c r="A1969" s="11" t="str">
        <f t="shared" si="4"/>
        <v>SWR-CRV07ASH</v>
      </c>
      <c r="B1969" s="82" t="s">
        <v>444</v>
      </c>
      <c r="C1969" s="13" t="s">
        <v>440</v>
      </c>
      <c r="D1969" s="44" t="str">
        <f t="shared" si="15"/>
        <v>SWR</v>
      </c>
      <c r="E1969" s="13" t="s">
        <v>93</v>
      </c>
      <c r="F1969" s="44"/>
      <c r="G1969" s="11"/>
      <c r="H1969" s="11">
        <f>SUMIFS(X!$F$3:$F$5978,X!$D$3:$D$5978,'Current Stock'!A1969)</f>
        <v>1</v>
      </c>
      <c r="I1969" s="11">
        <f>SUMIFS(PENJUALAN!$E$4:$E$3651,PENJUALAN!$C$4:$C$3651,'Current Stock'!A1969)</f>
        <v>1</v>
      </c>
      <c r="J1969" s="15">
        <f t="shared" si="2"/>
        <v>0</v>
      </c>
      <c r="K1969" s="13"/>
      <c r="L1969" s="13"/>
      <c r="M1969" s="44"/>
      <c r="N1969" s="44"/>
      <c r="O1969" s="88"/>
      <c r="P1969" s="88"/>
    </row>
    <row r="1970" ht="15.0" customHeight="1">
      <c r="A1970" s="11" t="str">
        <f t="shared" si="4"/>
        <v>FDL-CRV12ASH</v>
      </c>
      <c r="B1970" s="82" t="s">
        <v>451</v>
      </c>
      <c r="C1970" s="13" t="s">
        <v>85</v>
      </c>
      <c r="D1970" s="44" t="str">
        <f t="shared" si="15"/>
        <v>FDL</v>
      </c>
      <c r="E1970" s="13" t="s">
        <v>93</v>
      </c>
      <c r="F1970" s="44"/>
      <c r="G1970" s="11"/>
      <c r="H1970" s="11">
        <f>SUMIFS(X!$F$3:$F$5978,X!$D$3:$D$5978,'Current Stock'!A1970)</f>
        <v>0</v>
      </c>
      <c r="I1970" s="11">
        <f>SUMIFS(PENJUALAN!$E$4:$E$3651,PENJUALAN!$C$4:$C$3651,'Current Stock'!A1970)</f>
        <v>0</v>
      </c>
      <c r="J1970" s="15">
        <f t="shared" si="2"/>
        <v>0</v>
      </c>
      <c r="K1970" s="13"/>
      <c r="L1970" s="13"/>
      <c r="M1970" s="44"/>
      <c r="N1970" s="44"/>
      <c r="O1970" s="88"/>
      <c r="P1970" s="88"/>
    </row>
    <row r="1971" ht="15.0" customHeight="1">
      <c r="A1971" s="11" t="str">
        <f t="shared" si="4"/>
        <v>FDR-CRV12ASH</v>
      </c>
      <c r="B1971" s="82" t="s">
        <v>452</v>
      </c>
      <c r="C1971" s="13" t="s">
        <v>85</v>
      </c>
      <c r="D1971" s="44" t="str">
        <f t="shared" si="15"/>
        <v>FDR</v>
      </c>
      <c r="E1971" s="13" t="s">
        <v>93</v>
      </c>
      <c r="F1971" s="44"/>
      <c r="G1971" s="11"/>
      <c r="H1971" s="11">
        <f>SUMIFS(X!$F$3:$F$5978,X!$D$3:$D$5978,'Current Stock'!A1971)</f>
        <v>0</v>
      </c>
      <c r="I1971" s="11">
        <f>SUMIFS(PENJUALAN!$E$4:$E$3651,PENJUALAN!$C$4:$C$3651,'Current Stock'!A1971)</f>
        <v>0</v>
      </c>
      <c r="J1971" s="15">
        <f t="shared" si="2"/>
        <v>0</v>
      </c>
      <c r="K1971" s="13"/>
      <c r="L1971" s="13"/>
      <c r="M1971" s="44"/>
      <c r="N1971" s="44"/>
      <c r="O1971" s="88"/>
      <c r="P1971" s="88"/>
    </row>
    <row r="1972" ht="15.0" customHeight="1">
      <c r="A1972" s="11" t="str">
        <f t="shared" si="4"/>
        <v>RDL-CRV12ASH</v>
      </c>
      <c r="B1972" s="82" t="s">
        <v>453</v>
      </c>
      <c r="C1972" s="13" t="s">
        <v>85</v>
      </c>
      <c r="D1972" s="44" t="str">
        <f t="shared" si="15"/>
        <v>RDL</v>
      </c>
      <c r="E1972" s="13" t="s">
        <v>93</v>
      </c>
      <c r="F1972" s="44"/>
      <c r="G1972" s="11"/>
      <c r="H1972" s="11">
        <f>SUMIFS(X!$F$3:$F$5978,X!$D$3:$D$5978,'Current Stock'!A1972)</f>
        <v>0</v>
      </c>
      <c r="I1972" s="11">
        <f>SUMIFS(PENJUALAN!$E$4:$E$3651,PENJUALAN!$C$4:$C$3651,'Current Stock'!A1972)</f>
        <v>0</v>
      </c>
      <c r="J1972" s="15">
        <f t="shared" si="2"/>
        <v>0</v>
      </c>
      <c r="K1972" s="13"/>
      <c r="L1972" s="13"/>
      <c r="M1972" s="44"/>
      <c r="N1972" s="44"/>
      <c r="O1972" s="88"/>
      <c r="P1972" s="88"/>
    </row>
    <row r="1973" ht="15.0" customHeight="1">
      <c r="A1973" s="11" t="str">
        <f t="shared" si="4"/>
        <v>RDR-CRV12ASH</v>
      </c>
      <c r="B1973" s="82" t="s">
        <v>84</v>
      </c>
      <c r="C1973" s="13" t="s">
        <v>85</v>
      </c>
      <c r="D1973" s="44" t="str">
        <f t="shared" si="15"/>
        <v>RDR</v>
      </c>
      <c r="E1973" s="13" t="s">
        <v>93</v>
      </c>
      <c r="F1973" s="44"/>
      <c r="G1973" s="11"/>
      <c r="H1973" s="11">
        <f>SUMIFS(X!$F$3:$F$5978,X!$D$3:$D$5978,'Current Stock'!A1973)</f>
        <v>0</v>
      </c>
      <c r="I1973" s="11">
        <f>SUMIFS(PENJUALAN!$E$4:$E$3651,PENJUALAN!$C$4:$C$3651,'Current Stock'!A1973)</f>
        <v>0</v>
      </c>
      <c r="J1973" s="15">
        <f t="shared" si="2"/>
        <v>0</v>
      </c>
      <c r="K1973" s="13"/>
      <c r="L1973" s="13"/>
      <c r="M1973" s="44"/>
      <c r="N1973" s="44"/>
      <c r="O1973" s="88"/>
      <c r="P1973" s="88"/>
    </row>
    <row r="1974" ht="15.0" customHeight="1">
      <c r="A1974" s="23" t="str">
        <f t="shared" si="4"/>
        <v>FDL-FREEDASH</v>
      </c>
      <c r="B1974" s="86" t="s">
        <v>2220</v>
      </c>
      <c r="C1974" s="25" t="s">
        <v>466</v>
      </c>
      <c r="D1974" s="87" t="str">
        <f t="shared" si="15"/>
        <v>FDL</v>
      </c>
      <c r="E1974" s="25" t="s">
        <v>93</v>
      </c>
      <c r="F1974" s="87"/>
      <c r="G1974" s="23"/>
      <c r="H1974" s="11">
        <f>SUMIFS(X!$F$3:$F$5978,X!$D$3:$D$5978,'Current Stock'!A1974)</f>
        <v>0</v>
      </c>
      <c r="I1974" s="11">
        <f>SUMIFS(PENJUALAN!$E$4:$E$3651,PENJUALAN!$C$4:$C$3651,'Current Stock'!A1974)</f>
        <v>0</v>
      </c>
      <c r="J1974" s="15">
        <f t="shared" si="2"/>
        <v>0</v>
      </c>
      <c r="K1974" s="25"/>
      <c r="L1974" s="25"/>
      <c r="M1974" s="87"/>
      <c r="N1974" s="87"/>
      <c r="O1974" s="91"/>
      <c r="P1974" s="91"/>
    </row>
    <row r="1975" ht="15.0" customHeight="1">
      <c r="A1975" s="11" t="str">
        <f t="shared" si="4"/>
        <v>RDL-FREEDASH</v>
      </c>
      <c r="B1975" s="82" t="s">
        <v>2221</v>
      </c>
      <c r="C1975" s="13" t="s">
        <v>466</v>
      </c>
      <c r="D1975" s="44" t="str">
        <f t="shared" si="15"/>
        <v>RDL</v>
      </c>
      <c r="E1975" s="13" t="s">
        <v>93</v>
      </c>
      <c r="F1975" s="44"/>
      <c r="G1975" s="11"/>
      <c r="H1975" s="11">
        <f>SUMIFS(X!$F$3:$F$5978,X!$D$3:$D$5978,'Current Stock'!A1975)</f>
        <v>0</v>
      </c>
      <c r="I1975" s="11">
        <f>SUMIFS(PENJUALAN!$E$4:$E$3651,PENJUALAN!$C$4:$C$3651,'Current Stock'!A1975)</f>
        <v>0</v>
      </c>
      <c r="J1975" s="15">
        <f t="shared" si="2"/>
        <v>0</v>
      </c>
      <c r="K1975" s="44"/>
      <c r="L1975" s="44"/>
      <c r="M1975" s="44"/>
      <c r="N1975" s="44"/>
      <c r="O1975" s="88"/>
      <c r="P1975" s="88"/>
    </row>
    <row r="1976" ht="15.0" customHeight="1">
      <c r="A1976" s="11" t="str">
        <f t="shared" si="4"/>
        <v>RDR-FREEDASH</v>
      </c>
      <c r="B1976" s="82" t="s">
        <v>2222</v>
      </c>
      <c r="C1976" s="13" t="s">
        <v>466</v>
      </c>
      <c r="D1976" s="44" t="str">
        <f t="shared" si="15"/>
        <v>RDR</v>
      </c>
      <c r="E1976" s="13" t="s">
        <v>93</v>
      </c>
      <c r="F1976" s="44"/>
      <c r="G1976" s="11"/>
      <c r="H1976" s="11">
        <f>SUMIFS(X!$F$3:$F$5978,X!$D$3:$D$5978,'Current Stock'!A1976)</f>
        <v>0</v>
      </c>
      <c r="I1976" s="11">
        <f>SUMIFS(PENJUALAN!$E$4:$E$3651,PENJUALAN!$C$4:$C$3651,'Current Stock'!A1976)</f>
        <v>0</v>
      </c>
      <c r="J1976" s="15">
        <f t="shared" si="2"/>
        <v>0</v>
      </c>
      <c r="K1976" s="13"/>
      <c r="L1976" s="13"/>
      <c r="M1976" s="44"/>
      <c r="N1976" s="44"/>
      <c r="O1976" s="88"/>
      <c r="P1976" s="88"/>
    </row>
    <row r="1977" ht="15.0" customHeight="1">
      <c r="A1977" s="11" t="str">
        <f t="shared" si="4"/>
        <v>SWR-FREEDASH</v>
      </c>
      <c r="B1977" s="82" t="s">
        <v>469</v>
      </c>
      <c r="C1977" s="13" t="s">
        <v>466</v>
      </c>
      <c r="D1977" s="44" t="str">
        <f t="shared" si="15"/>
        <v>SWR</v>
      </c>
      <c r="E1977" s="13" t="s">
        <v>93</v>
      </c>
      <c r="F1977" s="44"/>
      <c r="G1977" s="11"/>
      <c r="H1977" s="11">
        <f>SUMIFS(X!$F$3:$F$5978,X!$D$3:$D$5978,'Current Stock'!A1977)</f>
        <v>1</v>
      </c>
      <c r="I1977" s="11">
        <f>SUMIFS(PENJUALAN!$E$4:$E$3651,PENJUALAN!$C$4:$C$3651,'Current Stock'!A1977)</f>
        <v>1</v>
      </c>
      <c r="J1977" s="15">
        <f t="shared" si="2"/>
        <v>0</v>
      </c>
      <c r="K1977" s="44"/>
      <c r="L1977" s="44"/>
      <c r="M1977" s="44"/>
      <c r="N1977" s="44"/>
      <c r="O1977" s="88"/>
      <c r="P1977" s="88"/>
    </row>
    <row r="1978" ht="15.0" customHeight="1">
      <c r="A1978" s="11" t="str">
        <f t="shared" si="4"/>
        <v>FVL-JAZZ01ASH</v>
      </c>
      <c r="B1978" s="82" t="s">
        <v>479</v>
      </c>
      <c r="C1978" s="13" t="s">
        <v>475</v>
      </c>
      <c r="D1978" s="44" t="str">
        <f t="shared" si="15"/>
        <v>FVL</v>
      </c>
      <c r="E1978" s="13" t="s">
        <v>93</v>
      </c>
      <c r="F1978" s="44"/>
      <c r="G1978" s="11"/>
      <c r="H1978" s="11">
        <f>SUMIFS(X!$F$3:$F$5978,X!$D$3:$D$5978,'Current Stock'!A1978)</f>
        <v>0</v>
      </c>
      <c r="I1978" s="11">
        <f>SUMIFS(PENJUALAN!$E$4:$E$3651,PENJUALAN!$C$4:$C$3651,'Current Stock'!A1978)</f>
        <v>0</v>
      </c>
      <c r="J1978" s="15">
        <f t="shared" si="2"/>
        <v>0</v>
      </c>
      <c r="K1978" s="13"/>
      <c r="L1978" s="13"/>
      <c r="M1978" s="44"/>
      <c r="N1978" s="44"/>
      <c r="O1978" s="88"/>
      <c r="P1978" s="88"/>
    </row>
    <row r="1979" ht="15.0" customHeight="1">
      <c r="A1979" s="23" t="str">
        <f t="shared" si="4"/>
        <v>FDR-ELFNKRASH</v>
      </c>
      <c r="B1979" s="86" t="s">
        <v>2223</v>
      </c>
      <c r="C1979" s="25" t="s">
        <v>2224</v>
      </c>
      <c r="D1979" s="25" t="s">
        <v>106</v>
      </c>
      <c r="E1979" s="25" t="s">
        <v>93</v>
      </c>
      <c r="F1979" s="87"/>
      <c r="G1979" s="23"/>
      <c r="H1979" s="11">
        <f>SUMIFS(X!$F$3:$F$5978,X!$D$3:$D$5978,'Current Stock'!A1979)</f>
        <v>2</v>
      </c>
      <c r="I1979" s="11">
        <f>SUMIFS(PENJUALAN!$E$4:$E$3651,PENJUALAN!$C$4:$C$3651,'Current Stock'!A1979)</f>
        <v>2</v>
      </c>
      <c r="J1979" s="15">
        <f t="shared" si="2"/>
        <v>0</v>
      </c>
      <c r="K1979" s="25" t="s">
        <v>2207</v>
      </c>
      <c r="L1979" s="25"/>
      <c r="M1979" s="87"/>
      <c r="N1979" s="87"/>
      <c r="O1979" s="88"/>
      <c r="P1979" s="88"/>
    </row>
    <row r="1980" ht="15.0" customHeight="1">
      <c r="A1980" s="11" t="str">
        <f t="shared" si="4"/>
        <v>FDR-JAZZ01ASH</v>
      </c>
      <c r="B1980" s="82" t="s">
        <v>2225</v>
      </c>
      <c r="C1980" s="13" t="s">
        <v>475</v>
      </c>
      <c r="D1980" s="44" t="str">
        <f t="shared" ref="D1980:D1982" si="16">LEFT(A1980,FIND("-",A1980) - 1)</f>
        <v>FDR</v>
      </c>
      <c r="E1980" s="13" t="s">
        <v>93</v>
      </c>
      <c r="F1980" s="44"/>
      <c r="G1980" s="11"/>
      <c r="H1980" s="11">
        <f>SUMIFS(X!$F$3:$F$5978,X!$D$3:$D$5978,'Current Stock'!A1980)</f>
        <v>1</v>
      </c>
      <c r="I1980" s="11">
        <f>SUMIFS(PENJUALAN!$E$4:$E$3651,PENJUALAN!$C$4:$C$3651,'Current Stock'!A1980)</f>
        <v>1</v>
      </c>
      <c r="J1980" s="15">
        <f t="shared" si="2"/>
        <v>0</v>
      </c>
      <c r="K1980" s="13"/>
      <c r="L1980" s="13"/>
      <c r="M1980" s="44"/>
      <c r="N1980" s="44"/>
      <c r="O1980" s="88"/>
      <c r="P1980" s="88"/>
    </row>
    <row r="1981" ht="15.0" customHeight="1">
      <c r="A1981" s="11" t="str">
        <f t="shared" si="4"/>
        <v>FVL-JAZZ07ASH</v>
      </c>
      <c r="B1981" s="82" t="s">
        <v>2226</v>
      </c>
      <c r="C1981" s="13" t="s">
        <v>483</v>
      </c>
      <c r="D1981" s="44" t="str">
        <f t="shared" si="16"/>
        <v>FVL</v>
      </c>
      <c r="E1981" s="13" t="s">
        <v>93</v>
      </c>
      <c r="F1981" s="44"/>
      <c r="G1981" s="11"/>
      <c r="H1981" s="11">
        <f>SUMIFS(X!$F$3:$F$5978,X!$D$3:$D$5978,'Current Stock'!A1981)</f>
        <v>0</v>
      </c>
      <c r="I1981" s="11">
        <f>SUMIFS(PENJUALAN!$E$4:$E$3651,PENJUALAN!$C$4:$C$3651,'Current Stock'!A1981)</f>
        <v>0</v>
      </c>
      <c r="J1981" s="15">
        <f t="shared" si="2"/>
        <v>0</v>
      </c>
      <c r="K1981" s="13"/>
      <c r="L1981" s="13"/>
      <c r="M1981" s="44"/>
      <c r="N1981" s="44"/>
      <c r="O1981" s="88"/>
      <c r="P1981" s="88"/>
    </row>
    <row r="1982" ht="15.0" customHeight="1">
      <c r="A1982" s="11" t="str">
        <f t="shared" si="4"/>
        <v>RDR-JAZZ07ASH</v>
      </c>
      <c r="B1982" s="82" t="s">
        <v>2227</v>
      </c>
      <c r="C1982" s="13" t="s">
        <v>483</v>
      </c>
      <c r="D1982" s="44" t="str">
        <f t="shared" si="16"/>
        <v>RDR</v>
      </c>
      <c r="E1982" s="13" t="s">
        <v>93</v>
      </c>
      <c r="F1982" s="44"/>
      <c r="G1982" s="14">
        <v>45988.0</v>
      </c>
      <c r="H1982" s="11">
        <f>SUMIFS(X!$F$3:$F$5978,X!$D$3:$D$5978,'Current Stock'!A1982)</f>
        <v>0</v>
      </c>
      <c r="I1982" s="11">
        <f>SUMIFS(PENJUALAN!$E$4:$E$3651,PENJUALAN!$C$4:$C$3651,'Current Stock'!A1982)</f>
        <v>0</v>
      </c>
      <c r="J1982" s="15">
        <f t="shared" si="2"/>
        <v>0</v>
      </c>
      <c r="K1982" s="13"/>
      <c r="L1982" s="13"/>
      <c r="M1982" s="44"/>
      <c r="N1982" s="44"/>
      <c r="O1982" s="88"/>
      <c r="P1982" s="88"/>
    </row>
    <row r="1983" ht="15.0" customHeight="1">
      <c r="A1983" s="11" t="str">
        <f t="shared" si="4"/>
        <v>FDR-JAZZ13ASH</v>
      </c>
      <c r="B1983" s="82" t="s">
        <v>2228</v>
      </c>
      <c r="C1983" s="92" t="s">
        <v>2174</v>
      </c>
      <c r="D1983" s="13" t="s">
        <v>106</v>
      </c>
      <c r="E1983" s="13" t="s">
        <v>93</v>
      </c>
      <c r="F1983" s="44"/>
      <c r="G1983" s="11"/>
      <c r="H1983" s="11">
        <f>SUMIFS(X!$F$3:$F$5978,X!$D$3:$D$5978,'Current Stock'!A1983)</f>
        <v>1</v>
      </c>
      <c r="I1983" s="11">
        <f>SUMIFS(PENJUALAN!$E$4:$E$3651,PENJUALAN!$C$4:$C$3651,'Current Stock'!A1983)</f>
        <v>1</v>
      </c>
      <c r="J1983" s="15">
        <f t="shared" si="2"/>
        <v>0</v>
      </c>
      <c r="K1983" s="13" t="s">
        <v>2207</v>
      </c>
      <c r="L1983" s="13"/>
      <c r="M1983" s="44"/>
      <c r="N1983" s="44"/>
      <c r="O1983" s="88"/>
      <c r="P1983" s="88"/>
    </row>
    <row r="1984" ht="15.0" customHeight="1">
      <c r="A1984" s="11" t="str">
        <f t="shared" si="4"/>
        <v>FDL-JAZZ13ASH</v>
      </c>
      <c r="B1984" s="82" t="s">
        <v>2229</v>
      </c>
      <c r="C1984" s="92" t="s">
        <v>2174</v>
      </c>
      <c r="D1984" s="44" t="str">
        <f t="shared" ref="D1984:D1985" si="17">LEFT(A1984,FIND("-",A1984) - 1)</f>
        <v>FDL</v>
      </c>
      <c r="E1984" s="13" t="s">
        <v>93</v>
      </c>
      <c r="F1984" s="44"/>
      <c r="G1984" s="11"/>
      <c r="H1984" s="11">
        <f>SUMIFS(X!$F$3:$F$5978,X!$D$3:$D$5978,'Current Stock'!A1984)</f>
        <v>0</v>
      </c>
      <c r="I1984" s="11">
        <f>SUMIFS(PENJUALAN!$E$4:$E$3651,PENJUALAN!$C$4:$C$3651,'Current Stock'!A1984)</f>
        <v>0</v>
      </c>
      <c r="J1984" s="15">
        <f t="shared" si="2"/>
        <v>0</v>
      </c>
      <c r="K1984" s="13"/>
      <c r="L1984" s="13"/>
      <c r="M1984" s="44"/>
      <c r="N1984" s="44"/>
      <c r="O1984" s="88"/>
      <c r="P1984" s="88"/>
    </row>
    <row r="1985" ht="15.0" customHeight="1">
      <c r="A1985" s="11" t="str">
        <f t="shared" si="4"/>
        <v>FDL-RUSH17ASH</v>
      </c>
      <c r="B1985" s="82" t="s">
        <v>2230</v>
      </c>
      <c r="C1985" s="13" t="s">
        <v>1831</v>
      </c>
      <c r="D1985" s="44" t="str">
        <f t="shared" si="17"/>
        <v>FDL</v>
      </c>
      <c r="E1985" s="13" t="s">
        <v>93</v>
      </c>
      <c r="F1985" s="44"/>
      <c r="G1985" s="11"/>
      <c r="H1985" s="11">
        <f>SUMIFS(X!$F$3:$F$5978,X!$D$3:$D$5978,'Current Stock'!A1985)</f>
        <v>0</v>
      </c>
      <c r="I1985" s="11">
        <f>SUMIFS(PENJUALAN!$E$4:$E$3651,PENJUALAN!$C$4:$C$3651,'Current Stock'!A1985)</f>
        <v>0</v>
      </c>
      <c r="J1985" s="15">
        <f t="shared" si="2"/>
        <v>0</v>
      </c>
      <c r="K1985" s="13"/>
      <c r="L1985" s="13"/>
      <c r="M1985" s="44"/>
      <c r="N1985" s="44"/>
      <c r="O1985" s="88"/>
      <c r="P1985" s="88"/>
    </row>
    <row r="1986" ht="15.0" customHeight="1">
      <c r="A1986" s="11" t="str">
        <f t="shared" si="4"/>
        <v>FDR-RUSH17ASH</v>
      </c>
      <c r="B1986" s="82" t="s">
        <v>2231</v>
      </c>
      <c r="C1986" s="13" t="s">
        <v>1831</v>
      </c>
      <c r="D1986" s="13" t="s">
        <v>106</v>
      </c>
      <c r="E1986" s="13" t="s">
        <v>93</v>
      </c>
      <c r="F1986" s="44"/>
      <c r="G1986" s="14"/>
      <c r="H1986" s="11">
        <f>SUMIFS(X!$F$3:$F$5978,X!$D$3:$D$5978,'Current Stock'!A1986)</f>
        <v>1</v>
      </c>
      <c r="I1986" s="11">
        <f>SUMIFS(PENJUALAN!$E$4:$E$3651,PENJUALAN!$C$4:$C$3651,'Current Stock'!A1986)</f>
        <v>0</v>
      </c>
      <c r="J1986" s="15">
        <f t="shared" si="2"/>
        <v>1</v>
      </c>
      <c r="K1986" s="13" t="s">
        <v>1759</v>
      </c>
      <c r="L1986" s="13"/>
      <c r="M1986" s="44"/>
      <c r="N1986" s="44"/>
      <c r="O1986" s="88"/>
      <c r="P1986" s="88"/>
    </row>
    <row r="1987" ht="15.0" customHeight="1">
      <c r="A1987" s="23" t="str">
        <f t="shared" si="4"/>
        <v>RDL-RUSH17ASH</v>
      </c>
      <c r="B1987" s="86" t="s">
        <v>2232</v>
      </c>
      <c r="C1987" s="25" t="s">
        <v>1831</v>
      </c>
      <c r="D1987" s="87" t="str">
        <f t="shared" ref="D1987:D1992" si="18">LEFT(A1987,FIND("-",A1987) - 1)</f>
        <v>RDL</v>
      </c>
      <c r="E1987" s="25" t="s">
        <v>93</v>
      </c>
      <c r="F1987" s="87"/>
      <c r="G1987" s="28">
        <v>45988.0</v>
      </c>
      <c r="H1987" s="11">
        <f>SUMIFS(X!$F$3:$F$5978,X!$D$3:$D$5978,'Current Stock'!A1987)</f>
        <v>3</v>
      </c>
      <c r="I1987" s="11">
        <f>SUMIFS(PENJUALAN!$E$4:$E$3651,PENJUALAN!$C$4:$C$3651,'Current Stock'!A1987)</f>
        <v>3</v>
      </c>
      <c r="J1987" s="15">
        <f t="shared" si="2"/>
        <v>0</v>
      </c>
      <c r="K1987" s="25"/>
      <c r="L1987" s="25"/>
      <c r="M1987" s="87"/>
      <c r="N1987" s="87"/>
      <c r="O1987" s="91"/>
      <c r="P1987" s="91"/>
    </row>
    <row r="1988" ht="15.0" customHeight="1">
      <c r="A1988" s="23" t="str">
        <f t="shared" si="4"/>
        <v>RDR-RUSH17ASH</v>
      </c>
      <c r="B1988" s="86" t="s">
        <v>2233</v>
      </c>
      <c r="C1988" s="25" t="s">
        <v>1831</v>
      </c>
      <c r="D1988" s="87" t="str">
        <f t="shared" si="18"/>
        <v>RDR</v>
      </c>
      <c r="E1988" s="25" t="s">
        <v>93</v>
      </c>
      <c r="F1988" s="87"/>
      <c r="G1988" s="23"/>
      <c r="H1988" s="11">
        <f>SUMIFS(X!$F$3:$F$5978,X!$D$3:$D$5978,'Current Stock'!A1988)</f>
        <v>1</v>
      </c>
      <c r="I1988" s="11">
        <f>SUMIFS(PENJUALAN!$E$4:$E$3651,PENJUALAN!$C$4:$C$3651,'Current Stock'!A1988)</f>
        <v>1</v>
      </c>
      <c r="J1988" s="15">
        <f t="shared" si="2"/>
        <v>0</v>
      </c>
      <c r="K1988" s="25"/>
      <c r="L1988" s="25"/>
      <c r="M1988" s="87"/>
      <c r="N1988" s="87"/>
      <c r="O1988" s="91"/>
      <c r="P1988" s="91"/>
    </row>
    <row r="1989" ht="15.0" customHeight="1">
      <c r="A1989" s="11" t="str">
        <f t="shared" si="4"/>
        <v>RDL-TERIOS06ASH</v>
      </c>
      <c r="B1989" s="82" t="s">
        <v>2234</v>
      </c>
      <c r="C1989" s="13" t="s">
        <v>1248</v>
      </c>
      <c r="D1989" s="44" t="str">
        <f t="shared" si="18"/>
        <v>RDL</v>
      </c>
      <c r="E1989" s="13" t="s">
        <v>93</v>
      </c>
      <c r="F1989" s="44"/>
      <c r="G1989" s="11"/>
      <c r="H1989" s="11">
        <f>SUMIFS(X!$F$3:$F$5978,X!$D$3:$D$5978,'Current Stock'!A1989)</f>
        <v>0</v>
      </c>
      <c r="I1989" s="11">
        <f>SUMIFS(PENJUALAN!$E$4:$E$3651,PENJUALAN!$C$4:$C$3651,'Current Stock'!A1989)</f>
        <v>0</v>
      </c>
      <c r="J1989" s="15">
        <f t="shared" si="2"/>
        <v>0</v>
      </c>
      <c r="K1989" s="13"/>
      <c r="L1989" s="13"/>
      <c r="M1989" s="44"/>
      <c r="N1989" s="44"/>
      <c r="O1989" s="88"/>
      <c r="P1989" s="88"/>
    </row>
    <row r="1990" ht="15.0" customHeight="1">
      <c r="A1990" s="23" t="str">
        <f t="shared" si="4"/>
        <v>FDR-TERIOS06ASH</v>
      </c>
      <c r="B1990" s="25" t="s">
        <v>2235</v>
      </c>
      <c r="C1990" s="25" t="s">
        <v>1248</v>
      </c>
      <c r="D1990" s="87" t="str">
        <f t="shared" si="18"/>
        <v>FDR</v>
      </c>
      <c r="E1990" s="25" t="s">
        <v>93</v>
      </c>
      <c r="F1990" s="87"/>
      <c r="G1990" s="28">
        <v>45988.0</v>
      </c>
      <c r="H1990" s="11">
        <f>SUMIFS(X!$F$3:$F$5978,X!$D$3:$D$5978,'Current Stock'!A1990)</f>
        <v>2</v>
      </c>
      <c r="I1990" s="11">
        <f>SUMIFS(PENJUALAN!$E$4:$E$3651,PENJUALAN!$C$4:$C$3651,'Current Stock'!A1990)</f>
        <v>1</v>
      </c>
      <c r="J1990" s="15">
        <f t="shared" si="2"/>
        <v>1</v>
      </c>
      <c r="K1990" s="25"/>
      <c r="L1990" s="25"/>
      <c r="M1990" s="87"/>
      <c r="N1990" s="87"/>
      <c r="O1990" s="88"/>
      <c r="P1990" s="88"/>
    </row>
    <row r="1991" ht="15.0" customHeight="1">
      <c r="A1991" s="11" t="str">
        <f t="shared" si="4"/>
        <v>FDL-RAIZEASH</v>
      </c>
      <c r="B1991" s="82" t="s">
        <v>2236</v>
      </c>
      <c r="C1991" s="13" t="s">
        <v>2237</v>
      </c>
      <c r="D1991" s="44" t="str">
        <f t="shared" si="18"/>
        <v>FDL</v>
      </c>
      <c r="E1991" s="13" t="s">
        <v>93</v>
      </c>
      <c r="F1991" s="44"/>
      <c r="G1991" s="11"/>
      <c r="H1991" s="11">
        <f>SUMIFS(X!$F$3:$F$5978,X!$D$3:$D$5978,'Current Stock'!A1991)</f>
        <v>0</v>
      </c>
      <c r="I1991" s="11">
        <f>SUMIFS(PENJUALAN!$E$4:$E$3651,PENJUALAN!$C$4:$C$3651,'Current Stock'!A1991)</f>
        <v>0</v>
      </c>
      <c r="J1991" s="15">
        <f t="shared" si="2"/>
        <v>0</v>
      </c>
      <c r="K1991" s="13"/>
      <c r="L1991" s="13"/>
      <c r="M1991" s="44"/>
      <c r="N1991" s="44"/>
      <c r="O1991" s="88"/>
      <c r="P1991" s="88"/>
    </row>
    <row r="1992" ht="15.0" customHeight="1">
      <c r="A1992" s="11" t="str">
        <f t="shared" si="4"/>
        <v>TRW-KAPSUL97ASH</v>
      </c>
      <c r="B1992" s="82" t="s">
        <v>2238</v>
      </c>
      <c r="C1992" s="13" t="s">
        <v>2239</v>
      </c>
      <c r="D1992" s="44" t="str">
        <f t="shared" si="18"/>
        <v>TRW</v>
      </c>
      <c r="E1992" s="13" t="s">
        <v>93</v>
      </c>
      <c r="F1992" s="44"/>
      <c r="G1992" s="11"/>
      <c r="H1992" s="11">
        <f>SUMIFS(X!$F$3:$F$5978,X!$D$3:$D$5978,'Current Stock'!A1992)</f>
        <v>0</v>
      </c>
      <c r="I1992" s="11">
        <f>SUMIFS(PENJUALAN!$E$4:$E$3651,PENJUALAN!$C$4:$C$3651,'Current Stock'!A1992)</f>
        <v>0</v>
      </c>
      <c r="J1992" s="15">
        <f t="shared" si="2"/>
        <v>0</v>
      </c>
      <c r="K1992" s="13" t="s">
        <v>1759</v>
      </c>
      <c r="L1992" s="13"/>
      <c r="M1992" s="44"/>
      <c r="N1992" s="44"/>
      <c r="O1992" s="88"/>
      <c r="P1992" s="88"/>
    </row>
    <row r="1993" ht="15.0" customHeight="1">
      <c r="A1993" s="23" t="str">
        <f t="shared" si="4"/>
        <v>TRW-KAPSUL02ASH</v>
      </c>
      <c r="B1993" s="86" t="s">
        <v>2240</v>
      </c>
      <c r="C1993" s="25" t="s">
        <v>2241</v>
      </c>
      <c r="D1993" s="25" t="s">
        <v>62</v>
      </c>
      <c r="E1993" s="25" t="s">
        <v>93</v>
      </c>
      <c r="F1993" s="25" t="s">
        <v>109</v>
      </c>
      <c r="G1993" s="28"/>
      <c r="H1993" s="11">
        <f>SUMIFS(X!$F$3:$F$5978,X!$D$3:$D$5978,'Current Stock'!A1993)</f>
        <v>1</v>
      </c>
      <c r="I1993" s="11">
        <f>SUMIFS(PENJUALAN!$E$4:$E$3651,PENJUALAN!$C$4:$C$3651,'Current Stock'!A1993)</f>
        <v>1</v>
      </c>
      <c r="J1993" s="15">
        <f t="shared" si="2"/>
        <v>0</v>
      </c>
      <c r="K1993" s="25" t="s">
        <v>1347</v>
      </c>
      <c r="L1993" s="25"/>
      <c r="M1993" s="87"/>
      <c r="N1993" s="87"/>
      <c r="O1993" s="91"/>
      <c r="P1993" s="91"/>
    </row>
    <row r="1994" ht="15.0" customHeight="1">
      <c r="A1994" s="11" t="str">
        <f t="shared" si="4"/>
        <v>FDR-KAPSUL97ASH</v>
      </c>
      <c r="B1994" s="82" t="s">
        <v>2242</v>
      </c>
      <c r="C1994" s="13" t="s">
        <v>2239</v>
      </c>
      <c r="D1994" s="44" t="str">
        <f t="shared" ref="D1994:D2002" si="19">LEFT(A1994,FIND("-",A1994) - 1)</f>
        <v>FDR</v>
      </c>
      <c r="E1994" s="13" t="s">
        <v>93</v>
      </c>
      <c r="F1994" s="44"/>
      <c r="G1994" s="11"/>
      <c r="H1994" s="11">
        <f>SUMIFS(X!$F$3:$F$5978,X!$D$3:$D$5978,'Current Stock'!A1994)</f>
        <v>1</v>
      </c>
      <c r="I1994" s="11">
        <f>SUMIFS(PENJUALAN!$E$4:$E$3651,PENJUALAN!$C$4:$C$3651,'Current Stock'!A1994)</f>
        <v>1</v>
      </c>
      <c r="J1994" s="15">
        <f t="shared" si="2"/>
        <v>0</v>
      </c>
      <c r="K1994" s="13"/>
      <c r="L1994" s="13"/>
      <c r="M1994" s="44"/>
      <c r="N1994" s="44"/>
      <c r="O1994" s="88"/>
      <c r="P1994" s="88"/>
    </row>
    <row r="1995" ht="15.0" customHeight="1">
      <c r="A1995" s="11" t="str">
        <f t="shared" si="4"/>
        <v>RVR-KAPSUL97ASH</v>
      </c>
      <c r="B1995" s="82" t="s">
        <v>2243</v>
      </c>
      <c r="C1995" s="13" t="s">
        <v>2239</v>
      </c>
      <c r="D1995" s="44" t="str">
        <f t="shared" si="19"/>
        <v>RVR</v>
      </c>
      <c r="E1995" s="13" t="s">
        <v>93</v>
      </c>
      <c r="F1995" s="44"/>
      <c r="G1995" s="11"/>
      <c r="H1995" s="11">
        <f>SUMIFS(X!$F$3:$F$5978,X!$D$3:$D$5978,'Current Stock'!A1995)</f>
        <v>0</v>
      </c>
      <c r="I1995" s="11">
        <f>SUMIFS(PENJUALAN!$E$4:$E$3651,PENJUALAN!$C$4:$C$3651,'Current Stock'!A1995)</f>
        <v>0</v>
      </c>
      <c r="J1995" s="15">
        <f t="shared" si="2"/>
        <v>0</v>
      </c>
      <c r="K1995" s="13"/>
      <c r="L1995" s="13"/>
      <c r="M1995" s="44"/>
      <c r="N1995" s="44"/>
      <c r="O1995" s="88"/>
      <c r="P1995" s="88"/>
    </row>
    <row r="1996" ht="15.0" customHeight="1">
      <c r="A1996" s="11" t="str">
        <f t="shared" si="4"/>
        <v>SWR-KAPSUL02LONGASH</v>
      </c>
      <c r="B1996" s="82" t="s">
        <v>2244</v>
      </c>
      <c r="C1996" s="13" t="s">
        <v>2245</v>
      </c>
      <c r="D1996" s="44" t="str">
        <f t="shared" si="19"/>
        <v>SWR</v>
      </c>
      <c r="E1996" s="13" t="s">
        <v>93</v>
      </c>
      <c r="F1996" s="13" t="s">
        <v>2246</v>
      </c>
      <c r="G1996" s="11"/>
      <c r="H1996" s="11">
        <f>SUMIFS(X!$F$3:$F$5978,X!$D$3:$D$5978,'Current Stock'!A1996)</f>
        <v>0</v>
      </c>
      <c r="I1996" s="11">
        <f>SUMIFS(PENJUALAN!$E$4:$E$3651,PENJUALAN!$C$4:$C$3651,'Current Stock'!A1996)</f>
        <v>0</v>
      </c>
      <c r="J1996" s="15">
        <f t="shared" si="2"/>
        <v>0</v>
      </c>
      <c r="K1996" s="13"/>
      <c r="L1996" s="13"/>
      <c r="M1996" s="44"/>
      <c r="N1996" s="44"/>
      <c r="O1996" s="88"/>
      <c r="P1996" s="88"/>
    </row>
    <row r="1997" ht="15.0" customHeight="1">
      <c r="A1997" s="11" t="str">
        <f t="shared" si="4"/>
        <v>TGA-KIJANGK125ASH</v>
      </c>
      <c r="B1997" s="82" t="s">
        <v>2247</v>
      </c>
      <c r="C1997" s="13" t="s">
        <v>2032</v>
      </c>
      <c r="D1997" s="44" t="str">
        <f t="shared" si="19"/>
        <v>TGA</v>
      </c>
      <c r="E1997" s="13" t="s">
        <v>93</v>
      </c>
      <c r="F1997" s="44"/>
      <c r="G1997" s="14">
        <v>45988.0</v>
      </c>
      <c r="H1997" s="11">
        <f>SUMIFS(X!$F$3:$F$5978,X!$D$3:$D$5978,'Current Stock'!A1997)</f>
        <v>0</v>
      </c>
      <c r="I1997" s="11">
        <f>SUMIFS(PENJUALAN!$E$4:$E$3651,PENJUALAN!$C$4:$C$3651,'Current Stock'!A1997)</f>
        <v>0</v>
      </c>
      <c r="J1997" s="15">
        <f t="shared" si="2"/>
        <v>0</v>
      </c>
      <c r="K1997" s="13"/>
      <c r="L1997" s="13"/>
      <c r="M1997" s="44"/>
      <c r="N1997" s="44"/>
      <c r="O1997" s="88"/>
      <c r="P1997" s="88"/>
    </row>
    <row r="1998" ht="15.0" customHeight="1">
      <c r="A1998" s="11" t="str">
        <f t="shared" si="4"/>
        <v>TRW-KIJANGK125PUASH</v>
      </c>
      <c r="B1998" s="82" t="s">
        <v>2248</v>
      </c>
      <c r="C1998" s="13" t="s">
        <v>2249</v>
      </c>
      <c r="D1998" s="44" t="str">
        <f t="shared" si="19"/>
        <v>TRW</v>
      </c>
      <c r="E1998" s="13" t="s">
        <v>93</v>
      </c>
      <c r="F1998" s="44"/>
      <c r="G1998" s="11"/>
      <c r="H1998" s="11">
        <f>SUMIFS(X!$F$3:$F$5978,X!$D$3:$D$5978,'Current Stock'!A1998)</f>
        <v>0</v>
      </c>
      <c r="I1998" s="11">
        <f>SUMIFS(PENJUALAN!$E$4:$E$3651,PENJUALAN!$C$4:$C$3651,'Current Stock'!A1998)</f>
        <v>0</v>
      </c>
      <c r="J1998" s="15">
        <f t="shared" si="2"/>
        <v>0</v>
      </c>
      <c r="K1998" s="13"/>
      <c r="L1998" s="13"/>
      <c r="M1998" s="44"/>
      <c r="N1998" s="44"/>
      <c r="O1998" s="88"/>
      <c r="P1998" s="88"/>
    </row>
    <row r="1999" ht="15.0" customHeight="1">
      <c r="A1999" s="23" t="str">
        <f t="shared" si="4"/>
        <v>FDL-L300ASH</v>
      </c>
      <c r="B1999" s="86" t="s">
        <v>2250</v>
      </c>
      <c r="C1999" s="25" t="s">
        <v>1323</v>
      </c>
      <c r="D1999" s="87" t="str">
        <f t="shared" si="19"/>
        <v>FDL</v>
      </c>
      <c r="E1999" s="25" t="s">
        <v>93</v>
      </c>
      <c r="F1999" s="87"/>
      <c r="G1999" s="23"/>
      <c r="H1999" s="11">
        <f>SUMIFS(X!$F$3:$F$5978,X!$D$3:$D$5978,'Current Stock'!A1999)</f>
        <v>1</v>
      </c>
      <c r="I1999" s="11">
        <f>SUMIFS(PENJUALAN!$E$4:$E$3651,PENJUALAN!$C$4:$C$3651,'Current Stock'!A1999)</f>
        <v>1</v>
      </c>
      <c r="J1999" s="15">
        <f t="shared" si="2"/>
        <v>0</v>
      </c>
      <c r="K1999" s="25"/>
      <c r="L1999" s="25"/>
      <c r="M1999" s="87"/>
      <c r="N1999" s="87"/>
      <c r="O1999" s="91"/>
      <c r="P1999" s="91"/>
    </row>
    <row r="2000" ht="15.0" customHeight="1">
      <c r="A2000" s="11" t="str">
        <f t="shared" si="4"/>
        <v>FDR-L300ASH</v>
      </c>
      <c r="B2000" s="82" t="s">
        <v>2251</v>
      </c>
      <c r="C2000" s="13" t="s">
        <v>1323</v>
      </c>
      <c r="D2000" s="44" t="str">
        <f t="shared" si="19"/>
        <v>FDR</v>
      </c>
      <c r="E2000" s="13" t="s">
        <v>93</v>
      </c>
      <c r="F2000" s="44"/>
      <c r="G2000" s="14"/>
      <c r="H2000" s="11">
        <f>SUMIFS(X!$F$3:$F$5978,X!$D$3:$D$5978,'Current Stock'!A2000)</f>
        <v>3</v>
      </c>
      <c r="I2000" s="11">
        <f>SUMIFS(PENJUALAN!$E$4:$E$3651,PENJUALAN!$C$4:$C$3651,'Current Stock'!A2000)</f>
        <v>2</v>
      </c>
      <c r="J2000" s="15">
        <f t="shared" si="2"/>
        <v>1</v>
      </c>
      <c r="K2000" s="13"/>
      <c r="L2000" s="13"/>
      <c r="M2000" s="44"/>
      <c r="N2000" s="44"/>
      <c r="O2000" s="88"/>
      <c r="P2000" s="88"/>
    </row>
    <row r="2001" ht="15.0" customHeight="1">
      <c r="A2001" s="11" t="str">
        <f t="shared" si="4"/>
        <v>TRW-L300PUASH</v>
      </c>
      <c r="B2001" s="82" t="s">
        <v>2252</v>
      </c>
      <c r="C2001" s="13" t="s">
        <v>2253</v>
      </c>
      <c r="D2001" s="44" t="str">
        <f t="shared" si="19"/>
        <v>TRW</v>
      </c>
      <c r="E2001" s="13" t="s">
        <v>93</v>
      </c>
      <c r="F2001" s="44"/>
      <c r="G2001" s="11"/>
      <c r="H2001" s="11">
        <f>SUMIFS(X!$F$3:$F$5978,X!$D$3:$D$5978,'Current Stock'!A2001)</f>
        <v>0</v>
      </c>
      <c r="I2001" s="11">
        <f>SUMIFS(PENJUALAN!$E$4:$E$3651,PENJUALAN!$C$4:$C$3651,'Current Stock'!A2001)</f>
        <v>0</v>
      </c>
      <c r="J2001" s="15">
        <f t="shared" si="2"/>
        <v>0</v>
      </c>
      <c r="K2001" s="13"/>
      <c r="L2001" s="13"/>
      <c r="M2001" s="44"/>
      <c r="N2001" s="44"/>
      <c r="O2001" s="88"/>
      <c r="P2001" s="88"/>
    </row>
    <row r="2002" ht="15.0" customHeight="1">
      <c r="A2002" s="11" t="str">
        <f t="shared" si="4"/>
        <v>RVL-INNOVA04ASH</v>
      </c>
      <c r="B2002" s="82" t="s">
        <v>1168</v>
      </c>
      <c r="C2002" s="13" t="s">
        <v>1165</v>
      </c>
      <c r="D2002" s="44" t="str">
        <f t="shared" si="19"/>
        <v>RVL</v>
      </c>
      <c r="E2002" s="13" t="s">
        <v>93</v>
      </c>
      <c r="F2002" s="44"/>
      <c r="G2002" s="11"/>
      <c r="H2002" s="11">
        <f>SUMIFS(X!$F$3:$F$5978,X!$D$3:$D$5978,'Current Stock'!A2002)</f>
        <v>0</v>
      </c>
      <c r="I2002" s="11">
        <f>SUMIFS(PENJUALAN!$E$4:$E$3651,PENJUALAN!$C$4:$C$3651,'Current Stock'!A2002)</f>
        <v>0</v>
      </c>
      <c r="J2002" s="15">
        <f t="shared" si="2"/>
        <v>0</v>
      </c>
      <c r="K2002" s="13"/>
      <c r="L2002" s="13"/>
      <c r="M2002" s="44"/>
      <c r="N2002" s="44"/>
      <c r="O2002" s="88"/>
      <c r="P2002" s="88"/>
    </row>
    <row r="2003" ht="15.0" customHeight="1">
      <c r="A2003" s="23" t="str">
        <f t="shared" si="4"/>
        <v>RVR-INNOVA04ASH</v>
      </c>
      <c r="B2003" s="86" t="s">
        <v>1169</v>
      </c>
      <c r="C2003" s="25" t="s">
        <v>1165</v>
      </c>
      <c r="D2003" s="25" t="s">
        <v>2254</v>
      </c>
      <c r="E2003" s="25" t="s">
        <v>93</v>
      </c>
      <c r="F2003" s="87"/>
      <c r="G2003" s="23"/>
      <c r="H2003" s="11">
        <f>SUMIFS(X!$F$3:$F$5978,X!$D$3:$D$5978,'Current Stock'!A2003)</f>
        <v>0</v>
      </c>
      <c r="I2003" s="11">
        <f>SUMIFS(PENJUALAN!$E$4:$E$3651,PENJUALAN!$C$4:$C$3651,'Current Stock'!A2003)</f>
        <v>0</v>
      </c>
      <c r="J2003" s="15">
        <f t="shared" si="2"/>
        <v>0</v>
      </c>
      <c r="K2003" s="25"/>
      <c r="L2003" s="25"/>
      <c r="M2003" s="87"/>
      <c r="N2003" s="87"/>
      <c r="O2003" s="91"/>
      <c r="P2003" s="91"/>
    </row>
    <row r="2004" ht="15.0" customHeight="1">
      <c r="A2004" s="11" t="str">
        <f t="shared" si="4"/>
        <v>RVR-INNOVA15ASH</v>
      </c>
      <c r="B2004" s="86" t="s">
        <v>2255</v>
      </c>
      <c r="C2004" s="13" t="s">
        <v>2256</v>
      </c>
      <c r="D2004" s="44" t="str">
        <f t="shared" ref="D2004:D2009" si="20">LEFT(A2004,FIND("-",A2004) - 1)</f>
        <v>RVR</v>
      </c>
      <c r="E2004" s="13" t="s">
        <v>93</v>
      </c>
      <c r="F2004" s="44"/>
      <c r="G2004" s="11"/>
      <c r="H2004" s="11">
        <f>SUMIFS(X!$F$3:$F$5978,X!$D$3:$D$5978,'Current Stock'!A2004)</f>
        <v>0</v>
      </c>
      <c r="I2004" s="11">
        <f>SUMIFS(PENJUALAN!$E$4:$E$3651,PENJUALAN!$C$4:$C$3651,'Current Stock'!A2004)</f>
        <v>0</v>
      </c>
      <c r="J2004" s="15">
        <f t="shared" si="2"/>
        <v>0</v>
      </c>
      <c r="K2004" s="13"/>
      <c r="L2004" s="13"/>
      <c r="M2004" s="44"/>
      <c r="N2004" s="44"/>
      <c r="O2004" s="88"/>
      <c r="P2004" s="88"/>
    </row>
    <row r="2005" ht="15.0" customHeight="1">
      <c r="A2005" s="11" t="str">
        <f t="shared" si="4"/>
        <v>FVR-INNOVA15ASH</v>
      </c>
      <c r="B2005" s="82" t="s">
        <v>2257</v>
      </c>
      <c r="C2005" s="13" t="s">
        <v>2256</v>
      </c>
      <c r="D2005" s="44" t="str">
        <f t="shared" si="20"/>
        <v>FVR</v>
      </c>
      <c r="E2005" s="13" t="s">
        <v>93</v>
      </c>
      <c r="F2005" s="44"/>
      <c r="G2005" s="11"/>
      <c r="H2005" s="11">
        <f>SUMIFS(X!$F$3:$F$5978,X!$D$3:$D$5978,'Current Stock'!A2005)</f>
        <v>0</v>
      </c>
      <c r="I2005" s="11">
        <f>SUMIFS(PENJUALAN!$E$4:$E$3651,PENJUALAN!$C$4:$C$3651,'Current Stock'!A2005)</f>
        <v>0</v>
      </c>
      <c r="J2005" s="15">
        <f t="shared" si="2"/>
        <v>0</v>
      </c>
      <c r="K2005" s="13"/>
      <c r="L2005" s="13"/>
      <c r="M2005" s="44"/>
      <c r="N2005" s="44"/>
      <c r="O2005" s="88"/>
      <c r="P2005" s="88"/>
    </row>
    <row r="2006" ht="15.0" customHeight="1">
      <c r="A2006" s="11" t="str">
        <f t="shared" si="4"/>
        <v>RVR-INNOVA15ASH</v>
      </c>
      <c r="B2006" s="82" t="s">
        <v>2255</v>
      </c>
      <c r="C2006" s="13" t="s">
        <v>2256</v>
      </c>
      <c r="D2006" s="44" t="str">
        <f t="shared" si="20"/>
        <v>RVR</v>
      </c>
      <c r="E2006" s="13" t="s">
        <v>93</v>
      </c>
      <c r="F2006" s="44"/>
      <c r="G2006" s="11"/>
      <c r="H2006" s="11">
        <f>SUMIFS(X!$F$3:$F$5978,X!$D$3:$D$5978,'Current Stock'!A2006)</f>
        <v>0</v>
      </c>
      <c r="I2006" s="11">
        <f>SUMIFS(PENJUALAN!$E$4:$E$3651,PENJUALAN!$C$4:$C$3651,'Current Stock'!A2006)</f>
        <v>0</v>
      </c>
      <c r="J2006" s="15">
        <f t="shared" si="2"/>
        <v>0</v>
      </c>
      <c r="K2006" s="13"/>
      <c r="L2006" s="13"/>
      <c r="M2006" s="44"/>
      <c r="N2006" s="44"/>
      <c r="O2006" s="88"/>
      <c r="P2006" s="88"/>
    </row>
    <row r="2007" ht="15.0" customHeight="1">
      <c r="A2007" s="11" t="str">
        <f t="shared" si="4"/>
        <v>FDL-VIOS07ASH</v>
      </c>
      <c r="B2007" s="82" t="s">
        <v>2258</v>
      </c>
      <c r="C2007" s="13" t="s">
        <v>1267</v>
      </c>
      <c r="D2007" s="44" t="str">
        <f t="shared" si="20"/>
        <v>FDL</v>
      </c>
      <c r="E2007" s="13" t="s">
        <v>93</v>
      </c>
      <c r="F2007" s="44"/>
      <c r="G2007" s="11"/>
      <c r="H2007" s="11">
        <f>SUMIFS(X!$F$3:$F$5978,X!$D$3:$D$5978,'Current Stock'!A2007)</f>
        <v>0</v>
      </c>
      <c r="I2007" s="11">
        <f>SUMIFS(PENJUALAN!$E$4:$E$3651,PENJUALAN!$C$4:$C$3651,'Current Stock'!A2007)</f>
        <v>0</v>
      </c>
      <c r="J2007" s="15">
        <f t="shared" si="2"/>
        <v>0</v>
      </c>
      <c r="K2007" s="13"/>
      <c r="L2007" s="13"/>
      <c r="M2007" s="44"/>
      <c r="N2007" s="44"/>
      <c r="O2007" s="88"/>
      <c r="P2007" s="88"/>
    </row>
    <row r="2008" ht="15.0" customHeight="1">
      <c r="A2008" s="11" t="str">
        <f t="shared" si="4"/>
        <v>FDR-VIOS07ASH</v>
      </c>
      <c r="B2008" s="82" t="s">
        <v>2259</v>
      </c>
      <c r="C2008" s="13" t="s">
        <v>1267</v>
      </c>
      <c r="D2008" s="44" t="str">
        <f t="shared" si="20"/>
        <v>FDR</v>
      </c>
      <c r="E2008" s="13" t="s">
        <v>93</v>
      </c>
      <c r="F2008" s="44"/>
      <c r="G2008" s="11"/>
      <c r="H2008" s="11">
        <f>SUMIFS(X!$F$3:$F$5978,X!$D$3:$D$5978,'Current Stock'!A2008)</f>
        <v>0</v>
      </c>
      <c r="I2008" s="11">
        <f>SUMIFS(PENJUALAN!$E$4:$E$3651,PENJUALAN!$C$4:$C$3651,'Current Stock'!A2008)</f>
        <v>0</v>
      </c>
      <c r="J2008" s="15">
        <f t="shared" si="2"/>
        <v>0</v>
      </c>
      <c r="K2008" s="13" t="s">
        <v>96</v>
      </c>
      <c r="L2008" s="13"/>
      <c r="M2008" s="44"/>
      <c r="N2008" s="44"/>
      <c r="O2008" s="88"/>
      <c r="P2008" s="88"/>
    </row>
    <row r="2009" ht="15.0" customHeight="1">
      <c r="A2009" s="11" t="str">
        <f t="shared" si="4"/>
        <v>FDL-VIOS13ASH</v>
      </c>
      <c r="B2009" s="82" t="s">
        <v>2260</v>
      </c>
      <c r="C2009" s="13" t="s">
        <v>2261</v>
      </c>
      <c r="D2009" s="44" t="str">
        <f t="shared" si="20"/>
        <v>FDL</v>
      </c>
      <c r="E2009" s="13" t="s">
        <v>93</v>
      </c>
      <c r="F2009" s="44"/>
      <c r="G2009" s="11"/>
      <c r="H2009" s="11">
        <f>SUMIFS(X!$F$3:$F$5978,X!$D$3:$D$5978,'Current Stock'!A2009)</f>
        <v>0</v>
      </c>
      <c r="I2009" s="11">
        <f>SUMIFS(PENJUALAN!$E$4:$E$3651,PENJUALAN!$C$4:$C$3651,'Current Stock'!A2009)</f>
        <v>0</v>
      </c>
      <c r="J2009" s="15">
        <f t="shared" si="2"/>
        <v>0</v>
      </c>
      <c r="K2009" s="13"/>
      <c r="L2009" s="13"/>
      <c r="M2009" s="44"/>
      <c r="N2009" s="44"/>
      <c r="O2009" s="88"/>
      <c r="P2009" s="88"/>
    </row>
    <row r="2010" ht="15.0" customHeight="1">
      <c r="A2010" s="11" t="str">
        <f t="shared" si="4"/>
        <v>FDR-VIOS13ASH</v>
      </c>
      <c r="B2010" s="82" t="s">
        <v>2262</v>
      </c>
      <c r="C2010" s="13" t="s">
        <v>2261</v>
      </c>
      <c r="D2010" s="13" t="s">
        <v>106</v>
      </c>
      <c r="E2010" s="13" t="s">
        <v>93</v>
      </c>
      <c r="F2010" s="44"/>
      <c r="G2010" s="11"/>
      <c r="H2010" s="11">
        <f>SUMIFS(X!$F$3:$F$5978,X!$D$3:$D$5978,'Current Stock'!A2010)</f>
        <v>0</v>
      </c>
      <c r="I2010" s="11">
        <f>SUMIFS(PENJUALAN!$E$4:$E$3651,PENJUALAN!$C$4:$C$3651,'Current Stock'!A2010)</f>
        <v>0</v>
      </c>
      <c r="J2010" s="15">
        <f t="shared" si="2"/>
        <v>0</v>
      </c>
      <c r="K2010" s="13"/>
      <c r="L2010" s="13"/>
      <c r="M2010" s="44"/>
      <c r="N2010" s="44"/>
      <c r="O2010" s="88"/>
      <c r="P2010" s="88"/>
    </row>
    <row r="2011" ht="15.0" customHeight="1">
      <c r="A2011" s="11" t="str">
        <f t="shared" si="4"/>
        <v>RDL-VIOS13ASH</v>
      </c>
      <c r="B2011" s="82" t="s">
        <v>2263</v>
      </c>
      <c r="C2011" s="13" t="s">
        <v>2264</v>
      </c>
      <c r="D2011" s="13" t="s">
        <v>92</v>
      </c>
      <c r="E2011" s="13" t="s">
        <v>93</v>
      </c>
      <c r="F2011" s="44"/>
      <c r="G2011" s="11"/>
      <c r="H2011" s="11">
        <f>SUMIFS(X!$F$3:$F$5978,X!$D$3:$D$5978,'Current Stock'!A2011)</f>
        <v>0</v>
      </c>
      <c r="I2011" s="11">
        <f>SUMIFS(PENJUALAN!$E$4:$E$3651,PENJUALAN!$C$4:$C$3651,'Current Stock'!A2011)</f>
        <v>0</v>
      </c>
      <c r="J2011" s="15">
        <f t="shared" si="2"/>
        <v>0</v>
      </c>
      <c r="K2011" s="13" t="s">
        <v>2191</v>
      </c>
      <c r="L2011" s="13"/>
      <c r="M2011" s="44"/>
      <c r="N2011" s="44"/>
      <c r="O2011" s="88"/>
      <c r="P2011" s="88"/>
    </row>
    <row r="2012" ht="15.0" customHeight="1">
      <c r="A2012" s="11" t="str">
        <f t="shared" si="4"/>
        <v>RDR-VIOS13ASH</v>
      </c>
      <c r="B2012" s="82" t="s">
        <v>2265</v>
      </c>
      <c r="C2012" s="13" t="s">
        <v>2264</v>
      </c>
      <c r="D2012" s="13" t="s">
        <v>86</v>
      </c>
      <c r="E2012" s="13" t="s">
        <v>93</v>
      </c>
      <c r="F2012" s="44"/>
      <c r="G2012" s="11"/>
      <c r="H2012" s="11">
        <f>SUMIFS(X!$F$3:$F$5978,X!$D$3:$D$5978,'Current Stock'!A2012)</f>
        <v>1</v>
      </c>
      <c r="I2012" s="11">
        <f>SUMIFS(PENJUALAN!$E$4:$E$3651,PENJUALAN!$C$4:$C$3651,'Current Stock'!A2012)</f>
        <v>1</v>
      </c>
      <c r="J2012" s="15">
        <f t="shared" si="2"/>
        <v>0</v>
      </c>
      <c r="K2012" s="13" t="s">
        <v>2207</v>
      </c>
      <c r="L2012" s="13"/>
      <c r="M2012" s="44"/>
      <c r="N2012" s="44"/>
      <c r="O2012" s="88"/>
      <c r="P2012" s="88"/>
    </row>
    <row r="2013" ht="15.0" customHeight="1">
      <c r="A2013" s="11" t="str">
        <f t="shared" si="4"/>
        <v>FDL-YARIS05ASH</v>
      </c>
      <c r="B2013" s="82" t="s">
        <v>2266</v>
      </c>
      <c r="C2013" s="13" t="s">
        <v>1281</v>
      </c>
      <c r="D2013" s="44" t="str">
        <f t="shared" ref="D2013:D2017" si="21">LEFT(A2013,FIND("-",A2013) - 1)</f>
        <v>FDL</v>
      </c>
      <c r="E2013" s="13" t="s">
        <v>93</v>
      </c>
      <c r="F2013" s="44"/>
      <c r="G2013" s="11"/>
      <c r="H2013" s="11">
        <f>SUMIFS(X!$F$3:$F$5978,X!$D$3:$D$5978,'Current Stock'!A2013)</f>
        <v>0</v>
      </c>
      <c r="I2013" s="11">
        <f>SUMIFS(PENJUALAN!$E$4:$E$3651,PENJUALAN!$C$4:$C$3651,'Current Stock'!A2013)</f>
        <v>0</v>
      </c>
      <c r="J2013" s="15">
        <f t="shared" si="2"/>
        <v>0</v>
      </c>
      <c r="K2013" s="13" t="s">
        <v>2207</v>
      </c>
      <c r="L2013" s="13"/>
      <c r="M2013" s="44"/>
      <c r="N2013" s="44"/>
      <c r="O2013" s="88"/>
      <c r="P2013" s="88"/>
    </row>
    <row r="2014" ht="15.0" customHeight="1">
      <c r="A2014" s="11" t="str">
        <f t="shared" si="4"/>
        <v>FDR-YARIS05ASH</v>
      </c>
      <c r="B2014" s="82" t="s">
        <v>2267</v>
      </c>
      <c r="C2014" s="13" t="s">
        <v>1281</v>
      </c>
      <c r="D2014" s="44" t="str">
        <f t="shared" si="21"/>
        <v>FDR</v>
      </c>
      <c r="E2014" s="13" t="s">
        <v>93</v>
      </c>
      <c r="F2014" s="44"/>
      <c r="G2014" s="14">
        <v>45988.0</v>
      </c>
      <c r="H2014" s="11">
        <f>SUMIFS(X!$F$3:$F$5978,X!$D$3:$D$5978,'Current Stock'!A2014)</f>
        <v>1</v>
      </c>
      <c r="I2014" s="11">
        <f>SUMIFS(PENJUALAN!$E$4:$E$3651,PENJUALAN!$C$4:$C$3651,'Current Stock'!A2014)</f>
        <v>1</v>
      </c>
      <c r="J2014" s="15">
        <f t="shared" si="2"/>
        <v>0</v>
      </c>
      <c r="K2014" s="13" t="s">
        <v>2207</v>
      </c>
      <c r="L2014" s="13"/>
      <c r="M2014" s="44"/>
      <c r="N2014" s="44"/>
      <c r="O2014" s="88"/>
      <c r="P2014" s="88"/>
    </row>
    <row r="2015" ht="15.0" customHeight="1">
      <c r="A2015" s="23" t="str">
        <f t="shared" si="4"/>
        <v>FDL-GRANMAXASH</v>
      </c>
      <c r="B2015" s="86" t="s">
        <v>2268</v>
      </c>
      <c r="C2015" s="25" t="s">
        <v>282</v>
      </c>
      <c r="D2015" s="87" t="str">
        <f t="shared" si="21"/>
        <v>FDL</v>
      </c>
      <c r="E2015" s="25" t="s">
        <v>93</v>
      </c>
      <c r="F2015" s="87"/>
      <c r="G2015" s="23"/>
      <c r="H2015" s="11">
        <f>SUMIFS(X!$F$3:$F$5978,X!$D$3:$D$5978,'Current Stock'!A2015)</f>
        <v>1</v>
      </c>
      <c r="I2015" s="11">
        <f>SUMIFS(PENJUALAN!$E$4:$E$3651,PENJUALAN!$C$4:$C$3651,'Current Stock'!A2015)</f>
        <v>1</v>
      </c>
      <c r="J2015" s="15">
        <f t="shared" si="2"/>
        <v>0</v>
      </c>
      <c r="K2015" s="25"/>
      <c r="L2015" s="25"/>
      <c r="M2015" s="87"/>
      <c r="N2015" s="87"/>
      <c r="O2015" s="91"/>
      <c r="P2015" s="91"/>
    </row>
    <row r="2016" ht="15.0" customHeight="1">
      <c r="A2016" s="23" t="str">
        <f t="shared" si="4"/>
        <v>FDR-GRANMAXASH</v>
      </c>
      <c r="B2016" s="86" t="s">
        <v>2269</v>
      </c>
      <c r="C2016" s="25" t="s">
        <v>282</v>
      </c>
      <c r="D2016" s="87" t="str">
        <f t="shared" si="21"/>
        <v>FDR</v>
      </c>
      <c r="E2016" s="25" t="s">
        <v>93</v>
      </c>
      <c r="F2016" s="87"/>
      <c r="G2016" s="28">
        <v>45988.0</v>
      </c>
      <c r="H2016" s="11">
        <f>SUMIFS(X!$F$3:$F$5978,X!$D$3:$D$5978,'Current Stock'!A2016)</f>
        <v>1</v>
      </c>
      <c r="I2016" s="11">
        <f>SUMIFS(PENJUALAN!$E$4:$E$3651,PENJUALAN!$C$4:$C$3651,'Current Stock'!A2016)</f>
        <v>1</v>
      </c>
      <c r="J2016" s="15">
        <f t="shared" si="2"/>
        <v>0</v>
      </c>
      <c r="K2016" s="25"/>
      <c r="L2016" s="25"/>
      <c r="M2016" s="87"/>
      <c r="N2016" s="87"/>
      <c r="O2016" s="91"/>
      <c r="P2016" s="91"/>
    </row>
    <row r="2017" ht="15.0" customHeight="1">
      <c r="A2017" s="11" t="str">
        <f t="shared" si="4"/>
        <v>RDL-GRANMAXASH</v>
      </c>
      <c r="B2017" s="82" t="s">
        <v>2270</v>
      </c>
      <c r="C2017" s="13" t="s">
        <v>282</v>
      </c>
      <c r="D2017" s="44" t="str">
        <f t="shared" si="21"/>
        <v>RDL</v>
      </c>
      <c r="E2017" s="13" t="s">
        <v>93</v>
      </c>
      <c r="F2017" s="44"/>
      <c r="G2017" s="14">
        <v>45988.0</v>
      </c>
      <c r="H2017" s="11">
        <f>SUMIFS(X!$F$3:$F$5978,X!$D$3:$D$5978,'Current Stock'!A2017)</f>
        <v>4</v>
      </c>
      <c r="I2017" s="11">
        <f>SUMIFS(PENJUALAN!$E$4:$E$3651,PENJUALAN!$C$4:$C$3651,'Current Stock'!A2017)</f>
        <v>0</v>
      </c>
      <c r="J2017" s="15">
        <f t="shared" si="2"/>
        <v>4</v>
      </c>
      <c r="K2017" s="13" t="s">
        <v>2207</v>
      </c>
      <c r="L2017" s="13"/>
      <c r="M2017" s="44"/>
      <c r="N2017" s="66" t="s">
        <v>2271</v>
      </c>
      <c r="O2017" s="78"/>
      <c r="P2017" s="78"/>
    </row>
    <row r="2018" ht="15.0" customHeight="1">
      <c r="A2018" s="11" t="str">
        <f t="shared" si="4"/>
        <v>LFW-HRV22PIL</v>
      </c>
      <c r="B2018" s="13" t="s">
        <v>1430</v>
      </c>
      <c r="C2018" s="13" t="s">
        <v>2272</v>
      </c>
      <c r="D2018" s="13" t="s">
        <v>60</v>
      </c>
      <c r="E2018" s="13" t="s">
        <v>89</v>
      </c>
      <c r="F2018" s="95" t="s">
        <v>2273</v>
      </c>
      <c r="G2018" s="14">
        <v>45988.0</v>
      </c>
      <c r="H2018" s="11">
        <f>SUMIFS(X!$F$3:$F$5978,X!$D$3:$D$5978,'Current Stock'!A2018)</f>
        <v>1</v>
      </c>
      <c r="I2018" s="11">
        <f>SUMIFS(PENJUALAN!$E$4:$E$3651,PENJUALAN!$C$4:$C$3651,'Current Stock'!A2018)</f>
        <v>1</v>
      </c>
      <c r="J2018" s="15">
        <f t="shared" si="2"/>
        <v>0</v>
      </c>
      <c r="K2018" s="13"/>
      <c r="L2018" s="13"/>
      <c r="M2018" s="44"/>
      <c r="N2018" s="44"/>
      <c r="O2018" s="91"/>
      <c r="P2018" s="91"/>
    </row>
    <row r="2019" ht="15.0" customHeight="1">
      <c r="A2019" s="11" t="str">
        <f t="shared" si="4"/>
        <v>RDL-SIGRA16ASH</v>
      </c>
      <c r="B2019" s="13" t="s">
        <v>2274</v>
      </c>
      <c r="C2019" s="33" t="s">
        <v>2016</v>
      </c>
      <c r="D2019" s="13" t="s">
        <v>92</v>
      </c>
      <c r="E2019" s="13" t="s">
        <v>93</v>
      </c>
      <c r="F2019" s="44"/>
      <c r="G2019" s="34">
        <v>45988.0</v>
      </c>
      <c r="H2019" s="11">
        <f>SUMIFS(X!$F$3:$F$5978,X!$D$3:$D$5978,'Current Stock'!A2019)</f>
        <v>1</v>
      </c>
      <c r="I2019" s="11">
        <f>SUMIFS(PENJUALAN!$E$4:$E$3651,PENJUALAN!$C$4:$C$3651,'Current Stock'!A2019)</f>
        <v>1</v>
      </c>
      <c r="J2019" s="15">
        <f t="shared" si="2"/>
        <v>0</v>
      </c>
      <c r="K2019" s="13"/>
      <c r="L2019" s="13"/>
      <c r="M2019" s="44"/>
      <c r="N2019" s="13"/>
      <c r="O2019" s="91"/>
      <c r="P2019" s="91"/>
    </row>
    <row r="2020" ht="15.0" customHeight="1">
      <c r="A2020" s="23" t="str">
        <f t="shared" si="4"/>
        <v>SWR-GRANMAXLUXIOASH</v>
      </c>
      <c r="B2020" s="86" t="s">
        <v>2275</v>
      </c>
      <c r="C2020" s="25" t="s">
        <v>2202</v>
      </c>
      <c r="D2020" s="87" t="str">
        <f t="shared" ref="D2020:D2033" si="22">LEFT(A2020,FIND("-",A2020) - 1)</f>
        <v>SWR</v>
      </c>
      <c r="E2020" s="25" t="s">
        <v>93</v>
      </c>
      <c r="F2020" s="87"/>
      <c r="G2020" s="28"/>
      <c r="H2020" s="11">
        <f>SUMIFS(X!$F$3:$F$5978,X!$D$3:$D$5978,'Current Stock'!A2020)</f>
        <v>4</v>
      </c>
      <c r="I2020" s="11">
        <f>SUMIFS(PENJUALAN!$E$4:$E$3651,PENJUALAN!$C$4:$C$3651,'Current Stock'!A2020)</f>
        <v>2</v>
      </c>
      <c r="J2020" s="15">
        <f t="shared" si="2"/>
        <v>2</v>
      </c>
      <c r="K2020" s="25"/>
      <c r="L2020" s="25"/>
      <c r="M2020" s="87"/>
      <c r="N2020" s="87"/>
      <c r="O2020" s="91"/>
      <c r="P2020" s="91"/>
    </row>
    <row r="2021" ht="15.0" customHeight="1">
      <c r="A2021" s="23" t="str">
        <f t="shared" si="4"/>
        <v>FDL-AVANZA03ASH</v>
      </c>
      <c r="B2021" s="86" t="s">
        <v>2080</v>
      </c>
      <c r="C2021" s="25" t="s">
        <v>81</v>
      </c>
      <c r="D2021" s="87" t="str">
        <f t="shared" si="22"/>
        <v>FDL</v>
      </c>
      <c r="E2021" s="25" t="s">
        <v>93</v>
      </c>
      <c r="F2021" s="87"/>
      <c r="G2021" s="28"/>
      <c r="H2021" s="11">
        <f>SUMIFS(X!$F$3:$F$5978,X!$D$3:$D$5978,'Current Stock'!A2021)</f>
        <v>1</v>
      </c>
      <c r="I2021" s="11">
        <f>SUMIFS(PENJUALAN!$E$4:$E$3651,PENJUALAN!$C$4:$C$3651,'Current Stock'!A2021)</f>
        <v>1</v>
      </c>
      <c r="J2021" s="15">
        <f t="shared" si="2"/>
        <v>0</v>
      </c>
      <c r="K2021" s="25"/>
      <c r="L2021" s="25"/>
      <c r="M2021" s="87"/>
      <c r="N2021" s="87"/>
      <c r="O2021" s="91"/>
      <c r="P2021" s="91"/>
    </row>
    <row r="2022" ht="15.0" customHeight="1">
      <c r="A2022" s="23" t="str">
        <f t="shared" si="4"/>
        <v>FDR-AVANZA03ASH</v>
      </c>
      <c r="B2022" s="86" t="s">
        <v>2089</v>
      </c>
      <c r="C2022" s="25" t="s">
        <v>81</v>
      </c>
      <c r="D2022" s="87" t="str">
        <f t="shared" si="22"/>
        <v>FDR</v>
      </c>
      <c r="E2022" s="25" t="s">
        <v>93</v>
      </c>
      <c r="F2022" s="87"/>
      <c r="G2022" s="28"/>
      <c r="H2022" s="11">
        <f>SUMIFS(X!$F$3:$F$5978,X!$D$3:$D$5978,'Current Stock'!A2022)</f>
        <v>3</v>
      </c>
      <c r="I2022" s="11">
        <f>SUMIFS(PENJUALAN!$E$4:$E$3651,PENJUALAN!$C$4:$C$3651,'Current Stock'!A2022)</f>
        <v>1</v>
      </c>
      <c r="J2022" s="15">
        <f t="shared" si="2"/>
        <v>2</v>
      </c>
      <c r="K2022" s="25"/>
      <c r="L2022" s="25"/>
      <c r="M2022" s="87"/>
      <c r="N2022" s="87"/>
      <c r="O2022" s="91"/>
      <c r="P2022" s="91"/>
    </row>
    <row r="2023" ht="15.0" customHeight="1">
      <c r="A2023" s="23" t="str">
        <f t="shared" si="4"/>
        <v>RDL-AVANZA03ASH</v>
      </c>
      <c r="B2023" s="86" t="s">
        <v>91</v>
      </c>
      <c r="C2023" s="25" t="s">
        <v>81</v>
      </c>
      <c r="D2023" s="87" t="str">
        <f t="shared" si="22"/>
        <v>RDL</v>
      </c>
      <c r="E2023" s="25" t="s">
        <v>93</v>
      </c>
      <c r="F2023" s="87"/>
      <c r="G2023" s="28">
        <v>45988.0</v>
      </c>
      <c r="H2023" s="11">
        <f>SUMIFS(X!$F$3:$F$5978,X!$D$3:$D$5978,'Current Stock'!A2023)</f>
        <v>1</v>
      </c>
      <c r="I2023" s="11">
        <f>SUMIFS(PENJUALAN!$E$4:$E$3651,PENJUALAN!$C$4:$C$3651,'Current Stock'!A2023)</f>
        <v>0</v>
      </c>
      <c r="J2023" s="15">
        <f t="shared" si="2"/>
        <v>1</v>
      </c>
      <c r="K2023" s="25" t="s">
        <v>1347</v>
      </c>
      <c r="L2023" s="25"/>
      <c r="M2023" s="87"/>
      <c r="N2023" s="87"/>
      <c r="O2023" s="91"/>
      <c r="P2023" s="91"/>
    </row>
    <row r="2024" ht="15.0" customHeight="1">
      <c r="A2024" s="23" t="str">
        <f t="shared" si="4"/>
        <v>RDR-AVANZA03ASH</v>
      </c>
      <c r="B2024" s="86" t="s">
        <v>2276</v>
      </c>
      <c r="C2024" s="25" t="s">
        <v>81</v>
      </c>
      <c r="D2024" s="87" t="str">
        <f t="shared" si="22"/>
        <v>RDR</v>
      </c>
      <c r="E2024" s="25" t="s">
        <v>93</v>
      </c>
      <c r="F2024" s="87"/>
      <c r="G2024" s="23"/>
      <c r="H2024" s="11">
        <f>SUMIFS(X!$F$3:$F$5978,X!$D$3:$D$5978,'Current Stock'!A2024)</f>
        <v>1</v>
      </c>
      <c r="I2024" s="11">
        <f>SUMIFS(PENJUALAN!$E$4:$E$3651,PENJUALAN!$C$4:$C$3651,'Current Stock'!A2024)</f>
        <v>0</v>
      </c>
      <c r="J2024" s="15">
        <f t="shared" si="2"/>
        <v>1</v>
      </c>
      <c r="K2024" s="25"/>
      <c r="L2024" s="25"/>
      <c r="M2024" s="87"/>
      <c r="N2024" s="87"/>
      <c r="O2024" s="91"/>
      <c r="P2024" s="91"/>
    </row>
    <row r="2025" ht="15.0" customHeight="1">
      <c r="A2025" s="23" t="str">
        <f t="shared" si="4"/>
        <v>FDL-AVANZA11ASH</v>
      </c>
      <c r="B2025" s="86" t="s">
        <v>103</v>
      </c>
      <c r="C2025" s="25" t="s">
        <v>1749</v>
      </c>
      <c r="D2025" s="87" t="str">
        <f t="shared" si="22"/>
        <v>FDL</v>
      </c>
      <c r="E2025" s="25" t="s">
        <v>93</v>
      </c>
      <c r="F2025" s="87"/>
      <c r="G2025" s="23"/>
      <c r="H2025" s="11">
        <f>SUMIFS(X!$F$3:$F$5978,X!$D$3:$D$5978,'Current Stock'!A2025)</f>
        <v>3</v>
      </c>
      <c r="I2025" s="11">
        <f>SUMIFS(PENJUALAN!$E$4:$E$3651,PENJUALAN!$C$4:$C$3651,'Current Stock'!A2025)</f>
        <v>3</v>
      </c>
      <c r="J2025" s="15">
        <f t="shared" si="2"/>
        <v>0</v>
      </c>
      <c r="K2025" s="25" t="s">
        <v>1647</v>
      </c>
      <c r="L2025" s="25"/>
      <c r="M2025" s="87"/>
      <c r="N2025" s="87"/>
      <c r="O2025" s="91"/>
      <c r="P2025" s="91"/>
    </row>
    <row r="2026" ht="15.0" customHeight="1">
      <c r="A2026" s="23" t="str">
        <f t="shared" si="4"/>
        <v>FDR-AVANZA11ASH</v>
      </c>
      <c r="B2026" s="86" t="s">
        <v>105</v>
      </c>
      <c r="C2026" s="25" t="s">
        <v>1749</v>
      </c>
      <c r="D2026" s="87" t="str">
        <f t="shared" si="22"/>
        <v>FDR</v>
      </c>
      <c r="E2026" s="25" t="s">
        <v>93</v>
      </c>
      <c r="F2026" s="87"/>
      <c r="G2026" s="28"/>
      <c r="H2026" s="11">
        <f>SUMIFS(X!$F$3:$F$5978,X!$D$3:$D$5978,'Current Stock'!A2026)</f>
        <v>2</v>
      </c>
      <c r="I2026" s="11">
        <f>SUMIFS(PENJUALAN!$E$4:$E$3651,PENJUALAN!$C$4:$C$3651,'Current Stock'!A2026)</f>
        <v>2</v>
      </c>
      <c r="J2026" s="15">
        <f t="shared" si="2"/>
        <v>0</v>
      </c>
      <c r="K2026" s="25" t="s">
        <v>1690</v>
      </c>
      <c r="L2026" s="25"/>
      <c r="M2026" s="87"/>
      <c r="N2026" s="87"/>
      <c r="O2026" s="91"/>
      <c r="P2026" s="91"/>
    </row>
    <row r="2027" ht="15.0" customHeight="1">
      <c r="A2027" s="23" t="str">
        <f t="shared" si="4"/>
        <v>FDL-AGYA13ASH</v>
      </c>
      <c r="B2027" s="86" t="s">
        <v>2277</v>
      </c>
      <c r="C2027" s="25" t="s">
        <v>2005</v>
      </c>
      <c r="D2027" s="87" t="str">
        <f t="shared" si="22"/>
        <v>FDL</v>
      </c>
      <c r="E2027" s="25" t="s">
        <v>93</v>
      </c>
      <c r="F2027" s="87"/>
      <c r="G2027" s="23"/>
      <c r="H2027" s="11">
        <f>SUMIFS(X!$F$3:$F$5978,X!$D$3:$D$5978,'Current Stock'!A2027)</f>
        <v>1</v>
      </c>
      <c r="I2027" s="11">
        <f>SUMIFS(PENJUALAN!$E$4:$E$3651,PENJUALAN!$C$4:$C$3651,'Current Stock'!A2027)</f>
        <v>0</v>
      </c>
      <c r="J2027" s="15">
        <f t="shared" si="2"/>
        <v>1</v>
      </c>
      <c r="K2027" s="25" t="s">
        <v>1690</v>
      </c>
      <c r="L2027" s="25"/>
      <c r="M2027" s="87"/>
      <c r="N2027" s="87"/>
      <c r="O2027" s="91"/>
      <c r="P2027" s="91"/>
    </row>
    <row r="2028" ht="15.0" customHeight="1">
      <c r="A2028" s="23" t="str">
        <f t="shared" si="4"/>
        <v>FDR-AGYA13ASH</v>
      </c>
      <c r="B2028" s="86" t="s">
        <v>2278</v>
      </c>
      <c r="C2028" s="25" t="s">
        <v>2005</v>
      </c>
      <c r="D2028" s="87" t="str">
        <f t="shared" si="22"/>
        <v>FDR</v>
      </c>
      <c r="E2028" s="25" t="s">
        <v>93</v>
      </c>
      <c r="F2028" s="87"/>
      <c r="G2028" s="23"/>
      <c r="H2028" s="11">
        <f>SUMIFS(X!$F$3:$F$5978,X!$D$3:$D$5978,'Current Stock'!A2028)</f>
        <v>1</v>
      </c>
      <c r="I2028" s="11">
        <f>SUMIFS(PENJUALAN!$E$4:$E$3651,PENJUALAN!$C$4:$C$3651,'Current Stock'!A2028)</f>
        <v>0</v>
      </c>
      <c r="J2028" s="15">
        <f t="shared" si="2"/>
        <v>1</v>
      </c>
      <c r="K2028" s="25"/>
      <c r="L2028" s="25"/>
      <c r="M2028" s="87"/>
      <c r="N2028" s="87"/>
      <c r="O2028" s="91"/>
      <c r="P2028" s="91"/>
    </row>
    <row r="2029" ht="15.0" customHeight="1">
      <c r="A2029" s="23" t="str">
        <f t="shared" si="4"/>
        <v>RDL-AGYA13ASH</v>
      </c>
      <c r="B2029" s="86" t="s">
        <v>2279</v>
      </c>
      <c r="C2029" s="25" t="s">
        <v>2005</v>
      </c>
      <c r="D2029" s="87" t="str">
        <f t="shared" si="22"/>
        <v>RDL</v>
      </c>
      <c r="E2029" s="25" t="s">
        <v>93</v>
      </c>
      <c r="F2029" s="87"/>
      <c r="G2029" s="28">
        <v>45988.0</v>
      </c>
      <c r="H2029" s="11">
        <f>SUMIFS(X!$F$3:$F$5978,X!$D$3:$D$5978,'Current Stock'!A2029)</f>
        <v>1</v>
      </c>
      <c r="I2029" s="11">
        <f>SUMIFS(PENJUALAN!$E$4:$E$3651,PENJUALAN!$C$4:$C$3651,'Current Stock'!A2029)</f>
        <v>0</v>
      </c>
      <c r="J2029" s="15">
        <f t="shared" si="2"/>
        <v>1</v>
      </c>
      <c r="K2029" s="25"/>
      <c r="L2029" s="25"/>
      <c r="M2029" s="87"/>
      <c r="N2029" s="87"/>
      <c r="O2029" s="91"/>
      <c r="P2029" s="91"/>
    </row>
    <row r="2030" ht="15.0" customHeight="1">
      <c r="A2030" s="23" t="str">
        <f t="shared" si="4"/>
        <v>RDR-AGYA13ASH</v>
      </c>
      <c r="B2030" s="86" t="s">
        <v>2280</v>
      </c>
      <c r="C2030" s="25" t="s">
        <v>2005</v>
      </c>
      <c r="D2030" s="87" t="str">
        <f t="shared" si="22"/>
        <v>RDR</v>
      </c>
      <c r="E2030" s="25" t="s">
        <v>93</v>
      </c>
      <c r="F2030" s="87"/>
      <c r="G2030" s="23"/>
      <c r="H2030" s="11">
        <f>SUMIFS(X!$F$3:$F$5978,X!$D$3:$D$5978,'Current Stock'!A2030)</f>
        <v>1</v>
      </c>
      <c r="I2030" s="11">
        <f>SUMIFS(PENJUALAN!$E$4:$E$3651,PENJUALAN!$C$4:$C$3651,'Current Stock'!A2030)</f>
        <v>0</v>
      </c>
      <c r="J2030" s="15">
        <f t="shared" si="2"/>
        <v>1</v>
      </c>
      <c r="K2030" s="25" t="s">
        <v>1347</v>
      </c>
      <c r="L2030" s="25"/>
      <c r="M2030" s="87"/>
      <c r="N2030" s="87"/>
      <c r="O2030" s="91"/>
      <c r="P2030" s="91"/>
    </row>
    <row r="2031" ht="15.0" customHeight="1">
      <c r="A2031" s="11" t="str">
        <f t="shared" si="4"/>
        <v>LFW-PICANTO11PIL</v>
      </c>
      <c r="B2031" s="32" t="s">
        <v>608</v>
      </c>
      <c r="C2031" s="33" t="s">
        <v>609</v>
      </c>
      <c r="D2031" s="33" t="str">
        <f t="shared" si="22"/>
        <v>LFW</v>
      </c>
      <c r="E2031" s="13" t="s">
        <v>89</v>
      </c>
      <c r="F2031" s="33" t="s">
        <v>137</v>
      </c>
      <c r="G2031" s="14">
        <v>45988.0</v>
      </c>
      <c r="H2031" s="11">
        <f>SUMIFS(X!$F$3:$F$5978,X!$D$3:$D$5978,'Current Stock'!A2031)</f>
        <v>0</v>
      </c>
      <c r="I2031" s="11">
        <f>SUMIFS(PENJUALAN!$E$4:$E$3651,PENJUALAN!$C$4:$C$3651,'Current Stock'!A2031)</f>
        <v>0</v>
      </c>
      <c r="J2031" s="15">
        <f t="shared" si="2"/>
        <v>0</v>
      </c>
      <c r="K2031" s="13"/>
      <c r="L2031" s="13"/>
      <c r="M2031" s="44"/>
      <c r="N2031" s="44"/>
      <c r="O2031" s="88"/>
      <c r="P2031" s="88"/>
    </row>
    <row r="2032" ht="15.0" customHeight="1">
      <c r="A2032" s="23" t="str">
        <f t="shared" si="4"/>
        <v>FDL-DYNAASH</v>
      </c>
      <c r="B2032" s="86" t="s">
        <v>2047</v>
      </c>
      <c r="C2032" s="25" t="s">
        <v>1888</v>
      </c>
      <c r="D2032" s="25" t="str">
        <f t="shared" si="22"/>
        <v>FDL</v>
      </c>
      <c r="E2032" s="25" t="s">
        <v>93</v>
      </c>
      <c r="F2032" s="87"/>
      <c r="G2032" s="28">
        <v>45988.0</v>
      </c>
      <c r="H2032" s="11">
        <f>SUMIFS(X!$F$3:$F$5978,X!$D$3:$D$5978,'Current Stock'!A2032)</f>
        <v>2</v>
      </c>
      <c r="I2032" s="11">
        <f>SUMIFS(PENJUALAN!$E$4:$E$3651,PENJUALAN!$C$4:$C$3651,'Current Stock'!A2032)</f>
        <v>1</v>
      </c>
      <c r="J2032" s="15">
        <f t="shared" si="2"/>
        <v>1</v>
      </c>
      <c r="K2032" s="25" t="s">
        <v>1347</v>
      </c>
      <c r="L2032" s="25"/>
      <c r="M2032" s="87"/>
      <c r="N2032" s="87"/>
      <c r="O2032" s="91"/>
      <c r="P2032" s="91"/>
    </row>
    <row r="2033" ht="15.0" customHeight="1">
      <c r="A2033" s="23" t="str">
        <f t="shared" si="4"/>
        <v>FDR-DYNAASH</v>
      </c>
      <c r="B2033" s="86" t="s">
        <v>2049</v>
      </c>
      <c r="C2033" s="25" t="s">
        <v>1888</v>
      </c>
      <c r="D2033" s="25" t="str">
        <f t="shared" si="22"/>
        <v>FDR</v>
      </c>
      <c r="E2033" s="25" t="s">
        <v>93</v>
      </c>
      <c r="F2033" s="87"/>
      <c r="G2033" s="28">
        <v>45988.0</v>
      </c>
      <c r="H2033" s="11">
        <f>SUMIFS(X!$F$3:$F$5978,X!$D$3:$D$5978,'Current Stock'!A2033)</f>
        <v>0</v>
      </c>
      <c r="I2033" s="11">
        <f>SUMIFS(PENJUALAN!$E$4:$E$3651,PENJUALAN!$C$4:$C$3651,'Current Stock'!A2033)</f>
        <v>0</v>
      </c>
      <c r="J2033" s="15">
        <f t="shared" si="2"/>
        <v>0</v>
      </c>
      <c r="K2033" s="25" t="s">
        <v>1347</v>
      </c>
      <c r="L2033" s="25"/>
      <c r="M2033" s="87"/>
      <c r="N2033" s="87"/>
      <c r="O2033" s="91"/>
      <c r="P2033" s="91"/>
    </row>
    <row r="2034" ht="15.0" customHeight="1">
      <c r="A2034" s="23" t="str">
        <f t="shared" si="4"/>
        <v>FDL-INNOVA04ASH</v>
      </c>
      <c r="B2034" s="86" t="s">
        <v>2144</v>
      </c>
      <c r="C2034" s="80" t="s">
        <v>1165</v>
      </c>
      <c r="D2034" s="25" t="s">
        <v>104</v>
      </c>
      <c r="E2034" s="25" t="s">
        <v>93</v>
      </c>
      <c r="F2034" s="87"/>
      <c r="G2034" s="28"/>
      <c r="H2034" s="11">
        <f>SUMIFS(X!$F$3:$F$5978,X!$D$3:$D$5978,'Current Stock'!A2034)</f>
        <v>1</v>
      </c>
      <c r="I2034" s="11">
        <f>SUMIFS(PENJUALAN!$E$4:$E$3651,PENJUALAN!$C$4:$C$3651,'Current Stock'!A2034)</f>
        <v>1</v>
      </c>
      <c r="J2034" s="15">
        <f t="shared" si="2"/>
        <v>0</v>
      </c>
      <c r="K2034" s="25" t="s">
        <v>1347</v>
      </c>
      <c r="L2034" s="25"/>
      <c r="M2034" s="87"/>
      <c r="N2034" s="87"/>
      <c r="O2034" s="91"/>
      <c r="P2034" s="91"/>
    </row>
    <row r="2035" ht="15.0" customHeight="1">
      <c r="A2035" s="23" t="str">
        <f t="shared" si="4"/>
        <v>RDL-INNOVA04ASH</v>
      </c>
      <c r="B2035" s="86" t="s">
        <v>2281</v>
      </c>
      <c r="C2035" s="80" t="s">
        <v>1165</v>
      </c>
      <c r="D2035" s="25" t="str">
        <f>LEFT(A2035,FIND("-",A2035) - 1)</f>
        <v>RDL</v>
      </c>
      <c r="E2035" s="25" t="s">
        <v>93</v>
      </c>
      <c r="F2035" s="87"/>
      <c r="G2035" s="28"/>
      <c r="H2035" s="11">
        <f>SUMIFS(X!$F$3:$F$5978,X!$D$3:$D$5978,'Current Stock'!A2035)</f>
        <v>2</v>
      </c>
      <c r="I2035" s="11">
        <f>SUMIFS(PENJUALAN!$E$4:$E$3651,PENJUALAN!$C$4:$C$3651,'Current Stock'!A2035)</f>
        <v>1</v>
      </c>
      <c r="J2035" s="15">
        <f t="shared" si="2"/>
        <v>1</v>
      </c>
      <c r="K2035" s="25"/>
      <c r="L2035" s="25"/>
      <c r="M2035" s="87"/>
      <c r="N2035" s="87"/>
      <c r="O2035" s="91"/>
      <c r="P2035" s="91"/>
    </row>
    <row r="2036" ht="15.0" customHeight="1">
      <c r="A2036" s="23" t="str">
        <f t="shared" si="4"/>
        <v>FDL-FE300ASH</v>
      </c>
      <c r="B2036" s="25" t="s">
        <v>2282</v>
      </c>
      <c r="C2036" s="80" t="s">
        <v>1883</v>
      </c>
      <c r="D2036" s="25" t="s">
        <v>104</v>
      </c>
      <c r="E2036" s="25" t="s">
        <v>93</v>
      </c>
      <c r="F2036" s="87"/>
      <c r="G2036" s="28"/>
      <c r="H2036" s="11">
        <f>SUMIFS(X!$F$3:$F$5978,X!$D$3:$D$5978,'Current Stock'!A2036)</f>
        <v>3</v>
      </c>
      <c r="I2036" s="11">
        <f>SUMIFS(PENJUALAN!$E$4:$E$3651,PENJUALAN!$C$4:$C$3651,'Current Stock'!A2036)</f>
        <v>1</v>
      </c>
      <c r="J2036" s="15">
        <f t="shared" si="2"/>
        <v>2</v>
      </c>
      <c r="K2036" s="25" t="s">
        <v>1695</v>
      </c>
      <c r="L2036" s="25"/>
      <c r="M2036" s="87"/>
      <c r="N2036" s="87"/>
      <c r="O2036" s="91"/>
      <c r="P2036" s="91"/>
    </row>
    <row r="2037" ht="15.0" customHeight="1">
      <c r="A2037" s="23" t="str">
        <f t="shared" si="4"/>
        <v>FDR-FE300ASH</v>
      </c>
      <c r="B2037" s="25" t="s">
        <v>2283</v>
      </c>
      <c r="C2037" s="80" t="s">
        <v>1883</v>
      </c>
      <c r="D2037" s="25" t="s">
        <v>106</v>
      </c>
      <c r="E2037" s="25" t="s">
        <v>93</v>
      </c>
      <c r="F2037" s="87"/>
      <c r="G2037" s="28">
        <v>45988.0</v>
      </c>
      <c r="H2037" s="11">
        <f>SUMIFS(X!$F$3:$F$5978,X!$D$3:$D$5978,'Current Stock'!A2037)</f>
        <v>2</v>
      </c>
      <c r="I2037" s="11">
        <f>SUMIFS(PENJUALAN!$E$4:$E$3651,PENJUALAN!$C$4:$C$3651,'Current Stock'!A2037)</f>
        <v>1</v>
      </c>
      <c r="J2037" s="15">
        <f t="shared" si="2"/>
        <v>1</v>
      </c>
      <c r="K2037" s="25" t="s">
        <v>2207</v>
      </c>
      <c r="L2037" s="25"/>
      <c r="M2037" s="87"/>
      <c r="N2037" s="87"/>
      <c r="O2037" s="91"/>
      <c r="P2037" s="91"/>
    </row>
    <row r="2038" ht="15.0" customHeight="1">
      <c r="A2038" s="11" t="str">
        <f t="shared" si="4"/>
        <v>SWL-INNOVA04ASH</v>
      </c>
      <c r="B2038" s="82" t="s">
        <v>2284</v>
      </c>
      <c r="C2038" s="33" t="s">
        <v>1165</v>
      </c>
      <c r="D2038" s="13" t="s">
        <v>1410</v>
      </c>
      <c r="E2038" s="13" t="s">
        <v>93</v>
      </c>
      <c r="F2038" s="44"/>
      <c r="G2038" s="14">
        <v>45988.0</v>
      </c>
      <c r="H2038" s="11">
        <f>SUMIFS(X!$F$3:$F$5978,X!$D$3:$D$5978,'Current Stock'!A2038)</f>
        <v>1</v>
      </c>
      <c r="I2038" s="11">
        <f>SUMIFS(PENJUALAN!$E$4:$E$3651,PENJUALAN!$C$4:$C$3651,'Current Stock'!A2038)</f>
        <v>1</v>
      </c>
      <c r="J2038" s="15">
        <f t="shared" si="2"/>
        <v>0</v>
      </c>
      <c r="K2038" s="13"/>
      <c r="L2038" s="13"/>
      <c r="M2038" s="44"/>
      <c r="N2038" s="44"/>
      <c r="O2038" s="88"/>
      <c r="P2038" s="88"/>
    </row>
    <row r="2039" ht="15.0" customHeight="1">
      <c r="A2039" s="23" t="str">
        <f t="shared" si="4"/>
        <v>SWR-INNOVA04ASH</v>
      </c>
      <c r="B2039" s="86" t="s">
        <v>2285</v>
      </c>
      <c r="C2039" s="80" t="s">
        <v>1165</v>
      </c>
      <c r="D2039" s="25" t="s">
        <v>116</v>
      </c>
      <c r="E2039" s="25" t="s">
        <v>93</v>
      </c>
      <c r="F2039" s="87"/>
      <c r="G2039" s="28">
        <v>45988.0</v>
      </c>
      <c r="H2039" s="11">
        <f>SUMIFS(X!$F$3:$F$5978,X!$D$3:$D$5978,'Current Stock'!A2039)</f>
        <v>1</v>
      </c>
      <c r="I2039" s="11">
        <f>SUMIFS(PENJUALAN!$E$4:$E$3651,PENJUALAN!$C$4:$C$3651,'Current Stock'!A2039)</f>
        <v>0</v>
      </c>
      <c r="J2039" s="15">
        <f t="shared" si="2"/>
        <v>1</v>
      </c>
      <c r="K2039" s="25"/>
      <c r="L2039" s="25"/>
      <c r="M2039" s="87"/>
      <c r="N2039" s="87"/>
      <c r="O2039" s="91"/>
      <c r="P2039" s="91"/>
    </row>
    <row r="2040" ht="15.0" customHeight="1">
      <c r="A2040" s="23" t="str">
        <f t="shared" si="4"/>
        <v>FDL-FE700ASH</v>
      </c>
      <c r="B2040" s="86" t="s">
        <v>2286</v>
      </c>
      <c r="C2040" s="25" t="s">
        <v>1315</v>
      </c>
      <c r="D2040" s="87" t="str">
        <f t="shared" ref="D2040:D2044" si="23">LEFT(A2040,FIND("-",A2040) - 1)</f>
        <v>FDL</v>
      </c>
      <c r="E2040" s="25" t="s">
        <v>93</v>
      </c>
      <c r="F2040" s="25"/>
      <c r="G2040" s="28">
        <v>45988.0</v>
      </c>
      <c r="H2040" s="11">
        <f>SUMIFS(X!$F$3:$F$5978,X!$D$3:$D$5978,'Current Stock'!A2040)</f>
        <v>1</v>
      </c>
      <c r="I2040" s="11">
        <f>SUMIFS(PENJUALAN!$E$4:$E$3651,PENJUALAN!$C$4:$C$3651,'Current Stock'!A2040)</f>
        <v>1</v>
      </c>
      <c r="J2040" s="15">
        <f t="shared" si="2"/>
        <v>0</v>
      </c>
      <c r="K2040" s="25"/>
      <c r="L2040" s="25"/>
      <c r="M2040" s="87"/>
      <c r="N2040" s="87"/>
      <c r="O2040" s="91"/>
      <c r="P2040" s="91"/>
    </row>
    <row r="2041" ht="15.0" customHeight="1">
      <c r="A2041" s="23" t="str">
        <f t="shared" si="4"/>
        <v>FDR-FE700ASH</v>
      </c>
      <c r="B2041" s="86" t="s">
        <v>2287</v>
      </c>
      <c r="C2041" s="25" t="s">
        <v>1315</v>
      </c>
      <c r="D2041" s="87" t="str">
        <f t="shared" si="23"/>
        <v>FDR</v>
      </c>
      <c r="E2041" s="25" t="s">
        <v>93</v>
      </c>
      <c r="F2041" s="87"/>
      <c r="G2041" s="28"/>
      <c r="H2041" s="11">
        <f>SUMIFS(X!$F$3:$F$5978,X!$D$3:$D$5978,'Current Stock'!A2041)</f>
        <v>2</v>
      </c>
      <c r="I2041" s="11">
        <f>SUMIFS(PENJUALAN!$E$4:$E$3651,PENJUALAN!$C$4:$C$3651,'Current Stock'!A2041)</f>
        <v>0</v>
      </c>
      <c r="J2041" s="15">
        <f t="shared" si="2"/>
        <v>2</v>
      </c>
      <c r="K2041" s="25" t="s">
        <v>1757</v>
      </c>
      <c r="L2041" s="25"/>
      <c r="M2041" s="87"/>
      <c r="N2041" s="25" t="s">
        <v>2288</v>
      </c>
      <c r="O2041" s="85"/>
      <c r="P2041" s="85"/>
    </row>
    <row r="2042" ht="15.0" customHeight="1">
      <c r="A2042" s="23" t="str">
        <f t="shared" si="4"/>
        <v>FDL-ELFNMRASH</v>
      </c>
      <c r="B2042" s="86" t="s">
        <v>2289</v>
      </c>
      <c r="C2042" s="25" t="s">
        <v>2290</v>
      </c>
      <c r="D2042" s="87" t="str">
        <f t="shared" si="23"/>
        <v>FDL</v>
      </c>
      <c r="E2042" s="25" t="s">
        <v>93</v>
      </c>
      <c r="F2042" s="87"/>
      <c r="G2042" s="28">
        <v>45988.0</v>
      </c>
      <c r="H2042" s="11">
        <f>SUMIFS(X!$F$3:$F$5978,X!$D$3:$D$5978,'Current Stock'!A2042)</f>
        <v>2</v>
      </c>
      <c r="I2042" s="11">
        <f>SUMIFS(PENJUALAN!$E$4:$E$3651,PENJUALAN!$C$4:$C$3651,'Current Stock'!A2042)</f>
        <v>1</v>
      </c>
      <c r="J2042" s="15">
        <f t="shared" si="2"/>
        <v>1</v>
      </c>
      <c r="K2042" s="25" t="s">
        <v>1690</v>
      </c>
      <c r="L2042" s="25"/>
      <c r="M2042" s="87"/>
      <c r="N2042" s="87"/>
      <c r="O2042" s="91"/>
      <c r="P2042" s="91"/>
    </row>
    <row r="2043" ht="15.0" customHeight="1">
      <c r="A2043" s="23" t="str">
        <f t="shared" si="4"/>
        <v>FDR-ELFNMRASH</v>
      </c>
      <c r="B2043" s="86" t="s">
        <v>2291</v>
      </c>
      <c r="C2043" s="25" t="s">
        <v>2290</v>
      </c>
      <c r="D2043" s="87" t="str">
        <f t="shared" si="23"/>
        <v>FDR</v>
      </c>
      <c r="E2043" s="25" t="s">
        <v>93</v>
      </c>
      <c r="F2043" s="87"/>
      <c r="G2043" s="28">
        <v>45988.0</v>
      </c>
      <c r="H2043" s="11">
        <f>SUMIFS(X!$F$3:$F$5978,X!$D$3:$D$5978,'Current Stock'!A2043)</f>
        <v>2</v>
      </c>
      <c r="I2043" s="11">
        <f>SUMIFS(PENJUALAN!$E$4:$E$3651,PENJUALAN!$C$4:$C$3651,'Current Stock'!A2043)</f>
        <v>2</v>
      </c>
      <c r="J2043" s="15">
        <f t="shared" si="2"/>
        <v>0</v>
      </c>
      <c r="K2043" s="25"/>
      <c r="L2043" s="25"/>
      <c r="M2043" s="87"/>
      <c r="N2043" s="87"/>
      <c r="O2043" s="91"/>
      <c r="P2043" s="91"/>
    </row>
    <row r="2044" ht="15.0" customHeight="1">
      <c r="A2044" s="23" t="str">
        <f t="shared" si="4"/>
        <v>FDL-PAJERO08ASH</v>
      </c>
      <c r="B2044" s="86" t="s">
        <v>2292</v>
      </c>
      <c r="C2044" s="25" t="s">
        <v>2293</v>
      </c>
      <c r="D2044" s="87" t="str">
        <f t="shared" si="23"/>
        <v>FDL</v>
      </c>
      <c r="E2044" s="25" t="s">
        <v>93</v>
      </c>
      <c r="F2044" s="87"/>
      <c r="G2044" s="23"/>
      <c r="H2044" s="11">
        <f>SUMIFS(X!$F$3:$F$5978,X!$D$3:$D$5978,'Current Stock'!A2044)</f>
        <v>0</v>
      </c>
      <c r="I2044" s="11">
        <f>SUMIFS(PENJUALAN!$E$4:$E$3651,PENJUALAN!$C$4:$C$3651,'Current Stock'!A2044)</f>
        <v>0</v>
      </c>
      <c r="J2044" s="15">
        <f t="shared" si="2"/>
        <v>0</v>
      </c>
      <c r="K2044" s="25" t="s">
        <v>1623</v>
      </c>
      <c r="L2044" s="25"/>
      <c r="M2044" s="87"/>
      <c r="N2044" s="87"/>
      <c r="O2044" s="91"/>
      <c r="P2044" s="91"/>
    </row>
    <row r="2045" ht="15.0" customHeight="1">
      <c r="A2045" s="23" t="str">
        <f t="shared" si="4"/>
        <v>FDR-PAJERO08ASH</v>
      </c>
      <c r="B2045" s="86" t="s">
        <v>2294</v>
      </c>
      <c r="C2045" s="25" t="s">
        <v>2293</v>
      </c>
      <c r="D2045" s="25" t="s">
        <v>106</v>
      </c>
      <c r="E2045" s="25" t="s">
        <v>93</v>
      </c>
      <c r="F2045" s="87"/>
      <c r="G2045" s="23"/>
      <c r="H2045" s="11">
        <f>SUMIFS(X!$F$3:$F$5978,X!$D$3:$D$5978,'Current Stock'!A2045)</f>
        <v>0</v>
      </c>
      <c r="I2045" s="11">
        <f>SUMIFS(PENJUALAN!$E$4:$E$3651,PENJUALAN!$C$4:$C$3651,'Current Stock'!A2045)</f>
        <v>0</v>
      </c>
      <c r="J2045" s="15">
        <f t="shared" si="2"/>
        <v>0</v>
      </c>
      <c r="K2045" s="25" t="s">
        <v>1695</v>
      </c>
      <c r="L2045" s="25"/>
      <c r="M2045" s="87"/>
      <c r="N2045" s="87"/>
      <c r="O2045" s="91"/>
      <c r="P2045" s="91"/>
    </row>
    <row r="2046" ht="15.0" customHeight="1">
      <c r="A2046" s="23" t="str">
        <f t="shared" si="4"/>
        <v>RDL-PAJERO08ASH</v>
      </c>
      <c r="B2046" s="86" t="s">
        <v>2295</v>
      </c>
      <c r="C2046" s="25" t="s">
        <v>883</v>
      </c>
      <c r="D2046" s="25" t="s">
        <v>92</v>
      </c>
      <c r="E2046" s="25" t="s">
        <v>93</v>
      </c>
      <c r="F2046" s="87"/>
      <c r="G2046" s="23"/>
      <c r="H2046" s="11">
        <f>SUMIFS(X!$F$3:$F$5978,X!$D$3:$D$5978,'Current Stock'!A2046)</f>
        <v>1</v>
      </c>
      <c r="I2046" s="11">
        <f>SUMIFS(PENJUALAN!$E$4:$E$3651,PENJUALAN!$C$4:$C$3651,'Current Stock'!A2046)</f>
        <v>1</v>
      </c>
      <c r="J2046" s="15">
        <f t="shared" si="2"/>
        <v>0</v>
      </c>
      <c r="K2046" s="25"/>
      <c r="L2046" s="25"/>
      <c r="M2046" s="87"/>
      <c r="N2046" s="87"/>
      <c r="O2046" s="91"/>
      <c r="P2046" s="91"/>
    </row>
    <row r="2047" ht="15.0" customHeight="1">
      <c r="A2047" s="23" t="str">
        <f t="shared" si="4"/>
        <v>RDR-PAJERO08ASH</v>
      </c>
      <c r="B2047" s="86" t="s">
        <v>2296</v>
      </c>
      <c r="C2047" s="25" t="s">
        <v>883</v>
      </c>
      <c r="D2047" s="25" t="s">
        <v>86</v>
      </c>
      <c r="E2047" s="25" t="s">
        <v>93</v>
      </c>
      <c r="F2047" s="87"/>
      <c r="G2047" s="28">
        <v>45988.0</v>
      </c>
      <c r="H2047" s="11">
        <f>SUMIFS(X!$F$3:$F$5978,X!$D$3:$D$5978,'Current Stock'!A2047)</f>
        <v>0</v>
      </c>
      <c r="I2047" s="11">
        <f>SUMIFS(PENJUALAN!$E$4:$E$3651,PENJUALAN!$C$4:$C$3651,'Current Stock'!A2047)</f>
        <v>0</v>
      </c>
      <c r="J2047" s="15">
        <f t="shared" si="2"/>
        <v>0</v>
      </c>
      <c r="K2047" s="25"/>
      <c r="L2047" s="25"/>
      <c r="M2047" s="87"/>
      <c r="N2047" s="87"/>
      <c r="O2047" s="91"/>
      <c r="P2047" s="91"/>
    </row>
    <row r="2048" ht="15.0" customHeight="1">
      <c r="A2048" s="23" t="str">
        <f t="shared" si="4"/>
        <v>LFW-ALMAZFY</v>
      </c>
      <c r="B2048" s="13" t="s">
        <v>1862</v>
      </c>
      <c r="C2048" s="13" t="s">
        <v>2297</v>
      </c>
      <c r="D2048" s="13" t="s">
        <v>60</v>
      </c>
      <c r="E2048" s="13" t="s">
        <v>123</v>
      </c>
      <c r="F2048" s="13" t="s">
        <v>2298</v>
      </c>
      <c r="G2048" s="14">
        <v>45988.0</v>
      </c>
      <c r="H2048" s="11">
        <f>SUMIFS(X!$F$3:$F$5978,X!$D$3:$D$5978,'Current Stock'!A2048)</f>
        <v>4</v>
      </c>
      <c r="I2048" s="11">
        <f>SUMIFS(PENJUALAN!$E$4:$E$3651,PENJUALAN!$C$4:$C$3651,'Current Stock'!A2048)</f>
        <v>4</v>
      </c>
      <c r="J2048" s="15">
        <f t="shared" si="2"/>
        <v>0</v>
      </c>
      <c r="K2048" s="13"/>
      <c r="L2048" s="13"/>
      <c r="M2048" s="44"/>
      <c r="N2048" s="13"/>
      <c r="O2048" s="91"/>
      <c r="P2048" s="91"/>
    </row>
    <row r="2049" ht="15.0" customHeight="1">
      <c r="A2049" s="23" t="str">
        <f t="shared" si="4"/>
        <v>FDR-AVANZA21ASH</v>
      </c>
      <c r="B2049" s="86" t="s">
        <v>2299</v>
      </c>
      <c r="C2049" s="25" t="s">
        <v>2214</v>
      </c>
      <c r="D2049" s="25" t="s">
        <v>106</v>
      </c>
      <c r="E2049" s="25" t="s">
        <v>93</v>
      </c>
      <c r="F2049" s="87"/>
      <c r="G2049" s="28"/>
      <c r="H2049" s="11">
        <f>SUMIFS(X!$F$3:$F$5978,X!$D$3:$D$5978,'Current Stock'!A2049)</f>
        <v>2</v>
      </c>
      <c r="I2049" s="11">
        <f>SUMIFS(PENJUALAN!$E$4:$E$3651,PENJUALAN!$C$4:$C$3651,'Current Stock'!A2049)</f>
        <v>0</v>
      </c>
      <c r="J2049" s="15">
        <f t="shared" si="2"/>
        <v>2</v>
      </c>
      <c r="K2049" s="25"/>
      <c r="L2049" s="25"/>
      <c r="M2049" s="87"/>
      <c r="N2049" s="87"/>
      <c r="O2049" s="91"/>
      <c r="P2049" s="91"/>
    </row>
    <row r="2050" ht="15.0" customHeight="1">
      <c r="A2050" s="23" t="str">
        <f t="shared" si="4"/>
        <v>RDR-AVANZA21ASH</v>
      </c>
      <c r="B2050" s="86" t="s">
        <v>2300</v>
      </c>
      <c r="C2050" s="25" t="s">
        <v>2214</v>
      </c>
      <c r="D2050" s="87" t="str">
        <f>LEFT(A2050,FIND("-",A2050) - 1)</f>
        <v>RDR</v>
      </c>
      <c r="E2050" s="25" t="s">
        <v>93</v>
      </c>
      <c r="F2050" s="87"/>
      <c r="G2050" s="28">
        <v>45988.0</v>
      </c>
      <c r="H2050" s="11">
        <f>SUMIFS(X!$F$3:$F$5978,X!$D$3:$D$5978,'Current Stock'!A2050)</f>
        <v>0</v>
      </c>
      <c r="I2050" s="11">
        <f>SUMIFS(PENJUALAN!$E$4:$E$3651,PENJUALAN!$C$4:$C$3651,'Current Stock'!A2050)</f>
        <v>0</v>
      </c>
      <c r="J2050" s="15">
        <f t="shared" si="2"/>
        <v>0</v>
      </c>
      <c r="K2050" s="25"/>
      <c r="L2050" s="25"/>
      <c r="M2050" s="87"/>
      <c r="N2050" s="87"/>
      <c r="O2050" s="91"/>
      <c r="P2050" s="91"/>
    </row>
    <row r="2051" ht="15.0" customHeight="1">
      <c r="A2051" s="23" t="str">
        <f t="shared" si="4"/>
        <v>SWL-AVANZA21ASH</v>
      </c>
      <c r="B2051" s="86" t="s">
        <v>2301</v>
      </c>
      <c r="C2051" s="25" t="s">
        <v>2214</v>
      </c>
      <c r="D2051" s="25" t="s">
        <v>1410</v>
      </c>
      <c r="E2051" s="25" t="s">
        <v>93</v>
      </c>
      <c r="F2051" s="87"/>
      <c r="G2051" s="28">
        <v>45988.0</v>
      </c>
      <c r="H2051" s="11">
        <f>SUMIFS(X!$F$3:$F$5978,X!$D$3:$D$5978,'Current Stock'!A2051)</f>
        <v>1</v>
      </c>
      <c r="I2051" s="11">
        <f>SUMIFS(PENJUALAN!$E$4:$E$3651,PENJUALAN!$C$4:$C$3651,'Current Stock'!A2051)</f>
        <v>0</v>
      </c>
      <c r="J2051" s="15">
        <f t="shared" si="2"/>
        <v>1</v>
      </c>
      <c r="K2051" s="25"/>
      <c r="L2051" s="25"/>
      <c r="M2051" s="87"/>
      <c r="N2051" s="87"/>
      <c r="O2051" s="91"/>
      <c r="P2051" s="91"/>
    </row>
    <row r="2052" ht="15.0" customHeight="1">
      <c r="A2052" s="23" t="str">
        <f t="shared" si="4"/>
        <v>SWR-AVANZA21ASH</v>
      </c>
      <c r="B2052" s="86" t="s">
        <v>2302</v>
      </c>
      <c r="C2052" s="25" t="s">
        <v>2214</v>
      </c>
      <c r="D2052" s="25" t="s">
        <v>116</v>
      </c>
      <c r="E2052" s="25" t="s">
        <v>93</v>
      </c>
      <c r="F2052" s="87"/>
      <c r="G2052" s="23"/>
      <c r="H2052" s="11">
        <f>SUMIFS(X!$F$3:$F$5978,X!$D$3:$D$5978,'Current Stock'!A2052)</f>
        <v>1</v>
      </c>
      <c r="I2052" s="11">
        <f>SUMIFS(PENJUALAN!$E$4:$E$3651,PENJUALAN!$C$4:$C$3651,'Current Stock'!A2052)</f>
        <v>0</v>
      </c>
      <c r="J2052" s="15">
        <f t="shared" si="2"/>
        <v>1</v>
      </c>
      <c r="K2052" s="25"/>
      <c r="L2052" s="25"/>
      <c r="M2052" s="87"/>
      <c r="N2052" s="87"/>
      <c r="O2052" s="91"/>
      <c r="P2052" s="91"/>
    </row>
    <row r="2053" ht="15.0" customHeight="1">
      <c r="A2053" s="11" t="str">
        <f t="shared" si="4"/>
        <v>LFW-ALTIS18RSXYG</v>
      </c>
      <c r="B2053" s="13" t="s">
        <v>2303</v>
      </c>
      <c r="C2053" s="13" t="s">
        <v>2304</v>
      </c>
      <c r="D2053" s="13" t="s">
        <v>60</v>
      </c>
      <c r="E2053" s="13" t="s">
        <v>16</v>
      </c>
      <c r="F2053" s="97" t="s">
        <v>314</v>
      </c>
      <c r="G2053" s="34"/>
      <c r="H2053" s="11">
        <f>SUMIFS(X!$F$3:$F$5978,X!$D$3:$D$5978,'Current Stock'!A2053)</f>
        <v>1</v>
      </c>
      <c r="I2053" s="11">
        <f>SUMIFS(PENJUALAN!$E$4:$E$3651,PENJUALAN!$C$4:$C$3651,'Current Stock'!A2053)</f>
        <v>1</v>
      </c>
      <c r="J2053" s="15">
        <f t="shared" si="2"/>
        <v>0</v>
      </c>
      <c r="K2053" s="13"/>
      <c r="L2053" s="44"/>
      <c r="M2053" s="44"/>
      <c r="N2053" s="44"/>
      <c r="O2053" s="91"/>
      <c r="P2053" s="91"/>
    </row>
    <row r="2054" ht="15.0" customHeight="1">
      <c r="A2054" s="11" t="str">
        <f t="shared" si="4"/>
        <v>TRW-ALTIS18XYG</v>
      </c>
      <c r="B2054" s="13" t="s">
        <v>2305</v>
      </c>
      <c r="C2054" s="13" t="s">
        <v>2304</v>
      </c>
      <c r="D2054" s="13" t="s">
        <v>62</v>
      </c>
      <c r="E2054" s="13" t="s">
        <v>16</v>
      </c>
      <c r="F2054" s="84" t="s">
        <v>1442</v>
      </c>
      <c r="G2054" s="34"/>
      <c r="H2054" s="11">
        <f>SUMIFS(X!$F$3:$F$5978,X!$D$3:$D$5978,'Current Stock'!A2054)</f>
        <v>1</v>
      </c>
      <c r="I2054" s="11">
        <f>SUMIFS(PENJUALAN!$E$4:$E$3651,PENJUALAN!$C$4:$C$3651,'Current Stock'!A2054)</f>
        <v>1</v>
      </c>
      <c r="J2054" s="15">
        <f t="shared" si="2"/>
        <v>0</v>
      </c>
      <c r="K2054" s="13"/>
      <c r="L2054" s="44"/>
      <c r="M2054" s="44"/>
      <c r="N2054" s="44"/>
      <c r="O2054" s="91"/>
      <c r="P2054" s="91"/>
    </row>
    <row r="2055" ht="15.0" customHeight="1">
      <c r="A2055" s="23" t="str">
        <f t="shared" si="4"/>
        <v>FDL-ELFNKRASH</v>
      </c>
      <c r="B2055" s="86" t="s">
        <v>2306</v>
      </c>
      <c r="C2055" s="25" t="s">
        <v>2224</v>
      </c>
      <c r="D2055" s="87" t="str">
        <f t="shared" ref="D2055:D2057" si="24">LEFT(A2055,FIND("-",A2055) - 1)</f>
        <v>FDL</v>
      </c>
      <c r="E2055" s="25" t="s">
        <v>93</v>
      </c>
      <c r="F2055" s="87"/>
      <c r="G2055" s="28"/>
      <c r="H2055" s="11">
        <f>SUMIFS(X!$F$3:$F$5978,X!$D$3:$D$5978,'Current Stock'!A2055)</f>
        <v>3</v>
      </c>
      <c r="I2055" s="11">
        <f>SUMIFS(PENJUALAN!$E$4:$E$3651,PENJUALAN!$C$4:$C$3651,'Current Stock'!A2055)</f>
        <v>3</v>
      </c>
      <c r="J2055" s="15">
        <f t="shared" si="2"/>
        <v>0</v>
      </c>
      <c r="K2055" s="25"/>
      <c r="L2055" s="25"/>
      <c r="M2055" s="87"/>
      <c r="N2055" s="87"/>
      <c r="O2055" s="91"/>
      <c r="P2055" s="91"/>
    </row>
    <row r="2056" ht="15.0" customHeight="1">
      <c r="A2056" s="23" t="str">
        <f t="shared" si="4"/>
        <v>FDL-TERIOS06ASH</v>
      </c>
      <c r="B2056" s="25" t="s">
        <v>2307</v>
      </c>
      <c r="C2056" s="25" t="s">
        <v>1248</v>
      </c>
      <c r="D2056" s="87" t="str">
        <f t="shared" si="24"/>
        <v>FDL</v>
      </c>
      <c r="E2056" s="25" t="s">
        <v>93</v>
      </c>
      <c r="F2056" s="87"/>
      <c r="G2056" s="23"/>
      <c r="H2056" s="11">
        <f>SUMIFS(X!$F$3:$F$5978,X!$D$3:$D$5978,'Current Stock'!A2056)</f>
        <v>0</v>
      </c>
      <c r="I2056" s="11">
        <f>SUMIFS(PENJUALAN!$E$4:$E$3651,PENJUALAN!$C$4:$C$3651,'Current Stock'!A2056)</f>
        <v>0</v>
      </c>
      <c r="J2056" s="15">
        <f t="shared" si="2"/>
        <v>0</v>
      </c>
      <c r="K2056" s="25"/>
      <c r="L2056" s="25"/>
      <c r="M2056" s="87"/>
      <c r="N2056" s="87"/>
      <c r="O2056" s="91"/>
      <c r="P2056" s="91"/>
    </row>
    <row r="2057" ht="15.0" customHeight="1">
      <c r="A2057" s="11" t="str">
        <f t="shared" si="4"/>
        <v>LFW-PAJERO16AGC</v>
      </c>
      <c r="B2057" s="13" t="s">
        <v>885</v>
      </c>
      <c r="C2057" s="13" t="s">
        <v>2308</v>
      </c>
      <c r="D2057" s="44" t="str">
        <f t="shared" si="24"/>
        <v>LFW</v>
      </c>
      <c r="E2057" s="13" t="s">
        <v>101</v>
      </c>
      <c r="F2057" s="44"/>
      <c r="G2057" s="34"/>
      <c r="H2057" s="11">
        <f>SUMIFS(X!$F$3:$F$5978,X!$D$3:$D$5978,'Current Stock'!A2057)</f>
        <v>7</v>
      </c>
      <c r="I2057" s="11">
        <f>SUMIFS(PENJUALAN!$E$4:$E$3651,PENJUALAN!$C$4:$C$3651,'Current Stock'!A2057)</f>
        <v>7</v>
      </c>
      <c r="J2057" s="15">
        <f t="shared" si="2"/>
        <v>0</v>
      </c>
      <c r="K2057" s="13"/>
      <c r="L2057" s="13"/>
      <c r="M2057" s="44"/>
      <c r="N2057" s="13" t="s">
        <v>2309</v>
      </c>
      <c r="O2057" s="45"/>
      <c r="P2057" s="45"/>
    </row>
    <row r="2058" ht="15.0" customHeight="1">
      <c r="A2058" s="11" t="str">
        <f t="shared" si="4"/>
        <v>TRW-PAJERO16AGC</v>
      </c>
      <c r="B2058" s="13" t="s">
        <v>887</v>
      </c>
      <c r="C2058" s="13" t="s">
        <v>2308</v>
      </c>
      <c r="D2058" s="13" t="s">
        <v>62</v>
      </c>
      <c r="E2058" s="13" t="s">
        <v>101</v>
      </c>
      <c r="F2058" s="44"/>
      <c r="G2058" s="34"/>
      <c r="H2058" s="11">
        <f>SUMIFS(X!$F$3:$F$5978,X!$D$3:$D$5978,'Current Stock'!A2058)</f>
        <v>2</v>
      </c>
      <c r="I2058" s="11">
        <f>SUMIFS(PENJUALAN!$E$4:$E$3651,PENJUALAN!$C$4:$C$3651,'Current Stock'!A2058)</f>
        <v>2</v>
      </c>
      <c r="J2058" s="15">
        <f t="shared" si="2"/>
        <v>0</v>
      </c>
      <c r="K2058" s="13"/>
      <c r="L2058" s="13"/>
      <c r="M2058" s="44"/>
      <c r="N2058" s="13"/>
      <c r="O2058" s="45"/>
      <c r="P2058" s="45"/>
    </row>
    <row r="2059" ht="15.0" customHeight="1">
      <c r="A2059" s="11" t="str">
        <f t="shared" si="4"/>
        <v>LFW-CIVIC05PIL</v>
      </c>
      <c r="B2059" s="13" t="s">
        <v>402</v>
      </c>
      <c r="C2059" s="13" t="s">
        <v>403</v>
      </c>
      <c r="D2059" s="44" t="str">
        <f t="shared" ref="D2059:D2064" si="25">LEFT(A2059,FIND("-",A2059) - 1)</f>
        <v>LFW</v>
      </c>
      <c r="E2059" s="13" t="s">
        <v>89</v>
      </c>
      <c r="F2059" s="13" t="s">
        <v>1358</v>
      </c>
      <c r="G2059" s="11"/>
      <c r="H2059" s="11">
        <f>SUMIFS(X!$F$3:$F$5978,X!$D$3:$D$5978,'Current Stock'!A2059)</f>
        <v>0</v>
      </c>
      <c r="I2059" s="11">
        <f>SUMIFS(PENJUALAN!$E$4:$E$3651,PENJUALAN!$C$4:$C$3651,'Current Stock'!A2059)</f>
        <v>0</v>
      </c>
      <c r="J2059" s="15">
        <f t="shared" si="2"/>
        <v>0</v>
      </c>
      <c r="K2059" s="13"/>
      <c r="L2059" s="13"/>
      <c r="M2059" s="44"/>
      <c r="N2059" s="44"/>
      <c r="O2059" s="88"/>
      <c r="P2059" s="88"/>
    </row>
    <row r="2060" ht="15.0" customHeight="1">
      <c r="A2060" s="23" t="str">
        <f t="shared" si="4"/>
        <v>TRW-CRV02PIL</v>
      </c>
      <c r="B2060" s="25" t="s">
        <v>433</v>
      </c>
      <c r="C2060" s="25" t="s">
        <v>434</v>
      </c>
      <c r="D2060" s="87" t="str">
        <f t="shared" si="25"/>
        <v>TRW</v>
      </c>
      <c r="E2060" s="25" t="s">
        <v>89</v>
      </c>
      <c r="F2060" s="25" t="s">
        <v>2310</v>
      </c>
      <c r="G2060" s="23"/>
      <c r="H2060" s="11">
        <f>SUMIFS(X!$F$3:$F$5978,X!$D$3:$D$5978,'Current Stock'!A2060)</f>
        <v>0</v>
      </c>
      <c r="I2060" s="11">
        <f>SUMIFS(PENJUALAN!$E$4:$E$3651,PENJUALAN!$C$4:$C$3651,'Current Stock'!A2060)</f>
        <v>0</v>
      </c>
      <c r="J2060" s="15">
        <f t="shared" si="2"/>
        <v>0</v>
      </c>
      <c r="K2060" s="25"/>
      <c r="L2060" s="25"/>
      <c r="M2060" s="87"/>
      <c r="N2060" s="87"/>
      <c r="O2060" s="91"/>
      <c r="P2060" s="91"/>
    </row>
    <row r="2061" ht="15.0" customHeight="1">
      <c r="A2061" s="23" t="str">
        <f t="shared" si="4"/>
        <v>TRW-CRV17PIL</v>
      </c>
      <c r="B2061" s="25" t="s">
        <v>456</v>
      </c>
      <c r="C2061" s="25" t="s">
        <v>2311</v>
      </c>
      <c r="D2061" s="87" t="str">
        <f t="shared" si="25"/>
        <v>TRW</v>
      </c>
      <c r="E2061" s="25" t="s">
        <v>89</v>
      </c>
      <c r="F2061" s="25" t="s">
        <v>2312</v>
      </c>
      <c r="G2061" s="23"/>
      <c r="H2061" s="11">
        <f>SUMIFS(X!$F$3:$F$5978,X!$D$3:$D$5978,'Current Stock'!A2061)</f>
        <v>0</v>
      </c>
      <c r="I2061" s="11">
        <f>SUMIFS(PENJUALAN!$E$4:$E$3651,PENJUALAN!$C$4:$C$3651,'Current Stock'!A2061)</f>
        <v>0</v>
      </c>
      <c r="J2061" s="15">
        <f t="shared" si="2"/>
        <v>0</v>
      </c>
      <c r="K2061" s="25" t="s">
        <v>1761</v>
      </c>
      <c r="L2061" s="25"/>
      <c r="M2061" s="87"/>
      <c r="N2061" s="87"/>
      <c r="O2061" s="91"/>
      <c r="P2061" s="91"/>
    </row>
    <row r="2062" ht="15.0" customHeight="1">
      <c r="A2062" s="11" t="str">
        <f t="shared" si="4"/>
        <v>LFW-TELSTAR93MU</v>
      </c>
      <c r="B2062" s="13" t="s">
        <v>2313</v>
      </c>
      <c r="C2062" s="13" t="s">
        <v>2314</v>
      </c>
      <c r="D2062" s="44" t="str">
        <f t="shared" si="25"/>
        <v>LFW</v>
      </c>
      <c r="E2062" s="13" t="s">
        <v>1633</v>
      </c>
      <c r="F2062" s="13" t="s">
        <v>1912</v>
      </c>
      <c r="G2062" s="11"/>
      <c r="H2062" s="11">
        <f>SUMIFS(X!$F$3:$F$5978,X!$D$3:$D$5978,'Current Stock'!A2062)</f>
        <v>0</v>
      </c>
      <c r="I2062" s="11">
        <f>SUMIFS(PENJUALAN!$E$4:$E$3651,PENJUALAN!$C$4:$C$3651,'Current Stock'!A2062)</f>
        <v>0</v>
      </c>
      <c r="J2062" s="15">
        <f t="shared" si="2"/>
        <v>0</v>
      </c>
      <c r="K2062" s="13"/>
      <c r="L2062" s="13"/>
      <c r="M2062" s="44"/>
      <c r="N2062" s="44"/>
      <c r="O2062" s="88"/>
      <c r="P2062" s="88"/>
    </row>
    <row r="2063" ht="15.0" customHeight="1">
      <c r="A2063" s="11" t="str">
        <f t="shared" si="4"/>
        <v>LFW-SPARK10XYG</v>
      </c>
      <c r="B2063" s="13" t="s">
        <v>260</v>
      </c>
      <c r="C2063" s="13" t="s">
        <v>261</v>
      </c>
      <c r="D2063" s="44" t="str">
        <f t="shared" si="25"/>
        <v>LFW</v>
      </c>
      <c r="E2063" s="13" t="s">
        <v>16</v>
      </c>
      <c r="F2063" s="13" t="s">
        <v>137</v>
      </c>
      <c r="G2063" s="11"/>
      <c r="H2063" s="11">
        <f>SUMIFS(X!$F$3:$F$5978,X!$D$3:$D$5978,'Current Stock'!A2063)</f>
        <v>1</v>
      </c>
      <c r="I2063" s="11">
        <f>SUMIFS(PENJUALAN!$E$4:$E$3651,PENJUALAN!$C$4:$C$3651,'Current Stock'!A2063)</f>
        <v>1</v>
      </c>
      <c r="J2063" s="15">
        <f t="shared" si="2"/>
        <v>0</v>
      </c>
      <c r="K2063" s="44"/>
      <c r="L2063" s="44"/>
      <c r="M2063" s="44"/>
      <c r="N2063" s="44"/>
      <c r="O2063" s="88"/>
      <c r="P2063" s="88"/>
    </row>
    <row r="2064" ht="15.0" customHeight="1">
      <c r="A2064" s="11" t="str">
        <f t="shared" si="4"/>
        <v>FDL-QUESTERASH</v>
      </c>
      <c r="B2064" s="13" t="s">
        <v>2315</v>
      </c>
      <c r="C2064" s="13" t="s">
        <v>2316</v>
      </c>
      <c r="D2064" s="44" t="str">
        <f t="shared" si="25"/>
        <v>FDL</v>
      </c>
      <c r="E2064" s="13" t="s">
        <v>93</v>
      </c>
      <c r="F2064" s="44"/>
      <c r="G2064" s="11"/>
      <c r="H2064" s="11">
        <f>SUMIFS(X!$F$3:$F$5978,X!$D$3:$D$5978,'Current Stock'!A2064)</f>
        <v>0</v>
      </c>
      <c r="I2064" s="11">
        <f>SUMIFS(PENJUALAN!$E$4:$E$3651,PENJUALAN!$C$4:$C$3651,'Current Stock'!A2064)</f>
        <v>0</v>
      </c>
      <c r="J2064" s="15">
        <f t="shared" si="2"/>
        <v>0</v>
      </c>
      <c r="K2064" s="13"/>
      <c r="L2064" s="44"/>
      <c r="M2064" s="44"/>
      <c r="N2064" s="44"/>
      <c r="O2064" s="88"/>
      <c r="P2064" s="88"/>
    </row>
    <row r="2065" ht="15.0" customHeight="1">
      <c r="A2065" s="11" t="str">
        <f t="shared" si="4"/>
        <v>TRW-AVANZA21ASH</v>
      </c>
      <c r="B2065" s="13" t="s">
        <v>2317</v>
      </c>
      <c r="C2065" s="13" t="s">
        <v>2214</v>
      </c>
      <c r="D2065" s="13" t="s">
        <v>62</v>
      </c>
      <c r="E2065" s="13" t="s">
        <v>93</v>
      </c>
      <c r="F2065" s="13" t="s">
        <v>109</v>
      </c>
      <c r="G2065" s="11"/>
      <c r="H2065" s="11">
        <f>SUMIFS(X!$F$3:$F$5978,X!$D$3:$D$5978,'Current Stock'!A2065)</f>
        <v>1</v>
      </c>
      <c r="I2065" s="11">
        <f>SUMIFS(PENJUALAN!$E$4:$E$3651,PENJUALAN!$C$4:$C$3651,'Current Stock'!A2065)</f>
        <v>1</v>
      </c>
      <c r="J2065" s="15">
        <f t="shared" si="2"/>
        <v>0</v>
      </c>
      <c r="K2065" s="13"/>
      <c r="L2065" s="13"/>
      <c r="M2065" s="44"/>
      <c r="N2065" s="44"/>
      <c r="O2065" s="88"/>
      <c r="P2065" s="88"/>
    </row>
    <row r="2066" ht="15.0" customHeight="1">
      <c r="A2066" s="11" t="str">
        <f t="shared" si="4"/>
        <v>TRW-ELFNKRASH</v>
      </c>
      <c r="B2066" s="13" t="s">
        <v>2318</v>
      </c>
      <c r="C2066" s="13" t="s">
        <v>2224</v>
      </c>
      <c r="D2066" s="13" t="s">
        <v>62</v>
      </c>
      <c r="E2066" s="13" t="s">
        <v>93</v>
      </c>
      <c r="F2066" s="44"/>
      <c r="G2066" s="11"/>
      <c r="H2066" s="11">
        <f>SUMIFS(X!$F$3:$F$5978,X!$D$3:$D$5978,'Current Stock'!A2066)</f>
        <v>0</v>
      </c>
      <c r="I2066" s="11">
        <f>SUMIFS(PENJUALAN!$E$4:$E$3651,PENJUALAN!$C$4:$C$3651,'Current Stock'!A2066)</f>
        <v>0</v>
      </c>
      <c r="J2066" s="15">
        <f t="shared" si="2"/>
        <v>0</v>
      </c>
      <c r="K2066" s="44"/>
      <c r="L2066" s="44"/>
      <c r="M2066" s="44"/>
      <c r="N2066" s="44"/>
      <c r="O2066" s="88"/>
      <c r="P2066" s="88"/>
    </row>
    <row r="2067" ht="15.0" customHeight="1">
      <c r="A2067" s="11" t="str">
        <f t="shared" si="4"/>
        <v>TRW-CAMRY11PIL</v>
      </c>
      <c r="B2067" s="13" t="s">
        <v>1119</v>
      </c>
      <c r="C2067" s="13" t="s">
        <v>2319</v>
      </c>
      <c r="D2067" s="13" t="s">
        <v>62</v>
      </c>
      <c r="E2067" s="13" t="s">
        <v>89</v>
      </c>
      <c r="F2067" s="13" t="s">
        <v>83</v>
      </c>
      <c r="G2067" s="14">
        <v>45988.0</v>
      </c>
      <c r="H2067" s="11">
        <f>SUMIFS(X!$F$3:$F$5978,X!$D$3:$D$5978,'Current Stock'!A2067)</f>
        <v>0</v>
      </c>
      <c r="I2067" s="11">
        <f>SUMIFS(PENJUALAN!$E$4:$E$3651,PENJUALAN!$C$4:$C$3651,'Current Stock'!A2067)</f>
        <v>0</v>
      </c>
      <c r="J2067" s="15">
        <f t="shared" si="2"/>
        <v>0</v>
      </c>
      <c r="K2067" s="13"/>
      <c r="L2067" s="13"/>
      <c r="M2067" s="44"/>
      <c r="N2067" s="44"/>
      <c r="O2067" s="88"/>
      <c r="P2067" s="88"/>
    </row>
    <row r="2068" ht="15.0" customHeight="1">
      <c r="A2068" s="11" t="str">
        <f t="shared" si="4"/>
        <v>LFW-NAVARA04PIL</v>
      </c>
      <c r="B2068" s="13" t="s">
        <v>926</v>
      </c>
      <c r="C2068" s="13" t="s">
        <v>927</v>
      </c>
      <c r="D2068" s="13" t="s">
        <v>60</v>
      </c>
      <c r="E2068" s="13" t="s">
        <v>89</v>
      </c>
      <c r="F2068" s="44"/>
      <c r="G2068" s="11"/>
      <c r="H2068" s="11">
        <f>SUMIFS(X!$F$3:$F$5978,X!$D$3:$D$5978,'Current Stock'!A2068)</f>
        <v>0</v>
      </c>
      <c r="I2068" s="11">
        <f>SUMIFS(PENJUALAN!$E$4:$E$3651,PENJUALAN!$C$4:$C$3651,'Current Stock'!A2068)</f>
        <v>0</v>
      </c>
      <c r="J2068" s="15">
        <f t="shared" si="2"/>
        <v>0</v>
      </c>
      <c r="K2068" s="13" t="s">
        <v>1468</v>
      </c>
      <c r="L2068" s="13"/>
      <c r="M2068" s="44"/>
      <c r="N2068" s="44"/>
      <c r="O2068" s="88"/>
      <c r="P2068" s="88"/>
    </row>
    <row r="2069" ht="15.0" customHeight="1">
      <c r="A2069" s="11" t="str">
        <f t="shared" si="4"/>
        <v>TRW-ERTIGA18ASH</v>
      </c>
      <c r="B2069" s="13" t="s">
        <v>1710</v>
      </c>
      <c r="C2069" s="13" t="s">
        <v>1709</v>
      </c>
      <c r="D2069" s="13" t="s">
        <v>62</v>
      </c>
      <c r="E2069" s="13" t="s">
        <v>93</v>
      </c>
      <c r="F2069" s="13" t="s">
        <v>109</v>
      </c>
      <c r="G2069" s="11"/>
      <c r="H2069" s="11">
        <f>SUMIFS(X!$F$3:$F$5978,X!$D$3:$D$5978,'Current Stock'!A2069)</f>
        <v>1</v>
      </c>
      <c r="I2069" s="11">
        <f>SUMIFS(PENJUALAN!$E$4:$E$3651,PENJUALAN!$C$4:$C$3651,'Current Stock'!A2069)</f>
        <v>1</v>
      </c>
      <c r="J2069" s="15">
        <f t="shared" si="2"/>
        <v>0</v>
      </c>
      <c r="K2069" s="13" t="s">
        <v>120</v>
      </c>
      <c r="L2069" s="13"/>
      <c r="M2069" s="44"/>
      <c r="N2069" s="44"/>
      <c r="O2069" s="88"/>
      <c r="P2069" s="88"/>
    </row>
    <row r="2070" ht="15.0" customHeight="1">
      <c r="A2070" s="23" t="str">
        <f t="shared" si="4"/>
        <v>RVL-SIGRA16ASH</v>
      </c>
      <c r="B2070" s="25" t="s">
        <v>2320</v>
      </c>
      <c r="C2070" s="25" t="s">
        <v>2321</v>
      </c>
      <c r="D2070" s="25" t="s">
        <v>2322</v>
      </c>
      <c r="E2070" s="25" t="s">
        <v>93</v>
      </c>
      <c r="F2070" s="87"/>
      <c r="G2070" s="23"/>
      <c r="H2070" s="11">
        <f>SUMIFS(X!$F$3:$F$5978,X!$D$3:$D$5978,'Current Stock'!A2070)</f>
        <v>2</v>
      </c>
      <c r="I2070" s="11">
        <f>SUMIFS(PENJUALAN!$E$4:$E$3651,PENJUALAN!$C$4:$C$3651,'Current Stock'!A2070)</f>
        <v>2</v>
      </c>
      <c r="J2070" s="15">
        <f t="shared" si="2"/>
        <v>0</v>
      </c>
      <c r="K2070" s="25" t="s">
        <v>1468</v>
      </c>
      <c r="L2070" s="25"/>
      <c r="M2070" s="87"/>
      <c r="N2070" s="87"/>
      <c r="O2070" s="91"/>
      <c r="P2070" s="91"/>
    </row>
    <row r="2071" ht="15.0" customHeight="1">
      <c r="A2071" s="23" t="str">
        <f t="shared" si="4"/>
        <v>RVR-SIGRA16ASH</v>
      </c>
      <c r="B2071" s="25" t="s">
        <v>2323</v>
      </c>
      <c r="C2071" s="25" t="s">
        <v>2321</v>
      </c>
      <c r="D2071" s="25" t="s">
        <v>2254</v>
      </c>
      <c r="E2071" s="25" t="s">
        <v>93</v>
      </c>
      <c r="F2071" s="87"/>
      <c r="G2071" s="23"/>
      <c r="H2071" s="11">
        <f>SUMIFS(X!$F$3:$F$5978,X!$D$3:$D$5978,'Current Stock'!A2071)</f>
        <v>0</v>
      </c>
      <c r="I2071" s="11">
        <f>SUMIFS(PENJUALAN!$E$4:$E$3651,PENJUALAN!$C$4:$C$3651,'Current Stock'!A2071)</f>
        <v>0</v>
      </c>
      <c r="J2071" s="15">
        <f t="shared" si="2"/>
        <v>0</v>
      </c>
      <c r="K2071" s="25"/>
      <c r="L2071" s="25"/>
      <c r="M2071" s="87"/>
      <c r="N2071" s="87"/>
      <c r="O2071" s="91"/>
      <c r="P2071" s="91"/>
    </row>
    <row r="2072" ht="15.0" customHeight="1">
      <c r="A2072" s="23" t="str">
        <f t="shared" si="4"/>
        <v>TRW-DYNAASH</v>
      </c>
      <c r="B2072" s="25" t="s">
        <v>2324</v>
      </c>
      <c r="C2072" s="25" t="s">
        <v>1888</v>
      </c>
      <c r="D2072" s="25" t="s">
        <v>62</v>
      </c>
      <c r="E2072" s="25" t="s">
        <v>93</v>
      </c>
      <c r="F2072" s="87"/>
      <c r="G2072" s="23"/>
      <c r="H2072" s="11">
        <f>SUMIFS(X!$F$3:$F$5978,X!$D$3:$D$5978,'Current Stock'!A2072)</f>
        <v>0</v>
      </c>
      <c r="I2072" s="11">
        <f>SUMIFS(PENJUALAN!$E$4:$E$3651,PENJUALAN!$C$4:$C$3651,'Current Stock'!A2072)</f>
        <v>0</v>
      </c>
      <c r="J2072" s="15">
        <f t="shared" si="2"/>
        <v>0</v>
      </c>
      <c r="K2072" s="25"/>
      <c r="L2072" s="25"/>
      <c r="M2072" s="87"/>
      <c r="N2072" s="87"/>
      <c r="O2072" s="91"/>
      <c r="P2072" s="91"/>
    </row>
    <row r="2073" ht="15.0" customHeight="1">
      <c r="A2073" s="23" t="str">
        <f t="shared" si="4"/>
        <v>LFW-AVANZA21RSASH</v>
      </c>
      <c r="B2073" s="25" t="s">
        <v>2325</v>
      </c>
      <c r="C2073" s="25" t="s">
        <v>2326</v>
      </c>
      <c r="D2073" s="25" t="s">
        <v>60</v>
      </c>
      <c r="E2073" s="25" t="s">
        <v>93</v>
      </c>
      <c r="F2073" s="25" t="s">
        <v>196</v>
      </c>
      <c r="G2073" s="28"/>
      <c r="H2073" s="11">
        <f>SUMIFS(X!$F$3:$F$5978,X!$D$3:$D$5978,'Current Stock'!A2073)</f>
        <v>3</v>
      </c>
      <c r="I2073" s="11">
        <f>SUMIFS(PENJUALAN!$E$4:$E$3651,PENJUALAN!$C$4:$C$3651,'Current Stock'!A2073)</f>
        <v>2</v>
      </c>
      <c r="J2073" s="15">
        <f t="shared" si="2"/>
        <v>1</v>
      </c>
      <c r="K2073" s="25"/>
      <c r="L2073" s="25"/>
      <c r="M2073" s="87"/>
      <c r="N2073" s="87"/>
      <c r="O2073" s="91"/>
      <c r="P2073" s="91"/>
    </row>
    <row r="2074" ht="15.0" customHeight="1">
      <c r="A2074" s="11" t="str">
        <f t="shared" si="4"/>
        <v>RDL-PAJERO16AGC</v>
      </c>
      <c r="B2074" s="13" t="s">
        <v>2327</v>
      </c>
      <c r="C2074" s="13" t="s">
        <v>886</v>
      </c>
      <c r="D2074" s="13" t="s">
        <v>92</v>
      </c>
      <c r="E2074" s="13" t="s">
        <v>101</v>
      </c>
      <c r="F2074" s="44"/>
      <c r="G2074" s="14">
        <v>45988.0</v>
      </c>
      <c r="H2074" s="11">
        <f>SUMIFS(X!$F$3:$F$5978,X!$D$3:$D$5978,'Current Stock'!A2074)</f>
        <v>0</v>
      </c>
      <c r="I2074" s="11">
        <f>SUMIFS(PENJUALAN!$E$4:$E$3651,PENJUALAN!$C$4:$C$3651,'Current Stock'!A2074)</f>
        <v>0</v>
      </c>
      <c r="J2074" s="15">
        <f t="shared" si="2"/>
        <v>0</v>
      </c>
      <c r="K2074" s="13" t="s">
        <v>1695</v>
      </c>
      <c r="L2074" s="13"/>
      <c r="M2074" s="44"/>
      <c r="N2074" s="44"/>
      <c r="O2074" s="88"/>
      <c r="P2074" s="88"/>
    </row>
    <row r="2075" ht="15.0" customHeight="1">
      <c r="A2075" s="11" t="str">
        <f t="shared" si="4"/>
        <v>RDR-PAJERO16AGC</v>
      </c>
      <c r="B2075" s="13" t="s">
        <v>1624</v>
      </c>
      <c r="C2075" s="13" t="s">
        <v>886</v>
      </c>
      <c r="D2075" s="13" t="s">
        <v>86</v>
      </c>
      <c r="E2075" s="13" t="s">
        <v>101</v>
      </c>
      <c r="F2075" s="44"/>
      <c r="G2075" s="14">
        <v>45988.0</v>
      </c>
      <c r="H2075" s="11">
        <f>SUMIFS(X!$F$3:$F$5978,X!$D$3:$D$5978,'Current Stock'!A2075)</f>
        <v>0</v>
      </c>
      <c r="I2075" s="11">
        <f>SUMIFS(PENJUALAN!$E$4:$E$3651,PENJUALAN!$C$4:$C$3651,'Current Stock'!A2075)</f>
        <v>0</v>
      </c>
      <c r="J2075" s="15">
        <f t="shared" si="2"/>
        <v>0</v>
      </c>
      <c r="K2075" s="13" t="s">
        <v>1690</v>
      </c>
      <c r="L2075" s="13"/>
      <c r="M2075" s="44"/>
      <c r="N2075" s="44"/>
      <c r="O2075" s="88"/>
      <c r="P2075" s="88"/>
    </row>
    <row r="2076" ht="15.0" customHeight="1">
      <c r="A2076" s="11" t="str">
        <f t="shared" si="4"/>
        <v>FDL-PAJERO16AGC</v>
      </c>
      <c r="B2076" s="13" t="s">
        <v>1348</v>
      </c>
      <c r="C2076" s="13" t="s">
        <v>886</v>
      </c>
      <c r="D2076" s="13" t="s">
        <v>104</v>
      </c>
      <c r="E2076" s="13" t="s">
        <v>101</v>
      </c>
      <c r="F2076" s="44"/>
      <c r="G2076" s="14">
        <v>45988.0</v>
      </c>
      <c r="H2076" s="11">
        <f>SUMIFS(X!$F$3:$F$5978,X!$D$3:$D$5978,'Current Stock'!A2076)</f>
        <v>0</v>
      </c>
      <c r="I2076" s="11">
        <f>SUMIFS(PENJUALAN!$E$4:$E$3651,PENJUALAN!$C$4:$C$3651,'Current Stock'!A2076)</f>
        <v>0</v>
      </c>
      <c r="J2076" s="15">
        <f t="shared" si="2"/>
        <v>0</v>
      </c>
      <c r="K2076" s="13" t="s">
        <v>1690</v>
      </c>
      <c r="L2076" s="13"/>
      <c r="M2076" s="44"/>
      <c r="N2076" s="44"/>
      <c r="O2076" s="88"/>
      <c r="P2076" s="88"/>
    </row>
    <row r="2077" ht="15.0" customHeight="1">
      <c r="A2077" s="11" t="str">
        <f t="shared" si="4"/>
        <v>FDR-PAJERO16AGC</v>
      </c>
      <c r="B2077" s="13" t="s">
        <v>2328</v>
      </c>
      <c r="C2077" s="13" t="s">
        <v>886</v>
      </c>
      <c r="D2077" s="13" t="s">
        <v>106</v>
      </c>
      <c r="E2077" s="13" t="s">
        <v>101</v>
      </c>
      <c r="F2077" s="44"/>
      <c r="G2077" s="11"/>
      <c r="H2077" s="11">
        <f>SUMIFS(X!$F$3:$F$5978,X!$D$3:$D$5978,'Current Stock'!A2077)</f>
        <v>0</v>
      </c>
      <c r="I2077" s="11">
        <f>SUMIFS(PENJUALAN!$E$4:$E$3651,PENJUALAN!$C$4:$C$3651,'Current Stock'!A2077)</f>
        <v>0</v>
      </c>
      <c r="J2077" s="15">
        <f t="shared" si="2"/>
        <v>0</v>
      </c>
      <c r="K2077" s="13"/>
      <c r="L2077" s="13"/>
      <c r="M2077" s="44"/>
      <c r="N2077" s="44"/>
      <c r="O2077" s="88"/>
      <c r="P2077" s="88"/>
    </row>
    <row r="2078" ht="15.0" customHeight="1">
      <c r="A2078" s="23" t="str">
        <f t="shared" si="4"/>
        <v>SWR-PAJERO16AGC</v>
      </c>
      <c r="B2078" s="25" t="s">
        <v>2329</v>
      </c>
      <c r="C2078" s="25" t="s">
        <v>2308</v>
      </c>
      <c r="D2078" s="25" t="s">
        <v>116</v>
      </c>
      <c r="E2078" s="25" t="s">
        <v>101</v>
      </c>
      <c r="F2078" s="25" t="s">
        <v>2128</v>
      </c>
      <c r="G2078" s="98">
        <v>46009.0</v>
      </c>
      <c r="H2078" s="11">
        <f>SUMIFS(X!$F$3:$F$5978,X!$D$3:$D$5978,'Current Stock'!A2078)</f>
        <v>1</v>
      </c>
      <c r="I2078" s="11">
        <f>SUMIFS(PENJUALAN!$E$4:$E$3651,PENJUALAN!$C$4:$C$3651,'Current Stock'!A2078)</f>
        <v>0</v>
      </c>
      <c r="J2078" s="15">
        <f t="shared" si="2"/>
        <v>1</v>
      </c>
      <c r="K2078" s="25" t="s">
        <v>1468</v>
      </c>
      <c r="L2078" s="25"/>
      <c r="M2078" s="87"/>
      <c r="N2078" s="87"/>
      <c r="O2078" s="91"/>
      <c r="P2078" s="91"/>
    </row>
    <row r="2079" ht="15.0" customHeight="1">
      <c r="A2079" s="23" t="str">
        <f t="shared" si="4"/>
        <v>SWL-PAJERO16AGC</v>
      </c>
      <c r="B2079" s="25" t="s">
        <v>2330</v>
      </c>
      <c r="C2079" s="25" t="s">
        <v>2308</v>
      </c>
      <c r="D2079" s="25" t="s">
        <v>1410</v>
      </c>
      <c r="E2079" s="25" t="s">
        <v>101</v>
      </c>
      <c r="F2079" s="25" t="s">
        <v>2128</v>
      </c>
      <c r="G2079" s="98">
        <v>46009.0</v>
      </c>
      <c r="H2079" s="11">
        <f>SUMIFS(X!$F$3:$F$5978,X!$D$3:$D$5978,'Current Stock'!A2079)</f>
        <v>1</v>
      </c>
      <c r="I2079" s="11">
        <f>SUMIFS(PENJUALAN!$E$4:$E$3651,PENJUALAN!$C$4:$C$3651,'Current Stock'!A2079)</f>
        <v>0</v>
      </c>
      <c r="J2079" s="15">
        <f t="shared" si="2"/>
        <v>1</v>
      </c>
      <c r="K2079" s="25" t="s">
        <v>1468</v>
      </c>
      <c r="L2079" s="25"/>
      <c r="M2079" s="87"/>
      <c r="N2079" s="87"/>
      <c r="O2079" s="91"/>
      <c r="P2079" s="91"/>
    </row>
    <row r="2080" ht="15.0" customHeight="1">
      <c r="A2080" s="11" t="str">
        <f t="shared" si="4"/>
        <v>LFW-XPANDERAGC</v>
      </c>
      <c r="B2080" s="13" t="s">
        <v>1631</v>
      </c>
      <c r="C2080" s="13" t="s">
        <v>2331</v>
      </c>
      <c r="D2080" s="13" t="s">
        <v>60</v>
      </c>
      <c r="E2080" s="13" t="s">
        <v>101</v>
      </c>
      <c r="F2080" s="13" t="s">
        <v>745</v>
      </c>
      <c r="G2080" s="11"/>
      <c r="H2080" s="11">
        <f>SUMIFS(X!$F$3:$F$5978,X!$D$3:$D$5978,'Current Stock'!A2080)</f>
        <v>2</v>
      </c>
      <c r="I2080" s="11">
        <f>SUMIFS(PENJUALAN!$E$4:$E$3651,PENJUALAN!$C$4:$C$3651,'Current Stock'!A2080)</f>
        <v>2</v>
      </c>
      <c r="J2080" s="15">
        <f t="shared" si="2"/>
        <v>0</v>
      </c>
      <c r="K2080" s="13" t="s">
        <v>1468</v>
      </c>
      <c r="L2080" s="44"/>
      <c r="M2080" s="44"/>
      <c r="N2080" s="44"/>
      <c r="O2080" s="91"/>
      <c r="P2080" s="91"/>
    </row>
    <row r="2081" ht="15.0" customHeight="1">
      <c r="A2081" s="11" t="str">
        <f t="shared" si="4"/>
        <v>TRW-XPANDERAGC</v>
      </c>
      <c r="B2081" s="13" t="s">
        <v>2332</v>
      </c>
      <c r="C2081" s="96" t="s">
        <v>2333</v>
      </c>
      <c r="D2081" s="13" t="s">
        <v>62</v>
      </c>
      <c r="E2081" s="13" t="s">
        <v>101</v>
      </c>
      <c r="F2081" s="13" t="s">
        <v>2334</v>
      </c>
      <c r="G2081" s="34">
        <v>45988.0</v>
      </c>
      <c r="H2081" s="11">
        <f>SUMIFS(X!$F$3:$F$5978,X!$D$3:$D$5978,'Current Stock'!A2081)</f>
        <v>7</v>
      </c>
      <c r="I2081" s="11">
        <f>SUMIFS(PENJUALAN!$E$4:$E$3651,PENJUALAN!$C$4:$C$3651,'Current Stock'!A2081)</f>
        <v>7</v>
      </c>
      <c r="J2081" s="15">
        <f t="shared" si="2"/>
        <v>0</v>
      </c>
      <c r="K2081" s="13"/>
      <c r="L2081" s="13"/>
      <c r="M2081" s="44"/>
      <c r="N2081" s="13" t="s">
        <v>2335</v>
      </c>
      <c r="O2081" s="45"/>
      <c r="P2081" s="45"/>
    </row>
    <row r="2082" ht="15.0" customHeight="1">
      <c r="A2082" s="11" t="str">
        <f t="shared" si="4"/>
        <v>TRW-XPANDERHAGC</v>
      </c>
      <c r="B2082" s="13" t="s">
        <v>1963</v>
      </c>
      <c r="C2082" s="93" t="s">
        <v>2336</v>
      </c>
      <c r="D2082" s="13" t="s">
        <v>62</v>
      </c>
      <c r="E2082" s="13" t="s">
        <v>101</v>
      </c>
      <c r="F2082" s="13" t="s">
        <v>2337</v>
      </c>
      <c r="G2082" s="34"/>
      <c r="H2082" s="11">
        <f>SUMIFS(X!$F$3:$F$5978,X!$D$3:$D$5978,'Current Stock'!A2082)</f>
        <v>6</v>
      </c>
      <c r="I2082" s="11">
        <f>SUMIFS(PENJUALAN!$E$4:$E$3651,PENJUALAN!$C$4:$C$3651,'Current Stock'!A2082)</f>
        <v>4</v>
      </c>
      <c r="J2082" s="15">
        <f t="shared" si="2"/>
        <v>2</v>
      </c>
      <c r="K2082" s="13"/>
      <c r="L2082" s="13"/>
      <c r="M2082" s="44"/>
      <c r="N2082" s="13" t="s">
        <v>2335</v>
      </c>
      <c r="O2082" s="45"/>
      <c r="P2082" s="45"/>
    </row>
    <row r="2083" ht="15.0" customHeight="1">
      <c r="A2083" s="11" t="str">
        <f t="shared" si="4"/>
        <v>TRW-XPANDER22HAGC</v>
      </c>
      <c r="B2083" s="13" t="s">
        <v>1965</v>
      </c>
      <c r="C2083" s="96" t="s">
        <v>2338</v>
      </c>
      <c r="D2083" s="13" t="s">
        <v>62</v>
      </c>
      <c r="E2083" s="13" t="s">
        <v>101</v>
      </c>
      <c r="F2083" s="13" t="s">
        <v>83</v>
      </c>
      <c r="G2083" s="34">
        <v>45988.0</v>
      </c>
      <c r="H2083" s="11">
        <f>SUMIFS(X!$F$3:$F$5978,X!$D$3:$D$5978,'Current Stock'!A2083)</f>
        <v>7</v>
      </c>
      <c r="I2083" s="11">
        <f>SUMIFS(PENJUALAN!$E$4:$E$3651,PENJUALAN!$C$4:$C$3651,'Current Stock'!A2083)</f>
        <v>5</v>
      </c>
      <c r="J2083" s="15">
        <f t="shared" si="2"/>
        <v>2</v>
      </c>
      <c r="K2083" s="13" t="s">
        <v>1647</v>
      </c>
      <c r="L2083" s="13"/>
      <c r="M2083" s="44"/>
      <c r="N2083" s="13"/>
      <c r="O2083" s="45"/>
      <c r="P2083" s="45"/>
    </row>
    <row r="2084" ht="15.0" customHeight="1">
      <c r="A2084" s="11" t="str">
        <f t="shared" si="4"/>
        <v>RDR-XPANDERAGC</v>
      </c>
      <c r="B2084" s="13" t="s">
        <v>2183</v>
      </c>
      <c r="C2084" s="96" t="s">
        <v>2333</v>
      </c>
      <c r="D2084" s="13" t="s">
        <v>86</v>
      </c>
      <c r="E2084" s="13" t="s">
        <v>101</v>
      </c>
      <c r="F2084" s="44"/>
      <c r="G2084" s="11"/>
      <c r="H2084" s="11">
        <f>SUMIFS(X!$F$3:$F$5978,X!$D$3:$D$5978,'Current Stock'!A2084)</f>
        <v>0</v>
      </c>
      <c r="I2084" s="11">
        <f>SUMIFS(PENJUALAN!$E$4:$E$3651,PENJUALAN!$C$4:$C$3651,'Current Stock'!A2084)</f>
        <v>0</v>
      </c>
      <c r="J2084" s="15">
        <f t="shared" si="2"/>
        <v>0</v>
      </c>
      <c r="K2084" s="13"/>
      <c r="L2084" s="13"/>
      <c r="M2084" s="44"/>
      <c r="N2084" s="44"/>
      <c r="O2084" s="88"/>
      <c r="P2084" s="88"/>
    </row>
    <row r="2085" ht="15.0" customHeight="1">
      <c r="A2085" s="23" t="str">
        <f t="shared" si="4"/>
        <v>TRW-GRANMAXPUASH</v>
      </c>
      <c r="B2085" s="25" t="s">
        <v>2339</v>
      </c>
      <c r="C2085" s="25" t="s">
        <v>2340</v>
      </c>
      <c r="D2085" s="25" t="s">
        <v>62</v>
      </c>
      <c r="E2085" s="25" t="s">
        <v>93</v>
      </c>
      <c r="F2085" s="87"/>
      <c r="G2085" s="23"/>
      <c r="H2085" s="11">
        <f>SUMIFS(X!$F$3:$F$5978,X!$D$3:$D$5978,'Current Stock'!A2085)</f>
        <v>0</v>
      </c>
      <c r="I2085" s="11">
        <f>SUMIFS(PENJUALAN!$E$4:$E$3651,PENJUALAN!$C$4:$C$3651,'Current Stock'!A2085)</f>
        <v>0</v>
      </c>
      <c r="J2085" s="15">
        <f t="shared" si="2"/>
        <v>0</v>
      </c>
      <c r="K2085" s="25" t="s">
        <v>1695</v>
      </c>
      <c r="L2085" s="25"/>
      <c r="M2085" s="87"/>
      <c r="N2085" s="87"/>
      <c r="O2085" s="91"/>
      <c r="P2085" s="91"/>
    </row>
    <row r="2086" ht="15.0" customHeight="1">
      <c r="A2086" s="11" t="str">
        <f t="shared" si="4"/>
        <v>LFW-PALISADE23RSXYG</v>
      </c>
      <c r="B2086" s="13" t="s">
        <v>2341</v>
      </c>
      <c r="C2086" s="13" t="s">
        <v>2342</v>
      </c>
      <c r="D2086" s="13" t="s">
        <v>60</v>
      </c>
      <c r="E2086" s="13" t="s">
        <v>16</v>
      </c>
      <c r="F2086" s="13" t="s">
        <v>90</v>
      </c>
      <c r="G2086" s="11"/>
      <c r="H2086" s="11">
        <f>SUMIFS(X!$F$3:$F$5978,X!$D$3:$D$5978,'Current Stock'!A2086)</f>
        <v>9</v>
      </c>
      <c r="I2086" s="11">
        <f>SUMIFS(PENJUALAN!$E$4:$E$3651,PENJUALAN!$C$4:$C$3651,'Current Stock'!A2086)</f>
        <v>1</v>
      </c>
      <c r="J2086" s="15">
        <f t="shared" si="2"/>
        <v>8</v>
      </c>
      <c r="K2086" s="13"/>
      <c r="L2086" s="44"/>
      <c r="M2086" s="44"/>
      <c r="N2086" s="44"/>
      <c r="O2086" s="88"/>
      <c r="P2086" s="88"/>
    </row>
    <row r="2087" ht="15.0" customHeight="1">
      <c r="A2087" s="11" t="str">
        <f t="shared" si="4"/>
        <v>LFW-PALISADE23XYG</v>
      </c>
      <c r="B2087" s="13" t="s">
        <v>2343</v>
      </c>
      <c r="C2087" s="13" t="s">
        <v>2344</v>
      </c>
      <c r="D2087" s="13" t="s">
        <v>60</v>
      </c>
      <c r="E2087" s="13" t="s">
        <v>16</v>
      </c>
      <c r="F2087" s="13" t="s">
        <v>137</v>
      </c>
      <c r="G2087" s="11"/>
      <c r="H2087" s="11">
        <f>SUMIFS(X!$F$3:$F$5978,X!$D$3:$D$5978,'Current Stock'!A2087)</f>
        <v>7</v>
      </c>
      <c r="I2087" s="11">
        <f>SUMIFS(PENJUALAN!$E$4:$E$3651,PENJUALAN!$C$4:$C$3651,'Current Stock'!A2087)</f>
        <v>0</v>
      </c>
      <c r="J2087" s="15">
        <f t="shared" si="2"/>
        <v>7</v>
      </c>
      <c r="K2087" s="13"/>
      <c r="L2087" s="44"/>
      <c r="M2087" s="44"/>
      <c r="N2087" s="44"/>
      <c r="O2087" s="88"/>
      <c r="P2087" s="88"/>
    </row>
    <row r="2088" ht="15.0" customHeight="1">
      <c r="A2088" s="11" t="str">
        <f t="shared" si="4"/>
        <v>LFW-CORTEZASH</v>
      </c>
      <c r="B2088" s="13" t="s">
        <v>2345</v>
      </c>
      <c r="C2088" s="13" t="s">
        <v>1869</v>
      </c>
      <c r="D2088" s="13" t="s">
        <v>60</v>
      </c>
      <c r="E2088" s="13" t="s">
        <v>93</v>
      </c>
      <c r="F2088" s="13" t="s">
        <v>137</v>
      </c>
      <c r="G2088" s="14"/>
      <c r="H2088" s="11">
        <f>SUMIFS(X!$F$3:$F$5978,X!$D$3:$D$5978,'Current Stock'!A2088)</f>
        <v>2</v>
      </c>
      <c r="I2088" s="11">
        <f>SUMIFS(PENJUALAN!$E$4:$E$3651,PENJUALAN!$C$4:$C$3651,'Current Stock'!A2088)</f>
        <v>1</v>
      </c>
      <c r="J2088" s="15">
        <f t="shared" si="2"/>
        <v>1</v>
      </c>
      <c r="K2088" s="13"/>
      <c r="L2088" s="13"/>
      <c r="M2088" s="44"/>
      <c r="N2088" s="44"/>
      <c r="O2088" s="45"/>
      <c r="P2088" s="45"/>
    </row>
    <row r="2089" ht="15.0" customHeight="1">
      <c r="A2089" s="11" t="str">
        <f t="shared" si="4"/>
        <v>LFW-CORTEZXYG</v>
      </c>
      <c r="B2089" s="13" t="s">
        <v>2345</v>
      </c>
      <c r="C2089" s="13" t="s">
        <v>1869</v>
      </c>
      <c r="D2089" s="13" t="s">
        <v>60</v>
      </c>
      <c r="E2089" s="13" t="s">
        <v>16</v>
      </c>
      <c r="F2089" s="13" t="s">
        <v>137</v>
      </c>
      <c r="G2089" s="14"/>
      <c r="H2089" s="11">
        <f>SUMIFS(X!$F$3:$F$5978,X!$D$3:$D$5978,'Current Stock'!A2089)</f>
        <v>5</v>
      </c>
      <c r="I2089" s="11">
        <f>SUMIFS(PENJUALAN!$E$4:$E$3651,PENJUALAN!$C$4:$C$3651,'Current Stock'!A2089)</f>
        <v>4</v>
      </c>
      <c r="J2089" s="15">
        <f t="shared" si="2"/>
        <v>1</v>
      </c>
      <c r="K2089" s="13"/>
      <c r="L2089" s="13"/>
      <c r="M2089" s="44"/>
      <c r="N2089" s="44"/>
      <c r="O2089" s="45"/>
      <c r="P2089" s="45"/>
    </row>
    <row r="2090" ht="15.0" customHeight="1">
      <c r="A2090" s="23" t="str">
        <f t="shared" si="4"/>
        <v>RDR-SIGRA16ASH</v>
      </c>
      <c r="B2090" s="25" t="s">
        <v>2346</v>
      </c>
      <c r="C2090" s="80" t="s">
        <v>2016</v>
      </c>
      <c r="D2090" s="25" t="s">
        <v>86</v>
      </c>
      <c r="E2090" s="25" t="s">
        <v>93</v>
      </c>
      <c r="F2090" s="87"/>
      <c r="G2090" s="23"/>
      <c r="H2090" s="11">
        <f>SUMIFS(X!$F$3:$F$5978,X!$D$3:$D$5978,'Current Stock'!A2090)</f>
        <v>0</v>
      </c>
      <c r="I2090" s="11">
        <f>SUMIFS(PENJUALAN!$E$4:$E$3651,PENJUALAN!$C$4:$C$3651,'Current Stock'!A2090)</f>
        <v>0</v>
      </c>
      <c r="J2090" s="15">
        <f t="shared" si="2"/>
        <v>0</v>
      </c>
      <c r="K2090" s="25"/>
      <c r="L2090" s="25"/>
      <c r="M2090" s="87"/>
      <c r="N2090" s="87"/>
      <c r="O2090" s="91"/>
      <c r="P2090" s="91"/>
    </row>
    <row r="2091" ht="15.0" customHeight="1">
      <c r="A2091" s="11" t="str">
        <f t="shared" si="4"/>
        <v>TRW-AVANZA11HAGC</v>
      </c>
      <c r="B2091" s="13" t="s">
        <v>1101</v>
      </c>
      <c r="C2091" s="13" t="s">
        <v>2347</v>
      </c>
      <c r="D2091" s="13" t="s">
        <v>62</v>
      </c>
      <c r="E2091" s="13" t="s">
        <v>101</v>
      </c>
      <c r="F2091" s="13" t="s">
        <v>83</v>
      </c>
      <c r="G2091" s="34">
        <v>45988.0</v>
      </c>
      <c r="H2091" s="11">
        <f>SUMIFS(X!$F$3:$F$5978,X!$D$3:$D$5978,'Current Stock'!A2091)</f>
        <v>1</v>
      </c>
      <c r="I2091" s="11">
        <f>SUMIFS(PENJUALAN!$E$4:$E$3651,PENJUALAN!$C$4:$C$3651,'Current Stock'!A2091)</f>
        <v>1</v>
      </c>
      <c r="J2091" s="15">
        <f t="shared" si="2"/>
        <v>0</v>
      </c>
      <c r="K2091" s="13"/>
      <c r="L2091" s="44"/>
      <c r="M2091" s="44"/>
      <c r="N2091" s="44"/>
      <c r="O2091" s="91"/>
      <c r="P2091" s="91"/>
    </row>
    <row r="2092" ht="15.0" customHeight="1">
      <c r="A2092" s="11" t="str">
        <f t="shared" si="4"/>
        <v>FDR-LOUHANASH</v>
      </c>
      <c r="B2092" s="13" t="s">
        <v>2041</v>
      </c>
      <c r="C2092" s="13" t="s">
        <v>2348</v>
      </c>
      <c r="D2092" s="13" t="s">
        <v>106</v>
      </c>
      <c r="E2092" s="13" t="s">
        <v>93</v>
      </c>
      <c r="F2092" s="44"/>
      <c r="G2092" s="11"/>
      <c r="H2092" s="11">
        <f>SUMIFS(X!$F$3:$F$5978,X!$D$3:$D$5978,'Current Stock'!A2092)</f>
        <v>0</v>
      </c>
      <c r="I2092" s="11">
        <f>SUMIFS(PENJUALAN!$E$4:$E$3651,PENJUALAN!$C$4:$C$3651,'Current Stock'!A2092)</f>
        <v>0</v>
      </c>
      <c r="J2092" s="15">
        <f t="shared" si="2"/>
        <v>0</v>
      </c>
      <c r="K2092" s="13" t="s">
        <v>113</v>
      </c>
      <c r="L2092" s="44"/>
      <c r="M2092" s="44"/>
      <c r="N2092" s="44"/>
      <c r="O2092" s="88"/>
      <c r="P2092" s="88"/>
    </row>
    <row r="2093" ht="15.0" customHeight="1">
      <c r="A2093" s="11" t="str">
        <f t="shared" si="4"/>
        <v>TRW-HIACE19BNGXYG</v>
      </c>
      <c r="B2093" s="13" t="s">
        <v>2349</v>
      </c>
      <c r="C2093" s="13" t="s">
        <v>2350</v>
      </c>
      <c r="D2093" s="13" t="s">
        <v>62</v>
      </c>
      <c r="E2093" s="13" t="s">
        <v>16</v>
      </c>
      <c r="F2093" s="13" t="s">
        <v>1437</v>
      </c>
      <c r="G2093" s="11"/>
      <c r="H2093" s="11">
        <f>SUMIFS(X!$F$3:$F$5978,X!$D$3:$D$5978,'Current Stock'!A2093)</f>
        <v>0</v>
      </c>
      <c r="I2093" s="11">
        <f>SUMIFS(PENJUALAN!$E$4:$E$3651,PENJUALAN!$C$4:$C$3651,'Current Stock'!A2093)</f>
        <v>0</v>
      </c>
      <c r="J2093" s="15">
        <f t="shared" si="2"/>
        <v>0</v>
      </c>
      <c r="K2093" s="13"/>
      <c r="L2093" s="13"/>
      <c r="M2093" s="44"/>
      <c r="N2093" s="44"/>
      <c r="O2093" s="88"/>
      <c r="P2093" s="88"/>
    </row>
    <row r="2094" ht="15.0" customHeight="1">
      <c r="A2094" s="23" t="str">
        <f t="shared" si="4"/>
        <v>FDL-ERTIGA12ASH</v>
      </c>
      <c r="B2094" s="25" t="s">
        <v>2351</v>
      </c>
      <c r="C2094" s="25" t="s">
        <v>1026</v>
      </c>
      <c r="D2094" s="25" t="s">
        <v>104</v>
      </c>
      <c r="E2094" s="25" t="s">
        <v>93</v>
      </c>
      <c r="F2094" s="87"/>
      <c r="G2094" s="23"/>
      <c r="H2094" s="11">
        <f>SUMIFS(X!$F$3:$F$5978,X!$D$3:$D$5978,'Current Stock'!A2094)</f>
        <v>0</v>
      </c>
      <c r="I2094" s="11">
        <f>SUMIFS(PENJUALAN!$E$4:$E$3651,PENJUALAN!$C$4:$C$3651,'Current Stock'!A2094)</f>
        <v>0</v>
      </c>
      <c r="J2094" s="15">
        <f t="shared" si="2"/>
        <v>0</v>
      </c>
      <c r="K2094" s="25"/>
      <c r="L2094" s="25"/>
      <c r="M2094" s="87"/>
      <c r="N2094" s="87"/>
      <c r="O2094" s="91"/>
      <c r="P2094" s="91"/>
    </row>
    <row r="2095" ht="15.0" customHeight="1">
      <c r="A2095" s="11" t="str">
        <f t="shared" si="4"/>
        <v>FDR-ERTIGA12ASH</v>
      </c>
      <c r="B2095" s="13" t="s">
        <v>2352</v>
      </c>
      <c r="C2095" s="13" t="s">
        <v>1026</v>
      </c>
      <c r="D2095" s="13" t="s">
        <v>106</v>
      </c>
      <c r="E2095" s="13" t="s">
        <v>93</v>
      </c>
      <c r="F2095" s="44"/>
      <c r="G2095" s="11"/>
      <c r="H2095" s="11">
        <f>SUMIFS(X!$F$3:$F$5978,X!$D$3:$D$5978,'Current Stock'!A2095)</f>
        <v>0</v>
      </c>
      <c r="I2095" s="11">
        <f>SUMIFS(PENJUALAN!$E$4:$E$3651,PENJUALAN!$C$4:$C$3651,'Current Stock'!A2095)</f>
        <v>0</v>
      </c>
      <c r="J2095" s="15">
        <f t="shared" si="2"/>
        <v>0</v>
      </c>
      <c r="K2095" s="13"/>
      <c r="L2095" s="44"/>
      <c r="M2095" s="44"/>
      <c r="N2095" s="44"/>
      <c r="O2095" s="88"/>
      <c r="P2095" s="88"/>
    </row>
    <row r="2096" ht="15.0" customHeight="1">
      <c r="A2096" s="11" t="str">
        <f t="shared" si="4"/>
        <v>RDL-ERTIGA12ASH</v>
      </c>
      <c r="B2096" s="13" t="s">
        <v>2353</v>
      </c>
      <c r="C2096" s="13" t="s">
        <v>1026</v>
      </c>
      <c r="D2096" s="13" t="s">
        <v>92</v>
      </c>
      <c r="E2096" s="13" t="s">
        <v>93</v>
      </c>
      <c r="F2096" s="44"/>
      <c r="G2096" s="11"/>
      <c r="H2096" s="11">
        <f>SUMIFS(X!$F$3:$F$5978,X!$D$3:$D$5978,'Current Stock'!A2096)</f>
        <v>0</v>
      </c>
      <c r="I2096" s="11">
        <f>SUMIFS(PENJUALAN!$E$4:$E$3651,PENJUALAN!$C$4:$C$3651,'Current Stock'!A2096)</f>
        <v>0</v>
      </c>
      <c r="J2096" s="15">
        <f t="shared" si="2"/>
        <v>0</v>
      </c>
      <c r="K2096" s="44"/>
      <c r="L2096" s="44"/>
      <c r="M2096" s="44"/>
      <c r="N2096" s="44"/>
      <c r="O2096" s="88"/>
      <c r="P2096" s="88"/>
    </row>
    <row r="2097" ht="15.0" customHeight="1">
      <c r="A2097" s="11" t="str">
        <f t="shared" si="4"/>
        <v>RDR-ERTIGA12ASH</v>
      </c>
      <c r="B2097" s="13" t="s">
        <v>2354</v>
      </c>
      <c r="C2097" s="13" t="s">
        <v>1026</v>
      </c>
      <c r="D2097" s="13" t="s">
        <v>86</v>
      </c>
      <c r="E2097" s="13" t="s">
        <v>93</v>
      </c>
      <c r="F2097" s="44"/>
      <c r="G2097" s="14">
        <v>45988.0</v>
      </c>
      <c r="H2097" s="11">
        <f>SUMIFS(X!$F$3:$F$5978,X!$D$3:$D$5978,'Current Stock'!A2097)</f>
        <v>1</v>
      </c>
      <c r="I2097" s="11">
        <f>SUMIFS(PENJUALAN!$E$4:$E$3651,PENJUALAN!$C$4:$C$3651,'Current Stock'!A2097)</f>
        <v>0</v>
      </c>
      <c r="J2097" s="15">
        <f t="shared" si="2"/>
        <v>1</v>
      </c>
      <c r="K2097" s="13"/>
      <c r="L2097" s="44"/>
      <c r="M2097" s="44"/>
      <c r="N2097" s="44"/>
      <c r="O2097" s="88"/>
      <c r="P2097" s="88"/>
    </row>
    <row r="2098" ht="15.0" customHeight="1">
      <c r="A2098" s="11" t="str">
        <f t="shared" si="4"/>
        <v>FDR-SWIFT04AGC</v>
      </c>
      <c r="B2098" s="13" t="s">
        <v>2355</v>
      </c>
      <c r="C2098" s="13" t="s">
        <v>1731</v>
      </c>
      <c r="D2098" s="13" t="s">
        <v>106</v>
      </c>
      <c r="E2098" s="13" t="s">
        <v>101</v>
      </c>
      <c r="F2098" s="44"/>
      <c r="G2098" s="14">
        <v>45988.0</v>
      </c>
      <c r="H2098" s="11">
        <f>SUMIFS(X!$F$3:$F$5978,X!$D$3:$D$5978,'Current Stock'!A2098)</f>
        <v>0</v>
      </c>
      <c r="I2098" s="11">
        <f>SUMIFS(PENJUALAN!$E$4:$E$3651,PENJUALAN!$C$4:$C$3651,'Current Stock'!A2098)</f>
        <v>0</v>
      </c>
      <c r="J2098" s="15">
        <f t="shared" si="2"/>
        <v>0</v>
      </c>
      <c r="K2098" s="13" t="s">
        <v>1800</v>
      </c>
      <c r="L2098" s="44"/>
      <c r="M2098" s="44"/>
      <c r="N2098" s="44"/>
      <c r="O2098" s="88"/>
      <c r="P2098" s="88"/>
    </row>
    <row r="2099" ht="15.0" customHeight="1">
      <c r="A2099" s="11" t="str">
        <f t="shared" si="4"/>
        <v>TRW-RANGER02ASH</v>
      </c>
      <c r="B2099" s="13" t="s">
        <v>2356</v>
      </c>
      <c r="C2099" s="13" t="s">
        <v>2357</v>
      </c>
      <c r="D2099" s="13" t="s">
        <v>62</v>
      </c>
      <c r="E2099" s="13" t="s">
        <v>93</v>
      </c>
      <c r="F2099" s="44"/>
      <c r="G2099" s="11"/>
      <c r="H2099" s="11">
        <f>SUMIFS(X!$F$3:$F$5978,X!$D$3:$D$5978,'Current Stock'!A2099)</f>
        <v>0</v>
      </c>
      <c r="I2099" s="11">
        <f>SUMIFS(PENJUALAN!$E$4:$E$3651,PENJUALAN!$C$4:$C$3651,'Current Stock'!A2099)</f>
        <v>0</v>
      </c>
      <c r="J2099" s="15">
        <f t="shared" si="2"/>
        <v>0</v>
      </c>
      <c r="K2099" s="44"/>
      <c r="L2099" s="44"/>
      <c r="M2099" s="44"/>
      <c r="N2099" s="44"/>
      <c r="O2099" s="88"/>
      <c r="P2099" s="88"/>
    </row>
    <row r="2100" ht="15.0" customHeight="1">
      <c r="A2100" s="11" t="str">
        <f t="shared" si="4"/>
        <v>LFW-FJ78MU</v>
      </c>
      <c r="B2100" s="13" t="s">
        <v>2358</v>
      </c>
      <c r="C2100" s="13" t="s">
        <v>2359</v>
      </c>
      <c r="D2100" s="13" t="s">
        <v>60</v>
      </c>
      <c r="E2100" s="13" t="s">
        <v>1633</v>
      </c>
      <c r="F2100" s="13" t="s">
        <v>109</v>
      </c>
      <c r="G2100" s="11"/>
      <c r="H2100" s="11">
        <f>SUMIFS(X!$F$3:$F$5978,X!$D$3:$D$5978,'Current Stock'!A2100)</f>
        <v>0</v>
      </c>
      <c r="I2100" s="11">
        <f>SUMIFS(PENJUALAN!$E$4:$E$3651,PENJUALAN!$C$4:$C$3651,'Current Stock'!A2100)</f>
        <v>0</v>
      </c>
      <c r="J2100" s="15">
        <f t="shared" si="2"/>
        <v>0</v>
      </c>
      <c r="K2100" s="44"/>
      <c r="L2100" s="44"/>
      <c r="M2100" s="44"/>
      <c r="N2100" s="44"/>
      <c r="O2100" s="88"/>
      <c r="P2100" s="88"/>
    </row>
    <row r="2101" ht="15.0" customHeight="1">
      <c r="A2101" s="11" t="str">
        <f t="shared" si="4"/>
        <v>LFW-TERRA18RSXYG</v>
      </c>
      <c r="B2101" s="13" t="s">
        <v>2360</v>
      </c>
      <c r="C2101" s="13" t="s">
        <v>2361</v>
      </c>
      <c r="D2101" s="13" t="s">
        <v>60</v>
      </c>
      <c r="E2101" s="13" t="s">
        <v>16</v>
      </c>
      <c r="F2101" s="13" t="s">
        <v>90</v>
      </c>
      <c r="G2101" s="11"/>
      <c r="H2101" s="11">
        <f>SUMIFS(X!$F$3:$F$5978,X!$D$3:$D$5978,'Current Stock'!A2101)</f>
        <v>2</v>
      </c>
      <c r="I2101" s="11">
        <f>SUMIFS(PENJUALAN!$E$4:$E$3651,PENJUALAN!$C$4:$C$3651,'Current Stock'!A2101)</f>
        <v>2</v>
      </c>
      <c r="J2101" s="15">
        <f t="shared" si="2"/>
        <v>0</v>
      </c>
      <c r="K2101" s="13"/>
      <c r="L2101" s="13"/>
      <c r="M2101" s="44"/>
      <c r="N2101" s="44"/>
      <c r="O2101" s="88"/>
      <c r="P2101" s="88"/>
    </row>
    <row r="2102" ht="15.0" customHeight="1">
      <c r="A2102" s="11" t="str">
        <f t="shared" si="4"/>
        <v>TRW-TERRAXYG</v>
      </c>
      <c r="B2102" s="13" t="s">
        <v>2362</v>
      </c>
      <c r="C2102" s="13" t="s">
        <v>2363</v>
      </c>
      <c r="D2102" s="13" t="s">
        <v>62</v>
      </c>
      <c r="E2102" s="13" t="s">
        <v>16</v>
      </c>
      <c r="F2102" s="13"/>
      <c r="G2102" s="11"/>
      <c r="H2102" s="11">
        <f>SUMIFS(X!$F$3:$F$5978,X!$D$3:$D$5978,'Current Stock'!A2102)</f>
        <v>1</v>
      </c>
      <c r="I2102" s="11">
        <f>SUMIFS(PENJUALAN!$E$4:$E$3651,PENJUALAN!$C$4:$C$3651,'Current Stock'!A2102)</f>
        <v>1</v>
      </c>
      <c r="J2102" s="15">
        <f t="shared" si="2"/>
        <v>0</v>
      </c>
      <c r="K2102" s="13" t="s">
        <v>2364</v>
      </c>
      <c r="L2102" s="13"/>
      <c r="M2102" s="44"/>
      <c r="N2102" s="44"/>
      <c r="O2102" s="88"/>
      <c r="P2102" s="88"/>
    </row>
    <row r="2103" ht="15.0" customHeight="1">
      <c r="A2103" s="11" t="str">
        <f t="shared" si="4"/>
        <v>LFW-W169XYG</v>
      </c>
      <c r="B2103" s="13" t="s">
        <v>1556</v>
      </c>
      <c r="C2103" s="13" t="s">
        <v>2365</v>
      </c>
      <c r="D2103" s="13" t="s">
        <v>60</v>
      </c>
      <c r="E2103" s="13" t="s">
        <v>16</v>
      </c>
      <c r="F2103" s="13" t="s">
        <v>1558</v>
      </c>
      <c r="G2103" s="11"/>
      <c r="H2103" s="11">
        <f>SUMIFS(X!$F$3:$F$5978,X!$D$3:$D$5978,'Current Stock'!A2103)</f>
        <v>0</v>
      </c>
      <c r="I2103" s="11">
        <f>SUMIFS(PENJUALAN!$E$4:$E$3651,PENJUALAN!$C$4:$C$3651,'Current Stock'!A2103)</f>
        <v>0</v>
      </c>
      <c r="J2103" s="15">
        <f t="shared" si="2"/>
        <v>0</v>
      </c>
      <c r="K2103" s="44"/>
      <c r="L2103" s="44"/>
      <c r="M2103" s="44"/>
      <c r="N2103" s="44"/>
      <c r="O2103" s="88"/>
      <c r="P2103" s="88"/>
    </row>
    <row r="2104" ht="15.0" customHeight="1">
      <c r="A2104" s="11" t="str">
        <f t="shared" si="4"/>
        <v>FDL-TAFTGTASH</v>
      </c>
      <c r="B2104" s="13" t="s">
        <v>2366</v>
      </c>
      <c r="C2104" s="13" t="s">
        <v>2367</v>
      </c>
      <c r="D2104" s="13" t="s">
        <v>104</v>
      </c>
      <c r="E2104" s="13" t="s">
        <v>93</v>
      </c>
      <c r="F2104" s="44"/>
      <c r="G2104" s="34"/>
      <c r="H2104" s="11">
        <f>SUMIFS(X!$F$3:$F$5978,X!$D$3:$D$5978,'Current Stock'!A2104)</f>
        <v>1</v>
      </c>
      <c r="I2104" s="11">
        <f>SUMIFS(PENJUALAN!$E$4:$E$3651,PENJUALAN!$C$4:$C$3651,'Current Stock'!A2104)</f>
        <v>1</v>
      </c>
      <c r="J2104" s="15">
        <f t="shared" si="2"/>
        <v>0</v>
      </c>
      <c r="K2104" s="44"/>
      <c r="L2104" s="44"/>
      <c r="M2104" s="44"/>
      <c r="N2104" s="44"/>
      <c r="O2104" s="88"/>
      <c r="P2104" s="88"/>
    </row>
    <row r="2105" ht="15.0" customHeight="1">
      <c r="A2105" s="11" t="str">
        <f t="shared" si="4"/>
        <v>TRW-INNOVA15HAGC</v>
      </c>
      <c r="B2105" s="13" t="s">
        <v>1814</v>
      </c>
      <c r="C2105" s="13" t="s">
        <v>2368</v>
      </c>
      <c r="D2105" s="13" t="s">
        <v>62</v>
      </c>
      <c r="E2105" s="13" t="s">
        <v>101</v>
      </c>
      <c r="F2105" s="13" t="s">
        <v>119</v>
      </c>
      <c r="G2105" s="14">
        <v>45988.0</v>
      </c>
      <c r="H2105" s="11">
        <f>SUMIFS(X!$F$3:$F$5978,X!$D$3:$D$5978,'Current Stock'!A2105)</f>
        <v>3</v>
      </c>
      <c r="I2105" s="11">
        <f>SUMIFS(PENJUALAN!$E$4:$E$3651,PENJUALAN!$C$4:$C$3651,'Current Stock'!A2105)</f>
        <v>2</v>
      </c>
      <c r="J2105" s="15">
        <f t="shared" si="2"/>
        <v>1</v>
      </c>
      <c r="K2105" s="13" t="s">
        <v>1137</v>
      </c>
      <c r="L2105" s="13"/>
      <c r="M2105" s="44"/>
      <c r="N2105" s="44"/>
      <c r="O2105" s="88"/>
      <c r="P2105" s="88"/>
    </row>
    <row r="2106" ht="15.0" customHeight="1">
      <c r="A2106" s="23" t="str">
        <f t="shared" si="4"/>
        <v>SWR-PANTHER91ASH</v>
      </c>
      <c r="B2106" s="25" t="s">
        <v>2369</v>
      </c>
      <c r="C2106" s="25" t="s">
        <v>2370</v>
      </c>
      <c r="D2106" s="25" t="s">
        <v>116</v>
      </c>
      <c r="E2106" s="25" t="s">
        <v>93</v>
      </c>
      <c r="F2106" s="25" t="s">
        <v>2371</v>
      </c>
      <c r="G2106" s="23"/>
      <c r="H2106" s="11">
        <f>SUMIFS(X!$F$3:$F$5978,X!$D$3:$D$5978,'Current Stock'!A2106)</f>
        <v>0</v>
      </c>
      <c r="I2106" s="11">
        <f>SUMIFS(PENJUALAN!$E$4:$E$3651,PENJUALAN!$C$4:$C$3651,'Current Stock'!A2106)</f>
        <v>0</v>
      </c>
      <c r="J2106" s="15">
        <f t="shared" si="2"/>
        <v>0</v>
      </c>
      <c r="K2106" s="25"/>
      <c r="L2106" s="25"/>
      <c r="M2106" s="87"/>
      <c r="N2106" s="87"/>
      <c r="O2106" s="91"/>
      <c r="P2106" s="91"/>
    </row>
    <row r="2107" ht="15.0" customHeight="1">
      <c r="A2107" s="11" t="str">
        <f t="shared" si="4"/>
        <v>TRW-ESTILOAIS</v>
      </c>
      <c r="B2107" s="13" t="s">
        <v>1729</v>
      </c>
      <c r="C2107" s="13" t="s">
        <v>2372</v>
      </c>
      <c r="D2107" s="13" t="s">
        <v>62</v>
      </c>
      <c r="E2107" s="13" t="s">
        <v>2373</v>
      </c>
      <c r="F2107" s="13" t="s">
        <v>109</v>
      </c>
      <c r="G2107" s="11"/>
      <c r="H2107" s="11">
        <f>SUMIFS(X!$F$3:$F$5978,X!$D$3:$D$5978,'Current Stock'!A2107)</f>
        <v>0</v>
      </c>
      <c r="I2107" s="11">
        <f>SUMIFS(PENJUALAN!$E$4:$E$3651,PENJUALAN!$C$4:$C$3651,'Current Stock'!A2107)</f>
        <v>0</v>
      </c>
      <c r="J2107" s="15">
        <f t="shared" si="2"/>
        <v>0</v>
      </c>
      <c r="K2107" s="13"/>
      <c r="L2107" s="13"/>
      <c r="M2107" s="44"/>
      <c r="N2107" s="44"/>
      <c r="O2107" s="88"/>
      <c r="P2107" s="88"/>
    </row>
    <row r="2108" ht="15.0" customHeight="1">
      <c r="A2108" s="11" t="str">
        <f t="shared" si="4"/>
        <v>LFW-PAJERO20RSAGC</v>
      </c>
      <c r="B2108" s="13" t="s">
        <v>2374</v>
      </c>
      <c r="C2108" s="13" t="s">
        <v>2375</v>
      </c>
      <c r="D2108" s="13" t="s">
        <v>60</v>
      </c>
      <c r="E2108" s="13" t="s">
        <v>101</v>
      </c>
      <c r="F2108" s="13" t="s">
        <v>314</v>
      </c>
      <c r="G2108" s="11"/>
      <c r="H2108" s="11">
        <f>SUMIFS(X!$F$3:$F$5978,X!$D$3:$D$5978,'Current Stock'!A2108)</f>
        <v>1</v>
      </c>
      <c r="I2108" s="11">
        <f>SUMIFS(PENJUALAN!$E$4:$E$3651,PENJUALAN!$C$4:$C$3651,'Current Stock'!A2108)</f>
        <v>1</v>
      </c>
      <c r="J2108" s="15">
        <f t="shared" si="2"/>
        <v>0</v>
      </c>
      <c r="K2108" s="13"/>
      <c r="L2108" s="44"/>
      <c r="M2108" s="44"/>
      <c r="N2108" s="44"/>
      <c r="O2108" s="88"/>
      <c r="P2108" s="88"/>
    </row>
    <row r="2109" ht="15.0" customHeight="1">
      <c r="A2109" s="11" t="str">
        <f t="shared" si="4"/>
        <v>LFW-PAJERO20RS2AGC</v>
      </c>
      <c r="B2109" s="13" t="s">
        <v>2376</v>
      </c>
      <c r="C2109" s="13" t="s">
        <v>2377</v>
      </c>
      <c r="D2109" s="13" t="s">
        <v>60</v>
      </c>
      <c r="E2109" s="13" t="s">
        <v>101</v>
      </c>
      <c r="F2109" s="13" t="s">
        <v>314</v>
      </c>
      <c r="G2109" s="11"/>
      <c r="H2109" s="11">
        <f>SUMIFS(X!$F$3:$F$5978,X!$D$3:$D$5978,'Current Stock'!A2109)</f>
        <v>0</v>
      </c>
      <c r="I2109" s="11">
        <f>SUMIFS(PENJUALAN!$E$4:$E$3651,PENJUALAN!$C$4:$C$3651,'Current Stock'!A2109)</f>
        <v>0</v>
      </c>
      <c r="J2109" s="15">
        <f t="shared" si="2"/>
        <v>0</v>
      </c>
      <c r="K2109" s="13" t="s">
        <v>1800</v>
      </c>
      <c r="L2109" s="44"/>
      <c r="M2109" s="44"/>
      <c r="N2109" s="44"/>
      <c r="O2109" s="88"/>
      <c r="P2109" s="88"/>
    </row>
    <row r="2110" ht="15.0" customHeight="1">
      <c r="A2110" s="11" t="str">
        <f t="shared" si="4"/>
        <v>LFW-PAJERO24RSAGC</v>
      </c>
      <c r="B2110" s="13" t="s">
        <v>2378</v>
      </c>
      <c r="C2110" s="13" t="s">
        <v>2379</v>
      </c>
      <c r="D2110" s="13" t="s">
        <v>60</v>
      </c>
      <c r="E2110" s="13" t="s">
        <v>101</v>
      </c>
      <c r="F2110" s="13" t="s">
        <v>90</v>
      </c>
      <c r="G2110" s="11"/>
      <c r="H2110" s="11">
        <f>SUMIFS(X!$F$3:$F$5978,X!$D$3:$D$5978,'Current Stock'!A2110)</f>
        <v>2</v>
      </c>
      <c r="I2110" s="11">
        <f>SUMIFS(PENJUALAN!$E$4:$E$3651,PENJUALAN!$C$4:$C$3651,'Current Stock'!A2110)</f>
        <v>1</v>
      </c>
      <c r="J2110" s="15">
        <f t="shared" si="2"/>
        <v>1</v>
      </c>
      <c r="K2110" s="44"/>
      <c r="L2110" s="44"/>
      <c r="M2110" s="44"/>
      <c r="N2110" s="44"/>
      <c r="O2110" s="88"/>
      <c r="P2110" s="88"/>
    </row>
    <row r="2111" ht="15.0" customHeight="1">
      <c r="A2111" s="11" t="str">
        <f t="shared" si="4"/>
        <v>LFW-PAJERO20RS2XYG</v>
      </c>
      <c r="B2111" s="13" t="s">
        <v>2376</v>
      </c>
      <c r="C2111" s="13" t="s">
        <v>2380</v>
      </c>
      <c r="D2111" s="13" t="s">
        <v>60</v>
      </c>
      <c r="E2111" s="13" t="s">
        <v>16</v>
      </c>
      <c r="F2111" s="13" t="s">
        <v>90</v>
      </c>
      <c r="G2111" s="14">
        <v>45988.0</v>
      </c>
      <c r="H2111" s="11">
        <f>SUMIFS(X!$F$3:$F$5978,X!$D$3:$D$5978,'Current Stock'!A2111)</f>
        <v>0</v>
      </c>
      <c r="I2111" s="11">
        <f>SUMIFS(PENJUALAN!$E$4:$E$3651,PENJUALAN!$C$4:$C$3651,'Current Stock'!A2111)</f>
        <v>0</v>
      </c>
      <c r="J2111" s="15">
        <f t="shared" si="2"/>
        <v>0</v>
      </c>
      <c r="K2111" s="13"/>
      <c r="L2111" s="44"/>
      <c r="M2111" s="44"/>
      <c r="N2111" s="44"/>
      <c r="O2111" s="88"/>
      <c r="P2111" s="88"/>
    </row>
    <row r="2112" ht="15.0" customHeight="1">
      <c r="A2112" s="11" t="str">
        <f t="shared" si="4"/>
        <v>TRW-BRIO10HOLEAGC</v>
      </c>
      <c r="B2112" s="13" t="s">
        <v>2381</v>
      </c>
      <c r="C2112" s="13" t="s">
        <v>2382</v>
      </c>
      <c r="D2112" s="13" t="s">
        <v>62</v>
      </c>
      <c r="E2112" s="13" t="s">
        <v>101</v>
      </c>
      <c r="F2112" s="13" t="s">
        <v>2383</v>
      </c>
      <c r="G2112" s="14">
        <v>46021.0</v>
      </c>
      <c r="H2112" s="11">
        <f>SUMIFS(X!$F$3:$F$5978,X!$D$3:$D$5978,'Current Stock'!A2112)</f>
        <v>5</v>
      </c>
      <c r="I2112" s="11">
        <f>SUMIFS(PENJUALAN!$E$4:$E$3651,PENJUALAN!$C$4:$C$3651,'Current Stock'!A2112)</f>
        <v>4</v>
      </c>
      <c r="J2112" s="15">
        <f t="shared" si="2"/>
        <v>1</v>
      </c>
      <c r="K2112" s="13"/>
      <c r="L2112" s="13"/>
      <c r="M2112" s="44"/>
      <c r="N2112" s="44"/>
      <c r="O2112" s="88"/>
      <c r="P2112" s="88"/>
    </row>
    <row r="2113" ht="15.0" customHeight="1">
      <c r="A2113" s="11" t="str">
        <f t="shared" si="4"/>
        <v>TRW-DMAX1MSG</v>
      </c>
      <c r="B2113" s="13" t="s">
        <v>2384</v>
      </c>
      <c r="C2113" s="13" t="s">
        <v>1924</v>
      </c>
      <c r="D2113" s="13" t="s">
        <v>62</v>
      </c>
      <c r="E2113" s="13" t="s">
        <v>2086</v>
      </c>
      <c r="F2113" s="44"/>
      <c r="G2113" s="11"/>
      <c r="H2113" s="11">
        <f>SUMIFS(X!$F$3:$F$5978,X!$D$3:$D$5978,'Current Stock'!A2113)</f>
        <v>0</v>
      </c>
      <c r="I2113" s="11">
        <f>SUMIFS(PENJUALAN!$E$4:$E$3651,PENJUALAN!$C$4:$C$3651,'Current Stock'!A2113)</f>
        <v>0</v>
      </c>
      <c r="J2113" s="15">
        <f t="shared" si="2"/>
        <v>0</v>
      </c>
      <c r="K2113" s="13"/>
      <c r="L2113" s="13"/>
      <c r="M2113" s="44"/>
      <c r="N2113" s="44"/>
      <c r="O2113" s="88"/>
      <c r="P2113" s="88"/>
    </row>
    <row r="2114" ht="15.0" customHeight="1">
      <c r="A2114" s="11" t="str">
        <f t="shared" si="4"/>
        <v>FDL-DMAX1MSG</v>
      </c>
      <c r="B2114" s="13" t="s">
        <v>2385</v>
      </c>
      <c r="C2114" s="13" t="s">
        <v>1924</v>
      </c>
      <c r="D2114" s="13" t="s">
        <v>104</v>
      </c>
      <c r="E2114" s="13" t="s">
        <v>2086</v>
      </c>
      <c r="F2114" s="44"/>
      <c r="G2114" s="11"/>
      <c r="H2114" s="11">
        <f>SUMIFS(X!$F$3:$F$5978,X!$D$3:$D$5978,'Current Stock'!A2114)</f>
        <v>0</v>
      </c>
      <c r="I2114" s="11">
        <f>SUMIFS(PENJUALAN!$E$4:$E$3651,PENJUALAN!$C$4:$C$3651,'Current Stock'!A2114)</f>
        <v>0</v>
      </c>
      <c r="J2114" s="15">
        <f t="shared" si="2"/>
        <v>0</v>
      </c>
      <c r="K2114" s="44"/>
      <c r="L2114" s="44"/>
      <c r="M2114" s="44"/>
      <c r="N2114" s="13"/>
      <c r="O2114" s="45"/>
      <c r="P2114" s="45"/>
    </row>
    <row r="2115" ht="15.0" customHeight="1">
      <c r="A2115" s="11" t="str">
        <f t="shared" si="4"/>
        <v>FDR-DMAX1MSG</v>
      </c>
      <c r="B2115" s="13" t="s">
        <v>2386</v>
      </c>
      <c r="C2115" s="13" t="s">
        <v>1924</v>
      </c>
      <c r="D2115" s="13" t="s">
        <v>106</v>
      </c>
      <c r="E2115" s="13" t="s">
        <v>2086</v>
      </c>
      <c r="F2115" s="44"/>
      <c r="G2115" s="11"/>
      <c r="H2115" s="11">
        <f>SUMIFS(X!$F$3:$F$5978,X!$D$3:$D$5978,'Current Stock'!A2115)</f>
        <v>0</v>
      </c>
      <c r="I2115" s="11">
        <f>SUMIFS(PENJUALAN!$E$4:$E$3651,PENJUALAN!$C$4:$C$3651,'Current Stock'!A2115)</f>
        <v>0</v>
      </c>
      <c r="J2115" s="15">
        <f t="shared" si="2"/>
        <v>0</v>
      </c>
      <c r="K2115" s="44"/>
      <c r="L2115" s="44"/>
      <c r="M2115" s="44"/>
      <c r="N2115" s="44"/>
      <c r="O2115" s="88"/>
      <c r="P2115" s="88"/>
    </row>
    <row r="2116" ht="15.0" customHeight="1">
      <c r="A2116" s="11" t="str">
        <f t="shared" si="4"/>
        <v>RDL-DMAX1MSG</v>
      </c>
      <c r="B2116" s="13" t="s">
        <v>2387</v>
      </c>
      <c r="C2116" s="13" t="s">
        <v>1924</v>
      </c>
      <c r="D2116" s="13" t="s">
        <v>92</v>
      </c>
      <c r="E2116" s="13" t="s">
        <v>2086</v>
      </c>
      <c r="F2116" s="44"/>
      <c r="G2116" s="14">
        <v>45988.0</v>
      </c>
      <c r="H2116" s="11">
        <f>SUMIFS(X!$F$3:$F$5978,X!$D$3:$D$5978,'Current Stock'!A2116)</f>
        <v>0</v>
      </c>
      <c r="I2116" s="11">
        <f>SUMIFS(PENJUALAN!$E$4:$E$3651,PENJUALAN!$C$4:$C$3651,'Current Stock'!A2116)</f>
        <v>0</v>
      </c>
      <c r="J2116" s="15">
        <f t="shared" si="2"/>
        <v>0</v>
      </c>
      <c r="K2116" s="13"/>
      <c r="L2116" s="13"/>
      <c r="M2116" s="44"/>
      <c r="N2116" s="44"/>
      <c r="O2116" s="88"/>
      <c r="P2116" s="88"/>
    </row>
    <row r="2117" ht="15.0" customHeight="1">
      <c r="A2117" s="11" t="str">
        <f t="shared" si="4"/>
        <v>RDR-DMAX1MSG</v>
      </c>
      <c r="B2117" s="13" t="s">
        <v>2388</v>
      </c>
      <c r="C2117" s="13" t="s">
        <v>1924</v>
      </c>
      <c r="D2117" s="13" t="s">
        <v>86</v>
      </c>
      <c r="E2117" s="13" t="s">
        <v>2086</v>
      </c>
      <c r="F2117" s="44"/>
      <c r="G2117" s="11"/>
      <c r="H2117" s="11">
        <f>SUMIFS(X!$F$3:$F$5978,X!$D$3:$D$5978,'Current Stock'!A2117)</f>
        <v>0</v>
      </c>
      <c r="I2117" s="11">
        <f>SUMIFS(PENJUALAN!$E$4:$E$3651,PENJUALAN!$C$4:$C$3651,'Current Stock'!A2117)</f>
        <v>0</v>
      </c>
      <c r="J2117" s="15">
        <f t="shared" si="2"/>
        <v>0</v>
      </c>
      <c r="K2117" s="13"/>
      <c r="L2117" s="13"/>
      <c r="M2117" s="44"/>
      <c r="N2117" s="44"/>
      <c r="O2117" s="88"/>
      <c r="P2117" s="88"/>
    </row>
    <row r="2118" ht="15.0" customHeight="1">
      <c r="A2118" s="23" t="str">
        <f t="shared" si="4"/>
        <v>FDL-CARRYASH</v>
      </c>
      <c r="B2118" s="25" t="s">
        <v>2389</v>
      </c>
      <c r="C2118" s="25" t="s">
        <v>2390</v>
      </c>
      <c r="D2118" s="25" t="s">
        <v>104</v>
      </c>
      <c r="E2118" s="25" t="s">
        <v>93</v>
      </c>
      <c r="F2118" s="87"/>
      <c r="G2118" s="28"/>
      <c r="H2118" s="11">
        <f>SUMIFS(X!$F$3:$F$5978,X!$D$3:$D$5978,'Current Stock'!A2118)</f>
        <v>1</v>
      </c>
      <c r="I2118" s="11">
        <f>SUMIFS(PENJUALAN!$E$4:$E$3651,PENJUALAN!$C$4:$C$3651,'Current Stock'!A2118)</f>
        <v>0</v>
      </c>
      <c r="J2118" s="15">
        <f t="shared" si="2"/>
        <v>1</v>
      </c>
      <c r="K2118" s="25"/>
      <c r="L2118" s="87"/>
      <c r="M2118" s="87"/>
      <c r="N2118" s="87"/>
      <c r="O2118" s="91"/>
      <c r="P2118" s="91"/>
    </row>
    <row r="2119" ht="15.0" customHeight="1">
      <c r="A2119" s="11" t="str">
        <f t="shared" si="4"/>
        <v>FDR-CARRYASH</v>
      </c>
      <c r="B2119" s="13" t="s">
        <v>2391</v>
      </c>
      <c r="C2119" s="13" t="s">
        <v>2390</v>
      </c>
      <c r="D2119" s="13" t="s">
        <v>106</v>
      </c>
      <c r="E2119" s="13" t="s">
        <v>93</v>
      </c>
      <c r="F2119" s="44"/>
      <c r="G2119" s="11"/>
      <c r="H2119" s="11">
        <f>SUMIFS(X!$F$3:$F$5978,X!$D$3:$D$5978,'Current Stock'!A2119)</f>
        <v>0</v>
      </c>
      <c r="I2119" s="11">
        <f>SUMIFS(PENJUALAN!$E$4:$E$3651,PENJUALAN!$C$4:$C$3651,'Current Stock'!A2119)</f>
        <v>0</v>
      </c>
      <c r="J2119" s="15">
        <f t="shared" si="2"/>
        <v>0</v>
      </c>
      <c r="K2119" s="44"/>
      <c r="L2119" s="44"/>
      <c r="M2119" s="44"/>
      <c r="N2119" s="44"/>
      <c r="O2119" s="88"/>
      <c r="P2119" s="88"/>
    </row>
    <row r="2120" ht="15.0" customHeight="1">
      <c r="A2120" s="11" t="str">
        <f t="shared" si="4"/>
        <v>FDL-CARRYMU</v>
      </c>
      <c r="B2120" s="25" t="s">
        <v>2389</v>
      </c>
      <c r="C2120" s="25" t="s">
        <v>2390</v>
      </c>
      <c r="D2120" s="25" t="s">
        <v>104</v>
      </c>
      <c r="E2120" s="13" t="s">
        <v>1633</v>
      </c>
      <c r="F2120" s="44"/>
      <c r="G2120" s="11"/>
      <c r="H2120" s="11">
        <f>SUMIFS(X!$F$3:$F$5978,X!$D$3:$D$5978,'Current Stock'!A2120)</f>
        <v>0</v>
      </c>
      <c r="I2120" s="11">
        <f>SUMIFS(PENJUALAN!$E$4:$E$3651,PENJUALAN!$C$4:$C$3651,'Current Stock'!A2120)</f>
        <v>0</v>
      </c>
      <c r="J2120" s="15">
        <f t="shared" si="2"/>
        <v>0</v>
      </c>
      <c r="K2120" s="44"/>
      <c r="L2120" s="44"/>
      <c r="M2120" s="44"/>
      <c r="N2120" s="44"/>
      <c r="O2120" s="88"/>
      <c r="P2120" s="88"/>
    </row>
    <row r="2121" ht="15.0" customHeight="1">
      <c r="A2121" s="11" t="str">
        <f t="shared" si="4"/>
        <v>FDR-CARRYMU</v>
      </c>
      <c r="B2121" s="13" t="s">
        <v>2391</v>
      </c>
      <c r="C2121" s="13" t="s">
        <v>2390</v>
      </c>
      <c r="D2121" s="13" t="s">
        <v>106</v>
      </c>
      <c r="E2121" s="13" t="s">
        <v>1633</v>
      </c>
      <c r="F2121" s="44"/>
      <c r="G2121" s="11"/>
      <c r="H2121" s="11">
        <f>SUMIFS(X!$F$3:$F$5978,X!$D$3:$D$5978,'Current Stock'!A2121)</f>
        <v>1</v>
      </c>
      <c r="I2121" s="11">
        <f>SUMIFS(PENJUALAN!$E$4:$E$3651,PENJUALAN!$C$4:$C$3651,'Current Stock'!A2121)</f>
        <v>1</v>
      </c>
      <c r="J2121" s="15">
        <f t="shared" si="2"/>
        <v>0</v>
      </c>
      <c r="K2121" s="44"/>
      <c r="L2121" s="44"/>
      <c r="M2121" s="44"/>
      <c r="N2121" s="44"/>
      <c r="O2121" s="88"/>
      <c r="P2121" s="88"/>
    </row>
    <row r="2122" ht="15.0" customHeight="1">
      <c r="A2122" s="11" t="str">
        <f t="shared" si="4"/>
        <v>SWR-LUXIOAGC</v>
      </c>
      <c r="B2122" s="13" t="s">
        <v>2392</v>
      </c>
      <c r="C2122" s="13" t="s">
        <v>111</v>
      </c>
      <c r="D2122" s="13" t="s">
        <v>116</v>
      </c>
      <c r="E2122" s="13" t="s">
        <v>101</v>
      </c>
      <c r="F2122" s="13" t="s">
        <v>109</v>
      </c>
      <c r="G2122" s="11"/>
      <c r="H2122" s="11">
        <f>SUMIFS(X!$F$3:$F$5978,X!$D$3:$D$5978,'Current Stock'!A2122)</f>
        <v>0</v>
      </c>
      <c r="I2122" s="11">
        <f>SUMIFS(PENJUALAN!$E$4:$E$3651,PENJUALAN!$C$4:$C$3651,'Current Stock'!A2122)</f>
        <v>0</v>
      </c>
      <c r="J2122" s="15">
        <f t="shared" si="2"/>
        <v>0</v>
      </c>
      <c r="K2122" s="44"/>
      <c r="L2122" s="44"/>
      <c r="M2122" s="44"/>
      <c r="N2122" s="44"/>
      <c r="O2122" s="88"/>
      <c r="P2122" s="88"/>
    </row>
    <row r="2123" ht="15.0" customHeight="1">
      <c r="A2123" s="23" t="str">
        <f t="shared" si="4"/>
        <v>TRW-LIVINA07PIL</v>
      </c>
      <c r="B2123" s="25" t="s">
        <v>938</v>
      </c>
      <c r="C2123" s="25" t="s">
        <v>2393</v>
      </c>
      <c r="D2123" s="25" t="s">
        <v>62</v>
      </c>
      <c r="E2123" s="25" t="s">
        <v>89</v>
      </c>
      <c r="F2123" s="25" t="s">
        <v>119</v>
      </c>
      <c r="G2123" s="23"/>
      <c r="H2123" s="11">
        <f>SUMIFS(X!$F$3:$F$5978,X!$D$3:$D$5978,'Current Stock'!A2123)</f>
        <v>0</v>
      </c>
      <c r="I2123" s="11">
        <f>SUMIFS(PENJUALAN!$E$4:$E$3651,PENJUALAN!$C$4:$C$3651,'Current Stock'!A2123)</f>
        <v>0</v>
      </c>
      <c r="J2123" s="15">
        <f t="shared" si="2"/>
        <v>0</v>
      </c>
      <c r="K2123" s="25" t="s">
        <v>1757</v>
      </c>
      <c r="L2123" s="25"/>
      <c r="M2123" s="87"/>
      <c r="N2123" s="25"/>
      <c r="O2123" s="85"/>
      <c r="P2123" s="85"/>
    </row>
    <row r="2124" ht="15.0" customHeight="1">
      <c r="A2124" s="23" t="str">
        <f t="shared" si="4"/>
        <v>LFW-CARRYASH</v>
      </c>
      <c r="B2124" s="25" t="s">
        <v>2394</v>
      </c>
      <c r="C2124" s="25" t="s">
        <v>2390</v>
      </c>
      <c r="D2124" s="25" t="s">
        <v>60</v>
      </c>
      <c r="E2124" s="25" t="s">
        <v>93</v>
      </c>
      <c r="F2124" s="87"/>
      <c r="G2124" s="23"/>
      <c r="H2124" s="11">
        <f>SUMIFS(X!$F$3:$F$5978,X!$D$3:$D$5978,'Current Stock'!A2124)</f>
        <v>0</v>
      </c>
      <c r="I2124" s="11">
        <f>SUMIFS(PENJUALAN!$E$4:$E$3651,PENJUALAN!$C$4:$C$3651,'Current Stock'!A2124)</f>
        <v>0</v>
      </c>
      <c r="J2124" s="15">
        <f t="shared" si="2"/>
        <v>0</v>
      </c>
      <c r="K2124" s="25" t="s">
        <v>1137</v>
      </c>
      <c r="L2124" s="25"/>
      <c r="M2124" s="87"/>
      <c r="N2124" s="87"/>
      <c r="O2124" s="91"/>
      <c r="P2124" s="91"/>
    </row>
    <row r="2125" ht="15.0" customHeight="1">
      <c r="A2125" s="11" t="str">
        <f t="shared" si="4"/>
        <v>FDR-TAFTGTASH</v>
      </c>
      <c r="B2125" s="13" t="s">
        <v>2395</v>
      </c>
      <c r="C2125" s="13" t="s">
        <v>2367</v>
      </c>
      <c r="D2125" s="13" t="s">
        <v>106</v>
      </c>
      <c r="E2125" s="13" t="s">
        <v>93</v>
      </c>
      <c r="F2125" s="99"/>
      <c r="G2125" s="34"/>
      <c r="H2125" s="11">
        <f>SUMIFS(X!$F$3:$F$5978,X!$D$3:$D$5978,'Current Stock'!A2125)</f>
        <v>1</v>
      </c>
      <c r="I2125" s="11">
        <f>SUMIFS(PENJUALAN!$E$4:$E$3651,PENJUALAN!$C$4:$C$3651,'Current Stock'!A2125)</f>
        <v>1</v>
      </c>
      <c r="J2125" s="15">
        <f t="shared" si="2"/>
        <v>0</v>
      </c>
      <c r="K2125" s="13" t="s">
        <v>2207</v>
      </c>
      <c r="L2125" s="44"/>
      <c r="M2125" s="44"/>
      <c r="N2125" s="44"/>
      <c r="O2125" s="88"/>
      <c r="P2125" s="88"/>
    </row>
    <row r="2126" ht="15.0" customHeight="1">
      <c r="A2126" s="11" t="str">
        <f t="shared" si="4"/>
        <v>SWL-AVANZA21AGC</v>
      </c>
      <c r="B2126" s="13" t="s">
        <v>2301</v>
      </c>
      <c r="C2126" s="13" t="s">
        <v>2396</v>
      </c>
      <c r="D2126" s="13" t="s">
        <v>1410</v>
      </c>
      <c r="E2126" s="13" t="s">
        <v>101</v>
      </c>
      <c r="F2126" s="13" t="s">
        <v>109</v>
      </c>
      <c r="G2126" s="11"/>
      <c r="H2126" s="11">
        <f>SUMIFS(X!$F$3:$F$5978,X!$D$3:$D$5978,'Current Stock'!A2126)</f>
        <v>0</v>
      </c>
      <c r="I2126" s="11">
        <f>SUMIFS(PENJUALAN!$E$4:$E$3651,PENJUALAN!$C$4:$C$3651,'Current Stock'!A2126)</f>
        <v>0</v>
      </c>
      <c r="J2126" s="15">
        <f t="shared" si="2"/>
        <v>0</v>
      </c>
      <c r="K2126" s="13" t="s">
        <v>2207</v>
      </c>
      <c r="L2126" s="44"/>
      <c r="M2126" s="44"/>
      <c r="N2126" s="44"/>
      <c r="O2126" s="88"/>
      <c r="P2126" s="88"/>
    </row>
    <row r="2127" ht="15.0" customHeight="1">
      <c r="A2127" s="11" t="str">
        <f t="shared" si="4"/>
        <v>SWR-AVANZA21AGC</v>
      </c>
      <c r="B2127" s="13" t="s">
        <v>2302</v>
      </c>
      <c r="C2127" s="13" t="s">
        <v>2396</v>
      </c>
      <c r="D2127" s="13" t="s">
        <v>116</v>
      </c>
      <c r="E2127" s="13" t="s">
        <v>101</v>
      </c>
      <c r="F2127" s="13" t="s">
        <v>109</v>
      </c>
      <c r="G2127" s="11"/>
      <c r="H2127" s="11">
        <f>SUMIFS(X!$F$3:$F$5978,X!$D$3:$D$5978,'Current Stock'!A2127)</f>
        <v>0</v>
      </c>
      <c r="I2127" s="11">
        <f>SUMIFS(PENJUALAN!$E$4:$E$3651,PENJUALAN!$C$4:$C$3651,'Current Stock'!A2127)</f>
        <v>0</v>
      </c>
      <c r="J2127" s="15">
        <f t="shared" si="2"/>
        <v>0</v>
      </c>
      <c r="K2127" s="13" t="s">
        <v>1647</v>
      </c>
      <c r="L2127" s="44"/>
      <c r="M2127" s="44"/>
      <c r="N2127" s="44"/>
      <c r="O2127" s="88"/>
      <c r="P2127" s="88"/>
    </row>
    <row r="2128" ht="15.0" customHeight="1">
      <c r="A2128" s="11" t="str">
        <f t="shared" si="4"/>
        <v>RDR-YARIS13ASH</v>
      </c>
      <c r="B2128" s="13" t="s">
        <v>2397</v>
      </c>
      <c r="C2128" s="13" t="s">
        <v>2398</v>
      </c>
      <c r="D2128" s="13" t="s">
        <v>86</v>
      </c>
      <c r="E2128" s="13" t="s">
        <v>93</v>
      </c>
      <c r="F2128" s="44"/>
      <c r="G2128" s="11"/>
      <c r="H2128" s="11">
        <f>SUMIFS(X!$F$3:$F$5978,X!$D$3:$D$5978,'Current Stock'!A2128)</f>
        <v>1</v>
      </c>
      <c r="I2128" s="11">
        <f>SUMIFS(PENJUALAN!$E$4:$E$3651,PENJUALAN!$C$4:$C$3651,'Current Stock'!A2128)</f>
        <v>1</v>
      </c>
      <c r="J2128" s="15">
        <f t="shared" si="2"/>
        <v>0</v>
      </c>
      <c r="K2128" s="13" t="s">
        <v>1757</v>
      </c>
      <c r="L2128" s="44"/>
      <c r="M2128" s="44"/>
      <c r="N2128" s="44"/>
      <c r="O2128" s="88"/>
      <c r="P2128" s="88"/>
    </row>
    <row r="2129" ht="15.0" customHeight="1">
      <c r="A2129" s="11" t="str">
        <f t="shared" si="4"/>
        <v>RDL-YARIS13ASH</v>
      </c>
      <c r="B2129" s="13" t="s">
        <v>2399</v>
      </c>
      <c r="C2129" s="13" t="s">
        <v>2398</v>
      </c>
      <c r="D2129" s="13" t="s">
        <v>92</v>
      </c>
      <c r="E2129" s="13" t="s">
        <v>93</v>
      </c>
      <c r="F2129" s="44"/>
      <c r="G2129" s="14">
        <v>45988.0</v>
      </c>
      <c r="H2129" s="11">
        <f>SUMIFS(X!$F$3:$F$5978,X!$D$3:$D$5978,'Current Stock'!A2129)</f>
        <v>0</v>
      </c>
      <c r="I2129" s="11">
        <f>SUMIFS(PENJUALAN!$E$4:$E$3651,PENJUALAN!$C$4:$C$3651,'Current Stock'!A2129)</f>
        <v>0</v>
      </c>
      <c r="J2129" s="15">
        <f t="shared" si="2"/>
        <v>0</v>
      </c>
      <c r="K2129" s="13"/>
      <c r="L2129" s="44"/>
      <c r="M2129" s="44"/>
      <c r="N2129" s="44"/>
      <c r="O2129" s="88"/>
      <c r="P2129" s="88"/>
    </row>
    <row r="2130" ht="15.0" customHeight="1">
      <c r="A2130" s="11" t="str">
        <f t="shared" si="4"/>
        <v>TRW-ALPHARD02FR</v>
      </c>
      <c r="B2130" s="13" t="s">
        <v>1031</v>
      </c>
      <c r="C2130" s="13" t="s">
        <v>2400</v>
      </c>
      <c r="D2130" s="13" t="s">
        <v>62</v>
      </c>
      <c r="E2130" s="13" t="s">
        <v>1429</v>
      </c>
      <c r="F2130" s="13" t="s">
        <v>83</v>
      </c>
      <c r="G2130" s="14">
        <v>45988.0</v>
      </c>
      <c r="H2130" s="11">
        <f>SUMIFS(X!$F$3:$F$5978,X!$D$3:$D$5978,'Current Stock'!A2130)</f>
        <v>0</v>
      </c>
      <c r="I2130" s="11">
        <f>SUMIFS(PENJUALAN!$E$4:$E$3651,PENJUALAN!$C$4:$C$3651,'Current Stock'!A2130)</f>
        <v>0</v>
      </c>
      <c r="J2130" s="15">
        <f t="shared" si="2"/>
        <v>0</v>
      </c>
      <c r="K2130" s="13"/>
      <c r="L2130" s="13"/>
      <c r="M2130" s="44"/>
      <c r="N2130" s="44"/>
      <c r="O2130" s="88"/>
      <c r="P2130" s="88"/>
    </row>
    <row r="2131" ht="15.0" customHeight="1">
      <c r="A2131" s="11" t="str">
        <f t="shared" si="4"/>
        <v>FDR-FORTUNER05ASH</v>
      </c>
      <c r="B2131" s="13" t="s">
        <v>2401</v>
      </c>
      <c r="C2131" s="13" t="s">
        <v>2149</v>
      </c>
      <c r="D2131" s="13" t="s">
        <v>106</v>
      </c>
      <c r="E2131" s="13" t="s">
        <v>93</v>
      </c>
      <c r="F2131" s="13"/>
      <c r="G2131" s="14"/>
      <c r="H2131" s="11">
        <f>SUMIFS(X!$F$3:$F$5978,X!$D$3:$D$5978,'Current Stock'!A2131)</f>
        <v>0</v>
      </c>
      <c r="I2131" s="11">
        <f>SUMIFS(PENJUALAN!$E$4:$E$3651,PENJUALAN!$C$4:$C$3651,'Current Stock'!A2131)</f>
        <v>0</v>
      </c>
      <c r="J2131" s="15">
        <f t="shared" si="2"/>
        <v>0</v>
      </c>
      <c r="K2131" s="13"/>
      <c r="L2131" s="44"/>
      <c r="M2131" s="44"/>
      <c r="N2131" s="44"/>
      <c r="O2131" s="88"/>
      <c r="P2131" s="88"/>
    </row>
    <row r="2132" ht="15.0" customHeight="1">
      <c r="A2132" s="11" t="str">
        <f t="shared" si="4"/>
        <v>FDL-FORTUNER05ASH</v>
      </c>
      <c r="B2132" s="13" t="s">
        <v>2148</v>
      </c>
      <c r="C2132" s="13"/>
      <c r="D2132" s="13" t="s">
        <v>104</v>
      </c>
      <c r="E2132" s="13" t="s">
        <v>93</v>
      </c>
      <c r="F2132" s="13"/>
      <c r="G2132" s="14"/>
      <c r="H2132" s="11">
        <f>SUMIFS(X!$F$3:$F$5978,X!$D$3:$D$5978,'Current Stock'!A2132)</f>
        <v>3</v>
      </c>
      <c r="I2132" s="11">
        <f>SUMIFS(PENJUALAN!$E$4:$E$3651,PENJUALAN!$C$4:$C$3651,'Current Stock'!A2132)</f>
        <v>3</v>
      </c>
      <c r="J2132" s="15">
        <f t="shared" si="2"/>
        <v>0</v>
      </c>
      <c r="K2132" s="13"/>
      <c r="L2132" s="44"/>
      <c r="M2132" s="44"/>
      <c r="N2132" s="44"/>
      <c r="O2132" s="88"/>
      <c r="P2132" s="88"/>
    </row>
    <row r="2133" ht="15.0" customHeight="1">
      <c r="A2133" s="11" t="str">
        <f t="shared" si="4"/>
        <v>LFW-FORTUNER05AGC</v>
      </c>
      <c r="B2133" s="13" t="s">
        <v>1131</v>
      </c>
      <c r="C2133" s="13" t="s">
        <v>2402</v>
      </c>
      <c r="D2133" s="13" t="s">
        <v>60</v>
      </c>
      <c r="E2133" s="13" t="s">
        <v>101</v>
      </c>
      <c r="F2133" s="13" t="s">
        <v>2403</v>
      </c>
      <c r="G2133" s="14">
        <v>45988.0</v>
      </c>
      <c r="H2133" s="11">
        <f>SUMIFS(X!$F$3:$F$5978,X!$D$3:$D$5978,'Current Stock'!A2133)</f>
        <v>1</v>
      </c>
      <c r="I2133" s="11">
        <f>SUMIFS(PENJUALAN!$E$4:$E$3651,PENJUALAN!$C$4:$C$3651,'Current Stock'!A2133)</f>
        <v>0</v>
      </c>
      <c r="J2133" s="15">
        <f t="shared" si="2"/>
        <v>1</v>
      </c>
      <c r="K2133" s="13"/>
      <c r="L2133" s="44"/>
      <c r="M2133" s="44"/>
      <c r="N2133" s="44"/>
      <c r="O2133" s="88"/>
      <c r="P2133" s="88"/>
    </row>
    <row r="2134" ht="15.0" customHeight="1">
      <c r="A2134" s="11" t="str">
        <f t="shared" si="4"/>
        <v>FDR-FORTUNER05AGC</v>
      </c>
      <c r="B2134" s="13" t="s">
        <v>2401</v>
      </c>
      <c r="C2134" s="13" t="s">
        <v>2402</v>
      </c>
      <c r="D2134" s="13" t="s">
        <v>106</v>
      </c>
      <c r="E2134" s="13" t="s">
        <v>101</v>
      </c>
      <c r="F2134" s="13" t="s">
        <v>2142</v>
      </c>
      <c r="G2134" s="14">
        <v>45988.0</v>
      </c>
      <c r="H2134" s="11">
        <f>SUMIFS(X!$F$3:$F$5978,X!$D$3:$D$5978,'Current Stock'!A2134)</f>
        <v>0</v>
      </c>
      <c r="I2134" s="11">
        <f>SUMIFS(PENJUALAN!$E$4:$E$3651,PENJUALAN!$C$4:$C$3651,'Current Stock'!A2134)</f>
        <v>0</v>
      </c>
      <c r="J2134" s="15">
        <f t="shared" si="2"/>
        <v>0</v>
      </c>
      <c r="K2134" s="13" t="s">
        <v>1359</v>
      </c>
      <c r="L2134" s="44"/>
      <c r="M2134" s="44"/>
      <c r="N2134" s="44"/>
      <c r="O2134" s="88"/>
      <c r="P2134" s="88"/>
    </row>
    <row r="2135" ht="15.0" customHeight="1">
      <c r="A2135" s="11" t="str">
        <f t="shared" si="4"/>
        <v>FDL-FORTUNER05AGC</v>
      </c>
      <c r="B2135" s="13" t="s">
        <v>2148</v>
      </c>
      <c r="C2135" s="13" t="s">
        <v>2402</v>
      </c>
      <c r="D2135" s="13" t="s">
        <v>104</v>
      </c>
      <c r="E2135" s="13" t="s">
        <v>101</v>
      </c>
      <c r="F2135" s="13" t="s">
        <v>2142</v>
      </c>
      <c r="G2135" s="14">
        <v>45988.0</v>
      </c>
      <c r="H2135" s="11">
        <f>SUMIFS(X!$F$3:$F$5978,X!$D$3:$D$5978,'Current Stock'!A2135)</f>
        <v>0</v>
      </c>
      <c r="I2135" s="11">
        <f>SUMIFS(PENJUALAN!$E$4:$E$3651,PENJUALAN!$C$4:$C$3651,'Current Stock'!A2135)</f>
        <v>0</v>
      </c>
      <c r="J2135" s="15">
        <f t="shared" si="2"/>
        <v>0</v>
      </c>
      <c r="K2135" s="13" t="s">
        <v>1757</v>
      </c>
      <c r="L2135" s="44"/>
      <c r="M2135" s="44"/>
      <c r="N2135" s="44"/>
      <c r="O2135" s="88"/>
      <c r="P2135" s="88"/>
    </row>
    <row r="2136" ht="15.0" customHeight="1">
      <c r="A2136" s="11" t="str">
        <f t="shared" si="4"/>
        <v>RDR-FORTUNER05AGC</v>
      </c>
      <c r="B2136" s="13" t="s">
        <v>1139</v>
      </c>
      <c r="C2136" s="13" t="s">
        <v>2404</v>
      </c>
      <c r="D2136" s="13" t="s">
        <v>86</v>
      </c>
      <c r="E2136" s="13" t="s">
        <v>101</v>
      </c>
      <c r="F2136" s="13" t="s">
        <v>2142</v>
      </c>
      <c r="G2136" s="14">
        <v>45988.0</v>
      </c>
      <c r="H2136" s="11">
        <f>SUMIFS(X!$F$3:$F$5978,X!$D$3:$D$5978,'Current Stock'!A2136)</f>
        <v>0</v>
      </c>
      <c r="I2136" s="11">
        <f>SUMIFS(PENJUALAN!$E$4:$E$3651,PENJUALAN!$C$4:$C$3651,'Current Stock'!A2136)</f>
        <v>0</v>
      </c>
      <c r="J2136" s="15">
        <f t="shared" si="2"/>
        <v>0</v>
      </c>
      <c r="K2136" s="13" t="s">
        <v>1137</v>
      </c>
      <c r="L2136" s="44"/>
      <c r="M2136" s="44"/>
      <c r="N2136" s="44"/>
      <c r="O2136" s="88"/>
      <c r="P2136" s="88"/>
    </row>
    <row r="2137" ht="15.0" customHeight="1">
      <c r="A2137" s="11" t="str">
        <f t="shared" si="4"/>
        <v>RDL-FORTUNER05AGC</v>
      </c>
      <c r="B2137" s="13" t="s">
        <v>1138</v>
      </c>
      <c r="C2137" s="13" t="s">
        <v>2404</v>
      </c>
      <c r="D2137" s="13" t="s">
        <v>92</v>
      </c>
      <c r="E2137" s="13" t="s">
        <v>101</v>
      </c>
      <c r="F2137" s="13" t="s">
        <v>2142</v>
      </c>
      <c r="G2137" s="14">
        <v>45988.0</v>
      </c>
      <c r="H2137" s="11">
        <f>SUMIFS(X!$F$3:$F$5978,X!$D$3:$D$5978,'Current Stock'!A2137)</f>
        <v>1</v>
      </c>
      <c r="I2137" s="11">
        <f>SUMIFS(PENJUALAN!$E$4:$E$3651,PENJUALAN!$C$4:$C$3651,'Current Stock'!A2137)</f>
        <v>1</v>
      </c>
      <c r="J2137" s="15">
        <f t="shared" si="2"/>
        <v>0</v>
      </c>
      <c r="K2137" s="13"/>
      <c r="L2137" s="44"/>
      <c r="M2137" s="44"/>
      <c r="N2137" s="44"/>
      <c r="O2137" s="88"/>
      <c r="P2137" s="88"/>
    </row>
    <row r="2138" ht="15.0" customHeight="1">
      <c r="A2138" s="11" t="str">
        <f t="shared" si="4"/>
        <v>LFW-FORTUNER15AGC</v>
      </c>
      <c r="B2138" s="13" t="s">
        <v>1142</v>
      </c>
      <c r="C2138" s="13" t="s">
        <v>2405</v>
      </c>
      <c r="D2138" s="13" t="s">
        <v>60</v>
      </c>
      <c r="E2138" s="13" t="s">
        <v>101</v>
      </c>
      <c r="F2138" s="13" t="s">
        <v>2403</v>
      </c>
      <c r="G2138" s="34"/>
      <c r="H2138" s="11">
        <f>SUMIFS(X!$F$3:$F$5978,X!$D$3:$D$5978,'Current Stock'!A2138)</f>
        <v>12</v>
      </c>
      <c r="I2138" s="11">
        <f>SUMIFS(PENJUALAN!$E$4:$E$3651,PENJUALAN!$C$4:$C$3651,'Current Stock'!A2138)</f>
        <v>9</v>
      </c>
      <c r="J2138" s="15">
        <f t="shared" si="2"/>
        <v>3</v>
      </c>
      <c r="K2138" s="13"/>
      <c r="L2138" s="13"/>
      <c r="M2138" s="44"/>
      <c r="N2138" s="44"/>
      <c r="O2138" s="88"/>
      <c r="P2138" s="88"/>
    </row>
    <row r="2139" ht="15.0" customHeight="1">
      <c r="A2139" s="11" t="str">
        <f t="shared" si="4"/>
        <v>TRW-FORTUNER15BLACKAGC</v>
      </c>
      <c r="B2139" s="13" t="s">
        <v>1145</v>
      </c>
      <c r="C2139" s="13" t="s">
        <v>2405</v>
      </c>
      <c r="D2139" s="13" t="s">
        <v>62</v>
      </c>
      <c r="E2139" s="13" t="s">
        <v>101</v>
      </c>
      <c r="F2139" s="13" t="s">
        <v>2406</v>
      </c>
      <c r="G2139" s="34"/>
      <c r="H2139" s="11">
        <f>SUMIFS(X!$F$3:$F$5978,X!$D$3:$D$5978,'Current Stock'!A2139)</f>
        <v>2</v>
      </c>
      <c r="I2139" s="11">
        <f>SUMIFS(PENJUALAN!$E$4:$E$3651,PENJUALAN!$C$4:$C$3651,'Current Stock'!A2139)</f>
        <v>2</v>
      </c>
      <c r="J2139" s="15">
        <f t="shared" si="2"/>
        <v>0</v>
      </c>
      <c r="K2139" s="13"/>
      <c r="L2139" s="13"/>
      <c r="M2139" s="44"/>
      <c r="N2139" s="44"/>
      <c r="O2139" s="88"/>
      <c r="P2139" s="88"/>
    </row>
    <row r="2140" ht="15.0" customHeight="1">
      <c r="A2140" s="11" t="str">
        <f t="shared" si="4"/>
        <v>FDR-FORTUNER15AGC</v>
      </c>
      <c r="B2140" s="13" t="s">
        <v>2407</v>
      </c>
      <c r="C2140" s="13" t="s">
        <v>2408</v>
      </c>
      <c r="D2140" s="13" t="s">
        <v>106</v>
      </c>
      <c r="E2140" s="13" t="s">
        <v>101</v>
      </c>
      <c r="F2140" s="13" t="s">
        <v>2142</v>
      </c>
      <c r="G2140" s="14">
        <v>45988.0</v>
      </c>
      <c r="H2140" s="11">
        <f>SUMIFS(X!$F$3:$F$5978,X!$D$3:$D$5978,'Current Stock'!A2140)</f>
        <v>4</v>
      </c>
      <c r="I2140" s="11">
        <f>SUMIFS(PENJUALAN!$E$4:$E$3651,PENJUALAN!$C$4:$C$3651,'Current Stock'!A2140)</f>
        <v>3</v>
      </c>
      <c r="J2140" s="15">
        <f t="shared" si="2"/>
        <v>1</v>
      </c>
      <c r="K2140" s="13"/>
      <c r="L2140" s="44"/>
      <c r="M2140" s="44"/>
      <c r="N2140" s="44"/>
      <c r="O2140" s="88"/>
      <c r="P2140" s="88"/>
    </row>
    <row r="2141" ht="15.0" customHeight="1">
      <c r="A2141" s="11" t="str">
        <f t="shared" si="4"/>
        <v>FDL-FORTUNER15AGC</v>
      </c>
      <c r="B2141" s="13" t="s">
        <v>2162</v>
      </c>
      <c r="C2141" s="13" t="s">
        <v>2408</v>
      </c>
      <c r="D2141" s="13" t="s">
        <v>104</v>
      </c>
      <c r="E2141" s="13" t="s">
        <v>101</v>
      </c>
      <c r="F2141" s="13" t="s">
        <v>2142</v>
      </c>
      <c r="G2141" s="14">
        <v>45988.0</v>
      </c>
      <c r="H2141" s="11">
        <f>SUMIFS(X!$F$3:$F$5978,X!$D$3:$D$5978,'Current Stock'!A2141)</f>
        <v>2</v>
      </c>
      <c r="I2141" s="11">
        <f>SUMIFS(PENJUALAN!$E$4:$E$3651,PENJUALAN!$C$4:$C$3651,'Current Stock'!A2141)</f>
        <v>1</v>
      </c>
      <c r="J2141" s="15">
        <f t="shared" si="2"/>
        <v>1</v>
      </c>
      <c r="K2141" s="13"/>
      <c r="L2141" s="44"/>
      <c r="M2141" s="44"/>
      <c r="N2141" s="44"/>
      <c r="O2141" s="88"/>
      <c r="P2141" s="88"/>
    </row>
    <row r="2142" ht="15.0" customHeight="1">
      <c r="A2142" s="11" t="str">
        <f t="shared" si="4"/>
        <v>RDR-FORTUNER15AGC</v>
      </c>
      <c r="B2142" s="13" t="s">
        <v>1148</v>
      </c>
      <c r="C2142" s="13" t="s">
        <v>2409</v>
      </c>
      <c r="D2142" s="13" t="s">
        <v>86</v>
      </c>
      <c r="E2142" s="13" t="s">
        <v>101</v>
      </c>
      <c r="F2142" s="13" t="s">
        <v>2410</v>
      </c>
      <c r="G2142" s="14">
        <v>45988.0</v>
      </c>
      <c r="H2142" s="11">
        <f>SUMIFS(X!$F$3:$F$5978,X!$D$3:$D$5978,'Current Stock'!A2142)</f>
        <v>4</v>
      </c>
      <c r="I2142" s="11">
        <f>SUMIFS(PENJUALAN!$E$4:$E$3651,PENJUALAN!$C$4:$C$3651,'Current Stock'!A2142)</f>
        <v>2</v>
      </c>
      <c r="J2142" s="15">
        <f t="shared" si="2"/>
        <v>2</v>
      </c>
      <c r="K2142" s="13"/>
      <c r="L2142" s="44"/>
      <c r="M2142" s="44"/>
      <c r="N2142" s="44"/>
      <c r="O2142" s="88"/>
      <c r="P2142" s="88"/>
    </row>
    <row r="2143" ht="15.0" customHeight="1">
      <c r="A2143" s="11" t="str">
        <f t="shared" si="4"/>
        <v>RDL-FORTUNER15AGC</v>
      </c>
      <c r="B2143" s="13" t="s">
        <v>1147</v>
      </c>
      <c r="C2143" s="13" t="s">
        <v>2409</v>
      </c>
      <c r="D2143" s="13" t="s">
        <v>92</v>
      </c>
      <c r="E2143" s="13" t="s">
        <v>101</v>
      </c>
      <c r="F2143" s="13" t="s">
        <v>2410</v>
      </c>
      <c r="G2143" s="34"/>
      <c r="H2143" s="11">
        <f>SUMIFS(X!$F$3:$F$5978,X!$D$3:$D$5978,'Current Stock'!A2143)</f>
        <v>5</v>
      </c>
      <c r="I2143" s="11">
        <f>SUMIFS(PENJUALAN!$E$4:$E$3651,PENJUALAN!$C$4:$C$3651,'Current Stock'!A2143)</f>
        <v>5</v>
      </c>
      <c r="J2143" s="15">
        <f t="shared" si="2"/>
        <v>0</v>
      </c>
      <c r="K2143" s="13"/>
      <c r="L2143" s="44"/>
      <c r="M2143" s="44"/>
      <c r="N2143" s="44"/>
      <c r="O2143" s="45"/>
      <c r="P2143" s="45"/>
    </row>
    <row r="2144" ht="15.0" customHeight="1">
      <c r="A2144" s="11" t="str">
        <f t="shared" si="4"/>
        <v>RVR-FORTUNER15AGC</v>
      </c>
      <c r="B2144" s="13" t="s">
        <v>2217</v>
      </c>
      <c r="C2144" s="13" t="s">
        <v>2409</v>
      </c>
      <c r="D2144" s="13" t="s">
        <v>2254</v>
      </c>
      <c r="E2144" s="13" t="s">
        <v>101</v>
      </c>
      <c r="F2144" s="13" t="s">
        <v>2410</v>
      </c>
      <c r="G2144" s="34"/>
      <c r="H2144" s="11">
        <f>SUMIFS(X!$F$3:$F$5978,X!$D$3:$D$5978,'Current Stock'!A2144)</f>
        <v>1</v>
      </c>
      <c r="I2144" s="11">
        <f>SUMIFS(PENJUALAN!$E$4:$E$3651,PENJUALAN!$C$4:$C$3651,'Current Stock'!A2144)</f>
        <v>0</v>
      </c>
      <c r="J2144" s="15">
        <f t="shared" si="2"/>
        <v>1</v>
      </c>
      <c r="K2144" s="13"/>
      <c r="L2144" s="44"/>
      <c r="M2144" s="44"/>
      <c r="N2144" s="44"/>
      <c r="O2144" s="45"/>
      <c r="P2144" s="45"/>
    </row>
    <row r="2145" ht="15.0" customHeight="1">
      <c r="A2145" s="11" t="str">
        <f t="shared" si="4"/>
        <v>RVL-FORTUNER15AGC</v>
      </c>
      <c r="B2145" s="13" t="s">
        <v>2216</v>
      </c>
      <c r="C2145" s="13" t="s">
        <v>2409</v>
      </c>
      <c r="D2145" s="13" t="s">
        <v>2322</v>
      </c>
      <c r="E2145" s="13" t="s">
        <v>101</v>
      </c>
      <c r="F2145" s="13" t="s">
        <v>2410</v>
      </c>
      <c r="G2145" s="34"/>
      <c r="H2145" s="11">
        <f>SUMIFS(X!$F$3:$F$5978,X!$D$3:$D$5978,'Current Stock'!A2145)</f>
        <v>1</v>
      </c>
      <c r="I2145" s="11">
        <f>SUMIFS(PENJUALAN!$E$4:$E$3651,PENJUALAN!$C$4:$C$3651,'Current Stock'!A2145)</f>
        <v>0</v>
      </c>
      <c r="J2145" s="15">
        <f t="shared" si="2"/>
        <v>1</v>
      </c>
      <c r="K2145" s="13" t="s">
        <v>1137</v>
      </c>
      <c r="L2145" s="44"/>
      <c r="M2145" s="44"/>
      <c r="N2145" s="44"/>
      <c r="O2145" s="45"/>
      <c r="P2145" s="45"/>
    </row>
    <row r="2146" ht="15.0" customHeight="1">
      <c r="A2146" s="11" t="str">
        <f t="shared" si="4"/>
        <v>SWR-FORTUNER15AGC</v>
      </c>
      <c r="B2146" s="13" t="s">
        <v>2218</v>
      </c>
      <c r="C2146" s="13" t="s">
        <v>2409</v>
      </c>
      <c r="D2146" s="13" t="s">
        <v>116</v>
      </c>
      <c r="E2146" s="13" t="s">
        <v>101</v>
      </c>
      <c r="F2146" s="13" t="s">
        <v>2410</v>
      </c>
      <c r="G2146" s="34"/>
      <c r="H2146" s="11">
        <f>SUMIFS(X!$F$3:$F$5978,X!$D$3:$D$5978,'Current Stock'!A2146)</f>
        <v>1</v>
      </c>
      <c r="I2146" s="11">
        <f>SUMIFS(PENJUALAN!$E$4:$E$3651,PENJUALAN!$C$4:$C$3651,'Current Stock'!A2146)</f>
        <v>0</v>
      </c>
      <c r="J2146" s="15">
        <f t="shared" si="2"/>
        <v>1</v>
      </c>
      <c r="K2146" s="13"/>
      <c r="L2146" s="44"/>
      <c r="M2146" s="44"/>
      <c r="N2146" s="44"/>
      <c r="O2146" s="45"/>
      <c r="P2146" s="45"/>
    </row>
    <row r="2147" ht="15.0" customHeight="1">
      <c r="A2147" s="11" t="str">
        <f t="shared" si="4"/>
        <v>SWL-FORTUNER15AGC</v>
      </c>
      <c r="B2147" s="13" t="s">
        <v>2219</v>
      </c>
      <c r="C2147" s="13" t="s">
        <v>2409</v>
      </c>
      <c r="D2147" s="13" t="s">
        <v>1410</v>
      </c>
      <c r="E2147" s="13" t="s">
        <v>101</v>
      </c>
      <c r="F2147" s="13" t="s">
        <v>2410</v>
      </c>
      <c r="G2147" s="34"/>
      <c r="H2147" s="11">
        <f>SUMIFS(X!$F$3:$F$5978,X!$D$3:$D$5978,'Current Stock'!A2147)</f>
        <v>1</v>
      </c>
      <c r="I2147" s="11">
        <f>SUMIFS(PENJUALAN!$E$4:$E$3651,PENJUALAN!$C$4:$C$3651,'Current Stock'!A2147)</f>
        <v>0</v>
      </c>
      <c r="J2147" s="15">
        <f t="shared" si="2"/>
        <v>1</v>
      </c>
      <c r="K2147" s="13" t="s">
        <v>1616</v>
      </c>
      <c r="L2147" s="44"/>
      <c r="M2147" s="44"/>
      <c r="N2147" s="44"/>
      <c r="O2147" s="45"/>
      <c r="P2147" s="45"/>
    </row>
    <row r="2148" ht="15.0" customHeight="1">
      <c r="A2148" s="11" t="str">
        <f t="shared" si="4"/>
        <v>TRW-FE700ASH</v>
      </c>
      <c r="B2148" s="13" t="s">
        <v>2411</v>
      </c>
      <c r="C2148" s="13" t="s">
        <v>1315</v>
      </c>
      <c r="D2148" s="13" t="s">
        <v>62</v>
      </c>
      <c r="E2148" s="13" t="s">
        <v>93</v>
      </c>
      <c r="F2148" s="44"/>
      <c r="G2148" s="34"/>
      <c r="H2148" s="11">
        <f>SUMIFS(X!$F$3:$F$5978,X!$D$3:$D$5978,'Current Stock'!A2148)</f>
        <v>1</v>
      </c>
      <c r="I2148" s="11">
        <f>SUMIFS(PENJUALAN!$E$4:$E$3651,PENJUALAN!$C$4:$C$3651,'Current Stock'!A2148)</f>
        <v>1</v>
      </c>
      <c r="J2148" s="15">
        <f t="shared" si="2"/>
        <v>0</v>
      </c>
      <c r="K2148" s="13"/>
      <c r="L2148" s="44"/>
      <c r="M2148" s="44"/>
      <c r="N2148" s="44"/>
      <c r="O2148" s="88"/>
      <c r="P2148" s="88"/>
    </row>
    <row r="2149" ht="15.0" customHeight="1">
      <c r="A2149" s="11" t="str">
        <f t="shared" si="4"/>
        <v>LFW-GRANMAXAGC</v>
      </c>
      <c r="B2149" s="13" t="s">
        <v>281</v>
      </c>
      <c r="C2149" s="13" t="s">
        <v>282</v>
      </c>
      <c r="D2149" s="13" t="s">
        <v>60</v>
      </c>
      <c r="E2149" s="13" t="s">
        <v>101</v>
      </c>
      <c r="F2149" s="13" t="s">
        <v>109</v>
      </c>
      <c r="G2149" s="11"/>
      <c r="H2149" s="11">
        <f>SUMIFS(X!$F$3:$F$5978,X!$D$3:$D$5978,'Current Stock'!A2149)</f>
        <v>0</v>
      </c>
      <c r="I2149" s="11">
        <f>SUMIFS(PENJUALAN!$E$4:$E$3651,PENJUALAN!$C$4:$C$3651,'Current Stock'!A2149)</f>
        <v>0</v>
      </c>
      <c r="J2149" s="15">
        <f t="shared" si="2"/>
        <v>0</v>
      </c>
      <c r="K2149" s="44"/>
      <c r="L2149" s="44"/>
      <c r="M2149" s="44"/>
      <c r="N2149" s="44"/>
      <c r="O2149" s="88"/>
      <c r="P2149" s="88"/>
    </row>
    <row r="2150" ht="15.0" customHeight="1">
      <c r="A2150" s="11" t="str">
        <f t="shared" si="4"/>
        <v>LFW-FORESTERMU</v>
      </c>
      <c r="B2150" s="13" t="s">
        <v>2412</v>
      </c>
      <c r="C2150" s="13" t="s">
        <v>2413</v>
      </c>
      <c r="D2150" s="13" t="s">
        <v>60</v>
      </c>
      <c r="E2150" s="13" t="s">
        <v>1633</v>
      </c>
      <c r="F2150" s="13" t="s">
        <v>137</v>
      </c>
      <c r="G2150" s="14">
        <v>45988.0</v>
      </c>
      <c r="H2150" s="11">
        <f>SUMIFS(X!$F$3:$F$5978,X!$D$3:$D$5978,'Current Stock'!A2150)</f>
        <v>0</v>
      </c>
      <c r="I2150" s="11">
        <f>SUMIFS(PENJUALAN!$E$4:$E$3651,PENJUALAN!$C$4:$C$3651,'Current Stock'!A2150)</f>
        <v>0</v>
      </c>
      <c r="J2150" s="15">
        <f t="shared" si="2"/>
        <v>0</v>
      </c>
      <c r="K2150" s="13" t="s">
        <v>1800</v>
      </c>
      <c r="L2150" s="44"/>
      <c r="M2150" s="44"/>
      <c r="N2150" s="44"/>
      <c r="O2150" s="88"/>
      <c r="P2150" s="88"/>
    </row>
    <row r="2151" ht="15.0" customHeight="1">
      <c r="A2151" s="11" t="str">
        <f t="shared" si="4"/>
        <v>TRW-ERTIGA18HAGC</v>
      </c>
      <c r="B2151" s="83" t="s">
        <v>2414</v>
      </c>
      <c r="C2151" s="13" t="s">
        <v>2415</v>
      </c>
      <c r="D2151" s="13" t="s">
        <v>62</v>
      </c>
      <c r="E2151" s="13" t="s">
        <v>101</v>
      </c>
      <c r="F2151" s="13" t="s">
        <v>83</v>
      </c>
      <c r="G2151" s="34">
        <v>45988.0</v>
      </c>
      <c r="H2151" s="11">
        <f>SUMIFS(X!$F$3:$F$5978,X!$D$3:$D$5978,'Current Stock'!A2151)</f>
        <v>5</v>
      </c>
      <c r="I2151" s="11">
        <f>SUMIFS(PENJUALAN!$E$4:$E$3651,PENJUALAN!$C$4:$C$3651,'Current Stock'!A2151)</f>
        <v>5</v>
      </c>
      <c r="J2151" s="15">
        <f t="shared" si="2"/>
        <v>0</v>
      </c>
      <c r="K2151" s="13" t="s">
        <v>2364</v>
      </c>
      <c r="L2151" s="44"/>
      <c r="M2151" s="44"/>
      <c r="N2151" s="44"/>
      <c r="O2151" s="88"/>
      <c r="P2151" s="88"/>
    </row>
    <row r="2152" ht="15.0" customHeight="1">
      <c r="A2152" s="11" t="str">
        <f t="shared" si="4"/>
        <v>TRW-ERTIGA18AGC</v>
      </c>
      <c r="B2152" s="83" t="s">
        <v>1710</v>
      </c>
      <c r="C2152" s="13" t="s">
        <v>2415</v>
      </c>
      <c r="D2152" s="13" t="s">
        <v>62</v>
      </c>
      <c r="E2152" s="13" t="s">
        <v>101</v>
      </c>
      <c r="F2152" s="13" t="s">
        <v>109</v>
      </c>
      <c r="G2152" s="34"/>
      <c r="H2152" s="11">
        <f>SUMIFS(X!$F$3:$F$5978,X!$D$3:$D$5978,'Current Stock'!A2152)</f>
        <v>1</v>
      </c>
      <c r="I2152" s="11">
        <f>SUMIFS(PENJUALAN!$E$4:$E$3651,PENJUALAN!$C$4:$C$3651,'Current Stock'!A2152)</f>
        <v>1</v>
      </c>
      <c r="J2152" s="15">
        <f t="shared" si="2"/>
        <v>0</v>
      </c>
      <c r="K2152" s="13"/>
      <c r="L2152" s="44"/>
      <c r="M2152" s="44"/>
      <c r="N2152" s="44"/>
      <c r="O2152" s="88"/>
      <c r="P2152" s="88"/>
    </row>
    <row r="2153" ht="15.0" customHeight="1">
      <c r="A2153" s="11" t="str">
        <f t="shared" si="4"/>
        <v>TRW-INNOVA04AGC</v>
      </c>
      <c r="B2153" s="83" t="s">
        <v>1167</v>
      </c>
      <c r="C2153" s="13" t="s">
        <v>2368</v>
      </c>
      <c r="D2153" s="13" t="s">
        <v>62</v>
      </c>
      <c r="E2153" s="13" t="s">
        <v>101</v>
      </c>
      <c r="F2153" s="13" t="s">
        <v>100</v>
      </c>
      <c r="G2153" s="34"/>
      <c r="H2153" s="11">
        <f>SUMIFS(X!$F$3:$F$5978,X!$D$3:$D$5978,'Current Stock'!A2153)</f>
        <v>2</v>
      </c>
      <c r="I2153" s="11">
        <f>SUMIFS(PENJUALAN!$E$4:$E$3651,PENJUALAN!$C$4:$C$3651,'Current Stock'!A2153)</f>
        <v>1</v>
      </c>
      <c r="J2153" s="15">
        <f t="shared" si="2"/>
        <v>1</v>
      </c>
      <c r="K2153" s="13"/>
      <c r="L2153" s="44"/>
      <c r="M2153" s="44"/>
      <c r="N2153" s="44"/>
      <c r="O2153" s="88"/>
      <c r="P2153" s="88"/>
    </row>
    <row r="2154" ht="15.0" customHeight="1">
      <c r="A2154" s="11" t="str">
        <f t="shared" si="4"/>
        <v>TRW-INNOVA04HAGC</v>
      </c>
      <c r="B2154" s="83" t="s">
        <v>1166</v>
      </c>
      <c r="C2154" s="13" t="s">
        <v>2368</v>
      </c>
      <c r="D2154" s="13" t="s">
        <v>62</v>
      </c>
      <c r="E2154" s="13" t="s">
        <v>101</v>
      </c>
      <c r="F2154" s="13" t="s">
        <v>119</v>
      </c>
      <c r="G2154" s="34"/>
      <c r="H2154" s="11">
        <f>SUMIFS(X!$F$3:$F$5978,X!$D$3:$D$5978,'Current Stock'!A2154)</f>
        <v>1</v>
      </c>
      <c r="I2154" s="11">
        <f>SUMIFS(PENJUALAN!$E$4:$E$3651,PENJUALAN!$C$4:$C$3651,'Current Stock'!A2154)</f>
        <v>0</v>
      </c>
      <c r="J2154" s="15">
        <f t="shared" si="2"/>
        <v>1</v>
      </c>
      <c r="K2154" s="13"/>
      <c r="L2154" s="44"/>
      <c r="M2154" s="44"/>
      <c r="N2154" s="44"/>
      <c r="O2154" s="88"/>
      <c r="P2154" s="88"/>
    </row>
    <row r="2155" ht="15.0" customHeight="1">
      <c r="A2155" s="23" t="str">
        <f t="shared" si="4"/>
        <v>FDL-KUDAASH</v>
      </c>
      <c r="B2155" s="100" t="s">
        <v>2416</v>
      </c>
      <c r="C2155" s="25" t="s">
        <v>1961</v>
      </c>
      <c r="D2155" s="25" t="s">
        <v>104</v>
      </c>
      <c r="E2155" s="25" t="s">
        <v>93</v>
      </c>
      <c r="F2155" s="87"/>
      <c r="G2155" s="28">
        <v>45988.0</v>
      </c>
      <c r="H2155" s="11">
        <f>SUMIFS(X!$F$3:$F$5978,X!$D$3:$D$5978,'Current Stock'!A2155)</f>
        <v>1</v>
      </c>
      <c r="I2155" s="11">
        <f>SUMIFS(PENJUALAN!$E$4:$E$3651,PENJUALAN!$C$4:$C$3651,'Current Stock'!A2155)</f>
        <v>0</v>
      </c>
      <c r="J2155" s="15">
        <f t="shared" si="2"/>
        <v>1</v>
      </c>
      <c r="K2155" s="25"/>
      <c r="L2155" s="87"/>
      <c r="M2155" s="87"/>
      <c r="N2155" s="87"/>
      <c r="O2155" s="91"/>
      <c r="P2155" s="91"/>
    </row>
    <row r="2156" ht="15.0" customHeight="1">
      <c r="A2156" s="11" t="str">
        <f t="shared" si="4"/>
        <v>LFW-JAZZ07AGC</v>
      </c>
      <c r="B2156" s="13" t="s">
        <v>482</v>
      </c>
      <c r="C2156" s="13" t="s">
        <v>2417</v>
      </c>
      <c r="D2156" s="13" t="s">
        <v>60</v>
      </c>
      <c r="E2156" s="13" t="s">
        <v>101</v>
      </c>
      <c r="F2156" s="13" t="s">
        <v>1358</v>
      </c>
      <c r="G2156" s="14">
        <v>45988.0</v>
      </c>
      <c r="H2156" s="11">
        <f>SUMIFS(X!$F$3:$F$5978,X!$D$3:$D$5978,'Current Stock'!A2156)</f>
        <v>2</v>
      </c>
      <c r="I2156" s="11">
        <f>SUMIFS(PENJUALAN!$E$4:$E$3651,PENJUALAN!$C$4:$C$3651,'Current Stock'!A2156)</f>
        <v>1</v>
      </c>
      <c r="J2156" s="15">
        <f t="shared" si="2"/>
        <v>1</v>
      </c>
      <c r="K2156" s="44"/>
      <c r="L2156" s="44"/>
      <c r="M2156" s="44"/>
      <c r="N2156" s="44"/>
      <c r="O2156" s="88"/>
      <c r="P2156" s="88"/>
    </row>
    <row r="2157" ht="15.0" customHeight="1">
      <c r="A2157" s="11" t="str">
        <f t="shared" si="4"/>
        <v>LFW-W204RSFR</v>
      </c>
      <c r="B2157" s="13" t="s">
        <v>785</v>
      </c>
      <c r="C2157" s="13" t="s">
        <v>2418</v>
      </c>
      <c r="D2157" s="13" t="s">
        <v>60</v>
      </c>
      <c r="E2157" s="13" t="s">
        <v>1429</v>
      </c>
      <c r="F2157" s="13" t="s">
        <v>124</v>
      </c>
      <c r="G2157" s="11"/>
      <c r="H2157" s="11">
        <f>SUMIFS(X!$F$3:$F$5978,X!$D$3:$D$5978,'Current Stock'!A2157)</f>
        <v>0</v>
      </c>
      <c r="I2157" s="11">
        <f>SUMIFS(PENJUALAN!$E$4:$E$3651,PENJUALAN!$C$4:$C$3651,'Current Stock'!A2157)</f>
        <v>0</v>
      </c>
      <c r="J2157" s="15">
        <f t="shared" si="2"/>
        <v>0</v>
      </c>
      <c r="K2157" s="13" t="s">
        <v>1137</v>
      </c>
      <c r="L2157" s="13"/>
      <c r="M2157" s="44"/>
      <c r="N2157" s="13" t="s">
        <v>2419</v>
      </c>
      <c r="O2157" s="45"/>
      <c r="P2157" s="45"/>
    </row>
    <row r="2158" ht="15.0" customHeight="1">
      <c r="A2158" s="11" t="str">
        <f t="shared" si="4"/>
        <v>TRW-OUTLANDERFR</v>
      </c>
      <c r="B2158" s="13" t="s">
        <v>881</v>
      </c>
      <c r="C2158" s="13" t="s">
        <v>2420</v>
      </c>
      <c r="D2158" s="13" t="s">
        <v>62</v>
      </c>
      <c r="E2158" s="13" t="s">
        <v>1429</v>
      </c>
      <c r="F2158" s="13" t="s">
        <v>1437</v>
      </c>
      <c r="G2158" s="11"/>
      <c r="H2158" s="11">
        <f>SUMIFS(X!$F$3:$F$5978,X!$D$3:$D$5978,'Current Stock'!A2158)</f>
        <v>0</v>
      </c>
      <c r="I2158" s="11">
        <f>SUMIFS(PENJUALAN!$E$4:$E$3651,PENJUALAN!$C$4:$C$3651,'Current Stock'!A2158)</f>
        <v>0</v>
      </c>
      <c r="J2158" s="15">
        <f t="shared" si="2"/>
        <v>0</v>
      </c>
      <c r="K2158" s="44"/>
      <c r="L2158" s="44"/>
      <c r="M2158" s="44"/>
      <c r="N2158" s="44"/>
      <c r="O2158" s="88"/>
      <c r="P2158" s="88"/>
    </row>
    <row r="2159" ht="15.0" customHeight="1">
      <c r="A2159" s="11" t="str">
        <f t="shared" si="4"/>
        <v>FDL-FJ200NSG</v>
      </c>
      <c r="B2159" s="13" t="s">
        <v>1196</v>
      </c>
      <c r="C2159" s="13" t="s">
        <v>2421</v>
      </c>
      <c r="D2159" s="13" t="s">
        <v>104</v>
      </c>
      <c r="E2159" s="13" t="s">
        <v>2422</v>
      </c>
      <c r="F2159" s="13" t="s">
        <v>2142</v>
      </c>
      <c r="G2159" s="34"/>
      <c r="H2159" s="11">
        <f>SUMIFS(X!$F$3:$F$5978,X!$D$3:$D$5978,'Current Stock'!A2159)</f>
        <v>1</v>
      </c>
      <c r="I2159" s="11">
        <f>SUMIFS(PENJUALAN!$E$4:$E$3651,PENJUALAN!$C$4:$C$3651,'Current Stock'!A2159)</f>
        <v>1</v>
      </c>
      <c r="J2159" s="15">
        <f t="shared" si="2"/>
        <v>0</v>
      </c>
      <c r="K2159" s="13" t="s">
        <v>1616</v>
      </c>
      <c r="L2159" s="44"/>
      <c r="M2159" s="44"/>
      <c r="N2159" s="44"/>
      <c r="O2159" s="88"/>
      <c r="P2159" s="88"/>
    </row>
    <row r="2160" ht="15.0" customHeight="1">
      <c r="A2160" s="11" t="str">
        <f t="shared" si="4"/>
        <v>TRW-AVANZA21HASH</v>
      </c>
      <c r="B2160" s="13" t="s">
        <v>2423</v>
      </c>
      <c r="C2160" s="13" t="s">
        <v>2214</v>
      </c>
      <c r="D2160" s="13" t="s">
        <v>62</v>
      </c>
      <c r="E2160" s="13" t="s">
        <v>93</v>
      </c>
      <c r="F2160" s="13" t="s">
        <v>1442</v>
      </c>
      <c r="G2160" s="14"/>
      <c r="H2160" s="11">
        <f>SUMIFS(X!$F$3:$F$5978,X!$D$3:$D$5978,'Current Stock'!A2160)</f>
        <v>4</v>
      </c>
      <c r="I2160" s="11">
        <f>SUMIFS(PENJUALAN!$E$4:$E$3651,PENJUALAN!$C$4:$C$3651,'Current Stock'!A2160)</f>
        <v>4</v>
      </c>
      <c r="J2160" s="15">
        <f t="shared" si="2"/>
        <v>0</v>
      </c>
      <c r="K2160" s="13"/>
      <c r="L2160" s="13"/>
      <c r="M2160" s="44"/>
      <c r="N2160" s="44"/>
      <c r="O2160" s="88"/>
      <c r="P2160" s="88"/>
    </row>
    <row r="2161" ht="15.0" customHeight="1">
      <c r="A2161" s="11" t="str">
        <f t="shared" si="4"/>
        <v>TRW-SWIFT04AGC</v>
      </c>
      <c r="B2161" s="13" t="s">
        <v>1732</v>
      </c>
      <c r="C2161" s="13" t="s">
        <v>1731</v>
      </c>
      <c r="D2161" s="13" t="s">
        <v>62</v>
      </c>
      <c r="E2161" s="13" t="s">
        <v>101</v>
      </c>
      <c r="F2161" s="13" t="s">
        <v>109</v>
      </c>
      <c r="G2161" s="11"/>
      <c r="H2161" s="11">
        <f>SUMIFS(X!$F$3:$F$5978,X!$D$3:$D$5978,'Current Stock'!A2161)</f>
        <v>0</v>
      </c>
      <c r="I2161" s="11">
        <f>SUMIFS(PENJUALAN!$E$4:$E$3651,PENJUALAN!$C$4:$C$3651,'Current Stock'!A2161)</f>
        <v>0</v>
      </c>
      <c r="J2161" s="15">
        <f t="shared" si="2"/>
        <v>0</v>
      </c>
      <c r="K2161" s="13"/>
      <c r="L2161" s="13"/>
      <c r="M2161" s="44"/>
      <c r="N2161" s="44"/>
      <c r="O2161" s="88"/>
      <c r="P2161" s="88"/>
    </row>
    <row r="2162" ht="15.0" customHeight="1">
      <c r="A2162" s="11" t="str">
        <f t="shared" si="4"/>
        <v>LFW-INNOVA04AGC</v>
      </c>
      <c r="B2162" s="13" t="s">
        <v>1164</v>
      </c>
      <c r="C2162" s="13" t="s">
        <v>2368</v>
      </c>
      <c r="D2162" s="13" t="s">
        <v>60</v>
      </c>
      <c r="E2162" s="13" t="s">
        <v>101</v>
      </c>
      <c r="F2162" s="13" t="s">
        <v>1358</v>
      </c>
      <c r="G2162" s="34">
        <v>46025.0</v>
      </c>
      <c r="H2162" s="11">
        <f>SUMIFS(X!$F$3:$F$5978,X!$D$3:$D$5978,'Current Stock'!A2162)</f>
        <v>10</v>
      </c>
      <c r="I2162" s="11">
        <f>SUMIFS(PENJUALAN!$E$4:$E$3651,PENJUALAN!$C$4:$C$3651,'Current Stock'!A2162)</f>
        <v>9</v>
      </c>
      <c r="J2162" s="15">
        <f t="shared" si="2"/>
        <v>1</v>
      </c>
      <c r="K2162" s="13" t="s">
        <v>1342</v>
      </c>
      <c r="L2162" s="44"/>
      <c r="M2162" s="44"/>
      <c r="N2162" s="44"/>
      <c r="O2162" s="88"/>
      <c r="P2162" s="88"/>
    </row>
    <row r="2163" ht="15.0" customHeight="1">
      <c r="A2163" s="11" t="str">
        <f t="shared" si="4"/>
        <v>FDL-ALMAZAGC</v>
      </c>
      <c r="B2163" s="13" t="s">
        <v>2424</v>
      </c>
      <c r="C2163" s="13" t="s">
        <v>2425</v>
      </c>
      <c r="D2163" s="13" t="s">
        <v>104</v>
      </c>
      <c r="E2163" s="13" t="s">
        <v>101</v>
      </c>
      <c r="F2163" s="13" t="s">
        <v>2142</v>
      </c>
      <c r="G2163" s="34"/>
      <c r="H2163" s="11">
        <f>SUMIFS(X!$F$3:$F$5978,X!$D$3:$D$5978,'Current Stock'!A2163)</f>
        <v>1</v>
      </c>
      <c r="I2163" s="11">
        <f>SUMIFS(PENJUALAN!$E$4:$E$3651,PENJUALAN!$C$4:$C$3651,'Current Stock'!A2163)</f>
        <v>1</v>
      </c>
      <c r="J2163" s="15">
        <f t="shared" si="2"/>
        <v>0</v>
      </c>
      <c r="K2163" s="13" t="s">
        <v>1800</v>
      </c>
      <c r="L2163" s="44"/>
      <c r="M2163" s="44"/>
      <c r="N2163" s="44"/>
      <c r="O2163" s="88"/>
      <c r="P2163" s="88"/>
    </row>
    <row r="2164" ht="15.0" customHeight="1">
      <c r="A2164" s="11" t="str">
        <f t="shared" si="4"/>
        <v>SWL-ERTIGA18AGC</v>
      </c>
      <c r="B2164" s="13" t="s">
        <v>2426</v>
      </c>
      <c r="C2164" s="13" t="s">
        <v>1709</v>
      </c>
      <c r="D2164" s="13" t="s">
        <v>1410</v>
      </c>
      <c r="E2164" s="13" t="s">
        <v>101</v>
      </c>
      <c r="F2164" s="13" t="s">
        <v>109</v>
      </c>
      <c r="G2164" s="11"/>
      <c r="H2164" s="11">
        <f>SUMIFS(X!$F$3:$F$5978,X!$D$3:$D$5978,'Current Stock'!A2164)</f>
        <v>2</v>
      </c>
      <c r="I2164" s="11">
        <f>SUMIFS(PENJUALAN!$E$4:$E$3651,PENJUALAN!$C$4:$C$3651,'Current Stock'!A2164)</f>
        <v>2</v>
      </c>
      <c r="J2164" s="15">
        <f t="shared" si="2"/>
        <v>0</v>
      </c>
      <c r="K2164" s="44"/>
      <c r="L2164" s="44"/>
      <c r="M2164" s="44"/>
      <c r="N2164" s="44"/>
      <c r="O2164" s="88"/>
      <c r="P2164" s="88"/>
    </row>
    <row r="2165" ht="15.0" customHeight="1">
      <c r="A2165" s="11" t="str">
        <f t="shared" si="4"/>
        <v>SWR-ERTIGA18AGC</v>
      </c>
      <c r="B2165" s="13" t="s">
        <v>2427</v>
      </c>
      <c r="C2165" s="13" t="s">
        <v>1709</v>
      </c>
      <c r="D2165" s="13" t="s">
        <v>116</v>
      </c>
      <c r="E2165" s="13" t="s">
        <v>101</v>
      </c>
      <c r="F2165" s="13" t="s">
        <v>109</v>
      </c>
      <c r="G2165" s="11"/>
      <c r="H2165" s="11">
        <f>SUMIFS(X!$F$3:$F$5978,X!$D$3:$D$5978,'Current Stock'!A2165)</f>
        <v>0</v>
      </c>
      <c r="I2165" s="11">
        <f>SUMIFS(PENJUALAN!$E$4:$E$3651,PENJUALAN!$C$4:$C$3651,'Current Stock'!A2165)</f>
        <v>0</v>
      </c>
      <c r="J2165" s="15">
        <f t="shared" si="2"/>
        <v>0</v>
      </c>
      <c r="K2165" s="13"/>
      <c r="L2165" s="44"/>
      <c r="M2165" s="44"/>
      <c r="N2165" s="44"/>
      <c r="O2165" s="88"/>
      <c r="P2165" s="88"/>
    </row>
    <row r="2166" ht="15.0" customHeight="1">
      <c r="A2166" s="11" t="str">
        <f t="shared" si="4"/>
        <v>LFW-INNOVA04COP</v>
      </c>
      <c r="B2166" s="13" t="s">
        <v>1164</v>
      </c>
      <c r="C2166" s="13" t="s">
        <v>2428</v>
      </c>
      <c r="D2166" s="13" t="s">
        <v>60</v>
      </c>
      <c r="E2166" s="13" t="s">
        <v>2429</v>
      </c>
      <c r="F2166" s="13" t="s">
        <v>1358</v>
      </c>
      <c r="G2166" s="14">
        <v>45988.0</v>
      </c>
      <c r="H2166" s="11">
        <f>SUMIFS(X!$F$3:$F$5978,X!$D$3:$D$5978,'Current Stock'!A2166)</f>
        <v>0</v>
      </c>
      <c r="I2166" s="11">
        <f>SUMIFS(PENJUALAN!$E$4:$E$3651,PENJUALAN!$C$4:$C$3651,'Current Stock'!A2166)</f>
        <v>0</v>
      </c>
      <c r="J2166" s="15">
        <f t="shared" si="2"/>
        <v>0</v>
      </c>
      <c r="K2166" s="13" t="s">
        <v>1647</v>
      </c>
      <c r="L2166" s="44"/>
      <c r="M2166" s="44"/>
      <c r="N2166" s="44"/>
      <c r="O2166" s="88"/>
      <c r="P2166" s="88"/>
    </row>
    <row r="2167" ht="15.0" customHeight="1">
      <c r="A2167" s="11" t="str">
        <f t="shared" si="4"/>
        <v>LFW-XPANDERCOP</v>
      </c>
      <c r="B2167" s="13" t="s">
        <v>1631</v>
      </c>
      <c r="C2167" s="13" t="s">
        <v>2430</v>
      </c>
      <c r="D2167" s="13" t="s">
        <v>60</v>
      </c>
      <c r="E2167" s="13" t="s">
        <v>2429</v>
      </c>
      <c r="F2167" s="13" t="s">
        <v>137</v>
      </c>
      <c r="G2167" s="14">
        <v>45988.0</v>
      </c>
      <c r="H2167" s="11">
        <f>SUMIFS(X!$F$3:$F$5978,X!$D$3:$D$5978,'Current Stock'!A2167)</f>
        <v>0</v>
      </c>
      <c r="I2167" s="11">
        <f>SUMIFS(PENJUALAN!$E$4:$E$3651,PENJUALAN!$C$4:$C$3651,'Current Stock'!A2167)</f>
        <v>0</v>
      </c>
      <c r="J2167" s="15">
        <f t="shared" si="2"/>
        <v>0</v>
      </c>
      <c r="K2167" s="13" t="s">
        <v>472</v>
      </c>
      <c r="L2167" s="44"/>
      <c r="M2167" s="44"/>
      <c r="N2167" s="44"/>
      <c r="O2167" s="88"/>
      <c r="P2167" s="88"/>
    </row>
    <row r="2168" ht="15.0" customHeight="1">
      <c r="A2168" s="11" t="str">
        <f t="shared" si="4"/>
        <v>SWL-TAFTGTASH</v>
      </c>
      <c r="B2168" s="13" t="s">
        <v>2431</v>
      </c>
      <c r="C2168" s="13" t="s">
        <v>2432</v>
      </c>
      <c r="D2168" s="13" t="s">
        <v>1410</v>
      </c>
      <c r="E2168" s="13" t="s">
        <v>93</v>
      </c>
      <c r="F2168" s="13" t="s">
        <v>2433</v>
      </c>
      <c r="G2168" s="14">
        <v>45988.0</v>
      </c>
      <c r="H2168" s="11">
        <f>SUMIFS(X!$F$3:$F$5978,X!$D$3:$D$5978,'Current Stock'!A2168)</f>
        <v>0</v>
      </c>
      <c r="I2168" s="11">
        <f>SUMIFS(PENJUALAN!$E$4:$E$3651,PENJUALAN!$C$4:$C$3651,'Current Stock'!A2168)</f>
        <v>0</v>
      </c>
      <c r="J2168" s="15">
        <f t="shared" si="2"/>
        <v>0</v>
      </c>
      <c r="K2168" s="13"/>
      <c r="L2168" s="44"/>
      <c r="M2168" s="44"/>
      <c r="N2168" s="44"/>
      <c r="O2168" s="88"/>
      <c r="P2168" s="88"/>
    </row>
    <row r="2169" ht="15.0" customHeight="1">
      <c r="A2169" s="11" t="str">
        <f t="shared" si="4"/>
        <v>SWR-TAFTGTASH</v>
      </c>
      <c r="B2169" s="13" t="s">
        <v>2434</v>
      </c>
      <c r="C2169" s="13" t="s">
        <v>2432</v>
      </c>
      <c r="D2169" s="13" t="s">
        <v>116</v>
      </c>
      <c r="E2169" s="13" t="s">
        <v>93</v>
      </c>
      <c r="F2169" s="13" t="s">
        <v>2433</v>
      </c>
      <c r="G2169" s="14">
        <v>45988.0</v>
      </c>
      <c r="H2169" s="11">
        <f>SUMIFS(X!$F$3:$F$5978,X!$D$3:$D$5978,'Current Stock'!A2169)</f>
        <v>0</v>
      </c>
      <c r="I2169" s="11">
        <f>SUMIFS(PENJUALAN!$E$4:$E$3651,PENJUALAN!$C$4:$C$3651,'Current Stock'!A2169)</f>
        <v>0</v>
      </c>
      <c r="J2169" s="15">
        <f t="shared" si="2"/>
        <v>0</v>
      </c>
      <c r="K2169" s="13" t="s">
        <v>2053</v>
      </c>
      <c r="L2169" s="44"/>
      <c r="M2169" s="44"/>
      <c r="N2169" s="44"/>
      <c r="O2169" s="88"/>
      <c r="P2169" s="88"/>
    </row>
    <row r="2170" ht="15.0" customHeight="1">
      <c r="A2170" s="11" t="str">
        <f t="shared" si="4"/>
        <v>LFW-TERIOS06AGC</v>
      </c>
      <c r="B2170" s="13" t="s">
        <v>1247</v>
      </c>
      <c r="C2170" s="13" t="s">
        <v>2435</v>
      </c>
      <c r="D2170" s="13" t="s">
        <v>60</v>
      </c>
      <c r="E2170" s="13" t="s">
        <v>101</v>
      </c>
      <c r="F2170" s="13" t="s">
        <v>109</v>
      </c>
      <c r="G2170" s="11"/>
      <c r="H2170" s="11">
        <f>SUMIFS(X!$F$3:$F$5978,X!$D$3:$D$5978,'Current Stock'!A2170)</f>
        <v>2</v>
      </c>
      <c r="I2170" s="11">
        <f>SUMIFS(PENJUALAN!$E$4:$E$3651,PENJUALAN!$C$4:$C$3651,'Current Stock'!A2170)</f>
        <v>1</v>
      </c>
      <c r="J2170" s="15">
        <f t="shared" si="2"/>
        <v>1</v>
      </c>
      <c r="K2170" s="13"/>
      <c r="L2170" s="44"/>
      <c r="M2170" s="44"/>
      <c r="N2170" s="44"/>
      <c r="O2170" s="88"/>
      <c r="P2170" s="88"/>
    </row>
    <row r="2171" ht="15.0" customHeight="1">
      <c r="A2171" s="11" t="str">
        <f t="shared" si="4"/>
        <v>SWL-ERTIGA12AGC</v>
      </c>
      <c r="B2171" s="13" t="s">
        <v>2436</v>
      </c>
      <c r="C2171" s="13" t="s">
        <v>2437</v>
      </c>
      <c r="D2171" s="13" t="s">
        <v>1410</v>
      </c>
      <c r="E2171" s="13" t="s">
        <v>101</v>
      </c>
      <c r="F2171" s="13" t="s">
        <v>109</v>
      </c>
      <c r="G2171" s="11"/>
      <c r="H2171" s="11">
        <f>SUMIFS(X!$F$3:$F$5978,X!$D$3:$D$5978,'Current Stock'!A2171)</f>
        <v>0</v>
      </c>
      <c r="I2171" s="11">
        <f>SUMIFS(PENJUALAN!$E$4:$E$3651,PENJUALAN!$C$4:$C$3651,'Current Stock'!A2171)</f>
        <v>0</v>
      </c>
      <c r="J2171" s="15">
        <f t="shared" si="2"/>
        <v>0</v>
      </c>
      <c r="K2171" s="44"/>
      <c r="L2171" s="44"/>
      <c r="M2171" s="44"/>
      <c r="N2171" s="44"/>
      <c r="O2171" s="88"/>
      <c r="P2171" s="88"/>
    </row>
    <row r="2172" ht="15.0" customHeight="1">
      <c r="A2172" s="11" t="str">
        <f t="shared" si="4"/>
        <v>LFW-AGYA13AGC</v>
      </c>
      <c r="B2172" s="13" t="s">
        <v>2004</v>
      </c>
      <c r="C2172" s="13" t="s">
        <v>2438</v>
      </c>
      <c r="D2172" s="13" t="s">
        <v>60</v>
      </c>
      <c r="E2172" s="13" t="s">
        <v>101</v>
      </c>
      <c r="F2172" s="13" t="s">
        <v>109</v>
      </c>
      <c r="G2172" s="14">
        <v>45988.0</v>
      </c>
      <c r="H2172" s="11">
        <f>SUMIFS(X!$F$3:$F$5978,X!$D$3:$D$5978,'Current Stock'!A2172)</f>
        <v>0</v>
      </c>
      <c r="I2172" s="11">
        <f>SUMIFS(PENJUALAN!$E$4:$E$3651,PENJUALAN!$C$4:$C$3651,'Current Stock'!A2172)</f>
        <v>0</v>
      </c>
      <c r="J2172" s="15">
        <f t="shared" si="2"/>
        <v>0</v>
      </c>
      <c r="K2172" s="13"/>
      <c r="L2172" s="44"/>
      <c r="M2172" s="44"/>
      <c r="N2172" s="44"/>
      <c r="O2172" s="88"/>
      <c r="P2172" s="88"/>
    </row>
    <row r="2173" ht="15.0" customHeight="1">
      <c r="A2173" s="11" t="str">
        <f t="shared" si="4"/>
        <v>RDL-HRV22AGC</v>
      </c>
      <c r="B2173" s="13" t="s">
        <v>2439</v>
      </c>
      <c r="C2173" s="13" t="s">
        <v>2272</v>
      </c>
      <c r="D2173" s="13" t="s">
        <v>92</v>
      </c>
      <c r="E2173" s="13" t="s">
        <v>101</v>
      </c>
      <c r="F2173" s="13" t="s">
        <v>2142</v>
      </c>
      <c r="G2173" s="34">
        <v>45988.0</v>
      </c>
      <c r="H2173" s="11">
        <f>SUMIFS(X!$F$3:$F$5978,X!$D$3:$D$5978,'Current Stock'!A2173)</f>
        <v>4</v>
      </c>
      <c r="I2173" s="11">
        <f>SUMIFS(PENJUALAN!$E$4:$E$3651,PENJUALAN!$C$4:$C$3651,'Current Stock'!A2173)</f>
        <v>2</v>
      </c>
      <c r="J2173" s="15">
        <f t="shared" si="2"/>
        <v>2</v>
      </c>
      <c r="K2173" s="13" t="s">
        <v>2364</v>
      </c>
      <c r="L2173" s="44"/>
      <c r="M2173" s="44"/>
      <c r="N2173" s="44"/>
      <c r="O2173" s="88"/>
      <c r="P2173" s="88"/>
    </row>
    <row r="2174" ht="15.0" customHeight="1">
      <c r="A2174" s="11" t="str">
        <f t="shared" si="4"/>
        <v>SWL-SIENTAASH</v>
      </c>
      <c r="B2174" s="13" t="s">
        <v>2440</v>
      </c>
      <c r="C2174" s="13" t="s">
        <v>1253</v>
      </c>
      <c r="D2174" s="13" t="s">
        <v>1410</v>
      </c>
      <c r="E2174" s="13" t="s">
        <v>93</v>
      </c>
      <c r="F2174" s="13" t="s">
        <v>109</v>
      </c>
      <c r="G2174" s="34"/>
      <c r="H2174" s="11">
        <f>SUMIFS(X!$F$3:$F$5978,X!$D$3:$D$5978,'Current Stock'!A2174)</f>
        <v>1</v>
      </c>
      <c r="I2174" s="11">
        <f>SUMIFS(PENJUALAN!$E$4:$E$3651,PENJUALAN!$C$4:$C$3651,'Current Stock'!A2174)</f>
        <v>1</v>
      </c>
      <c r="J2174" s="15">
        <f t="shared" si="2"/>
        <v>0</v>
      </c>
      <c r="K2174" s="44"/>
      <c r="L2174" s="44"/>
      <c r="M2174" s="44"/>
      <c r="N2174" s="44"/>
      <c r="O2174" s="88"/>
      <c r="P2174" s="88"/>
    </row>
    <row r="2175" ht="15.0" customHeight="1">
      <c r="A2175" s="11" t="str">
        <f t="shared" si="4"/>
        <v>LFW-AUDIB808XYG</v>
      </c>
      <c r="B2175" s="13" t="s">
        <v>2441</v>
      </c>
      <c r="C2175" s="13" t="s">
        <v>2442</v>
      </c>
      <c r="D2175" s="13" t="s">
        <v>60</v>
      </c>
      <c r="E2175" s="13" t="s">
        <v>16</v>
      </c>
      <c r="F2175" s="13" t="s">
        <v>124</v>
      </c>
      <c r="G2175" s="34">
        <v>45988.0</v>
      </c>
      <c r="H2175" s="11">
        <f>SUMIFS(X!$F$3:$F$5978,X!$D$3:$D$5978,'Current Stock'!A2175)</f>
        <v>1</v>
      </c>
      <c r="I2175" s="11">
        <f>SUMIFS(PENJUALAN!$E$4:$E$3651,PENJUALAN!$C$4:$C$3651,'Current Stock'!A2175)</f>
        <v>0</v>
      </c>
      <c r="J2175" s="15">
        <f t="shared" si="2"/>
        <v>1</v>
      </c>
      <c r="K2175" s="13" t="s">
        <v>1800</v>
      </c>
      <c r="L2175" s="44"/>
      <c r="M2175" s="44"/>
      <c r="N2175" s="44"/>
      <c r="O2175" s="88"/>
      <c r="P2175" s="88"/>
    </row>
    <row r="2176" ht="15.0" customHeight="1">
      <c r="A2176" s="11" t="str">
        <f t="shared" si="4"/>
        <v>TRW-INNOVA15AGC</v>
      </c>
      <c r="B2176" s="13" t="s">
        <v>1813</v>
      </c>
      <c r="C2176" s="13" t="s">
        <v>1621</v>
      </c>
      <c r="D2176" s="13" t="s">
        <v>62</v>
      </c>
      <c r="E2176" s="13" t="s">
        <v>101</v>
      </c>
      <c r="F2176" s="13" t="s">
        <v>2443</v>
      </c>
      <c r="G2176" s="34">
        <v>45988.0</v>
      </c>
      <c r="H2176" s="11">
        <f>SUMIFS(X!$F$3:$F$5978,X!$D$3:$D$5978,'Current Stock'!A2176)</f>
        <v>3</v>
      </c>
      <c r="I2176" s="11">
        <f>SUMIFS(PENJUALAN!$E$4:$E$3651,PENJUALAN!$C$4:$C$3651,'Current Stock'!A2176)</f>
        <v>2</v>
      </c>
      <c r="J2176" s="15">
        <f t="shared" si="2"/>
        <v>1</v>
      </c>
      <c r="K2176" s="13" t="s">
        <v>2182</v>
      </c>
      <c r="L2176" s="44"/>
      <c r="M2176" s="44"/>
      <c r="N2176" s="44"/>
      <c r="O2176" s="88"/>
      <c r="P2176" s="88"/>
    </row>
    <row r="2177" ht="15.0" customHeight="1">
      <c r="A2177" s="11" t="str">
        <f t="shared" si="4"/>
        <v>FDL-INNOVA15AGC</v>
      </c>
      <c r="B2177" s="13" t="s">
        <v>2010</v>
      </c>
      <c r="C2177" s="13" t="s">
        <v>1621</v>
      </c>
      <c r="D2177" s="13" t="s">
        <v>104</v>
      </c>
      <c r="E2177" s="13" t="s">
        <v>101</v>
      </c>
      <c r="F2177" s="13" t="s">
        <v>2142</v>
      </c>
      <c r="G2177" s="34">
        <v>45988.0</v>
      </c>
      <c r="H2177" s="11">
        <f>SUMIFS(X!$F$3:$F$5978,X!$D$3:$D$5978,'Current Stock'!A2177)</f>
        <v>2</v>
      </c>
      <c r="I2177" s="11">
        <f>SUMIFS(PENJUALAN!$E$4:$E$3651,PENJUALAN!$C$4:$C$3651,'Current Stock'!A2177)</f>
        <v>1</v>
      </c>
      <c r="J2177" s="15">
        <f t="shared" si="2"/>
        <v>1</v>
      </c>
      <c r="K2177" s="13" t="s">
        <v>2182</v>
      </c>
      <c r="L2177" s="44"/>
      <c r="M2177" s="44"/>
      <c r="N2177" s="44"/>
      <c r="O2177" s="88"/>
      <c r="P2177" s="88"/>
    </row>
    <row r="2178" ht="15.0" customHeight="1">
      <c r="A2178" s="11" t="str">
        <f t="shared" si="4"/>
        <v>FDR-INNOVA15AGC</v>
      </c>
      <c r="B2178" s="13" t="s">
        <v>2070</v>
      </c>
      <c r="C2178" s="13" t="s">
        <v>1621</v>
      </c>
      <c r="D2178" s="13" t="s">
        <v>106</v>
      </c>
      <c r="E2178" s="13" t="s">
        <v>101</v>
      </c>
      <c r="F2178" s="13" t="s">
        <v>2142</v>
      </c>
      <c r="G2178" s="34">
        <v>45988.0</v>
      </c>
      <c r="H2178" s="11">
        <f>SUMIFS(X!$F$3:$F$5978,X!$D$3:$D$5978,'Current Stock'!A2178)</f>
        <v>2</v>
      </c>
      <c r="I2178" s="11">
        <f>SUMIFS(PENJUALAN!$E$4:$E$3651,PENJUALAN!$C$4:$C$3651,'Current Stock'!A2178)</f>
        <v>1</v>
      </c>
      <c r="J2178" s="15">
        <f t="shared" si="2"/>
        <v>1</v>
      </c>
      <c r="K2178" s="13"/>
      <c r="L2178" s="44"/>
      <c r="M2178" s="44"/>
      <c r="N2178" s="44"/>
      <c r="O2178" s="88"/>
      <c r="P2178" s="88"/>
    </row>
    <row r="2179" ht="15.0" customHeight="1">
      <c r="A2179" s="11" t="str">
        <f t="shared" si="4"/>
        <v>RDL-INNOVA15AGC</v>
      </c>
      <c r="B2179" s="13" t="s">
        <v>2071</v>
      </c>
      <c r="C2179" s="13" t="s">
        <v>1621</v>
      </c>
      <c r="D2179" s="13" t="s">
        <v>92</v>
      </c>
      <c r="E2179" s="13" t="s">
        <v>101</v>
      </c>
      <c r="F2179" s="13" t="s">
        <v>2142</v>
      </c>
      <c r="G2179" s="34">
        <v>45988.0</v>
      </c>
      <c r="H2179" s="11">
        <f>SUMIFS(X!$F$3:$F$5978,X!$D$3:$D$5978,'Current Stock'!A2179)</f>
        <v>4</v>
      </c>
      <c r="I2179" s="11">
        <f>SUMIFS(PENJUALAN!$E$4:$E$3651,PENJUALAN!$C$4:$C$3651,'Current Stock'!A2179)</f>
        <v>3</v>
      </c>
      <c r="J2179" s="15">
        <f t="shared" si="2"/>
        <v>1</v>
      </c>
      <c r="K2179" s="13"/>
      <c r="L2179" s="44"/>
      <c r="M2179" s="44"/>
      <c r="N2179" s="44"/>
      <c r="O2179" s="88"/>
      <c r="P2179" s="88"/>
    </row>
    <row r="2180" ht="15.0" customHeight="1">
      <c r="A2180" s="11" t="str">
        <f t="shared" si="4"/>
        <v>RDR-INNOVA15AGC</v>
      </c>
      <c r="B2180" s="13" t="s">
        <v>1762</v>
      </c>
      <c r="C2180" s="13" t="s">
        <v>1621</v>
      </c>
      <c r="D2180" s="13" t="s">
        <v>86</v>
      </c>
      <c r="E2180" s="13" t="s">
        <v>101</v>
      </c>
      <c r="F2180" s="13" t="s">
        <v>2142</v>
      </c>
      <c r="G2180" s="34"/>
      <c r="H2180" s="11">
        <f>SUMIFS(X!$F$3:$F$5978,X!$D$3:$D$5978,'Current Stock'!A2180)</f>
        <v>4</v>
      </c>
      <c r="I2180" s="11">
        <f>SUMIFS(PENJUALAN!$E$4:$E$3651,PENJUALAN!$C$4:$C$3651,'Current Stock'!A2180)</f>
        <v>2</v>
      </c>
      <c r="J2180" s="15">
        <f t="shared" si="2"/>
        <v>2</v>
      </c>
      <c r="K2180" s="13" t="s">
        <v>472</v>
      </c>
      <c r="L2180" s="44"/>
      <c r="M2180" s="44"/>
      <c r="N2180" s="44"/>
      <c r="O2180" s="88"/>
      <c r="P2180" s="88"/>
    </row>
    <row r="2181" ht="15.0" customHeight="1">
      <c r="A2181" s="11" t="str">
        <f t="shared" si="4"/>
        <v>SWL-INNOVA15HTMAGC</v>
      </c>
      <c r="B2181" s="13" t="s">
        <v>2444</v>
      </c>
      <c r="C2181" s="13" t="s">
        <v>1621</v>
      </c>
      <c r="D2181" s="13" t="s">
        <v>1410</v>
      </c>
      <c r="E2181" s="13" t="s">
        <v>101</v>
      </c>
      <c r="F2181" s="13" t="s">
        <v>2445</v>
      </c>
      <c r="G2181" s="34">
        <v>45988.0</v>
      </c>
      <c r="H2181" s="11">
        <f>SUMIFS(X!$F$3:$F$5978,X!$D$3:$D$5978,'Current Stock'!A2181)</f>
        <v>1</v>
      </c>
      <c r="I2181" s="11">
        <f>SUMIFS(PENJUALAN!$E$4:$E$3651,PENJUALAN!$C$4:$C$3651,'Current Stock'!A2181)</f>
        <v>0</v>
      </c>
      <c r="J2181" s="15">
        <f t="shared" si="2"/>
        <v>1</v>
      </c>
      <c r="K2181" s="13" t="s">
        <v>2182</v>
      </c>
      <c r="L2181" s="44"/>
      <c r="M2181" s="44"/>
      <c r="N2181" s="44"/>
      <c r="O2181" s="88"/>
      <c r="P2181" s="88"/>
    </row>
    <row r="2182" ht="15.0" customHeight="1">
      <c r="A2182" s="11" t="str">
        <f t="shared" si="4"/>
        <v>SWR-INNOVA15HTMAGC</v>
      </c>
      <c r="B2182" s="13" t="s">
        <v>2446</v>
      </c>
      <c r="C2182" s="13" t="s">
        <v>1621</v>
      </c>
      <c r="D2182" s="13" t="s">
        <v>116</v>
      </c>
      <c r="E2182" s="13" t="s">
        <v>101</v>
      </c>
      <c r="F2182" s="13" t="s">
        <v>2445</v>
      </c>
      <c r="G2182" s="34">
        <v>45988.0</v>
      </c>
      <c r="H2182" s="11">
        <f>SUMIFS(X!$F$3:$F$5978,X!$D$3:$D$5978,'Current Stock'!A2182)</f>
        <v>1</v>
      </c>
      <c r="I2182" s="11">
        <f>SUMIFS(PENJUALAN!$E$4:$E$3651,PENJUALAN!$C$4:$C$3651,'Current Stock'!A2182)</f>
        <v>0</v>
      </c>
      <c r="J2182" s="15">
        <f t="shared" si="2"/>
        <v>1</v>
      </c>
      <c r="K2182" s="13" t="s">
        <v>2182</v>
      </c>
      <c r="L2182" s="44"/>
      <c r="M2182" s="44"/>
      <c r="N2182" s="44"/>
      <c r="O2182" s="88"/>
      <c r="P2182" s="88"/>
    </row>
    <row r="2183" ht="15.0" customHeight="1">
      <c r="A2183" s="11" t="str">
        <f t="shared" si="4"/>
        <v>LFW-E70RSXYG</v>
      </c>
      <c r="B2183" s="13" t="s">
        <v>202</v>
      </c>
      <c r="C2183" s="13" t="s">
        <v>2447</v>
      </c>
      <c r="D2183" s="13" t="s">
        <v>60</v>
      </c>
      <c r="E2183" s="13" t="s">
        <v>16</v>
      </c>
      <c r="F2183" s="13" t="s">
        <v>90</v>
      </c>
      <c r="G2183" s="34">
        <v>45988.0</v>
      </c>
      <c r="H2183" s="11">
        <f>SUMIFS(X!$F$3:$F$5978,X!$D$3:$D$5978,'Current Stock'!A2183)</f>
        <v>1</v>
      </c>
      <c r="I2183" s="11">
        <f>SUMIFS(PENJUALAN!$E$4:$E$3651,PENJUALAN!$C$4:$C$3651,'Current Stock'!A2183)</f>
        <v>1</v>
      </c>
      <c r="J2183" s="15">
        <f t="shared" si="2"/>
        <v>0</v>
      </c>
      <c r="K2183" s="13" t="s">
        <v>2050</v>
      </c>
      <c r="L2183" s="44"/>
      <c r="M2183" s="44"/>
      <c r="N2183" s="44"/>
      <c r="O2183" s="88"/>
      <c r="P2183" s="88"/>
    </row>
    <row r="2184" ht="15.0" customHeight="1">
      <c r="A2184" s="11" t="str">
        <f t="shared" si="4"/>
        <v>LFW-INNOVA22XYG</v>
      </c>
      <c r="B2184" s="13" t="s">
        <v>2448</v>
      </c>
      <c r="C2184" s="13" t="s">
        <v>2449</v>
      </c>
      <c r="D2184" s="13" t="s">
        <v>60</v>
      </c>
      <c r="E2184" s="13" t="s">
        <v>16</v>
      </c>
      <c r="F2184" s="13" t="s">
        <v>137</v>
      </c>
      <c r="G2184" s="34"/>
      <c r="H2184" s="11">
        <f>SUMIFS(X!$F$3:$F$5978,X!$D$3:$D$5978,'Current Stock'!A2184)</f>
        <v>1</v>
      </c>
      <c r="I2184" s="11">
        <f>SUMIFS(PENJUALAN!$E$4:$E$3651,PENJUALAN!$C$4:$C$3651,'Current Stock'!A2184)</f>
        <v>1</v>
      </c>
      <c r="J2184" s="15">
        <f t="shared" si="2"/>
        <v>0</v>
      </c>
      <c r="K2184" s="13" t="s">
        <v>2050</v>
      </c>
      <c r="L2184" s="44"/>
      <c r="M2184" s="44"/>
      <c r="N2184" s="44"/>
      <c r="O2184" s="88"/>
      <c r="P2184" s="88"/>
    </row>
    <row r="2185" ht="15.0" customHeight="1">
      <c r="A2185" s="11" t="str">
        <f t="shared" si="4"/>
        <v>LFW-AXORASH</v>
      </c>
      <c r="B2185" s="13" t="s">
        <v>1880</v>
      </c>
      <c r="C2185" s="13" t="s">
        <v>2450</v>
      </c>
      <c r="D2185" s="13" t="s">
        <v>60</v>
      </c>
      <c r="E2185" s="13" t="s">
        <v>93</v>
      </c>
      <c r="F2185" s="13" t="s">
        <v>109</v>
      </c>
      <c r="G2185" s="34"/>
      <c r="H2185" s="11">
        <f>SUMIFS(X!$F$3:$F$5978,X!$D$3:$D$5978,'Current Stock'!A2185)</f>
        <v>2</v>
      </c>
      <c r="I2185" s="11">
        <f>SUMIFS(PENJUALAN!$E$4:$E$3651,PENJUALAN!$C$4:$C$3651,'Current Stock'!A2185)</f>
        <v>2</v>
      </c>
      <c r="J2185" s="15">
        <f t="shared" si="2"/>
        <v>0</v>
      </c>
      <c r="K2185" s="13" t="s">
        <v>1800</v>
      </c>
      <c r="L2185" s="44"/>
      <c r="M2185" s="44"/>
      <c r="N2185" s="44"/>
      <c r="O2185" s="88"/>
      <c r="P2185" s="88"/>
    </row>
    <row r="2186" ht="15.0" customHeight="1">
      <c r="A2186" s="11" t="str">
        <f t="shared" si="4"/>
        <v>RDR-CONFEROASH</v>
      </c>
      <c r="B2186" s="13" t="s">
        <v>2451</v>
      </c>
      <c r="C2186" s="13" t="s">
        <v>1867</v>
      </c>
      <c r="D2186" s="13" t="s">
        <v>86</v>
      </c>
      <c r="E2186" s="13" t="s">
        <v>93</v>
      </c>
      <c r="F2186" s="44"/>
      <c r="G2186" s="34">
        <v>45988.0</v>
      </c>
      <c r="H2186" s="11">
        <f>SUMIFS(X!$F$3:$F$5978,X!$D$3:$D$5978,'Current Stock'!A2186)</f>
        <v>2</v>
      </c>
      <c r="I2186" s="11">
        <f>SUMIFS(PENJUALAN!$E$4:$E$3651,PENJUALAN!$C$4:$C$3651,'Current Stock'!A2186)</f>
        <v>1</v>
      </c>
      <c r="J2186" s="15">
        <f t="shared" si="2"/>
        <v>1</v>
      </c>
      <c r="K2186" s="64" t="s">
        <v>2182</v>
      </c>
      <c r="L2186" s="44"/>
      <c r="M2186" s="44"/>
      <c r="N2186" s="44"/>
      <c r="O2186" s="88"/>
      <c r="P2186" s="88"/>
    </row>
    <row r="2187" ht="15.0" customHeight="1">
      <c r="A2187" s="11" t="str">
        <f t="shared" si="4"/>
        <v>RDL-CONFEROASH</v>
      </c>
      <c r="B2187" s="13" t="s">
        <v>2452</v>
      </c>
      <c r="C2187" s="13" t="s">
        <v>1867</v>
      </c>
      <c r="D2187" s="13" t="s">
        <v>92</v>
      </c>
      <c r="E2187" s="13" t="s">
        <v>93</v>
      </c>
      <c r="F2187" s="44"/>
      <c r="G2187" s="14">
        <v>45988.0</v>
      </c>
      <c r="H2187" s="11">
        <f>SUMIFS(X!$F$3:$F$5978,X!$D$3:$D$5978,'Current Stock'!A2187)</f>
        <v>0</v>
      </c>
      <c r="I2187" s="11">
        <f>SUMIFS(PENJUALAN!$E$4:$E$3651,PENJUALAN!$C$4:$C$3651,'Current Stock'!A2187)</f>
        <v>0</v>
      </c>
      <c r="J2187" s="15">
        <f t="shared" si="2"/>
        <v>0</v>
      </c>
      <c r="K2187" s="13"/>
      <c r="L2187" s="44"/>
      <c r="M2187" s="44"/>
      <c r="N2187" s="44"/>
      <c r="O2187" s="88"/>
      <c r="P2187" s="88"/>
    </row>
    <row r="2188" ht="15.0" customHeight="1">
      <c r="A2188" s="11" t="str">
        <f t="shared" si="4"/>
        <v>TRW-BRIO10NOLBGAGC</v>
      </c>
      <c r="B2188" s="13" t="s">
        <v>2453</v>
      </c>
      <c r="C2188" s="13" t="s">
        <v>2454</v>
      </c>
      <c r="D2188" s="13" t="s">
        <v>62</v>
      </c>
      <c r="E2188" s="13" t="s">
        <v>101</v>
      </c>
      <c r="F2188" s="13" t="s">
        <v>2334</v>
      </c>
      <c r="G2188" s="34">
        <v>46021.0</v>
      </c>
      <c r="H2188" s="11">
        <f>SUMIFS(X!$F$3:$F$5978,X!$D$3:$D$5978,'Current Stock'!A2188)</f>
        <v>2</v>
      </c>
      <c r="I2188" s="11">
        <f>SUMIFS(PENJUALAN!$E$4:$E$3651,PENJUALAN!$C$4:$C$3651,'Current Stock'!A2188)</f>
        <v>1</v>
      </c>
      <c r="J2188" s="15">
        <f t="shared" si="2"/>
        <v>1</v>
      </c>
      <c r="K2188" s="13" t="s">
        <v>355</v>
      </c>
      <c r="L2188" s="44"/>
      <c r="M2188" s="44"/>
      <c r="N2188" s="44"/>
      <c r="O2188" s="88"/>
      <c r="P2188" s="88"/>
    </row>
    <row r="2189" ht="15.0" customHeight="1">
      <c r="A2189" s="11" t="str">
        <f t="shared" si="4"/>
        <v>FDL-BRIO10AGC</v>
      </c>
      <c r="B2189" s="13" t="s">
        <v>2455</v>
      </c>
      <c r="C2189" s="13" t="s">
        <v>2456</v>
      </c>
      <c r="D2189" s="13" t="s">
        <v>104</v>
      </c>
      <c r="E2189" s="13" t="s">
        <v>101</v>
      </c>
      <c r="F2189" s="13" t="s">
        <v>406</v>
      </c>
      <c r="G2189" s="34">
        <v>45988.0</v>
      </c>
      <c r="H2189" s="11">
        <f>SUMIFS(X!$F$3:$F$5978,X!$D$3:$D$5978,'Current Stock'!A2189)</f>
        <v>4</v>
      </c>
      <c r="I2189" s="11">
        <f>SUMIFS(PENJUALAN!$E$4:$E$3651,PENJUALAN!$C$4:$C$3651,'Current Stock'!A2189)</f>
        <v>4</v>
      </c>
      <c r="J2189" s="15">
        <f t="shared" si="2"/>
        <v>0</v>
      </c>
      <c r="K2189" s="13" t="s">
        <v>430</v>
      </c>
      <c r="L2189" s="44"/>
      <c r="M2189" s="44"/>
      <c r="N2189" s="44"/>
      <c r="O2189" s="88"/>
      <c r="P2189" s="88"/>
    </row>
    <row r="2190" ht="15.0" customHeight="1">
      <c r="A2190" s="11" t="str">
        <f t="shared" si="4"/>
        <v>FDR-BRIO10AGC</v>
      </c>
      <c r="B2190" s="13" t="s">
        <v>2457</v>
      </c>
      <c r="C2190" s="13" t="s">
        <v>2456</v>
      </c>
      <c r="D2190" s="13" t="s">
        <v>106</v>
      </c>
      <c r="E2190" s="13" t="s">
        <v>101</v>
      </c>
      <c r="F2190" s="13" t="s">
        <v>406</v>
      </c>
      <c r="G2190" s="34">
        <v>45988.0</v>
      </c>
      <c r="H2190" s="11">
        <f>SUMIFS(X!$F$3:$F$5978,X!$D$3:$D$5978,'Current Stock'!A2190)</f>
        <v>1</v>
      </c>
      <c r="I2190" s="11">
        <f>SUMIFS(PENJUALAN!$E$4:$E$3651,PENJUALAN!$C$4:$C$3651,'Current Stock'!A2190)</f>
        <v>0</v>
      </c>
      <c r="J2190" s="15">
        <f t="shared" si="2"/>
        <v>1</v>
      </c>
      <c r="K2190" s="13" t="s">
        <v>1359</v>
      </c>
      <c r="L2190" s="44"/>
      <c r="M2190" s="44"/>
      <c r="N2190" s="44"/>
      <c r="O2190" s="88"/>
      <c r="P2190" s="88"/>
    </row>
    <row r="2191" ht="15.0" customHeight="1">
      <c r="A2191" s="11" t="str">
        <f t="shared" si="4"/>
        <v>LFW-BRV16AGC</v>
      </c>
      <c r="B2191" s="13" t="s">
        <v>1396</v>
      </c>
      <c r="C2191" s="13" t="s">
        <v>118</v>
      </c>
      <c r="D2191" s="13" t="s">
        <v>60</v>
      </c>
      <c r="E2191" s="13" t="s">
        <v>101</v>
      </c>
      <c r="F2191" s="13" t="s">
        <v>100</v>
      </c>
      <c r="G2191" s="11"/>
      <c r="H2191" s="11">
        <f>SUMIFS(X!$F$3:$F$5978,X!$D$3:$D$5978,'Current Stock'!A2191)</f>
        <v>3</v>
      </c>
      <c r="I2191" s="11">
        <f>SUMIFS(PENJUALAN!$E$4:$E$3651,PENJUALAN!$C$4:$C$3651,'Current Stock'!A2191)</f>
        <v>2</v>
      </c>
      <c r="J2191" s="15">
        <f t="shared" si="2"/>
        <v>1</v>
      </c>
      <c r="K2191" s="44"/>
      <c r="L2191" s="44"/>
      <c r="M2191" s="44"/>
      <c r="N2191" s="44"/>
      <c r="O2191" s="88"/>
      <c r="P2191" s="88"/>
    </row>
    <row r="2192" ht="15.0" customHeight="1">
      <c r="A2192" s="11" t="str">
        <f t="shared" si="4"/>
        <v>SWR-BRV16AGC</v>
      </c>
      <c r="B2192" s="13" t="s">
        <v>2458</v>
      </c>
      <c r="C2192" s="13" t="s">
        <v>118</v>
      </c>
      <c r="D2192" s="13" t="s">
        <v>116</v>
      </c>
      <c r="E2192" s="13" t="s">
        <v>101</v>
      </c>
      <c r="F2192" s="13" t="s">
        <v>100</v>
      </c>
      <c r="G2192" s="14">
        <v>45988.0</v>
      </c>
      <c r="H2192" s="11">
        <f>SUMIFS(X!$F$3:$F$5978,X!$D$3:$D$5978,'Current Stock'!A2192)</f>
        <v>1</v>
      </c>
      <c r="I2192" s="11">
        <f>SUMIFS(PENJUALAN!$E$4:$E$3651,PENJUALAN!$C$4:$C$3651,'Current Stock'!A2192)</f>
        <v>0</v>
      </c>
      <c r="J2192" s="15">
        <f t="shared" si="2"/>
        <v>1</v>
      </c>
      <c r="K2192" s="13" t="s">
        <v>430</v>
      </c>
      <c r="L2192" s="44"/>
      <c r="M2192" s="44"/>
      <c r="N2192" s="44"/>
      <c r="O2192" s="88"/>
      <c r="P2192" s="88"/>
    </row>
    <row r="2193" ht="15.0" customHeight="1">
      <c r="A2193" s="11" t="str">
        <f t="shared" si="4"/>
        <v>SWL-BRV16AGC</v>
      </c>
      <c r="B2193" s="13" t="s">
        <v>2459</v>
      </c>
      <c r="C2193" s="13" t="s">
        <v>118</v>
      </c>
      <c r="D2193" s="13" t="s">
        <v>1410</v>
      </c>
      <c r="E2193" s="13" t="s">
        <v>101</v>
      </c>
      <c r="F2193" s="13" t="s">
        <v>100</v>
      </c>
      <c r="G2193" s="11"/>
      <c r="H2193" s="11">
        <f>SUMIFS(X!$F$3:$F$5978,X!$D$3:$D$5978,'Current Stock'!A2193)</f>
        <v>4</v>
      </c>
      <c r="I2193" s="11">
        <f>SUMIFS(PENJUALAN!$E$4:$E$3651,PENJUALAN!$C$4:$C$3651,'Current Stock'!A2193)</f>
        <v>1</v>
      </c>
      <c r="J2193" s="15">
        <f t="shared" si="2"/>
        <v>3</v>
      </c>
      <c r="K2193" s="13" t="s">
        <v>606</v>
      </c>
      <c r="L2193" s="44"/>
      <c r="M2193" s="44"/>
      <c r="N2193" s="44"/>
      <c r="O2193" s="88"/>
      <c r="P2193" s="88"/>
    </row>
    <row r="2194" ht="15.0" customHeight="1">
      <c r="A2194" s="11" t="str">
        <f t="shared" si="4"/>
        <v>LFW-T32RSPIL</v>
      </c>
      <c r="B2194" s="13" t="s">
        <v>2460</v>
      </c>
      <c r="C2194" s="13" t="s">
        <v>2461</v>
      </c>
      <c r="D2194" s="13" t="s">
        <v>60</v>
      </c>
      <c r="E2194" s="13" t="s">
        <v>89</v>
      </c>
      <c r="F2194" s="13" t="s">
        <v>90</v>
      </c>
      <c r="G2194" s="11"/>
      <c r="H2194" s="11">
        <f>SUMIFS(X!$F$3:$F$5978,X!$D$3:$D$5978,'Current Stock'!A2194)</f>
        <v>1</v>
      </c>
      <c r="I2194" s="11">
        <f>SUMIFS(PENJUALAN!$E$4:$E$3651,PENJUALAN!$C$4:$C$3651,'Current Stock'!A2194)</f>
        <v>1</v>
      </c>
      <c r="J2194" s="15">
        <f t="shared" si="2"/>
        <v>0</v>
      </c>
      <c r="K2194" s="44"/>
      <c r="L2194" s="44"/>
      <c r="M2194" s="44"/>
      <c r="N2194" s="44"/>
      <c r="O2194" s="88"/>
      <c r="P2194" s="88"/>
    </row>
    <row r="2195" ht="15.0" customHeight="1">
      <c r="A2195" s="11" t="str">
        <f t="shared" si="4"/>
        <v>LFW-HRV14AGC</v>
      </c>
      <c r="B2195" s="13" t="s">
        <v>470</v>
      </c>
      <c r="C2195" s="13" t="s">
        <v>2132</v>
      </c>
      <c r="D2195" s="13" t="s">
        <v>60</v>
      </c>
      <c r="E2195" s="13" t="s">
        <v>101</v>
      </c>
      <c r="F2195" s="13" t="s">
        <v>2462</v>
      </c>
      <c r="G2195" s="34">
        <v>45988.0</v>
      </c>
      <c r="H2195" s="11">
        <f>SUMIFS(X!$F$3:$F$5978,X!$D$3:$D$5978,'Current Stock'!A2195)</f>
        <v>16</v>
      </c>
      <c r="I2195" s="11">
        <f>SUMIFS(PENJUALAN!$E$4:$E$3651,PENJUALAN!$C$4:$C$3651,'Current Stock'!A2195)</f>
        <v>15</v>
      </c>
      <c r="J2195" s="15">
        <f t="shared" si="2"/>
        <v>1</v>
      </c>
      <c r="K2195" s="13" t="s">
        <v>1579</v>
      </c>
      <c r="L2195" s="44"/>
      <c r="M2195" s="44"/>
      <c r="N2195" s="44"/>
      <c r="O2195" s="88"/>
      <c r="P2195" s="88"/>
    </row>
    <row r="2196" ht="15.0" customHeight="1">
      <c r="A2196" s="11" t="str">
        <f t="shared" si="4"/>
        <v>TRW-HRV14AGC</v>
      </c>
      <c r="B2196" s="13" t="s">
        <v>473</v>
      </c>
      <c r="C2196" s="13" t="s">
        <v>2132</v>
      </c>
      <c r="D2196" s="13" t="s">
        <v>62</v>
      </c>
      <c r="E2196" s="13" t="s">
        <v>101</v>
      </c>
      <c r="F2196" s="13" t="s">
        <v>119</v>
      </c>
      <c r="G2196" s="34"/>
      <c r="H2196" s="11">
        <f>SUMIFS(X!$F$3:$F$5978,X!$D$3:$D$5978,'Current Stock'!A2196)</f>
        <v>1</v>
      </c>
      <c r="I2196" s="11">
        <f>SUMIFS(PENJUALAN!$E$4:$E$3651,PENJUALAN!$C$4:$C$3651,'Current Stock'!A2196)</f>
        <v>0</v>
      </c>
      <c r="J2196" s="15">
        <f t="shared" si="2"/>
        <v>1</v>
      </c>
      <c r="K2196" s="13"/>
      <c r="L2196" s="44"/>
      <c r="M2196" s="44"/>
      <c r="N2196" s="44"/>
      <c r="O2196" s="88"/>
      <c r="P2196" s="88"/>
    </row>
    <row r="2197" ht="15.0" customHeight="1">
      <c r="A2197" s="11" t="str">
        <f t="shared" si="4"/>
        <v>FDR-HRV14AGC</v>
      </c>
      <c r="B2197" s="13" t="s">
        <v>2140</v>
      </c>
      <c r="C2197" s="13" t="s">
        <v>2132</v>
      </c>
      <c r="D2197" s="13" t="s">
        <v>106</v>
      </c>
      <c r="E2197" s="13" t="s">
        <v>101</v>
      </c>
      <c r="F2197" s="13" t="s">
        <v>2058</v>
      </c>
      <c r="G2197" s="34">
        <v>45988.0</v>
      </c>
      <c r="H2197" s="11">
        <f>SUMIFS(X!$F$3:$F$5978,X!$D$3:$D$5978,'Current Stock'!A2197)</f>
        <v>4</v>
      </c>
      <c r="I2197" s="11">
        <f>SUMIFS(PENJUALAN!$E$4:$E$3651,PENJUALAN!$C$4:$C$3651,'Current Stock'!A2197)</f>
        <v>3</v>
      </c>
      <c r="J2197" s="15">
        <f t="shared" si="2"/>
        <v>1</v>
      </c>
      <c r="K2197" s="13"/>
      <c r="L2197" s="44"/>
      <c r="M2197" s="44"/>
      <c r="N2197" s="44"/>
      <c r="O2197" s="88"/>
      <c r="P2197" s="88"/>
    </row>
    <row r="2198" ht="15.0" customHeight="1">
      <c r="A2198" s="11" t="str">
        <f t="shared" si="4"/>
        <v>FDL-HRV14AGC</v>
      </c>
      <c r="B2198" s="13" t="s">
        <v>2139</v>
      </c>
      <c r="C2198" s="13" t="s">
        <v>2132</v>
      </c>
      <c r="D2198" s="13" t="s">
        <v>104</v>
      </c>
      <c r="E2198" s="13" t="s">
        <v>101</v>
      </c>
      <c r="F2198" s="13" t="s">
        <v>2058</v>
      </c>
      <c r="G2198" s="34"/>
      <c r="H2198" s="11">
        <f>SUMIFS(X!$F$3:$F$5978,X!$D$3:$D$5978,'Current Stock'!A2198)</f>
        <v>3</v>
      </c>
      <c r="I2198" s="11">
        <f>SUMIFS(PENJUALAN!$E$4:$E$3651,PENJUALAN!$C$4:$C$3651,'Current Stock'!A2198)</f>
        <v>2</v>
      </c>
      <c r="J2198" s="15">
        <f t="shared" si="2"/>
        <v>1</v>
      </c>
      <c r="K2198" s="13" t="s">
        <v>1369</v>
      </c>
      <c r="L2198" s="44"/>
      <c r="M2198" s="44"/>
      <c r="N2198" s="44"/>
      <c r="O2198" s="88"/>
      <c r="P2198" s="88"/>
    </row>
    <row r="2199" ht="15.0" customHeight="1">
      <c r="A2199" s="11" t="str">
        <f t="shared" si="4"/>
        <v>RDR-HRV14AGC</v>
      </c>
      <c r="B2199" s="13" t="s">
        <v>2463</v>
      </c>
      <c r="C2199" s="13" t="s">
        <v>2132</v>
      </c>
      <c r="D2199" s="13" t="s">
        <v>86</v>
      </c>
      <c r="E2199" s="13" t="s">
        <v>101</v>
      </c>
      <c r="F2199" s="13" t="s">
        <v>2058</v>
      </c>
      <c r="G2199" s="34"/>
      <c r="H2199" s="11">
        <f>SUMIFS(X!$F$3:$F$5978,X!$D$3:$D$5978,'Current Stock'!A2199)</f>
        <v>2</v>
      </c>
      <c r="I2199" s="11">
        <f>SUMIFS(PENJUALAN!$E$4:$E$3651,PENJUALAN!$C$4:$C$3651,'Current Stock'!A2199)</f>
        <v>1</v>
      </c>
      <c r="J2199" s="15">
        <f t="shared" si="2"/>
        <v>1</v>
      </c>
      <c r="K2199" s="13"/>
      <c r="L2199" s="44"/>
      <c r="M2199" s="44"/>
      <c r="N2199" s="44"/>
      <c r="O2199" s="88"/>
      <c r="P2199" s="88"/>
    </row>
    <row r="2200" ht="15.0" customHeight="1">
      <c r="A2200" s="11" t="str">
        <f t="shared" si="4"/>
        <v>RDL-HRV14AGC</v>
      </c>
      <c r="B2200" s="13" t="s">
        <v>2141</v>
      </c>
      <c r="C2200" s="13" t="s">
        <v>2132</v>
      </c>
      <c r="D2200" s="13" t="s">
        <v>92</v>
      </c>
      <c r="E2200" s="13" t="s">
        <v>101</v>
      </c>
      <c r="F2200" s="13" t="s">
        <v>2058</v>
      </c>
      <c r="G2200" s="34"/>
      <c r="H2200" s="11">
        <f>SUMIFS(X!$F$3:$F$5978,X!$D$3:$D$5978,'Current Stock'!A2200)</f>
        <v>4</v>
      </c>
      <c r="I2200" s="11">
        <f>SUMIFS(PENJUALAN!$E$4:$E$3651,PENJUALAN!$C$4:$C$3651,'Current Stock'!A2200)</f>
        <v>2</v>
      </c>
      <c r="J2200" s="15">
        <f t="shared" si="2"/>
        <v>2</v>
      </c>
      <c r="K2200" s="13" t="s">
        <v>698</v>
      </c>
      <c r="L2200" s="44"/>
      <c r="M2200" s="44"/>
      <c r="N2200" s="44"/>
      <c r="O2200" s="88"/>
      <c r="P2200" s="88"/>
    </row>
    <row r="2201" ht="15.0" customHeight="1">
      <c r="A2201" s="11" t="str">
        <f t="shared" si="4"/>
        <v>RDL-AVANZA21ASH</v>
      </c>
      <c r="B2201" s="13" t="s">
        <v>2464</v>
      </c>
      <c r="C2201" s="13" t="s">
        <v>2214</v>
      </c>
      <c r="D2201" s="13" t="s">
        <v>92</v>
      </c>
      <c r="E2201" s="13" t="s">
        <v>93</v>
      </c>
      <c r="F2201" s="44"/>
      <c r="G2201" s="11"/>
      <c r="H2201" s="11">
        <f>SUMIFS(X!$F$3:$F$5978,X!$D$3:$D$5978,'Current Stock'!A2201)</f>
        <v>1</v>
      </c>
      <c r="I2201" s="11">
        <f>SUMIFS(PENJUALAN!$E$4:$E$3651,PENJUALAN!$C$4:$C$3651,'Current Stock'!A2201)</f>
        <v>1</v>
      </c>
      <c r="J2201" s="15">
        <f t="shared" si="2"/>
        <v>0</v>
      </c>
      <c r="K2201" s="13" t="s">
        <v>1376</v>
      </c>
      <c r="L2201" s="44"/>
      <c r="M2201" s="44"/>
      <c r="N2201" s="44"/>
      <c r="O2201" s="88"/>
      <c r="P2201" s="88"/>
    </row>
    <row r="2202" ht="15.0" customHeight="1">
      <c r="A2202" s="11" t="str">
        <f t="shared" si="4"/>
        <v>RDL-AVANZA21ASH</v>
      </c>
      <c r="B2202" s="13" t="s">
        <v>2464</v>
      </c>
      <c r="C2202" s="13" t="s">
        <v>483</v>
      </c>
      <c r="D2202" s="13" t="s">
        <v>106</v>
      </c>
      <c r="E2202" s="13" t="s">
        <v>93</v>
      </c>
      <c r="F2202" s="44"/>
      <c r="G2202" s="34"/>
      <c r="H2202" s="11">
        <f>SUMIFS(X!$F$3:$F$5978,X!$D$3:$D$5978,'Current Stock'!A2202)</f>
        <v>1</v>
      </c>
      <c r="I2202" s="11">
        <f>SUMIFS(PENJUALAN!$E$4:$E$3651,PENJUALAN!$C$4:$C$3651,'Current Stock'!A2202)</f>
        <v>1</v>
      </c>
      <c r="J2202" s="15">
        <f t="shared" si="2"/>
        <v>0</v>
      </c>
      <c r="K2202" s="64" t="s">
        <v>2050</v>
      </c>
      <c r="L2202" s="44"/>
      <c r="M2202" s="44"/>
      <c r="N2202" s="44"/>
      <c r="O2202" s="88"/>
      <c r="P2202" s="88"/>
    </row>
    <row r="2203" ht="15.0" customHeight="1">
      <c r="A2203" s="11" t="str">
        <f t="shared" si="4"/>
        <v>RDR-HRV14ASH</v>
      </c>
      <c r="B2203" s="13" t="s">
        <v>2463</v>
      </c>
      <c r="C2203" s="13" t="s">
        <v>471</v>
      </c>
      <c r="D2203" s="13" t="s">
        <v>86</v>
      </c>
      <c r="E2203" s="13" t="s">
        <v>93</v>
      </c>
      <c r="F2203" s="44"/>
      <c r="G2203" s="11"/>
      <c r="H2203" s="11">
        <f>SUMIFS(X!$F$3:$F$5978,X!$D$3:$D$5978,'Current Stock'!A2203)</f>
        <v>1</v>
      </c>
      <c r="I2203" s="11">
        <f>SUMIFS(PENJUALAN!$E$4:$E$3651,PENJUALAN!$C$4:$C$3651,'Current Stock'!A2203)</f>
        <v>1</v>
      </c>
      <c r="J2203" s="15">
        <f t="shared" si="2"/>
        <v>0</v>
      </c>
      <c r="K2203" s="13" t="s">
        <v>2050</v>
      </c>
      <c r="L2203" s="44"/>
      <c r="M2203" s="44"/>
      <c r="N2203" s="44"/>
      <c r="O2203" s="88"/>
      <c r="P2203" s="88"/>
    </row>
    <row r="2204" ht="15.0" customHeight="1">
      <c r="A2204" s="11" t="str">
        <f t="shared" si="4"/>
        <v>LFW-GELORAXYG</v>
      </c>
      <c r="B2204" s="13" t="s">
        <v>2465</v>
      </c>
      <c r="C2204" s="13" t="s">
        <v>2466</v>
      </c>
      <c r="D2204" s="13" t="s">
        <v>60</v>
      </c>
      <c r="E2204" s="13" t="s">
        <v>16</v>
      </c>
      <c r="F2204" s="13" t="s">
        <v>137</v>
      </c>
      <c r="G2204" s="14"/>
      <c r="H2204" s="11">
        <f>SUMIFS(X!$F$3:$F$5978,X!$D$3:$D$5978,'Current Stock'!A2204)</f>
        <v>1</v>
      </c>
      <c r="I2204" s="11">
        <f>SUMIFS(PENJUALAN!$E$4:$E$3651,PENJUALAN!$C$4:$C$3651,'Current Stock'!A2204)</f>
        <v>1</v>
      </c>
      <c r="J2204" s="15">
        <f t="shared" si="2"/>
        <v>0</v>
      </c>
      <c r="K2204" s="13" t="s">
        <v>1800</v>
      </c>
      <c r="L2204" s="44"/>
      <c r="M2204" s="44"/>
      <c r="N2204" s="44"/>
      <c r="O2204" s="88"/>
      <c r="P2204" s="88"/>
    </row>
    <row r="2205" ht="15.0" customHeight="1">
      <c r="A2205" s="11" t="str">
        <f t="shared" si="4"/>
        <v>LFW-SUPERCABXYG</v>
      </c>
      <c r="B2205" s="13" t="s">
        <v>2467</v>
      </c>
      <c r="C2205" s="13" t="s">
        <v>2468</v>
      </c>
      <c r="D2205" s="13" t="s">
        <v>60</v>
      </c>
      <c r="E2205" s="13" t="s">
        <v>16</v>
      </c>
      <c r="F2205" s="13" t="s">
        <v>137</v>
      </c>
      <c r="G2205" s="14">
        <v>45988.0</v>
      </c>
      <c r="H2205" s="11">
        <f>SUMIFS(X!$F$3:$F$5978,X!$D$3:$D$5978,'Current Stock'!A2205)</f>
        <v>2</v>
      </c>
      <c r="I2205" s="11">
        <f>SUMIFS(PENJUALAN!$E$4:$E$3651,PENJUALAN!$C$4:$C$3651,'Current Stock'!A2205)</f>
        <v>2</v>
      </c>
      <c r="J2205" s="15">
        <f t="shared" si="2"/>
        <v>0</v>
      </c>
      <c r="K2205" s="13"/>
      <c r="L2205" s="44"/>
      <c r="M2205" s="44"/>
      <c r="N2205" s="44"/>
      <c r="O2205" s="88"/>
      <c r="P2205" s="88"/>
    </row>
    <row r="2206" ht="15.0" customHeight="1">
      <c r="A2206" s="11" t="str">
        <f t="shared" si="4"/>
        <v>LFW-HRV22AGC</v>
      </c>
      <c r="B2206" s="13" t="s">
        <v>1430</v>
      </c>
      <c r="C2206" s="13" t="s">
        <v>2272</v>
      </c>
      <c r="D2206" s="13" t="s">
        <v>60</v>
      </c>
      <c r="E2206" s="13" t="s">
        <v>101</v>
      </c>
      <c r="F2206" s="13" t="s">
        <v>2273</v>
      </c>
      <c r="G2206" s="34"/>
      <c r="H2206" s="11">
        <f>SUMIFS(X!$F$3:$F$5978,X!$D$3:$D$5978,'Current Stock'!A2206)</f>
        <v>8</v>
      </c>
      <c r="I2206" s="11">
        <f>SUMIFS(PENJUALAN!$E$4:$E$3651,PENJUALAN!$C$4:$C$3651,'Current Stock'!A2206)</f>
        <v>7</v>
      </c>
      <c r="J2206" s="15">
        <f t="shared" si="2"/>
        <v>1</v>
      </c>
      <c r="K2206" s="13"/>
      <c r="L2206" s="44"/>
      <c r="M2206" s="44"/>
      <c r="N2206" s="44"/>
      <c r="O2206" s="88"/>
      <c r="P2206" s="88"/>
    </row>
    <row r="2207" ht="15.0" customHeight="1">
      <c r="A2207" s="11" t="str">
        <f t="shared" si="4"/>
        <v>TRW-HRV22AGC</v>
      </c>
      <c r="B2207" s="13" t="s">
        <v>2469</v>
      </c>
      <c r="C2207" s="13" t="s">
        <v>2272</v>
      </c>
      <c r="D2207" s="13" t="s">
        <v>62</v>
      </c>
      <c r="E2207" s="13" t="s">
        <v>101</v>
      </c>
      <c r="F2207" s="13" t="s">
        <v>1437</v>
      </c>
      <c r="G2207" s="34">
        <v>46021.0</v>
      </c>
      <c r="H2207" s="11">
        <f>SUMIFS(X!$F$3:$F$5978,X!$D$3:$D$5978,'Current Stock'!A2207)</f>
        <v>4</v>
      </c>
      <c r="I2207" s="11">
        <f>SUMIFS(PENJUALAN!$E$4:$E$3651,PENJUALAN!$C$4:$C$3651,'Current Stock'!A2207)</f>
        <v>3</v>
      </c>
      <c r="J2207" s="15">
        <f t="shared" si="2"/>
        <v>1</v>
      </c>
      <c r="K2207" s="13"/>
      <c r="L2207" s="44"/>
      <c r="M2207" s="44"/>
      <c r="N2207" s="44"/>
      <c r="O2207" s="88"/>
      <c r="P2207" s="88"/>
    </row>
    <row r="2208" ht="15.0" customHeight="1">
      <c r="A2208" s="11" t="str">
        <f t="shared" si="4"/>
        <v>FDR-HRV22AGC</v>
      </c>
      <c r="B2208" s="13" t="s">
        <v>2470</v>
      </c>
      <c r="C2208" s="13" t="s">
        <v>2272</v>
      </c>
      <c r="D2208" s="13" t="s">
        <v>106</v>
      </c>
      <c r="E2208" s="13" t="s">
        <v>101</v>
      </c>
      <c r="F2208" s="13" t="s">
        <v>2142</v>
      </c>
      <c r="G2208" s="34"/>
      <c r="H2208" s="11">
        <f>SUMIFS(X!$F$3:$F$5978,X!$D$3:$D$5978,'Current Stock'!A2208)</f>
        <v>1</v>
      </c>
      <c r="I2208" s="11">
        <f>SUMIFS(PENJUALAN!$E$4:$E$3651,PENJUALAN!$C$4:$C$3651,'Current Stock'!A2208)</f>
        <v>0</v>
      </c>
      <c r="J2208" s="15">
        <f t="shared" si="2"/>
        <v>1</v>
      </c>
      <c r="K2208" s="13"/>
      <c r="L2208" s="44"/>
      <c r="M2208" s="44"/>
      <c r="N2208" s="44"/>
      <c r="O2208" s="88"/>
      <c r="P2208" s="88"/>
    </row>
    <row r="2209" ht="15.0" customHeight="1">
      <c r="A2209" s="11" t="str">
        <f t="shared" si="4"/>
        <v>FDL-HRV22AGC</v>
      </c>
      <c r="B2209" s="13" t="s">
        <v>2471</v>
      </c>
      <c r="C2209" s="13" t="s">
        <v>2272</v>
      </c>
      <c r="D2209" s="13" t="s">
        <v>104</v>
      </c>
      <c r="E2209" s="13" t="s">
        <v>101</v>
      </c>
      <c r="F2209" s="13" t="s">
        <v>2142</v>
      </c>
      <c r="G2209" s="34"/>
      <c r="H2209" s="11">
        <f>SUMIFS(X!$F$3:$F$5978,X!$D$3:$D$5978,'Current Stock'!A2209)</f>
        <v>1</v>
      </c>
      <c r="I2209" s="11">
        <f>SUMIFS(PENJUALAN!$E$4:$E$3651,PENJUALAN!$C$4:$C$3651,'Current Stock'!A2209)</f>
        <v>0</v>
      </c>
      <c r="J2209" s="15">
        <f t="shared" si="2"/>
        <v>1</v>
      </c>
      <c r="K2209" s="13"/>
      <c r="L2209" s="44"/>
      <c r="M2209" s="44"/>
      <c r="N2209" s="44"/>
      <c r="O2209" s="88"/>
      <c r="P2209" s="88"/>
    </row>
    <row r="2210" ht="15.0" customHeight="1">
      <c r="A2210" s="11" t="str">
        <f t="shared" si="4"/>
        <v>RDR-HRV22AGC</v>
      </c>
      <c r="B2210" s="13" t="s">
        <v>2472</v>
      </c>
      <c r="C2210" s="13" t="s">
        <v>2272</v>
      </c>
      <c r="D2210" s="13" t="s">
        <v>86</v>
      </c>
      <c r="E2210" s="13" t="s">
        <v>101</v>
      </c>
      <c r="F2210" s="13" t="s">
        <v>2142</v>
      </c>
      <c r="G2210" s="14">
        <v>45988.0</v>
      </c>
      <c r="H2210" s="11">
        <f>SUMIFS(X!$F$3:$F$5978,X!$D$3:$D$5978,'Current Stock'!A2210)</f>
        <v>1</v>
      </c>
      <c r="I2210" s="11">
        <f>SUMIFS(PENJUALAN!$E$4:$E$3651,PENJUALAN!$C$4:$C$3651,'Current Stock'!A2210)</f>
        <v>0</v>
      </c>
      <c r="J2210" s="15">
        <f t="shared" si="2"/>
        <v>1</v>
      </c>
      <c r="K2210" s="13"/>
      <c r="L2210" s="44"/>
      <c r="M2210" s="44"/>
      <c r="N2210" s="44"/>
      <c r="O2210" s="88"/>
      <c r="P2210" s="88"/>
    </row>
    <row r="2211" ht="15.0" customHeight="1">
      <c r="A2211" s="11" t="str">
        <f t="shared" si="4"/>
        <v>RDL-HRV22AGC</v>
      </c>
      <c r="B2211" s="13" t="s">
        <v>2439</v>
      </c>
      <c r="C2211" s="13" t="s">
        <v>2272</v>
      </c>
      <c r="D2211" s="13" t="s">
        <v>92</v>
      </c>
      <c r="E2211" s="13" t="s">
        <v>101</v>
      </c>
      <c r="F2211" s="13" t="s">
        <v>2142</v>
      </c>
      <c r="G2211" s="34"/>
      <c r="H2211" s="11">
        <f>SUMIFS(X!$F$3:$F$5978,X!$D$3:$D$5978,'Current Stock'!A2211)</f>
        <v>4</v>
      </c>
      <c r="I2211" s="11">
        <f>SUMIFS(PENJUALAN!$E$4:$E$3651,PENJUALAN!$C$4:$C$3651,'Current Stock'!A2211)</f>
        <v>2</v>
      </c>
      <c r="J2211" s="15">
        <f t="shared" si="2"/>
        <v>2</v>
      </c>
      <c r="K2211" s="13"/>
      <c r="L2211" s="44"/>
      <c r="M2211" s="44"/>
      <c r="N2211" s="44"/>
      <c r="O2211" s="88"/>
      <c r="P2211" s="88"/>
    </row>
    <row r="2212" ht="15.0" customHeight="1">
      <c r="A2212" s="11" t="str">
        <f t="shared" si="4"/>
        <v>FDL-JAZZ01ASH</v>
      </c>
      <c r="B2212" s="13" t="s">
        <v>477</v>
      </c>
      <c r="C2212" s="13" t="s">
        <v>475</v>
      </c>
      <c r="D2212" s="13" t="s">
        <v>104</v>
      </c>
      <c r="E2212" s="13" t="s">
        <v>93</v>
      </c>
      <c r="F2212" s="44"/>
      <c r="G2212" s="11"/>
      <c r="H2212" s="11">
        <f>SUMIFS(X!$F$3:$F$5978,X!$D$3:$D$5978,'Current Stock'!A2212)</f>
        <v>1</v>
      </c>
      <c r="I2212" s="11">
        <f>SUMIFS(PENJUALAN!$E$4:$E$3651,PENJUALAN!$C$4:$C$3651,'Current Stock'!A2212)</f>
        <v>1</v>
      </c>
      <c r="J2212" s="15">
        <f t="shared" si="2"/>
        <v>0</v>
      </c>
      <c r="K2212" s="44"/>
      <c r="L2212" s="44"/>
      <c r="M2212" s="44"/>
      <c r="N2212" s="44"/>
      <c r="O2212" s="88"/>
      <c r="P2212" s="88"/>
    </row>
    <row r="2213" ht="15.0" customHeight="1">
      <c r="A2213" s="11" t="str">
        <f t="shared" si="4"/>
        <v>LFW-CARRY19SGP</v>
      </c>
      <c r="B2213" s="13" t="s">
        <v>1640</v>
      </c>
      <c r="C2213" s="13" t="s">
        <v>2473</v>
      </c>
      <c r="D2213" s="13" t="s">
        <v>60</v>
      </c>
      <c r="E2213" s="13" t="s">
        <v>41</v>
      </c>
      <c r="F2213" s="13" t="s">
        <v>109</v>
      </c>
      <c r="G2213" s="14">
        <v>45988.0</v>
      </c>
      <c r="H2213" s="11">
        <f>SUMIFS(X!$F$3:$F$5978,X!$D$3:$D$5978,'Current Stock'!A2213)</f>
        <v>1</v>
      </c>
      <c r="I2213" s="11">
        <f>SUMIFS(PENJUALAN!$E$4:$E$3651,PENJUALAN!$C$4:$C$3651,'Current Stock'!A2213)</f>
        <v>1</v>
      </c>
      <c r="J2213" s="15">
        <f t="shared" si="2"/>
        <v>0</v>
      </c>
      <c r="K2213" s="13"/>
      <c r="L2213" s="44"/>
      <c r="M2213" s="44"/>
      <c r="N2213" s="44"/>
      <c r="O2213" s="88"/>
      <c r="P2213" s="88"/>
    </row>
    <row r="2214" ht="15.0" customHeight="1">
      <c r="A2214" s="11" t="str">
        <f t="shared" si="4"/>
        <v>SWR-SIENTAASH</v>
      </c>
      <c r="B2214" s="13" t="s">
        <v>2474</v>
      </c>
      <c r="C2214" s="13" t="s">
        <v>1253</v>
      </c>
      <c r="D2214" s="13" t="s">
        <v>116</v>
      </c>
      <c r="E2214" s="13" t="s">
        <v>93</v>
      </c>
      <c r="F2214" s="13" t="s">
        <v>109</v>
      </c>
      <c r="G2214" s="11"/>
      <c r="H2214" s="11">
        <f>SUMIFS(X!$F$3:$F$5978,X!$D$3:$D$5978,'Current Stock'!A2214)</f>
        <v>0</v>
      </c>
      <c r="I2214" s="11">
        <f>SUMIFS(PENJUALAN!$E$4:$E$3651,PENJUALAN!$C$4:$C$3651,'Current Stock'!A2214)</f>
        <v>0</v>
      </c>
      <c r="J2214" s="15">
        <f t="shared" si="2"/>
        <v>0</v>
      </c>
      <c r="K2214" s="13" t="s">
        <v>1369</v>
      </c>
      <c r="L2214" s="44"/>
      <c r="M2214" s="44"/>
      <c r="N2214" s="44"/>
      <c r="O2214" s="88"/>
      <c r="P2214" s="88"/>
    </row>
    <row r="2215" ht="15.0" customHeight="1">
      <c r="A2215" s="11" t="str">
        <f t="shared" si="4"/>
        <v>TRW-NAVARA97XYG</v>
      </c>
      <c r="B2215" s="13" t="s">
        <v>924</v>
      </c>
      <c r="C2215" s="13" t="s">
        <v>2475</v>
      </c>
      <c r="D2215" s="13" t="s">
        <v>62</v>
      </c>
      <c r="E2215" s="13" t="s">
        <v>16</v>
      </c>
      <c r="F2215" s="44"/>
      <c r="G2215" s="11"/>
      <c r="H2215" s="11">
        <f>SUMIFS(X!$F$3:$F$5978,X!$D$3:$D$5978,'Current Stock'!A2215)</f>
        <v>1</v>
      </c>
      <c r="I2215" s="11">
        <f>SUMIFS(PENJUALAN!$E$4:$E$3651,PENJUALAN!$C$4:$C$3651,'Current Stock'!A2215)</f>
        <v>1</v>
      </c>
      <c r="J2215" s="15">
        <f t="shared" si="2"/>
        <v>0</v>
      </c>
      <c r="K2215" s="13" t="s">
        <v>1759</v>
      </c>
      <c r="L2215" s="44"/>
      <c r="M2215" s="44"/>
      <c r="N2215" s="44"/>
      <c r="O2215" s="88"/>
      <c r="P2215" s="88"/>
    </row>
    <row r="2216" ht="15.0" customHeight="1">
      <c r="A2216" s="11" t="str">
        <f t="shared" si="4"/>
        <v>LFW-SEALXYG</v>
      </c>
      <c r="B2216" s="13" t="s">
        <v>2476</v>
      </c>
      <c r="C2216" s="13" t="s">
        <v>2477</v>
      </c>
      <c r="D2216" s="13" t="s">
        <v>60</v>
      </c>
      <c r="E2216" s="13" t="s">
        <v>16</v>
      </c>
      <c r="F2216" s="13" t="s">
        <v>314</v>
      </c>
      <c r="G2216" s="11"/>
      <c r="H2216" s="11">
        <f>SUMIFS(X!$F$3:$F$5978,X!$D$3:$D$5978,'Current Stock'!A2216)</f>
        <v>3</v>
      </c>
      <c r="I2216" s="11">
        <f>SUMIFS(PENJUALAN!$E$4:$E$3651,PENJUALAN!$C$4:$C$3651,'Current Stock'!A2216)</f>
        <v>3</v>
      </c>
      <c r="J2216" s="15">
        <f t="shared" si="2"/>
        <v>0</v>
      </c>
      <c r="K2216" s="44"/>
      <c r="L2216" s="44"/>
      <c r="M2216" s="44"/>
      <c r="N2216" s="44"/>
      <c r="O2216" s="88"/>
      <c r="P2216" s="88"/>
    </row>
    <row r="2217" ht="15.0" customHeight="1">
      <c r="A2217" s="11" t="str">
        <f t="shared" si="4"/>
        <v>LFW-SEALIONXYG</v>
      </c>
      <c r="B2217" s="13" t="s">
        <v>2478</v>
      </c>
      <c r="C2217" s="13" t="s">
        <v>2479</v>
      </c>
      <c r="D2217" s="13" t="s">
        <v>60</v>
      </c>
      <c r="E2217" s="13" t="s">
        <v>16</v>
      </c>
      <c r="F2217" s="13" t="s">
        <v>314</v>
      </c>
      <c r="G2217" s="11"/>
      <c r="H2217" s="11">
        <f>SUMIFS(X!$F$3:$F$5978,X!$D$3:$D$5978,'Current Stock'!A2217)</f>
        <v>1</v>
      </c>
      <c r="I2217" s="11">
        <f>SUMIFS(PENJUALAN!$E$4:$E$3651,PENJUALAN!$C$4:$C$3651,'Current Stock'!A2217)</f>
        <v>1</v>
      </c>
      <c r="J2217" s="15">
        <f t="shared" si="2"/>
        <v>0</v>
      </c>
      <c r="K2217" s="44"/>
      <c r="L2217" s="44"/>
      <c r="M2217" s="44"/>
      <c r="N2217" s="44"/>
      <c r="O2217" s="88"/>
      <c r="P2217" s="88"/>
    </row>
    <row r="2218" ht="15.0" customHeight="1">
      <c r="A2218" s="11" t="str">
        <f t="shared" si="4"/>
        <v>LFW-PANTHER00ASH</v>
      </c>
      <c r="B2218" s="13" t="s">
        <v>1476</v>
      </c>
      <c r="C2218" s="13" t="s">
        <v>1477</v>
      </c>
      <c r="D2218" s="13" t="s">
        <v>60</v>
      </c>
      <c r="E2218" s="13" t="s">
        <v>93</v>
      </c>
      <c r="F2218" s="13" t="s">
        <v>2131</v>
      </c>
      <c r="G2218" s="14"/>
      <c r="H2218" s="11">
        <f>SUMIFS(X!$F$3:$F$5978,X!$D$3:$D$5978,'Current Stock'!A2218)</f>
        <v>2</v>
      </c>
      <c r="I2218" s="11">
        <f>SUMIFS(PENJUALAN!$E$4:$E$3651,PENJUALAN!$C$4:$C$3651,'Current Stock'!A2218)</f>
        <v>2</v>
      </c>
      <c r="J2218" s="15">
        <f t="shared" si="2"/>
        <v>0</v>
      </c>
      <c r="K2218" s="13"/>
      <c r="L2218" s="44"/>
      <c r="M2218" s="44"/>
      <c r="N2218" s="44"/>
      <c r="O2218" s="88"/>
      <c r="P2218" s="88"/>
    </row>
    <row r="2219" ht="15.0" customHeight="1">
      <c r="A2219" s="11" t="str">
        <f t="shared" si="4"/>
        <v>LFW-INNOVA22RSXYG</v>
      </c>
      <c r="B2219" s="13" t="s">
        <v>2480</v>
      </c>
      <c r="C2219" s="94" t="s">
        <v>2481</v>
      </c>
      <c r="D2219" s="13" t="s">
        <v>60</v>
      </c>
      <c r="E2219" s="13" t="s">
        <v>16</v>
      </c>
      <c r="F2219" s="13" t="s">
        <v>90</v>
      </c>
      <c r="G2219" s="11"/>
      <c r="H2219" s="11">
        <f>SUMIFS(X!$F$3:$F$5978,X!$D$3:$D$5978,'Current Stock'!A2219)</f>
        <v>1</v>
      </c>
      <c r="I2219" s="11">
        <f>SUMIFS(PENJUALAN!$E$4:$E$3651,PENJUALAN!$C$4:$C$3651,'Current Stock'!A2219)</f>
        <v>1</v>
      </c>
      <c r="J2219" s="15">
        <f t="shared" si="2"/>
        <v>0</v>
      </c>
      <c r="K2219" s="13"/>
      <c r="L2219" s="44"/>
      <c r="M2219" s="44"/>
      <c r="N2219" s="44"/>
      <c r="O2219" s="88"/>
      <c r="P2219" s="88"/>
    </row>
    <row r="2220" ht="15.0" customHeight="1">
      <c r="A2220" s="11" t="str">
        <f t="shared" si="4"/>
        <v>LFW-IONIQ5RS2XYG</v>
      </c>
      <c r="B2220" s="13" t="s">
        <v>2482</v>
      </c>
      <c r="C2220" s="13" t="s">
        <v>2483</v>
      </c>
      <c r="D2220" s="13" t="s">
        <v>60</v>
      </c>
      <c r="E2220" s="13" t="s">
        <v>16</v>
      </c>
      <c r="F2220" s="13" t="s">
        <v>90</v>
      </c>
      <c r="G2220" s="14"/>
      <c r="H2220" s="11">
        <f>SUMIFS(X!$F$3:$F$5978,X!$D$3:$D$5978,'Current Stock'!A2220)</f>
        <v>3</v>
      </c>
      <c r="I2220" s="11">
        <f>SUMIFS(PENJUALAN!$E$4:$E$3651,PENJUALAN!$C$4:$C$3651,'Current Stock'!A2220)</f>
        <v>2</v>
      </c>
      <c r="J2220" s="15">
        <f t="shared" si="2"/>
        <v>1</v>
      </c>
      <c r="K2220" s="13"/>
      <c r="L2220" s="44"/>
      <c r="M2220" s="44"/>
      <c r="N2220" s="44"/>
      <c r="O2220" s="88"/>
      <c r="P2220" s="88"/>
    </row>
    <row r="2221" ht="15.0" customHeight="1">
      <c r="A2221" s="11" t="str">
        <f t="shared" si="4"/>
        <v>FDR-CRETAASH</v>
      </c>
      <c r="B2221" s="13" t="s">
        <v>2484</v>
      </c>
      <c r="C2221" s="13" t="s">
        <v>2485</v>
      </c>
      <c r="D2221" s="13" t="s">
        <v>106</v>
      </c>
      <c r="E2221" s="13" t="s">
        <v>93</v>
      </c>
      <c r="F2221" s="13" t="s">
        <v>406</v>
      </c>
      <c r="G2221" s="11"/>
      <c r="H2221" s="11">
        <f>SUMIFS(X!$F$3:$F$5978,X!$D$3:$D$5978,'Current Stock'!A2221)</f>
        <v>1</v>
      </c>
      <c r="I2221" s="11">
        <f>SUMIFS(PENJUALAN!$E$4:$E$3651,PENJUALAN!$C$4:$C$3651,'Current Stock'!A2221)</f>
        <v>1</v>
      </c>
      <c r="J2221" s="15">
        <f t="shared" si="2"/>
        <v>0</v>
      </c>
      <c r="K2221" s="44"/>
      <c r="L2221" s="44"/>
      <c r="M2221" s="44"/>
      <c r="N2221" s="44"/>
      <c r="O2221" s="88"/>
      <c r="P2221" s="88"/>
    </row>
    <row r="2222" ht="15.0" customHeight="1">
      <c r="A2222" s="11" t="str">
        <f t="shared" si="4"/>
        <v>FDR-MOBILIOAGC</v>
      </c>
      <c r="B2222" s="13" t="s">
        <v>2165</v>
      </c>
      <c r="C2222" s="13" t="s">
        <v>2486</v>
      </c>
      <c r="D2222" s="13" t="s">
        <v>106</v>
      </c>
      <c r="E2222" s="13" t="s">
        <v>101</v>
      </c>
      <c r="F2222" s="13" t="s">
        <v>2142</v>
      </c>
      <c r="G2222" s="34"/>
      <c r="H2222" s="11">
        <f>SUMIFS(X!$F$3:$F$5978,X!$D$3:$D$5978,'Current Stock'!A2222)</f>
        <v>2</v>
      </c>
      <c r="I2222" s="11">
        <f>SUMIFS(PENJUALAN!$E$4:$E$3651,PENJUALAN!$C$4:$C$3651,'Current Stock'!A2222)</f>
        <v>0</v>
      </c>
      <c r="J2222" s="15">
        <f t="shared" si="2"/>
        <v>2</v>
      </c>
      <c r="K2222" s="13"/>
      <c r="L2222" s="44"/>
      <c r="M2222" s="44"/>
      <c r="N2222" s="44"/>
      <c r="O2222" s="88"/>
      <c r="P2222" s="88"/>
    </row>
    <row r="2223" ht="15.0" customHeight="1">
      <c r="A2223" s="11" t="str">
        <f t="shared" si="4"/>
        <v>FDL-MOBILIOAGC</v>
      </c>
      <c r="B2223" s="13" t="s">
        <v>2164</v>
      </c>
      <c r="C2223" s="13" t="s">
        <v>2486</v>
      </c>
      <c r="D2223" s="13" t="s">
        <v>104</v>
      </c>
      <c r="E2223" s="13" t="s">
        <v>101</v>
      </c>
      <c r="F2223" s="13" t="s">
        <v>2142</v>
      </c>
      <c r="G2223" s="34"/>
      <c r="H2223" s="11">
        <f>SUMIFS(X!$F$3:$F$5978,X!$D$3:$D$5978,'Current Stock'!A2223)</f>
        <v>2</v>
      </c>
      <c r="I2223" s="11">
        <f>SUMIFS(PENJUALAN!$E$4:$E$3651,PENJUALAN!$C$4:$C$3651,'Current Stock'!A2223)</f>
        <v>0</v>
      </c>
      <c r="J2223" s="15">
        <f t="shared" si="2"/>
        <v>2</v>
      </c>
      <c r="K2223" s="13" t="s">
        <v>1468</v>
      </c>
      <c r="L2223" s="44"/>
      <c r="M2223" s="44"/>
      <c r="N2223" s="44"/>
      <c r="O2223" s="88"/>
      <c r="P2223" s="88"/>
    </row>
    <row r="2224" ht="15.0" customHeight="1">
      <c r="A2224" s="11" t="str">
        <f t="shared" si="4"/>
        <v>RDR-MOBILIOAGC</v>
      </c>
      <c r="B2224" s="13" t="s">
        <v>2072</v>
      </c>
      <c r="C2224" s="13" t="s">
        <v>2486</v>
      </c>
      <c r="D2224" s="13" t="s">
        <v>86</v>
      </c>
      <c r="E2224" s="13" t="s">
        <v>101</v>
      </c>
      <c r="F2224" s="13" t="s">
        <v>2142</v>
      </c>
      <c r="G2224" s="34"/>
      <c r="H2224" s="11">
        <f>SUMIFS(X!$F$3:$F$5978,X!$D$3:$D$5978,'Current Stock'!A2224)</f>
        <v>2</v>
      </c>
      <c r="I2224" s="11">
        <f>SUMIFS(PENJUALAN!$E$4:$E$3651,PENJUALAN!$C$4:$C$3651,'Current Stock'!A2224)</f>
        <v>1</v>
      </c>
      <c r="J2224" s="15">
        <f t="shared" si="2"/>
        <v>1</v>
      </c>
      <c r="K2224" s="13" t="s">
        <v>1369</v>
      </c>
      <c r="L2224" s="44"/>
      <c r="M2224" s="44"/>
      <c r="N2224" s="44"/>
      <c r="O2224" s="88"/>
      <c r="P2224" s="88"/>
    </row>
    <row r="2225" ht="15.0" customHeight="1">
      <c r="A2225" s="11" t="str">
        <f t="shared" si="4"/>
        <v>RDL-MOBILIOAGC</v>
      </c>
      <c r="B2225" s="13" t="s">
        <v>2166</v>
      </c>
      <c r="C2225" s="13" t="s">
        <v>2486</v>
      </c>
      <c r="D2225" s="13" t="s">
        <v>92</v>
      </c>
      <c r="E2225" s="13" t="s">
        <v>101</v>
      </c>
      <c r="F2225" s="13" t="s">
        <v>2142</v>
      </c>
      <c r="G2225" s="14">
        <v>45988.0</v>
      </c>
      <c r="H2225" s="11">
        <f>SUMIFS(X!$F$3:$F$5978,X!$D$3:$D$5978,'Current Stock'!A2225)</f>
        <v>1</v>
      </c>
      <c r="I2225" s="11">
        <f>SUMIFS(PENJUALAN!$E$4:$E$3651,PENJUALAN!$C$4:$C$3651,'Current Stock'!A2225)</f>
        <v>0</v>
      </c>
      <c r="J2225" s="15">
        <f t="shared" si="2"/>
        <v>1</v>
      </c>
      <c r="K2225" s="13"/>
      <c r="L2225" s="44"/>
      <c r="M2225" s="44"/>
      <c r="N2225" s="44"/>
      <c r="O2225" s="88"/>
      <c r="P2225" s="88"/>
    </row>
    <row r="2226" ht="15.0" customHeight="1">
      <c r="A2226" s="11" t="str">
        <f t="shared" si="4"/>
        <v>LFW-OUTLANDERASH</v>
      </c>
      <c r="B2226" s="13" t="s">
        <v>879</v>
      </c>
      <c r="C2226" s="13" t="s">
        <v>2420</v>
      </c>
      <c r="D2226" s="13" t="s">
        <v>60</v>
      </c>
      <c r="E2226" s="13" t="s">
        <v>93</v>
      </c>
      <c r="F2226" s="13" t="s">
        <v>137</v>
      </c>
      <c r="G2226" s="11"/>
      <c r="H2226" s="11">
        <f>SUMIFS(X!$F$3:$F$5978,X!$D$3:$D$5978,'Current Stock'!A2226)</f>
        <v>1</v>
      </c>
      <c r="I2226" s="11">
        <f>SUMIFS(PENJUALAN!$E$4:$E$3651,PENJUALAN!$C$4:$C$3651,'Current Stock'!A2226)</f>
        <v>1</v>
      </c>
      <c r="J2226" s="15">
        <f t="shared" si="2"/>
        <v>0</v>
      </c>
      <c r="K2226" s="13"/>
      <c r="L2226" s="44"/>
      <c r="M2226" s="44"/>
      <c r="N2226" s="44"/>
      <c r="O2226" s="88"/>
      <c r="P2226" s="88"/>
    </row>
    <row r="2227" ht="15.0" customHeight="1">
      <c r="A2227" s="11" t="str">
        <f t="shared" si="4"/>
        <v>FDR-OUTLANDERASH</v>
      </c>
      <c r="B2227" s="13" t="s">
        <v>2487</v>
      </c>
      <c r="C2227" s="13" t="s">
        <v>2420</v>
      </c>
      <c r="D2227" s="13" t="s">
        <v>106</v>
      </c>
      <c r="E2227" s="13" t="s">
        <v>93</v>
      </c>
      <c r="F2227" s="13"/>
      <c r="G2227" s="11"/>
      <c r="H2227" s="11">
        <f>SUMIFS(X!$F$3:$F$5978,X!$D$3:$D$5978,'Current Stock'!A2227)</f>
        <v>2</v>
      </c>
      <c r="I2227" s="11">
        <f>SUMIFS(PENJUALAN!$E$4:$E$3651,PENJUALAN!$C$4:$C$3651,'Current Stock'!A2227)</f>
        <v>2</v>
      </c>
      <c r="J2227" s="15">
        <f t="shared" si="2"/>
        <v>0</v>
      </c>
      <c r="K2227" s="13"/>
      <c r="L2227" s="44"/>
      <c r="M2227" s="44"/>
      <c r="N2227" s="44"/>
      <c r="O2227" s="88"/>
      <c r="P2227" s="88"/>
    </row>
    <row r="2228" ht="15.0" customHeight="1">
      <c r="A2228" s="11" t="str">
        <f t="shared" si="4"/>
        <v>FDL-OUTLANDERASH</v>
      </c>
      <c r="B2228" s="13" t="s">
        <v>2488</v>
      </c>
      <c r="C2228" s="13" t="s">
        <v>2420</v>
      </c>
      <c r="D2228" s="13" t="s">
        <v>104</v>
      </c>
      <c r="E2228" s="13" t="s">
        <v>93</v>
      </c>
      <c r="F2228" s="13"/>
      <c r="G2228" s="11"/>
      <c r="H2228" s="11">
        <f>SUMIFS(X!$F$3:$F$5978,X!$D$3:$D$5978,'Current Stock'!A2228)</f>
        <v>0</v>
      </c>
      <c r="I2228" s="11">
        <f>SUMIFS(PENJUALAN!$E$4:$E$3651,PENJUALAN!$C$4:$C$3651,'Current Stock'!A2228)</f>
        <v>0</v>
      </c>
      <c r="J2228" s="15">
        <f t="shared" si="2"/>
        <v>0</v>
      </c>
      <c r="K2228" s="44"/>
      <c r="L2228" s="44"/>
      <c r="M2228" s="44"/>
      <c r="N2228" s="44"/>
      <c r="O2228" s="88"/>
      <c r="P2228" s="88"/>
    </row>
    <row r="2229" ht="15.0" customHeight="1">
      <c r="A2229" s="11" t="str">
        <f t="shared" si="4"/>
        <v>TRW-C26AUTO</v>
      </c>
      <c r="B2229" s="13" t="s">
        <v>977</v>
      </c>
      <c r="C2229" s="13" t="s">
        <v>2489</v>
      </c>
      <c r="D2229" s="13" t="s">
        <v>62</v>
      </c>
      <c r="E2229" s="13" t="s">
        <v>82</v>
      </c>
      <c r="F2229" s="13" t="s">
        <v>83</v>
      </c>
      <c r="G2229" s="11"/>
      <c r="H2229" s="11">
        <f>SUMIFS(X!$F$3:$F$5978,X!$D$3:$D$5978,'Current Stock'!A2229)</f>
        <v>1</v>
      </c>
      <c r="I2229" s="11">
        <f>SUMIFS(PENJUALAN!$E$4:$E$3651,PENJUALAN!$C$4:$C$3651,'Current Stock'!A2229)</f>
        <v>1</v>
      </c>
      <c r="J2229" s="15">
        <f t="shared" si="2"/>
        <v>0</v>
      </c>
      <c r="K2229" s="13" t="s">
        <v>1695</v>
      </c>
      <c r="L2229" s="44"/>
      <c r="M2229" s="44"/>
      <c r="N2229" s="44"/>
      <c r="O2229" s="88"/>
      <c r="P2229" s="88"/>
    </row>
    <row r="2230" ht="15.0" customHeight="1">
      <c r="A2230" s="11" t="str">
        <f t="shared" si="4"/>
        <v>RDR-AVANZA21ASH</v>
      </c>
      <c r="B2230" s="13" t="s">
        <v>2300</v>
      </c>
      <c r="C2230" s="13" t="s">
        <v>2214</v>
      </c>
      <c r="D2230" s="13" t="s">
        <v>86</v>
      </c>
      <c r="E2230" s="13" t="s">
        <v>93</v>
      </c>
      <c r="F2230" s="44"/>
      <c r="G2230" s="11"/>
      <c r="H2230" s="11">
        <f>SUMIFS(X!$F$3:$F$5978,X!$D$3:$D$5978,'Current Stock'!A2230)</f>
        <v>0</v>
      </c>
      <c r="I2230" s="11">
        <f>SUMIFS(PENJUALAN!$E$4:$E$3651,PENJUALAN!$C$4:$C$3651,'Current Stock'!A2230)</f>
        <v>0</v>
      </c>
      <c r="J2230" s="15">
        <f t="shared" si="2"/>
        <v>0</v>
      </c>
      <c r="K2230" s="44"/>
      <c r="L2230" s="44"/>
      <c r="M2230" s="44"/>
      <c r="N2230" s="44"/>
      <c r="O2230" s="88"/>
      <c r="P2230" s="88"/>
    </row>
    <row r="2231" ht="15.0" customHeight="1">
      <c r="A2231" s="11" t="str">
        <f t="shared" si="4"/>
        <v>FDR-PANTHER00ASH</v>
      </c>
      <c r="B2231" s="13" t="s">
        <v>2490</v>
      </c>
      <c r="C2231" s="13" t="s">
        <v>1477</v>
      </c>
      <c r="D2231" s="13" t="s">
        <v>106</v>
      </c>
      <c r="E2231" s="13" t="s">
        <v>93</v>
      </c>
      <c r="F2231" s="44"/>
      <c r="G2231" s="11"/>
      <c r="H2231" s="11">
        <f>SUMIFS(X!$F$3:$F$5978,X!$D$3:$D$5978,'Current Stock'!A2231)</f>
        <v>2</v>
      </c>
      <c r="I2231" s="11">
        <f>SUMIFS(PENJUALAN!$E$4:$E$3651,PENJUALAN!$C$4:$C$3651,'Current Stock'!A2231)</f>
        <v>2</v>
      </c>
      <c r="J2231" s="15">
        <f t="shared" si="2"/>
        <v>0</v>
      </c>
      <c r="K2231" s="13" t="s">
        <v>1398</v>
      </c>
      <c r="L2231" s="44"/>
      <c r="M2231" s="44"/>
      <c r="N2231" s="44"/>
      <c r="O2231" s="88"/>
      <c r="P2231" s="88"/>
    </row>
    <row r="2232" ht="15.0" customHeight="1">
      <c r="A2232" s="11" t="str">
        <f t="shared" si="4"/>
        <v>RDL-HRV14ASH</v>
      </c>
      <c r="B2232" s="13" t="s">
        <v>2141</v>
      </c>
      <c r="C2232" s="13" t="s">
        <v>471</v>
      </c>
      <c r="D2232" s="13" t="s">
        <v>92</v>
      </c>
      <c r="E2232" s="13" t="s">
        <v>93</v>
      </c>
      <c r="F2232" s="44"/>
      <c r="G2232" s="14">
        <v>45988.0</v>
      </c>
      <c r="H2232" s="11">
        <f>SUMIFS(X!$F$3:$F$5978,X!$D$3:$D$5978,'Current Stock'!A2232)</f>
        <v>1</v>
      </c>
      <c r="I2232" s="11">
        <f>SUMIFS(PENJUALAN!$E$4:$E$3651,PENJUALAN!$C$4:$C$3651,'Current Stock'!A2232)</f>
        <v>1</v>
      </c>
      <c r="J2232" s="15">
        <f t="shared" si="2"/>
        <v>0</v>
      </c>
      <c r="K2232" s="13" t="s">
        <v>1398</v>
      </c>
      <c r="L2232" s="44"/>
      <c r="M2232" s="44"/>
      <c r="N2232" s="44"/>
      <c r="O2232" s="88"/>
      <c r="P2232" s="88"/>
    </row>
    <row r="2233" ht="15.0" customHeight="1">
      <c r="A2233" s="11" t="str">
        <f t="shared" si="4"/>
        <v>TRW-T32FR</v>
      </c>
      <c r="B2233" s="13" t="s">
        <v>1001</v>
      </c>
      <c r="C2233" s="13" t="s">
        <v>2491</v>
      </c>
      <c r="D2233" s="13" t="s">
        <v>62</v>
      </c>
      <c r="E2233" s="13" t="s">
        <v>1429</v>
      </c>
      <c r="F2233" s="13" t="s">
        <v>1437</v>
      </c>
      <c r="G2233" s="14">
        <v>45988.0</v>
      </c>
      <c r="H2233" s="11">
        <f>SUMIFS(X!$F$3:$F$5978,X!$D$3:$D$5978,'Current Stock'!A2233)</f>
        <v>1</v>
      </c>
      <c r="I2233" s="11">
        <f>SUMIFS(PENJUALAN!$E$4:$E$3651,PENJUALAN!$C$4:$C$3651,'Current Stock'!A2233)</f>
        <v>1</v>
      </c>
      <c r="J2233" s="15">
        <f t="shared" si="2"/>
        <v>0</v>
      </c>
      <c r="K2233" s="13" t="s">
        <v>1359</v>
      </c>
      <c r="L2233" s="44"/>
      <c r="M2233" s="44"/>
      <c r="N2233" s="44"/>
      <c r="O2233" s="88"/>
      <c r="P2233" s="88"/>
    </row>
    <row r="2234" ht="15.0" customHeight="1">
      <c r="A2234" s="11" t="str">
        <f t="shared" si="4"/>
        <v>FDR-SIENTAASH</v>
      </c>
      <c r="B2234" s="13" t="s">
        <v>2492</v>
      </c>
      <c r="C2234" s="13" t="s">
        <v>1253</v>
      </c>
      <c r="D2234" s="13" t="s">
        <v>106</v>
      </c>
      <c r="E2234" s="13" t="s">
        <v>93</v>
      </c>
      <c r="F2234" s="13" t="s">
        <v>406</v>
      </c>
      <c r="G2234" s="11"/>
      <c r="H2234" s="11">
        <f>SUMIFS(X!$F$3:$F$5978,X!$D$3:$D$5978,'Current Stock'!A2234)</f>
        <v>1</v>
      </c>
      <c r="I2234" s="11">
        <f>SUMIFS(PENJUALAN!$E$4:$E$3651,PENJUALAN!$C$4:$C$3651,'Current Stock'!A2234)</f>
        <v>1</v>
      </c>
      <c r="J2234" s="15">
        <f t="shared" si="2"/>
        <v>0</v>
      </c>
      <c r="K2234" s="13" t="s">
        <v>1800</v>
      </c>
      <c r="L2234" s="44"/>
      <c r="M2234" s="44"/>
      <c r="N2234" s="44"/>
      <c r="O2234" s="88"/>
      <c r="P2234" s="88"/>
    </row>
    <row r="2235" ht="15.0" customHeight="1">
      <c r="A2235" s="11" t="str">
        <f t="shared" si="4"/>
        <v>FDR-JAZZ01ASH</v>
      </c>
      <c r="B2235" s="13" t="s">
        <v>2225</v>
      </c>
      <c r="C2235" s="13" t="s">
        <v>475</v>
      </c>
      <c r="D2235" s="13" t="s">
        <v>106</v>
      </c>
      <c r="E2235" s="13" t="s">
        <v>93</v>
      </c>
      <c r="F2235" s="44"/>
      <c r="G2235" s="14">
        <v>45988.0</v>
      </c>
      <c r="H2235" s="11">
        <f>SUMIFS(X!$F$3:$F$5978,X!$D$3:$D$5978,'Current Stock'!A2235)</f>
        <v>1</v>
      </c>
      <c r="I2235" s="11">
        <f>SUMIFS(PENJUALAN!$E$4:$E$3651,PENJUALAN!$C$4:$C$3651,'Current Stock'!A2235)</f>
        <v>1</v>
      </c>
      <c r="J2235" s="15">
        <f t="shared" si="2"/>
        <v>0</v>
      </c>
      <c r="K2235" s="13" t="s">
        <v>2182</v>
      </c>
      <c r="L2235" s="44"/>
      <c r="M2235" s="44"/>
      <c r="N2235" s="44"/>
      <c r="O2235" s="88"/>
      <c r="P2235" s="88"/>
    </row>
    <row r="2236" ht="15.0" customHeight="1">
      <c r="A2236" s="11" t="str">
        <f t="shared" si="4"/>
        <v>TRW-AGYA13MU</v>
      </c>
      <c r="B2236" s="13" t="s">
        <v>2099</v>
      </c>
      <c r="C2236" s="13" t="s">
        <v>2438</v>
      </c>
      <c r="D2236" s="13" t="s">
        <v>62</v>
      </c>
      <c r="E2236" s="13" t="s">
        <v>1633</v>
      </c>
      <c r="F2236" s="13" t="s">
        <v>109</v>
      </c>
      <c r="G2236" s="34"/>
      <c r="H2236" s="11">
        <f>SUMIFS(X!$F$3:$F$5978,X!$D$3:$D$5978,'Current Stock'!A2236)</f>
        <v>6</v>
      </c>
      <c r="I2236" s="11">
        <f>SUMIFS(PENJUALAN!$E$4:$E$3651,PENJUALAN!$C$4:$C$3651,'Current Stock'!A2236)</f>
        <v>6</v>
      </c>
      <c r="J2236" s="15">
        <f t="shared" si="2"/>
        <v>0</v>
      </c>
      <c r="K2236" s="13" t="s">
        <v>2182</v>
      </c>
      <c r="L2236" s="44"/>
      <c r="M2236" s="44"/>
      <c r="N2236" s="13" t="s">
        <v>2493</v>
      </c>
      <c r="O2236" s="88"/>
      <c r="P2236" s="88"/>
    </row>
    <row r="2237" ht="15.0" customHeight="1">
      <c r="A2237" s="11" t="str">
        <f t="shared" si="4"/>
        <v>TRW-BRIONOLBGXYG</v>
      </c>
      <c r="B2237" s="32" t="s">
        <v>2494</v>
      </c>
      <c r="C2237" s="33" t="s">
        <v>2495</v>
      </c>
      <c r="D2237" s="33" t="s">
        <v>62</v>
      </c>
      <c r="E2237" s="11" t="s">
        <v>16</v>
      </c>
      <c r="F2237" s="33" t="s">
        <v>109</v>
      </c>
      <c r="G2237" s="37">
        <v>46028.0</v>
      </c>
      <c r="H2237" s="11">
        <f>SUMIFS(X!$F$3:$F$5978,X!$D$3:$D$5978,'Current Stock'!A2237)</f>
        <v>2</v>
      </c>
      <c r="I2237" s="11">
        <f>SUMIFS(PENJUALAN!$E$4:$E$3651,PENJUALAN!$C$4:$C$3651,'Current Stock'!A2237)</f>
        <v>1</v>
      </c>
      <c r="J2237" s="15">
        <f t="shared" si="2"/>
        <v>1</v>
      </c>
      <c r="K2237" s="13" t="s">
        <v>2050</v>
      </c>
      <c r="L2237" s="13"/>
      <c r="M2237" s="11"/>
      <c r="N2237" s="11"/>
      <c r="O2237" s="88"/>
      <c r="P2237" s="88"/>
    </row>
    <row r="2238" ht="15.0" customHeight="1">
      <c r="A2238" s="11" t="str">
        <f t="shared" si="4"/>
        <v>LFW-CITY96XYG</v>
      </c>
      <c r="B2238" s="32" t="s">
        <v>367</v>
      </c>
      <c r="C2238" s="33" t="s">
        <v>368</v>
      </c>
      <c r="D2238" s="33" t="s">
        <v>60</v>
      </c>
      <c r="E2238" s="11" t="s">
        <v>16</v>
      </c>
      <c r="F2238" s="33" t="s">
        <v>109</v>
      </c>
      <c r="G2238" s="14">
        <v>45988.0</v>
      </c>
      <c r="H2238" s="11">
        <f>SUMIFS(X!$F$3:$F$5978,X!$D$3:$D$5978,'Current Stock'!A2238)</f>
        <v>1</v>
      </c>
      <c r="I2238" s="11">
        <f>SUMIFS(PENJUALAN!$E$4:$E$3651,PENJUALAN!$C$4:$C$3651,'Current Stock'!A2238)</f>
        <v>1</v>
      </c>
      <c r="J2238" s="15">
        <f t="shared" si="2"/>
        <v>0</v>
      </c>
      <c r="K2238" s="13" t="s">
        <v>1468</v>
      </c>
      <c r="L2238" s="13"/>
      <c r="M2238" s="11"/>
      <c r="N2238" s="11"/>
      <c r="O2238" s="88"/>
      <c r="P2238" s="88"/>
    </row>
    <row r="2239" ht="15.0" customHeight="1">
      <c r="A2239" s="11" t="str">
        <f t="shared" si="4"/>
        <v>LFW-ATTOXYG</v>
      </c>
      <c r="B2239" s="13" t="s">
        <v>2496</v>
      </c>
      <c r="C2239" s="13" t="s">
        <v>2497</v>
      </c>
      <c r="D2239" s="13" t="s">
        <v>60</v>
      </c>
      <c r="E2239" s="13" t="s">
        <v>16</v>
      </c>
      <c r="F2239" s="13" t="s">
        <v>314</v>
      </c>
      <c r="G2239" s="11"/>
      <c r="H2239" s="11">
        <f>SUMIFS(X!$F$3:$F$5978,X!$D$3:$D$5978,'Current Stock'!A2239)</f>
        <v>0</v>
      </c>
      <c r="I2239" s="11">
        <f>SUMIFS(PENJUALAN!$E$4:$E$3651,PENJUALAN!$C$4:$C$3651,'Current Stock'!A2239)</f>
        <v>0</v>
      </c>
      <c r="J2239" s="15">
        <f t="shared" si="2"/>
        <v>0</v>
      </c>
      <c r="K2239" s="13"/>
      <c r="L2239" s="44"/>
      <c r="M2239" s="44"/>
      <c r="N2239" s="44"/>
      <c r="O2239" s="88"/>
      <c r="P2239" s="88"/>
    </row>
    <row r="2240" ht="15.0" customHeight="1">
      <c r="A2240" s="11" t="str">
        <f t="shared" si="4"/>
        <v>LFW-DOLPHIN23XYG</v>
      </c>
      <c r="B2240" s="13" t="s">
        <v>2498</v>
      </c>
      <c r="C2240" s="13" t="s">
        <v>2499</v>
      </c>
      <c r="D2240" s="13" t="s">
        <v>60</v>
      </c>
      <c r="E2240" s="13" t="s">
        <v>16</v>
      </c>
      <c r="F2240" s="13" t="s">
        <v>314</v>
      </c>
      <c r="G2240" s="14">
        <v>45988.0</v>
      </c>
      <c r="H2240" s="11">
        <f>SUMIFS(X!$F$3:$F$5978,X!$D$3:$D$5978,'Current Stock'!A2240)</f>
        <v>0</v>
      </c>
      <c r="I2240" s="11">
        <f>SUMIFS(PENJUALAN!$E$4:$E$3651,PENJUALAN!$C$4:$C$3651,'Current Stock'!A2240)</f>
        <v>0</v>
      </c>
      <c r="J2240" s="15">
        <f t="shared" si="2"/>
        <v>0</v>
      </c>
      <c r="K2240" s="13"/>
      <c r="L2240" s="44"/>
      <c r="M2240" s="44"/>
      <c r="N2240" s="44"/>
      <c r="O2240" s="88"/>
      <c r="P2240" s="88"/>
    </row>
    <row r="2241" ht="15.0" customHeight="1">
      <c r="A2241" s="11" t="str">
        <f t="shared" si="4"/>
        <v>TRW-PAJERO08XYG</v>
      </c>
      <c r="B2241" s="32" t="s">
        <v>884</v>
      </c>
      <c r="C2241" s="33" t="s">
        <v>883</v>
      </c>
      <c r="D2241" s="33" t="s">
        <v>62</v>
      </c>
      <c r="E2241" s="11" t="s">
        <v>16</v>
      </c>
      <c r="F2241" s="33" t="s">
        <v>228</v>
      </c>
      <c r="G2241" s="14">
        <v>45988.0</v>
      </c>
      <c r="H2241" s="11">
        <f>SUMIFS(X!$F$3:$F$5978,X!$D$3:$D$5978,'Current Stock'!A2241)</f>
        <v>7</v>
      </c>
      <c r="I2241" s="11">
        <f>SUMIFS(PENJUALAN!$E$4:$E$3651,PENJUALAN!$C$4:$C$3651,'Current Stock'!A2241)</f>
        <v>6</v>
      </c>
      <c r="J2241" s="15">
        <f t="shared" si="2"/>
        <v>1</v>
      </c>
      <c r="K2241" s="13" t="s">
        <v>430</v>
      </c>
      <c r="L2241" s="13"/>
      <c r="M2241" s="11"/>
      <c r="N2241" s="11"/>
      <c r="O2241" s="88"/>
      <c r="P2241" s="88"/>
    </row>
    <row r="2242" ht="15.0" customHeight="1">
      <c r="A2242" s="11" t="str">
        <f t="shared" si="4"/>
        <v>LFW-T31XYG</v>
      </c>
      <c r="B2242" s="32" t="s">
        <v>992</v>
      </c>
      <c r="C2242" s="33" t="s">
        <v>993</v>
      </c>
      <c r="D2242" s="33" t="s">
        <v>60</v>
      </c>
      <c r="E2242" s="11" t="s">
        <v>16</v>
      </c>
      <c r="F2242" s="33" t="s">
        <v>137</v>
      </c>
      <c r="G2242" s="14">
        <v>45988.0</v>
      </c>
      <c r="H2242" s="11">
        <f>SUMIFS(X!$F$3:$F$5978,X!$D$3:$D$5978,'Current Stock'!A2242)</f>
        <v>15</v>
      </c>
      <c r="I2242" s="11">
        <f>SUMIFS(PENJUALAN!$E$4:$E$3651,PENJUALAN!$C$4:$C$3651,'Current Stock'!A2242)</f>
        <v>5</v>
      </c>
      <c r="J2242" s="15">
        <f t="shared" si="2"/>
        <v>10</v>
      </c>
      <c r="K2242" s="13"/>
      <c r="L2242" s="11"/>
      <c r="M2242" s="11"/>
      <c r="N2242" s="11"/>
      <c r="O2242" s="88"/>
      <c r="P2242" s="88"/>
    </row>
    <row r="2243" ht="15.0" customHeight="1">
      <c r="A2243" s="11" t="str">
        <f t="shared" si="4"/>
        <v>FDL-CARRY19ASH</v>
      </c>
      <c r="B2243" s="13" t="s">
        <v>2200</v>
      </c>
      <c r="C2243" s="13" t="s">
        <v>1363</v>
      </c>
      <c r="D2243" s="13" t="s">
        <v>104</v>
      </c>
      <c r="E2243" s="13" t="s">
        <v>93</v>
      </c>
      <c r="F2243" s="44"/>
      <c r="G2243" s="14">
        <v>45988.0</v>
      </c>
      <c r="H2243" s="11">
        <f>SUMIFS(X!$F$3:$F$5978,X!$D$3:$D$5978,'Current Stock'!A2243)</f>
        <v>0</v>
      </c>
      <c r="I2243" s="11">
        <f>SUMIFS(PENJUALAN!$E$4:$E$3651,PENJUALAN!$C$4:$C$3651,'Current Stock'!A2243)</f>
        <v>0</v>
      </c>
      <c r="J2243" s="15">
        <f t="shared" si="2"/>
        <v>0</v>
      </c>
      <c r="K2243" s="13" t="s">
        <v>430</v>
      </c>
      <c r="L2243" s="44"/>
      <c r="M2243" s="44"/>
      <c r="N2243" s="44"/>
      <c r="O2243" s="88"/>
      <c r="P2243" s="88"/>
    </row>
    <row r="2244" ht="15.0" customHeight="1">
      <c r="A2244" s="101" t="str">
        <f t="shared" si="4"/>
        <v>FILM-BPSG</v>
      </c>
      <c r="B2244" s="102" t="s">
        <v>77</v>
      </c>
      <c r="C2244" s="102" t="s">
        <v>78</v>
      </c>
      <c r="D2244" s="102" t="s">
        <v>72</v>
      </c>
      <c r="E2244" s="102" t="s">
        <v>79</v>
      </c>
      <c r="F2244" s="102"/>
      <c r="G2244" s="103">
        <v>45988.0</v>
      </c>
      <c r="H2244" s="11">
        <f>SUMIFS(X!$F$3:$F$5978,X!$D$3:$D$5978,'Current Stock'!A2244)</f>
        <v>15</v>
      </c>
      <c r="I2244" s="11">
        <f>SUMIFS(PENJUALAN!$E$4:$E$3651,PENJUALAN!$C$4:$C$3651,'Current Stock'!A2244)</f>
        <v>19</v>
      </c>
      <c r="J2244" s="15">
        <f t="shared" si="2"/>
        <v>-4</v>
      </c>
      <c r="K2244" s="104" t="s">
        <v>606</v>
      </c>
      <c r="L2244" s="105"/>
      <c r="M2244" s="106"/>
      <c r="N2244" s="106"/>
      <c r="O2244" s="105"/>
      <c r="P2244" s="105"/>
    </row>
    <row r="2245" ht="15.0" customHeight="1">
      <c r="A2245" s="101" t="str">
        <f t="shared" si="4"/>
        <v>FILM-VIPVK</v>
      </c>
      <c r="B2245" s="107" t="s">
        <v>2500</v>
      </c>
      <c r="C2245" s="107" t="s">
        <v>2501</v>
      </c>
      <c r="D2245" s="107" t="s">
        <v>72</v>
      </c>
      <c r="E2245" s="107" t="s">
        <v>2502</v>
      </c>
      <c r="F2245" s="102"/>
      <c r="G2245" s="103"/>
      <c r="H2245" s="11"/>
      <c r="I2245" s="11"/>
      <c r="J2245" s="15"/>
      <c r="K2245" s="104" t="s">
        <v>2182</v>
      </c>
      <c r="L2245" s="105"/>
      <c r="M2245" s="106"/>
      <c r="N2245" s="106"/>
      <c r="O2245" s="105"/>
      <c r="P2245" s="105"/>
    </row>
    <row r="2246" ht="15.0" customHeight="1">
      <c r="A2246" s="11" t="str">
        <f t="shared" si="4"/>
        <v>TRW-OUTLANDERXYG</v>
      </c>
      <c r="B2246" s="32" t="s">
        <v>881</v>
      </c>
      <c r="C2246" s="33" t="s">
        <v>880</v>
      </c>
      <c r="D2246" s="33" t="s">
        <v>62</v>
      </c>
      <c r="E2246" s="11" t="s">
        <v>16</v>
      </c>
      <c r="F2246" s="33" t="s">
        <v>228</v>
      </c>
      <c r="G2246" s="14">
        <v>45988.0</v>
      </c>
      <c r="H2246" s="11">
        <f>SUMIFS(X!$F$3:$F$5978,X!$D$3:$D$5978,'Current Stock'!A2246)</f>
        <v>2</v>
      </c>
      <c r="I2246" s="11">
        <f>SUMIFS(PENJUALAN!$E$4:$E$3651,PENJUALAN!$C$4:$C$3651,'Current Stock'!A2246)</f>
        <v>2</v>
      </c>
      <c r="J2246" s="15">
        <f t="shared" ref="J2246:J2469" si="26">H2246-I2246</f>
        <v>0</v>
      </c>
      <c r="K2246" s="13" t="s">
        <v>2182</v>
      </c>
      <c r="L2246" s="11"/>
      <c r="M2246" s="11"/>
      <c r="N2246" s="11"/>
      <c r="O2246" s="88"/>
      <c r="P2246" s="88"/>
    </row>
    <row r="2247" ht="15.0" customHeight="1">
      <c r="A2247" s="11" t="str">
        <f t="shared" si="4"/>
        <v>SWL-PAJERO08XYG</v>
      </c>
      <c r="B2247" s="32" t="s">
        <v>2503</v>
      </c>
      <c r="C2247" s="33" t="s">
        <v>883</v>
      </c>
      <c r="D2247" s="35" t="s">
        <v>209</v>
      </c>
      <c r="E2247" s="11" t="s">
        <v>16</v>
      </c>
      <c r="F2247" s="33"/>
      <c r="G2247" s="14">
        <v>45988.0</v>
      </c>
      <c r="H2247" s="11">
        <f>SUMIFS(X!$F$3:$F$5978,X!$D$3:$D$5978,'Current Stock'!A2247)</f>
        <v>1</v>
      </c>
      <c r="I2247" s="11">
        <f>SUMIFS(PENJUALAN!$E$4:$E$3651,PENJUALAN!$C$4:$C$3651,'Current Stock'!A2247)</f>
        <v>1</v>
      </c>
      <c r="J2247" s="15">
        <f t="shared" si="26"/>
        <v>0</v>
      </c>
      <c r="K2247" s="13" t="s">
        <v>2050</v>
      </c>
      <c r="L2247" s="11"/>
      <c r="M2247" s="11"/>
      <c r="N2247" s="11"/>
      <c r="O2247" s="88"/>
      <c r="P2247" s="88"/>
    </row>
    <row r="2248" ht="15.0" customHeight="1">
      <c r="A2248" s="11" t="str">
        <f t="shared" si="4"/>
        <v>LFW-AIREVXYG</v>
      </c>
      <c r="B2248" s="13" t="s">
        <v>2504</v>
      </c>
      <c r="C2248" s="13" t="s">
        <v>2505</v>
      </c>
      <c r="D2248" s="13" t="s">
        <v>60</v>
      </c>
      <c r="E2248" s="13" t="s">
        <v>16</v>
      </c>
      <c r="F2248" s="13" t="s">
        <v>109</v>
      </c>
      <c r="G2248" s="34">
        <v>45988.0</v>
      </c>
      <c r="H2248" s="11">
        <f>SUMIFS(X!$F$3:$F$5978,X!$D$3:$D$5978,'Current Stock'!A2248)</f>
        <v>8</v>
      </c>
      <c r="I2248" s="11">
        <f>SUMIFS(PENJUALAN!$E$4:$E$3651,PENJUALAN!$C$4:$C$3651,'Current Stock'!A2248)</f>
        <v>8</v>
      </c>
      <c r="J2248" s="15">
        <f t="shared" si="26"/>
        <v>0</v>
      </c>
      <c r="K2248" s="13" t="s">
        <v>355</v>
      </c>
      <c r="L2248" s="44"/>
      <c r="M2248" s="44"/>
      <c r="N2248" s="44"/>
      <c r="O2248" s="88"/>
      <c r="P2248" s="88"/>
    </row>
    <row r="2249" ht="15.0" customHeight="1">
      <c r="A2249" s="11" t="str">
        <f t="shared" si="4"/>
        <v>RDL-PAJERO16XYG</v>
      </c>
      <c r="B2249" s="36" t="s">
        <v>2327</v>
      </c>
      <c r="C2249" s="33" t="s">
        <v>886</v>
      </c>
      <c r="D2249" s="31" t="s">
        <v>92</v>
      </c>
      <c r="E2249" s="11" t="s">
        <v>16</v>
      </c>
      <c r="F2249" s="33"/>
      <c r="G2249" s="11"/>
      <c r="H2249" s="11">
        <f>SUMIFS(X!$F$3:$F$5978,X!$D$3:$D$5978,'Current Stock'!A2249)</f>
        <v>3</v>
      </c>
      <c r="I2249" s="11">
        <f>SUMIFS(PENJUALAN!$E$4:$E$3651,PENJUALAN!$C$4:$C$3651,'Current Stock'!A2249)</f>
        <v>2</v>
      </c>
      <c r="J2249" s="15">
        <f t="shared" si="26"/>
        <v>1</v>
      </c>
      <c r="K2249" s="13" t="s">
        <v>1359</v>
      </c>
      <c r="L2249" s="13"/>
      <c r="M2249" s="11"/>
      <c r="N2249" s="11"/>
      <c r="O2249" s="88"/>
      <c r="P2249" s="88"/>
    </row>
    <row r="2250" ht="15.0" customHeight="1">
      <c r="A2250" s="11" t="str">
        <f t="shared" si="4"/>
        <v>LFW-BRV22AGC</v>
      </c>
      <c r="B2250" s="13" t="s">
        <v>2065</v>
      </c>
      <c r="C2250" s="13" t="s">
        <v>2506</v>
      </c>
      <c r="D2250" s="13" t="s">
        <v>60</v>
      </c>
      <c r="E2250" s="13" t="s">
        <v>101</v>
      </c>
      <c r="F2250" s="13" t="s">
        <v>1358</v>
      </c>
      <c r="G2250" s="34"/>
      <c r="H2250" s="11">
        <f>SUMIFS(X!$F$3:$F$5978,X!$D$3:$D$5978,'Current Stock'!A2250)</f>
        <v>5</v>
      </c>
      <c r="I2250" s="11">
        <f>SUMIFS(PENJUALAN!$E$4:$E$3651,PENJUALAN!$C$4:$C$3651,'Current Stock'!A2250)</f>
        <v>5</v>
      </c>
      <c r="J2250" s="15">
        <f t="shared" si="26"/>
        <v>0</v>
      </c>
      <c r="K2250" s="13"/>
      <c r="L2250" s="44"/>
      <c r="M2250" s="44"/>
      <c r="N2250" s="44"/>
      <c r="O2250" s="88"/>
      <c r="P2250" s="88"/>
    </row>
    <row r="2251" ht="15.0" customHeight="1">
      <c r="A2251" s="11" t="str">
        <f t="shared" si="4"/>
        <v>LFW-BRV22RSAGC</v>
      </c>
      <c r="B2251" s="13" t="s">
        <v>2507</v>
      </c>
      <c r="C2251" s="13" t="s">
        <v>2508</v>
      </c>
      <c r="D2251" s="13" t="s">
        <v>60</v>
      </c>
      <c r="E2251" s="13" t="s">
        <v>101</v>
      </c>
      <c r="F2251" s="13" t="s">
        <v>2273</v>
      </c>
      <c r="G2251" s="34">
        <v>45988.0</v>
      </c>
      <c r="H2251" s="11">
        <f>SUMIFS(X!$F$3:$F$5978,X!$D$3:$D$5978,'Current Stock'!A2251)</f>
        <v>3</v>
      </c>
      <c r="I2251" s="11">
        <f>SUMIFS(PENJUALAN!$E$4:$E$3651,PENJUALAN!$C$4:$C$3651,'Current Stock'!A2251)</f>
        <v>2</v>
      </c>
      <c r="J2251" s="15">
        <f t="shared" si="26"/>
        <v>1</v>
      </c>
      <c r="K2251" s="13"/>
      <c r="L2251" s="44"/>
      <c r="M2251" s="44"/>
      <c r="N2251" s="44"/>
      <c r="O2251" s="88"/>
      <c r="P2251" s="88"/>
    </row>
    <row r="2252" ht="15.0" customHeight="1">
      <c r="A2252" s="11" t="str">
        <f t="shared" si="4"/>
        <v>TRW-BRV22AGC</v>
      </c>
      <c r="B2252" s="13" t="s">
        <v>2509</v>
      </c>
      <c r="C2252" s="13" t="s">
        <v>2510</v>
      </c>
      <c r="D2252" s="13" t="s">
        <v>62</v>
      </c>
      <c r="E2252" s="13" t="s">
        <v>101</v>
      </c>
      <c r="F2252" s="13" t="s">
        <v>100</v>
      </c>
      <c r="G2252" s="34">
        <v>45988.0</v>
      </c>
      <c r="H2252" s="11">
        <f>SUMIFS(X!$F$3:$F$5978,X!$D$3:$D$5978,'Current Stock'!A2252)</f>
        <v>2</v>
      </c>
      <c r="I2252" s="11">
        <f>SUMIFS(PENJUALAN!$E$4:$E$3651,PENJUALAN!$C$4:$C$3651,'Current Stock'!A2252)</f>
        <v>1</v>
      </c>
      <c r="J2252" s="15">
        <f t="shared" si="26"/>
        <v>1</v>
      </c>
      <c r="K2252" s="13"/>
      <c r="L2252" s="44"/>
      <c r="M2252" s="44"/>
      <c r="N2252" s="44"/>
      <c r="O2252" s="88"/>
      <c r="P2252" s="88"/>
    </row>
    <row r="2253" ht="15.0" customHeight="1">
      <c r="A2253" s="11" t="str">
        <f t="shared" si="4"/>
        <v>FDR-BRV22AGC</v>
      </c>
      <c r="B2253" s="13" t="s">
        <v>2511</v>
      </c>
      <c r="C2253" s="13" t="s">
        <v>2510</v>
      </c>
      <c r="D2253" s="13" t="s">
        <v>106</v>
      </c>
      <c r="E2253" s="13" t="s">
        <v>101</v>
      </c>
      <c r="F2253" s="13" t="s">
        <v>2142</v>
      </c>
      <c r="G2253" s="34"/>
      <c r="H2253" s="11">
        <f>SUMIFS(X!$F$3:$F$5978,X!$D$3:$D$5978,'Current Stock'!A2253)</f>
        <v>2</v>
      </c>
      <c r="I2253" s="11">
        <f>SUMIFS(PENJUALAN!$E$4:$E$3651,PENJUALAN!$C$4:$C$3651,'Current Stock'!A2253)</f>
        <v>1</v>
      </c>
      <c r="J2253" s="15">
        <f t="shared" si="26"/>
        <v>1</v>
      </c>
      <c r="K2253" s="13"/>
      <c r="L2253" s="44"/>
      <c r="M2253" s="44"/>
      <c r="N2253" s="44"/>
      <c r="O2253" s="88"/>
      <c r="P2253" s="88"/>
    </row>
    <row r="2254" ht="15.0" customHeight="1">
      <c r="A2254" s="11" t="str">
        <f t="shared" si="4"/>
        <v>FDL-BRV22AGC</v>
      </c>
      <c r="B2254" s="13" t="s">
        <v>2512</v>
      </c>
      <c r="C2254" s="13" t="s">
        <v>2510</v>
      </c>
      <c r="D2254" s="13" t="s">
        <v>104</v>
      </c>
      <c r="E2254" s="13" t="s">
        <v>101</v>
      </c>
      <c r="F2254" s="13" t="s">
        <v>2142</v>
      </c>
      <c r="G2254" s="34"/>
      <c r="H2254" s="11">
        <f>SUMIFS(X!$F$3:$F$5978,X!$D$3:$D$5978,'Current Stock'!A2254)</f>
        <v>1</v>
      </c>
      <c r="I2254" s="11">
        <f>SUMIFS(PENJUALAN!$E$4:$E$3651,PENJUALAN!$C$4:$C$3651,'Current Stock'!A2254)</f>
        <v>0</v>
      </c>
      <c r="J2254" s="15">
        <f t="shared" si="26"/>
        <v>1</v>
      </c>
      <c r="K2254" s="13"/>
      <c r="L2254" s="44"/>
      <c r="M2254" s="44"/>
      <c r="N2254" s="44"/>
      <c r="O2254" s="88"/>
      <c r="P2254" s="88"/>
    </row>
    <row r="2255" ht="15.0" customHeight="1">
      <c r="A2255" s="11" t="str">
        <f t="shared" si="4"/>
        <v>RDR-BRV22AGC</v>
      </c>
      <c r="B2255" s="13" t="s">
        <v>2513</v>
      </c>
      <c r="C2255" s="13" t="s">
        <v>2510</v>
      </c>
      <c r="D2255" s="13" t="s">
        <v>86</v>
      </c>
      <c r="E2255" s="13" t="s">
        <v>101</v>
      </c>
      <c r="F2255" s="13" t="s">
        <v>2142</v>
      </c>
      <c r="G2255" s="34"/>
      <c r="H2255" s="11">
        <f>SUMIFS(X!$F$3:$F$5978,X!$D$3:$D$5978,'Current Stock'!A2255)</f>
        <v>1</v>
      </c>
      <c r="I2255" s="11">
        <f>SUMIFS(PENJUALAN!$E$4:$E$3651,PENJUALAN!$C$4:$C$3651,'Current Stock'!A2255)</f>
        <v>0</v>
      </c>
      <c r="J2255" s="15">
        <f t="shared" si="26"/>
        <v>1</v>
      </c>
      <c r="K2255" s="13"/>
      <c r="L2255" s="44"/>
      <c r="M2255" s="44"/>
      <c r="N2255" s="44"/>
      <c r="O2255" s="88"/>
      <c r="P2255" s="88"/>
    </row>
    <row r="2256" ht="15.0" customHeight="1">
      <c r="A2256" s="11" t="str">
        <f t="shared" si="4"/>
        <v>RDL-BRV22AGC</v>
      </c>
      <c r="B2256" s="13" t="s">
        <v>2514</v>
      </c>
      <c r="C2256" s="13" t="s">
        <v>2510</v>
      </c>
      <c r="D2256" s="13" t="s">
        <v>92</v>
      </c>
      <c r="E2256" s="13" t="s">
        <v>101</v>
      </c>
      <c r="F2256" s="13" t="s">
        <v>2142</v>
      </c>
      <c r="G2256" s="34"/>
      <c r="H2256" s="11">
        <f>SUMIFS(X!$F$3:$F$5978,X!$D$3:$D$5978,'Current Stock'!A2256)</f>
        <v>0</v>
      </c>
      <c r="I2256" s="11">
        <f>SUMIFS(PENJUALAN!$E$4:$E$3651,PENJUALAN!$C$4:$C$3651,'Current Stock'!A2256)</f>
        <v>0</v>
      </c>
      <c r="J2256" s="15">
        <f t="shared" si="26"/>
        <v>0</v>
      </c>
      <c r="K2256" s="13" t="s">
        <v>1359</v>
      </c>
      <c r="L2256" s="44"/>
      <c r="M2256" s="44"/>
      <c r="N2256" s="44"/>
      <c r="O2256" s="88"/>
      <c r="P2256" s="88"/>
    </row>
    <row r="2257" ht="15.0" customHeight="1">
      <c r="A2257" s="11" t="str">
        <f t="shared" si="4"/>
        <v>SWR-BRV22AGC</v>
      </c>
      <c r="B2257" s="13" t="s">
        <v>2515</v>
      </c>
      <c r="C2257" s="13" t="s">
        <v>2510</v>
      </c>
      <c r="D2257" s="13" t="s">
        <v>116</v>
      </c>
      <c r="E2257" s="13" t="s">
        <v>101</v>
      </c>
      <c r="F2257" s="13" t="s">
        <v>100</v>
      </c>
      <c r="G2257" s="34"/>
      <c r="H2257" s="11">
        <f>SUMIFS(X!$F$3:$F$5978,X!$D$3:$D$5978,'Current Stock'!A2257)</f>
        <v>0</v>
      </c>
      <c r="I2257" s="11">
        <f>SUMIFS(PENJUALAN!$E$4:$E$3651,PENJUALAN!$C$4:$C$3651,'Current Stock'!A2257)</f>
        <v>0</v>
      </c>
      <c r="J2257" s="15">
        <f t="shared" si="26"/>
        <v>0</v>
      </c>
      <c r="K2257" s="13" t="s">
        <v>606</v>
      </c>
      <c r="L2257" s="44"/>
      <c r="M2257" s="44"/>
      <c r="N2257" s="44"/>
      <c r="O2257" s="88"/>
      <c r="P2257" s="88"/>
    </row>
    <row r="2258" ht="15.0" customHeight="1">
      <c r="A2258" s="11" t="str">
        <f t="shared" si="4"/>
        <v>SWL-BRV22AGC</v>
      </c>
      <c r="B2258" s="13" t="s">
        <v>2516</v>
      </c>
      <c r="C2258" s="13" t="s">
        <v>2510</v>
      </c>
      <c r="D2258" s="13" t="s">
        <v>1410</v>
      </c>
      <c r="E2258" s="13" t="s">
        <v>101</v>
      </c>
      <c r="F2258" s="13" t="s">
        <v>100</v>
      </c>
      <c r="G2258" s="34"/>
      <c r="H2258" s="11">
        <f>SUMIFS(X!$F$3:$F$5978,X!$D$3:$D$5978,'Current Stock'!A2258)</f>
        <v>1</v>
      </c>
      <c r="I2258" s="11">
        <f>SUMIFS(PENJUALAN!$E$4:$E$3651,PENJUALAN!$C$4:$C$3651,'Current Stock'!A2258)</f>
        <v>0</v>
      </c>
      <c r="J2258" s="15">
        <f t="shared" si="26"/>
        <v>1</v>
      </c>
      <c r="K2258" s="13" t="s">
        <v>1695</v>
      </c>
      <c r="L2258" s="44"/>
      <c r="M2258" s="44"/>
      <c r="N2258" s="44"/>
      <c r="O2258" s="88"/>
      <c r="P2258" s="88"/>
    </row>
    <row r="2259" ht="15.0" customHeight="1">
      <c r="A2259" s="11" t="str">
        <f t="shared" si="4"/>
        <v>TRW-WRV23AGC</v>
      </c>
      <c r="B2259" s="13" t="s">
        <v>2517</v>
      </c>
      <c r="C2259" s="13" t="s">
        <v>2518</v>
      </c>
      <c r="D2259" s="13" t="s">
        <v>62</v>
      </c>
      <c r="E2259" s="13" t="s">
        <v>101</v>
      </c>
      <c r="F2259" s="13" t="s">
        <v>2519</v>
      </c>
      <c r="G2259" s="34">
        <v>45988.0</v>
      </c>
      <c r="H2259" s="11">
        <f>SUMIFS(X!$F$3:$F$5978,X!$D$3:$D$5978,'Current Stock'!A2259)</f>
        <v>1</v>
      </c>
      <c r="I2259" s="11">
        <f>SUMIFS(PENJUALAN!$E$4:$E$3651,PENJUALAN!$C$4:$C$3651,'Current Stock'!A2259)</f>
        <v>0</v>
      </c>
      <c r="J2259" s="15">
        <f t="shared" si="26"/>
        <v>1</v>
      </c>
      <c r="K2259" s="13" t="s">
        <v>2050</v>
      </c>
      <c r="L2259" s="44"/>
      <c r="M2259" s="44"/>
      <c r="N2259" s="44"/>
      <c r="O2259" s="88"/>
      <c r="P2259" s="88"/>
    </row>
    <row r="2260" ht="15.0" customHeight="1">
      <c r="A2260" s="11" t="str">
        <f t="shared" si="4"/>
        <v>FDR-WRV23AGC</v>
      </c>
      <c r="B2260" s="13" t="s">
        <v>2520</v>
      </c>
      <c r="C2260" s="13" t="s">
        <v>2518</v>
      </c>
      <c r="D2260" s="13" t="s">
        <v>106</v>
      </c>
      <c r="E2260" s="13" t="s">
        <v>101</v>
      </c>
      <c r="F2260" s="13" t="s">
        <v>2142</v>
      </c>
      <c r="G2260" s="34">
        <v>45988.0</v>
      </c>
      <c r="H2260" s="11">
        <f>SUMIFS(X!$F$3:$F$5978,X!$D$3:$D$5978,'Current Stock'!A2260)</f>
        <v>3</v>
      </c>
      <c r="I2260" s="11">
        <f>SUMIFS(PENJUALAN!$E$4:$E$3651,PENJUALAN!$C$4:$C$3651,'Current Stock'!A2260)</f>
        <v>1</v>
      </c>
      <c r="J2260" s="15">
        <f t="shared" si="26"/>
        <v>2</v>
      </c>
      <c r="K2260" s="13" t="s">
        <v>2050</v>
      </c>
      <c r="L2260" s="44"/>
      <c r="M2260" s="44"/>
      <c r="N2260" s="44"/>
      <c r="O2260" s="88"/>
      <c r="P2260" s="88"/>
    </row>
    <row r="2261" ht="15.0" customHeight="1">
      <c r="A2261" s="11" t="str">
        <f t="shared" si="4"/>
        <v>FDL-WRV23AGC</v>
      </c>
      <c r="B2261" s="13" t="s">
        <v>2521</v>
      </c>
      <c r="C2261" s="13" t="s">
        <v>2518</v>
      </c>
      <c r="D2261" s="13" t="s">
        <v>104</v>
      </c>
      <c r="E2261" s="13" t="s">
        <v>101</v>
      </c>
      <c r="F2261" s="13" t="s">
        <v>2142</v>
      </c>
      <c r="G2261" s="34">
        <v>45988.0</v>
      </c>
      <c r="H2261" s="11">
        <f>SUMIFS(X!$F$3:$F$5978,X!$D$3:$D$5978,'Current Stock'!A2261)</f>
        <v>3</v>
      </c>
      <c r="I2261" s="11">
        <f>SUMIFS(PENJUALAN!$E$4:$E$3651,PENJUALAN!$C$4:$C$3651,'Current Stock'!A2261)</f>
        <v>2</v>
      </c>
      <c r="J2261" s="15">
        <f t="shared" si="26"/>
        <v>1</v>
      </c>
      <c r="K2261" s="13" t="s">
        <v>1468</v>
      </c>
      <c r="L2261" s="44"/>
      <c r="M2261" s="44"/>
      <c r="N2261" s="44"/>
      <c r="O2261" s="88"/>
      <c r="P2261" s="88"/>
    </row>
    <row r="2262" ht="15.0" customHeight="1">
      <c r="A2262" s="11" t="str">
        <f t="shared" si="4"/>
        <v>RDR-WRV23AGC</v>
      </c>
      <c r="B2262" s="13" t="s">
        <v>2522</v>
      </c>
      <c r="C2262" s="13" t="s">
        <v>2518</v>
      </c>
      <c r="D2262" s="13" t="s">
        <v>86</v>
      </c>
      <c r="E2262" s="13" t="s">
        <v>101</v>
      </c>
      <c r="F2262" s="13" t="s">
        <v>2142</v>
      </c>
      <c r="G2262" s="34">
        <v>45988.0</v>
      </c>
      <c r="H2262" s="11">
        <f>SUMIFS(X!$F$3:$F$5978,X!$D$3:$D$5978,'Current Stock'!A2262)</f>
        <v>2</v>
      </c>
      <c r="I2262" s="11">
        <f>SUMIFS(PENJUALAN!$E$4:$E$3651,PENJUALAN!$C$4:$C$3651,'Current Stock'!A2262)</f>
        <v>1</v>
      </c>
      <c r="J2262" s="15">
        <f t="shared" si="26"/>
        <v>1</v>
      </c>
      <c r="K2262" s="13"/>
      <c r="L2262" s="44"/>
      <c r="M2262" s="44"/>
      <c r="N2262" s="44"/>
      <c r="O2262" s="88"/>
      <c r="P2262" s="88"/>
    </row>
    <row r="2263" ht="15.0" customHeight="1">
      <c r="A2263" s="11" t="str">
        <f t="shared" si="4"/>
        <v>RDL-WRV23AGC</v>
      </c>
      <c r="B2263" s="13" t="s">
        <v>2523</v>
      </c>
      <c r="C2263" s="13" t="s">
        <v>2518</v>
      </c>
      <c r="D2263" s="13" t="s">
        <v>92</v>
      </c>
      <c r="E2263" s="13" t="s">
        <v>101</v>
      </c>
      <c r="F2263" s="13" t="s">
        <v>2142</v>
      </c>
      <c r="G2263" s="14">
        <v>45988.0</v>
      </c>
      <c r="H2263" s="11">
        <f>SUMIFS(X!$F$3:$F$5978,X!$D$3:$D$5978,'Current Stock'!A2263)</f>
        <v>3</v>
      </c>
      <c r="I2263" s="11">
        <f>SUMIFS(PENJUALAN!$E$4:$E$3651,PENJUALAN!$C$4:$C$3651,'Current Stock'!A2263)</f>
        <v>1</v>
      </c>
      <c r="J2263" s="15">
        <f t="shared" si="26"/>
        <v>2</v>
      </c>
      <c r="K2263" s="13" t="s">
        <v>430</v>
      </c>
      <c r="L2263" s="44"/>
      <c r="M2263" s="44"/>
      <c r="N2263" s="44"/>
      <c r="O2263" s="88"/>
      <c r="P2263" s="88"/>
    </row>
    <row r="2264" ht="15.0" customHeight="1">
      <c r="A2264" s="11" t="str">
        <f t="shared" si="4"/>
        <v>TRW-XPANDERXYG</v>
      </c>
      <c r="B2264" s="32" t="s">
        <v>2332</v>
      </c>
      <c r="C2264" s="33" t="s">
        <v>1964</v>
      </c>
      <c r="D2264" s="33" t="s">
        <v>62</v>
      </c>
      <c r="E2264" s="11" t="s">
        <v>16</v>
      </c>
      <c r="F2264" s="33" t="s">
        <v>546</v>
      </c>
      <c r="G2264" s="14">
        <v>45988.0</v>
      </c>
      <c r="H2264" s="11">
        <f>SUMIFS(X!$F$3:$F$5978,X!$D$3:$D$5978,'Current Stock'!A2264)</f>
        <v>1</v>
      </c>
      <c r="I2264" s="11">
        <f>SUMIFS(PENJUALAN!$E$4:$E$3651,PENJUALAN!$C$4:$C$3651,'Current Stock'!A2264)</f>
        <v>1</v>
      </c>
      <c r="J2264" s="15">
        <f t="shared" si="26"/>
        <v>0</v>
      </c>
      <c r="K2264" s="13" t="s">
        <v>430</v>
      </c>
      <c r="L2264" s="13"/>
      <c r="M2264" s="11"/>
      <c r="N2264" s="13"/>
      <c r="O2264" s="88"/>
      <c r="P2264" s="88"/>
    </row>
    <row r="2265" ht="15.0" customHeight="1">
      <c r="A2265" s="11" t="str">
        <f t="shared" si="4"/>
        <v>FDL-CRETAASH</v>
      </c>
      <c r="B2265" s="13" t="s">
        <v>2524</v>
      </c>
      <c r="C2265" s="13" t="s">
        <v>2485</v>
      </c>
      <c r="D2265" s="13" t="s">
        <v>104</v>
      </c>
      <c r="E2265" s="13" t="s">
        <v>93</v>
      </c>
      <c r="F2265" s="13" t="s">
        <v>406</v>
      </c>
      <c r="G2265" s="14">
        <v>45988.0</v>
      </c>
      <c r="H2265" s="11">
        <f>SUMIFS(X!$F$3:$F$5978,X!$D$3:$D$5978,'Current Stock'!A2265)</f>
        <v>1</v>
      </c>
      <c r="I2265" s="11">
        <f>SUMIFS(PENJUALAN!$E$4:$E$3651,PENJUALAN!$C$4:$C$3651,'Current Stock'!A2265)</f>
        <v>1</v>
      </c>
      <c r="J2265" s="15">
        <f t="shared" si="26"/>
        <v>0</v>
      </c>
      <c r="K2265" s="13" t="s">
        <v>1359</v>
      </c>
      <c r="L2265" s="44"/>
      <c r="M2265" s="44"/>
      <c r="N2265" s="44"/>
      <c r="O2265" s="88"/>
      <c r="P2265" s="88"/>
    </row>
    <row r="2266" ht="15.0" customHeight="1">
      <c r="A2266" s="11" t="str">
        <f t="shared" si="4"/>
        <v>LFW-CRV17RSAGC</v>
      </c>
      <c r="B2266" s="13" t="s">
        <v>1423</v>
      </c>
      <c r="C2266" s="13" t="s">
        <v>2525</v>
      </c>
      <c r="D2266" s="13" t="s">
        <v>60</v>
      </c>
      <c r="E2266" s="13" t="s">
        <v>101</v>
      </c>
      <c r="F2266" s="13" t="s">
        <v>2273</v>
      </c>
      <c r="G2266" s="34">
        <v>46021.0</v>
      </c>
      <c r="H2266" s="11">
        <f>SUMIFS(X!$F$3:$F$5978,X!$D$3:$D$5978,'Current Stock'!A2266)</f>
        <v>3</v>
      </c>
      <c r="I2266" s="11">
        <f>SUMIFS(PENJUALAN!$E$4:$E$3651,PENJUALAN!$C$4:$C$3651,'Current Stock'!A2266)</f>
        <v>2</v>
      </c>
      <c r="J2266" s="15">
        <f t="shared" si="26"/>
        <v>1</v>
      </c>
      <c r="K2266" s="13"/>
      <c r="L2266" s="44"/>
      <c r="M2266" s="44"/>
      <c r="N2266" s="44"/>
      <c r="O2266" s="88"/>
      <c r="P2266" s="88"/>
    </row>
    <row r="2267" ht="15.0" customHeight="1">
      <c r="A2267" s="11" t="str">
        <f t="shared" si="4"/>
        <v>LFW-CRV17AGC</v>
      </c>
      <c r="B2267" s="13" t="s">
        <v>454</v>
      </c>
      <c r="C2267" s="13" t="s">
        <v>2526</v>
      </c>
      <c r="D2267" s="13" t="s">
        <v>60</v>
      </c>
      <c r="E2267" s="13" t="s">
        <v>101</v>
      </c>
      <c r="F2267" s="13" t="s">
        <v>1358</v>
      </c>
      <c r="G2267" s="34">
        <v>45988.0</v>
      </c>
      <c r="H2267" s="11">
        <f>SUMIFS(X!$F$3:$F$5978,X!$D$3:$D$5978,'Current Stock'!A2267)</f>
        <v>7</v>
      </c>
      <c r="I2267" s="11">
        <f>SUMIFS(PENJUALAN!$E$4:$E$3651,PENJUALAN!$C$4:$C$3651,'Current Stock'!A2267)</f>
        <v>6</v>
      </c>
      <c r="J2267" s="15">
        <f t="shared" si="26"/>
        <v>1</v>
      </c>
      <c r="K2267" s="13"/>
      <c r="L2267" s="44"/>
      <c r="M2267" s="44"/>
      <c r="N2267" s="44"/>
      <c r="O2267" s="88"/>
      <c r="P2267" s="88"/>
    </row>
    <row r="2268" ht="15.0" customHeight="1">
      <c r="A2268" s="11" t="str">
        <f t="shared" si="4"/>
        <v>TRW-CRV17AGC</v>
      </c>
      <c r="B2268" s="13" t="s">
        <v>456</v>
      </c>
      <c r="C2268" s="13" t="s">
        <v>2526</v>
      </c>
      <c r="D2268" s="13" t="s">
        <v>62</v>
      </c>
      <c r="E2268" s="13" t="s">
        <v>101</v>
      </c>
      <c r="F2268" s="13" t="s">
        <v>2527</v>
      </c>
      <c r="G2268" s="34">
        <v>46021.0</v>
      </c>
      <c r="H2268" s="11">
        <f>SUMIFS(X!$F$3:$F$5978,X!$D$3:$D$5978,'Current Stock'!A2268)</f>
        <v>7</v>
      </c>
      <c r="I2268" s="11">
        <f>SUMIFS(PENJUALAN!$E$4:$E$3651,PENJUALAN!$C$4:$C$3651,'Current Stock'!A2268)</f>
        <v>4</v>
      </c>
      <c r="J2268" s="15">
        <f t="shared" si="26"/>
        <v>3</v>
      </c>
      <c r="K2268" s="13"/>
      <c r="L2268" s="44"/>
      <c r="M2268" s="44"/>
      <c r="N2268" s="44"/>
      <c r="O2268" s="88"/>
      <c r="P2268" s="88"/>
    </row>
    <row r="2269" ht="15.0" customHeight="1">
      <c r="A2269" s="11" t="str">
        <f t="shared" si="4"/>
        <v>FDR-CRV17AGC</v>
      </c>
      <c r="B2269" s="108" t="s">
        <v>2528</v>
      </c>
      <c r="C2269" s="13" t="s">
        <v>2526</v>
      </c>
      <c r="D2269" s="13" t="s">
        <v>106</v>
      </c>
      <c r="E2269" s="13" t="s">
        <v>101</v>
      </c>
      <c r="F2269" s="13" t="s">
        <v>2142</v>
      </c>
      <c r="G2269" s="34">
        <v>45988.0</v>
      </c>
      <c r="H2269" s="11">
        <f>SUMIFS(X!$F$3:$F$5978,X!$D$3:$D$5978,'Current Stock'!A2269)</f>
        <v>4</v>
      </c>
      <c r="I2269" s="11">
        <f>SUMIFS(PENJUALAN!$E$4:$E$3651,PENJUALAN!$C$4:$C$3651,'Current Stock'!A2269)</f>
        <v>2</v>
      </c>
      <c r="J2269" s="15">
        <f t="shared" si="26"/>
        <v>2</v>
      </c>
      <c r="K2269" s="13" t="s">
        <v>2207</v>
      </c>
      <c r="L2269" s="44"/>
      <c r="M2269" s="44"/>
      <c r="N2269" s="44"/>
      <c r="O2269" s="88"/>
      <c r="P2269" s="88"/>
    </row>
    <row r="2270" ht="15.0" customHeight="1">
      <c r="A2270" s="11" t="str">
        <f t="shared" si="4"/>
        <v>FDL-CRV17AGC</v>
      </c>
      <c r="B2270" s="108" t="s">
        <v>2529</v>
      </c>
      <c r="C2270" s="13" t="s">
        <v>2526</v>
      </c>
      <c r="D2270" s="13" t="s">
        <v>104</v>
      </c>
      <c r="E2270" s="13" t="s">
        <v>101</v>
      </c>
      <c r="F2270" s="13" t="s">
        <v>2142</v>
      </c>
      <c r="G2270" s="34">
        <v>45988.0</v>
      </c>
      <c r="H2270" s="11">
        <f>SUMIFS(X!$F$3:$F$5978,X!$D$3:$D$5978,'Current Stock'!A2270)</f>
        <v>4</v>
      </c>
      <c r="I2270" s="11">
        <f>SUMIFS(PENJUALAN!$E$4:$E$3651,PENJUALAN!$C$4:$C$3651,'Current Stock'!A2270)</f>
        <v>2</v>
      </c>
      <c r="J2270" s="15">
        <f t="shared" si="26"/>
        <v>2</v>
      </c>
      <c r="K2270" s="13" t="s">
        <v>430</v>
      </c>
      <c r="L2270" s="44"/>
      <c r="M2270" s="44"/>
      <c r="N2270" s="44"/>
      <c r="O2270" s="88"/>
      <c r="P2270" s="88"/>
    </row>
    <row r="2271" ht="15.0" customHeight="1">
      <c r="A2271" s="11" t="str">
        <f t="shared" si="4"/>
        <v>RDL-CRV17AGC</v>
      </c>
      <c r="B2271" s="108" t="s">
        <v>2530</v>
      </c>
      <c r="C2271" s="13" t="s">
        <v>2526</v>
      </c>
      <c r="D2271" s="13" t="s">
        <v>86</v>
      </c>
      <c r="E2271" s="13" t="s">
        <v>101</v>
      </c>
      <c r="F2271" s="13" t="s">
        <v>2142</v>
      </c>
      <c r="G2271" s="34"/>
      <c r="H2271" s="11">
        <f>SUMIFS(X!$F$3:$F$5978,X!$D$3:$D$5978,'Current Stock'!A2271)</f>
        <v>4</v>
      </c>
      <c r="I2271" s="11">
        <f>SUMIFS(PENJUALAN!$E$4:$E$3651,PENJUALAN!$C$4:$C$3651,'Current Stock'!A2271)</f>
        <v>3</v>
      </c>
      <c r="J2271" s="15">
        <f t="shared" si="26"/>
        <v>1</v>
      </c>
      <c r="K2271" s="13" t="s">
        <v>430</v>
      </c>
      <c r="L2271" s="44"/>
      <c r="M2271" s="44"/>
      <c r="N2271" s="44"/>
      <c r="O2271" s="88"/>
      <c r="P2271" s="88"/>
    </row>
    <row r="2272" ht="15.0" customHeight="1">
      <c r="A2272" s="11" t="str">
        <f t="shared" si="4"/>
        <v>RDR-CRV17AGC</v>
      </c>
      <c r="B2272" s="108" t="s">
        <v>2531</v>
      </c>
      <c r="C2272" s="13" t="s">
        <v>2526</v>
      </c>
      <c r="D2272" s="13" t="s">
        <v>92</v>
      </c>
      <c r="E2272" s="13" t="s">
        <v>101</v>
      </c>
      <c r="F2272" s="13" t="s">
        <v>2142</v>
      </c>
      <c r="G2272" s="34"/>
      <c r="H2272" s="11">
        <f>SUMIFS(X!$F$3:$F$5978,X!$D$3:$D$5978,'Current Stock'!A2272)</f>
        <v>4</v>
      </c>
      <c r="I2272" s="11">
        <f>SUMIFS(PENJUALAN!$E$4:$E$3651,PENJUALAN!$C$4:$C$3651,'Current Stock'!A2272)</f>
        <v>2</v>
      </c>
      <c r="J2272" s="15">
        <f t="shared" si="26"/>
        <v>2</v>
      </c>
      <c r="K2272" s="13" t="s">
        <v>1359</v>
      </c>
      <c r="L2272" s="44"/>
      <c r="M2272" s="44"/>
      <c r="N2272" s="44"/>
      <c r="O2272" s="88"/>
      <c r="P2272" s="88"/>
    </row>
    <row r="2273" ht="15.0" customHeight="1">
      <c r="A2273" s="11" t="str">
        <f t="shared" si="4"/>
        <v>LFW-CRV12AGC</v>
      </c>
      <c r="B2273" s="13" t="s">
        <v>445</v>
      </c>
      <c r="C2273" s="13" t="s">
        <v>2532</v>
      </c>
      <c r="D2273" s="13" t="s">
        <v>60</v>
      </c>
      <c r="E2273" s="13" t="s">
        <v>101</v>
      </c>
      <c r="F2273" s="13" t="s">
        <v>1358</v>
      </c>
      <c r="G2273" s="34"/>
      <c r="H2273" s="11">
        <f>SUMIFS(X!$F$3:$F$5978,X!$D$3:$D$5978,'Current Stock'!A2273)</f>
        <v>5</v>
      </c>
      <c r="I2273" s="11">
        <f>SUMIFS(PENJUALAN!$E$4:$E$3651,PENJUALAN!$C$4:$C$3651,'Current Stock'!A2273)</f>
        <v>5</v>
      </c>
      <c r="J2273" s="15">
        <f t="shared" si="26"/>
        <v>0</v>
      </c>
      <c r="K2273" s="13" t="s">
        <v>430</v>
      </c>
      <c r="L2273" s="44"/>
      <c r="M2273" s="44"/>
      <c r="N2273" s="44"/>
      <c r="O2273" s="88"/>
      <c r="P2273" s="88"/>
    </row>
    <row r="2274" ht="15.0" customHeight="1">
      <c r="A2274" s="11" t="str">
        <f t="shared" si="4"/>
        <v>LFW-JAZZ13AGC</v>
      </c>
      <c r="B2274" s="13" t="s">
        <v>488</v>
      </c>
      <c r="C2274" s="13" t="s">
        <v>2533</v>
      </c>
      <c r="D2274" s="13" t="s">
        <v>60</v>
      </c>
      <c r="E2274" s="13" t="s">
        <v>101</v>
      </c>
      <c r="F2274" s="13" t="s">
        <v>1358</v>
      </c>
      <c r="G2274" s="34"/>
      <c r="H2274" s="11">
        <f>SUMIFS(X!$F$3:$F$5978,X!$D$3:$D$5978,'Current Stock'!A2274)</f>
        <v>8</v>
      </c>
      <c r="I2274" s="11">
        <f>SUMIFS(PENJUALAN!$E$4:$E$3651,PENJUALAN!$C$4:$C$3651,'Current Stock'!A2274)</f>
        <v>6</v>
      </c>
      <c r="J2274" s="15">
        <f t="shared" si="26"/>
        <v>2</v>
      </c>
      <c r="K2274" s="13" t="s">
        <v>1616</v>
      </c>
      <c r="L2274" s="44"/>
      <c r="M2274" s="44"/>
      <c r="N2274" s="44"/>
      <c r="O2274" s="88"/>
      <c r="P2274" s="88"/>
    </row>
    <row r="2275" ht="15.0" customHeight="1">
      <c r="A2275" s="11" t="str">
        <f t="shared" si="4"/>
        <v>TRW-JAZZ13AGC</v>
      </c>
      <c r="B2275" s="13" t="s">
        <v>490</v>
      </c>
      <c r="C2275" s="13" t="s">
        <v>2533</v>
      </c>
      <c r="D2275" s="13" t="s">
        <v>62</v>
      </c>
      <c r="E2275" s="13" t="s">
        <v>101</v>
      </c>
      <c r="F2275" s="13" t="s">
        <v>119</v>
      </c>
      <c r="G2275" s="34"/>
      <c r="H2275" s="11">
        <f>SUMIFS(X!$F$3:$F$5978,X!$D$3:$D$5978,'Current Stock'!A2275)</f>
        <v>1</v>
      </c>
      <c r="I2275" s="11">
        <f>SUMIFS(PENJUALAN!$E$4:$E$3651,PENJUALAN!$C$4:$C$3651,'Current Stock'!A2275)</f>
        <v>0</v>
      </c>
      <c r="J2275" s="15">
        <f t="shared" si="26"/>
        <v>1</v>
      </c>
      <c r="K2275" s="13"/>
      <c r="L2275" s="44"/>
      <c r="M2275" s="44"/>
      <c r="N2275" s="44"/>
      <c r="O2275" s="88"/>
      <c r="P2275" s="88"/>
    </row>
    <row r="2276" ht="15.0" customHeight="1">
      <c r="A2276" s="11" t="str">
        <f t="shared" si="4"/>
        <v>TRW-CITY19AGC</v>
      </c>
      <c r="B2276" s="13" t="s">
        <v>2534</v>
      </c>
      <c r="C2276" s="13" t="s">
        <v>2535</v>
      </c>
      <c r="D2276" s="13" t="s">
        <v>62</v>
      </c>
      <c r="E2276" s="13" t="s">
        <v>101</v>
      </c>
      <c r="F2276" s="13" t="s">
        <v>2536</v>
      </c>
      <c r="G2276" s="34"/>
      <c r="H2276" s="11">
        <f>SUMIFS(X!$F$3:$F$5978,X!$D$3:$D$5978,'Current Stock'!A2276)</f>
        <v>1</v>
      </c>
      <c r="I2276" s="11">
        <f>SUMIFS(PENJUALAN!$E$4:$E$3651,PENJUALAN!$C$4:$C$3651,'Current Stock'!A2276)</f>
        <v>0</v>
      </c>
      <c r="J2276" s="15">
        <f t="shared" si="26"/>
        <v>1</v>
      </c>
      <c r="K2276" s="13"/>
      <c r="L2276" s="44"/>
      <c r="M2276" s="44"/>
      <c r="N2276" s="44"/>
      <c r="O2276" s="88"/>
      <c r="P2276" s="88"/>
    </row>
    <row r="2277" ht="15.0" customHeight="1">
      <c r="A2277" s="11" t="str">
        <f t="shared" si="4"/>
        <v>LFW-XFORCERSRAINMU</v>
      </c>
      <c r="B2277" s="13" t="s">
        <v>2537</v>
      </c>
      <c r="C2277" s="13" t="s">
        <v>2538</v>
      </c>
      <c r="D2277" s="13" t="s">
        <v>60</v>
      </c>
      <c r="E2277" s="13" t="s">
        <v>1633</v>
      </c>
      <c r="F2277" s="13" t="s">
        <v>314</v>
      </c>
      <c r="G2277" s="34"/>
      <c r="H2277" s="11">
        <f>SUMIFS(X!$F$3:$F$5978,X!$D$3:$D$5978,'Current Stock'!A2277)</f>
        <v>3</v>
      </c>
      <c r="I2277" s="11">
        <f>SUMIFS(PENJUALAN!$E$4:$E$3651,PENJUALAN!$C$4:$C$3651,'Current Stock'!A2277)</f>
        <v>2</v>
      </c>
      <c r="J2277" s="15">
        <f t="shared" si="26"/>
        <v>1</v>
      </c>
      <c r="K2277" s="13" t="s">
        <v>2053</v>
      </c>
      <c r="L2277" s="44"/>
      <c r="M2277" s="44"/>
      <c r="N2277" s="44"/>
      <c r="O2277" s="88"/>
      <c r="P2277" s="88"/>
    </row>
    <row r="2278" ht="15.0" customHeight="1">
      <c r="A2278" s="11" t="str">
        <f t="shared" si="4"/>
        <v>LFW-XFORCERSADMU</v>
      </c>
      <c r="B2278" s="13" t="s">
        <v>2539</v>
      </c>
      <c r="C2278" s="13" t="s">
        <v>2540</v>
      </c>
      <c r="D2278" s="13" t="s">
        <v>60</v>
      </c>
      <c r="E2278" s="13" t="s">
        <v>1633</v>
      </c>
      <c r="F2278" s="13" t="s">
        <v>314</v>
      </c>
      <c r="G2278" s="34"/>
      <c r="H2278" s="11">
        <f>SUMIFS(X!$F$3:$F$5978,X!$D$3:$D$5978,'Current Stock'!A2278)</f>
        <v>1</v>
      </c>
      <c r="I2278" s="11">
        <f>SUMIFS(PENJUALAN!$E$4:$E$3651,PENJUALAN!$C$4:$C$3651,'Current Stock'!A2278)</f>
        <v>0</v>
      </c>
      <c r="J2278" s="15">
        <f t="shared" si="26"/>
        <v>1</v>
      </c>
      <c r="K2278" s="13" t="s">
        <v>1359</v>
      </c>
      <c r="L2278" s="44"/>
      <c r="M2278" s="44"/>
      <c r="N2278" s="44"/>
      <c r="O2278" s="88"/>
      <c r="P2278" s="88"/>
    </row>
    <row r="2279" ht="15.0" customHeight="1">
      <c r="A2279" s="11" t="str">
        <f t="shared" si="4"/>
        <v>RDR-CITY02TSG</v>
      </c>
      <c r="B2279" s="13" t="s">
        <v>2541</v>
      </c>
      <c r="C2279" s="13" t="s">
        <v>2542</v>
      </c>
      <c r="D2279" s="13" t="s">
        <v>86</v>
      </c>
      <c r="E2279" s="13" t="s">
        <v>2543</v>
      </c>
      <c r="F2279" s="13" t="s">
        <v>2142</v>
      </c>
      <c r="G2279" s="34"/>
      <c r="H2279" s="11">
        <f>SUMIFS(X!$F$3:$F$5978,X!$D$3:$D$5978,'Current Stock'!A2279)</f>
        <v>1</v>
      </c>
      <c r="I2279" s="11">
        <f>SUMIFS(PENJUALAN!$E$4:$E$3651,PENJUALAN!$C$4:$C$3651,'Current Stock'!A2279)</f>
        <v>0</v>
      </c>
      <c r="J2279" s="15">
        <f t="shared" si="26"/>
        <v>1</v>
      </c>
      <c r="K2279" s="13" t="s">
        <v>2191</v>
      </c>
      <c r="L2279" s="44"/>
      <c r="M2279" s="44"/>
      <c r="N2279" s="44"/>
      <c r="O2279" s="88"/>
      <c r="P2279" s="88"/>
    </row>
    <row r="2280" ht="15.0" customHeight="1">
      <c r="A2280" s="11" t="str">
        <f t="shared" si="4"/>
        <v>RDL-CITY02TSG</v>
      </c>
      <c r="B2280" s="13" t="s">
        <v>2544</v>
      </c>
      <c r="C2280" s="13" t="s">
        <v>2542</v>
      </c>
      <c r="D2280" s="13" t="s">
        <v>92</v>
      </c>
      <c r="E2280" s="13" t="s">
        <v>2543</v>
      </c>
      <c r="F2280" s="13" t="s">
        <v>2142</v>
      </c>
      <c r="G2280" s="34">
        <v>45988.0</v>
      </c>
      <c r="H2280" s="11">
        <f>SUMIFS(X!$F$3:$F$5978,X!$D$3:$D$5978,'Current Stock'!A2280)</f>
        <v>1</v>
      </c>
      <c r="I2280" s="11">
        <f>SUMIFS(PENJUALAN!$E$4:$E$3651,PENJUALAN!$C$4:$C$3651,'Current Stock'!A2280)</f>
        <v>0</v>
      </c>
      <c r="J2280" s="15">
        <f t="shared" si="26"/>
        <v>1</v>
      </c>
      <c r="K2280" s="13" t="s">
        <v>2191</v>
      </c>
      <c r="L2280" s="44"/>
      <c r="M2280" s="44"/>
      <c r="N2280" s="44"/>
      <c r="O2280" s="88"/>
      <c r="P2280" s="88"/>
    </row>
    <row r="2281" ht="15.0" customHeight="1">
      <c r="A2281" s="11" t="str">
        <f t="shared" si="4"/>
        <v>TRW-LIVINA13XYG</v>
      </c>
      <c r="B2281" s="32" t="s">
        <v>2545</v>
      </c>
      <c r="C2281" s="33" t="s">
        <v>2546</v>
      </c>
      <c r="D2281" s="33" t="s">
        <v>62</v>
      </c>
      <c r="E2281" s="11" t="s">
        <v>16</v>
      </c>
      <c r="F2281" s="33" t="s">
        <v>83</v>
      </c>
      <c r="G2281" s="14">
        <v>45988.0</v>
      </c>
      <c r="H2281" s="11">
        <f>SUMIFS(X!$F$3:$F$5978,X!$D$3:$D$5978,'Current Stock'!A2281)</f>
        <v>6</v>
      </c>
      <c r="I2281" s="11">
        <f>SUMIFS(PENJUALAN!$E$4:$E$3651,PENJUALAN!$C$4:$C$3651,'Current Stock'!A2281)</f>
        <v>6</v>
      </c>
      <c r="J2281" s="15">
        <f t="shared" si="26"/>
        <v>0</v>
      </c>
      <c r="K2281" s="13"/>
      <c r="L2281" s="13"/>
      <c r="M2281" s="16">
        <v>2.0</v>
      </c>
      <c r="N2281" s="11"/>
      <c r="O2281" s="88"/>
      <c r="P2281" s="88"/>
    </row>
    <row r="2282" ht="15.0" customHeight="1">
      <c r="A2282" s="11" t="str">
        <f t="shared" si="4"/>
        <v>TRW-C24XYG</v>
      </c>
      <c r="B2282" s="32" t="s">
        <v>967</v>
      </c>
      <c r="C2282" s="33" t="s">
        <v>966</v>
      </c>
      <c r="D2282" s="33" t="s">
        <v>62</v>
      </c>
      <c r="E2282" s="11" t="s">
        <v>16</v>
      </c>
      <c r="F2282" s="33" t="s">
        <v>83</v>
      </c>
      <c r="G2282" s="14">
        <v>45988.0</v>
      </c>
      <c r="H2282" s="11">
        <f>SUMIFS(X!$F$3:$F$5978,X!$D$3:$D$5978,'Current Stock'!A2282)</f>
        <v>1</v>
      </c>
      <c r="I2282" s="11">
        <f>SUMIFS(PENJUALAN!$E$4:$E$3651,PENJUALAN!$C$4:$C$3651,'Current Stock'!A2282)</f>
        <v>1</v>
      </c>
      <c r="J2282" s="15">
        <f t="shared" si="26"/>
        <v>0</v>
      </c>
      <c r="K2282" s="13" t="s">
        <v>1690</v>
      </c>
      <c r="L2282" s="11"/>
      <c r="M2282" s="11"/>
      <c r="N2282" s="11"/>
      <c r="O2282" s="88"/>
      <c r="P2282" s="88"/>
    </row>
    <row r="2283" ht="15.0" customHeight="1">
      <c r="A2283" s="11" t="str">
        <f t="shared" si="4"/>
        <v>TRW-C27XYG</v>
      </c>
      <c r="B2283" s="48" t="s">
        <v>2547</v>
      </c>
      <c r="C2283" s="33" t="s">
        <v>1650</v>
      </c>
      <c r="D2283" s="33" t="s">
        <v>62</v>
      </c>
      <c r="E2283" s="11" t="s">
        <v>16</v>
      </c>
      <c r="F2283" s="33" t="s">
        <v>83</v>
      </c>
      <c r="G2283" s="14">
        <v>45988.0</v>
      </c>
      <c r="H2283" s="11">
        <f>SUMIFS(X!$F$3:$F$5978,X!$D$3:$D$5978,'Current Stock'!A2283)</f>
        <v>3</v>
      </c>
      <c r="I2283" s="11">
        <f>SUMIFS(PENJUALAN!$E$4:$E$3651,PENJUALAN!$C$4:$C$3651,'Current Stock'!A2283)</f>
        <v>3</v>
      </c>
      <c r="J2283" s="15">
        <f t="shared" si="26"/>
        <v>0</v>
      </c>
      <c r="K2283" s="13"/>
      <c r="L2283" s="11"/>
      <c r="M2283" s="11"/>
      <c r="N2283" s="11"/>
      <c r="O2283" s="88"/>
      <c r="P2283" s="88"/>
    </row>
    <row r="2284" ht="15.0" customHeight="1">
      <c r="A2284" s="11" t="str">
        <f t="shared" si="4"/>
        <v>TRW-T30XYG</v>
      </c>
      <c r="B2284" s="32" t="s">
        <v>986</v>
      </c>
      <c r="C2284" s="33" t="s">
        <v>985</v>
      </c>
      <c r="D2284" s="33" t="s">
        <v>62</v>
      </c>
      <c r="E2284" s="11" t="s">
        <v>16</v>
      </c>
      <c r="F2284" s="33" t="s">
        <v>228</v>
      </c>
      <c r="G2284" s="14">
        <v>45988.0</v>
      </c>
      <c r="H2284" s="11">
        <f>SUMIFS(X!$F$3:$F$5978,X!$D$3:$D$5978,'Current Stock'!A2284)</f>
        <v>1</v>
      </c>
      <c r="I2284" s="11">
        <f>SUMIFS(PENJUALAN!$E$4:$E$3651,PENJUALAN!$C$4:$C$3651,'Current Stock'!A2284)</f>
        <v>1</v>
      </c>
      <c r="J2284" s="15">
        <f t="shared" si="26"/>
        <v>0</v>
      </c>
      <c r="K2284" s="13"/>
      <c r="L2284" s="11"/>
      <c r="M2284" s="11"/>
      <c r="N2284" s="11"/>
      <c r="O2284" s="88"/>
      <c r="P2284" s="88"/>
    </row>
    <row r="2285" ht="15.0" customHeight="1">
      <c r="A2285" s="11" t="str">
        <f t="shared" si="4"/>
        <v>FDR-T32XYG</v>
      </c>
      <c r="B2285" s="32" t="s">
        <v>1004</v>
      </c>
      <c r="C2285" s="33" t="s">
        <v>1002</v>
      </c>
      <c r="D2285" s="33" t="s">
        <v>142</v>
      </c>
      <c r="E2285" s="11" t="s">
        <v>16</v>
      </c>
      <c r="F2285" s="33"/>
      <c r="G2285" s="11"/>
      <c r="H2285" s="11">
        <f>SUMIFS(X!$F$3:$F$5978,X!$D$3:$D$5978,'Current Stock'!A2285)</f>
        <v>1</v>
      </c>
      <c r="I2285" s="11">
        <f>SUMIFS(PENJUALAN!$E$4:$E$3651,PENJUALAN!$C$4:$C$3651,'Current Stock'!A2285)</f>
        <v>1</v>
      </c>
      <c r="J2285" s="15">
        <f t="shared" si="26"/>
        <v>0</v>
      </c>
      <c r="K2285" s="13"/>
      <c r="L2285" s="11"/>
      <c r="M2285" s="11"/>
      <c r="N2285" s="11"/>
      <c r="O2285" s="88"/>
      <c r="P2285" s="88"/>
    </row>
    <row r="2286" ht="15.0" customHeight="1">
      <c r="A2286" s="11" t="str">
        <f t="shared" si="4"/>
        <v>FDL-SIENTAASH</v>
      </c>
      <c r="B2286" s="13" t="s">
        <v>2548</v>
      </c>
      <c r="C2286" s="13" t="s">
        <v>1253</v>
      </c>
      <c r="D2286" s="13" t="s">
        <v>104</v>
      </c>
      <c r="E2286" s="13" t="s">
        <v>93</v>
      </c>
      <c r="F2286" s="13" t="s">
        <v>406</v>
      </c>
      <c r="G2286" s="14">
        <v>45988.0</v>
      </c>
      <c r="H2286" s="11">
        <f>SUMIFS(X!$F$3:$F$5978,X!$D$3:$D$5978,'Current Stock'!A2286)</f>
        <v>1</v>
      </c>
      <c r="I2286" s="11">
        <f>SUMIFS(PENJUALAN!$E$4:$E$3651,PENJUALAN!$C$4:$C$3651,'Current Stock'!A2286)</f>
        <v>1</v>
      </c>
      <c r="J2286" s="15">
        <f t="shared" si="26"/>
        <v>0</v>
      </c>
      <c r="K2286" s="13"/>
      <c r="L2286" s="44"/>
      <c r="M2286" s="44"/>
      <c r="N2286" s="44"/>
      <c r="O2286" s="88"/>
      <c r="P2286" s="88"/>
    </row>
    <row r="2287" ht="15.0" customHeight="1">
      <c r="A2287" s="11" t="str">
        <f t="shared" si="4"/>
        <v>RDR-SIENTAASH</v>
      </c>
      <c r="B2287" s="13" t="s">
        <v>2549</v>
      </c>
      <c r="C2287" s="13" t="s">
        <v>1253</v>
      </c>
      <c r="D2287" s="13" t="s">
        <v>86</v>
      </c>
      <c r="E2287" s="13" t="s">
        <v>93</v>
      </c>
      <c r="F2287" s="44"/>
      <c r="G2287" s="11"/>
      <c r="H2287" s="11">
        <f>SUMIFS(X!$F$3:$F$5978,X!$D$3:$D$5978,'Current Stock'!A2287)</f>
        <v>0</v>
      </c>
      <c r="I2287" s="11">
        <f>SUMIFS(PENJUALAN!$E$4:$E$3651,PENJUALAN!$C$4:$C$3651,'Current Stock'!A2287)</f>
        <v>0</v>
      </c>
      <c r="J2287" s="15">
        <f t="shared" si="26"/>
        <v>0</v>
      </c>
      <c r="K2287" s="44"/>
      <c r="L2287" s="44"/>
      <c r="M2287" s="44"/>
      <c r="N2287" s="44"/>
      <c r="O2287" s="88"/>
      <c r="P2287" s="88"/>
    </row>
    <row r="2288" ht="15.0" customHeight="1">
      <c r="A2288" s="11" t="str">
        <f t="shared" si="4"/>
        <v>RDL-SIENTAASH</v>
      </c>
      <c r="B2288" s="13" t="s">
        <v>2550</v>
      </c>
      <c r="C2288" s="13" t="s">
        <v>1253</v>
      </c>
      <c r="D2288" s="13" t="s">
        <v>92</v>
      </c>
      <c r="E2288" s="13" t="s">
        <v>93</v>
      </c>
      <c r="F2288" s="44"/>
      <c r="G2288" s="14">
        <v>45988.0</v>
      </c>
      <c r="H2288" s="11">
        <f>SUMIFS(X!$F$3:$F$5978,X!$D$3:$D$5978,'Current Stock'!A2288)</f>
        <v>0</v>
      </c>
      <c r="I2288" s="11">
        <f>SUMIFS(PENJUALAN!$E$4:$E$3651,PENJUALAN!$C$4:$C$3651,'Current Stock'!A2288)</f>
        <v>0</v>
      </c>
      <c r="J2288" s="15">
        <f t="shared" si="26"/>
        <v>0</v>
      </c>
      <c r="K2288" s="13"/>
      <c r="L2288" s="44"/>
      <c r="M2288" s="44"/>
      <c r="N2288" s="44"/>
      <c r="O2288" s="88"/>
      <c r="P2288" s="88"/>
    </row>
    <row r="2289" ht="15.0" customHeight="1">
      <c r="A2289" s="11" t="str">
        <f t="shared" si="4"/>
        <v>FDL-INNOVA22AGC</v>
      </c>
      <c r="B2289" s="13" t="s">
        <v>2551</v>
      </c>
      <c r="C2289" s="13" t="s">
        <v>2552</v>
      </c>
      <c r="D2289" s="13" t="s">
        <v>104</v>
      </c>
      <c r="E2289" s="13" t="s">
        <v>101</v>
      </c>
      <c r="F2289" s="13" t="s">
        <v>406</v>
      </c>
      <c r="G2289" s="14">
        <v>45988.0</v>
      </c>
      <c r="H2289" s="11">
        <f>SUMIFS(X!$F$3:$F$5978,X!$D$3:$D$5978,'Current Stock'!A2289)</f>
        <v>2</v>
      </c>
      <c r="I2289" s="11">
        <f>SUMIFS(PENJUALAN!$E$4:$E$3651,PENJUALAN!$C$4:$C$3651,'Current Stock'!A2289)</f>
        <v>1</v>
      </c>
      <c r="J2289" s="15">
        <f t="shared" si="26"/>
        <v>1</v>
      </c>
      <c r="K2289" s="13"/>
      <c r="L2289" s="44"/>
      <c r="M2289" s="44"/>
      <c r="N2289" s="44"/>
      <c r="O2289" s="88"/>
      <c r="P2289" s="88"/>
    </row>
    <row r="2290" ht="15.0" customHeight="1">
      <c r="A2290" s="11" t="str">
        <f t="shared" si="4"/>
        <v>FDR-INNOVA22AGC</v>
      </c>
      <c r="B2290" s="13" t="s">
        <v>2553</v>
      </c>
      <c r="C2290" s="13" t="s">
        <v>2552</v>
      </c>
      <c r="D2290" s="13" t="s">
        <v>106</v>
      </c>
      <c r="E2290" s="13" t="s">
        <v>101</v>
      </c>
      <c r="F2290" s="13" t="s">
        <v>406</v>
      </c>
      <c r="G2290" s="14"/>
      <c r="H2290" s="11">
        <f>SUMIFS(X!$F$3:$F$5978,X!$D$3:$D$5978,'Current Stock'!A2290)</f>
        <v>4</v>
      </c>
      <c r="I2290" s="11">
        <f>SUMIFS(PENJUALAN!$E$4:$E$3651,PENJUALAN!$C$4:$C$3651,'Current Stock'!A2290)</f>
        <v>3</v>
      </c>
      <c r="J2290" s="15">
        <f t="shared" si="26"/>
        <v>1</v>
      </c>
      <c r="K2290" s="13"/>
      <c r="L2290" s="44"/>
      <c r="M2290" s="44"/>
      <c r="N2290" s="44"/>
      <c r="O2290" s="88"/>
      <c r="P2290" s="88"/>
    </row>
    <row r="2291" ht="15.0" customHeight="1">
      <c r="A2291" s="11" t="str">
        <f t="shared" si="4"/>
        <v>RDL-INNOVA22AGC</v>
      </c>
      <c r="B2291" s="13" t="s">
        <v>2554</v>
      </c>
      <c r="C2291" s="13" t="s">
        <v>2552</v>
      </c>
      <c r="D2291" s="13" t="s">
        <v>92</v>
      </c>
      <c r="E2291" s="13" t="s">
        <v>101</v>
      </c>
      <c r="F2291" s="13" t="s">
        <v>406</v>
      </c>
      <c r="G2291" s="14">
        <v>45988.0</v>
      </c>
      <c r="H2291" s="11">
        <f>SUMIFS(X!$F$3:$F$5978,X!$D$3:$D$5978,'Current Stock'!A2291)</f>
        <v>2</v>
      </c>
      <c r="I2291" s="11">
        <f>SUMIFS(PENJUALAN!$E$4:$E$3651,PENJUALAN!$C$4:$C$3651,'Current Stock'!A2291)</f>
        <v>1</v>
      </c>
      <c r="J2291" s="15">
        <f t="shared" si="26"/>
        <v>1</v>
      </c>
      <c r="K2291" s="13" t="s">
        <v>1759</v>
      </c>
      <c r="L2291" s="44"/>
      <c r="M2291" s="44"/>
      <c r="N2291" s="44"/>
      <c r="O2291" s="88"/>
      <c r="P2291" s="88"/>
    </row>
    <row r="2292" ht="15.0" customHeight="1">
      <c r="A2292" s="11" t="str">
        <f t="shared" si="4"/>
        <v>RDR-INNOVA22AGC</v>
      </c>
      <c r="B2292" s="13" t="s">
        <v>2555</v>
      </c>
      <c r="C2292" s="13" t="s">
        <v>2552</v>
      </c>
      <c r="D2292" s="13" t="s">
        <v>86</v>
      </c>
      <c r="E2292" s="13" t="s">
        <v>101</v>
      </c>
      <c r="F2292" s="13" t="s">
        <v>406</v>
      </c>
      <c r="G2292" s="14"/>
      <c r="H2292" s="11">
        <f>SUMIFS(X!$F$3:$F$5978,X!$D$3:$D$5978,'Current Stock'!A2292)</f>
        <v>4</v>
      </c>
      <c r="I2292" s="11">
        <f>SUMIFS(PENJUALAN!$E$4:$E$3651,PENJUALAN!$C$4:$C$3651,'Current Stock'!A2292)</f>
        <v>2</v>
      </c>
      <c r="J2292" s="15">
        <f t="shared" si="26"/>
        <v>2</v>
      </c>
      <c r="K2292" s="13"/>
      <c r="L2292" s="44"/>
      <c r="M2292" s="44"/>
      <c r="N2292" s="44"/>
      <c r="O2292" s="88"/>
      <c r="P2292" s="88"/>
    </row>
    <row r="2293" ht="15.0" customHeight="1">
      <c r="A2293" s="11" t="str">
        <f t="shared" si="4"/>
        <v>LFW-RAIZERSAGC</v>
      </c>
      <c r="B2293" s="13" t="s">
        <v>1824</v>
      </c>
      <c r="C2293" s="13" t="s">
        <v>2556</v>
      </c>
      <c r="D2293" s="13" t="s">
        <v>60</v>
      </c>
      <c r="E2293" s="13" t="s">
        <v>101</v>
      </c>
      <c r="F2293" s="13" t="s">
        <v>90</v>
      </c>
      <c r="G2293" s="14"/>
      <c r="H2293" s="11">
        <f>SUMIFS(X!$F$3:$F$5978,X!$D$3:$D$5978,'Current Stock'!A2293)</f>
        <v>2</v>
      </c>
      <c r="I2293" s="11">
        <f>SUMIFS(PENJUALAN!$E$4:$E$3651,PENJUALAN!$C$4:$C$3651,'Current Stock'!A2293)</f>
        <v>2</v>
      </c>
      <c r="J2293" s="15">
        <f t="shared" si="26"/>
        <v>0</v>
      </c>
      <c r="K2293" s="13"/>
      <c r="L2293" s="44"/>
      <c r="M2293" s="44"/>
      <c r="N2293" s="44"/>
      <c r="O2293" s="88"/>
      <c r="P2293" s="88"/>
    </row>
    <row r="2294" ht="15.0" customHeight="1">
      <c r="A2294" s="11" t="str">
        <f t="shared" si="4"/>
        <v>TRW-RAIZEAGC</v>
      </c>
      <c r="B2294" s="13" t="s">
        <v>2557</v>
      </c>
      <c r="C2294" s="13" t="s">
        <v>2558</v>
      </c>
      <c r="D2294" s="13" t="s">
        <v>62</v>
      </c>
      <c r="E2294" s="13" t="s">
        <v>101</v>
      </c>
      <c r="F2294" s="13" t="s">
        <v>109</v>
      </c>
      <c r="G2294" s="14">
        <v>45988.0</v>
      </c>
      <c r="H2294" s="11">
        <f>SUMIFS(X!$F$3:$F$5978,X!$D$3:$D$5978,'Current Stock'!A2294)</f>
        <v>2</v>
      </c>
      <c r="I2294" s="11">
        <f>SUMIFS(PENJUALAN!$E$4:$E$3651,PENJUALAN!$C$4:$C$3651,'Current Stock'!A2294)</f>
        <v>1</v>
      </c>
      <c r="J2294" s="15">
        <f t="shared" si="26"/>
        <v>1</v>
      </c>
      <c r="K2294" s="13"/>
      <c r="L2294" s="44"/>
      <c r="M2294" s="44"/>
      <c r="N2294" s="44"/>
      <c r="O2294" s="88"/>
      <c r="P2294" s="88"/>
    </row>
    <row r="2295" ht="15.0" customHeight="1">
      <c r="A2295" s="11" t="str">
        <f t="shared" si="4"/>
        <v>FDR-RAIZEAGC</v>
      </c>
      <c r="B2295" s="109" t="s">
        <v>2559</v>
      </c>
      <c r="C2295" s="13" t="s">
        <v>2558</v>
      </c>
      <c r="D2295" s="13" t="s">
        <v>106</v>
      </c>
      <c r="E2295" s="13" t="s">
        <v>101</v>
      </c>
      <c r="F2295" s="13"/>
      <c r="G2295" s="14"/>
      <c r="H2295" s="11">
        <f>SUMIFS(X!$F$3:$F$5978,X!$D$3:$D$5978,'Current Stock'!A2295)</f>
        <v>1</v>
      </c>
      <c r="I2295" s="11">
        <f>SUMIFS(PENJUALAN!$E$4:$E$3651,PENJUALAN!$C$4:$C$3651,'Current Stock'!A2295)</f>
        <v>0</v>
      </c>
      <c r="J2295" s="15">
        <f t="shared" si="26"/>
        <v>1</v>
      </c>
      <c r="K2295" s="13"/>
      <c r="L2295" s="44"/>
      <c r="M2295" s="44"/>
      <c r="N2295" s="44"/>
      <c r="O2295" s="88"/>
      <c r="P2295" s="88"/>
    </row>
    <row r="2296" ht="15.0" customHeight="1">
      <c r="A2296" s="11" t="str">
        <f t="shared" si="4"/>
        <v>FDL-RAIZEAGC</v>
      </c>
      <c r="B2296" s="109" t="s">
        <v>2236</v>
      </c>
      <c r="C2296" s="13" t="s">
        <v>2558</v>
      </c>
      <c r="D2296" s="13" t="s">
        <v>104</v>
      </c>
      <c r="E2296" s="13" t="s">
        <v>101</v>
      </c>
      <c r="F2296" s="13"/>
      <c r="G2296" s="14"/>
      <c r="H2296" s="11">
        <f>SUMIFS(X!$F$3:$F$5978,X!$D$3:$D$5978,'Current Stock'!A2296)</f>
        <v>1</v>
      </c>
      <c r="I2296" s="11">
        <f>SUMIFS(PENJUALAN!$E$4:$E$3651,PENJUALAN!$C$4:$C$3651,'Current Stock'!A2296)</f>
        <v>0</v>
      </c>
      <c r="J2296" s="15">
        <f t="shared" si="26"/>
        <v>1</v>
      </c>
      <c r="K2296" s="13" t="s">
        <v>2364</v>
      </c>
      <c r="L2296" s="44"/>
      <c r="M2296" s="44"/>
      <c r="N2296" s="44"/>
      <c r="O2296" s="88"/>
      <c r="P2296" s="88"/>
    </row>
    <row r="2297" ht="15.0" customHeight="1">
      <c r="A2297" s="11" t="str">
        <f t="shared" si="4"/>
        <v>RDR-RAIZEAGC</v>
      </c>
      <c r="B2297" s="109" t="s">
        <v>2560</v>
      </c>
      <c r="C2297" s="13" t="s">
        <v>2558</v>
      </c>
      <c r="D2297" s="13" t="s">
        <v>86</v>
      </c>
      <c r="E2297" s="13" t="s">
        <v>101</v>
      </c>
      <c r="F2297" s="13"/>
      <c r="G2297" s="14"/>
      <c r="H2297" s="11">
        <f>SUMIFS(X!$F$3:$F$5978,X!$D$3:$D$5978,'Current Stock'!A2297)</f>
        <v>1</v>
      </c>
      <c r="I2297" s="11">
        <f>SUMIFS(PENJUALAN!$E$4:$E$3651,PENJUALAN!$C$4:$C$3651,'Current Stock'!A2297)</f>
        <v>0</v>
      </c>
      <c r="J2297" s="15">
        <f t="shared" si="26"/>
        <v>1</v>
      </c>
      <c r="K2297" s="13" t="s">
        <v>2186</v>
      </c>
      <c r="L2297" s="44"/>
      <c r="M2297" s="44"/>
      <c r="N2297" s="44"/>
      <c r="O2297" s="88"/>
      <c r="P2297" s="88"/>
    </row>
    <row r="2298" ht="15.0" customHeight="1">
      <c r="A2298" s="11" t="str">
        <f t="shared" si="4"/>
        <v>RDL-RAIZEAGC</v>
      </c>
      <c r="B2298" s="109" t="s">
        <v>2561</v>
      </c>
      <c r="C2298" s="13" t="s">
        <v>2558</v>
      </c>
      <c r="D2298" s="13" t="s">
        <v>92</v>
      </c>
      <c r="E2298" s="13" t="s">
        <v>101</v>
      </c>
      <c r="F2298" s="13"/>
      <c r="G2298" s="14"/>
      <c r="H2298" s="11">
        <f>SUMIFS(X!$F$3:$F$5978,X!$D$3:$D$5978,'Current Stock'!A2298)</f>
        <v>1</v>
      </c>
      <c r="I2298" s="11">
        <f>SUMIFS(PENJUALAN!$E$4:$E$3651,PENJUALAN!$C$4:$C$3651,'Current Stock'!A2298)</f>
        <v>0</v>
      </c>
      <c r="J2298" s="15">
        <f t="shared" si="26"/>
        <v>1</v>
      </c>
      <c r="K2298" s="13" t="s">
        <v>1347</v>
      </c>
      <c r="L2298" s="44"/>
      <c r="M2298" s="44"/>
      <c r="N2298" s="44"/>
      <c r="O2298" s="88"/>
      <c r="P2298" s="88"/>
    </row>
    <row r="2299" ht="15.0" customHeight="1">
      <c r="A2299" s="11" t="str">
        <f t="shared" si="4"/>
        <v>SWL-RAIZEMU</v>
      </c>
      <c r="B2299" s="13" t="s">
        <v>2562</v>
      </c>
      <c r="C2299" s="13" t="s">
        <v>2558</v>
      </c>
      <c r="D2299" s="13" t="str">
        <f t="shared" ref="D2299:D2300" si="27">LEFT(A2299,FIND("-",A2299) - 1)</f>
        <v>SWL</v>
      </c>
      <c r="E2299" s="13" t="s">
        <v>1633</v>
      </c>
      <c r="F2299" s="13" t="s">
        <v>109</v>
      </c>
      <c r="G2299" s="14">
        <v>45988.0</v>
      </c>
      <c r="H2299" s="11">
        <f>SUMIFS(X!$F$3:$F$5978,X!$D$3:$D$5978,'Current Stock'!A2299)</f>
        <v>5</v>
      </c>
      <c r="I2299" s="11">
        <f>SUMIFS(PENJUALAN!$E$4:$E$3651,PENJUALAN!$C$4:$C$3651,'Current Stock'!A2299)</f>
        <v>4</v>
      </c>
      <c r="J2299" s="15">
        <f t="shared" si="26"/>
        <v>1</v>
      </c>
      <c r="K2299" s="13" t="s">
        <v>96</v>
      </c>
      <c r="L2299" s="44"/>
      <c r="M2299" s="44"/>
      <c r="N2299" s="44"/>
      <c r="O2299" s="88"/>
      <c r="P2299" s="88"/>
    </row>
    <row r="2300" ht="15.0" customHeight="1">
      <c r="A2300" s="11" t="str">
        <f t="shared" si="4"/>
        <v>SWR-RAIZEMU</v>
      </c>
      <c r="B2300" s="13" t="s">
        <v>114</v>
      </c>
      <c r="C2300" s="13" t="s">
        <v>2558</v>
      </c>
      <c r="D2300" s="13" t="str">
        <f t="shared" si="27"/>
        <v>SWR</v>
      </c>
      <c r="E2300" s="13" t="s">
        <v>1633</v>
      </c>
      <c r="F2300" s="13" t="s">
        <v>109</v>
      </c>
      <c r="G2300" s="14">
        <v>45988.0</v>
      </c>
      <c r="H2300" s="11">
        <f>SUMIFS(X!$F$3:$F$5978,X!$D$3:$D$5978,'Current Stock'!A2300)</f>
        <v>2</v>
      </c>
      <c r="I2300" s="11">
        <f>SUMIFS(PENJUALAN!$E$4:$E$3651,PENJUALAN!$C$4:$C$3651,'Current Stock'!A2300)</f>
        <v>1</v>
      </c>
      <c r="J2300" s="15">
        <f t="shared" si="26"/>
        <v>1</v>
      </c>
      <c r="K2300" s="13" t="s">
        <v>2050</v>
      </c>
      <c r="L2300" s="44"/>
      <c r="M2300" s="44"/>
      <c r="N2300" s="44"/>
      <c r="O2300" s="88"/>
      <c r="P2300" s="88"/>
    </row>
    <row r="2301" ht="15.0" customHeight="1">
      <c r="A2301" s="11" t="str">
        <f t="shared" si="4"/>
        <v>LFW-TEANA13NIS</v>
      </c>
      <c r="B2301" s="13" t="s">
        <v>2563</v>
      </c>
      <c r="C2301" s="13" t="s">
        <v>2564</v>
      </c>
      <c r="D2301" s="13" t="s">
        <v>60</v>
      </c>
      <c r="E2301" s="13" t="s">
        <v>2565</v>
      </c>
      <c r="F2301" s="44"/>
      <c r="G2301" s="11"/>
      <c r="H2301" s="11">
        <f>SUMIFS(X!$F$3:$F$5978,X!$D$3:$D$5978,'Current Stock'!A2301)</f>
        <v>0</v>
      </c>
      <c r="I2301" s="11">
        <f>SUMIFS(PENJUALAN!$E$4:$E$3651,PENJUALAN!$C$4:$C$3651,'Current Stock'!A2301)</f>
        <v>0</v>
      </c>
      <c r="J2301" s="15">
        <f t="shared" si="26"/>
        <v>0</v>
      </c>
      <c r="K2301" s="13"/>
      <c r="L2301" s="44"/>
      <c r="M2301" s="44"/>
      <c r="N2301" s="44"/>
      <c r="O2301" s="88"/>
      <c r="P2301" s="88"/>
    </row>
    <row r="2302" ht="15.0" customHeight="1">
      <c r="A2302" s="11" t="str">
        <f t="shared" si="4"/>
        <v>SWR-TERIOS06AGC</v>
      </c>
      <c r="B2302" s="13" t="s">
        <v>1829</v>
      </c>
      <c r="C2302" s="13" t="s">
        <v>2435</v>
      </c>
      <c r="D2302" s="13" t="s">
        <v>116</v>
      </c>
      <c r="E2302" s="13" t="s">
        <v>101</v>
      </c>
      <c r="F2302" s="13" t="s">
        <v>109</v>
      </c>
      <c r="G2302" s="14"/>
      <c r="H2302" s="11">
        <f>SUMIFS(X!$F$3:$F$5978,X!$D$3:$D$5978,'Current Stock'!A2302)</f>
        <v>6</v>
      </c>
      <c r="I2302" s="11">
        <f>SUMIFS(PENJUALAN!$E$4:$E$3651,PENJUALAN!$C$4:$C$3651,'Current Stock'!A2302)</f>
        <v>1</v>
      </c>
      <c r="J2302" s="15">
        <f t="shared" si="26"/>
        <v>5</v>
      </c>
      <c r="K2302" s="13"/>
      <c r="L2302" s="44"/>
      <c r="M2302" s="44"/>
      <c r="N2302" s="44"/>
      <c r="O2302" s="88"/>
      <c r="P2302" s="88"/>
    </row>
    <row r="2303" ht="15.0" customHeight="1">
      <c r="A2303" s="11" t="str">
        <f t="shared" si="4"/>
        <v>SWL-TERIOS06AGC</v>
      </c>
      <c r="B2303" s="13" t="s">
        <v>1828</v>
      </c>
      <c r="C2303" s="13" t="s">
        <v>2435</v>
      </c>
      <c r="D2303" s="13" t="s">
        <v>1410</v>
      </c>
      <c r="E2303" s="13" t="s">
        <v>101</v>
      </c>
      <c r="F2303" s="13" t="s">
        <v>109</v>
      </c>
      <c r="G2303" s="11"/>
      <c r="H2303" s="11">
        <f>SUMIFS(X!$F$3:$F$5978,X!$D$3:$D$5978,'Current Stock'!A2303)</f>
        <v>4</v>
      </c>
      <c r="I2303" s="11">
        <f>SUMIFS(PENJUALAN!$E$4:$E$3651,PENJUALAN!$C$4:$C$3651,'Current Stock'!A2303)</f>
        <v>3</v>
      </c>
      <c r="J2303" s="15">
        <f t="shared" si="26"/>
        <v>1</v>
      </c>
      <c r="K2303" s="13" t="s">
        <v>2050</v>
      </c>
      <c r="L2303" s="44"/>
      <c r="M2303" s="44"/>
      <c r="N2303" s="44"/>
      <c r="O2303" s="88"/>
      <c r="P2303" s="88"/>
    </row>
    <row r="2304" ht="15.0" customHeight="1">
      <c r="A2304" s="11" t="str">
        <f t="shared" si="4"/>
        <v>FDR-RUSH17AGC</v>
      </c>
      <c r="B2304" s="13" t="s">
        <v>2231</v>
      </c>
      <c r="C2304" s="13" t="s">
        <v>2566</v>
      </c>
      <c r="D2304" s="13" t="s">
        <v>106</v>
      </c>
      <c r="E2304" s="13" t="s">
        <v>101</v>
      </c>
      <c r="F2304" s="13"/>
      <c r="G2304" s="14"/>
      <c r="H2304" s="11">
        <f>SUMIFS(X!$F$3:$F$5978,X!$D$3:$D$5978,'Current Stock'!A2304)</f>
        <v>0</v>
      </c>
      <c r="I2304" s="11">
        <f>SUMIFS(PENJUALAN!$E$4:$E$3651,PENJUALAN!$C$4:$C$3651,'Current Stock'!A2304)</f>
        <v>0</v>
      </c>
      <c r="J2304" s="15">
        <f t="shared" si="26"/>
        <v>0</v>
      </c>
      <c r="K2304" s="13"/>
      <c r="L2304" s="44"/>
      <c r="M2304" s="44"/>
      <c r="N2304" s="44"/>
      <c r="O2304" s="88"/>
      <c r="P2304" s="88"/>
    </row>
    <row r="2305" ht="15.0" customHeight="1">
      <c r="A2305" s="11" t="str">
        <f t="shared" si="4"/>
        <v>FDL-RUSH17AGC</v>
      </c>
      <c r="B2305" s="13" t="s">
        <v>2230</v>
      </c>
      <c r="C2305" s="13" t="s">
        <v>2566</v>
      </c>
      <c r="D2305" s="13" t="s">
        <v>104</v>
      </c>
      <c r="E2305" s="13" t="s">
        <v>101</v>
      </c>
      <c r="F2305" s="13"/>
      <c r="G2305" s="14"/>
      <c r="H2305" s="11">
        <f>SUMIFS(X!$F$3:$F$5978,X!$D$3:$D$5978,'Current Stock'!A2305)</f>
        <v>1</v>
      </c>
      <c r="I2305" s="11">
        <f>SUMIFS(PENJUALAN!$E$4:$E$3651,PENJUALAN!$C$4:$C$3651,'Current Stock'!A2305)</f>
        <v>0</v>
      </c>
      <c r="J2305" s="15">
        <f t="shared" si="26"/>
        <v>1</v>
      </c>
      <c r="K2305" s="13"/>
      <c r="L2305" s="44"/>
      <c r="M2305" s="44"/>
      <c r="N2305" s="44"/>
      <c r="O2305" s="88"/>
      <c r="P2305" s="88"/>
    </row>
    <row r="2306" ht="15.0" customHeight="1">
      <c r="A2306" s="11" t="str">
        <f t="shared" si="4"/>
        <v>RDR-RUSH17AGC</v>
      </c>
      <c r="B2306" s="13" t="s">
        <v>2233</v>
      </c>
      <c r="C2306" s="13" t="s">
        <v>2566</v>
      </c>
      <c r="D2306" s="13" t="s">
        <v>86</v>
      </c>
      <c r="E2306" s="13" t="s">
        <v>101</v>
      </c>
      <c r="F2306" s="13"/>
      <c r="G2306" s="14"/>
      <c r="H2306" s="11">
        <f>SUMIFS(X!$F$3:$F$5978,X!$D$3:$D$5978,'Current Stock'!A2306)</f>
        <v>1</v>
      </c>
      <c r="I2306" s="11">
        <f>SUMIFS(PENJUALAN!$E$4:$E$3651,PENJUALAN!$C$4:$C$3651,'Current Stock'!A2306)</f>
        <v>1</v>
      </c>
      <c r="J2306" s="15">
        <f t="shared" si="26"/>
        <v>0</v>
      </c>
      <c r="K2306" s="13" t="s">
        <v>1616</v>
      </c>
      <c r="L2306" s="44"/>
      <c r="M2306" s="44"/>
      <c r="N2306" s="44"/>
      <c r="O2306" s="88"/>
      <c r="P2306" s="88"/>
    </row>
    <row r="2307" ht="15.0" customHeight="1">
      <c r="A2307" s="11" t="str">
        <f t="shared" si="4"/>
        <v>RDL-RUSH17AGC</v>
      </c>
      <c r="B2307" s="13" t="s">
        <v>2232</v>
      </c>
      <c r="C2307" s="13" t="s">
        <v>2566</v>
      </c>
      <c r="D2307" s="13" t="s">
        <v>92</v>
      </c>
      <c r="E2307" s="13" t="s">
        <v>101</v>
      </c>
      <c r="F2307" s="13"/>
      <c r="G2307" s="14"/>
      <c r="H2307" s="11">
        <f>SUMIFS(X!$F$3:$F$5978,X!$D$3:$D$5978,'Current Stock'!A2307)</f>
        <v>2</v>
      </c>
      <c r="I2307" s="11">
        <f>SUMIFS(PENJUALAN!$E$4:$E$3651,PENJUALAN!$C$4:$C$3651,'Current Stock'!A2307)</f>
        <v>2</v>
      </c>
      <c r="J2307" s="15">
        <f t="shared" si="26"/>
        <v>0</v>
      </c>
      <c r="K2307" s="13" t="s">
        <v>2186</v>
      </c>
      <c r="L2307" s="44"/>
      <c r="M2307" s="44"/>
      <c r="N2307" s="44"/>
      <c r="O2307" s="88"/>
      <c r="P2307" s="88"/>
    </row>
    <row r="2308" ht="15.0" customHeight="1">
      <c r="A2308" s="11" t="str">
        <f t="shared" si="4"/>
        <v>SWR-RUSH17AGC</v>
      </c>
      <c r="B2308" s="13" t="s">
        <v>2567</v>
      </c>
      <c r="C2308" s="13" t="s">
        <v>2566</v>
      </c>
      <c r="D2308" s="13" t="s">
        <v>116</v>
      </c>
      <c r="E2308" s="13" t="s">
        <v>101</v>
      </c>
      <c r="F2308" s="13" t="s">
        <v>109</v>
      </c>
      <c r="G2308" s="14"/>
      <c r="H2308" s="11">
        <f>SUMIFS(X!$F$3:$F$5978,X!$D$3:$D$5978,'Current Stock'!A2308)</f>
        <v>2</v>
      </c>
      <c r="I2308" s="11">
        <f>SUMIFS(PENJUALAN!$E$4:$E$3651,PENJUALAN!$C$4:$C$3651,'Current Stock'!A2308)</f>
        <v>1</v>
      </c>
      <c r="J2308" s="15">
        <f t="shared" si="26"/>
        <v>1</v>
      </c>
      <c r="K2308" s="13" t="s">
        <v>96</v>
      </c>
      <c r="L2308" s="44"/>
      <c r="M2308" s="44"/>
      <c r="N2308" s="44"/>
      <c r="O2308" s="88"/>
      <c r="P2308" s="88"/>
    </row>
    <row r="2309" ht="15.0" customHeight="1">
      <c r="A2309" s="11" t="str">
        <f t="shared" si="4"/>
        <v>SWL-RUSH17AGC</v>
      </c>
      <c r="B2309" s="13" t="s">
        <v>2568</v>
      </c>
      <c r="C2309" s="13" t="s">
        <v>2566</v>
      </c>
      <c r="D2309" s="13" t="s">
        <v>1410</v>
      </c>
      <c r="E2309" s="13" t="s">
        <v>101</v>
      </c>
      <c r="F2309" s="13" t="s">
        <v>109</v>
      </c>
      <c r="G2309" s="14"/>
      <c r="H2309" s="11">
        <f>SUMIFS(X!$F$3:$F$5978,X!$D$3:$D$5978,'Current Stock'!A2309)</f>
        <v>2</v>
      </c>
      <c r="I2309" s="11">
        <f>SUMIFS(PENJUALAN!$E$4:$E$3651,PENJUALAN!$C$4:$C$3651,'Current Stock'!A2309)</f>
        <v>1</v>
      </c>
      <c r="J2309" s="15">
        <f t="shared" si="26"/>
        <v>1</v>
      </c>
      <c r="K2309" s="13" t="s">
        <v>1647</v>
      </c>
      <c r="L2309" s="44"/>
      <c r="M2309" s="44"/>
      <c r="N2309" s="44"/>
      <c r="O2309" s="88"/>
      <c r="P2309" s="88"/>
    </row>
    <row r="2310" ht="15.0" customHeight="1">
      <c r="A2310" s="11" t="str">
        <f t="shared" si="4"/>
        <v>FDR-ALMAZAGC</v>
      </c>
      <c r="B2310" s="13" t="s">
        <v>2569</v>
      </c>
      <c r="C2310" s="13" t="s">
        <v>2425</v>
      </c>
      <c r="D2310" s="13" t="str">
        <f t="shared" ref="D2310:D2332" si="28">LEFT(A2310,FIND("-",A2310) - 1)</f>
        <v>FDR</v>
      </c>
      <c r="E2310" s="13" t="s">
        <v>101</v>
      </c>
      <c r="F2310" s="13" t="s">
        <v>2142</v>
      </c>
      <c r="G2310" s="11"/>
      <c r="H2310" s="11">
        <f>SUMIFS(X!$F$3:$F$5978,X!$D$3:$D$5978,'Current Stock'!A2310)</f>
        <v>1</v>
      </c>
      <c r="I2310" s="11">
        <f>SUMIFS(PENJUALAN!$E$4:$E$3651,PENJUALAN!$C$4:$C$3651,'Current Stock'!A2310)</f>
        <v>1</v>
      </c>
      <c r="J2310" s="15">
        <f t="shared" si="26"/>
        <v>0</v>
      </c>
      <c r="K2310" s="13" t="s">
        <v>1759</v>
      </c>
      <c r="L2310" s="44"/>
      <c r="M2310" s="44"/>
      <c r="N2310" s="44"/>
      <c r="O2310" s="88"/>
      <c r="P2310" s="88"/>
    </row>
    <row r="2311" ht="15.0" customHeight="1">
      <c r="A2311" s="11" t="str">
        <f t="shared" si="4"/>
        <v>FDL-ALMAZAGC</v>
      </c>
      <c r="B2311" s="13" t="s">
        <v>2424</v>
      </c>
      <c r="C2311" s="13" t="s">
        <v>2425</v>
      </c>
      <c r="D2311" s="13" t="str">
        <f t="shared" si="28"/>
        <v>FDL</v>
      </c>
      <c r="E2311" s="13" t="s">
        <v>101</v>
      </c>
      <c r="F2311" s="13" t="s">
        <v>2142</v>
      </c>
      <c r="G2311" s="11"/>
      <c r="H2311" s="11">
        <f>SUMIFS(X!$F$3:$F$5978,X!$D$3:$D$5978,'Current Stock'!A2311)</f>
        <v>1</v>
      </c>
      <c r="I2311" s="11">
        <f>SUMIFS(PENJUALAN!$E$4:$E$3651,PENJUALAN!$C$4:$C$3651,'Current Stock'!A2311)</f>
        <v>1</v>
      </c>
      <c r="J2311" s="15">
        <f t="shared" si="26"/>
        <v>0</v>
      </c>
      <c r="K2311" s="13" t="s">
        <v>1647</v>
      </c>
      <c r="L2311" s="44"/>
      <c r="M2311" s="44"/>
      <c r="N2311" s="44"/>
      <c r="O2311" s="88"/>
      <c r="P2311" s="88"/>
    </row>
    <row r="2312" ht="15.0" customHeight="1">
      <c r="A2312" s="11" t="str">
        <f t="shared" si="4"/>
        <v>LFW-SIENTAASH</v>
      </c>
      <c r="B2312" s="13" t="s">
        <v>1252</v>
      </c>
      <c r="C2312" s="13" t="s">
        <v>1253</v>
      </c>
      <c r="D2312" s="13" t="str">
        <f t="shared" si="28"/>
        <v>LFW</v>
      </c>
      <c r="E2312" s="13" t="s">
        <v>93</v>
      </c>
      <c r="F2312" s="13" t="s">
        <v>137</v>
      </c>
      <c r="G2312" s="14">
        <v>45988.0</v>
      </c>
      <c r="H2312" s="11">
        <f>SUMIFS(X!$F$3:$F$5978,X!$D$3:$D$5978,'Current Stock'!A2312)</f>
        <v>1</v>
      </c>
      <c r="I2312" s="11">
        <f>SUMIFS(PENJUALAN!$E$4:$E$3651,PENJUALAN!$C$4:$C$3651,'Current Stock'!A2312)</f>
        <v>1</v>
      </c>
      <c r="J2312" s="15">
        <f t="shared" si="26"/>
        <v>0</v>
      </c>
      <c r="K2312" s="13" t="s">
        <v>1647</v>
      </c>
      <c r="L2312" s="44"/>
      <c r="M2312" s="44"/>
      <c r="N2312" s="44"/>
      <c r="O2312" s="88"/>
      <c r="P2312" s="88"/>
    </row>
    <row r="2313" ht="15.0" customHeight="1">
      <c r="A2313" s="11" t="str">
        <f t="shared" si="4"/>
        <v>TRW-EVALIAAUTO</v>
      </c>
      <c r="B2313" s="13" t="s">
        <v>1637</v>
      </c>
      <c r="C2313" s="13" t="s">
        <v>922</v>
      </c>
      <c r="D2313" s="13" t="str">
        <f t="shared" si="28"/>
        <v>TRW</v>
      </c>
      <c r="E2313" s="13" t="s">
        <v>82</v>
      </c>
      <c r="F2313" s="13" t="s">
        <v>83</v>
      </c>
      <c r="G2313" s="11"/>
      <c r="H2313" s="11">
        <f>SUMIFS(X!$F$3:$F$5978,X!$D$3:$D$5978,'Current Stock'!A2313)</f>
        <v>1</v>
      </c>
      <c r="I2313" s="11">
        <f>SUMIFS(PENJUALAN!$E$4:$E$3651,PENJUALAN!$C$4:$C$3651,'Current Stock'!A2313)</f>
        <v>1</v>
      </c>
      <c r="J2313" s="15">
        <f t="shared" si="26"/>
        <v>0</v>
      </c>
      <c r="K2313" s="13"/>
      <c r="L2313" s="44"/>
      <c r="M2313" s="44"/>
      <c r="N2313" s="44"/>
      <c r="O2313" s="88"/>
      <c r="P2313" s="88"/>
    </row>
    <row r="2314" ht="15.0" customHeight="1">
      <c r="A2314" s="12" t="str">
        <f t="shared" si="4"/>
        <v>LFW-G20RS1XYG</v>
      </c>
      <c r="B2314" s="110" t="s">
        <v>2570</v>
      </c>
      <c r="C2314" s="111" t="s">
        <v>2571</v>
      </c>
      <c r="D2314" s="13" t="str">
        <f t="shared" si="28"/>
        <v>LFW</v>
      </c>
      <c r="E2314" s="13" t="s">
        <v>16</v>
      </c>
      <c r="F2314" s="13" t="s">
        <v>124</v>
      </c>
      <c r="G2314" s="14">
        <v>45988.0</v>
      </c>
      <c r="H2314" s="11">
        <f>SUMIFS(X!$F$3:$F$5978,X!$D$3:$D$5978,'Current Stock'!A2314)</f>
        <v>1</v>
      </c>
      <c r="I2314" s="11">
        <f>SUMIFS(PENJUALAN!$E$4:$E$3651,PENJUALAN!$C$4:$C$3651,'Current Stock'!A2314)</f>
        <v>1</v>
      </c>
      <c r="J2314" s="15">
        <f t="shared" si="26"/>
        <v>0</v>
      </c>
      <c r="K2314" s="13" t="s">
        <v>1800</v>
      </c>
      <c r="L2314" s="44"/>
      <c r="M2314" s="44"/>
      <c r="N2314" s="44"/>
      <c r="O2314" s="88"/>
      <c r="P2314" s="88"/>
    </row>
    <row r="2315" ht="15.0" customHeight="1">
      <c r="A2315" s="12" t="str">
        <f t="shared" si="4"/>
        <v>LFW-G20RS2XYG</v>
      </c>
      <c r="B2315" s="112" t="s">
        <v>2572</v>
      </c>
      <c r="C2315" s="112" t="s">
        <v>2573</v>
      </c>
      <c r="D2315" s="13" t="str">
        <f t="shared" si="28"/>
        <v>LFW</v>
      </c>
      <c r="E2315" s="13" t="s">
        <v>16</v>
      </c>
      <c r="F2315" s="13" t="s">
        <v>124</v>
      </c>
      <c r="G2315" s="14">
        <v>45988.0</v>
      </c>
      <c r="H2315" s="11">
        <f>SUMIFS(X!$F$3:$F$5978,X!$D$3:$D$5978,'Current Stock'!A2315)</f>
        <v>0</v>
      </c>
      <c r="I2315" s="11">
        <f>SUMIFS(PENJUALAN!$E$4:$E$3651,PENJUALAN!$C$4:$C$3651,'Current Stock'!A2315)</f>
        <v>0</v>
      </c>
      <c r="J2315" s="15">
        <f t="shared" si="26"/>
        <v>0</v>
      </c>
      <c r="K2315" s="13" t="s">
        <v>430</v>
      </c>
      <c r="L2315" s="44"/>
      <c r="M2315" s="44"/>
      <c r="N2315" s="44"/>
      <c r="O2315" s="88"/>
      <c r="P2315" s="88"/>
    </row>
    <row r="2316" ht="15.0" customHeight="1">
      <c r="A2316" s="12" t="str">
        <f t="shared" si="4"/>
        <v>LFW-G20RS2SMXYG</v>
      </c>
      <c r="B2316" s="111" t="s">
        <v>2574</v>
      </c>
      <c r="C2316" s="111" t="s">
        <v>2575</v>
      </c>
      <c r="D2316" s="13" t="str">
        <f t="shared" si="28"/>
        <v>LFW</v>
      </c>
      <c r="E2316" s="13" t="s">
        <v>16</v>
      </c>
      <c r="F2316" s="13" t="s">
        <v>124</v>
      </c>
      <c r="G2316" s="14">
        <v>45988.0</v>
      </c>
      <c r="H2316" s="11">
        <f>SUMIFS(X!$F$3:$F$5978,X!$D$3:$D$5978,'Current Stock'!A2316)</f>
        <v>0</v>
      </c>
      <c r="I2316" s="11">
        <f>SUMIFS(PENJUALAN!$E$4:$E$3651,PENJUALAN!$C$4:$C$3651,'Current Stock'!A2316)</f>
        <v>0</v>
      </c>
      <c r="J2316" s="15">
        <f t="shared" si="26"/>
        <v>0</v>
      </c>
      <c r="K2316" s="13"/>
      <c r="L2316" s="44"/>
      <c r="M2316" s="44"/>
      <c r="N2316" s="44"/>
      <c r="O2316" s="88"/>
      <c r="P2316" s="88"/>
    </row>
    <row r="2317" ht="15.0" customHeight="1">
      <c r="A2317" s="12" t="str">
        <f t="shared" si="4"/>
        <v>FDR-FREEDAGC</v>
      </c>
      <c r="B2317" s="18" t="s">
        <v>2576</v>
      </c>
      <c r="C2317" s="18" t="s">
        <v>1357</v>
      </c>
      <c r="D2317" s="13" t="str">
        <f t="shared" si="28"/>
        <v>FDR</v>
      </c>
      <c r="E2317" s="13" t="s">
        <v>101</v>
      </c>
      <c r="F2317" s="13" t="s">
        <v>2142</v>
      </c>
      <c r="G2317" s="14">
        <v>45988.0</v>
      </c>
      <c r="H2317" s="11">
        <f>SUMIFS(X!$F$3:$F$5978,X!$D$3:$D$5978,'Current Stock'!A2317)</f>
        <v>2</v>
      </c>
      <c r="I2317" s="11">
        <f>SUMIFS(PENJUALAN!$E$4:$E$3651,PENJUALAN!$C$4:$C$3651,'Current Stock'!A2317)</f>
        <v>1</v>
      </c>
      <c r="J2317" s="15">
        <f t="shared" si="26"/>
        <v>1</v>
      </c>
      <c r="K2317" s="13"/>
      <c r="L2317" s="44"/>
      <c r="M2317" s="44"/>
      <c r="N2317" s="44"/>
      <c r="O2317" s="88"/>
      <c r="P2317" s="88"/>
    </row>
    <row r="2318" ht="15.0" customHeight="1">
      <c r="A2318" s="12" t="str">
        <f t="shared" si="4"/>
        <v>FDL-FREEDAGC</v>
      </c>
      <c r="B2318" s="13" t="s">
        <v>2220</v>
      </c>
      <c r="C2318" s="18" t="s">
        <v>1357</v>
      </c>
      <c r="D2318" s="13" t="str">
        <f t="shared" si="28"/>
        <v>FDL</v>
      </c>
      <c r="E2318" s="13" t="s">
        <v>101</v>
      </c>
      <c r="F2318" s="13" t="s">
        <v>2142</v>
      </c>
      <c r="G2318" s="14">
        <v>45988.0</v>
      </c>
      <c r="H2318" s="11">
        <f>SUMIFS(X!$F$3:$F$5978,X!$D$3:$D$5978,'Current Stock'!A2318)</f>
        <v>2</v>
      </c>
      <c r="I2318" s="11">
        <f>SUMIFS(PENJUALAN!$E$4:$E$3651,PENJUALAN!$C$4:$C$3651,'Current Stock'!A2318)</f>
        <v>1</v>
      </c>
      <c r="J2318" s="15">
        <f t="shared" si="26"/>
        <v>1</v>
      </c>
      <c r="K2318" s="13"/>
      <c r="L2318" s="44"/>
      <c r="M2318" s="44"/>
      <c r="N2318" s="44"/>
      <c r="O2318" s="88"/>
      <c r="P2318" s="88"/>
    </row>
    <row r="2319" ht="15.0" customHeight="1">
      <c r="A2319" s="12" t="str">
        <f t="shared" si="4"/>
        <v>RDR-FREEDAGC</v>
      </c>
      <c r="B2319" s="13" t="s">
        <v>2222</v>
      </c>
      <c r="C2319" s="18" t="s">
        <v>1357</v>
      </c>
      <c r="D2319" s="13" t="str">
        <f t="shared" si="28"/>
        <v>RDR</v>
      </c>
      <c r="E2319" s="13" t="s">
        <v>101</v>
      </c>
      <c r="F2319" s="13" t="s">
        <v>2058</v>
      </c>
      <c r="G2319" s="14">
        <v>45988.0</v>
      </c>
      <c r="H2319" s="11">
        <f>SUMIFS(X!$F$3:$F$5978,X!$D$3:$D$5978,'Current Stock'!A2319)</f>
        <v>1</v>
      </c>
      <c r="I2319" s="11">
        <f>SUMIFS(PENJUALAN!$E$4:$E$3651,PENJUALAN!$C$4:$C$3651,'Current Stock'!A2319)</f>
        <v>0</v>
      </c>
      <c r="J2319" s="15">
        <f t="shared" si="26"/>
        <v>1</v>
      </c>
      <c r="K2319" s="13"/>
      <c r="L2319" s="44"/>
      <c r="M2319" s="44"/>
      <c r="N2319" s="44"/>
      <c r="O2319" s="88"/>
      <c r="P2319" s="88"/>
    </row>
    <row r="2320" ht="15.0" customHeight="1">
      <c r="A2320" s="12" t="str">
        <f t="shared" si="4"/>
        <v>RDL-FREEDAGC</v>
      </c>
      <c r="B2320" s="13" t="s">
        <v>2221</v>
      </c>
      <c r="C2320" s="18" t="s">
        <v>1357</v>
      </c>
      <c r="D2320" s="13" t="str">
        <f t="shared" si="28"/>
        <v>RDL</v>
      </c>
      <c r="E2320" s="13" t="s">
        <v>101</v>
      </c>
      <c r="F2320" s="13" t="s">
        <v>2058</v>
      </c>
      <c r="G2320" s="14"/>
      <c r="H2320" s="11">
        <f>SUMIFS(X!$F$3:$F$5978,X!$D$3:$D$5978,'Current Stock'!A2320)</f>
        <v>2</v>
      </c>
      <c r="I2320" s="11">
        <f>SUMIFS(PENJUALAN!$E$4:$E$3651,PENJUALAN!$C$4:$C$3651,'Current Stock'!A2320)</f>
        <v>2</v>
      </c>
      <c r="J2320" s="15">
        <f t="shared" si="26"/>
        <v>0</v>
      </c>
      <c r="K2320" s="13" t="s">
        <v>1616</v>
      </c>
      <c r="L2320" s="44"/>
      <c r="M2320" s="44"/>
      <c r="N2320" s="44"/>
      <c r="O2320" s="88"/>
      <c r="P2320" s="88"/>
    </row>
    <row r="2321" ht="15.0" customHeight="1">
      <c r="A2321" s="12" t="str">
        <f t="shared" si="4"/>
        <v>RDL-SCROSS16SGP</v>
      </c>
      <c r="B2321" s="13" t="s">
        <v>2577</v>
      </c>
      <c r="C2321" s="13" t="s">
        <v>2578</v>
      </c>
      <c r="D2321" s="13" t="str">
        <f t="shared" si="28"/>
        <v>RDL</v>
      </c>
      <c r="E2321" s="13" t="s">
        <v>41</v>
      </c>
      <c r="F2321" s="13" t="s">
        <v>2142</v>
      </c>
      <c r="G2321" s="14">
        <v>45988.0</v>
      </c>
      <c r="H2321" s="11">
        <f>SUMIFS(X!$F$3:$F$5978,X!$D$3:$D$5978,'Current Stock'!A2321)</f>
        <v>1</v>
      </c>
      <c r="I2321" s="11">
        <f>SUMIFS(PENJUALAN!$E$4:$E$3651,PENJUALAN!$C$4:$C$3651,'Current Stock'!A2321)</f>
        <v>1</v>
      </c>
      <c r="J2321" s="15">
        <f t="shared" si="26"/>
        <v>0</v>
      </c>
      <c r="K2321" s="13"/>
      <c r="L2321" s="44"/>
      <c r="M2321" s="44"/>
      <c r="N2321" s="44"/>
      <c r="O2321" s="88"/>
      <c r="P2321" s="88"/>
    </row>
    <row r="2322" ht="15.0" customHeight="1">
      <c r="A2322" s="12" t="str">
        <f t="shared" si="4"/>
        <v>FDL-AGYA23MU</v>
      </c>
      <c r="B2322" s="13" t="s">
        <v>2579</v>
      </c>
      <c r="C2322" s="13" t="s">
        <v>2580</v>
      </c>
      <c r="D2322" s="13" t="str">
        <f t="shared" si="28"/>
        <v>FDL</v>
      </c>
      <c r="E2322" s="13" t="s">
        <v>1633</v>
      </c>
      <c r="F2322" s="44"/>
      <c r="G2322" s="11"/>
      <c r="H2322" s="11">
        <f>SUMIFS(X!$F$3:$F$5978,X!$D$3:$D$5978,'Current Stock'!A2322)</f>
        <v>1</v>
      </c>
      <c r="I2322" s="11">
        <f>SUMIFS(PENJUALAN!$E$4:$E$3651,PENJUALAN!$C$4:$C$3651,'Current Stock'!A2322)</f>
        <v>1</v>
      </c>
      <c r="J2322" s="15">
        <f t="shared" si="26"/>
        <v>0</v>
      </c>
      <c r="K2322" s="13" t="s">
        <v>1800</v>
      </c>
      <c r="L2322" s="44"/>
      <c r="M2322" s="44"/>
      <c r="N2322" s="44"/>
      <c r="O2322" s="88"/>
      <c r="P2322" s="88"/>
    </row>
    <row r="2323" ht="15.0" customHeight="1">
      <c r="A2323" s="12" t="str">
        <f t="shared" si="4"/>
        <v>LFW-SIENTAAGC</v>
      </c>
      <c r="B2323" s="13" t="s">
        <v>1252</v>
      </c>
      <c r="C2323" s="13" t="s">
        <v>1253</v>
      </c>
      <c r="D2323" s="13" t="str">
        <f t="shared" si="28"/>
        <v>LFW</v>
      </c>
      <c r="E2323" s="13" t="s">
        <v>101</v>
      </c>
      <c r="F2323" s="13" t="s">
        <v>1358</v>
      </c>
      <c r="G2323" s="14">
        <v>45988.0</v>
      </c>
      <c r="H2323" s="11">
        <f>SUMIFS(X!$F$3:$F$5978,X!$D$3:$D$5978,'Current Stock'!A2323)</f>
        <v>3</v>
      </c>
      <c r="I2323" s="11">
        <f>SUMIFS(PENJUALAN!$E$4:$E$3651,PENJUALAN!$C$4:$C$3651,'Current Stock'!A2323)</f>
        <v>2</v>
      </c>
      <c r="J2323" s="15">
        <f t="shared" si="26"/>
        <v>1</v>
      </c>
      <c r="K2323" s="13"/>
      <c r="L2323" s="44"/>
      <c r="M2323" s="44"/>
      <c r="N2323" s="44"/>
      <c r="O2323" s="88"/>
      <c r="P2323" s="88"/>
    </row>
    <row r="2324" ht="15.0" customHeight="1">
      <c r="A2324" s="12" t="str">
        <f t="shared" si="4"/>
        <v>LFW-DYNABY40ASH</v>
      </c>
      <c r="B2324" s="13" t="s">
        <v>2581</v>
      </c>
      <c r="C2324" s="13" t="s">
        <v>2582</v>
      </c>
      <c r="D2324" s="13" t="str">
        <f t="shared" si="28"/>
        <v>LFW</v>
      </c>
      <c r="E2324" s="13" t="s">
        <v>93</v>
      </c>
      <c r="F2324" s="13"/>
      <c r="G2324" s="14">
        <v>45988.0</v>
      </c>
      <c r="H2324" s="11">
        <f>SUMIFS(X!$F$3:$F$5978,X!$D$3:$D$5978,'Current Stock'!A2324)</f>
        <v>1</v>
      </c>
      <c r="I2324" s="11">
        <f>SUMIFS(PENJUALAN!$E$4:$E$3651,PENJUALAN!$C$4:$C$3651,'Current Stock'!A2324)</f>
        <v>1</v>
      </c>
      <c r="J2324" s="15">
        <f t="shared" si="26"/>
        <v>0</v>
      </c>
      <c r="K2324" s="13"/>
      <c r="L2324" s="44"/>
      <c r="M2324" s="44"/>
      <c r="N2324" s="44"/>
      <c r="O2324" s="88"/>
      <c r="P2324" s="88"/>
    </row>
    <row r="2325" ht="15.0" customHeight="1">
      <c r="A2325" s="12" t="str">
        <f t="shared" si="4"/>
        <v>TRW-YARIS23AGC</v>
      </c>
      <c r="B2325" s="13" t="s">
        <v>2583</v>
      </c>
      <c r="C2325" s="13" t="s">
        <v>2584</v>
      </c>
      <c r="D2325" s="13" t="str">
        <f t="shared" si="28"/>
        <v>TRW</v>
      </c>
      <c r="E2325" s="13" t="s">
        <v>101</v>
      </c>
      <c r="F2325" s="13" t="s">
        <v>109</v>
      </c>
      <c r="G2325" s="14"/>
      <c r="H2325" s="11">
        <f>SUMIFS(X!$F$3:$F$5978,X!$D$3:$D$5978,'Current Stock'!A2325)</f>
        <v>1</v>
      </c>
      <c r="I2325" s="11">
        <f>SUMIFS(PENJUALAN!$E$4:$E$3651,PENJUALAN!$C$4:$C$3651,'Current Stock'!A2325)</f>
        <v>0</v>
      </c>
      <c r="J2325" s="15">
        <f t="shared" si="26"/>
        <v>1</v>
      </c>
      <c r="K2325" s="13"/>
      <c r="L2325" s="44"/>
      <c r="M2325" s="44"/>
      <c r="N2325" s="44"/>
      <c r="O2325" s="88"/>
      <c r="P2325" s="88"/>
    </row>
    <row r="2326" ht="15.0" customHeight="1">
      <c r="A2326" s="12" t="str">
        <f t="shared" si="4"/>
        <v>FDL-AVANZA21AGC</v>
      </c>
      <c r="B2326" s="113" t="s">
        <v>2213</v>
      </c>
      <c r="C2326" s="13" t="s">
        <v>2396</v>
      </c>
      <c r="D2326" s="13" t="str">
        <f t="shared" si="28"/>
        <v>FDL</v>
      </c>
      <c r="E2326" s="13" t="s">
        <v>101</v>
      </c>
      <c r="F2326" s="44"/>
      <c r="G2326" s="14"/>
      <c r="H2326" s="11">
        <f>SUMIFS(X!$F$3:$F$5978,X!$D$3:$D$5978,'Current Stock'!A2326)</f>
        <v>1</v>
      </c>
      <c r="I2326" s="11">
        <f>SUMIFS(PENJUALAN!$E$4:$E$3651,PENJUALAN!$C$4:$C$3651,'Current Stock'!A2326)</f>
        <v>0</v>
      </c>
      <c r="J2326" s="15">
        <f t="shared" si="26"/>
        <v>1</v>
      </c>
      <c r="K2326" s="13"/>
      <c r="L2326" s="44"/>
      <c r="M2326" s="44"/>
      <c r="N2326" s="44"/>
      <c r="O2326" s="88"/>
      <c r="P2326" s="88"/>
    </row>
    <row r="2327" ht="15.0" customHeight="1">
      <c r="A2327" s="12" t="str">
        <f t="shared" si="4"/>
        <v>FDR-AVANZA21AGC</v>
      </c>
      <c r="B2327" s="113" t="s">
        <v>2299</v>
      </c>
      <c r="C2327" s="13" t="s">
        <v>2396</v>
      </c>
      <c r="D2327" s="13" t="str">
        <f t="shared" si="28"/>
        <v>FDR</v>
      </c>
      <c r="E2327" s="13" t="s">
        <v>101</v>
      </c>
      <c r="F2327" s="44"/>
      <c r="G2327" s="14"/>
      <c r="H2327" s="11">
        <f>SUMIFS(X!$F$3:$F$5978,X!$D$3:$D$5978,'Current Stock'!A2327)</f>
        <v>1</v>
      </c>
      <c r="I2327" s="11">
        <f>SUMIFS(PENJUALAN!$E$4:$E$3651,PENJUALAN!$C$4:$C$3651,'Current Stock'!A2327)</f>
        <v>0</v>
      </c>
      <c r="J2327" s="15">
        <f t="shared" si="26"/>
        <v>1</v>
      </c>
      <c r="K2327" s="13" t="s">
        <v>698</v>
      </c>
      <c r="L2327" s="44"/>
      <c r="M2327" s="44"/>
      <c r="N2327" s="44"/>
      <c r="O2327" s="88"/>
      <c r="P2327" s="88"/>
    </row>
    <row r="2328" ht="15.0" customHeight="1">
      <c r="A2328" s="12" t="str">
        <f t="shared" si="4"/>
        <v>RDL-AVANZA21AGC</v>
      </c>
      <c r="B2328" s="113" t="s">
        <v>2464</v>
      </c>
      <c r="C2328" s="13" t="s">
        <v>2396</v>
      </c>
      <c r="D2328" s="13" t="str">
        <f t="shared" si="28"/>
        <v>RDL</v>
      </c>
      <c r="E2328" s="13" t="s">
        <v>101</v>
      </c>
      <c r="F2328" s="44"/>
      <c r="G2328" s="14"/>
      <c r="H2328" s="11">
        <f>SUMIFS(X!$F$3:$F$5978,X!$D$3:$D$5978,'Current Stock'!A2328)</f>
        <v>4</v>
      </c>
      <c r="I2328" s="11">
        <f>SUMIFS(PENJUALAN!$E$4:$E$3651,PENJUALAN!$C$4:$C$3651,'Current Stock'!A2328)</f>
        <v>2</v>
      </c>
      <c r="J2328" s="15">
        <f t="shared" si="26"/>
        <v>2</v>
      </c>
      <c r="K2328" s="13"/>
      <c r="L2328" s="44"/>
      <c r="M2328" s="44"/>
      <c r="N2328" s="44"/>
      <c r="O2328" s="88"/>
      <c r="P2328" s="88"/>
    </row>
    <row r="2329" ht="15.0" customHeight="1">
      <c r="A2329" s="12" t="str">
        <f t="shared" si="4"/>
        <v>RDR-AVANZA21AGC</v>
      </c>
      <c r="B2329" s="113" t="s">
        <v>2300</v>
      </c>
      <c r="C2329" s="13" t="s">
        <v>2396</v>
      </c>
      <c r="D2329" s="44" t="str">
        <f t="shared" si="28"/>
        <v>RDR</v>
      </c>
      <c r="E2329" s="13" t="s">
        <v>101</v>
      </c>
      <c r="F2329" s="44"/>
      <c r="G2329" s="14"/>
      <c r="H2329" s="11">
        <f>SUMIFS(X!$F$3:$F$5978,X!$D$3:$D$5978,'Current Stock'!A2329)</f>
        <v>5</v>
      </c>
      <c r="I2329" s="11">
        <f>SUMIFS(PENJUALAN!$E$4:$E$3651,PENJUALAN!$C$4:$C$3651,'Current Stock'!A2329)</f>
        <v>3</v>
      </c>
      <c r="J2329" s="15">
        <f t="shared" si="26"/>
        <v>2</v>
      </c>
      <c r="K2329" s="13"/>
      <c r="L2329" s="44"/>
      <c r="M2329" s="44"/>
      <c r="N2329" s="44"/>
      <c r="O2329" s="88"/>
      <c r="P2329" s="88"/>
    </row>
    <row r="2330" ht="15.0" customHeight="1">
      <c r="A2330" s="12" t="str">
        <f t="shared" si="4"/>
        <v>TRW-AVANZA21AGC</v>
      </c>
      <c r="B2330" s="113" t="s">
        <v>2317</v>
      </c>
      <c r="C2330" s="13" t="s">
        <v>2396</v>
      </c>
      <c r="D2330" s="44" t="str">
        <f t="shared" si="28"/>
        <v>TRW</v>
      </c>
      <c r="E2330" s="13" t="s">
        <v>101</v>
      </c>
      <c r="F2330" s="44"/>
      <c r="G2330" s="14"/>
      <c r="H2330" s="11">
        <f>SUMIFS(X!$F$3:$F$5978,X!$D$3:$D$5978,'Current Stock'!A2330)</f>
        <v>2</v>
      </c>
      <c r="I2330" s="11">
        <f>SUMIFS(PENJUALAN!$E$4:$E$3651,PENJUALAN!$C$4:$C$3651,'Current Stock'!A2330)</f>
        <v>1</v>
      </c>
      <c r="J2330" s="15">
        <f t="shared" si="26"/>
        <v>1</v>
      </c>
      <c r="K2330" s="13" t="s">
        <v>698</v>
      </c>
      <c r="L2330" s="44"/>
      <c r="M2330" s="44"/>
      <c r="N2330" s="44"/>
      <c r="O2330" s="88"/>
      <c r="P2330" s="88"/>
    </row>
    <row r="2331" ht="15.0" customHeight="1">
      <c r="A2331" s="12" t="str">
        <f t="shared" si="4"/>
        <v>RDR-YARIS13AGC</v>
      </c>
      <c r="B2331" s="113" t="s">
        <v>2397</v>
      </c>
      <c r="C2331" s="13" t="s">
        <v>2398</v>
      </c>
      <c r="D2331" s="44" t="str">
        <f t="shared" si="28"/>
        <v>RDR</v>
      </c>
      <c r="E2331" s="13" t="s">
        <v>101</v>
      </c>
      <c r="F2331" s="44"/>
      <c r="G2331" s="14"/>
      <c r="H2331" s="11">
        <f>SUMIFS(X!$F$3:$F$5978,X!$D$3:$D$5978,'Current Stock'!A2331)</f>
        <v>1</v>
      </c>
      <c r="I2331" s="11">
        <f>SUMIFS(PENJUALAN!$E$4:$E$3651,PENJUALAN!$C$4:$C$3651,'Current Stock'!A2331)</f>
        <v>0</v>
      </c>
      <c r="J2331" s="15">
        <f t="shared" si="26"/>
        <v>1</v>
      </c>
      <c r="K2331" s="13"/>
      <c r="L2331" s="44"/>
      <c r="M2331" s="44"/>
      <c r="N2331" s="44"/>
      <c r="O2331" s="88"/>
      <c r="P2331" s="88"/>
    </row>
    <row r="2332" ht="15.0" customHeight="1">
      <c r="A2332" s="12" t="str">
        <f t="shared" si="4"/>
        <v>RDL-YARIS13AGC</v>
      </c>
      <c r="B2332" s="113" t="s">
        <v>2399</v>
      </c>
      <c r="C2332" s="13" t="s">
        <v>2398</v>
      </c>
      <c r="D2332" s="44" t="str">
        <f t="shared" si="28"/>
        <v>RDL</v>
      </c>
      <c r="E2332" s="13" t="s">
        <v>101</v>
      </c>
      <c r="F2332" s="44"/>
      <c r="G2332" s="14"/>
      <c r="H2332" s="11">
        <f>SUMIFS(X!$F$3:$F$5978,X!$D$3:$D$5978,'Current Stock'!A2332)</f>
        <v>1</v>
      </c>
      <c r="I2332" s="11">
        <f>SUMIFS(PENJUALAN!$E$4:$E$3651,PENJUALAN!$C$4:$C$3651,'Current Stock'!A2332)</f>
        <v>0</v>
      </c>
      <c r="J2332" s="15">
        <f t="shared" si="26"/>
        <v>1</v>
      </c>
      <c r="K2332" s="13"/>
      <c r="L2332" s="44"/>
      <c r="M2332" s="44"/>
      <c r="N2332" s="44"/>
      <c r="O2332" s="88"/>
      <c r="P2332" s="88"/>
    </row>
    <row r="2333" ht="15.0" customHeight="1">
      <c r="A2333" s="12" t="str">
        <f t="shared" si="4"/>
        <v>LFW-INNOVA22RSAGC</v>
      </c>
      <c r="B2333" s="13" t="s">
        <v>2480</v>
      </c>
      <c r="C2333" s="13" t="s">
        <v>2552</v>
      </c>
      <c r="D2333" s="13" t="s">
        <v>60</v>
      </c>
      <c r="E2333" s="13" t="s">
        <v>101</v>
      </c>
      <c r="F2333" s="13" t="s">
        <v>2585</v>
      </c>
      <c r="G2333" s="11"/>
      <c r="H2333" s="11">
        <f>SUMIFS(X!$F$3:$F$5978,X!$D$3:$D$5978,'Current Stock'!A2333)</f>
        <v>2</v>
      </c>
      <c r="I2333" s="11">
        <f>SUMIFS(PENJUALAN!$E$4:$E$3651,PENJUALAN!$C$4:$C$3651,'Current Stock'!A2333)</f>
        <v>1</v>
      </c>
      <c r="J2333" s="15">
        <f t="shared" si="26"/>
        <v>1</v>
      </c>
      <c r="K2333" s="13" t="s">
        <v>2364</v>
      </c>
      <c r="L2333" s="44"/>
      <c r="M2333" s="44"/>
      <c r="N2333" s="44"/>
      <c r="O2333" s="88"/>
      <c r="P2333" s="88"/>
    </row>
    <row r="2334" ht="15.0" customHeight="1">
      <c r="A2334" s="12" t="str">
        <f t="shared" si="4"/>
        <v>LFW-INNOVA22KTAGC</v>
      </c>
      <c r="B2334" s="13" t="s">
        <v>2586</v>
      </c>
      <c r="C2334" s="13" t="s">
        <v>2587</v>
      </c>
      <c r="D2334" s="13" t="s">
        <v>60</v>
      </c>
      <c r="E2334" s="13" t="s">
        <v>101</v>
      </c>
      <c r="F2334" s="13" t="s">
        <v>1358</v>
      </c>
      <c r="G2334" s="11"/>
      <c r="H2334" s="11">
        <f>SUMIFS(X!$F$3:$F$5978,X!$D$3:$D$5978,'Current Stock'!A2334)</f>
        <v>2</v>
      </c>
      <c r="I2334" s="11">
        <f>SUMIFS(PENJUALAN!$E$4:$E$3651,PENJUALAN!$C$4:$C$3651,'Current Stock'!A2334)</f>
        <v>2</v>
      </c>
      <c r="J2334" s="15">
        <f t="shared" si="26"/>
        <v>0</v>
      </c>
      <c r="K2334" s="13" t="s">
        <v>430</v>
      </c>
      <c r="L2334" s="44"/>
      <c r="M2334" s="44"/>
      <c r="N2334" s="44"/>
      <c r="O2334" s="88"/>
      <c r="P2334" s="88"/>
    </row>
    <row r="2335" ht="15.0" customHeight="1">
      <c r="A2335" s="12" t="str">
        <f t="shared" si="4"/>
        <v>LFW-INNOVA22GRAGC</v>
      </c>
      <c r="B2335" s="13" t="s">
        <v>2588</v>
      </c>
      <c r="C2335" s="13" t="s">
        <v>2589</v>
      </c>
      <c r="D2335" s="13" t="s">
        <v>60</v>
      </c>
      <c r="E2335" s="13" t="s">
        <v>101</v>
      </c>
      <c r="F2335" s="13" t="s">
        <v>1358</v>
      </c>
      <c r="G2335" s="11"/>
      <c r="H2335" s="11">
        <f>SUMIFS(X!$F$3:$F$5978,X!$D$3:$D$5978,'Current Stock'!A2335)</f>
        <v>0</v>
      </c>
      <c r="I2335" s="11">
        <f>SUMIFS(PENJUALAN!$E$4:$E$3651,PENJUALAN!$C$4:$C$3651,'Current Stock'!A2335)</f>
        <v>0</v>
      </c>
      <c r="J2335" s="15">
        <f t="shared" si="26"/>
        <v>0</v>
      </c>
      <c r="K2335" s="13"/>
      <c r="L2335" s="44"/>
      <c r="M2335" s="44"/>
      <c r="N2335" s="44"/>
      <c r="O2335" s="88"/>
      <c r="P2335" s="88"/>
    </row>
    <row r="2336" ht="15.0" customHeight="1">
      <c r="A2336" s="12" t="str">
        <f t="shared" si="4"/>
        <v>TRW-INNOVA22HAGC</v>
      </c>
      <c r="B2336" s="13" t="s">
        <v>2590</v>
      </c>
      <c r="C2336" s="13" t="s">
        <v>2552</v>
      </c>
      <c r="D2336" s="13" t="str">
        <f t="shared" ref="D2336:D2350" si="29">LEFT(A2336,FIND("-",A2336) - 1)</f>
        <v>TRW</v>
      </c>
      <c r="E2336" s="13" t="s">
        <v>101</v>
      </c>
      <c r="F2336" s="13" t="s">
        <v>119</v>
      </c>
      <c r="G2336" s="11"/>
      <c r="H2336" s="11">
        <f>SUMIFS(X!$F$3:$F$5978,X!$D$3:$D$5978,'Current Stock'!A2336)</f>
        <v>2</v>
      </c>
      <c r="I2336" s="11">
        <f>SUMIFS(PENJUALAN!$E$4:$E$3651,PENJUALAN!$C$4:$C$3651,'Current Stock'!A2336)</f>
        <v>1</v>
      </c>
      <c r="J2336" s="15">
        <f t="shared" si="26"/>
        <v>1</v>
      </c>
      <c r="K2336" s="13" t="s">
        <v>698</v>
      </c>
      <c r="L2336" s="44"/>
      <c r="M2336" s="44"/>
      <c r="N2336" s="44"/>
      <c r="O2336" s="88"/>
      <c r="P2336" s="88"/>
    </row>
    <row r="2337" ht="15.0" customHeight="1">
      <c r="A2337" s="12" t="str">
        <f t="shared" si="4"/>
        <v>TRW-INNOVA22AGC</v>
      </c>
      <c r="B2337" s="13" t="s">
        <v>2591</v>
      </c>
      <c r="C2337" s="13" t="s">
        <v>2552</v>
      </c>
      <c r="D2337" s="13" t="str">
        <f t="shared" si="29"/>
        <v>TRW</v>
      </c>
      <c r="E2337" s="13" t="s">
        <v>101</v>
      </c>
      <c r="F2337" s="13" t="s">
        <v>100</v>
      </c>
      <c r="G2337" s="14"/>
      <c r="H2337" s="11">
        <f>SUMIFS(X!$F$3:$F$5978,X!$D$3:$D$5978,'Current Stock'!A2337)</f>
        <v>1</v>
      </c>
      <c r="I2337" s="11">
        <f>SUMIFS(PENJUALAN!$E$4:$E$3651,PENJUALAN!$C$4:$C$3651,'Current Stock'!A2337)</f>
        <v>0</v>
      </c>
      <c r="J2337" s="15">
        <f t="shared" si="26"/>
        <v>1</v>
      </c>
      <c r="K2337" s="13"/>
      <c r="L2337" s="44"/>
      <c r="M2337" s="44"/>
      <c r="N2337" s="44"/>
      <c r="O2337" s="88"/>
      <c r="P2337" s="88"/>
    </row>
    <row r="2338" ht="15.0" customHeight="1">
      <c r="A2338" s="12" t="str">
        <f t="shared" si="4"/>
        <v>LFW-CRV07AGC</v>
      </c>
      <c r="B2338" s="13" t="s">
        <v>439</v>
      </c>
      <c r="C2338" s="13" t="s">
        <v>2592</v>
      </c>
      <c r="D2338" s="13" t="str">
        <f t="shared" si="29"/>
        <v>LFW</v>
      </c>
      <c r="E2338" s="13" t="s">
        <v>101</v>
      </c>
      <c r="F2338" s="13" t="s">
        <v>1358</v>
      </c>
      <c r="G2338" s="14"/>
      <c r="H2338" s="11">
        <f>SUMIFS(X!$F$3:$F$5978,X!$D$3:$D$5978,'Current Stock'!A2338)</f>
        <v>2</v>
      </c>
      <c r="I2338" s="11">
        <f>SUMIFS(PENJUALAN!$E$4:$E$3651,PENJUALAN!$C$4:$C$3651,'Current Stock'!A2338)</f>
        <v>2</v>
      </c>
      <c r="J2338" s="15">
        <f t="shared" si="26"/>
        <v>0</v>
      </c>
      <c r="K2338" s="13"/>
      <c r="L2338" s="44"/>
      <c r="M2338" s="44"/>
      <c r="N2338" s="44"/>
      <c r="O2338" s="88"/>
      <c r="P2338" s="88"/>
    </row>
    <row r="2339" ht="15.0" customHeight="1">
      <c r="A2339" s="12" t="str">
        <f t="shared" si="4"/>
        <v>LFW-MGZSXYG</v>
      </c>
      <c r="B2339" s="13" t="s">
        <v>2593</v>
      </c>
      <c r="C2339" s="13" t="s">
        <v>2594</v>
      </c>
      <c r="D2339" s="13" t="str">
        <f t="shared" si="29"/>
        <v>LFW</v>
      </c>
      <c r="E2339" s="13" t="s">
        <v>16</v>
      </c>
      <c r="F2339" s="13" t="s">
        <v>137</v>
      </c>
      <c r="G2339" s="14">
        <v>45988.0</v>
      </c>
      <c r="H2339" s="11">
        <f>SUMIFS(X!$F$3:$F$5978,X!$D$3:$D$5978,'Current Stock'!A2339)</f>
        <v>1</v>
      </c>
      <c r="I2339" s="11">
        <f>SUMIFS(PENJUALAN!$E$4:$E$3651,PENJUALAN!$C$4:$C$3651,'Current Stock'!A2339)</f>
        <v>1</v>
      </c>
      <c r="J2339" s="15">
        <f t="shared" si="26"/>
        <v>0</v>
      </c>
      <c r="K2339" s="13"/>
      <c r="L2339" s="44"/>
      <c r="M2339" s="44"/>
      <c r="N2339" s="44"/>
      <c r="O2339" s="88"/>
      <c r="P2339" s="88"/>
    </row>
    <row r="2340" ht="15.0" customHeight="1">
      <c r="A2340" s="12" t="str">
        <f t="shared" si="4"/>
        <v>LFW-SCROSS16RSXYG</v>
      </c>
      <c r="B2340" s="13" t="s">
        <v>2595</v>
      </c>
      <c r="C2340" s="13" t="s">
        <v>2596</v>
      </c>
      <c r="D2340" s="13" t="str">
        <f t="shared" si="29"/>
        <v>LFW</v>
      </c>
      <c r="E2340" s="13" t="s">
        <v>16</v>
      </c>
      <c r="F2340" s="13" t="s">
        <v>90</v>
      </c>
      <c r="G2340" s="11"/>
      <c r="H2340" s="11">
        <f>SUMIFS(X!$F$3:$F$5978,X!$D$3:$D$5978,'Current Stock'!A2340)</f>
        <v>2</v>
      </c>
      <c r="I2340" s="11">
        <f>SUMIFS(PENJUALAN!$E$4:$E$3651,PENJUALAN!$C$4:$C$3651,'Current Stock'!A2340)</f>
        <v>2</v>
      </c>
      <c r="J2340" s="15">
        <f t="shared" si="26"/>
        <v>0</v>
      </c>
      <c r="K2340" s="44"/>
      <c r="L2340" s="44"/>
      <c r="M2340" s="44"/>
      <c r="N2340" s="44"/>
      <c r="O2340" s="88"/>
      <c r="P2340" s="88"/>
    </row>
    <row r="2341" ht="15.0" customHeight="1">
      <c r="A2341" s="12" t="str">
        <f t="shared" si="4"/>
        <v>FDR-TRAILBLAZERASH</v>
      </c>
      <c r="B2341" s="13" t="s">
        <v>2597</v>
      </c>
      <c r="C2341" s="13" t="s">
        <v>270</v>
      </c>
      <c r="D2341" s="13" t="str">
        <f t="shared" si="29"/>
        <v>FDR</v>
      </c>
      <c r="E2341" s="13" t="s">
        <v>93</v>
      </c>
      <c r="F2341" s="44"/>
      <c r="G2341" s="11"/>
      <c r="H2341" s="11">
        <f>SUMIFS(X!$F$3:$F$5978,X!$D$3:$D$5978,'Current Stock'!A2341)</f>
        <v>1</v>
      </c>
      <c r="I2341" s="11">
        <f>SUMIFS(PENJUALAN!$E$4:$E$3651,PENJUALAN!$C$4:$C$3651,'Current Stock'!A2341)</f>
        <v>1</v>
      </c>
      <c r="J2341" s="15">
        <f t="shared" si="26"/>
        <v>0</v>
      </c>
      <c r="K2341" s="44"/>
      <c r="L2341" s="44"/>
      <c r="M2341" s="44"/>
      <c r="N2341" s="44"/>
      <c r="O2341" s="88"/>
      <c r="P2341" s="88"/>
    </row>
    <row r="2342" ht="15.0" customHeight="1">
      <c r="A2342" s="12" t="str">
        <f t="shared" si="4"/>
        <v>FDL-TRAILBLAZERASH</v>
      </c>
      <c r="B2342" s="13" t="s">
        <v>2598</v>
      </c>
      <c r="C2342" s="13" t="s">
        <v>270</v>
      </c>
      <c r="D2342" s="13" t="str">
        <f t="shared" si="29"/>
        <v>FDL</v>
      </c>
      <c r="E2342" s="13" t="s">
        <v>93</v>
      </c>
      <c r="F2342" s="44"/>
      <c r="G2342" s="11"/>
      <c r="H2342" s="11">
        <f>SUMIFS(X!$F$3:$F$5978,X!$D$3:$D$5978,'Current Stock'!A2342)</f>
        <v>0</v>
      </c>
      <c r="I2342" s="11">
        <f>SUMIFS(PENJUALAN!$E$4:$E$3651,PENJUALAN!$C$4:$C$3651,'Current Stock'!A2342)</f>
        <v>0</v>
      </c>
      <c r="J2342" s="15">
        <f t="shared" si="26"/>
        <v>0</v>
      </c>
      <c r="K2342" s="44"/>
      <c r="L2342" s="44"/>
      <c r="M2342" s="44"/>
      <c r="N2342" s="44"/>
      <c r="O2342" s="88"/>
      <c r="P2342" s="88"/>
    </row>
    <row r="2343" ht="15.0" customHeight="1">
      <c r="A2343" s="12" t="str">
        <f t="shared" si="4"/>
        <v>SWR-TRAILBLAZERXYG</v>
      </c>
      <c r="B2343" s="13" t="s">
        <v>2599</v>
      </c>
      <c r="C2343" s="13" t="s">
        <v>270</v>
      </c>
      <c r="D2343" s="13" t="str">
        <f t="shared" si="29"/>
        <v>SWR</v>
      </c>
      <c r="E2343" s="13" t="s">
        <v>16</v>
      </c>
      <c r="F2343" s="13" t="s">
        <v>1558</v>
      </c>
      <c r="G2343" s="11"/>
      <c r="H2343" s="11">
        <f>SUMIFS(X!$F$3:$F$5978,X!$D$3:$D$5978,'Current Stock'!A2343)</f>
        <v>1</v>
      </c>
      <c r="I2343" s="11">
        <f>SUMIFS(PENJUALAN!$E$4:$E$3651,PENJUALAN!$C$4:$C$3651,'Current Stock'!A2343)</f>
        <v>1</v>
      </c>
      <c r="J2343" s="15">
        <f t="shared" si="26"/>
        <v>0</v>
      </c>
      <c r="K2343" s="44"/>
      <c r="L2343" s="44"/>
      <c r="M2343" s="44"/>
      <c r="N2343" s="44"/>
      <c r="O2343" s="88"/>
      <c r="P2343" s="88"/>
    </row>
    <row r="2344" ht="15.0" customHeight="1">
      <c r="A2344" s="12" t="str">
        <f t="shared" si="4"/>
        <v>SWL-TRAILBLAZERXYG</v>
      </c>
      <c r="B2344" s="13" t="s">
        <v>2600</v>
      </c>
      <c r="C2344" s="13" t="s">
        <v>270</v>
      </c>
      <c r="D2344" s="13" t="str">
        <f t="shared" si="29"/>
        <v>SWL</v>
      </c>
      <c r="E2344" s="13" t="s">
        <v>16</v>
      </c>
      <c r="F2344" s="13" t="s">
        <v>1558</v>
      </c>
      <c r="G2344" s="11"/>
      <c r="H2344" s="11">
        <f>SUMIFS(X!$F$3:$F$5978,X!$D$3:$D$5978,'Current Stock'!A2344)</f>
        <v>0</v>
      </c>
      <c r="I2344" s="11">
        <f>SUMIFS(PENJUALAN!$E$4:$E$3651,PENJUALAN!$C$4:$C$3651,'Current Stock'!A2344)</f>
        <v>0</v>
      </c>
      <c r="J2344" s="15">
        <f t="shared" si="26"/>
        <v>0</v>
      </c>
      <c r="K2344" s="44"/>
      <c r="L2344" s="44"/>
      <c r="M2344" s="44"/>
      <c r="N2344" s="44"/>
      <c r="O2344" s="88"/>
      <c r="P2344" s="88"/>
    </row>
    <row r="2345" ht="15.0" customHeight="1">
      <c r="A2345" s="12" t="str">
        <f t="shared" si="4"/>
        <v>LFW-INNOVA04ASH</v>
      </c>
      <c r="B2345" s="13" t="s">
        <v>1164</v>
      </c>
      <c r="C2345" s="13" t="s">
        <v>1165</v>
      </c>
      <c r="D2345" s="13" t="str">
        <f t="shared" si="29"/>
        <v>LFW</v>
      </c>
      <c r="E2345" s="13" t="s">
        <v>93</v>
      </c>
      <c r="F2345" s="13" t="s">
        <v>137</v>
      </c>
      <c r="G2345" s="11"/>
      <c r="H2345" s="11">
        <f>SUMIFS(X!$F$3:$F$5978,X!$D$3:$D$5978,'Current Stock'!A2345)</f>
        <v>1</v>
      </c>
      <c r="I2345" s="11">
        <f>SUMIFS(PENJUALAN!$E$4:$E$3651,PENJUALAN!$C$4:$C$3651,'Current Stock'!A2345)</f>
        <v>1</v>
      </c>
      <c r="J2345" s="15">
        <f t="shared" si="26"/>
        <v>0</v>
      </c>
      <c r="K2345" s="44"/>
      <c r="L2345" s="44"/>
      <c r="M2345" s="44"/>
      <c r="N2345" s="44"/>
      <c r="O2345" s="88"/>
      <c r="P2345" s="88"/>
    </row>
    <row r="2346" ht="15.0" customHeight="1">
      <c r="A2346" s="12" t="str">
        <f t="shared" si="4"/>
        <v>FDL-CONFEROASH</v>
      </c>
      <c r="B2346" s="83" t="s">
        <v>2601</v>
      </c>
      <c r="C2346" s="13" t="s">
        <v>1867</v>
      </c>
      <c r="D2346" s="13" t="str">
        <f t="shared" si="29"/>
        <v>FDL</v>
      </c>
      <c r="E2346" s="13" t="s">
        <v>93</v>
      </c>
      <c r="F2346" s="44"/>
      <c r="G2346" s="11"/>
      <c r="H2346" s="11">
        <f>SUMIFS(X!$F$3:$F$5978,X!$D$3:$D$5978,'Current Stock'!A2346)</f>
        <v>1</v>
      </c>
      <c r="I2346" s="11">
        <f>SUMIFS(PENJUALAN!$E$4:$E$3651,PENJUALAN!$C$4:$C$3651,'Current Stock'!A2346)</f>
        <v>1</v>
      </c>
      <c r="J2346" s="15">
        <f t="shared" si="26"/>
        <v>0</v>
      </c>
      <c r="K2346" s="44"/>
      <c r="L2346" s="44"/>
      <c r="M2346" s="44"/>
      <c r="N2346" s="44"/>
      <c r="O2346" s="88"/>
      <c r="P2346" s="88"/>
    </row>
    <row r="2347" ht="15.0" customHeight="1">
      <c r="A2347" s="12" t="str">
        <f t="shared" si="4"/>
        <v>SWL-JAZZ01ASH</v>
      </c>
      <c r="B2347" s="83" t="s">
        <v>2602</v>
      </c>
      <c r="C2347" s="13" t="s">
        <v>475</v>
      </c>
      <c r="D2347" s="13" t="str">
        <f t="shared" si="29"/>
        <v>SWL</v>
      </c>
      <c r="E2347" s="13" t="s">
        <v>93</v>
      </c>
      <c r="F2347" s="13" t="s">
        <v>109</v>
      </c>
      <c r="G2347" s="11"/>
      <c r="H2347" s="11">
        <f>SUMIFS(X!$F$3:$F$5978,X!$D$3:$D$5978,'Current Stock'!A2347)</f>
        <v>1</v>
      </c>
      <c r="I2347" s="11">
        <f>SUMIFS(PENJUALAN!$E$4:$E$3651,PENJUALAN!$C$4:$C$3651,'Current Stock'!A2347)</f>
        <v>1</v>
      </c>
      <c r="J2347" s="15">
        <f t="shared" si="26"/>
        <v>0</v>
      </c>
      <c r="K2347" s="13" t="s">
        <v>1342</v>
      </c>
      <c r="L2347" s="44"/>
      <c r="M2347" s="44"/>
      <c r="N2347" s="44"/>
      <c r="O2347" s="88"/>
      <c r="P2347" s="88"/>
    </row>
    <row r="2348" ht="15.0" customHeight="1">
      <c r="A2348" s="12" t="str">
        <f t="shared" si="4"/>
        <v>LFW-LIVINA07ASH</v>
      </c>
      <c r="B2348" s="83" t="s">
        <v>936</v>
      </c>
      <c r="C2348" s="13" t="s">
        <v>2603</v>
      </c>
      <c r="D2348" s="44" t="str">
        <f t="shared" si="29"/>
        <v>LFW</v>
      </c>
      <c r="E2348" s="13" t="s">
        <v>93</v>
      </c>
      <c r="F2348" s="13" t="s">
        <v>109</v>
      </c>
      <c r="G2348" s="11"/>
      <c r="H2348" s="11">
        <f>SUMIFS(X!$F$3:$F$5978,X!$D$3:$D$5978,'Current Stock'!A2348)</f>
        <v>1</v>
      </c>
      <c r="I2348" s="11">
        <f>SUMIFS(PENJUALAN!$E$4:$E$3651,PENJUALAN!$C$4:$C$3651,'Current Stock'!A2348)</f>
        <v>1</v>
      </c>
      <c r="J2348" s="15">
        <f t="shared" si="26"/>
        <v>0</v>
      </c>
      <c r="K2348" s="44"/>
      <c r="L2348" s="44"/>
      <c r="M2348" s="44"/>
      <c r="N2348" s="44"/>
      <c r="O2348" s="88"/>
      <c r="P2348" s="88"/>
    </row>
    <row r="2349" ht="15.0" customHeight="1">
      <c r="A2349" s="12" t="str">
        <f t="shared" si="4"/>
        <v>TRW-CAMRY06XYG</v>
      </c>
      <c r="B2349" s="83" t="s">
        <v>1115</v>
      </c>
      <c r="C2349" s="13" t="s">
        <v>1113</v>
      </c>
      <c r="D2349" s="44" t="str">
        <f t="shared" si="29"/>
        <v>TRW</v>
      </c>
      <c r="E2349" s="13" t="s">
        <v>16</v>
      </c>
      <c r="F2349" s="13" t="s">
        <v>126</v>
      </c>
      <c r="G2349" s="11"/>
      <c r="H2349" s="11">
        <f>SUMIFS(X!$F$3:$F$5978,X!$D$3:$D$5978,'Current Stock'!A2349)</f>
        <v>2</v>
      </c>
      <c r="I2349" s="11">
        <f>SUMIFS(PENJUALAN!$E$4:$E$3651,PENJUALAN!$C$4:$C$3651,'Current Stock'!A2349)</f>
        <v>2</v>
      </c>
      <c r="J2349" s="15">
        <f t="shared" si="26"/>
        <v>0</v>
      </c>
      <c r="K2349" s="44"/>
      <c r="L2349" s="44"/>
      <c r="M2349" s="44"/>
      <c r="N2349" s="44"/>
      <c r="O2349" s="88"/>
      <c r="P2349" s="88"/>
    </row>
    <row r="2350" ht="15.0" customHeight="1">
      <c r="A2350" s="12" t="str">
        <f t="shared" si="4"/>
        <v>LFW-CX5GEN1XYG</v>
      </c>
      <c r="B2350" s="83" t="s">
        <v>743</v>
      </c>
      <c r="C2350" s="13" t="s">
        <v>2604</v>
      </c>
      <c r="D2350" s="44" t="str">
        <f t="shared" si="29"/>
        <v>LFW</v>
      </c>
      <c r="E2350" s="13" t="s">
        <v>16</v>
      </c>
      <c r="F2350" s="13" t="s">
        <v>137</v>
      </c>
      <c r="G2350" s="14">
        <v>45988.0</v>
      </c>
      <c r="H2350" s="11">
        <f>SUMIFS(X!$F$3:$F$5978,X!$D$3:$D$5978,'Current Stock'!A2350)</f>
        <v>1</v>
      </c>
      <c r="I2350" s="11">
        <f>SUMIFS(PENJUALAN!$E$4:$E$3651,PENJUALAN!$C$4:$C$3651,'Current Stock'!A2350)</f>
        <v>0</v>
      </c>
      <c r="J2350" s="15">
        <f t="shared" si="26"/>
        <v>1</v>
      </c>
      <c r="K2350" s="13"/>
      <c r="L2350" s="44"/>
      <c r="M2350" s="44"/>
      <c r="N2350" s="44"/>
      <c r="O2350" s="88"/>
      <c r="P2350" s="88"/>
    </row>
    <row r="2351" ht="15.0" customHeight="1">
      <c r="A2351" s="12" t="str">
        <f t="shared" si="4"/>
        <v>TRW-CX5GEN1XYG</v>
      </c>
      <c r="B2351" s="83" t="s">
        <v>750</v>
      </c>
      <c r="C2351" s="13" t="s">
        <v>2604</v>
      </c>
      <c r="D2351" s="13" t="s">
        <v>62</v>
      </c>
      <c r="E2351" s="13" t="s">
        <v>16</v>
      </c>
      <c r="F2351" s="13" t="s">
        <v>1437</v>
      </c>
      <c r="G2351" s="14"/>
      <c r="H2351" s="11">
        <f>SUMIFS(X!$F$3:$F$5978,X!$D$3:$D$5978,'Current Stock'!A2351)</f>
        <v>1</v>
      </c>
      <c r="I2351" s="11">
        <f>SUMIFS(PENJUALAN!$E$4:$E$3651,PENJUALAN!$C$4:$C$3651,'Current Stock'!A2351)</f>
        <v>1</v>
      </c>
      <c r="J2351" s="15">
        <f t="shared" si="26"/>
        <v>0</v>
      </c>
      <c r="K2351" s="13"/>
      <c r="L2351" s="44"/>
      <c r="M2351" s="44"/>
      <c r="N2351" s="44"/>
      <c r="O2351" s="88"/>
      <c r="P2351" s="88"/>
    </row>
    <row r="2352" ht="15.0" customHeight="1">
      <c r="A2352" s="12" t="str">
        <f t="shared" si="4"/>
        <v>RDR-CX5GEN1XYG</v>
      </c>
      <c r="B2352" s="83" t="s">
        <v>756</v>
      </c>
      <c r="C2352" s="13" t="s">
        <v>751</v>
      </c>
      <c r="D2352" s="13" t="s">
        <v>86</v>
      </c>
      <c r="E2352" s="13" t="s">
        <v>16</v>
      </c>
      <c r="F2352" s="13"/>
      <c r="G2352" s="14"/>
      <c r="H2352" s="11">
        <f>SUMIFS(X!$F$3:$F$5978,X!$D$3:$D$5978,'Current Stock'!A2352)</f>
        <v>1</v>
      </c>
      <c r="I2352" s="11">
        <f>SUMIFS(PENJUALAN!$E$4:$E$3651,PENJUALAN!$C$4:$C$3651,'Current Stock'!A2352)</f>
        <v>1</v>
      </c>
      <c r="J2352" s="15">
        <f t="shared" si="26"/>
        <v>0</v>
      </c>
      <c r="K2352" s="13"/>
      <c r="L2352" s="44"/>
      <c r="M2352" s="44"/>
      <c r="N2352" s="44"/>
      <c r="O2352" s="88"/>
      <c r="P2352" s="88"/>
    </row>
    <row r="2353" ht="15.0" customHeight="1">
      <c r="A2353" s="12" t="str">
        <f t="shared" si="4"/>
        <v>RDL-CX5GEN1XYG</v>
      </c>
      <c r="B2353" s="83" t="s">
        <v>1511</v>
      </c>
      <c r="C2353" s="13" t="s">
        <v>751</v>
      </c>
      <c r="D2353" s="13" t="s">
        <v>92</v>
      </c>
      <c r="E2353" s="13" t="s">
        <v>16</v>
      </c>
      <c r="F2353" s="13"/>
      <c r="G2353" s="14"/>
      <c r="H2353" s="11">
        <f>SUMIFS(X!$F$3:$F$5978,X!$D$3:$D$5978,'Current Stock'!A2353)</f>
        <v>0</v>
      </c>
      <c r="I2353" s="11">
        <f>SUMIFS(PENJUALAN!$E$4:$E$3651,PENJUALAN!$C$4:$C$3651,'Current Stock'!A2353)</f>
        <v>0</v>
      </c>
      <c r="J2353" s="15">
        <f t="shared" si="26"/>
        <v>0</v>
      </c>
      <c r="K2353" s="13"/>
      <c r="L2353" s="44"/>
      <c r="M2353" s="44"/>
      <c r="N2353" s="44"/>
      <c r="O2353" s="88"/>
      <c r="P2353" s="88"/>
    </row>
    <row r="2354" ht="15.0" customHeight="1">
      <c r="A2354" s="12" t="str">
        <f t="shared" si="4"/>
        <v>LFW-EVALIAASH</v>
      </c>
      <c r="B2354" s="83" t="s">
        <v>921</v>
      </c>
      <c r="C2354" s="13" t="s">
        <v>922</v>
      </c>
      <c r="D2354" s="44" t="str">
        <f t="shared" ref="D2354:D2355" si="30">LEFT(A2354,FIND("-",A2354) - 1)</f>
        <v>LFW</v>
      </c>
      <c r="E2354" s="13" t="s">
        <v>93</v>
      </c>
      <c r="F2354" s="13" t="s">
        <v>109</v>
      </c>
      <c r="G2354" s="11"/>
      <c r="H2354" s="11">
        <f>SUMIFS(X!$F$3:$F$5978,X!$D$3:$D$5978,'Current Stock'!A2354)</f>
        <v>1</v>
      </c>
      <c r="I2354" s="11">
        <f>SUMIFS(PENJUALAN!$E$4:$E$3651,PENJUALAN!$C$4:$C$3651,'Current Stock'!A2354)</f>
        <v>1</v>
      </c>
      <c r="J2354" s="15">
        <f t="shared" si="26"/>
        <v>0</v>
      </c>
      <c r="K2354" s="44"/>
      <c r="L2354" s="44"/>
      <c r="M2354" s="44"/>
      <c r="N2354" s="44"/>
      <c r="O2354" s="88"/>
      <c r="P2354" s="88"/>
    </row>
    <row r="2355" ht="15.0" customHeight="1">
      <c r="A2355" s="12" t="str">
        <f t="shared" si="4"/>
        <v>TRW-SELTOSXYG</v>
      </c>
      <c r="B2355" s="83" t="s">
        <v>2605</v>
      </c>
      <c r="C2355" s="13" t="s">
        <v>1383</v>
      </c>
      <c r="D2355" s="44" t="str">
        <f t="shared" si="30"/>
        <v>TRW</v>
      </c>
      <c r="E2355" s="13" t="s">
        <v>16</v>
      </c>
      <c r="F2355" s="13" t="s">
        <v>1437</v>
      </c>
      <c r="G2355" s="11"/>
      <c r="H2355" s="11">
        <f>SUMIFS(X!$F$3:$F$5978,X!$D$3:$D$5978,'Current Stock'!A2355)</f>
        <v>1</v>
      </c>
      <c r="I2355" s="11">
        <f>SUMIFS(PENJUALAN!$E$4:$E$3651,PENJUALAN!$C$4:$C$3651,'Current Stock'!A2355)</f>
        <v>1</v>
      </c>
      <c r="J2355" s="15">
        <f t="shared" si="26"/>
        <v>0</v>
      </c>
      <c r="K2355" s="44"/>
      <c r="L2355" s="44"/>
      <c r="M2355" s="44"/>
      <c r="N2355" s="44"/>
      <c r="O2355" s="88"/>
      <c r="P2355" s="88"/>
    </row>
    <row r="2356" ht="15.0" customHeight="1">
      <c r="A2356" s="12" t="str">
        <f t="shared" si="4"/>
        <v>LFW-FJ100FR</v>
      </c>
      <c r="B2356" s="13" t="s">
        <v>1184</v>
      </c>
      <c r="C2356" s="13" t="s">
        <v>2606</v>
      </c>
      <c r="D2356" s="13" t="s">
        <v>60</v>
      </c>
      <c r="E2356" s="13" t="s">
        <v>1429</v>
      </c>
      <c r="F2356" s="13" t="s">
        <v>137</v>
      </c>
      <c r="G2356" s="11"/>
      <c r="H2356" s="11">
        <f>SUMIFS(X!$F$3:$F$5978,X!$D$3:$D$5978,'Current Stock'!A2356)</f>
        <v>1</v>
      </c>
      <c r="I2356" s="11">
        <f>SUMIFS(PENJUALAN!$E$4:$E$3651,PENJUALAN!$C$4:$C$3651,'Current Stock'!A2356)</f>
        <v>1</v>
      </c>
      <c r="J2356" s="15">
        <f t="shared" si="26"/>
        <v>0</v>
      </c>
      <c r="K2356" s="44"/>
      <c r="L2356" s="44"/>
      <c r="M2356" s="44"/>
      <c r="N2356" s="44"/>
      <c r="O2356" s="88"/>
      <c r="P2356" s="88"/>
    </row>
    <row r="2357" ht="15.0" customHeight="1">
      <c r="A2357" s="12" t="str">
        <f t="shared" si="4"/>
        <v>TRW-CITY02FR</v>
      </c>
      <c r="B2357" s="13" t="s">
        <v>372</v>
      </c>
      <c r="C2357" s="13" t="s">
        <v>373</v>
      </c>
      <c r="D2357" s="13" t="s">
        <v>62</v>
      </c>
      <c r="E2357" s="13" t="s">
        <v>1429</v>
      </c>
      <c r="F2357" s="13" t="s">
        <v>83</v>
      </c>
      <c r="G2357" s="11"/>
      <c r="H2357" s="11">
        <f>SUMIFS(X!$F$3:$F$5978,X!$D$3:$D$5978,'Current Stock'!A2357)</f>
        <v>2</v>
      </c>
      <c r="I2357" s="11">
        <f>SUMIFS(PENJUALAN!$E$4:$E$3651,PENJUALAN!$C$4:$C$3651,'Current Stock'!A2357)</f>
        <v>2</v>
      </c>
      <c r="J2357" s="15">
        <f t="shared" si="26"/>
        <v>0</v>
      </c>
      <c r="K2357" s="44"/>
      <c r="L2357" s="44"/>
      <c r="M2357" s="44"/>
      <c r="N2357" s="44"/>
      <c r="O2357" s="88"/>
      <c r="P2357" s="88"/>
    </row>
    <row r="2358" ht="15.0" customHeight="1">
      <c r="A2358" s="12" t="str">
        <f t="shared" si="4"/>
        <v>LFW-CIVIC22RSXYG</v>
      </c>
      <c r="B2358" s="13" t="s">
        <v>2607</v>
      </c>
      <c r="C2358" s="13" t="s">
        <v>2608</v>
      </c>
      <c r="D2358" s="13" t="s">
        <v>60</v>
      </c>
      <c r="E2358" s="13" t="s">
        <v>16</v>
      </c>
      <c r="F2358" s="13" t="s">
        <v>124</v>
      </c>
      <c r="G2358" s="11"/>
      <c r="H2358" s="11">
        <f>SUMIFS(X!$F$3:$F$5978,X!$D$3:$D$5978,'Current Stock'!A2358)</f>
        <v>1</v>
      </c>
      <c r="I2358" s="11">
        <f>SUMIFS(PENJUALAN!$E$4:$E$3651,PENJUALAN!$C$4:$C$3651,'Current Stock'!A2358)</f>
        <v>1</v>
      </c>
      <c r="J2358" s="15">
        <f t="shared" si="26"/>
        <v>0</v>
      </c>
      <c r="K2358" s="13" t="s">
        <v>472</v>
      </c>
      <c r="L2358" s="44"/>
      <c r="M2358" s="44"/>
      <c r="N2358" s="44"/>
      <c r="O2358" s="88"/>
      <c r="P2358" s="88"/>
    </row>
    <row r="2359" ht="15.0" customHeight="1">
      <c r="A2359" s="12" t="str">
        <f t="shared" si="4"/>
        <v>RDL-CIVIC22AGC</v>
      </c>
      <c r="B2359" s="13" t="s">
        <v>2609</v>
      </c>
      <c r="C2359" s="13" t="s">
        <v>2610</v>
      </c>
      <c r="D2359" s="13" t="s">
        <v>92</v>
      </c>
      <c r="E2359" s="13" t="s">
        <v>101</v>
      </c>
      <c r="F2359" s="44"/>
      <c r="G2359" s="11"/>
      <c r="H2359" s="11">
        <f>SUMIFS(X!$F$3:$F$5978,X!$D$3:$D$5978,'Current Stock'!A2359)</f>
        <v>2</v>
      </c>
      <c r="I2359" s="11">
        <f>SUMIFS(PENJUALAN!$E$4:$E$3651,PENJUALAN!$C$4:$C$3651,'Current Stock'!A2359)</f>
        <v>1</v>
      </c>
      <c r="J2359" s="15">
        <f t="shared" si="26"/>
        <v>1</v>
      </c>
      <c r="K2359" s="44"/>
      <c r="L2359" s="44"/>
      <c r="M2359" s="44"/>
      <c r="N2359" s="44"/>
      <c r="O2359" s="88"/>
      <c r="P2359" s="88"/>
    </row>
    <row r="2360" ht="15.0" customHeight="1">
      <c r="A2360" s="12" t="str">
        <f t="shared" si="4"/>
        <v>RDR-CIVIC22AGC</v>
      </c>
      <c r="B2360" s="13" t="s">
        <v>2611</v>
      </c>
      <c r="C2360" s="13" t="s">
        <v>2610</v>
      </c>
      <c r="D2360" s="13" t="s">
        <v>86</v>
      </c>
      <c r="E2360" s="13" t="s">
        <v>101</v>
      </c>
      <c r="F2360" s="44"/>
      <c r="G2360" s="11"/>
      <c r="H2360" s="11">
        <f>SUMIFS(X!$F$3:$F$5978,X!$D$3:$D$5978,'Current Stock'!A2360)</f>
        <v>0</v>
      </c>
      <c r="I2360" s="11">
        <f>SUMIFS(PENJUALAN!$E$4:$E$3651,PENJUALAN!$C$4:$C$3651,'Current Stock'!A2360)</f>
        <v>0</v>
      </c>
      <c r="J2360" s="15">
        <f t="shared" si="26"/>
        <v>0</v>
      </c>
      <c r="K2360" s="44"/>
      <c r="L2360" s="44"/>
      <c r="M2360" s="44"/>
      <c r="N2360" s="44"/>
      <c r="O2360" s="88"/>
      <c r="P2360" s="88"/>
    </row>
    <row r="2361" ht="15.0" customHeight="1">
      <c r="A2361" s="12" t="str">
        <f t="shared" si="4"/>
        <v>LFW-VIOS13AGC</v>
      </c>
      <c r="B2361" s="13" t="s">
        <v>1283</v>
      </c>
      <c r="C2361" s="13" t="s">
        <v>2612</v>
      </c>
      <c r="D2361" s="13" t="s">
        <v>60</v>
      </c>
      <c r="E2361" s="13" t="s">
        <v>101</v>
      </c>
      <c r="F2361" s="13" t="s">
        <v>1358</v>
      </c>
      <c r="G2361" s="11"/>
      <c r="H2361" s="11">
        <f>SUMIFS(X!$F$3:$F$5978,X!$D$3:$D$5978,'Current Stock'!A2361)</f>
        <v>2</v>
      </c>
      <c r="I2361" s="11">
        <f>SUMIFS(PENJUALAN!$E$4:$E$3651,PENJUALAN!$C$4:$C$3651,'Current Stock'!A2361)</f>
        <v>1</v>
      </c>
      <c r="J2361" s="15">
        <f t="shared" si="26"/>
        <v>1</v>
      </c>
      <c r="K2361" s="13" t="s">
        <v>1616</v>
      </c>
      <c r="L2361" s="44"/>
      <c r="M2361" s="44"/>
      <c r="N2361" s="44"/>
      <c r="O2361" s="88"/>
      <c r="P2361" s="88"/>
    </row>
    <row r="2362" ht="15.0" customHeight="1">
      <c r="A2362" s="12" t="str">
        <f t="shared" si="4"/>
        <v>FDR-BALENO15ASH</v>
      </c>
      <c r="B2362" s="13" t="s">
        <v>2613</v>
      </c>
      <c r="C2362" s="13" t="s">
        <v>2614</v>
      </c>
      <c r="D2362" s="13" t="s">
        <v>106</v>
      </c>
      <c r="E2362" s="13" t="s">
        <v>93</v>
      </c>
      <c r="F2362" s="44"/>
      <c r="G2362" s="11"/>
      <c r="H2362" s="11">
        <f>SUMIFS(X!$F$3:$F$5978,X!$D$3:$D$5978,'Current Stock'!A2362)</f>
        <v>1</v>
      </c>
      <c r="I2362" s="11">
        <f>SUMIFS(PENJUALAN!$E$4:$E$3651,PENJUALAN!$C$4:$C$3651,'Current Stock'!A2362)</f>
        <v>1</v>
      </c>
      <c r="J2362" s="15">
        <f t="shared" si="26"/>
        <v>0</v>
      </c>
      <c r="K2362" s="44"/>
      <c r="L2362" s="44"/>
      <c r="M2362" s="44"/>
      <c r="N2362" s="44"/>
      <c r="O2362" s="88"/>
      <c r="P2362" s="88"/>
    </row>
    <row r="2363" ht="15.0" customHeight="1">
      <c r="A2363" s="12" t="str">
        <f t="shared" si="4"/>
        <v>FDL-BALENO15ASH</v>
      </c>
      <c r="B2363" s="13" t="s">
        <v>2615</v>
      </c>
      <c r="C2363" s="13" t="s">
        <v>2614</v>
      </c>
      <c r="D2363" s="13" t="s">
        <v>104</v>
      </c>
      <c r="E2363" s="13" t="s">
        <v>93</v>
      </c>
      <c r="F2363" s="44"/>
      <c r="G2363" s="11"/>
      <c r="H2363" s="11">
        <f>SUMIFS(X!$F$3:$F$5978,X!$D$3:$D$5978,'Current Stock'!A2363)</f>
        <v>0</v>
      </c>
      <c r="I2363" s="11">
        <f>SUMIFS(PENJUALAN!$E$4:$E$3651,PENJUALAN!$C$4:$C$3651,'Current Stock'!A2363)</f>
        <v>0</v>
      </c>
      <c r="J2363" s="15">
        <f t="shared" si="26"/>
        <v>0</v>
      </c>
      <c r="K2363" s="44"/>
      <c r="L2363" s="44"/>
      <c r="M2363" s="44"/>
      <c r="N2363" s="44"/>
      <c r="O2363" s="88"/>
      <c r="P2363" s="88"/>
    </row>
    <row r="2364" ht="15.0" customHeight="1">
      <c r="A2364" s="12" t="str">
        <f t="shared" si="4"/>
        <v>LFW-GLORY580FY</v>
      </c>
      <c r="B2364" s="13" t="s">
        <v>2616</v>
      </c>
      <c r="C2364" s="13" t="s">
        <v>2617</v>
      </c>
      <c r="D2364" s="13" t="s">
        <v>60</v>
      </c>
      <c r="E2364" s="13" t="s">
        <v>123</v>
      </c>
      <c r="F2364" s="13" t="s">
        <v>2618</v>
      </c>
      <c r="G2364" s="11"/>
      <c r="H2364" s="11">
        <f>SUMIFS(X!$F$3:$F$5978,X!$D$3:$D$5978,'Current Stock'!A2364)</f>
        <v>1</v>
      </c>
      <c r="I2364" s="11">
        <f>SUMIFS(PENJUALAN!$E$4:$E$3651,PENJUALAN!$C$4:$C$3651,'Current Stock'!A2364)</f>
        <v>1</v>
      </c>
      <c r="J2364" s="15">
        <f t="shared" si="26"/>
        <v>0</v>
      </c>
      <c r="K2364" s="44"/>
      <c r="L2364" s="44"/>
      <c r="M2364" s="44"/>
      <c r="N2364" s="44"/>
      <c r="O2364" s="88"/>
      <c r="P2364" s="88"/>
    </row>
    <row r="2365" ht="15.0" customHeight="1">
      <c r="A2365" s="12" t="str">
        <f t="shared" si="4"/>
        <v>LFW-GLORY560FY</v>
      </c>
      <c r="B2365" s="13" t="s">
        <v>2619</v>
      </c>
      <c r="C2365" s="13" t="s">
        <v>2620</v>
      </c>
      <c r="D2365" s="13" t="s">
        <v>60</v>
      </c>
      <c r="E2365" s="13" t="s">
        <v>123</v>
      </c>
      <c r="F2365" s="13" t="s">
        <v>745</v>
      </c>
      <c r="G2365" s="11"/>
      <c r="H2365" s="11">
        <f>SUMIFS(X!$F$3:$F$5978,X!$D$3:$D$5978,'Current Stock'!A2365)</f>
        <v>1</v>
      </c>
      <c r="I2365" s="11">
        <f>SUMIFS(PENJUALAN!$E$4:$E$3651,PENJUALAN!$C$4:$C$3651,'Current Stock'!A2365)</f>
        <v>1</v>
      </c>
      <c r="J2365" s="15">
        <f t="shared" si="26"/>
        <v>0</v>
      </c>
      <c r="K2365" s="44"/>
      <c r="L2365" s="44"/>
      <c r="M2365" s="44"/>
      <c r="N2365" s="44"/>
      <c r="O2365" s="88"/>
      <c r="P2365" s="88"/>
    </row>
    <row r="2366" ht="15.0" customHeight="1">
      <c r="A2366" s="12" t="str">
        <f t="shared" si="4"/>
        <v>FDL-STARGAZERASH</v>
      </c>
      <c r="B2366" s="13" t="s">
        <v>2621</v>
      </c>
      <c r="C2366" s="13" t="s">
        <v>1344</v>
      </c>
      <c r="D2366" s="13" t="s">
        <v>104</v>
      </c>
      <c r="E2366" s="13" t="s">
        <v>93</v>
      </c>
      <c r="F2366" s="44"/>
      <c r="G2366" s="11"/>
      <c r="H2366" s="11">
        <f>SUMIFS(X!$F$3:$F$5978,X!$D$3:$D$5978,'Current Stock'!A2366)</f>
        <v>1</v>
      </c>
      <c r="I2366" s="11">
        <f>SUMIFS(PENJUALAN!$E$4:$E$3651,PENJUALAN!$C$4:$C$3651,'Current Stock'!A2366)</f>
        <v>1</v>
      </c>
      <c r="J2366" s="15">
        <f t="shared" si="26"/>
        <v>0</v>
      </c>
      <c r="K2366" s="44"/>
      <c r="L2366" s="44"/>
      <c r="M2366" s="44"/>
      <c r="N2366" s="44"/>
      <c r="O2366" s="88"/>
      <c r="P2366" s="88"/>
    </row>
    <row r="2367" ht="15.0" customHeight="1">
      <c r="A2367" s="12" t="str">
        <f t="shared" si="4"/>
        <v>TRW-STARGAZERNHFY</v>
      </c>
      <c r="B2367" s="13" t="s">
        <v>2622</v>
      </c>
      <c r="C2367" s="13" t="s">
        <v>2623</v>
      </c>
      <c r="D2367" s="13" t="s">
        <v>62</v>
      </c>
      <c r="E2367" s="13" t="s">
        <v>123</v>
      </c>
      <c r="F2367" s="13" t="s">
        <v>100</v>
      </c>
      <c r="G2367" s="11"/>
      <c r="H2367" s="11">
        <f>SUMIFS(X!$F$3:$F$5978,X!$D$3:$D$5978,'Current Stock'!A2367)</f>
        <v>1</v>
      </c>
      <c r="I2367" s="11">
        <f>SUMIFS(PENJUALAN!$E$4:$E$3651,PENJUALAN!$C$4:$C$3651,'Current Stock'!A2367)</f>
        <v>1</v>
      </c>
      <c r="J2367" s="15">
        <f t="shared" si="26"/>
        <v>0</v>
      </c>
      <c r="K2367" s="44"/>
      <c r="L2367" s="44"/>
      <c r="M2367" s="44"/>
      <c r="N2367" s="44"/>
      <c r="O2367" s="88"/>
      <c r="P2367" s="88"/>
    </row>
    <row r="2368" ht="15.0" customHeight="1">
      <c r="A2368" s="12" t="str">
        <f t="shared" si="4"/>
        <v>RDR-YARIS05ASH</v>
      </c>
      <c r="B2368" s="13" t="s">
        <v>2624</v>
      </c>
      <c r="C2368" s="13" t="s">
        <v>1281</v>
      </c>
      <c r="D2368" s="13" t="s">
        <v>86</v>
      </c>
      <c r="E2368" s="13" t="s">
        <v>93</v>
      </c>
      <c r="F2368" s="44"/>
      <c r="G2368" s="11"/>
      <c r="H2368" s="11">
        <f>SUMIFS(X!$F$3:$F$5978,X!$D$3:$D$5978,'Current Stock'!A2368)</f>
        <v>1</v>
      </c>
      <c r="I2368" s="11">
        <f>SUMIFS(PENJUALAN!$E$4:$E$3651,PENJUALAN!$C$4:$C$3651,'Current Stock'!A2368)</f>
        <v>1</v>
      </c>
      <c r="J2368" s="15">
        <f t="shared" si="26"/>
        <v>0</v>
      </c>
      <c r="K2368" s="44"/>
      <c r="L2368" s="44"/>
      <c r="M2368" s="44"/>
      <c r="N2368" s="44"/>
      <c r="O2368" s="88"/>
      <c r="P2368" s="88"/>
    </row>
    <row r="2369" ht="15.0" customHeight="1">
      <c r="A2369" s="12" t="str">
        <f t="shared" si="4"/>
        <v>RDL-YARIS05ASH</v>
      </c>
      <c r="B2369" s="13" t="s">
        <v>2625</v>
      </c>
      <c r="C2369" s="13" t="s">
        <v>1281</v>
      </c>
      <c r="D2369" s="13" t="s">
        <v>92</v>
      </c>
      <c r="E2369" s="13" t="s">
        <v>93</v>
      </c>
      <c r="F2369" s="44"/>
      <c r="G2369" s="11"/>
      <c r="H2369" s="11">
        <f>SUMIFS(X!$F$3:$F$5978,X!$D$3:$D$5978,'Current Stock'!A2369)</f>
        <v>0</v>
      </c>
      <c r="I2369" s="11">
        <f>SUMIFS(PENJUALAN!$E$4:$E$3651,PENJUALAN!$C$4:$C$3651,'Current Stock'!A2369)</f>
        <v>0</v>
      </c>
      <c r="J2369" s="15">
        <f t="shared" si="26"/>
        <v>0</v>
      </c>
      <c r="K2369" s="44"/>
      <c r="L2369" s="44"/>
      <c r="M2369" s="44"/>
      <c r="N2369" s="44"/>
      <c r="O2369" s="88"/>
      <c r="P2369" s="88"/>
    </row>
    <row r="2370" ht="15.0" customHeight="1">
      <c r="A2370" s="12" t="str">
        <f t="shared" si="4"/>
        <v>LFW-MAZDA618RSXYG</v>
      </c>
      <c r="B2370" s="13" t="s">
        <v>2626</v>
      </c>
      <c r="C2370" s="13" t="s">
        <v>2627</v>
      </c>
      <c r="D2370" s="13" t="s">
        <v>60</v>
      </c>
      <c r="E2370" s="13" t="s">
        <v>16</v>
      </c>
      <c r="F2370" s="13" t="s">
        <v>314</v>
      </c>
      <c r="G2370" s="11"/>
      <c r="H2370" s="11">
        <f>SUMIFS(X!$F$3:$F$5978,X!$D$3:$D$5978,'Current Stock'!A2370)</f>
        <v>3</v>
      </c>
      <c r="I2370" s="11">
        <f>SUMIFS(PENJUALAN!$E$4:$E$3651,PENJUALAN!$C$4:$C$3651,'Current Stock'!A2370)</f>
        <v>3</v>
      </c>
      <c r="J2370" s="15">
        <f t="shared" si="26"/>
        <v>0</v>
      </c>
      <c r="K2370" s="44"/>
      <c r="L2370" s="44"/>
      <c r="M2370" s="44"/>
      <c r="N2370" s="44"/>
      <c r="O2370" s="88"/>
      <c r="P2370" s="88"/>
    </row>
    <row r="2371" ht="15.0" customHeight="1">
      <c r="A2371" s="12" t="str">
        <f t="shared" si="4"/>
        <v>RDL-CIVIC16AGC</v>
      </c>
      <c r="B2371" s="13" t="s">
        <v>2628</v>
      </c>
      <c r="C2371" s="13" t="s">
        <v>2629</v>
      </c>
      <c r="D2371" s="13" t="s">
        <v>92</v>
      </c>
      <c r="E2371" s="13" t="s">
        <v>101</v>
      </c>
      <c r="F2371" s="13" t="s">
        <v>2058</v>
      </c>
      <c r="G2371" s="11"/>
      <c r="H2371" s="11">
        <f>SUMIFS(X!$F$3:$F$5978,X!$D$3:$D$5978,'Current Stock'!A2371)</f>
        <v>1</v>
      </c>
      <c r="I2371" s="11">
        <f>SUMIFS(PENJUALAN!$E$4:$E$3651,PENJUALAN!$C$4:$C$3651,'Current Stock'!A2371)</f>
        <v>1</v>
      </c>
      <c r="J2371" s="15">
        <f t="shared" si="26"/>
        <v>0</v>
      </c>
      <c r="K2371" s="44"/>
      <c r="L2371" s="44"/>
      <c r="M2371" s="44"/>
      <c r="N2371" s="44"/>
      <c r="O2371" s="88"/>
      <c r="P2371" s="88"/>
    </row>
    <row r="2372" ht="15.0" customHeight="1">
      <c r="A2372" s="12" t="str">
        <f t="shared" si="4"/>
        <v>RDR-CIVIC16AGC</v>
      </c>
      <c r="B2372" s="13" t="s">
        <v>2630</v>
      </c>
      <c r="C2372" s="13" t="s">
        <v>2629</v>
      </c>
      <c r="D2372" s="13" t="s">
        <v>86</v>
      </c>
      <c r="E2372" s="13" t="s">
        <v>101</v>
      </c>
      <c r="F2372" s="13" t="s">
        <v>2058</v>
      </c>
      <c r="G2372" s="11"/>
      <c r="H2372" s="11">
        <f>SUMIFS(X!$F$3:$F$5978,X!$D$3:$D$5978,'Current Stock'!A2372)</f>
        <v>0</v>
      </c>
      <c r="I2372" s="11">
        <f>SUMIFS(PENJUALAN!$E$4:$E$3651,PENJUALAN!$C$4:$C$3651,'Current Stock'!A2372)</f>
        <v>0</v>
      </c>
      <c r="J2372" s="15">
        <f t="shared" si="26"/>
        <v>0</v>
      </c>
      <c r="K2372" s="44"/>
      <c r="L2372" s="44"/>
      <c r="M2372" s="44"/>
      <c r="N2372" s="44"/>
      <c r="O2372" s="88"/>
      <c r="P2372" s="88"/>
    </row>
    <row r="2373" ht="15.0" customHeight="1">
      <c r="A2373" s="12" t="str">
        <f t="shared" si="4"/>
        <v>LFW-OMODARSXYG</v>
      </c>
      <c r="B2373" s="13" t="s">
        <v>2631</v>
      </c>
      <c r="C2373" s="13" t="s">
        <v>2632</v>
      </c>
      <c r="D2373" s="13" t="s">
        <v>60</v>
      </c>
      <c r="E2373" s="13" t="s">
        <v>16</v>
      </c>
      <c r="F2373" s="13" t="s">
        <v>314</v>
      </c>
      <c r="G2373" s="11"/>
      <c r="H2373" s="11">
        <f>SUMIFS(X!$F$3:$F$5978,X!$D$3:$D$5978,'Current Stock'!A2373)</f>
        <v>3</v>
      </c>
      <c r="I2373" s="11">
        <f>SUMIFS(PENJUALAN!$E$4:$E$3651,PENJUALAN!$C$4:$C$3651,'Current Stock'!A2373)</f>
        <v>3</v>
      </c>
      <c r="J2373" s="15">
        <f t="shared" si="26"/>
        <v>0</v>
      </c>
      <c r="K2373" s="44"/>
      <c r="L2373" s="44"/>
      <c r="M2373" s="44"/>
      <c r="N2373" s="44"/>
      <c r="O2373" s="88"/>
      <c r="P2373" s="88"/>
    </row>
    <row r="2374" ht="15.0" customHeight="1">
      <c r="A2374" s="12" t="str">
        <f t="shared" si="4"/>
        <v>LFW-E71SG</v>
      </c>
      <c r="B2374" s="13" t="s">
        <v>2633</v>
      </c>
      <c r="C2374" s="13" t="s">
        <v>2634</v>
      </c>
      <c r="D2374" s="13" t="s">
        <v>60</v>
      </c>
      <c r="E2374" s="13" t="s">
        <v>79</v>
      </c>
      <c r="F2374" s="13" t="s">
        <v>2273</v>
      </c>
      <c r="G2374" s="11"/>
      <c r="H2374" s="11">
        <f>SUMIFS(X!$F$3:$F$5978,X!$D$3:$D$5978,'Current Stock'!A2374)</f>
        <v>1</v>
      </c>
      <c r="I2374" s="11">
        <f>SUMIFS(PENJUALAN!$E$4:$E$3651,PENJUALAN!$C$4:$C$3651,'Current Stock'!A2374)</f>
        <v>1</v>
      </c>
      <c r="J2374" s="15">
        <f t="shared" si="26"/>
        <v>0</v>
      </c>
      <c r="K2374" s="44"/>
      <c r="L2374" s="44"/>
      <c r="M2374" s="44"/>
      <c r="N2374" s="44"/>
      <c r="O2374" s="88"/>
      <c r="P2374" s="88"/>
    </row>
    <row r="2375" ht="15.0" customHeight="1">
      <c r="A2375" s="12" t="str">
        <f t="shared" si="4"/>
        <v>FDR-OMODAXYG</v>
      </c>
      <c r="B2375" s="45" t="s">
        <v>2635</v>
      </c>
      <c r="C2375" s="13" t="s">
        <v>2636</v>
      </c>
      <c r="D2375" s="13" t="s">
        <v>106</v>
      </c>
      <c r="E2375" s="13" t="s">
        <v>16</v>
      </c>
      <c r="F2375" s="13" t="s">
        <v>2637</v>
      </c>
      <c r="G2375" s="11"/>
      <c r="H2375" s="11">
        <f>SUMIFS(X!$F$3:$F$5978,X!$D$3:$D$5978,'Current Stock'!A2375)</f>
        <v>1</v>
      </c>
      <c r="I2375" s="11">
        <f>SUMIFS(PENJUALAN!$E$4:$E$3651,PENJUALAN!$C$4:$C$3651,'Current Stock'!A2375)</f>
        <v>1</v>
      </c>
      <c r="J2375" s="15">
        <f t="shared" si="26"/>
        <v>0</v>
      </c>
      <c r="K2375" s="44"/>
      <c r="L2375" s="44"/>
      <c r="M2375" s="44"/>
      <c r="N2375" s="44"/>
      <c r="O2375" s="88"/>
      <c r="P2375" s="88"/>
    </row>
    <row r="2376" ht="15.0" customHeight="1">
      <c r="A2376" s="12" t="str">
        <f t="shared" si="4"/>
        <v>RDR-OMODAXYG</v>
      </c>
      <c r="B2376" s="45" t="s">
        <v>2638</v>
      </c>
      <c r="C2376" s="13" t="s">
        <v>2636</v>
      </c>
      <c r="D2376" s="13" t="s">
        <v>86</v>
      </c>
      <c r="E2376" s="13" t="s">
        <v>16</v>
      </c>
      <c r="F2376" s="13" t="s">
        <v>2639</v>
      </c>
      <c r="G2376" s="11"/>
      <c r="H2376" s="11">
        <f>SUMIFS(X!$F$3:$F$5978,X!$D$3:$D$5978,'Current Stock'!A2376)</f>
        <v>1</v>
      </c>
      <c r="I2376" s="11">
        <f>SUMIFS(PENJUALAN!$E$4:$E$3651,PENJUALAN!$C$4:$C$3651,'Current Stock'!A2376)</f>
        <v>1</v>
      </c>
      <c r="J2376" s="15">
        <f t="shared" si="26"/>
        <v>0</v>
      </c>
      <c r="K2376" s="44"/>
      <c r="L2376" s="44"/>
      <c r="M2376" s="44"/>
      <c r="N2376" s="44"/>
      <c r="O2376" s="88"/>
      <c r="P2376" s="88"/>
    </row>
    <row r="2377" ht="15.0" customHeight="1">
      <c r="A2377" s="12" t="str">
        <f t="shared" si="4"/>
        <v>FVR-OMODAXYG</v>
      </c>
      <c r="B2377" s="45" t="s">
        <v>2640</v>
      </c>
      <c r="C2377" s="13" t="s">
        <v>2636</v>
      </c>
      <c r="D2377" s="13" t="s">
        <v>2641</v>
      </c>
      <c r="E2377" s="13" t="s">
        <v>16</v>
      </c>
      <c r="F2377" s="44"/>
      <c r="G2377" s="11"/>
      <c r="H2377" s="11">
        <f>SUMIFS(X!$F$3:$F$5978,X!$D$3:$D$5978,'Current Stock'!A2377)</f>
        <v>1</v>
      </c>
      <c r="I2377" s="11">
        <f>SUMIFS(PENJUALAN!$E$4:$E$3651,PENJUALAN!$C$4:$C$3651,'Current Stock'!A2377)</f>
        <v>1</v>
      </c>
      <c r="J2377" s="15">
        <f t="shared" si="26"/>
        <v>0</v>
      </c>
      <c r="K2377" s="44"/>
      <c r="L2377" s="44"/>
      <c r="M2377" s="44"/>
      <c r="N2377" s="44"/>
      <c r="O2377" s="88"/>
      <c r="P2377" s="88"/>
    </row>
    <row r="2378" ht="15.0" customHeight="1">
      <c r="A2378" s="12" t="str">
        <f t="shared" si="4"/>
        <v>PAN-OMODARS</v>
      </c>
      <c r="B2378" s="13" t="s">
        <v>2642</v>
      </c>
      <c r="C2378" s="13" t="s">
        <v>2636</v>
      </c>
      <c r="D2378" s="13" t="s">
        <v>2643</v>
      </c>
      <c r="E2378" s="13"/>
      <c r="F2378" s="44"/>
      <c r="G2378" s="11"/>
      <c r="H2378" s="11">
        <f>SUMIFS(X!$F$3:$F$5978,X!$D$3:$D$5978,'Current Stock'!A2378)</f>
        <v>1</v>
      </c>
      <c r="I2378" s="11">
        <f>SUMIFS(PENJUALAN!$E$4:$E$3651,PENJUALAN!$C$4:$C$3651,'Current Stock'!A2378)</f>
        <v>0</v>
      </c>
      <c r="J2378" s="15">
        <f t="shared" si="26"/>
        <v>1</v>
      </c>
      <c r="K2378" s="44"/>
      <c r="L2378" s="44"/>
      <c r="M2378" s="44"/>
      <c r="N2378" s="44"/>
      <c r="O2378" s="88"/>
      <c r="P2378" s="88"/>
    </row>
    <row r="2379" ht="15.0" customHeight="1">
      <c r="A2379" s="12" t="str">
        <f t="shared" si="4"/>
        <v>LFW-TERRANOXYG</v>
      </c>
      <c r="B2379" s="13" t="s">
        <v>1974</v>
      </c>
      <c r="C2379" s="13" t="s">
        <v>1975</v>
      </c>
      <c r="D2379" s="13" t="s">
        <v>60</v>
      </c>
      <c r="E2379" s="13" t="s">
        <v>16</v>
      </c>
      <c r="F2379" s="13" t="s">
        <v>2131</v>
      </c>
      <c r="G2379" s="11"/>
      <c r="H2379" s="11">
        <f>SUMIFS(X!$F$3:$F$5978,X!$D$3:$D$5978,'Current Stock'!A2379)</f>
        <v>12</v>
      </c>
      <c r="I2379" s="11">
        <f>SUMIFS(PENJUALAN!$E$4:$E$3651,PENJUALAN!$C$4:$C$3651,'Current Stock'!A2379)</f>
        <v>1</v>
      </c>
      <c r="J2379" s="15">
        <f t="shared" si="26"/>
        <v>11</v>
      </c>
      <c r="K2379" s="44"/>
      <c r="L2379" s="44"/>
      <c r="M2379" s="44"/>
      <c r="N2379" s="44"/>
      <c r="O2379" s="88"/>
      <c r="P2379" s="88"/>
    </row>
    <row r="2380" ht="15.0" customHeight="1">
      <c r="A2380" s="12" t="str">
        <f t="shared" si="4"/>
        <v>LFW-AUDIQ312XYG</v>
      </c>
      <c r="B2380" s="13" t="s">
        <v>2644</v>
      </c>
      <c r="C2380" s="13" t="s">
        <v>2645</v>
      </c>
      <c r="D2380" s="13" t="s">
        <v>60</v>
      </c>
      <c r="E2380" s="13" t="s">
        <v>16</v>
      </c>
      <c r="F2380" s="13" t="s">
        <v>124</v>
      </c>
      <c r="G2380" s="11"/>
      <c r="H2380" s="11">
        <f>SUMIFS(X!$F$3:$F$5978,X!$D$3:$D$5978,'Current Stock'!A2380)</f>
        <v>1</v>
      </c>
      <c r="I2380" s="11">
        <f>SUMIFS(PENJUALAN!$E$4:$E$3651,PENJUALAN!$C$4:$C$3651,'Current Stock'!A2380)</f>
        <v>1</v>
      </c>
      <c r="J2380" s="15">
        <f t="shared" si="26"/>
        <v>0</v>
      </c>
      <c r="K2380" s="44"/>
      <c r="L2380" s="44"/>
      <c r="M2380" s="44"/>
      <c r="N2380" s="44"/>
      <c r="O2380" s="88"/>
      <c r="P2380" s="88"/>
    </row>
    <row r="2381" ht="15.0" customHeight="1">
      <c r="A2381" s="12" t="str">
        <f t="shared" si="4"/>
        <v>LFW-G05FY</v>
      </c>
      <c r="B2381" s="13" t="s">
        <v>2646</v>
      </c>
      <c r="C2381" s="13" t="s">
        <v>2647</v>
      </c>
      <c r="D2381" s="13" t="s">
        <v>60</v>
      </c>
      <c r="E2381" s="13" t="s">
        <v>123</v>
      </c>
      <c r="F2381" s="13" t="s">
        <v>2273</v>
      </c>
      <c r="G2381" s="11"/>
      <c r="H2381" s="11">
        <f>SUMIFS(X!$F$3:$F$5978,X!$D$3:$D$5978,'Current Stock'!A2381)</f>
        <v>1</v>
      </c>
      <c r="I2381" s="11">
        <f>SUMIFS(PENJUALAN!$E$4:$E$3651,PENJUALAN!$C$4:$C$3651,'Current Stock'!A2381)</f>
        <v>1</v>
      </c>
      <c r="J2381" s="15">
        <f t="shared" si="26"/>
        <v>0</v>
      </c>
      <c r="K2381" s="44"/>
      <c r="L2381" s="44"/>
      <c r="M2381" s="44"/>
      <c r="N2381" s="44"/>
      <c r="O2381" s="88"/>
      <c r="P2381" s="88"/>
    </row>
    <row r="2382" ht="15.0" customHeight="1">
      <c r="A2382" s="12" t="str">
        <f t="shared" si="4"/>
        <v>LFW-LANDCRUISER76TOY</v>
      </c>
      <c r="B2382" s="13" t="s">
        <v>2648</v>
      </c>
      <c r="C2382" s="13" t="s">
        <v>2649</v>
      </c>
      <c r="D2382" s="13" t="s">
        <v>60</v>
      </c>
      <c r="E2382" s="13" t="s">
        <v>38</v>
      </c>
      <c r="F2382" s="44"/>
      <c r="G2382" s="11"/>
      <c r="H2382" s="11">
        <f>SUMIFS(X!$F$3:$F$5978,X!$D$3:$D$5978,'Current Stock'!A2382)</f>
        <v>1</v>
      </c>
      <c r="I2382" s="11">
        <f>SUMIFS(PENJUALAN!$E$4:$E$3651,PENJUALAN!$C$4:$C$3651,'Current Stock'!A2382)</f>
        <v>1</v>
      </c>
      <c r="J2382" s="15">
        <f t="shared" si="26"/>
        <v>0</v>
      </c>
      <c r="K2382" s="44"/>
      <c r="L2382" s="44"/>
      <c r="M2382" s="44"/>
      <c r="N2382" s="44"/>
      <c r="O2382" s="88"/>
      <c r="P2382" s="88"/>
    </row>
    <row r="2383" ht="15.0" customHeight="1">
      <c r="A2383" s="12" t="str">
        <f t="shared" si="4"/>
        <v>LIST-LANDCRUISER76TOY</v>
      </c>
      <c r="B2383" s="13" t="s">
        <v>2650</v>
      </c>
      <c r="C2383" s="13" t="s">
        <v>2651</v>
      </c>
      <c r="D2383" s="13" t="s">
        <v>2652</v>
      </c>
      <c r="E2383" s="13" t="s">
        <v>38</v>
      </c>
      <c r="F2383" s="44"/>
      <c r="G2383" s="11"/>
      <c r="H2383" s="11">
        <f>SUMIFS(X!$F$3:$F$5978,X!$D$3:$D$5978,'Current Stock'!A2383)</f>
        <v>1</v>
      </c>
      <c r="I2383" s="11">
        <f>SUMIFS(PENJUALAN!$E$4:$E$3651,PENJUALAN!$C$4:$C$3651,'Current Stock'!A2383)</f>
        <v>1</v>
      </c>
      <c r="J2383" s="15">
        <f t="shared" si="26"/>
        <v>0</v>
      </c>
      <c r="K2383" s="44"/>
      <c r="L2383" s="44"/>
      <c r="M2383" s="44"/>
      <c r="N2383" s="44"/>
      <c r="O2383" s="88"/>
      <c r="P2383" s="88"/>
    </row>
    <row r="2384" ht="15.0" customHeight="1">
      <c r="A2384" s="12" t="str">
        <f t="shared" si="4"/>
        <v>RDR-C24ASH</v>
      </c>
      <c r="B2384" s="13" t="s">
        <v>2653</v>
      </c>
      <c r="C2384" s="13" t="s">
        <v>2654</v>
      </c>
      <c r="D2384" s="13" t="s">
        <v>86</v>
      </c>
      <c r="E2384" s="13" t="s">
        <v>93</v>
      </c>
      <c r="F2384" s="44"/>
      <c r="G2384" s="11"/>
      <c r="H2384" s="11">
        <f>SUMIFS(X!$F$3:$F$5978,X!$D$3:$D$5978,'Current Stock'!A2384)</f>
        <v>1</v>
      </c>
      <c r="I2384" s="11">
        <f>SUMIFS(PENJUALAN!$E$4:$E$3651,PENJUALAN!$C$4:$C$3651,'Current Stock'!A2384)</f>
        <v>1</v>
      </c>
      <c r="J2384" s="15">
        <f t="shared" si="26"/>
        <v>0</v>
      </c>
      <c r="K2384" s="44"/>
      <c r="L2384" s="44"/>
      <c r="M2384" s="44"/>
      <c r="N2384" s="44"/>
      <c r="O2384" s="88"/>
      <c r="P2384" s="88"/>
    </row>
    <row r="2385" ht="15.0" customHeight="1">
      <c r="A2385" s="12" t="str">
        <f t="shared" si="4"/>
        <v>RDL-C24ASH</v>
      </c>
      <c r="B2385" s="13" t="s">
        <v>2655</v>
      </c>
      <c r="C2385" s="13" t="s">
        <v>2654</v>
      </c>
      <c r="D2385" s="13" t="s">
        <v>92</v>
      </c>
      <c r="E2385" s="13" t="s">
        <v>93</v>
      </c>
      <c r="F2385" s="44"/>
      <c r="G2385" s="11"/>
      <c r="H2385" s="11">
        <f>SUMIFS(X!$F$3:$F$5978,X!$D$3:$D$5978,'Current Stock'!A2385)</f>
        <v>0</v>
      </c>
      <c r="I2385" s="11">
        <f>SUMIFS(PENJUALAN!$E$4:$E$3651,PENJUALAN!$C$4:$C$3651,'Current Stock'!A2385)</f>
        <v>0</v>
      </c>
      <c r="J2385" s="15">
        <f t="shared" si="26"/>
        <v>0</v>
      </c>
      <c r="K2385" s="44"/>
      <c r="L2385" s="44"/>
      <c r="M2385" s="44"/>
      <c r="N2385" s="44"/>
      <c r="O2385" s="88"/>
      <c r="P2385" s="88"/>
    </row>
    <row r="2386" ht="15.0" customHeight="1">
      <c r="A2386" s="12" t="str">
        <f t="shared" si="4"/>
        <v>RDR-SPINSG</v>
      </c>
      <c r="B2386" s="13" t="s">
        <v>2656</v>
      </c>
      <c r="C2386" s="13" t="s">
        <v>2657</v>
      </c>
      <c r="D2386" s="13" t="s">
        <v>86</v>
      </c>
      <c r="E2386" s="13" t="s">
        <v>79</v>
      </c>
      <c r="F2386" s="13" t="s">
        <v>2658</v>
      </c>
      <c r="G2386" s="11"/>
      <c r="H2386" s="11">
        <f>SUMIFS(X!$F$3:$F$5978,X!$D$3:$D$5978,'Current Stock'!A2386)</f>
        <v>2</v>
      </c>
      <c r="I2386" s="11">
        <f>SUMIFS(PENJUALAN!$E$4:$E$3651,PENJUALAN!$C$4:$C$3651,'Current Stock'!A2386)</f>
        <v>2</v>
      </c>
      <c r="J2386" s="15">
        <f t="shared" si="26"/>
        <v>0</v>
      </c>
      <c r="K2386" s="44"/>
      <c r="L2386" s="44"/>
      <c r="M2386" s="44"/>
      <c r="N2386" s="44"/>
      <c r="O2386" s="88"/>
      <c r="P2386" s="88"/>
    </row>
    <row r="2387" ht="15.0" customHeight="1">
      <c r="A2387" s="12" t="str">
        <f t="shared" si="4"/>
        <v>FDR-KUDAASH</v>
      </c>
      <c r="B2387" s="13" t="s">
        <v>2659</v>
      </c>
      <c r="C2387" s="13" t="s">
        <v>1961</v>
      </c>
      <c r="D2387" s="13" t="s">
        <v>106</v>
      </c>
      <c r="E2387" s="13" t="s">
        <v>93</v>
      </c>
      <c r="F2387" s="44"/>
      <c r="G2387" s="11"/>
      <c r="H2387" s="11">
        <f>SUMIFS(X!$F$3:$F$5978,X!$D$3:$D$5978,'Current Stock'!A2387)</f>
        <v>1</v>
      </c>
      <c r="I2387" s="11">
        <f>SUMIFS(PENJUALAN!$E$4:$E$3651,PENJUALAN!$C$4:$C$3651,'Current Stock'!A2387)</f>
        <v>1</v>
      </c>
      <c r="J2387" s="15">
        <f t="shared" si="26"/>
        <v>0</v>
      </c>
      <c r="K2387" s="44"/>
      <c r="L2387" s="44"/>
      <c r="M2387" s="44"/>
      <c r="N2387" s="44"/>
      <c r="O2387" s="88"/>
      <c r="P2387" s="88"/>
    </row>
    <row r="2388" ht="15.0" customHeight="1">
      <c r="A2388" s="12" t="str">
        <f t="shared" si="4"/>
        <v>FDL-KUDAASH</v>
      </c>
      <c r="B2388" s="13" t="s">
        <v>2416</v>
      </c>
      <c r="C2388" s="13" t="s">
        <v>1961</v>
      </c>
      <c r="D2388" s="13" t="s">
        <v>104</v>
      </c>
      <c r="E2388" s="13" t="s">
        <v>93</v>
      </c>
      <c r="F2388" s="44"/>
      <c r="G2388" s="11"/>
      <c r="H2388" s="11">
        <f>SUMIFS(X!$F$3:$F$5978,X!$D$3:$D$5978,'Current Stock'!A2388)</f>
        <v>1</v>
      </c>
      <c r="I2388" s="11">
        <f>SUMIFS(PENJUALAN!$E$4:$E$3651,PENJUALAN!$C$4:$C$3651,'Current Stock'!A2388)</f>
        <v>0</v>
      </c>
      <c r="J2388" s="15">
        <f t="shared" si="26"/>
        <v>1</v>
      </c>
      <c r="K2388" s="44"/>
      <c r="L2388" s="44"/>
      <c r="M2388" s="44"/>
      <c r="N2388" s="44"/>
      <c r="O2388" s="88"/>
      <c r="P2388" s="88"/>
    </row>
    <row r="2389" ht="15.0" customHeight="1">
      <c r="A2389" s="12" t="str">
        <f t="shared" si="4"/>
        <v>RDL-CAMRY11AGC</v>
      </c>
      <c r="B2389" s="13" t="s">
        <v>2660</v>
      </c>
      <c r="C2389" s="13" t="s">
        <v>2661</v>
      </c>
      <c r="D2389" s="13" t="s">
        <v>92</v>
      </c>
      <c r="E2389" s="13" t="s">
        <v>101</v>
      </c>
      <c r="F2389" s="13" t="s">
        <v>2142</v>
      </c>
      <c r="G2389" s="11"/>
      <c r="H2389" s="11">
        <f>SUMIFS(X!$F$3:$F$5978,X!$D$3:$D$5978,'Current Stock'!A2389)</f>
        <v>1</v>
      </c>
      <c r="I2389" s="11">
        <f>SUMIFS(PENJUALAN!$E$4:$E$3651,PENJUALAN!$C$4:$C$3651,'Current Stock'!A2389)</f>
        <v>1</v>
      </c>
      <c r="J2389" s="15">
        <f t="shared" si="26"/>
        <v>0</v>
      </c>
      <c r="K2389" s="44"/>
      <c r="L2389" s="44"/>
      <c r="M2389" s="44"/>
      <c r="N2389" s="44"/>
      <c r="O2389" s="88"/>
      <c r="P2389" s="88"/>
    </row>
    <row r="2390" ht="15.0" customHeight="1">
      <c r="A2390" s="12" t="str">
        <f t="shared" si="4"/>
        <v>LFW-TRITON23XYG</v>
      </c>
      <c r="B2390" s="13" t="s">
        <v>2662</v>
      </c>
      <c r="C2390" s="13" t="s">
        <v>2663</v>
      </c>
      <c r="D2390" s="13" t="s">
        <v>60</v>
      </c>
      <c r="E2390" s="13" t="s">
        <v>16</v>
      </c>
      <c r="F2390" s="13" t="s">
        <v>137</v>
      </c>
      <c r="G2390" s="11"/>
      <c r="H2390" s="11">
        <f>SUMIFS(X!$F$3:$F$5978,X!$D$3:$D$5978,'Current Stock'!A2390)</f>
        <v>2</v>
      </c>
      <c r="I2390" s="11">
        <f>SUMIFS(PENJUALAN!$E$4:$E$3651,PENJUALAN!$C$4:$C$3651,'Current Stock'!A2390)</f>
        <v>2</v>
      </c>
      <c r="J2390" s="15">
        <f t="shared" si="26"/>
        <v>0</v>
      </c>
      <c r="K2390" s="44"/>
      <c r="L2390" s="44"/>
      <c r="M2390" s="44"/>
      <c r="N2390" s="44"/>
      <c r="O2390" s="88"/>
      <c r="P2390" s="88"/>
    </row>
    <row r="2391" ht="15.0" customHeight="1">
      <c r="A2391" s="12" t="str">
        <f t="shared" si="4"/>
        <v>LFW-APVAGC</v>
      </c>
      <c r="B2391" s="13" t="s">
        <v>1023</v>
      </c>
      <c r="C2391" s="13" t="s">
        <v>2664</v>
      </c>
      <c r="D2391" s="13" t="s">
        <v>60</v>
      </c>
      <c r="E2391" s="13" t="s">
        <v>101</v>
      </c>
      <c r="F2391" s="13" t="s">
        <v>109</v>
      </c>
      <c r="G2391" s="11"/>
      <c r="H2391" s="11">
        <f>SUMIFS(X!$F$3:$F$5978,X!$D$3:$D$5978,'Current Stock'!A2391)</f>
        <v>1</v>
      </c>
      <c r="I2391" s="11">
        <f>SUMIFS(PENJUALAN!$E$4:$E$3651,PENJUALAN!$C$4:$C$3651,'Current Stock'!A2391)</f>
        <v>1</v>
      </c>
      <c r="J2391" s="15">
        <f t="shared" si="26"/>
        <v>0</v>
      </c>
      <c r="K2391" s="44"/>
      <c r="L2391" s="44"/>
      <c r="M2391" s="44"/>
      <c r="N2391" s="44"/>
      <c r="O2391" s="88"/>
      <c r="P2391" s="88"/>
    </row>
    <row r="2392" ht="15.0" customHeight="1">
      <c r="A2392" s="18" t="s">
        <v>2665</v>
      </c>
      <c r="B2392" s="13" t="s">
        <v>2087</v>
      </c>
      <c r="C2392" s="13" t="s">
        <v>2456</v>
      </c>
      <c r="D2392" s="13" t="s">
        <v>86</v>
      </c>
      <c r="E2392" s="13" t="s">
        <v>101</v>
      </c>
      <c r="F2392" s="13" t="s">
        <v>2142</v>
      </c>
      <c r="G2392" s="11"/>
      <c r="H2392" s="11">
        <f>SUMIFS(X!$F$3:$F$5978,X!$D$3:$D$5978,'Current Stock'!A2392)</f>
        <v>3</v>
      </c>
      <c r="I2392" s="11">
        <f>SUMIFS(PENJUALAN!$E$4:$E$3651,PENJUALAN!$C$4:$C$3651,'Current Stock'!A2392)</f>
        <v>0</v>
      </c>
      <c r="J2392" s="15">
        <f t="shared" si="26"/>
        <v>3</v>
      </c>
      <c r="K2392" s="44"/>
      <c r="L2392" s="44"/>
      <c r="M2392" s="44"/>
      <c r="N2392" s="44"/>
      <c r="O2392" s="88"/>
      <c r="P2392" s="88"/>
    </row>
    <row r="2393" ht="15.0" customHeight="1">
      <c r="A2393" s="12" t="str">
        <f t="shared" ref="A2393:A2463" si="31">CONCATENATE(B2393,E2393)</f>
        <v>RDL-BRIO10AGC</v>
      </c>
      <c r="B2393" s="13" t="s">
        <v>2160</v>
      </c>
      <c r="C2393" s="13" t="s">
        <v>2456</v>
      </c>
      <c r="D2393" s="13" t="s">
        <v>92</v>
      </c>
      <c r="E2393" s="13" t="s">
        <v>101</v>
      </c>
      <c r="F2393" s="13" t="s">
        <v>2142</v>
      </c>
      <c r="G2393" s="11"/>
      <c r="H2393" s="11">
        <f>SUMIFS(X!$F$3:$F$5978,X!$D$3:$D$5978,'Current Stock'!A2393)</f>
        <v>0</v>
      </c>
      <c r="I2393" s="11">
        <f>SUMIFS(PENJUALAN!$E$4:$E$3651,PENJUALAN!$C$4:$C$3651,'Current Stock'!A2393)</f>
        <v>0</v>
      </c>
      <c r="J2393" s="15">
        <f t="shared" si="26"/>
        <v>0</v>
      </c>
      <c r="K2393" s="44"/>
      <c r="L2393" s="44"/>
      <c r="M2393" s="44"/>
      <c r="N2393" s="44"/>
      <c r="O2393" s="88"/>
      <c r="P2393" s="88"/>
    </row>
    <row r="2394" ht="15.0" customHeight="1">
      <c r="A2394" s="12" t="str">
        <f t="shared" si="31"/>
        <v>LFW-E38XYG</v>
      </c>
      <c r="B2394" s="13" t="s">
        <v>2666</v>
      </c>
      <c r="C2394" s="13" t="s">
        <v>2667</v>
      </c>
      <c r="D2394" s="13" t="s">
        <v>60</v>
      </c>
      <c r="E2394" s="13" t="s">
        <v>16</v>
      </c>
      <c r="F2394" s="13" t="s">
        <v>137</v>
      </c>
      <c r="G2394" s="11"/>
      <c r="H2394" s="11">
        <f>SUMIFS(X!$F$3:$F$5978,X!$D$3:$D$5978,'Current Stock'!A2394)</f>
        <v>1</v>
      </c>
      <c r="I2394" s="11">
        <f>SUMIFS(PENJUALAN!$E$4:$E$3651,PENJUALAN!$C$4:$C$3651,'Current Stock'!A2394)</f>
        <v>1</v>
      </c>
      <c r="J2394" s="15">
        <f t="shared" si="26"/>
        <v>0</v>
      </c>
      <c r="K2394" s="44"/>
      <c r="L2394" s="44"/>
      <c r="M2394" s="44"/>
      <c r="N2394" s="44"/>
      <c r="O2394" s="88"/>
      <c r="P2394" s="88"/>
    </row>
    <row r="2395" ht="15.0" customHeight="1">
      <c r="A2395" s="12" t="str">
        <f t="shared" si="31"/>
        <v>LFW-CROWN08XYG</v>
      </c>
      <c r="B2395" s="13" t="s">
        <v>2668</v>
      </c>
      <c r="C2395" s="13" t="s">
        <v>2669</v>
      </c>
      <c r="D2395" s="13" t="s">
        <v>60</v>
      </c>
      <c r="E2395" s="13" t="s">
        <v>16</v>
      </c>
      <c r="F2395" s="13" t="s">
        <v>137</v>
      </c>
      <c r="G2395" s="11"/>
      <c r="H2395" s="11">
        <f>SUMIFS(X!$F$3:$F$5978,X!$D$3:$D$5978,'Current Stock'!A2395)</f>
        <v>1</v>
      </c>
      <c r="I2395" s="11">
        <f>SUMIFS(PENJUALAN!$E$4:$E$3651,PENJUALAN!$C$4:$C$3651,'Current Stock'!A2395)</f>
        <v>1</v>
      </c>
      <c r="J2395" s="15">
        <f t="shared" si="26"/>
        <v>0</v>
      </c>
      <c r="K2395" s="44"/>
      <c r="L2395" s="44"/>
      <c r="M2395" s="44"/>
      <c r="N2395" s="44"/>
      <c r="O2395" s="88"/>
      <c r="P2395" s="88"/>
    </row>
    <row r="2396" ht="15.0" customHeight="1">
      <c r="A2396" s="12" t="str">
        <f t="shared" si="31"/>
        <v>FDL-FV100PG</v>
      </c>
      <c r="B2396" s="13" t="s">
        <v>2670</v>
      </c>
      <c r="C2396" s="13" t="s">
        <v>1321</v>
      </c>
      <c r="D2396" s="13" t="s">
        <v>104</v>
      </c>
      <c r="E2396" s="13" t="s">
        <v>2671</v>
      </c>
      <c r="F2396" s="44"/>
      <c r="G2396" s="11"/>
      <c r="H2396" s="11">
        <f>SUMIFS(X!$F$3:$F$5978,X!$D$3:$D$5978,'Current Stock'!A2396)</f>
        <v>1</v>
      </c>
      <c r="I2396" s="11">
        <f>SUMIFS(PENJUALAN!$E$4:$E$3651,PENJUALAN!$C$4:$C$3651,'Current Stock'!A2396)</f>
        <v>1</v>
      </c>
      <c r="J2396" s="15">
        <f t="shared" si="26"/>
        <v>0</v>
      </c>
      <c r="K2396" s="44"/>
      <c r="L2396" s="44"/>
      <c r="M2396" s="44"/>
      <c r="N2396" s="44"/>
      <c r="O2396" s="88"/>
      <c r="P2396" s="88"/>
    </row>
    <row r="2397" ht="15.0" customHeight="1">
      <c r="A2397" s="12" t="str">
        <f t="shared" si="31"/>
        <v>LFW-HIACE19AGC</v>
      </c>
      <c r="B2397" s="13" t="s">
        <v>1827</v>
      </c>
      <c r="C2397" s="13" t="s">
        <v>2672</v>
      </c>
      <c r="D2397" s="13" t="s">
        <v>60</v>
      </c>
      <c r="E2397" s="13" t="s">
        <v>101</v>
      </c>
      <c r="F2397" s="13" t="s">
        <v>1358</v>
      </c>
      <c r="G2397" s="11"/>
      <c r="H2397" s="11">
        <f>SUMIFS(X!$F$3:$F$5978,X!$D$3:$D$5978,'Current Stock'!A2397)</f>
        <v>1</v>
      </c>
      <c r="I2397" s="11">
        <f>SUMIFS(PENJUALAN!$E$4:$E$3651,PENJUALAN!$C$4:$C$3651,'Current Stock'!A2397)</f>
        <v>1</v>
      </c>
      <c r="J2397" s="15">
        <f t="shared" si="26"/>
        <v>0</v>
      </c>
      <c r="K2397" s="44"/>
      <c r="L2397" s="44"/>
      <c r="M2397" s="44"/>
      <c r="N2397" s="44"/>
      <c r="O2397" s="88"/>
      <c r="P2397" s="88"/>
    </row>
    <row r="2398" ht="15.0" customHeight="1">
      <c r="A2398" s="12" t="str">
        <f t="shared" si="31"/>
        <v>SWL-ALPHARD02RATAFR</v>
      </c>
      <c r="B2398" s="13" t="s">
        <v>2673</v>
      </c>
      <c r="C2398" s="13" t="s">
        <v>2674</v>
      </c>
      <c r="D2398" s="13" t="s">
        <v>1410</v>
      </c>
      <c r="E2398" s="13" t="s">
        <v>1429</v>
      </c>
      <c r="F2398" s="13" t="s">
        <v>109</v>
      </c>
      <c r="G2398" s="11"/>
      <c r="H2398" s="11">
        <f>SUMIFS(X!$F$3:$F$5978,X!$D$3:$D$5978,'Current Stock'!A2398)</f>
        <v>1</v>
      </c>
      <c r="I2398" s="11">
        <f>SUMIFS(PENJUALAN!$E$4:$E$3651,PENJUALAN!$C$4:$C$3651,'Current Stock'!A2398)</f>
        <v>1</v>
      </c>
      <c r="J2398" s="15">
        <f t="shared" si="26"/>
        <v>0</v>
      </c>
      <c r="K2398" s="44"/>
      <c r="L2398" s="44"/>
      <c r="M2398" s="44"/>
      <c r="N2398" s="44"/>
      <c r="O2398" s="88"/>
      <c r="P2398" s="88"/>
    </row>
    <row r="2399" ht="15.0" customHeight="1">
      <c r="A2399" s="12" t="str">
        <f t="shared" si="31"/>
        <v>TRW-SPLASHXYG</v>
      </c>
      <c r="B2399" s="13" t="s">
        <v>2675</v>
      </c>
      <c r="C2399" s="13" t="s">
        <v>1028</v>
      </c>
      <c r="D2399" s="13" t="s">
        <v>62</v>
      </c>
      <c r="E2399" s="13" t="s">
        <v>16</v>
      </c>
      <c r="F2399" s="13" t="s">
        <v>83</v>
      </c>
      <c r="G2399" s="11"/>
      <c r="H2399" s="11">
        <f>SUMIFS(X!$F$3:$F$5978,X!$D$3:$D$5978,'Current Stock'!A2399)</f>
        <v>1</v>
      </c>
      <c r="I2399" s="11">
        <f>SUMIFS(PENJUALAN!$E$4:$E$3651,PENJUALAN!$C$4:$C$3651,'Current Stock'!A2399)</f>
        <v>1</v>
      </c>
      <c r="J2399" s="15">
        <f t="shared" si="26"/>
        <v>0</v>
      </c>
      <c r="K2399" s="44"/>
      <c r="L2399" s="44"/>
      <c r="M2399" s="44"/>
      <c r="N2399" s="44"/>
      <c r="O2399" s="88"/>
      <c r="P2399" s="88"/>
    </row>
    <row r="2400" ht="15.0" customHeight="1">
      <c r="A2400" s="12" t="str">
        <f t="shared" si="31"/>
        <v>SWR-INNOVA22AGC</v>
      </c>
      <c r="B2400" s="13" t="s">
        <v>2676</v>
      </c>
      <c r="C2400" s="13" t="s">
        <v>2552</v>
      </c>
      <c r="D2400" s="13" t="s">
        <v>116</v>
      </c>
      <c r="E2400" s="13" t="s">
        <v>101</v>
      </c>
      <c r="F2400" s="13" t="s">
        <v>2443</v>
      </c>
      <c r="G2400" s="11"/>
      <c r="H2400" s="11">
        <f>SUMIFS(X!$F$3:$F$5978,X!$D$3:$D$5978,'Current Stock'!A2400)</f>
        <v>1</v>
      </c>
      <c r="I2400" s="11">
        <f>SUMIFS(PENJUALAN!$E$4:$E$3651,PENJUALAN!$C$4:$C$3651,'Current Stock'!A2400)</f>
        <v>0</v>
      </c>
      <c r="J2400" s="15">
        <f t="shared" si="26"/>
        <v>1</v>
      </c>
      <c r="K2400" s="44"/>
      <c r="L2400" s="44"/>
      <c r="M2400" s="44"/>
      <c r="N2400" s="44"/>
      <c r="O2400" s="88"/>
      <c r="P2400" s="88"/>
    </row>
    <row r="2401" ht="15.0" customHeight="1">
      <c r="A2401" s="12" t="str">
        <f t="shared" si="31"/>
        <v>SWL-INNOVA22AGC</v>
      </c>
      <c r="B2401" s="13" t="s">
        <v>2677</v>
      </c>
      <c r="C2401" s="13" t="s">
        <v>2552</v>
      </c>
      <c r="D2401" s="13" t="s">
        <v>1410</v>
      </c>
      <c r="E2401" s="13" t="s">
        <v>101</v>
      </c>
      <c r="F2401" s="13" t="s">
        <v>2443</v>
      </c>
      <c r="G2401" s="11"/>
      <c r="H2401" s="11">
        <f>SUMIFS(X!$F$3:$F$5978,X!$D$3:$D$5978,'Current Stock'!A2401)</f>
        <v>1</v>
      </c>
      <c r="I2401" s="11">
        <f>SUMIFS(PENJUALAN!$E$4:$E$3651,PENJUALAN!$C$4:$C$3651,'Current Stock'!A2401)</f>
        <v>0</v>
      </c>
      <c r="J2401" s="15">
        <f t="shared" si="26"/>
        <v>1</v>
      </c>
      <c r="K2401" s="44"/>
      <c r="L2401" s="44"/>
      <c r="M2401" s="44"/>
      <c r="N2401" s="44"/>
      <c r="O2401" s="88"/>
      <c r="P2401" s="88"/>
    </row>
    <row r="2402" ht="15.0" customHeight="1">
      <c r="A2402" s="12" t="str">
        <f t="shared" si="31"/>
        <v>LFW-FORESTER22RS3XYG</v>
      </c>
      <c r="B2402" s="13" t="s">
        <v>2678</v>
      </c>
      <c r="C2402" s="13" t="s">
        <v>2679</v>
      </c>
      <c r="D2402" s="13" t="s">
        <v>60</v>
      </c>
      <c r="E2402" s="13" t="s">
        <v>16</v>
      </c>
      <c r="F2402" s="13" t="s">
        <v>314</v>
      </c>
      <c r="G2402" s="11"/>
      <c r="H2402" s="11">
        <f>SUMIFS(X!$F$3:$F$5978,X!$D$3:$D$5978,'Current Stock'!A2402)</f>
        <v>1</v>
      </c>
      <c r="I2402" s="11">
        <f>SUMIFS(PENJUALAN!$E$4:$E$3651,PENJUALAN!$C$4:$C$3651,'Current Stock'!A2402)</f>
        <v>1</v>
      </c>
      <c r="J2402" s="15">
        <f t="shared" si="26"/>
        <v>0</v>
      </c>
      <c r="K2402" s="44"/>
      <c r="L2402" s="44"/>
      <c r="M2402" s="44"/>
      <c r="N2402" s="44"/>
      <c r="O2402" s="88"/>
      <c r="P2402" s="88"/>
    </row>
    <row r="2403" ht="15.0" customHeight="1">
      <c r="A2403" s="12" t="str">
        <f t="shared" si="31"/>
        <v>LFW-CRESTA96XYG</v>
      </c>
      <c r="B2403" s="13" t="s">
        <v>2680</v>
      </c>
      <c r="C2403" s="13" t="s">
        <v>2681</v>
      </c>
      <c r="D2403" s="13" t="s">
        <v>60</v>
      </c>
      <c r="E2403" s="13" t="s">
        <v>16</v>
      </c>
      <c r="F2403" s="13" t="s">
        <v>109</v>
      </c>
      <c r="G2403" s="11"/>
      <c r="H2403" s="11">
        <f>SUMIFS(X!$F$3:$F$5978,X!$D$3:$D$5978,'Current Stock'!A2403)</f>
        <v>1</v>
      </c>
      <c r="I2403" s="11">
        <f>SUMIFS(PENJUALAN!$E$4:$E$3651,PENJUALAN!$C$4:$C$3651,'Current Stock'!A2403)</f>
        <v>1</v>
      </c>
      <c r="J2403" s="15">
        <f t="shared" si="26"/>
        <v>0</v>
      </c>
      <c r="K2403" s="44"/>
      <c r="L2403" s="44"/>
      <c r="M2403" s="44"/>
      <c r="N2403" s="44"/>
      <c r="O2403" s="88"/>
      <c r="P2403" s="88"/>
    </row>
    <row r="2404" ht="15.0" customHeight="1">
      <c r="A2404" s="12" t="str">
        <f t="shared" si="31"/>
        <v>LFW-BINGUOXYG</v>
      </c>
      <c r="B2404" s="13" t="s">
        <v>2682</v>
      </c>
      <c r="C2404" s="13" t="s">
        <v>2683</v>
      </c>
      <c r="D2404" s="13" t="s">
        <v>60</v>
      </c>
      <c r="E2404" s="13" t="s">
        <v>16</v>
      </c>
      <c r="F2404" s="13" t="s">
        <v>90</v>
      </c>
      <c r="G2404" s="11"/>
      <c r="H2404" s="11">
        <f>SUMIFS(X!$F$3:$F$5978,X!$D$3:$D$5978,'Current Stock'!A2404)</f>
        <v>2</v>
      </c>
      <c r="I2404" s="11">
        <f>SUMIFS(PENJUALAN!$E$4:$E$3651,PENJUALAN!$C$4:$C$3651,'Current Stock'!A2404)</f>
        <v>2</v>
      </c>
      <c r="J2404" s="15">
        <f t="shared" si="26"/>
        <v>0</v>
      </c>
      <c r="K2404" s="44"/>
      <c r="L2404" s="44"/>
      <c r="M2404" s="44"/>
      <c r="N2404" s="44"/>
      <c r="O2404" s="88"/>
      <c r="P2404" s="88"/>
    </row>
    <row r="2405" ht="15.0" customHeight="1">
      <c r="A2405" s="12" t="str">
        <f t="shared" si="31"/>
        <v>FVR-YARIS05TSG</v>
      </c>
      <c r="B2405" s="13" t="s">
        <v>2684</v>
      </c>
      <c r="C2405" s="13" t="s">
        <v>2685</v>
      </c>
      <c r="D2405" s="13" t="s">
        <v>2641</v>
      </c>
      <c r="E2405" s="13" t="s">
        <v>2543</v>
      </c>
      <c r="F2405" s="44"/>
      <c r="G2405" s="11"/>
      <c r="H2405" s="11">
        <f>SUMIFS(X!$F$3:$F$5978,X!$D$3:$D$5978,'Current Stock'!A2405)</f>
        <v>1</v>
      </c>
      <c r="I2405" s="11">
        <f>SUMIFS(PENJUALAN!$E$4:$E$3651,PENJUALAN!$C$4:$C$3651,'Current Stock'!A2405)</f>
        <v>1</v>
      </c>
      <c r="J2405" s="15">
        <f t="shared" si="26"/>
        <v>0</v>
      </c>
      <c r="K2405" s="44"/>
      <c r="L2405" s="44"/>
      <c r="M2405" s="44"/>
      <c r="N2405" s="44"/>
      <c r="O2405" s="88"/>
      <c r="P2405" s="88"/>
    </row>
    <row r="2406" ht="15.0" customHeight="1">
      <c r="A2406" s="12" t="str">
        <f t="shared" si="31"/>
        <v>RDR-STARGAZERASH</v>
      </c>
      <c r="B2406" s="13" t="s">
        <v>2686</v>
      </c>
      <c r="C2406" s="13" t="s">
        <v>1344</v>
      </c>
      <c r="D2406" s="13" t="s">
        <v>86</v>
      </c>
      <c r="E2406" s="13" t="s">
        <v>93</v>
      </c>
      <c r="F2406" s="44"/>
      <c r="G2406" s="11"/>
      <c r="H2406" s="11">
        <f>SUMIFS(X!$F$3:$F$5978,X!$D$3:$D$5978,'Current Stock'!A2406)</f>
        <v>1</v>
      </c>
      <c r="I2406" s="11">
        <f>SUMIFS(PENJUALAN!$E$4:$E$3651,PENJUALAN!$C$4:$C$3651,'Current Stock'!A2406)</f>
        <v>1</v>
      </c>
      <c r="J2406" s="15">
        <f t="shared" si="26"/>
        <v>0</v>
      </c>
      <c r="K2406" s="44"/>
      <c r="L2406" s="44"/>
      <c r="M2406" s="44"/>
      <c r="N2406" s="44"/>
      <c r="O2406" s="88"/>
      <c r="P2406" s="88"/>
    </row>
    <row r="2407" ht="15.0" customHeight="1">
      <c r="A2407" s="12" t="str">
        <f t="shared" si="31"/>
        <v>RDL-STARGAZERASH</v>
      </c>
      <c r="B2407" s="13" t="s">
        <v>2687</v>
      </c>
      <c r="C2407" s="13" t="s">
        <v>1344</v>
      </c>
      <c r="D2407" s="13" t="s">
        <v>92</v>
      </c>
      <c r="E2407" s="13" t="s">
        <v>93</v>
      </c>
      <c r="F2407" s="44"/>
      <c r="G2407" s="11"/>
      <c r="H2407" s="11">
        <f>SUMIFS(X!$F$3:$F$5978,X!$D$3:$D$5978,'Current Stock'!A2407)</f>
        <v>0</v>
      </c>
      <c r="I2407" s="11">
        <f>SUMIFS(PENJUALAN!$E$4:$E$3651,PENJUALAN!$C$4:$C$3651,'Current Stock'!A2407)</f>
        <v>0</v>
      </c>
      <c r="J2407" s="15">
        <f t="shared" si="26"/>
        <v>0</v>
      </c>
      <c r="K2407" s="44"/>
      <c r="L2407" s="44"/>
      <c r="M2407" s="44"/>
      <c r="N2407" s="44"/>
      <c r="O2407" s="88"/>
      <c r="P2407" s="88"/>
    </row>
    <row r="2408" ht="15.0" customHeight="1">
      <c r="A2408" s="12" t="str">
        <f t="shared" si="31"/>
        <v>FDR-SWIFT04ASH</v>
      </c>
      <c r="B2408" s="13" t="s">
        <v>2355</v>
      </c>
      <c r="C2408" s="13" t="s">
        <v>1731</v>
      </c>
      <c r="D2408" s="13" t="s">
        <v>106</v>
      </c>
      <c r="E2408" s="13" t="s">
        <v>93</v>
      </c>
      <c r="F2408" s="44"/>
      <c r="G2408" s="11"/>
      <c r="H2408" s="11">
        <f>SUMIFS(X!$F$3:$F$5978,X!$D$3:$D$5978,'Current Stock'!A2408)</f>
        <v>1</v>
      </c>
      <c r="I2408" s="11">
        <f>SUMIFS(PENJUALAN!$E$4:$E$3651,PENJUALAN!$C$4:$C$3651,'Current Stock'!A2408)</f>
        <v>1</v>
      </c>
      <c r="J2408" s="15">
        <f t="shared" si="26"/>
        <v>0</v>
      </c>
      <c r="K2408" s="44"/>
      <c r="L2408" s="44"/>
      <c r="M2408" s="44"/>
      <c r="N2408" s="44"/>
      <c r="O2408" s="88"/>
      <c r="P2408" s="88"/>
    </row>
    <row r="2409" ht="15.0" customHeight="1">
      <c r="A2409" s="12" t="str">
        <f t="shared" si="31"/>
        <v>FDL-SWIFT04ASH</v>
      </c>
      <c r="B2409" s="13" t="s">
        <v>2688</v>
      </c>
      <c r="C2409" s="13" t="s">
        <v>1731</v>
      </c>
      <c r="D2409" s="13" t="s">
        <v>104</v>
      </c>
      <c r="E2409" s="13" t="s">
        <v>93</v>
      </c>
      <c r="F2409" s="44"/>
      <c r="G2409" s="11"/>
      <c r="H2409" s="11">
        <f>SUMIFS(X!$F$3:$F$5978,X!$D$3:$D$5978,'Current Stock'!A2409)</f>
        <v>0</v>
      </c>
      <c r="I2409" s="11">
        <f>SUMIFS(PENJUALAN!$E$4:$E$3651,PENJUALAN!$C$4:$C$3651,'Current Stock'!A2409)</f>
        <v>0</v>
      </c>
      <c r="J2409" s="15">
        <f t="shared" si="26"/>
        <v>0</v>
      </c>
      <c r="K2409" s="44"/>
      <c r="L2409" s="44"/>
      <c r="M2409" s="44"/>
      <c r="N2409" s="44"/>
      <c r="O2409" s="88"/>
      <c r="P2409" s="88"/>
    </row>
    <row r="2410" ht="15.0" customHeight="1">
      <c r="A2410" s="12" t="str">
        <f t="shared" si="31"/>
        <v>RDR-JAZZ13ASH</v>
      </c>
      <c r="B2410" s="13" t="s">
        <v>2689</v>
      </c>
      <c r="C2410" s="13" t="s">
        <v>2174</v>
      </c>
      <c r="D2410" s="13" t="s">
        <v>86</v>
      </c>
      <c r="E2410" s="13" t="s">
        <v>93</v>
      </c>
      <c r="F2410" s="44"/>
      <c r="G2410" s="11"/>
      <c r="H2410" s="11">
        <f>SUMIFS(X!$F$3:$F$5978,X!$D$3:$D$5978,'Current Stock'!A2410)</f>
        <v>1</v>
      </c>
      <c r="I2410" s="11">
        <f>SUMIFS(PENJUALAN!$E$4:$E$3651,PENJUALAN!$C$4:$C$3651,'Current Stock'!A2410)</f>
        <v>1</v>
      </c>
      <c r="J2410" s="15">
        <f t="shared" si="26"/>
        <v>0</v>
      </c>
      <c r="K2410" s="44"/>
      <c r="L2410" s="44"/>
      <c r="M2410" s="44"/>
      <c r="N2410" s="44"/>
      <c r="O2410" s="88"/>
      <c r="P2410" s="88"/>
    </row>
    <row r="2411" ht="15.0" customHeight="1">
      <c r="A2411" s="12" t="str">
        <f t="shared" si="31"/>
        <v>FDR-LIVINA07ASH</v>
      </c>
      <c r="B2411" s="13" t="s">
        <v>2690</v>
      </c>
      <c r="C2411" s="13" t="s">
        <v>2603</v>
      </c>
      <c r="D2411" s="13" t="s">
        <v>106</v>
      </c>
      <c r="E2411" s="13" t="s">
        <v>93</v>
      </c>
      <c r="F2411" s="44"/>
      <c r="G2411" s="11"/>
      <c r="H2411" s="11">
        <f>SUMIFS(X!$F$3:$F$5978,X!$D$3:$D$5978,'Current Stock'!A2411)</f>
        <v>1</v>
      </c>
      <c r="I2411" s="11">
        <f>SUMIFS(PENJUALAN!$E$4:$E$3651,PENJUALAN!$C$4:$C$3651,'Current Stock'!A2411)</f>
        <v>1</v>
      </c>
      <c r="J2411" s="15">
        <f t="shared" si="26"/>
        <v>0</v>
      </c>
      <c r="K2411" s="44"/>
      <c r="L2411" s="44"/>
      <c r="M2411" s="44"/>
      <c r="N2411" s="44"/>
      <c r="O2411" s="88"/>
      <c r="P2411" s="88"/>
    </row>
    <row r="2412" ht="15.0" customHeight="1">
      <c r="A2412" s="12" t="str">
        <f t="shared" si="31"/>
        <v>FDL-LIVINA07ASH</v>
      </c>
      <c r="B2412" s="13" t="s">
        <v>940</v>
      </c>
      <c r="C2412" s="13" t="s">
        <v>2603</v>
      </c>
      <c r="D2412" s="13" t="s">
        <v>104</v>
      </c>
      <c r="E2412" s="13" t="s">
        <v>93</v>
      </c>
      <c r="F2412" s="44"/>
      <c r="G2412" s="11"/>
      <c r="H2412" s="11">
        <f>SUMIFS(X!$F$3:$F$5978,X!$D$3:$D$5978,'Current Stock'!A2412)</f>
        <v>2</v>
      </c>
      <c r="I2412" s="11">
        <f>SUMIFS(PENJUALAN!$E$4:$E$3651,PENJUALAN!$C$4:$C$3651,'Current Stock'!A2412)</f>
        <v>1</v>
      </c>
      <c r="J2412" s="15">
        <f t="shared" si="26"/>
        <v>1</v>
      </c>
      <c r="K2412" s="44"/>
      <c r="L2412" s="44"/>
      <c r="M2412" s="44"/>
      <c r="N2412" s="44"/>
      <c r="O2412" s="88"/>
      <c r="P2412" s="88"/>
    </row>
    <row r="2413" ht="15.0" customHeight="1">
      <c r="A2413" s="12" t="str">
        <f t="shared" si="31"/>
        <v>RDR-CITY19AGC</v>
      </c>
      <c r="B2413" s="109" t="s">
        <v>2691</v>
      </c>
      <c r="C2413" s="13" t="s">
        <v>2692</v>
      </c>
      <c r="D2413" s="13" t="s">
        <v>86</v>
      </c>
      <c r="E2413" s="13" t="s">
        <v>101</v>
      </c>
      <c r="F2413" s="44"/>
      <c r="G2413" s="11"/>
      <c r="H2413" s="11">
        <f>SUMIFS(X!$F$3:$F$5978,X!$D$3:$D$5978,'Current Stock'!A2413)</f>
        <v>1</v>
      </c>
      <c r="I2413" s="11">
        <f>SUMIFS(PENJUALAN!$E$4:$E$3651,PENJUALAN!$C$4:$C$3651,'Current Stock'!A2413)</f>
        <v>0</v>
      </c>
      <c r="J2413" s="15">
        <f t="shared" si="26"/>
        <v>1</v>
      </c>
      <c r="K2413" s="44"/>
      <c r="L2413" s="44"/>
      <c r="M2413" s="44"/>
      <c r="N2413" s="44"/>
      <c r="O2413" s="88"/>
      <c r="P2413" s="88"/>
    </row>
    <row r="2414" ht="15.0" customHeight="1">
      <c r="A2414" s="12" t="str">
        <f t="shared" si="31"/>
        <v>RDL-CITY19AGC</v>
      </c>
      <c r="B2414" s="109" t="s">
        <v>2693</v>
      </c>
      <c r="C2414" s="13" t="s">
        <v>2692</v>
      </c>
      <c r="D2414" s="13" t="s">
        <v>92</v>
      </c>
      <c r="E2414" s="13" t="s">
        <v>101</v>
      </c>
      <c r="F2414" s="44"/>
      <c r="G2414" s="11"/>
      <c r="H2414" s="11">
        <f>SUMIFS(X!$F$3:$F$5978,X!$D$3:$D$5978,'Current Stock'!A2414)</f>
        <v>1</v>
      </c>
      <c r="I2414" s="11">
        <f>SUMIFS(PENJUALAN!$E$4:$E$3651,PENJUALAN!$C$4:$C$3651,'Current Stock'!A2414)</f>
        <v>0</v>
      </c>
      <c r="J2414" s="15">
        <f t="shared" si="26"/>
        <v>1</v>
      </c>
      <c r="K2414" s="44"/>
      <c r="L2414" s="44"/>
      <c r="M2414" s="44"/>
      <c r="N2414" s="44"/>
      <c r="O2414" s="88"/>
      <c r="P2414" s="88"/>
    </row>
    <row r="2415" ht="15.0" customHeight="1">
      <c r="A2415" s="12" t="str">
        <f t="shared" si="31"/>
        <v>TRW-AVEO11XYG</v>
      </c>
      <c r="B2415" s="13" t="s">
        <v>227</v>
      </c>
      <c r="C2415" s="13" t="s">
        <v>226</v>
      </c>
      <c r="D2415" s="13" t="s">
        <v>62</v>
      </c>
      <c r="E2415" s="13" t="s">
        <v>16</v>
      </c>
      <c r="F2415" s="13" t="s">
        <v>228</v>
      </c>
      <c r="G2415" s="11"/>
      <c r="H2415" s="11">
        <f>SUMIFS(X!$F$3:$F$5978,X!$D$3:$D$5978,'Current Stock'!A2415)</f>
        <v>1</v>
      </c>
      <c r="I2415" s="11">
        <f>SUMIFS(PENJUALAN!$E$4:$E$3651,PENJUALAN!$C$4:$C$3651,'Current Stock'!A2415)</f>
        <v>1</v>
      </c>
      <c r="J2415" s="15">
        <f t="shared" si="26"/>
        <v>0</v>
      </c>
      <c r="K2415" s="44"/>
      <c r="L2415" s="44"/>
      <c r="M2415" s="44"/>
      <c r="N2415" s="44"/>
      <c r="O2415" s="88"/>
      <c r="P2415" s="88"/>
    </row>
    <row r="2416" ht="15.0" customHeight="1">
      <c r="A2416" s="12" t="str">
        <f t="shared" si="31"/>
        <v>TRW-E84XYG</v>
      </c>
      <c r="B2416" s="13" t="s">
        <v>192</v>
      </c>
      <c r="C2416" s="13" t="s">
        <v>193</v>
      </c>
      <c r="D2416" s="13" t="s">
        <v>62</v>
      </c>
      <c r="E2416" s="13" t="s">
        <v>16</v>
      </c>
      <c r="F2416" s="13" t="s">
        <v>83</v>
      </c>
      <c r="G2416" s="11"/>
      <c r="H2416" s="11">
        <f>SUMIFS(X!$F$3:$F$5978,X!$D$3:$D$5978,'Current Stock'!A2416)</f>
        <v>0</v>
      </c>
      <c r="I2416" s="11">
        <f>SUMIFS(PENJUALAN!$E$4:$E$3651,PENJUALAN!$C$4:$C$3651,'Current Stock'!A2416)</f>
        <v>0</v>
      </c>
      <c r="J2416" s="15">
        <f t="shared" si="26"/>
        <v>0</v>
      </c>
      <c r="K2416" s="44"/>
      <c r="L2416" s="44"/>
      <c r="M2416" s="44"/>
      <c r="N2416" s="44"/>
      <c r="O2416" s="88"/>
      <c r="P2416" s="88"/>
    </row>
    <row r="2417" ht="15.0" customHeight="1">
      <c r="A2417" s="12" t="str">
        <f t="shared" si="31"/>
        <v>TRW-NAV07FR</v>
      </c>
      <c r="B2417" s="13" t="s">
        <v>1219</v>
      </c>
      <c r="C2417" s="13" t="s">
        <v>1218</v>
      </c>
      <c r="D2417" s="13" t="s">
        <v>62</v>
      </c>
      <c r="E2417" s="13" t="s">
        <v>1429</v>
      </c>
      <c r="F2417" s="13" t="s">
        <v>83</v>
      </c>
      <c r="G2417" s="11"/>
      <c r="H2417" s="11">
        <f>SUMIFS(X!$F$3:$F$5978,X!$D$3:$D$5978,'Current Stock'!A2417)</f>
        <v>1</v>
      </c>
      <c r="I2417" s="11">
        <f>SUMIFS(PENJUALAN!$E$4:$E$3651,PENJUALAN!$C$4:$C$3651,'Current Stock'!A2417)</f>
        <v>1</v>
      </c>
      <c r="J2417" s="15">
        <f t="shared" si="26"/>
        <v>0</v>
      </c>
      <c r="K2417" s="44"/>
      <c r="L2417" s="44"/>
      <c r="M2417" s="44"/>
      <c r="N2417" s="44"/>
      <c r="O2417" s="88"/>
      <c r="P2417" s="88"/>
    </row>
    <row r="2418" ht="15.0" customHeight="1">
      <c r="A2418" s="12" t="str">
        <f t="shared" si="31"/>
        <v>LFW-CROSSTREK23XYG</v>
      </c>
      <c r="B2418" s="13" t="s">
        <v>2694</v>
      </c>
      <c r="C2418" s="13" t="s">
        <v>2695</v>
      </c>
      <c r="D2418" s="13" t="s">
        <v>60</v>
      </c>
      <c r="E2418" s="13" t="s">
        <v>16</v>
      </c>
      <c r="F2418" s="13" t="s">
        <v>314</v>
      </c>
      <c r="G2418" s="11"/>
      <c r="H2418" s="11">
        <f>SUMIFS(X!$F$3:$F$5978,X!$D$3:$D$5978,'Current Stock'!A2418)</f>
        <v>0</v>
      </c>
      <c r="I2418" s="11">
        <f>SUMIFS(PENJUALAN!$E$4:$E$3651,PENJUALAN!$C$4:$C$3651,'Current Stock'!A2418)</f>
        <v>0</v>
      </c>
      <c r="J2418" s="15">
        <f t="shared" si="26"/>
        <v>0</v>
      </c>
      <c r="K2418" s="44"/>
      <c r="L2418" s="44"/>
      <c r="M2418" s="44"/>
      <c r="N2418" s="44"/>
      <c r="O2418" s="88"/>
      <c r="P2418" s="88"/>
    </row>
    <row r="2419" ht="15.0" customHeight="1">
      <c r="A2419" s="12" t="str">
        <f t="shared" si="31"/>
        <v>LFW-CIVIC16RSSG</v>
      </c>
      <c r="B2419" s="13" t="s">
        <v>1414</v>
      </c>
      <c r="C2419" s="13" t="s">
        <v>2696</v>
      </c>
      <c r="D2419" s="13" t="s">
        <v>60</v>
      </c>
      <c r="E2419" s="13" t="s">
        <v>79</v>
      </c>
      <c r="F2419" s="13" t="s">
        <v>2273</v>
      </c>
      <c r="G2419" s="11"/>
      <c r="H2419" s="11">
        <f>SUMIFS(X!$F$3:$F$5978,X!$D$3:$D$5978,'Current Stock'!A2419)</f>
        <v>1</v>
      </c>
      <c r="I2419" s="11">
        <f>SUMIFS(PENJUALAN!$E$4:$E$3651,PENJUALAN!$C$4:$C$3651,'Current Stock'!A2419)</f>
        <v>1</v>
      </c>
      <c r="J2419" s="15">
        <f t="shared" si="26"/>
        <v>0</v>
      </c>
      <c r="K2419" s="44"/>
      <c r="L2419" s="44"/>
      <c r="M2419" s="44"/>
      <c r="N2419" s="44"/>
      <c r="O2419" s="88"/>
      <c r="P2419" s="88"/>
    </row>
    <row r="2420" ht="15.0" customHeight="1">
      <c r="A2420" s="12" t="str">
        <f t="shared" si="31"/>
        <v>TRW-ELGRAND10XYG</v>
      </c>
      <c r="B2420" s="13" t="s">
        <v>916</v>
      </c>
      <c r="C2420" s="13" t="s">
        <v>915</v>
      </c>
      <c r="D2420" s="13" t="s">
        <v>62</v>
      </c>
      <c r="E2420" s="13" t="s">
        <v>16</v>
      </c>
      <c r="F2420" s="13" t="s">
        <v>1437</v>
      </c>
      <c r="G2420" s="11"/>
      <c r="H2420" s="11">
        <f>SUMIFS(X!$F$3:$F$5978,X!$D$3:$D$5978,'Current Stock'!A2420)</f>
        <v>1</v>
      </c>
      <c r="I2420" s="11">
        <f>SUMIFS(PENJUALAN!$E$4:$E$3651,PENJUALAN!$C$4:$C$3651,'Current Stock'!A2420)</f>
        <v>1</v>
      </c>
      <c r="J2420" s="15">
        <f t="shared" si="26"/>
        <v>0</v>
      </c>
      <c r="K2420" s="44"/>
      <c r="L2420" s="44"/>
      <c r="M2420" s="44"/>
      <c r="N2420" s="44"/>
      <c r="O2420" s="88"/>
      <c r="P2420" s="88"/>
    </row>
    <row r="2421" ht="15.0" customHeight="1">
      <c r="A2421" s="12" t="str">
        <f t="shared" si="31"/>
        <v>LFW-FORESTER22RS3AGC</v>
      </c>
      <c r="B2421" s="13" t="s">
        <v>2678</v>
      </c>
      <c r="C2421" s="13" t="s">
        <v>2697</v>
      </c>
      <c r="D2421" s="13" t="s">
        <v>60</v>
      </c>
      <c r="E2421" s="13" t="s">
        <v>101</v>
      </c>
      <c r="F2421" s="13" t="s">
        <v>314</v>
      </c>
      <c r="G2421" s="11"/>
      <c r="H2421" s="11">
        <f>SUMIFS(X!$F$3:$F$5978,X!$D$3:$D$5978,'Current Stock'!A2421)</f>
        <v>1</v>
      </c>
      <c r="I2421" s="11">
        <f>SUMIFS(PENJUALAN!$E$4:$E$3651,PENJUALAN!$C$4:$C$3651,'Current Stock'!A2421)</f>
        <v>1</v>
      </c>
      <c r="J2421" s="15">
        <f t="shared" si="26"/>
        <v>0</v>
      </c>
      <c r="K2421" s="44"/>
      <c r="L2421" s="44"/>
      <c r="M2421" s="44"/>
      <c r="N2421" s="44"/>
      <c r="O2421" s="88"/>
      <c r="P2421" s="88"/>
    </row>
    <row r="2422" ht="15.0" customHeight="1">
      <c r="A2422" s="12" t="str">
        <f t="shared" si="31"/>
        <v>RVR-APVASH</v>
      </c>
      <c r="B2422" s="13" t="s">
        <v>2698</v>
      </c>
      <c r="C2422" s="13" t="s">
        <v>1982</v>
      </c>
      <c r="D2422" s="13" t="s">
        <v>2254</v>
      </c>
      <c r="E2422" s="13" t="s">
        <v>93</v>
      </c>
      <c r="F2422" s="44"/>
      <c r="G2422" s="11"/>
      <c r="H2422" s="11">
        <f>SUMIFS(X!$F$3:$F$5978,X!$D$3:$D$5978,'Current Stock'!A2422)</f>
        <v>1</v>
      </c>
      <c r="I2422" s="11">
        <f>SUMIFS(PENJUALAN!$E$4:$E$3651,PENJUALAN!$C$4:$C$3651,'Current Stock'!A2422)</f>
        <v>1</v>
      </c>
      <c r="J2422" s="15">
        <f t="shared" si="26"/>
        <v>0</v>
      </c>
      <c r="K2422" s="44"/>
      <c r="L2422" s="44"/>
      <c r="M2422" s="44"/>
      <c r="N2422" s="44"/>
      <c r="O2422" s="88"/>
      <c r="P2422" s="88"/>
    </row>
    <row r="2423" ht="15.0" customHeight="1">
      <c r="A2423" s="12" t="str">
        <f t="shared" si="31"/>
        <v>RDL-APVASH</v>
      </c>
      <c r="B2423" s="13" t="s">
        <v>2196</v>
      </c>
      <c r="C2423" s="13" t="s">
        <v>1982</v>
      </c>
      <c r="D2423" s="13" t="s">
        <v>2322</v>
      </c>
      <c r="E2423" s="13" t="s">
        <v>93</v>
      </c>
      <c r="F2423" s="44"/>
      <c r="G2423" s="11"/>
      <c r="H2423" s="11">
        <f>SUMIFS(X!$F$3:$F$5978,X!$D$3:$D$5978,'Current Stock'!A2423)</f>
        <v>0</v>
      </c>
      <c r="I2423" s="11">
        <f>SUMIFS(PENJUALAN!$E$4:$E$3651,PENJUALAN!$C$4:$C$3651,'Current Stock'!A2423)</f>
        <v>0</v>
      </c>
      <c r="J2423" s="15">
        <f t="shared" si="26"/>
        <v>0</v>
      </c>
      <c r="K2423" s="44"/>
      <c r="L2423" s="44"/>
      <c r="M2423" s="44"/>
      <c r="N2423" s="44"/>
      <c r="O2423" s="88"/>
      <c r="P2423" s="88"/>
    </row>
    <row r="2424" ht="15.0" customHeight="1">
      <c r="A2424" s="12" t="str">
        <f t="shared" si="31"/>
        <v>TRW-TIGGO5XFY</v>
      </c>
      <c r="B2424" s="13" t="s">
        <v>2699</v>
      </c>
      <c r="C2424" s="13" t="s">
        <v>2700</v>
      </c>
      <c r="D2424" s="13" t="s">
        <v>62</v>
      </c>
      <c r="E2424" s="13" t="s">
        <v>123</v>
      </c>
      <c r="F2424" s="44"/>
      <c r="G2424" s="11"/>
      <c r="H2424" s="11">
        <f>SUMIFS(X!$F$3:$F$5978,X!$D$3:$D$5978,'Current Stock'!A2424)</f>
        <v>0</v>
      </c>
      <c r="I2424" s="11">
        <f>SUMIFS(PENJUALAN!$E$4:$E$3651,PENJUALAN!$C$4:$C$3651,'Current Stock'!A2424)</f>
        <v>0</v>
      </c>
      <c r="J2424" s="15">
        <f t="shared" si="26"/>
        <v>0</v>
      </c>
      <c r="K2424" s="44"/>
      <c r="L2424" s="44"/>
      <c r="M2424" s="44"/>
      <c r="N2424" s="44"/>
      <c r="O2424" s="88"/>
      <c r="P2424" s="88"/>
    </row>
    <row r="2425" ht="15.0" customHeight="1">
      <c r="A2425" s="12" t="str">
        <f t="shared" si="31"/>
        <v>LFW-NETAVIIXYG</v>
      </c>
      <c r="B2425" s="13" t="s">
        <v>2701</v>
      </c>
      <c r="C2425" s="13" t="s">
        <v>2702</v>
      </c>
      <c r="D2425" s="13" t="s">
        <v>60</v>
      </c>
      <c r="E2425" s="13" t="s">
        <v>16</v>
      </c>
      <c r="F2425" s="13" t="s">
        <v>314</v>
      </c>
      <c r="G2425" s="11"/>
      <c r="H2425" s="11">
        <f>SUMIFS(X!$F$3:$F$5978,X!$D$3:$D$5978,'Current Stock'!A2425)</f>
        <v>0</v>
      </c>
      <c r="I2425" s="11">
        <f>SUMIFS(PENJUALAN!$E$4:$E$3651,PENJUALAN!$C$4:$C$3651,'Current Stock'!A2425)</f>
        <v>0</v>
      </c>
      <c r="J2425" s="15">
        <f t="shared" si="26"/>
        <v>0</v>
      </c>
      <c r="K2425" s="44"/>
      <c r="L2425" s="44"/>
      <c r="M2425" s="44"/>
      <c r="N2425" s="44"/>
      <c r="O2425" s="88"/>
      <c r="P2425" s="88"/>
    </row>
    <row r="2426" ht="15.0" customHeight="1">
      <c r="A2426" s="12" t="str">
        <f t="shared" si="31"/>
        <v>OTH-SEALENTXYG</v>
      </c>
      <c r="B2426" s="13" t="s">
        <v>2703</v>
      </c>
      <c r="C2426" s="13" t="s">
        <v>2704</v>
      </c>
      <c r="D2426" s="13" t="s">
        <v>2705</v>
      </c>
      <c r="E2426" s="13" t="s">
        <v>16</v>
      </c>
      <c r="F2426" s="44"/>
      <c r="G2426" s="11"/>
      <c r="H2426" s="11">
        <f>SUMIFS(X!$F$3:$F$5978,X!$D$3:$D$5978,'Current Stock'!A2426)</f>
        <v>0</v>
      </c>
      <c r="I2426" s="11">
        <f>SUMIFS(PENJUALAN!$E$4:$E$3651,PENJUALAN!$C$4:$C$3651,'Current Stock'!A2426)</f>
        <v>0</v>
      </c>
      <c r="J2426" s="15">
        <f t="shared" si="26"/>
        <v>0</v>
      </c>
      <c r="K2426" s="44"/>
      <c r="L2426" s="44"/>
      <c r="M2426" s="44"/>
      <c r="N2426" s="44"/>
      <c r="O2426" s="88"/>
      <c r="P2426" s="88"/>
    </row>
    <row r="2427" ht="15.0" customHeight="1">
      <c r="A2427" s="12" t="str">
        <f t="shared" si="31"/>
        <v>LFW-SPRESSOXYG</v>
      </c>
      <c r="B2427" s="13" t="s">
        <v>2706</v>
      </c>
      <c r="C2427" s="13" t="s">
        <v>2707</v>
      </c>
      <c r="D2427" s="13" t="s">
        <v>60</v>
      </c>
      <c r="E2427" s="13" t="s">
        <v>16</v>
      </c>
      <c r="F2427" s="13" t="s">
        <v>109</v>
      </c>
      <c r="G2427" s="11"/>
      <c r="H2427" s="11">
        <f>SUMIFS(X!$F$3:$F$5978,X!$D$3:$D$5978,'Current Stock'!A2427)</f>
        <v>1</v>
      </c>
      <c r="I2427" s="11">
        <f>SUMIFS(PENJUALAN!$E$4:$E$3651,PENJUALAN!$C$4:$C$3651,'Current Stock'!A2427)</f>
        <v>1</v>
      </c>
      <c r="J2427" s="15">
        <f t="shared" si="26"/>
        <v>0</v>
      </c>
      <c r="K2427" s="44"/>
      <c r="L2427" s="44"/>
      <c r="M2427" s="44"/>
      <c r="N2427" s="44"/>
      <c r="O2427" s="88"/>
      <c r="P2427" s="88"/>
    </row>
    <row r="2428" ht="15.0" customHeight="1">
      <c r="A2428" s="12" t="str">
        <f t="shared" si="31"/>
        <v>TRW-SPRESSOXYG</v>
      </c>
      <c r="B2428" s="13" t="s">
        <v>2708</v>
      </c>
      <c r="C2428" s="13" t="s">
        <v>2707</v>
      </c>
      <c r="D2428" s="13" t="s">
        <v>62</v>
      </c>
      <c r="E2428" s="13" t="s">
        <v>16</v>
      </c>
      <c r="F2428" s="13" t="s">
        <v>109</v>
      </c>
      <c r="G2428" s="11"/>
      <c r="H2428" s="11">
        <f>SUMIFS(X!$F$3:$F$5978,X!$D$3:$D$5978,'Current Stock'!A2428)</f>
        <v>1</v>
      </c>
      <c r="I2428" s="11">
        <f>SUMIFS(PENJUALAN!$E$4:$E$3651,PENJUALAN!$C$4:$C$3651,'Current Stock'!A2428)</f>
        <v>1</v>
      </c>
      <c r="J2428" s="15">
        <f t="shared" si="26"/>
        <v>0</v>
      </c>
      <c r="K2428" s="44"/>
      <c r="L2428" s="44"/>
      <c r="M2428" s="44"/>
      <c r="N2428" s="44"/>
      <c r="O2428" s="88"/>
      <c r="P2428" s="88"/>
    </row>
    <row r="2429" ht="15.0" customHeight="1">
      <c r="A2429" s="12" t="str">
        <f t="shared" si="31"/>
        <v>FDL-FE700MU</v>
      </c>
      <c r="B2429" s="13" t="s">
        <v>2286</v>
      </c>
      <c r="C2429" s="13" t="s">
        <v>1315</v>
      </c>
      <c r="D2429" s="13" t="s">
        <v>104</v>
      </c>
      <c r="E2429" s="13" t="s">
        <v>1633</v>
      </c>
      <c r="F2429" s="44"/>
      <c r="G2429" s="11"/>
      <c r="H2429" s="11">
        <f>SUMIFS(X!$F$3:$F$5978,X!$D$3:$D$5978,'Current Stock'!A2429)</f>
        <v>1</v>
      </c>
      <c r="I2429" s="11">
        <f>SUMIFS(PENJUALAN!$E$4:$E$3651,PENJUALAN!$C$4:$C$3651,'Current Stock'!A2429)</f>
        <v>1</v>
      </c>
      <c r="J2429" s="15">
        <f t="shared" si="26"/>
        <v>0</v>
      </c>
      <c r="K2429" s="44"/>
      <c r="L2429" s="44"/>
      <c r="M2429" s="44"/>
      <c r="N2429" s="44"/>
      <c r="O2429" s="88"/>
      <c r="P2429" s="88"/>
    </row>
    <row r="2430" ht="15.0" customHeight="1">
      <c r="A2430" s="12" t="str">
        <f t="shared" si="31"/>
        <v>FDR-FE700MU</v>
      </c>
      <c r="B2430" s="13" t="s">
        <v>2287</v>
      </c>
      <c r="C2430" s="13" t="s">
        <v>1315</v>
      </c>
      <c r="D2430" s="13" t="s">
        <v>106</v>
      </c>
      <c r="E2430" s="13" t="s">
        <v>1633</v>
      </c>
      <c r="F2430" s="44"/>
      <c r="G2430" s="11"/>
      <c r="H2430" s="11">
        <f>SUMIFS(X!$F$3:$F$5978,X!$D$3:$D$5978,'Current Stock'!A2430)</f>
        <v>0</v>
      </c>
      <c r="I2430" s="11">
        <f>SUMIFS(PENJUALAN!$E$4:$E$3651,PENJUALAN!$C$4:$C$3651,'Current Stock'!A2430)</f>
        <v>0</v>
      </c>
      <c r="J2430" s="15">
        <f t="shared" si="26"/>
        <v>0</v>
      </c>
      <c r="K2430" s="44"/>
      <c r="L2430" s="44"/>
      <c r="M2430" s="44"/>
      <c r="N2430" s="44"/>
      <c r="O2430" s="88"/>
      <c r="P2430" s="88"/>
    </row>
    <row r="2431" ht="15.0" customHeight="1">
      <c r="A2431" s="12" t="str">
        <f t="shared" si="31"/>
        <v>SWL-FREEDASH</v>
      </c>
      <c r="B2431" s="13" t="s">
        <v>468</v>
      </c>
      <c r="C2431" s="13" t="s">
        <v>2709</v>
      </c>
      <c r="D2431" s="13" t="s">
        <v>1410</v>
      </c>
      <c r="E2431" s="13" t="s">
        <v>93</v>
      </c>
      <c r="F2431" s="44"/>
      <c r="G2431" s="11"/>
      <c r="H2431" s="11">
        <f>SUMIFS(X!$F$3:$F$5978,X!$D$3:$D$5978,'Current Stock'!A2431)</f>
        <v>1</v>
      </c>
      <c r="I2431" s="11">
        <f>SUMIFS(PENJUALAN!$E$4:$E$3651,PENJUALAN!$C$4:$C$3651,'Current Stock'!A2431)</f>
        <v>1</v>
      </c>
      <c r="J2431" s="15">
        <f t="shared" si="26"/>
        <v>0</v>
      </c>
      <c r="K2431" s="44"/>
      <c r="L2431" s="44"/>
      <c r="M2431" s="44"/>
      <c r="N2431" s="44"/>
      <c r="O2431" s="88"/>
      <c r="P2431" s="88"/>
    </row>
    <row r="2432" ht="15.0" customHeight="1">
      <c r="A2432" s="12" t="str">
        <f t="shared" si="31"/>
        <v>SWR-FREEDASH</v>
      </c>
      <c r="B2432" s="13" t="s">
        <v>469</v>
      </c>
      <c r="C2432" s="13" t="s">
        <v>2709</v>
      </c>
      <c r="D2432" s="13" t="s">
        <v>116</v>
      </c>
      <c r="E2432" s="13" t="s">
        <v>93</v>
      </c>
      <c r="F2432" s="44"/>
      <c r="G2432" s="11"/>
      <c r="H2432" s="11">
        <f>SUMIFS(X!$F$3:$F$5978,X!$D$3:$D$5978,'Current Stock'!A2432)</f>
        <v>1</v>
      </c>
      <c r="I2432" s="11">
        <f>SUMIFS(PENJUALAN!$E$4:$E$3651,PENJUALAN!$C$4:$C$3651,'Current Stock'!A2432)</f>
        <v>1</v>
      </c>
      <c r="J2432" s="15">
        <f t="shared" si="26"/>
        <v>0</v>
      </c>
      <c r="K2432" s="44"/>
      <c r="L2432" s="44"/>
      <c r="M2432" s="44"/>
      <c r="N2432" s="44"/>
      <c r="O2432" s="88"/>
      <c r="P2432" s="88"/>
    </row>
    <row r="2433" ht="15.0" customHeight="1">
      <c r="A2433" s="12" t="str">
        <f t="shared" si="31"/>
        <v>RDR-CITY14TSG</v>
      </c>
      <c r="B2433" s="13" t="s">
        <v>2710</v>
      </c>
      <c r="C2433" s="13" t="s">
        <v>378</v>
      </c>
      <c r="D2433" s="13" t="s">
        <v>86</v>
      </c>
      <c r="E2433" s="13" t="s">
        <v>2543</v>
      </c>
      <c r="F2433" s="44"/>
      <c r="G2433" s="11"/>
      <c r="H2433" s="11">
        <f>SUMIFS(X!$F$3:$F$5978,X!$D$3:$D$5978,'Current Stock'!A2433)</f>
        <v>1</v>
      </c>
      <c r="I2433" s="11">
        <f>SUMIFS(PENJUALAN!$E$4:$E$3651,PENJUALAN!$C$4:$C$3651,'Current Stock'!A2433)</f>
        <v>1</v>
      </c>
      <c r="J2433" s="15">
        <f t="shared" si="26"/>
        <v>0</v>
      </c>
      <c r="K2433" s="44"/>
      <c r="L2433" s="44"/>
      <c r="M2433" s="44"/>
      <c r="N2433" s="44"/>
      <c r="O2433" s="88"/>
      <c r="P2433" s="88"/>
    </row>
    <row r="2434" ht="15.0" customHeight="1">
      <c r="A2434" s="12" t="str">
        <f t="shared" si="31"/>
        <v>RDL-CITY14TSG</v>
      </c>
      <c r="B2434" s="13" t="s">
        <v>2711</v>
      </c>
      <c r="C2434" s="13" t="s">
        <v>378</v>
      </c>
      <c r="D2434" s="13" t="s">
        <v>92</v>
      </c>
      <c r="E2434" s="13" t="s">
        <v>2543</v>
      </c>
      <c r="F2434" s="44"/>
      <c r="G2434" s="11"/>
      <c r="H2434" s="11">
        <f>SUMIFS(X!$F$3:$F$5978,X!$D$3:$D$5978,'Current Stock'!A2434)</f>
        <v>0</v>
      </c>
      <c r="I2434" s="11">
        <f>SUMIFS(PENJUALAN!$E$4:$E$3651,PENJUALAN!$C$4:$C$3651,'Current Stock'!A2434)</f>
        <v>0</v>
      </c>
      <c r="J2434" s="15">
        <f t="shared" si="26"/>
        <v>0</v>
      </c>
      <c r="K2434" s="44"/>
      <c r="L2434" s="44"/>
      <c r="M2434" s="44"/>
      <c r="N2434" s="44"/>
      <c r="O2434" s="88"/>
      <c r="P2434" s="88"/>
    </row>
    <row r="2435" ht="15.0" customHeight="1">
      <c r="A2435" s="12" t="str">
        <f t="shared" si="31"/>
        <v>RDR-SIRION18AGC</v>
      </c>
      <c r="B2435" s="13" t="s">
        <v>2712</v>
      </c>
      <c r="C2435" s="13" t="s">
        <v>2713</v>
      </c>
      <c r="D2435" s="13" t="s">
        <v>86</v>
      </c>
      <c r="E2435" s="13" t="s">
        <v>101</v>
      </c>
      <c r="F2435" s="44"/>
      <c r="G2435" s="11"/>
      <c r="H2435" s="11">
        <f>SUMIFS(X!$F$3:$F$5978,X!$D$3:$D$5978,'Current Stock'!A2435)</f>
        <v>1</v>
      </c>
      <c r="I2435" s="11">
        <f>SUMIFS(PENJUALAN!$E$4:$E$3651,PENJUALAN!$C$4:$C$3651,'Current Stock'!A2435)</f>
        <v>1</v>
      </c>
      <c r="J2435" s="15">
        <f t="shared" si="26"/>
        <v>0</v>
      </c>
      <c r="K2435" s="44"/>
      <c r="L2435" s="44"/>
      <c r="M2435" s="44"/>
      <c r="N2435" s="44"/>
      <c r="O2435" s="88"/>
      <c r="P2435" s="88"/>
    </row>
    <row r="2436" ht="15.0" customHeight="1">
      <c r="A2436" s="12" t="str">
        <f t="shared" si="31"/>
        <v>LFW-VIOS23XYG</v>
      </c>
      <c r="B2436" s="13" t="s">
        <v>2714</v>
      </c>
      <c r="C2436" s="13" t="s">
        <v>2715</v>
      </c>
      <c r="D2436" s="13" t="s">
        <v>60</v>
      </c>
      <c r="E2436" s="13" t="s">
        <v>16</v>
      </c>
      <c r="F2436" s="13" t="s">
        <v>137</v>
      </c>
      <c r="G2436" s="11"/>
      <c r="H2436" s="11">
        <f>SUMIFS(X!$F$3:$F$5978,X!$D$3:$D$5978,'Current Stock'!A2436)</f>
        <v>2</v>
      </c>
      <c r="I2436" s="11">
        <f>SUMIFS(PENJUALAN!$E$4:$E$3651,PENJUALAN!$C$4:$C$3651,'Current Stock'!A2436)</f>
        <v>1</v>
      </c>
      <c r="J2436" s="15">
        <f t="shared" si="26"/>
        <v>1</v>
      </c>
      <c r="K2436" s="44"/>
      <c r="L2436" s="44"/>
      <c r="M2436" s="44"/>
      <c r="N2436" s="44"/>
      <c r="O2436" s="88"/>
      <c r="P2436" s="88"/>
    </row>
    <row r="2437" ht="15.0" customHeight="1">
      <c r="A2437" s="12" t="str">
        <f t="shared" si="31"/>
        <v>LFD-ESCALADE07XYG</v>
      </c>
      <c r="B2437" s="13" t="s">
        <v>2716</v>
      </c>
      <c r="C2437" s="13" t="s">
        <v>2717</v>
      </c>
      <c r="D2437" s="13" t="s">
        <v>2718</v>
      </c>
      <c r="E2437" s="13" t="s">
        <v>16</v>
      </c>
      <c r="F2437" s="44"/>
      <c r="G2437" s="11"/>
      <c r="H2437" s="11">
        <f>SUMIFS(X!$F$3:$F$5978,X!$D$3:$D$5978,'Current Stock'!A2437)</f>
        <v>0</v>
      </c>
      <c r="I2437" s="11">
        <f>SUMIFS(PENJUALAN!$E$4:$E$3651,PENJUALAN!$C$4:$C$3651,'Current Stock'!A2437)</f>
        <v>0</v>
      </c>
      <c r="J2437" s="15">
        <f t="shared" si="26"/>
        <v>0</v>
      </c>
      <c r="K2437" s="44"/>
      <c r="L2437" s="44"/>
      <c r="M2437" s="44"/>
      <c r="N2437" s="44"/>
      <c r="O2437" s="88"/>
      <c r="P2437" s="88"/>
    </row>
    <row r="2438" ht="15.0" customHeight="1">
      <c r="A2438" s="12" t="str">
        <f t="shared" si="31"/>
        <v>LFW-W202MU</v>
      </c>
      <c r="B2438" s="13" t="s">
        <v>1561</v>
      </c>
      <c r="C2438" s="13" t="s">
        <v>2719</v>
      </c>
      <c r="D2438" s="13" t="s">
        <v>60</v>
      </c>
      <c r="E2438" s="13" t="s">
        <v>1633</v>
      </c>
      <c r="F2438" s="13" t="s">
        <v>109</v>
      </c>
      <c r="G2438" s="11"/>
      <c r="H2438" s="11">
        <f>SUMIFS(X!$F$3:$F$5978,X!$D$3:$D$5978,'Current Stock'!A2438)</f>
        <v>1</v>
      </c>
      <c r="I2438" s="11">
        <f>SUMIFS(PENJUALAN!$E$4:$E$3651,PENJUALAN!$C$4:$C$3651,'Current Stock'!A2438)</f>
        <v>0</v>
      </c>
      <c r="J2438" s="15">
        <f t="shared" si="26"/>
        <v>1</v>
      </c>
      <c r="K2438" s="44"/>
      <c r="L2438" s="44"/>
      <c r="M2438" s="44"/>
      <c r="N2438" s="44"/>
      <c r="O2438" s="88"/>
      <c r="P2438" s="88"/>
    </row>
    <row r="2439" ht="15.0" customHeight="1">
      <c r="A2439" s="12" t="str">
        <f t="shared" si="31"/>
        <v>FDL-VOXY17NSG</v>
      </c>
      <c r="B2439" s="13" t="s">
        <v>2720</v>
      </c>
      <c r="C2439" s="13" t="s">
        <v>2721</v>
      </c>
      <c r="D2439" s="13" t="s">
        <v>104</v>
      </c>
      <c r="E2439" s="13" t="s">
        <v>2422</v>
      </c>
      <c r="F2439" s="13" t="s">
        <v>2142</v>
      </c>
      <c r="G2439" s="11"/>
      <c r="H2439" s="11">
        <f>SUMIFS(X!$F$3:$F$5978,X!$D$3:$D$5978,'Current Stock'!A2439)</f>
        <v>1</v>
      </c>
      <c r="I2439" s="11">
        <f>SUMIFS(PENJUALAN!$E$4:$E$3651,PENJUALAN!$C$4:$C$3651,'Current Stock'!A2439)</f>
        <v>1</v>
      </c>
      <c r="J2439" s="15">
        <f t="shared" si="26"/>
        <v>0</v>
      </c>
      <c r="K2439" s="44"/>
      <c r="L2439" s="44"/>
      <c r="M2439" s="44"/>
      <c r="N2439" s="44"/>
      <c r="O2439" s="88"/>
      <c r="P2439" s="88"/>
    </row>
    <row r="2440" ht="15.0" customHeight="1">
      <c r="A2440" s="12" t="str">
        <f t="shared" si="31"/>
        <v>FVL-VOXY17AGC</v>
      </c>
      <c r="B2440" s="13" t="s">
        <v>2722</v>
      </c>
      <c r="C2440" s="13" t="s">
        <v>2721</v>
      </c>
      <c r="D2440" s="13" t="s">
        <v>2723</v>
      </c>
      <c r="E2440" s="13" t="s">
        <v>101</v>
      </c>
      <c r="F2440" s="13" t="s">
        <v>2724</v>
      </c>
      <c r="G2440" s="11"/>
      <c r="H2440" s="11">
        <f>SUMIFS(X!$F$3:$F$5978,X!$D$3:$D$5978,'Current Stock'!A2440)</f>
        <v>1</v>
      </c>
      <c r="I2440" s="11">
        <f>SUMIFS(PENJUALAN!$E$4:$E$3651,PENJUALAN!$C$4:$C$3651,'Current Stock'!A2440)</f>
        <v>0</v>
      </c>
      <c r="J2440" s="15">
        <f t="shared" si="26"/>
        <v>1</v>
      </c>
      <c r="K2440" s="44"/>
      <c r="L2440" s="44"/>
      <c r="M2440" s="44"/>
      <c r="N2440" s="44"/>
      <c r="O2440" s="88"/>
      <c r="P2440" s="88"/>
    </row>
    <row r="2441" ht="15.0" customHeight="1">
      <c r="A2441" s="12" t="str">
        <f t="shared" si="31"/>
        <v>SWL-CX3NSG</v>
      </c>
      <c r="B2441" s="13" t="s">
        <v>2725</v>
      </c>
      <c r="C2441" s="13" t="s">
        <v>1538</v>
      </c>
      <c r="D2441" s="13" t="s">
        <v>1410</v>
      </c>
      <c r="E2441" s="13" t="s">
        <v>2422</v>
      </c>
      <c r="F2441" s="13" t="s">
        <v>2443</v>
      </c>
      <c r="G2441" s="11"/>
      <c r="H2441" s="11">
        <f>SUMIFS(X!$F$3:$F$5978,X!$D$3:$D$5978,'Current Stock'!A2441)</f>
        <v>1</v>
      </c>
      <c r="I2441" s="11">
        <f>SUMIFS(PENJUALAN!$E$4:$E$3651,PENJUALAN!$C$4:$C$3651,'Current Stock'!A2441)</f>
        <v>1</v>
      </c>
      <c r="J2441" s="15">
        <f t="shared" si="26"/>
        <v>0</v>
      </c>
      <c r="K2441" s="44"/>
      <c r="L2441" s="44"/>
      <c r="M2441" s="44"/>
      <c r="N2441" s="44"/>
      <c r="O2441" s="88"/>
      <c r="P2441" s="88"/>
    </row>
    <row r="2442" ht="15.0" customHeight="1">
      <c r="A2442" s="12" t="str">
        <f t="shared" si="31"/>
        <v/>
      </c>
      <c r="B2442" s="44"/>
      <c r="C2442" s="44"/>
      <c r="D2442" s="44"/>
      <c r="E2442" s="44"/>
      <c r="F2442" s="44"/>
      <c r="G2442" s="11"/>
      <c r="H2442" s="11">
        <f>SUMIFS(X!$F$3:$F$5978,X!$D$3:$D$5978,'Current Stock'!A2442)</f>
        <v>0</v>
      </c>
      <c r="I2442" s="11">
        <f>SUMIFS(PENJUALAN!$E$4:$E$3651,PENJUALAN!$C$4:$C$3651,'Current Stock'!A2442)</f>
        <v>1</v>
      </c>
      <c r="J2442" s="15">
        <f t="shared" si="26"/>
        <v>-1</v>
      </c>
      <c r="K2442" s="44"/>
      <c r="L2442" s="44"/>
      <c r="M2442" s="44"/>
      <c r="N2442" s="44"/>
      <c r="O2442" s="88"/>
      <c r="P2442" s="88"/>
    </row>
    <row r="2443" ht="15.0" customHeight="1">
      <c r="A2443" s="12" t="str">
        <f t="shared" si="31"/>
        <v/>
      </c>
      <c r="B2443" s="44"/>
      <c r="C2443" s="44"/>
      <c r="D2443" s="44"/>
      <c r="E2443" s="44"/>
      <c r="F2443" s="44"/>
      <c r="G2443" s="11"/>
      <c r="H2443" s="11">
        <f>SUMIFS(X!$F$3:$F$5978,X!$D$3:$D$5978,'Current Stock'!A2443)</f>
        <v>0</v>
      </c>
      <c r="I2443" s="11">
        <f>SUMIFS(PENJUALAN!$E$4:$E$3651,PENJUALAN!$C$4:$C$3651,'Current Stock'!A2443)</f>
        <v>1</v>
      </c>
      <c r="J2443" s="15">
        <f t="shared" si="26"/>
        <v>-1</v>
      </c>
      <c r="K2443" s="44"/>
      <c r="L2443" s="44"/>
      <c r="M2443" s="44"/>
      <c r="N2443" s="44"/>
      <c r="O2443" s="88"/>
      <c r="P2443" s="88"/>
    </row>
    <row r="2444" ht="15.0" customHeight="1">
      <c r="A2444" s="12" t="str">
        <f t="shared" si="31"/>
        <v/>
      </c>
      <c r="B2444" s="44"/>
      <c r="C2444" s="44"/>
      <c r="D2444" s="44"/>
      <c r="E2444" s="44"/>
      <c r="F2444" s="44"/>
      <c r="G2444" s="11"/>
      <c r="H2444" s="11">
        <f>SUMIFS(X!$F$3:$F$5978,X!$D$3:$D$5978,'Current Stock'!A2444)</f>
        <v>0</v>
      </c>
      <c r="I2444" s="11">
        <f>SUMIFS(PENJUALAN!$E$4:$E$3651,PENJUALAN!$C$4:$C$3651,'Current Stock'!A2444)</f>
        <v>1</v>
      </c>
      <c r="J2444" s="15">
        <f t="shared" si="26"/>
        <v>-1</v>
      </c>
      <c r="K2444" s="44"/>
      <c r="L2444" s="44"/>
      <c r="M2444" s="44"/>
      <c r="N2444" s="44"/>
      <c r="O2444" s="88"/>
      <c r="P2444" s="88"/>
    </row>
    <row r="2445" ht="15.0" customHeight="1">
      <c r="A2445" s="12" t="str">
        <f t="shared" si="31"/>
        <v/>
      </c>
      <c r="B2445" s="44"/>
      <c r="C2445" s="44"/>
      <c r="D2445" s="44"/>
      <c r="E2445" s="44"/>
      <c r="F2445" s="44"/>
      <c r="G2445" s="11"/>
      <c r="H2445" s="11">
        <f>SUMIFS(X!$F$3:$F$5978,X!$D$3:$D$5978,'Current Stock'!A2445)</f>
        <v>0</v>
      </c>
      <c r="I2445" s="11">
        <f>SUMIFS(PENJUALAN!$E$4:$E$3651,PENJUALAN!$C$4:$C$3651,'Current Stock'!A2445)</f>
        <v>1</v>
      </c>
      <c r="J2445" s="15">
        <f t="shared" si="26"/>
        <v>-1</v>
      </c>
      <c r="K2445" s="44"/>
      <c r="L2445" s="44"/>
      <c r="M2445" s="44"/>
      <c r="N2445" s="44"/>
      <c r="O2445" s="88"/>
      <c r="P2445" s="88"/>
    </row>
    <row r="2446" ht="15.0" customHeight="1">
      <c r="A2446" s="12" t="str">
        <f t="shared" si="31"/>
        <v/>
      </c>
      <c r="B2446" s="44"/>
      <c r="C2446" s="44"/>
      <c r="D2446" s="44"/>
      <c r="E2446" s="44"/>
      <c r="F2446" s="44"/>
      <c r="G2446" s="11"/>
      <c r="H2446" s="11">
        <f>SUMIFS(X!$F$3:$F$5978,X!$D$3:$D$5978,'Current Stock'!A2446)</f>
        <v>0</v>
      </c>
      <c r="I2446" s="11">
        <f>SUMIFS(PENJUALAN!$E$4:$E$3651,PENJUALAN!$C$4:$C$3651,'Current Stock'!A2446)</f>
        <v>1</v>
      </c>
      <c r="J2446" s="15">
        <f t="shared" si="26"/>
        <v>-1</v>
      </c>
      <c r="K2446" s="44"/>
      <c r="L2446" s="44"/>
      <c r="M2446" s="44"/>
      <c r="N2446" s="44"/>
      <c r="O2446" s="88"/>
      <c r="P2446" s="88"/>
    </row>
    <row r="2447" ht="15.0" customHeight="1">
      <c r="A2447" s="12" t="str">
        <f t="shared" si="31"/>
        <v/>
      </c>
      <c r="B2447" s="44"/>
      <c r="C2447" s="44"/>
      <c r="D2447" s="44"/>
      <c r="E2447" s="44"/>
      <c r="F2447" s="44"/>
      <c r="G2447" s="11"/>
      <c r="H2447" s="11">
        <f>SUMIFS(X!$F$3:$F$5978,X!$D$3:$D$5978,'Current Stock'!A2447)</f>
        <v>0</v>
      </c>
      <c r="I2447" s="11">
        <f>SUMIFS(PENJUALAN!$E$4:$E$3651,PENJUALAN!$C$4:$C$3651,'Current Stock'!A2447)</f>
        <v>1</v>
      </c>
      <c r="J2447" s="15">
        <f t="shared" si="26"/>
        <v>-1</v>
      </c>
      <c r="K2447" s="44"/>
      <c r="L2447" s="44"/>
      <c r="M2447" s="44"/>
      <c r="N2447" s="44"/>
      <c r="O2447" s="88"/>
      <c r="P2447" s="88"/>
    </row>
    <row r="2448" ht="15.0" customHeight="1">
      <c r="A2448" s="12" t="str">
        <f t="shared" si="31"/>
        <v/>
      </c>
      <c r="B2448" s="44"/>
      <c r="C2448" s="44"/>
      <c r="D2448" s="44"/>
      <c r="E2448" s="44"/>
      <c r="F2448" s="44"/>
      <c r="G2448" s="11"/>
      <c r="H2448" s="11">
        <f>SUMIFS(X!$F$3:$F$5978,X!$D$3:$D$5978,'Current Stock'!A2448)</f>
        <v>0</v>
      </c>
      <c r="I2448" s="11">
        <f>SUMIFS(PENJUALAN!$E$4:$E$3651,PENJUALAN!$C$4:$C$3651,'Current Stock'!A2448)</f>
        <v>1</v>
      </c>
      <c r="J2448" s="15">
        <f t="shared" si="26"/>
        <v>-1</v>
      </c>
      <c r="K2448" s="44"/>
      <c r="L2448" s="44"/>
      <c r="M2448" s="44"/>
      <c r="N2448" s="44"/>
      <c r="O2448" s="88"/>
      <c r="P2448" s="88"/>
    </row>
    <row r="2449" ht="15.0" customHeight="1">
      <c r="A2449" s="12" t="str">
        <f t="shared" si="31"/>
        <v/>
      </c>
      <c r="B2449" s="44"/>
      <c r="C2449" s="44"/>
      <c r="D2449" s="44"/>
      <c r="E2449" s="44"/>
      <c r="F2449" s="44"/>
      <c r="G2449" s="11"/>
      <c r="H2449" s="11">
        <f>SUMIFS(X!$F$3:$F$5978,X!$D$3:$D$5978,'Current Stock'!A2449)</f>
        <v>0</v>
      </c>
      <c r="I2449" s="44"/>
      <c r="J2449" s="15">
        <f t="shared" si="26"/>
        <v>0</v>
      </c>
      <c r="K2449" s="44"/>
      <c r="L2449" s="44"/>
      <c r="M2449" s="44"/>
      <c r="N2449" s="44"/>
      <c r="O2449" s="88"/>
      <c r="P2449" s="88"/>
    </row>
    <row r="2450" ht="15.0" customHeight="1">
      <c r="A2450" s="12" t="str">
        <f t="shared" si="31"/>
        <v/>
      </c>
      <c r="B2450" s="44"/>
      <c r="C2450" s="44"/>
      <c r="D2450" s="44"/>
      <c r="E2450" s="44"/>
      <c r="F2450" s="44"/>
      <c r="G2450" s="11"/>
      <c r="H2450" s="11">
        <f>SUMIFS(X!$F$3:$F$5978,X!$D$3:$D$5978,'Current Stock'!A2450)</f>
        <v>0</v>
      </c>
      <c r="I2450" s="44"/>
      <c r="J2450" s="15">
        <f t="shared" si="26"/>
        <v>0</v>
      </c>
      <c r="K2450" s="44"/>
      <c r="L2450" s="44"/>
      <c r="M2450" s="44"/>
      <c r="N2450" s="44"/>
      <c r="O2450" s="88"/>
      <c r="P2450" s="88"/>
    </row>
    <row r="2451" ht="15.0" customHeight="1">
      <c r="A2451" s="12" t="str">
        <f t="shared" si="31"/>
        <v/>
      </c>
      <c r="B2451" s="44"/>
      <c r="C2451" s="44"/>
      <c r="D2451" s="44"/>
      <c r="E2451" s="44"/>
      <c r="F2451" s="44"/>
      <c r="G2451" s="11"/>
      <c r="H2451" s="11">
        <f>SUMIFS(X!$F$3:$F$5978,X!$D$3:$D$5978,'Current Stock'!A2451)</f>
        <v>0</v>
      </c>
      <c r="I2451" s="44"/>
      <c r="J2451" s="15">
        <f t="shared" si="26"/>
        <v>0</v>
      </c>
      <c r="K2451" s="44"/>
      <c r="L2451" s="44"/>
      <c r="M2451" s="44"/>
      <c r="N2451" s="44"/>
      <c r="O2451" s="88"/>
      <c r="P2451" s="88"/>
    </row>
    <row r="2452" ht="15.0" customHeight="1">
      <c r="A2452" s="12" t="str">
        <f t="shared" si="31"/>
        <v/>
      </c>
      <c r="B2452" s="44"/>
      <c r="C2452" s="44"/>
      <c r="D2452" s="44"/>
      <c r="E2452" s="44"/>
      <c r="F2452" s="44"/>
      <c r="G2452" s="11"/>
      <c r="H2452" s="11">
        <f>SUMIFS(X!$F$3:$F$5978,X!$D$3:$D$5978,'Current Stock'!A2452)</f>
        <v>0</v>
      </c>
      <c r="I2452" s="44"/>
      <c r="J2452" s="15">
        <f t="shared" si="26"/>
        <v>0</v>
      </c>
      <c r="K2452" s="44"/>
      <c r="L2452" s="44"/>
      <c r="M2452" s="44"/>
      <c r="N2452" s="44"/>
      <c r="O2452" s="88"/>
      <c r="P2452" s="88"/>
    </row>
    <row r="2453" ht="15.0" customHeight="1">
      <c r="A2453" s="12" t="str">
        <f t="shared" si="31"/>
        <v/>
      </c>
      <c r="B2453" s="44"/>
      <c r="C2453" s="44"/>
      <c r="D2453" s="44"/>
      <c r="E2453" s="44"/>
      <c r="F2453" s="44"/>
      <c r="G2453" s="11"/>
      <c r="H2453" s="11">
        <f>SUMIFS(X!$F$3:$F$5978,X!$D$3:$D$5978,'Current Stock'!A2453)</f>
        <v>0</v>
      </c>
      <c r="I2453" s="44"/>
      <c r="J2453" s="15">
        <f t="shared" si="26"/>
        <v>0</v>
      </c>
      <c r="K2453" s="44"/>
      <c r="L2453" s="44"/>
      <c r="M2453" s="44"/>
      <c r="N2453" s="44"/>
      <c r="O2453" s="88"/>
      <c r="P2453" s="88"/>
    </row>
    <row r="2454" ht="15.0" customHeight="1">
      <c r="A2454" s="12" t="str">
        <f t="shared" si="31"/>
        <v/>
      </c>
      <c r="B2454" s="44"/>
      <c r="C2454" s="44"/>
      <c r="D2454" s="44"/>
      <c r="E2454" s="44"/>
      <c r="F2454" s="44"/>
      <c r="G2454" s="11"/>
      <c r="H2454" s="11">
        <f>SUMIFS(X!$F$3:$F$5978,X!$D$3:$D$5978,'Current Stock'!A2454)</f>
        <v>0</v>
      </c>
      <c r="I2454" s="44"/>
      <c r="J2454" s="15">
        <f t="shared" si="26"/>
        <v>0</v>
      </c>
      <c r="K2454" s="44"/>
      <c r="L2454" s="44"/>
      <c r="M2454" s="44"/>
      <c r="N2454" s="44"/>
      <c r="O2454" s="88"/>
      <c r="P2454" s="88"/>
    </row>
    <row r="2455" ht="15.0" customHeight="1">
      <c r="A2455" s="12" t="str">
        <f t="shared" si="31"/>
        <v/>
      </c>
      <c r="B2455" s="44"/>
      <c r="C2455" s="44"/>
      <c r="D2455" s="44"/>
      <c r="E2455" s="44"/>
      <c r="F2455" s="44"/>
      <c r="G2455" s="11"/>
      <c r="H2455" s="11">
        <f>SUMIFS(X!$F$3:$F$5978,X!$D$3:$D$5978,'Current Stock'!A2455)</f>
        <v>0</v>
      </c>
      <c r="I2455" s="44"/>
      <c r="J2455" s="15">
        <f t="shared" si="26"/>
        <v>0</v>
      </c>
      <c r="K2455" s="44"/>
      <c r="L2455" s="44"/>
      <c r="M2455" s="44"/>
      <c r="N2455" s="44"/>
      <c r="O2455" s="88"/>
      <c r="P2455" s="88"/>
    </row>
    <row r="2456" ht="15.0" customHeight="1">
      <c r="A2456" s="12" t="str">
        <f t="shared" si="31"/>
        <v/>
      </c>
      <c r="B2456" s="44"/>
      <c r="C2456" s="44"/>
      <c r="D2456" s="44"/>
      <c r="E2456" s="44"/>
      <c r="F2456" s="44"/>
      <c r="G2456" s="11"/>
      <c r="H2456" s="11">
        <f>SUMIFS(X!$F$3:$F$5978,X!$D$3:$D$5978,'Current Stock'!A2456)</f>
        <v>0</v>
      </c>
      <c r="I2456" s="44"/>
      <c r="J2456" s="15">
        <f t="shared" si="26"/>
        <v>0</v>
      </c>
      <c r="K2456" s="44"/>
      <c r="L2456" s="44"/>
      <c r="M2456" s="44"/>
      <c r="N2456" s="44"/>
      <c r="O2456" s="88"/>
      <c r="P2456" s="88"/>
    </row>
    <row r="2457" ht="15.0" customHeight="1">
      <c r="A2457" s="12" t="str">
        <f t="shared" si="31"/>
        <v/>
      </c>
      <c r="B2457" s="44"/>
      <c r="C2457" s="44"/>
      <c r="D2457" s="44"/>
      <c r="E2457" s="44"/>
      <c r="F2457" s="44"/>
      <c r="G2457" s="11"/>
      <c r="H2457" s="11">
        <f>SUMIFS(X!$F$3:$F$5978,X!$D$3:$D$5978,'Current Stock'!A2457)</f>
        <v>0</v>
      </c>
      <c r="I2457" s="44"/>
      <c r="J2457" s="15">
        <f t="shared" si="26"/>
        <v>0</v>
      </c>
      <c r="K2457" s="44"/>
      <c r="L2457" s="44"/>
      <c r="M2457" s="44"/>
      <c r="N2457" s="44"/>
      <c r="O2457" s="88"/>
      <c r="P2457" s="88"/>
    </row>
    <row r="2458" ht="15.0" customHeight="1">
      <c r="A2458" s="12" t="str">
        <f t="shared" si="31"/>
        <v/>
      </c>
      <c r="B2458" s="44"/>
      <c r="C2458" s="44"/>
      <c r="D2458" s="44"/>
      <c r="E2458" s="44"/>
      <c r="F2458" s="44"/>
      <c r="G2458" s="11"/>
      <c r="H2458" s="11">
        <f>SUMIFS(X!$F$3:$F$5978,X!$D$3:$D$5978,'Current Stock'!A2458)</f>
        <v>0</v>
      </c>
      <c r="I2458" s="44"/>
      <c r="J2458" s="15">
        <f t="shared" si="26"/>
        <v>0</v>
      </c>
      <c r="K2458" s="44"/>
      <c r="L2458" s="44"/>
      <c r="M2458" s="44"/>
      <c r="N2458" s="44"/>
      <c r="O2458" s="88"/>
      <c r="P2458" s="88"/>
    </row>
    <row r="2459" ht="15.0" customHeight="1">
      <c r="A2459" s="12" t="str">
        <f t="shared" si="31"/>
        <v/>
      </c>
      <c r="B2459" s="44"/>
      <c r="C2459" s="44"/>
      <c r="D2459" s="44"/>
      <c r="E2459" s="44"/>
      <c r="F2459" s="44"/>
      <c r="G2459" s="11"/>
      <c r="H2459" s="11">
        <f>SUMIFS(X!$F$3:$F$5978,X!$D$3:$D$5978,'Current Stock'!A2459)</f>
        <v>0</v>
      </c>
      <c r="I2459" s="44"/>
      <c r="J2459" s="15">
        <f t="shared" si="26"/>
        <v>0</v>
      </c>
      <c r="K2459" s="44"/>
      <c r="L2459" s="44"/>
      <c r="M2459" s="44"/>
      <c r="N2459" s="44"/>
      <c r="O2459" s="88"/>
      <c r="P2459" s="88"/>
    </row>
    <row r="2460" ht="15.0" customHeight="1">
      <c r="A2460" s="12" t="str">
        <f t="shared" si="31"/>
        <v/>
      </c>
      <c r="B2460" s="44"/>
      <c r="C2460" s="44"/>
      <c r="D2460" s="44"/>
      <c r="E2460" s="44"/>
      <c r="F2460" s="44"/>
      <c r="G2460" s="11"/>
      <c r="H2460" s="11">
        <f>SUMIFS(X!$F$3:$F$5978,X!$D$3:$D$5978,'Current Stock'!A2460)</f>
        <v>0</v>
      </c>
      <c r="I2460" s="44"/>
      <c r="J2460" s="15">
        <f t="shared" si="26"/>
        <v>0</v>
      </c>
      <c r="K2460" s="44"/>
      <c r="L2460" s="44"/>
      <c r="M2460" s="44"/>
      <c r="N2460" s="44"/>
      <c r="O2460" s="88"/>
      <c r="P2460" s="88"/>
    </row>
    <row r="2461" ht="15.0" customHeight="1">
      <c r="A2461" s="12" t="str">
        <f t="shared" si="31"/>
        <v/>
      </c>
      <c r="B2461" s="44"/>
      <c r="C2461" s="44"/>
      <c r="D2461" s="44"/>
      <c r="E2461" s="44"/>
      <c r="F2461" s="44"/>
      <c r="G2461" s="11"/>
      <c r="H2461" s="11">
        <f>SUMIFS(X!$F$3:$F$5978,X!$D$3:$D$5978,'Current Stock'!A2461)</f>
        <v>0</v>
      </c>
      <c r="I2461" s="44"/>
      <c r="J2461" s="15">
        <f t="shared" si="26"/>
        <v>0</v>
      </c>
      <c r="K2461" s="44"/>
      <c r="L2461" s="44"/>
      <c r="M2461" s="44"/>
      <c r="N2461" s="44"/>
      <c r="O2461" s="88"/>
      <c r="P2461" s="88"/>
    </row>
    <row r="2462" ht="15.0" customHeight="1">
      <c r="A2462" s="12" t="str">
        <f t="shared" si="31"/>
        <v/>
      </c>
      <c r="B2462" s="44"/>
      <c r="C2462" s="44"/>
      <c r="D2462" s="44"/>
      <c r="E2462" s="44"/>
      <c r="F2462" s="44"/>
      <c r="G2462" s="11"/>
      <c r="H2462" s="11">
        <f>SUMIFS(X!$F$3:$F$5978,X!$D$3:$D$5978,'Current Stock'!A2462)</f>
        <v>0</v>
      </c>
      <c r="I2462" s="44"/>
      <c r="J2462" s="15">
        <f t="shared" si="26"/>
        <v>0</v>
      </c>
      <c r="K2462" s="44"/>
      <c r="L2462" s="44"/>
      <c r="M2462" s="44"/>
      <c r="N2462" s="44"/>
      <c r="O2462" s="88"/>
      <c r="P2462" s="88"/>
    </row>
    <row r="2463" ht="15.0" customHeight="1">
      <c r="A2463" s="12" t="str">
        <f t="shared" si="31"/>
        <v/>
      </c>
      <c r="B2463" s="44"/>
      <c r="C2463" s="44"/>
      <c r="D2463" s="44"/>
      <c r="E2463" s="44"/>
      <c r="F2463" s="44"/>
      <c r="G2463" s="11"/>
      <c r="H2463" s="11">
        <f>SUMIFS(X!$F$3:$F$5978,X!$D$3:$D$5978,'Current Stock'!A2463)</f>
        <v>0</v>
      </c>
      <c r="I2463" s="44"/>
      <c r="J2463" s="15">
        <f t="shared" si="26"/>
        <v>0</v>
      </c>
      <c r="K2463" s="44"/>
      <c r="L2463" s="44"/>
      <c r="M2463" s="44"/>
      <c r="N2463" s="44"/>
      <c r="O2463" s="88"/>
      <c r="P2463" s="88"/>
    </row>
    <row r="2464" ht="15.0" customHeight="1">
      <c r="A2464" s="44"/>
      <c r="B2464" s="44"/>
      <c r="C2464" s="44"/>
      <c r="D2464" s="44"/>
      <c r="E2464" s="44"/>
      <c r="F2464" s="44"/>
      <c r="G2464" s="11"/>
      <c r="H2464" s="11">
        <f>SUMIFS(X!$F$3:$F$5978,X!$D$3:$D$5978,'Current Stock'!A2464)</f>
        <v>0</v>
      </c>
      <c r="I2464" s="44"/>
      <c r="J2464" s="15">
        <f t="shared" si="26"/>
        <v>0</v>
      </c>
      <c r="K2464" s="44"/>
      <c r="L2464" s="44"/>
      <c r="M2464" s="44"/>
      <c r="N2464" s="44"/>
      <c r="O2464" s="88"/>
      <c r="P2464" s="88"/>
    </row>
    <row r="2465" ht="15.0" customHeight="1">
      <c r="A2465" s="44"/>
      <c r="B2465" s="44"/>
      <c r="C2465" s="44"/>
      <c r="D2465" s="44"/>
      <c r="E2465" s="44"/>
      <c r="F2465" s="44"/>
      <c r="G2465" s="11"/>
      <c r="H2465" s="11">
        <f>SUMIFS(X!$F$3:$F$5978,X!$D$3:$D$5978,'Current Stock'!A2465)</f>
        <v>0</v>
      </c>
      <c r="I2465" s="44"/>
      <c r="J2465" s="15">
        <f t="shared" si="26"/>
        <v>0</v>
      </c>
      <c r="K2465" s="44"/>
      <c r="L2465" s="44"/>
      <c r="M2465" s="44"/>
      <c r="N2465" s="44"/>
      <c r="O2465" s="88"/>
      <c r="P2465" s="88"/>
    </row>
    <row r="2466" ht="15.0" customHeight="1">
      <c r="A2466" s="44"/>
      <c r="B2466" s="44"/>
      <c r="C2466" s="44"/>
      <c r="D2466" s="44"/>
      <c r="E2466" s="44"/>
      <c r="F2466" s="44"/>
      <c r="G2466" s="11"/>
      <c r="H2466" s="11">
        <f>SUMIFS(X!$F$3:$F$5978,X!$D$3:$D$5978,'Current Stock'!A2466)</f>
        <v>0</v>
      </c>
      <c r="I2466" s="44"/>
      <c r="J2466" s="15">
        <f t="shared" si="26"/>
        <v>0</v>
      </c>
      <c r="K2466" s="44"/>
      <c r="L2466" s="44"/>
      <c r="M2466" s="44"/>
      <c r="N2466" s="44"/>
      <c r="O2466" s="88"/>
      <c r="P2466" s="88"/>
    </row>
    <row r="2467" ht="15.0" customHeight="1">
      <c r="A2467" s="44"/>
      <c r="B2467" s="44"/>
      <c r="C2467" s="44"/>
      <c r="D2467" s="44"/>
      <c r="E2467" s="44"/>
      <c r="F2467" s="44"/>
      <c r="G2467" s="11"/>
      <c r="H2467" s="11">
        <f>SUMIFS(X!$F$3:$F$5978,X!$D$3:$D$5978,'Current Stock'!A2467)</f>
        <v>0</v>
      </c>
      <c r="I2467" s="44"/>
      <c r="J2467" s="15">
        <f t="shared" si="26"/>
        <v>0</v>
      </c>
      <c r="K2467" s="44"/>
      <c r="L2467" s="44"/>
      <c r="M2467" s="44"/>
      <c r="N2467" s="44"/>
      <c r="O2467" s="88"/>
      <c r="P2467" s="88"/>
    </row>
    <row r="2468" ht="15.0" customHeight="1">
      <c r="A2468" s="44"/>
      <c r="B2468" s="44"/>
      <c r="C2468" s="44"/>
      <c r="D2468" s="44"/>
      <c r="E2468" s="44"/>
      <c r="F2468" s="44"/>
      <c r="G2468" s="11"/>
      <c r="H2468" s="11">
        <f>SUMIFS(X!$F$3:$F$5978,X!$D$3:$D$5978,'Current Stock'!A2468)</f>
        <v>0</v>
      </c>
      <c r="I2468" s="44"/>
      <c r="J2468" s="15">
        <f t="shared" si="26"/>
        <v>0</v>
      </c>
      <c r="K2468" s="44"/>
      <c r="L2468" s="44"/>
      <c r="M2468" s="44"/>
      <c r="N2468" s="44"/>
      <c r="O2468" s="88"/>
      <c r="P2468" s="88"/>
    </row>
    <row r="2469" ht="15.0" customHeight="1">
      <c r="A2469" s="44"/>
      <c r="B2469" s="44"/>
      <c r="C2469" s="44"/>
      <c r="D2469" s="44"/>
      <c r="E2469" s="44"/>
      <c r="F2469" s="44"/>
      <c r="G2469" s="11"/>
      <c r="H2469" s="11">
        <f>SUMIFS(X!$F$3:$F$5978,X!$D$3:$D$5978,'Current Stock'!A2469)</f>
        <v>0</v>
      </c>
      <c r="I2469" s="44"/>
      <c r="J2469" s="15">
        <f t="shared" si="26"/>
        <v>0</v>
      </c>
      <c r="K2469" s="44"/>
      <c r="L2469" s="44"/>
      <c r="M2469" s="44"/>
      <c r="N2469" s="44"/>
      <c r="O2469" s="88"/>
      <c r="P2469" s="88"/>
    </row>
    <row r="2470" ht="15.0" customHeight="1">
      <c r="A2470" s="44"/>
      <c r="B2470" s="44"/>
      <c r="C2470" s="44"/>
      <c r="D2470" s="44"/>
      <c r="E2470" s="44"/>
      <c r="F2470" s="44"/>
      <c r="G2470" s="11"/>
      <c r="H2470" s="11">
        <f>SUMIFS(X!$F$3:$F$5978,X!$D$3:$D$5978,'Current Stock'!A2470)</f>
        <v>0</v>
      </c>
      <c r="I2470" s="44"/>
      <c r="J2470" s="114"/>
      <c r="K2470" s="44"/>
      <c r="L2470" s="44"/>
      <c r="M2470" s="44"/>
      <c r="N2470" s="44"/>
      <c r="O2470" s="88"/>
      <c r="P2470" s="88"/>
    </row>
    <row r="2471" ht="15.0" customHeight="1">
      <c r="A2471" s="44"/>
      <c r="B2471" s="44"/>
      <c r="C2471" s="44"/>
      <c r="D2471" s="44"/>
      <c r="E2471" s="44"/>
      <c r="F2471" s="44"/>
      <c r="G2471" s="11"/>
      <c r="H2471" s="11">
        <f>SUMIFS(X!$F$3:$F$5978,X!$D$3:$D$5978,'Current Stock'!A2471)</f>
        <v>0</v>
      </c>
      <c r="I2471" s="44"/>
      <c r="J2471" s="114"/>
      <c r="K2471" s="44"/>
      <c r="L2471" s="44"/>
      <c r="M2471" s="44"/>
      <c r="N2471" s="44"/>
      <c r="O2471" s="88"/>
      <c r="P2471" s="88"/>
    </row>
    <row r="2472" ht="15.0" customHeight="1">
      <c r="A2472" s="44"/>
      <c r="B2472" s="44"/>
      <c r="C2472" s="44"/>
      <c r="D2472" s="44"/>
      <c r="E2472" s="44"/>
      <c r="F2472" s="44"/>
      <c r="G2472" s="11"/>
      <c r="H2472" s="11">
        <f>SUMIFS(X!$F$3:$F$5978,X!$D$3:$D$5978,'Current Stock'!A2472)</f>
        <v>0</v>
      </c>
      <c r="I2472" s="44"/>
      <c r="J2472" s="114"/>
      <c r="K2472" s="44"/>
      <c r="L2472" s="44"/>
      <c r="M2472" s="44"/>
      <c r="N2472" s="44"/>
      <c r="O2472" s="88"/>
      <c r="P2472" s="88"/>
    </row>
    <row r="2473" ht="15.0" customHeight="1">
      <c r="A2473" s="44"/>
      <c r="B2473" s="44"/>
      <c r="C2473" s="44"/>
      <c r="D2473" s="44"/>
      <c r="E2473" s="44"/>
      <c r="F2473" s="44"/>
      <c r="G2473" s="11"/>
      <c r="H2473" s="11">
        <f>SUMIFS(X!$F$3:$F$5978,X!$D$3:$D$5978,'Current Stock'!A2473)</f>
        <v>0</v>
      </c>
      <c r="I2473" s="44"/>
      <c r="J2473" s="114"/>
      <c r="K2473" s="44"/>
      <c r="L2473" s="44"/>
      <c r="M2473" s="44"/>
      <c r="N2473" s="44"/>
      <c r="O2473" s="88"/>
      <c r="P2473" s="88"/>
    </row>
    <row r="2474" ht="15.0" customHeight="1">
      <c r="A2474" s="44"/>
      <c r="B2474" s="44"/>
      <c r="C2474" s="44"/>
      <c r="D2474" s="44"/>
      <c r="E2474" s="44"/>
      <c r="F2474" s="44"/>
      <c r="G2474" s="11"/>
      <c r="H2474" s="11">
        <f>SUMIFS(X!$F$3:$F$5978,X!$D$3:$D$5978,'Current Stock'!A2474)</f>
        <v>0</v>
      </c>
      <c r="I2474" s="44"/>
      <c r="J2474" s="114"/>
      <c r="K2474" s="44"/>
      <c r="L2474" s="44"/>
      <c r="M2474" s="44"/>
      <c r="N2474" s="44"/>
      <c r="O2474" s="88"/>
      <c r="P2474" s="88"/>
    </row>
    <row r="2475" ht="15.0" customHeight="1">
      <c r="A2475" s="44"/>
      <c r="B2475" s="44"/>
      <c r="C2475" s="44"/>
      <c r="D2475" s="44"/>
      <c r="E2475" s="44"/>
      <c r="F2475" s="44"/>
      <c r="G2475" s="11"/>
      <c r="H2475" s="11">
        <f>SUMIFS(X!$F$3:$F$5978,X!$D$3:$D$5978,'Current Stock'!A2475)</f>
        <v>0</v>
      </c>
      <c r="I2475" s="44"/>
      <c r="J2475" s="114"/>
      <c r="K2475" s="44"/>
      <c r="L2475" s="44"/>
      <c r="M2475" s="44"/>
      <c r="N2475" s="44"/>
      <c r="O2475" s="88"/>
      <c r="P2475" s="88"/>
    </row>
    <row r="2476" ht="15.0" customHeight="1">
      <c r="A2476" s="44"/>
      <c r="B2476" s="44"/>
      <c r="C2476" s="44"/>
      <c r="D2476" s="44"/>
      <c r="E2476" s="44"/>
      <c r="F2476" s="44"/>
      <c r="G2476" s="11"/>
      <c r="H2476" s="11">
        <f>SUMIFS(X!$F$3:$F$5978,X!$D$3:$D$5978,'Current Stock'!A2476)</f>
        <v>0</v>
      </c>
      <c r="I2476" s="44"/>
      <c r="J2476" s="114"/>
      <c r="K2476" s="44"/>
      <c r="L2476" s="44"/>
      <c r="M2476" s="44"/>
      <c r="N2476" s="44"/>
      <c r="O2476" s="88"/>
      <c r="P2476" s="88"/>
    </row>
    <row r="2477" ht="15.0" customHeight="1">
      <c r="A2477" s="44"/>
      <c r="B2477" s="44"/>
      <c r="C2477" s="44"/>
      <c r="D2477" s="44"/>
      <c r="E2477" s="44"/>
      <c r="F2477" s="44"/>
      <c r="G2477" s="11"/>
      <c r="H2477" s="11">
        <f>SUMIFS(X!$F$3:$F$5978,X!$D$3:$D$5978,'Current Stock'!A2477)</f>
        <v>0</v>
      </c>
      <c r="I2477" s="44"/>
      <c r="J2477" s="114"/>
      <c r="K2477" s="44"/>
      <c r="L2477" s="44"/>
      <c r="M2477" s="44"/>
      <c r="N2477" s="44"/>
      <c r="O2477" s="88"/>
      <c r="P2477" s="88"/>
    </row>
    <row r="2478" ht="15.0" customHeight="1">
      <c r="A2478" s="44"/>
      <c r="B2478" s="44"/>
      <c r="C2478" s="44"/>
      <c r="D2478" s="44"/>
      <c r="E2478" s="44"/>
      <c r="F2478" s="44"/>
      <c r="G2478" s="11"/>
      <c r="H2478" s="11">
        <f>SUMIFS(X!$F$3:$F$5978,X!$D$3:$D$5978,'Current Stock'!A2478)</f>
        <v>0</v>
      </c>
      <c r="I2478" s="44"/>
      <c r="J2478" s="114"/>
      <c r="K2478" s="44"/>
      <c r="L2478" s="44"/>
      <c r="M2478" s="44"/>
      <c r="N2478" s="44"/>
      <c r="O2478" s="88"/>
      <c r="P2478" s="88"/>
    </row>
    <row r="2479" ht="15.0" customHeight="1">
      <c r="A2479" s="44"/>
      <c r="B2479" s="44"/>
      <c r="C2479" s="44"/>
      <c r="D2479" s="44"/>
      <c r="E2479" s="44"/>
      <c r="F2479" s="44"/>
      <c r="G2479" s="11"/>
      <c r="H2479" s="11">
        <f>SUMIFS(X!$F$3:$F$5978,X!$D$3:$D$5978,'Current Stock'!A2479)</f>
        <v>0</v>
      </c>
      <c r="I2479" s="44"/>
      <c r="J2479" s="114"/>
      <c r="K2479" s="44"/>
      <c r="L2479" s="44"/>
      <c r="M2479" s="44"/>
      <c r="N2479" s="44"/>
      <c r="O2479" s="88"/>
      <c r="P2479" s="88"/>
    </row>
    <row r="2480" ht="15.0" customHeight="1">
      <c r="A2480" s="44"/>
      <c r="B2480" s="44"/>
      <c r="C2480" s="44"/>
      <c r="D2480" s="44"/>
      <c r="E2480" s="44"/>
      <c r="F2480" s="44"/>
      <c r="G2480" s="11"/>
      <c r="H2480" s="11">
        <f>SUMIFS(X!$F$3:$F$5978,X!$D$3:$D$5978,'Current Stock'!A2480)</f>
        <v>0</v>
      </c>
      <c r="I2480" s="44"/>
      <c r="J2480" s="114"/>
      <c r="K2480" s="44"/>
      <c r="L2480" s="44"/>
      <c r="M2480" s="44"/>
      <c r="N2480" s="44"/>
      <c r="O2480" s="88"/>
      <c r="P2480" s="88"/>
    </row>
    <row r="2481" ht="15.0" customHeight="1">
      <c r="A2481" s="44"/>
      <c r="B2481" s="44"/>
      <c r="C2481" s="44"/>
      <c r="D2481" s="44"/>
      <c r="E2481" s="44"/>
      <c r="F2481" s="44"/>
      <c r="G2481" s="11"/>
      <c r="H2481" s="11">
        <f>SUMIFS(X!$F$3:$F$5978,X!$D$3:$D$5978,'Current Stock'!A2481)</f>
        <v>0</v>
      </c>
      <c r="I2481" s="44"/>
      <c r="J2481" s="114"/>
      <c r="K2481" s="44"/>
      <c r="L2481" s="44"/>
      <c r="M2481" s="44"/>
      <c r="N2481" s="44"/>
      <c r="O2481" s="88"/>
      <c r="P2481" s="88"/>
    </row>
    <row r="2482" ht="15.0" customHeight="1">
      <c r="A2482" s="44"/>
      <c r="B2482" s="44"/>
      <c r="C2482" s="44"/>
      <c r="D2482" s="44"/>
      <c r="E2482" s="44"/>
      <c r="F2482" s="44"/>
      <c r="G2482" s="11"/>
      <c r="H2482" s="11">
        <f>SUMIFS(X!$F$3:$F$5978,X!$D$3:$D$5978,'Current Stock'!A2482)</f>
        <v>0</v>
      </c>
      <c r="I2482" s="44"/>
      <c r="J2482" s="114"/>
      <c r="K2482" s="44"/>
      <c r="L2482" s="44"/>
      <c r="M2482" s="44"/>
      <c r="N2482" s="44"/>
      <c r="O2482" s="88"/>
      <c r="P2482" s="88"/>
    </row>
    <row r="2483" ht="15.0" customHeight="1">
      <c r="A2483" s="44"/>
      <c r="B2483" s="44"/>
      <c r="C2483" s="44"/>
      <c r="D2483" s="44"/>
      <c r="E2483" s="44"/>
      <c r="F2483" s="44"/>
      <c r="G2483" s="11"/>
      <c r="H2483" s="11">
        <f>SUMIFS(X!$F$3:$F$5978,X!$D$3:$D$5978,'Current Stock'!A2483)</f>
        <v>0</v>
      </c>
      <c r="I2483" s="44"/>
      <c r="J2483" s="114"/>
      <c r="K2483" s="44"/>
      <c r="L2483" s="44"/>
      <c r="M2483" s="44"/>
      <c r="N2483" s="44"/>
      <c r="O2483" s="88"/>
      <c r="P2483" s="88"/>
    </row>
    <row r="2484" ht="15.0" customHeight="1">
      <c r="A2484" s="44"/>
      <c r="B2484" s="44"/>
      <c r="C2484" s="44"/>
      <c r="D2484" s="44"/>
      <c r="E2484" s="44"/>
      <c r="F2484" s="44"/>
      <c r="G2484" s="11"/>
      <c r="H2484" s="11">
        <f>SUMIFS(X!$F$3:$F$5978,X!$D$3:$D$5978,'Current Stock'!A2484)</f>
        <v>0</v>
      </c>
      <c r="I2484" s="44"/>
      <c r="J2484" s="114"/>
      <c r="K2484" s="44"/>
      <c r="L2484" s="44"/>
      <c r="M2484" s="44"/>
      <c r="N2484" s="44"/>
      <c r="O2484" s="88"/>
      <c r="P2484" s="88"/>
    </row>
    <row r="2485" ht="15.0" customHeight="1">
      <c r="A2485" s="44"/>
      <c r="B2485" s="44"/>
      <c r="C2485" s="44"/>
      <c r="D2485" s="44"/>
      <c r="E2485" s="44"/>
      <c r="F2485" s="44"/>
      <c r="G2485" s="11"/>
      <c r="H2485" s="11">
        <f>SUMIFS(X!$F$3:$F$5978,X!$D$3:$D$5978,'Current Stock'!A2485)</f>
        <v>0</v>
      </c>
      <c r="I2485" s="44"/>
      <c r="J2485" s="114"/>
      <c r="K2485" s="44"/>
      <c r="L2485" s="44"/>
      <c r="M2485" s="44"/>
      <c r="N2485" s="44"/>
      <c r="O2485" s="88"/>
      <c r="P2485" s="88"/>
    </row>
    <row r="2486" ht="15.0" customHeight="1">
      <c r="A2486" s="44"/>
      <c r="B2486" s="44"/>
      <c r="C2486" s="44"/>
      <c r="D2486" s="44"/>
      <c r="E2486" s="44"/>
      <c r="F2486" s="44"/>
      <c r="G2486" s="11"/>
      <c r="H2486" s="11">
        <f>SUMIFS(X!$F$3:$F$5978,X!$D$3:$D$5978,'Current Stock'!A2486)</f>
        <v>0</v>
      </c>
      <c r="I2486" s="44"/>
      <c r="J2486" s="114"/>
      <c r="K2486" s="44"/>
      <c r="L2486" s="44"/>
      <c r="M2486" s="44"/>
      <c r="N2486" s="44"/>
      <c r="O2486" s="88"/>
      <c r="P2486" s="88"/>
    </row>
    <row r="2487" ht="15.0" customHeight="1">
      <c r="A2487" s="44"/>
      <c r="B2487" s="44"/>
      <c r="C2487" s="44"/>
      <c r="D2487" s="44"/>
      <c r="E2487" s="44"/>
      <c r="F2487" s="44"/>
      <c r="G2487" s="11"/>
      <c r="H2487" s="11">
        <f>SUMIFS(X!$F$3:$F$5978,X!$D$3:$D$5978,'Current Stock'!A2487)</f>
        <v>0</v>
      </c>
      <c r="I2487" s="44"/>
      <c r="J2487" s="114"/>
      <c r="K2487" s="44"/>
      <c r="L2487" s="44"/>
      <c r="M2487" s="44"/>
      <c r="N2487" s="44"/>
      <c r="O2487" s="88"/>
      <c r="P2487" s="88"/>
    </row>
    <row r="2488" ht="15.0" customHeight="1">
      <c r="A2488" s="44"/>
      <c r="B2488" s="44"/>
      <c r="C2488" s="44"/>
      <c r="D2488" s="44"/>
      <c r="E2488" s="44"/>
      <c r="F2488" s="44"/>
      <c r="G2488" s="11"/>
      <c r="H2488" s="11"/>
      <c r="I2488" s="44"/>
      <c r="J2488" s="114"/>
      <c r="K2488" s="44"/>
      <c r="L2488" s="44"/>
      <c r="M2488" s="44"/>
      <c r="N2488" s="44"/>
      <c r="O2488" s="88"/>
      <c r="P2488" s="88"/>
    </row>
    <row r="2489" ht="15.0" customHeight="1">
      <c r="A2489" s="44"/>
      <c r="B2489" s="44"/>
      <c r="C2489" s="44"/>
      <c r="D2489" s="44"/>
      <c r="E2489" s="44"/>
      <c r="F2489" s="44"/>
      <c r="G2489" s="11"/>
      <c r="H2489" s="11"/>
      <c r="I2489" s="44"/>
      <c r="J2489" s="114"/>
      <c r="K2489" s="44"/>
      <c r="L2489" s="44"/>
      <c r="M2489" s="44"/>
      <c r="N2489" s="44"/>
      <c r="O2489" s="88"/>
      <c r="P2489" s="88"/>
    </row>
    <row r="2490" ht="15.0" customHeight="1">
      <c r="A2490" s="44"/>
      <c r="B2490" s="44"/>
      <c r="C2490" s="44"/>
      <c r="D2490" s="44"/>
      <c r="E2490" s="44"/>
      <c r="F2490" s="44"/>
      <c r="G2490" s="11"/>
      <c r="H2490" s="11"/>
      <c r="I2490" s="44"/>
      <c r="J2490" s="114"/>
      <c r="K2490" s="44"/>
      <c r="L2490" s="44"/>
      <c r="M2490" s="44"/>
      <c r="N2490" s="44"/>
      <c r="O2490" s="88"/>
      <c r="P2490" s="88"/>
    </row>
    <row r="2491" ht="15.0" customHeight="1">
      <c r="A2491" s="44"/>
      <c r="B2491" s="44"/>
      <c r="C2491" s="44"/>
      <c r="D2491" s="44"/>
      <c r="E2491" s="44"/>
      <c r="F2491" s="44"/>
      <c r="G2491" s="11"/>
      <c r="H2491" s="11"/>
      <c r="I2491" s="44"/>
      <c r="J2491" s="114"/>
      <c r="K2491" s="44"/>
      <c r="L2491" s="44"/>
      <c r="M2491" s="44"/>
      <c r="N2491" s="44"/>
      <c r="O2491" s="88"/>
      <c r="P2491" s="88"/>
    </row>
    <row r="2492" ht="15.0" customHeight="1">
      <c r="A2492" s="44"/>
      <c r="B2492" s="44"/>
      <c r="C2492" s="44"/>
      <c r="D2492" s="44"/>
      <c r="E2492" s="44"/>
      <c r="F2492" s="44"/>
      <c r="G2492" s="11"/>
      <c r="H2492" s="11"/>
      <c r="I2492" s="44"/>
      <c r="J2492" s="114"/>
      <c r="K2492" s="44"/>
      <c r="L2492" s="44"/>
      <c r="M2492" s="44"/>
      <c r="N2492" s="44"/>
      <c r="O2492" s="88"/>
      <c r="P2492" s="88"/>
    </row>
    <row r="2493" ht="15.0" customHeight="1">
      <c r="A2493" s="44"/>
      <c r="B2493" s="44"/>
      <c r="C2493" s="44"/>
      <c r="D2493" s="44"/>
      <c r="E2493" s="44"/>
      <c r="F2493" s="44"/>
      <c r="G2493" s="11"/>
      <c r="H2493" s="11"/>
      <c r="I2493" s="44"/>
      <c r="J2493" s="114"/>
      <c r="K2493" s="44"/>
      <c r="L2493" s="44"/>
      <c r="M2493" s="44"/>
      <c r="N2493" s="44"/>
      <c r="O2493" s="88"/>
      <c r="P2493" s="88"/>
    </row>
    <row r="2494" ht="15.0" customHeight="1">
      <c r="A2494" s="44"/>
      <c r="B2494" s="44"/>
      <c r="C2494" s="44"/>
      <c r="D2494" s="44"/>
      <c r="E2494" s="44"/>
      <c r="F2494" s="44"/>
      <c r="G2494" s="11"/>
      <c r="H2494" s="11"/>
      <c r="I2494" s="44"/>
      <c r="J2494" s="114"/>
      <c r="K2494" s="44"/>
      <c r="L2494" s="44"/>
      <c r="M2494" s="44"/>
      <c r="N2494" s="44"/>
      <c r="O2494" s="88"/>
      <c r="P2494" s="88"/>
    </row>
    <row r="2495" ht="15.0" customHeight="1">
      <c r="A2495" s="44"/>
      <c r="B2495" s="44"/>
      <c r="C2495" s="44"/>
      <c r="D2495" s="44"/>
      <c r="E2495" s="44"/>
      <c r="F2495" s="44"/>
      <c r="G2495" s="11"/>
      <c r="H2495" s="11"/>
      <c r="I2495" s="44"/>
      <c r="J2495" s="114"/>
      <c r="K2495" s="44"/>
      <c r="L2495" s="44"/>
      <c r="M2495" s="44"/>
      <c r="N2495" s="44"/>
      <c r="O2495" s="88"/>
      <c r="P2495" s="88"/>
    </row>
    <row r="2496" ht="15.0" customHeight="1">
      <c r="A2496" s="44"/>
      <c r="B2496" s="44"/>
      <c r="C2496" s="44"/>
      <c r="D2496" s="44"/>
      <c r="E2496" s="44"/>
      <c r="F2496" s="44"/>
      <c r="G2496" s="11"/>
      <c r="H2496" s="11"/>
      <c r="I2496" s="44"/>
      <c r="J2496" s="114"/>
      <c r="K2496" s="44"/>
      <c r="L2496" s="44"/>
      <c r="M2496" s="44"/>
      <c r="N2496" s="44"/>
      <c r="O2496" s="88"/>
      <c r="P2496" s="88"/>
    </row>
    <row r="2497" ht="15.0" customHeight="1">
      <c r="A2497" s="44"/>
      <c r="B2497" s="44"/>
      <c r="C2497" s="44"/>
      <c r="D2497" s="44"/>
      <c r="E2497" s="44"/>
      <c r="F2497" s="44"/>
      <c r="G2497" s="11"/>
      <c r="H2497" s="11"/>
      <c r="I2497" s="44"/>
      <c r="J2497" s="114"/>
      <c r="K2497" s="44"/>
      <c r="L2497" s="44"/>
      <c r="M2497" s="44"/>
      <c r="N2497" s="44"/>
      <c r="O2497" s="88"/>
      <c r="P2497" s="88"/>
    </row>
    <row r="2498" ht="15.0" customHeight="1">
      <c r="A2498" s="44"/>
      <c r="B2498" s="44"/>
      <c r="C2498" s="44"/>
      <c r="D2498" s="44"/>
      <c r="E2498" s="44"/>
      <c r="F2498" s="44"/>
      <c r="G2498" s="11"/>
      <c r="H2498" s="11"/>
      <c r="I2498" s="44"/>
      <c r="J2498" s="114"/>
      <c r="K2498" s="44"/>
      <c r="L2498" s="44"/>
      <c r="M2498" s="44"/>
      <c r="N2498" s="44"/>
      <c r="O2498" s="88"/>
      <c r="P2498" s="88"/>
    </row>
    <row r="2499" ht="15.0" customHeight="1">
      <c r="A2499" s="44"/>
      <c r="B2499" s="44"/>
      <c r="C2499" s="44"/>
      <c r="D2499" s="44"/>
      <c r="E2499" s="44"/>
      <c r="F2499" s="44"/>
      <c r="G2499" s="11"/>
      <c r="H2499" s="11"/>
      <c r="I2499" s="44"/>
      <c r="J2499" s="114"/>
      <c r="K2499" s="44"/>
      <c r="L2499" s="44"/>
      <c r="M2499" s="44"/>
      <c r="N2499" s="44"/>
      <c r="O2499" s="88"/>
      <c r="P2499" s="88"/>
    </row>
    <row r="2500" ht="15.0" customHeight="1">
      <c r="A2500" s="44"/>
      <c r="B2500" s="44"/>
      <c r="C2500" s="44"/>
      <c r="D2500" s="44"/>
      <c r="E2500" s="44"/>
      <c r="F2500" s="44"/>
      <c r="G2500" s="11"/>
      <c r="H2500" s="11"/>
      <c r="I2500" s="44"/>
      <c r="J2500" s="114"/>
      <c r="K2500" s="44"/>
      <c r="L2500" s="44"/>
      <c r="M2500" s="44"/>
      <c r="N2500" s="44"/>
      <c r="O2500" s="88"/>
      <c r="P2500" s="88"/>
    </row>
    <row r="2501" ht="15.0" customHeight="1">
      <c r="A2501" s="44"/>
      <c r="B2501" s="44"/>
      <c r="C2501" s="44"/>
      <c r="D2501" s="44"/>
      <c r="E2501" s="44"/>
      <c r="F2501" s="44"/>
      <c r="G2501" s="11"/>
      <c r="H2501" s="11"/>
      <c r="I2501" s="44"/>
      <c r="J2501" s="114"/>
      <c r="K2501" s="44"/>
      <c r="L2501" s="44"/>
      <c r="M2501" s="44"/>
      <c r="N2501" s="44"/>
      <c r="O2501" s="88"/>
      <c r="P2501" s="88"/>
    </row>
    <row r="2502" ht="15.0" customHeight="1">
      <c r="A2502" s="44"/>
      <c r="B2502" s="44"/>
      <c r="C2502" s="44"/>
      <c r="D2502" s="44"/>
      <c r="E2502" s="44"/>
      <c r="F2502" s="44"/>
      <c r="G2502" s="11"/>
      <c r="H2502" s="11"/>
      <c r="I2502" s="44"/>
      <c r="J2502" s="114"/>
      <c r="K2502" s="44"/>
      <c r="L2502" s="44"/>
      <c r="M2502" s="44"/>
      <c r="N2502" s="44"/>
      <c r="O2502" s="88"/>
      <c r="P2502" s="88"/>
    </row>
    <row r="2503" ht="15.0" customHeight="1">
      <c r="A2503" s="44"/>
      <c r="B2503" s="44"/>
      <c r="C2503" s="44"/>
      <c r="D2503" s="44"/>
      <c r="E2503" s="44"/>
      <c r="F2503" s="44"/>
      <c r="G2503" s="11"/>
      <c r="H2503" s="11"/>
      <c r="I2503" s="44"/>
      <c r="J2503" s="114"/>
      <c r="K2503" s="44"/>
      <c r="L2503" s="44"/>
      <c r="M2503" s="44"/>
      <c r="N2503" s="44"/>
      <c r="O2503" s="88"/>
      <c r="P2503" s="88"/>
    </row>
    <row r="2504" ht="15.0" customHeight="1">
      <c r="A2504" s="44"/>
      <c r="B2504" s="44"/>
      <c r="C2504" s="44"/>
      <c r="D2504" s="44"/>
      <c r="E2504" s="44"/>
      <c r="F2504" s="44"/>
      <c r="G2504" s="11"/>
      <c r="H2504" s="11"/>
      <c r="I2504" s="44"/>
      <c r="J2504" s="114"/>
      <c r="K2504" s="44"/>
      <c r="L2504" s="44"/>
      <c r="M2504" s="44"/>
      <c r="N2504" s="44"/>
      <c r="O2504" s="88"/>
      <c r="P2504" s="88"/>
    </row>
    <row r="2505" ht="15.0" customHeight="1">
      <c r="A2505" s="44"/>
      <c r="B2505" s="44"/>
      <c r="C2505" s="44"/>
      <c r="D2505" s="44"/>
      <c r="E2505" s="44"/>
      <c r="F2505" s="44"/>
      <c r="G2505" s="11"/>
      <c r="H2505" s="11"/>
      <c r="I2505" s="44"/>
      <c r="J2505" s="114"/>
      <c r="K2505" s="44"/>
      <c r="L2505" s="44"/>
      <c r="M2505" s="44"/>
      <c r="N2505" s="44"/>
      <c r="O2505" s="88"/>
      <c r="P2505" s="88"/>
    </row>
    <row r="2506" ht="15.0" customHeight="1">
      <c r="A2506" s="44"/>
      <c r="B2506" s="44"/>
      <c r="C2506" s="44"/>
      <c r="D2506" s="44"/>
      <c r="E2506" s="44"/>
      <c r="F2506" s="44"/>
      <c r="G2506" s="11"/>
      <c r="H2506" s="11"/>
      <c r="I2506" s="44"/>
      <c r="J2506" s="114"/>
      <c r="K2506" s="44"/>
      <c r="L2506" s="44"/>
      <c r="M2506" s="44"/>
      <c r="N2506" s="44"/>
      <c r="O2506" s="88"/>
      <c r="P2506" s="88"/>
    </row>
    <row r="2507" ht="15.0" customHeight="1">
      <c r="A2507" s="44"/>
      <c r="B2507" s="44"/>
      <c r="C2507" s="44"/>
      <c r="D2507" s="44"/>
      <c r="E2507" s="44"/>
      <c r="F2507" s="44"/>
      <c r="G2507" s="11"/>
      <c r="H2507" s="11"/>
      <c r="I2507" s="44"/>
      <c r="J2507" s="114"/>
      <c r="K2507" s="44"/>
      <c r="L2507" s="44"/>
      <c r="M2507" s="44"/>
      <c r="N2507" s="44"/>
      <c r="O2507" s="88"/>
      <c r="P2507" s="88"/>
    </row>
    <row r="2508" ht="15.0" customHeight="1">
      <c r="A2508" s="44"/>
      <c r="B2508" s="44"/>
      <c r="C2508" s="44"/>
      <c r="D2508" s="44"/>
      <c r="E2508" s="44"/>
      <c r="F2508" s="44"/>
      <c r="G2508" s="11"/>
      <c r="H2508" s="11"/>
      <c r="I2508" s="44"/>
      <c r="J2508" s="114"/>
      <c r="K2508" s="44"/>
      <c r="L2508" s="44"/>
      <c r="M2508" s="44"/>
      <c r="N2508" s="44"/>
      <c r="O2508" s="88"/>
      <c r="P2508" s="88"/>
    </row>
    <row r="2509" ht="15.0" customHeight="1">
      <c r="A2509" s="44"/>
      <c r="B2509" s="44"/>
      <c r="C2509" s="44"/>
      <c r="D2509" s="44"/>
      <c r="E2509" s="44"/>
      <c r="F2509" s="44"/>
      <c r="G2509" s="11"/>
      <c r="H2509" s="11"/>
      <c r="I2509" s="44"/>
      <c r="J2509" s="114"/>
      <c r="K2509" s="44"/>
      <c r="L2509" s="44"/>
      <c r="M2509" s="44"/>
      <c r="N2509" s="44"/>
      <c r="O2509" s="88"/>
      <c r="P2509" s="88"/>
    </row>
    <row r="2510" ht="15.0" customHeight="1">
      <c r="A2510" s="44"/>
      <c r="B2510" s="44"/>
      <c r="C2510" s="44"/>
      <c r="D2510" s="44"/>
      <c r="E2510" s="44"/>
      <c r="F2510" s="44"/>
      <c r="G2510" s="11"/>
      <c r="H2510" s="11"/>
      <c r="I2510" s="44"/>
      <c r="J2510" s="114"/>
      <c r="K2510" s="44"/>
      <c r="L2510" s="44"/>
      <c r="M2510" s="44"/>
      <c r="N2510" s="44"/>
      <c r="O2510" s="88"/>
      <c r="P2510" s="88"/>
    </row>
    <row r="2511" ht="15.0" customHeight="1">
      <c r="A2511" s="44"/>
      <c r="B2511" s="44"/>
      <c r="C2511" s="44"/>
      <c r="D2511" s="44"/>
      <c r="E2511" s="44"/>
      <c r="F2511" s="44"/>
      <c r="G2511" s="11"/>
      <c r="H2511" s="11"/>
      <c r="I2511" s="44"/>
      <c r="J2511" s="114"/>
      <c r="K2511" s="44"/>
      <c r="L2511" s="44"/>
      <c r="M2511" s="44"/>
      <c r="N2511" s="44"/>
      <c r="O2511" s="88"/>
      <c r="P2511" s="88"/>
    </row>
    <row r="2512" ht="15.0" customHeight="1">
      <c r="A2512" s="44"/>
      <c r="B2512" s="44"/>
      <c r="C2512" s="44"/>
      <c r="D2512" s="44"/>
      <c r="E2512" s="44"/>
      <c r="F2512" s="44"/>
      <c r="G2512" s="11"/>
      <c r="H2512" s="11"/>
      <c r="I2512" s="44"/>
      <c r="J2512" s="114"/>
      <c r="K2512" s="44"/>
      <c r="L2512" s="44"/>
      <c r="M2512" s="44"/>
      <c r="N2512" s="44"/>
      <c r="O2512" s="88"/>
      <c r="P2512" s="88"/>
    </row>
    <row r="2513" ht="15.0" customHeight="1">
      <c r="A2513" s="44"/>
      <c r="B2513" s="44"/>
      <c r="C2513" s="44"/>
      <c r="D2513" s="44"/>
      <c r="E2513" s="44"/>
      <c r="F2513" s="44"/>
      <c r="G2513" s="11"/>
      <c r="H2513" s="11"/>
      <c r="I2513" s="44"/>
      <c r="J2513" s="114"/>
      <c r="K2513" s="44"/>
      <c r="L2513" s="44"/>
      <c r="M2513" s="44"/>
      <c r="N2513" s="44"/>
      <c r="O2513" s="88"/>
      <c r="P2513" s="88"/>
    </row>
    <row r="2514" ht="15.0" customHeight="1">
      <c r="A2514" s="44"/>
      <c r="B2514" s="44"/>
      <c r="C2514" s="44"/>
      <c r="D2514" s="44"/>
      <c r="E2514" s="44"/>
      <c r="F2514" s="44"/>
      <c r="G2514" s="11"/>
      <c r="H2514" s="11"/>
      <c r="I2514" s="44"/>
      <c r="J2514" s="114"/>
      <c r="K2514" s="44"/>
      <c r="L2514" s="44"/>
      <c r="M2514" s="44"/>
      <c r="N2514" s="44"/>
      <c r="O2514" s="88"/>
      <c r="P2514" s="88"/>
    </row>
    <row r="2515" ht="15.0" customHeight="1">
      <c r="A2515" s="44"/>
      <c r="B2515" s="44"/>
      <c r="C2515" s="44"/>
      <c r="D2515" s="44"/>
      <c r="E2515" s="44"/>
      <c r="F2515" s="44"/>
      <c r="G2515" s="11"/>
      <c r="H2515" s="11"/>
      <c r="I2515" s="44"/>
      <c r="J2515" s="114"/>
      <c r="K2515" s="44"/>
      <c r="L2515" s="44"/>
      <c r="M2515" s="44"/>
      <c r="N2515" s="44"/>
      <c r="O2515" s="88"/>
      <c r="P2515" s="88"/>
    </row>
    <row r="2516" ht="15.0" customHeight="1">
      <c r="A2516" s="44"/>
      <c r="B2516" s="44"/>
      <c r="C2516" s="44"/>
      <c r="D2516" s="44"/>
      <c r="E2516" s="44"/>
      <c r="F2516" s="44"/>
      <c r="G2516" s="11"/>
      <c r="H2516" s="11"/>
      <c r="I2516" s="44"/>
      <c r="J2516" s="114"/>
      <c r="K2516" s="44"/>
      <c r="L2516" s="44"/>
      <c r="M2516" s="44"/>
      <c r="N2516" s="44"/>
      <c r="O2516" s="88"/>
      <c r="P2516" s="88"/>
    </row>
    <row r="2517" ht="15.0" customHeight="1">
      <c r="A2517" s="44"/>
      <c r="B2517" s="44"/>
      <c r="C2517" s="44"/>
      <c r="D2517" s="44"/>
      <c r="E2517" s="44"/>
      <c r="F2517" s="44"/>
      <c r="G2517" s="11"/>
      <c r="H2517" s="11"/>
      <c r="I2517" s="44"/>
      <c r="J2517" s="114"/>
      <c r="K2517" s="44"/>
      <c r="L2517" s="44"/>
      <c r="M2517" s="44"/>
      <c r="N2517" s="44"/>
      <c r="O2517" s="88"/>
      <c r="P2517" s="88"/>
    </row>
    <row r="2518" ht="15.0" customHeight="1">
      <c r="A2518" s="44"/>
      <c r="B2518" s="44"/>
      <c r="C2518" s="44"/>
      <c r="D2518" s="44"/>
      <c r="E2518" s="44"/>
      <c r="F2518" s="44"/>
      <c r="G2518" s="11"/>
      <c r="H2518" s="11"/>
      <c r="I2518" s="44"/>
      <c r="J2518" s="114"/>
      <c r="K2518" s="44"/>
      <c r="L2518" s="44"/>
      <c r="M2518" s="44"/>
      <c r="N2518" s="44"/>
      <c r="O2518" s="88"/>
      <c r="P2518" s="88"/>
    </row>
    <row r="2519" ht="15.0" customHeight="1">
      <c r="A2519" s="44"/>
      <c r="B2519" s="44"/>
      <c r="C2519" s="44"/>
      <c r="D2519" s="44"/>
      <c r="E2519" s="44"/>
      <c r="F2519" s="44"/>
      <c r="G2519" s="11"/>
      <c r="H2519" s="11"/>
      <c r="I2519" s="44"/>
      <c r="J2519" s="114"/>
      <c r="K2519" s="44"/>
      <c r="L2519" s="44"/>
      <c r="M2519" s="44"/>
      <c r="N2519" s="44"/>
      <c r="O2519" s="88"/>
      <c r="P2519" s="88"/>
    </row>
    <row r="2520" ht="15.0" customHeight="1">
      <c r="A2520" s="44"/>
      <c r="B2520" s="44"/>
      <c r="C2520" s="44"/>
      <c r="D2520" s="44"/>
      <c r="E2520" s="44"/>
      <c r="F2520" s="44"/>
      <c r="G2520" s="11"/>
      <c r="H2520" s="11"/>
      <c r="I2520" s="44"/>
      <c r="J2520" s="114"/>
      <c r="K2520" s="44"/>
      <c r="L2520" s="44"/>
      <c r="M2520" s="44"/>
      <c r="N2520" s="44"/>
      <c r="O2520" s="88"/>
      <c r="P2520" s="88"/>
    </row>
    <row r="2521" ht="15.0" customHeight="1">
      <c r="A2521" s="44"/>
      <c r="B2521" s="44"/>
      <c r="C2521" s="44"/>
      <c r="D2521" s="44"/>
      <c r="E2521" s="44"/>
      <c r="F2521" s="44"/>
      <c r="G2521" s="11"/>
      <c r="H2521" s="11"/>
      <c r="I2521" s="44"/>
      <c r="J2521" s="114"/>
      <c r="K2521" s="44"/>
      <c r="L2521" s="44"/>
      <c r="M2521" s="44"/>
      <c r="N2521" s="44"/>
      <c r="O2521" s="88"/>
      <c r="P2521" s="88"/>
    </row>
    <row r="2522" ht="15.0" customHeight="1">
      <c r="A2522" s="44"/>
      <c r="B2522" s="44"/>
      <c r="C2522" s="44"/>
      <c r="D2522" s="44"/>
      <c r="E2522" s="44"/>
      <c r="F2522" s="44"/>
      <c r="G2522" s="11"/>
      <c r="H2522" s="11"/>
      <c r="I2522" s="44"/>
      <c r="J2522" s="114"/>
      <c r="K2522" s="44"/>
      <c r="L2522" s="44"/>
      <c r="M2522" s="44"/>
      <c r="N2522" s="44"/>
      <c r="O2522" s="88"/>
      <c r="P2522" s="88"/>
    </row>
    <row r="2523" ht="15.0" customHeight="1">
      <c r="A2523" s="44"/>
      <c r="B2523" s="44"/>
      <c r="C2523" s="44"/>
      <c r="D2523" s="44"/>
      <c r="E2523" s="44"/>
      <c r="F2523" s="44"/>
      <c r="G2523" s="11"/>
      <c r="H2523" s="11"/>
      <c r="I2523" s="44"/>
      <c r="J2523" s="114"/>
      <c r="K2523" s="44"/>
      <c r="L2523" s="44"/>
      <c r="M2523" s="44"/>
      <c r="N2523" s="44"/>
      <c r="O2523" s="88"/>
      <c r="P2523" s="88"/>
    </row>
    <row r="2524" ht="15.0" customHeight="1">
      <c r="A2524" s="44"/>
      <c r="B2524" s="44"/>
      <c r="C2524" s="44"/>
      <c r="D2524" s="44"/>
      <c r="E2524" s="44"/>
      <c r="F2524" s="44"/>
      <c r="G2524" s="11"/>
      <c r="H2524" s="11"/>
      <c r="I2524" s="44"/>
      <c r="J2524" s="114"/>
      <c r="K2524" s="44"/>
      <c r="L2524" s="44"/>
      <c r="M2524" s="44"/>
      <c r="N2524" s="44"/>
      <c r="O2524" s="88"/>
      <c r="P2524" s="88"/>
    </row>
    <row r="2525" ht="15.0" customHeight="1">
      <c r="A2525" s="44"/>
      <c r="B2525" s="44"/>
      <c r="C2525" s="44"/>
      <c r="D2525" s="44"/>
      <c r="E2525" s="44"/>
      <c r="F2525" s="44"/>
      <c r="G2525" s="11"/>
      <c r="H2525" s="11"/>
      <c r="I2525" s="44"/>
      <c r="J2525" s="114"/>
      <c r="K2525" s="44"/>
      <c r="L2525" s="44"/>
      <c r="M2525" s="44"/>
      <c r="N2525" s="44"/>
      <c r="O2525" s="88"/>
      <c r="P2525" s="88"/>
    </row>
    <row r="2526" ht="15.0" customHeight="1">
      <c r="A2526" s="44"/>
      <c r="B2526" s="44"/>
      <c r="C2526" s="44"/>
      <c r="D2526" s="44"/>
      <c r="E2526" s="44"/>
      <c r="F2526" s="44"/>
      <c r="G2526" s="11"/>
      <c r="H2526" s="11"/>
      <c r="I2526" s="44"/>
      <c r="J2526" s="114"/>
      <c r="K2526" s="44"/>
      <c r="L2526" s="44"/>
      <c r="M2526" s="44"/>
      <c r="N2526" s="44"/>
      <c r="O2526" s="88"/>
      <c r="P2526" s="88"/>
    </row>
    <row r="2527" ht="15.0" customHeight="1">
      <c r="A2527" s="44"/>
      <c r="B2527" s="44"/>
      <c r="C2527" s="44"/>
      <c r="D2527" s="44"/>
      <c r="E2527" s="44"/>
      <c r="F2527" s="44"/>
      <c r="G2527" s="11"/>
      <c r="H2527" s="11"/>
      <c r="I2527" s="44"/>
      <c r="J2527" s="114"/>
      <c r="K2527" s="44"/>
      <c r="L2527" s="44"/>
      <c r="M2527" s="44"/>
      <c r="N2527" s="44"/>
      <c r="O2527" s="88"/>
      <c r="P2527" s="88"/>
    </row>
    <row r="2528" ht="15.0" customHeight="1">
      <c r="A2528" s="44"/>
      <c r="B2528" s="44"/>
      <c r="C2528" s="44"/>
      <c r="D2528" s="44"/>
      <c r="E2528" s="44"/>
      <c r="F2528" s="44"/>
      <c r="G2528" s="11"/>
      <c r="H2528" s="11"/>
      <c r="I2528" s="44"/>
      <c r="J2528" s="114"/>
      <c r="K2528" s="44"/>
      <c r="L2528" s="44"/>
      <c r="M2528" s="44"/>
      <c r="N2528" s="44"/>
      <c r="O2528" s="88"/>
      <c r="P2528" s="88"/>
    </row>
    <row r="2529" ht="15.0" customHeight="1">
      <c r="A2529" s="44"/>
      <c r="B2529" s="44"/>
      <c r="C2529" s="44"/>
      <c r="D2529" s="44"/>
      <c r="E2529" s="44"/>
      <c r="F2529" s="44"/>
      <c r="G2529" s="11"/>
      <c r="H2529" s="11"/>
      <c r="I2529" s="44"/>
      <c r="J2529" s="114"/>
      <c r="K2529" s="44"/>
      <c r="L2529" s="44"/>
      <c r="M2529" s="44"/>
      <c r="N2529" s="44"/>
      <c r="O2529" s="88"/>
      <c r="P2529" s="88"/>
    </row>
    <row r="2530" ht="15.0" customHeight="1">
      <c r="A2530" s="44"/>
      <c r="B2530" s="44"/>
      <c r="C2530" s="44"/>
      <c r="D2530" s="44"/>
      <c r="E2530" s="44"/>
      <c r="F2530" s="44"/>
      <c r="G2530" s="11"/>
      <c r="H2530" s="11"/>
      <c r="I2530" s="44"/>
      <c r="J2530" s="114"/>
      <c r="K2530" s="44"/>
      <c r="L2530" s="44"/>
      <c r="M2530" s="44"/>
      <c r="N2530" s="44"/>
      <c r="O2530" s="88"/>
      <c r="P2530" s="88"/>
    </row>
    <row r="2531" ht="15.0" customHeight="1">
      <c r="A2531" s="44"/>
      <c r="B2531" s="44"/>
      <c r="C2531" s="44"/>
      <c r="D2531" s="44"/>
      <c r="E2531" s="44"/>
      <c r="F2531" s="44"/>
      <c r="G2531" s="11"/>
      <c r="H2531" s="11"/>
      <c r="I2531" s="44"/>
      <c r="J2531" s="114"/>
      <c r="K2531" s="44"/>
      <c r="L2531" s="44"/>
      <c r="M2531" s="44"/>
      <c r="N2531" s="44"/>
      <c r="O2531" s="88"/>
      <c r="P2531" s="88"/>
    </row>
    <row r="2532" ht="15.0" customHeight="1">
      <c r="A2532" s="44"/>
      <c r="B2532" s="44"/>
      <c r="C2532" s="44"/>
      <c r="D2532" s="44"/>
      <c r="E2532" s="44"/>
      <c r="F2532" s="44"/>
      <c r="G2532" s="11"/>
      <c r="H2532" s="11"/>
      <c r="I2532" s="44"/>
      <c r="J2532" s="114"/>
      <c r="K2532" s="44"/>
      <c r="L2532" s="44"/>
      <c r="M2532" s="44"/>
      <c r="N2532" s="44"/>
      <c r="O2532" s="88"/>
      <c r="P2532" s="88"/>
    </row>
    <row r="2533" ht="15.0" customHeight="1">
      <c r="A2533" s="44"/>
      <c r="B2533" s="44"/>
      <c r="C2533" s="44"/>
      <c r="D2533" s="44"/>
      <c r="E2533" s="44"/>
      <c r="F2533" s="44"/>
      <c r="G2533" s="11"/>
      <c r="H2533" s="11"/>
      <c r="I2533" s="44"/>
      <c r="J2533" s="114"/>
      <c r="K2533" s="44"/>
      <c r="L2533" s="44"/>
      <c r="M2533" s="44"/>
      <c r="N2533" s="44"/>
      <c r="O2533" s="88"/>
      <c r="P2533" s="88"/>
    </row>
    <row r="2534" ht="15.0" customHeight="1">
      <c r="A2534" s="44"/>
      <c r="B2534" s="44"/>
      <c r="C2534" s="44"/>
      <c r="D2534" s="44"/>
      <c r="E2534" s="44"/>
      <c r="F2534" s="44"/>
      <c r="G2534" s="11"/>
      <c r="H2534" s="11"/>
      <c r="I2534" s="44"/>
      <c r="J2534" s="114"/>
      <c r="K2534" s="44"/>
      <c r="L2534" s="44"/>
      <c r="M2534" s="44"/>
      <c r="N2534" s="44"/>
      <c r="O2534" s="88"/>
      <c r="P2534" s="88"/>
    </row>
    <row r="2535" ht="15.0" customHeight="1">
      <c r="A2535" s="44"/>
      <c r="B2535" s="44"/>
      <c r="C2535" s="44"/>
      <c r="D2535" s="44"/>
      <c r="E2535" s="44"/>
      <c r="F2535" s="44"/>
      <c r="G2535" s="11"/>
      <c r="H2535" s="11"/>
      <c r="I2535" s="44"/>
      <c r="J2535" s="114"/>
      <c r="K2535" s="44"/>
      <c r="L2535" s="44"/>
      <c r="M2535" s="44"/>
      <c r="N2535" s="44"/>
      <c r="O2535" s="88"/>
      <c r="P2535" s="88"/>
    </row>
    <row r="2536" ht="15.0" customHeight="1">
      <c r="A2536" s="44"/>
      <c r="B2536" s="44"/>
      <c r="C2536" s="44"/>
      <c r="D2536" s="44"/>
      <c r="E2536" s="44"/>
      <c r="F2536" s="44"/>
      <c r="G2536" s="11"/>
      <c r="H2536" s="11"/>
      <c r="I2536" s="44"/>
      <c r="J2536" s="114"/>
      <c r="K2536" s="44"/>
      <c r="L2536" s="44"/>
      <c r="M2536" s="44"/>
      <c r="N2536" s="44"/>
      <c r="O2536" s="88"/>
      <c r="P2536" s="88"/>
    </row>
    <row r="2537" ht="15.0" customHeight="1">
      <c r="A2537" s="44"/>
      <c r="B2537" s="44"/>
      <c r="C2537" s="44"/>
      <c r="D2537" s="44"/>
      <c r="E2537" s="44"/>
      <c r="F2537" s="44"/>
      <c r="G2537" s="11"/>
      <c r="H2537" s="11"/>
      <c r="I2537" s="44"/>
      <c r="J2537" s="114"/>
      <c r="K2537" s="44"/>
      <c r="L2537" s="44"/>
      <c r="M2537" s="44"/>
      <c r="N2537" s="44"/>
      <c r="O2537" s="88"/>
      <c r="P2537" s="88"/>
    </row>
    <row r="2538" ht="15.0" customHeight="1">
      <c r="A2538" s="44"/>
      <c r="B2538" s="44"/>
      <c r="C2538" s="44"/>
      <c r="D2538" s="44"/>
      <c r="E2538" s="44"/>
      <c r="F2538" s="44"/>
      <c r="G2538" s="11"/>
      <c r="H2538" s="11"/>
      <c r="I2538" s="44"/>
      <c r="J2538" s="114"/>
      <c r="K2538" s="44"/>
      <c r="L2538" s="44"/>
      <c r="M2538" s="44"/>
      <c r="N2538" s="44"/>
      <c r="O2538" s="88"/>
      <c r="P2538" s="88"/>
    </row>
    <row r="2539" ht="15.0" customHeight="1">
      <c r="A2539" s="44"/>
      <c r="B2539" s="44"/>
      <c r="C2539" s="44"/>
      <c r="D2539" s="44"/>
      <c r="E2539" s="44"/>
      <c r="F2539" s="44"/>
      <c r="G2539" s="11"/>
      <c r="H2539" s="11"/>
      <c r="I2539" s="44"/>
      <c r="J2539" s="114"/>
      <c r="K2539" s="44"/>
      <c r="L2539" s="44"/>
      <c r="M2539" s="44"/>
      <c r="N2539" s="44"/>
      <c r="O2539" s="88"/>
      <c r="P2539" s="88"/>
    </row>
    <row r="2540" ht="15.0" customHeight="1">
      <c r="A2540" s="44"/>
      <c r="B2540" s="44"/>
      <c r="C2540" s="44"/>
      <c r="D2540" s="44"/>
      <c r="E2540" s="44"/>
      <c r="F2540" s="44"/>
      <c r="G2540" s="11"/>
      <c r="H2540" s="11"/>
      <c r="I2540" s="44"/>
      <c r="J2540" s="114"/>
      <c r="K2540" s="44"/>
      <c r="L2540" s="44"/>
      <c r="M2540" s="44"/>
      <c r="N2540" s="44"/>
      <c r="O2540" s="88"/>
      <c r="P2540" s="88"/>
    </row>
    <row r="2541" ht="15.0" customHeight="1">
      <c r="A2541" s="44"/>
      <c r="B2541" s="44"/>
      <c r="C2541" s="44"/>
      <c r="D2541" s="44"/>
      <c r="E2541" s="44"/>
      <c r="F2541" s="44"/>
      <c r="G2541" s="11"/>
      <c r="H2541" s="11"/>
      <c r="I2541" s="44"/>
      <c r="J2541" s="114"/>
      <c r="K2541" s="44"/>
      <c r="L2541" s="44"/>
      <c r="M2541" s="44"/>
      <c r="N2541" s="44"/>
      <c r="O2541" s="88"/>
      <c r="P2541" s="88"/>
    </row>
    <row r="2542" ht="15.0" customHeight="1">
      <c r="A2542" s="44"/>
      <c r="B2542" s="44"/>
      <c r="C2542" s="44"/>
      <c r="D2542" s="44"/>
      <c r="E2542" s="44"/>
      <c r="F2542" s="44"/>
      <c r="G2542" s="11"/>
      <c r="H2542" s="11"/>
      <c r="I2542" s="44"/>
      <c r="J2542" s="114"/>
      <c r="K2542" s="44"/>
      <c r="L2542" s="44"/>
      <c r="M2542" s="44"/>
      <c r="N2542" s="44"/>
      <c r="O2542" s="88"/>
      <c r="P2542" s="88"/>
    </row>
    <row r="2543" ht="15.0" customHeight="1">
      <c r="A2543" s="44"/>
      <c r="B2543" s="44"/>
      <c r="C2543" s="44"/>
      <c r="D2543" s="44"/>
      <c r="E2543" s="44"/>
      <c r="F2543" s="44"/>
      <c r="G2543" s="11"/>
      <c r="H2543" s="11"/>
      <c r="I2543" s="44"/>
      <c r="J2543" s="114"/>
      <c r="K2543" s="44"/>
      <c r="L2543" s="44"/>
      <c r="M2543" s="44"/>
      <c r="N2543" s="44"/>
      <c r="O2543" s="88"/>
      <c r="P2543" s="88"/>
    </row>
    <row r="2544" ht="15.0" customHeight="1">
      <c r="A2544" s="44"/>
      <c r="B2544" s="44"/>
      <c r="C2544" s="44"/>
      <c r="D2544" s="44"/>
      <c r="E2544" s="44"/>
      <c r="F2544" s="44"/>
      <c r="G2544" s="11"/>
      <c r="H2544" s="11"/>
      <c r="I2544" s="44"/>
      <c r="J2544" s="114"/>
      <c r="K2544" s="44"/>
      <c r="L2544" s="44"/>
      <c r="M2544" s="44"/>
      <c r="N2544" s="44"/>
      <c r="O2544" s="88"/>
      <c r="P2544" s="88"/>
    </row>
    <row r="2545" ht="15.0" customHeight="1">
      <c r="A2545" s="44"/>
      <c r="B2545" s="44"/>
      <c r="C2545" s="44"/>
      <c r="D2545" s="44"/>
      <c r="E2545" s="44"/>
      <c r="F2545" s="44"/>
      <c r="G2545" s="11"/>
      <c r="H2545" s="11"/>
      <c r="I2545" s="44"/>
      <c r="J2545" s="114"/>
      <c r="K2545" s="44"/>
      <c r="L2545" s="44"/>
      <c r="M2545" s="44"/>
      <c r="N2545" s="44"/>
      <c r="O2545" s="88"/>
      <c r="P2545" s="88"/>
    </row>
    <row r="2546" ht="15.0" customHeight="1">
      <c r="A2546" s="44"/>
      <c r="B2546" s="44"/>
      <c r="C2546" s="44"/>
      <c r="D2546" s="44"/>
      <c r="E2546" s="44"/>
      <c r="F2546" s="44"/>
      <c r="G2546" s="11"/>
      <c r="H2546" s="11"/>
      <c r="I2546" s="44"/>
      <c r="J2546" s="114"/>
      <c r="K2546" s="44"/>
      <c r="L2546" s="44"/>
      <c r="M2546" s="44"/>
      <c r="N2546" s="44"/>
      <c r="O2546" s="88"/>
      <c r="P2546" s="88"/>
    </row>
    <row r="2547" ht="15.0" customHeight="1">
      <c r="A2547" s="44"/>
      <c r="B2547" s="44"/>
      <c r="C2547" s="44"/>
      <c r="D2547" s="44"/>
      <c r="E2547" s="44"/>
      <c r="F2547" s="44"/>
      <c r="G2547" s="11"/>
      <c r="H2547" s="11"/>
      <c r="I2547" s="44"/>
      <c r="J2547" s="114"/>
      <c r="K2547" s="44"/>
      <c r="L2547" s="44"/>
      <c r="M2547" s="44"/>
      <c r="N2547" s="44"/>
      <c r="O2547" s="88"/>
      <c r="P2547" s="88"/>
    </row>
    <row r="2548" ht="15.0" customHeight="1">
      <c r="A2548" s="44"/>
      <c r="B2548" s="44"/>
      <c r="C2548" s="44"/>
      <c r="D2548" s="44"/>
      <c r="E2548" s="44"/>
      <c r="F2548" s="44"/>
      <c r="G2548" s="11"/>
      <c r="H2548" s="11"/>
      <c r="I2548" s="44"/>
      <c r="J2548" s="114"/>
      <c r="K2548" s="44"/>
      <c r="L2548" s="44"/>
      <c r="M2548" s="44"/>
      <c r="N2548" s="44"/>
      <c r="O2548" s="88"/>
      <c r="P2548" s="88"/>
    </row>
    <row r="2549" ht="15.0" customHeight="1">
      <c r="A2549" s="44"/>
      <c r="B2549" s="44"/>
      <c r="C2549" s="44"/>
      <c r="D2549" s="44"/>
      <c r="E2549" s="44"/>
      <c r="F2549" s="44"/>
      <c r="G2549" s="11"/>
      <c r="H2549" s="11"/>
      <c r="I2549" s="44"/>
      <c r="J2549" s="114"/>
      <c r="K2549" s="44"/>
      <c r="L2549" s="44"/>
      <c r="M2549" s="44"/>
      <c r="N2549" s="44"/>
      <c r="O2549" s="88"/>
      <c r="P2549" s="88"/>
    </row>
    <row r="2550" ht="15.0" customHeight="1">
      <c r="A2550" s="44"/>
      <c r="B2550" s="44"/>
      <c r="C2550" s="44"/>
      <c r="D2550" s="44"/>
      <c r="E2550" s="44"/>
      <c r="F2550" s="44"/>
      <c r="G2550" s="11"/>
      <c r="H2550" s="11"/>
      <c r="I2550" s="44"/>
      <c r="J2550" s="114"/>
      <c r="K2550" s="44"/>
      <c r="L2550" s="44"/>
      <c r="M2550" s="44"/>
      <c r="N2550" s="44"/>
      <c r="O2550" s="88"/>
      <c r="P2550" s="88"/>
    </row>
    <row r="2551" ht="15.0" customHeight="1">
      <c r="A2551" s="44"/>
      <c r="B2551" s="44"/>
      <c r="C2551" s="44"/>
      <c r="D2551" s="44"/>
      <c r="E2551" s="44"/>
      <c r="F2551" s="44"/>
      <c r="G2551" s="11"/>
      <c r="H2551" s="11"/>
      <c r="I2551" s="44"/>
      <c r="J2551" s="114"/>
      <c r="K2551" s="44"/>
      <c r="L2551" s="44"/>
      <c r="M2551" s="44"/>
      <c r="N2551" s="44"/>
      <c r="O2551" s="88"/>
      <c r="P2551" s="88"/>
    </row>
    <row r="2552" ht="15.0" customHeight="1">
      <c r="A2552" s="44"/>
      <c r="B2552" s="44"/>
      <c r="C2552" s="44"/>
      <c r="D2552" s="44"/>
      <c r="E2552" s="44"/>
      <c r="F2552" s="44"/>
      <c r="G2552" s="11"/>
      <c r="H2552" s="11"/>
      <c r="I2552" s="44"/>
      <c r="J2552" s="114"/>
      <c r="K2552" s="44"/>
      <c r="L2552" s="44"/>
      <c r="M2552" s="44"/>
      <c r="N2552" s="44"/>
      <c r="O2552" s="88"/>
      <c r="P2552" s="88"/>
    </row>
    <row r="2553" ht="15.0" customHeight="1">
      <c r="A2553" s="44"/>
      <c r="B2553" s="44"/>
      <c r="C2553" s="44"/>
      <c r="D2553" s="44"/>
      <c r="E2553" s="44"/>
      <c r="F2553" s="44"/>
      <c r="G2553" s="11"/>
      <c r="H2553" s="11"/>
      <c r="I2553" s="44"/>
      <c r="J2553" s="114"/>
      <c r="K2553" s="44"/>
      <c r="L2553" s="44"/>
      <c r="M2553" s="44"/>
      <c r="N2553" s="44"/>
      <c r="O2553" s="88"/>
      <c r="P2553" s="88"/>
    </row>
    <row r="2554" ht="15.0" customHeight="1">
      <c r="A2554" s="44"/>
      <c r="B2554" s="44"/>
      <c r="C2554" s="44"/>
      <c r="D2554" s="44"/>
      <c r="E2554" s="44"/>
      <c r="F2554" s="44"/>
      <c r="G2554" s="11"/>
      <c r="H2554" s="11"/>
      <c r="I2554" s="44"/>
      <c r="J2554" s="114"/>
      <c r="K2554" s="44"/>
      <c r="L2554" s="44"/>
      <c r="M2554" s="44"/>
      <c r="N2554" s="44"/>
      <c r="O2554" s="88"/>
      <c r="P2554" s="88"/>
    </row>
    <row r="2555" ht="15.0" customHeight="1">
      <c r="A2555" s="44"/>
      <c r="B2555" s="44"/>
      <c r="C2555" s="44"/>
      <c r="D2555" s="44"/>
      <c r="E2555" s="44"/>
      <c r="F2555" s="44"/>
      <c r="G2555" s="11"/>
      <c r="H2555" s="11"/>
      <c r="I2555" s="44"/>
      <c r="J2555" s="114"/>
      <c r="K2555" s="44"/>
      <c r="L2555" s="44"/>
      <c r="M2555" s="44"/>
      <c r="N2555" s="44"/>
      <c r="O2555" s="88"/>
      <c r="P2555" s="88"/>
    </row>
    <row r="2556" ht="15.0" customHeight="1">
      <c r="A2556" s="44"/>
      <c r="B2556" s="44"/>
      <c r="C2556" s="44"/>
      <c r="D2556" s="44"/>
      <c r="E2556" s="44"/>
      <c r="F2556" s="44"/>
      <c r="G2556" s="11"/>
      <c r="H2556" s="11"/>
      <c r="I2556" s="44"/>
      <c r="J2556" s="114"/>
      <c r="K2556" s="44"/>
      <c r="L2556" s="44"/>
      <c r="M2556" s="44"/>
      <c r="N2556" s="44"/>
      <c r="O2556" s="88"/>
      <c r="P2556" s="88"/>
    </row>
    <row r="2557" ht="15.0" customHeight="1">
      <c r="A2557" s="44"/>
      <c r="B2557" s="44"/>
      <c r="C2557" s="44"/>
      <c r="D2557" s="44"/>
      <c r="E2557" s="44"/>
      <c r="F2557" s="44"/>
      <c r="G2557" s="11"/>
      <c r="H2557" s="11"/>
      <c r="I2557" s="44"/>
      <c r="J2557" s="114"/>
      <c r="K2557" s="44"/>
      <c r="L2557" s="44"/>
      <c r="M2557" s="44"/>
      <c r="N2557" s="44"/>
      <c r="O2557" s="88"/>
      <c r="P2557" s="88"/>
    </row>
    <row r="2558" ht="15.0" customHeight="1">
      <c r="A2558" s="44"/>
      <c r="B2558" s="44"/>
      <c r="C2558" s="44"/>
      <c r="D2558" s="44"/>
      <c r="E2558" s="44"/>
      <c r="F2558" s="44"/>
      <c r="G2558" s="11"/>
      <c r="H2558" s="11"/>
      <c r="I2558" s="44"/>
      <c r="J2558" s="114"/>
      <c r="K2558" s="44"/>
      <c r="L2558" s="44"/>
      <c r="M2558" s="44"/>
      <c r="N2558" s="44"/>
      <c r="O2558" s="88"/>
      <c r="P2558" s="88"/>
    </row>
    <row r="2559" ht="15.0" customHeight="1">
      <c r="A2559" s="44"/>
      <c r="B2559" s="44"/>
      <c r="C2559" s="44"/>
      <c r="D2559" s="44"/>
      <c r="E2559" s="44"/>
      <c r="F2559" s="44"/>
      <c r="G2559" s="11"/>
      <c r="H2559" s="11"/>
      <c r="I2559" s="44"/>
      <c r="J2559" s="114"/>
      <c r="K2559" s="44"/>
      <c r="L2559" s="44"/>
      <c r="M2559" s="44"/>
      <c r="N2559" s="44"/>
      <c r="O2559" s="88"/>
      <c r="P2559" s="88"/>
    </row>
    <row r="2560" ht="15.0" customHeight="1">
      <c r="A2560" s="44"/>
      <c r="B2560" s="44"/>
      <c r="C2560" s="44"/>
      <c r="D2560" s="44"/>
      <c r="E2560" s="44"/>
      <c r="F2560" s="44"/>
      <c r="G2560" s="11"/>
      <c r="H2560" s="11"/>
      <c r="I2560" s="44"/>
      <c r="J2560" s="114"/>
      <c r="K2560" s="44"/>
      <c r="L2560" s="44"/>
      <c r="M2560" s="44"/>
      <c r="N2560" s="44"/>
      <c r="O2560" s="88"/>
      <c r="P2560" s="88"/>
    </row>
    <row r="2561" ht="15.0" customHeight="1">
      <c r="A2561" s="44"/>
      <c r="B2561" s="44"/>
      <c r="C2561" s="44"/>
      <c r="D2561" s="44"/>
      <c r="E2561" s="44"/>
      <c r="F2561" s="44"/>
      <c r="G2561" s="11"/>
      <c r="H2561" s="11"/>
      <c r="I2561" s="44"/>
      <c r="J2561" s="114"/>
      <c r="K2561" s="44"/>
      <c r="L2561" s="44"/>
      <c r="M2561" s="44"/>
      <c r="N2561" s="44"/>
      <c r="O2561" s="88"/>
      <c r="P2561" s="88"/>
    </row>
    <row r="2562" ht="15.0" customHeight="1">
      <c r="A2562" s="44"/>
      <c r="B2562" s="44"/>
      <c r="C2562" s="44"/>
      <c r="D2562" s="44"/>
      <c r="E2562" s="44"/>
      <c r="F2562" s="44"/>
      <c r="G2562" s="11"/>
      <c r="H2562" s="11"/>
      <c r="I2562" s="44"/>
      <c r="J2562" s="114"/>
      <c r="K2562" s="44"/>
      <c r="L2562" s="44"/>
      <c r="M2562" s="44"/>
      <c r="N2562" s="44"/>
      <c r="O2562" s="88"/>
      <c r="P2562" s="88"/>
    </row>
    <row r="2563" ht="15.0" customHeight="1">
      <c r="A2563" s="44"/>
      <c r="B2563" s="44"/>
      <c r="C2563" s="44"/>
      <c r="D2563" s="44"/>
      <c r="E2563" s="44"/>
      <c r="F2563" s="44"/>
      <c r="G2563" s="11"/>
      <c r="H2563" s="11"/>
      <c r="I2563" s="44"/>
      <c r="J2563" s="114"/>
      <c r="K2563" s="44"/>
      <c r="L2563" s="44"/>
      <c r="M2563" s="44"/>
      <c r="N2563" s="44"/>
      <c r="O2563" s="88"/>
      <c r="P2563" s="88"/>
    </row>
    <row r="2564" ht="15.0" customHeight="1">
      <c r="A2564" s="44"/>
      <c r="B2564" s="44"/>
      <c r="C2564" s="44"/>
      <c r="D2564" s="44"/>
      <c r="E2564" s="44"/>
      <c r="F2564" s="44"/>
      <c r="G2564" s="11"/>
      <c r="H2564" s="11"/>
      <c r="I2564" s="44"/>
      <c r="J2564" s="114"/>
      <c r="K2564" s="44"/>
      <c r="L2564" s="44"/>
      <c r="M2564" s="44"/>
      <c r="N2564" s="44"/>
      <c r="O2564" s="88"/>
      <c r="P2564" s="88"/>
    </row>
    <row r="2565" ht="15.0" customHeight="1">
      <c r="A2565" s="44"/>
      <c r="B2565" s="44"/>
      <c r="C2565" s="44"/>
      <c r="D2565" s="44"/>
      <c r="E2565" s="44"/>
      <c r="F2565" s="44"/>
      <c r="G2565" s="11"/>
      <c r="H2565" s="11"/>
      <c r="I2565" s="44"/>
      <c r="J2565" s="114"/>
      <c r="K2565" s="44"/>
      <c r="L2565" s="44"/>
      <c r="M2565" s="44"/>
      <c r="N2565" s="44"/>
      <c r="O2565" s="88"/>
      <c r="P2565" s="88"/>
    </row>
    <row r="2566" ht="15.0" customHeight="1">
      <c r="A2566" s="44"/>
      <c r="B2566" s="44"/>
      <c r="C2566" s="44"/>
      <c r="D2566" s="44"/>
      <c r="E2566" s="44"/>
      <c r="F2566" s="44"/>
      <c r="G2566" s="11"/>
      <c r="H2566" s="11"/>
      <c r="I2566" s="44"/>
      <c r="J2566" s="114"/>
      <c r="K2566" s="44"/>
      <c r="L2566" s="44"/>
      <c r="M2566" s="44"/>
      <c r="N2566" s="44"/>
      <c r="O2566" s="88"/>
      <c r="P2566" s="88"/>
    </row>
    <row r="2567" ht="15.0" customHeight="1">
      <c r="A2567" s="44"/>
      <c r="B2567" s="44"/>
      <c r="C2567" s="44"/>
      <c r="D2567" s="44"/>
      <c r="E2567" s="44"/>
      <c r="F2567" s="44"/>
      <c r="G2567" s="11"/>
      <c r="H2567" s="11"/>
      <c r="I2567" s="44"/>
      <c r="J2567" s="114"/>
      <c r="K2567" s="44"/>
      <c r="L2567" s="44"/>
      <c r="M2567" s="44"/>
      <c r="N2567" s="44"/>
      <c r="O2567" s="88"/>
      <c r="P2567" s="88"/>
    </row>
    <row r="2568" ht="15.0" customHeight="1">
      <c r="A2568" s="44"/>
      <c r="B2568" s="44"/>
      <c r="C2568" s="44"/>
      <c r="D2568" s="44"/>
      <c r="E2568" s="44"/>
      <c r="F2568" s="44"/>
      <c r="G2568" s="11"/>
      <c r="H2568" s="11"/>
      <c r="I2568" s="44"/>
      <c r="J2568" s="114"/>
      <c r="K2568" s="44"/>
      <c r="L2568" s="44"/>
      <c r="M2568" s="44"/>
      <c r="N2568" s="44"/>
      <c r="O2568" s="88"/>
      <c r="P2568" s="88"/>
    </row>
    <row r="2569" ht="15.0" customHeight="1">
      <c r="A2569" s="44"/>
      <c r="B2569" s="44"/>
      <c r="C2569" s="44"/>
      <c r="D2569" s="44"/>
      <c r="E2569" s="44"/>
      <c r="F2569" s="44"/>
      <c r="G2569" s="11"/>
      <c r="H2569" s="11"/>
      <c r="I2569" s="44"/>
      <c r="J2569" s="114"/>
      <c r="K2569" s="44"/>
      <c r="L2569" s="44"/>
      <c r="M2569" s="44"/>
      <c r="N2569" s="44"/>
      <c r="O2569" s="88"/>
      <c r="P2569" s="88"/>
    </row>
    <row r="2570" ht="15.0" customHeight="1">
      <c r="A2570" s="44"/>
      <c r="B2570" s="44"/>
      <c r="C2570" s="44"/>
      <c r="D2570" s="44"/>
      <c r="E2570" s="44"/>
      <c r="F2570" s="44"/>
      <c r="G2570" s="11"/>
      <c r="H2570" s="11"/>
      <c r="I2570" s="44"/>
      <c r="J2570" s="114"/>
      <c r="K2570" s="44"/>
      <c r="L2570" s="44"/>
      <c r="M2570" s="44"/>
      <c r="N2570" s="44"/>
      <c r="O2570" s="88"/>
      <c r="P2570" s="88"/>
    </row>
    <row r="2571" ht="15.0" customHeight="1">
      <c r="A2571" s="44"/>
      <c r="B2571" s="44"/>
      <c r="C2571" s="44"/>
      <c r="D2571" s="44"/>
      <c r="E2571" s="44"/>
      <c r="F2571" s="44"/>
      <c r="G2571" s="11"/>
      <c r="H2571" s="11"/>
      <c r="I2571" s="44"/>
      <c r="J2571" s="114"/>
      <c r="K2571" s="44"/>
      <c r="L2571" s="44"/>
      <c r="M2571" s="44"/>
      <c r="N2571" s="44"/>
      <c r="O2571" s="88"/>
      <c r="P2571" s="88"/>
    </row>
    <row r="2572" ht="15.0" customHeight="1">
      <c r="A2572" s="44"/>
      <c r="B2572" s="44"/>
      <c r="C2572" s="44"/>
      <c r="D2572" s="44"/>
      <c r="E2572" s="44"/>
      <c r="F2572" s="44"/>
      <c r="G2572" s="11"/>
      <c r="H2572" s="11"/>
      <c r="I2572" s="44"/>
      <c r="J2572" s="114"/>
      <c r="K2572" s="44"/>
      <c r="L2572" s="44"/>
      <c r="M2572" s="44"/>
      <c r="N2572" s="44"/>
      <c r="O2572" s="88"/>
      <c r="P2572" s="88"/>
    </row>
    <row r="2573" ht="15.0" customHeight="1">
      <c r="A2573" s="44"/>
      <c r="B2573" s="44"/>
      <c r="C2573" s="44"/>
      <c r="D2573" s="44"/>
      <c r="E2573" s="44"/>
      <c r="F2573" s="44"/>
      <c r="G2573" s="11"/>
      <c r="H2573" s="11"/>
      <c r="I2573" s="44"/>
      <c r="J2573" s="114"/>
      <c r="K2573" s="44"/>
      <c r="L2573" s="44"/>
      <c r="M2573" s="44"/>
      <c r="N2573" s="44"/>
      <c r="O2573" s="88"/>
      <c r="P2573" s="88"/>
    </row>
    <row r="2574" ht="15.0" customHeight="1">
      <c r="A2574" s="44"/>
      <c r="B2574" s="44"/>
      <c r="C2574" s="44"/>
      <c r="D2574" s="44"/>
      <c r="E2574" s="44"/>
      <c r="F2574" s="44"/>
      <c r="G2574" s="11"/>
      <c r="H2574" s="11"/>
      <c r="I2574" s="44"/>
      <c r="J2574" s="114"/>
      <c r="K2574" s="44"/>
      <c r="L2574" s="44"/>
      <c r="M2574" s="44"/>
      <c r="N2574" s="44"/>
      <c r="O2574" s="88"/>
      <c r="P2574" s="88"/>
    </row>
    <row r="2575" ht="15.0" customHeight="1">
      <c r="A2575" s="44"/>
      <c r="B2575" s="44"/>
      <c r="C2575" s="44"/>
      <c r="D2575" s="44"/>
      <c r="E2575" s="44"/>
      <c r="F2575" s="44"/>
      <c r="G2575" s="11"/>
      <c r="H2575" s="11"/>
      <c r="I2575" s="44"/>
      <c r="J2575" s="114"/>
      <c r="K2575" s="44"/>
      <c r="L2575" s="44"/>
      <c r="M2575" s="44"/>
      <c r="N2575" s="44"/>
      <c r="O2575" s="88"/>
      <c r="P2575" s="88"/>
    </row>
    <row r="2576" ht="15.0" customHeight="1">
      <c r="A2576" s="44"/>
      <c r="B2576" s="44"/>
      <c r="C2576" s="44"/>
      <c r="D2576" s="44"/>
      <c r="E2576" s="44"/>
      <c r="F2576" s="44"/>
      <c r="G2576" s="11"/>
      <c r="H2576" s="11"/>
      <c r="I2576" s="44"/>
      <c r="J2576" s="114"/>
      <c r="K2576" s="44"/>
      <c r="L2576" s="44"/>
      <c r="M2576" s="44"/>
      <c r="N2576" s="44"/>
      <c r="O2576" s="88"/>
      <c r="P2576" s="88"/>
    </row>
    <row r="2577" ht="15.0" customHeight="1">
      <c r="A2577" s="44"/>
      <c r="B2577" s="44"/>
      <c r="C2577" s="44"/>
      <c r="D2577" s="44"/>
      <c r="E2577" s="44"/>
      <c r="F2577" s="44"/>
      <c r="G2577" s="11"/>
      <c r="H2577" s="11"/>
      <c r="I2577" s="44"/>
      <c r="J2577" s="114"/>
      <c r="K2577" s="44"/>
      <c r="L2577" s="44"/>
      <c r="M2577" s="44"/>
      <c r="N2577" s="44"/>
      <c r="O2577" s="88"/>
      <c r="P2577" s="88"/>
    </row>
    <row r="2578" ht="15.0" customHeight="1">
      <c r="A2578" s="44"/>
      <c r="B2578" s="44"/>
      <c r="C2578" s="44"/>
      <c r="D2578" s="44"/>
      <c r="E2578" s="44"/>
      <c r="F2578" s="44"/>
      <c r="G2578" s="11"/>
      <c r="H2578" s="11"/>
      <c r="I2578" s="44"/>
      <c r="J2578" s="114"/>
      <c r="K2578" s="44"/>
      <c r="L2578" s="44"/>
      <c r="M2578" s="44"/>
      <c r="N2578" s="44"/>
      <c r="O2578" s="88"/>
      <c r="P2578" s="88"/>
    </row>
    <row r="2579" ht="15.0" customHeight="1">
      <c r="A2579" s="44"/>
      <c r="B2579" s="44"/>
      <c r="C2579" s="44"/>
      <c r="D2579" s="44"/>
      <c r="E2579" s="44"/>
      <c r="F2579" s="44"/>
      <c r="G2579" s="11"/>
      <c r="H2579" s="11"/>
      <c r="I2579" s="44"/>
      <c r="J2579" s="114"/>
      <c r="K2579" s="44"/>
      <c r="L2579" s="44"/>
      <c r="M2579" s="44"/>
      <c r="N2579" s="44"/>
      <c r="O2579" s="88"/>
      <c r="P2579" s="88"/>
    </row>
    <row r="2580" ht="15.0" customHeight="1">
      <c r="A2580" s="44"/>
      <c r="B2580" s="44"/>
      <c r="C2580" s="44"/>
      <c r="D2580" s="44"/>
      <c r="E2580" s="44"/>
      <c r="F2580" s="44"/>
      <c r="G2580" s="11"/>
      <c r="H2580" s="11"/>
      <c r="I2580" s="44"/>
      <c r="J2580" s="114"/>
      <c r="K2580" s="44"/>
      <c r="L2580" s="44"/>
      <c r="M2580" s="44"/>
      <c r="N2580" s="44"/>
      <c r="O2580" s="88"/>
      <c r="P2580" s="88"/>
    </row>
    <row r="2581" ht="15.0" customHeight="1">
      <c r="A2581" s="44"/>
      <c r="B2581" s="44"/>
      <c r="C2581" s="44"/>
      <c r="D2581" s="44"/>
      <c r="E2581" s="44"/>
      <c r="F2581" s="44"/>
      <c r="G2581" s="11"/>
      <c r="H2581" s="11"/>
      <c r="I2581" s="44"/>
      <c r="J2581" s="114"/>
      <c r="K2581" s="44"/>
      <c r="L2581" s="44"/>
      <c r="M2581" s="44"/>
      <c r="N2581" s="44"/>
      <c r="O2581" s="88"/>
      <c r="P2581" s="88"/>
    </row>
    <row r="2582" ht="15.0" customHeight="1">
      <c r="A2582" s="44"/>
      <c r="B2582" s="44"/>
      <c r="C2582" s="44"/>
      <c r="D2582" s="44"/>
      <c r="E2582" s="44"/>
      <c r="F2582" s="44"/>
      <c r="G2582" s="11"/>
      <c r="H2582" s="11"/>
      <c r="I2582" s="44"/>
      <c r="J2582" s="114"/>
      <c r="K2582" s="44"/>
      <c r="L2582" s="44"/>
      <c r="M2582" s="44"/>
      <c r="N2582" s="44"/>
      <c r="O2582" s="88"/>
      <c r="P2582" s="88"/>
    </row>
    <row r="2583" ht="15.0" customHeight="1">
      <c r="A2583" s="44"/>
      <c r="B2583" s="44"/>
      <c r="C2583" s="44"/>
      <c r="D2583" s="44"/>
      <c r="E2583" s="44"/>
      <c r="F2583" s="44"/>
      <c r="G2583" s="11"/>
      <c r="H2583" s="11"/>
      <c r="I2583" s="44"/>
      <c r="J2583" s="114"/>
      <c r="K2583" s="44"/>
      <c r="L2583" s="44"/>
      <c r="M2583" s="44"/>
      <c r="N2583" s="44"/>
      <c r="O2583" s="88"/>
      <c r="P2583" s="88"/>
    </row>
    <row r="2584" ht="15.0" customHeight="1">
      <c r="A2584" s="44"/>
      <c r="B2584" s="44"/>
      <c r="C2584" s="44"/>
      <c r="D2584" s="44"/>
      <c r="E2584" s="44"/>
      <c r="F2584" s="44"/>
      <c r="G2584" s="11"/>
      <c r="H2584" s="11"/>
      <c r="I2584" s="44"/>
      <c r="J2584" s="114"/>
      <c r="K2584" s="44"/>
      <c r="L2584" s="44"/>
      <c r="M2584" s="44"/>
      <c r="N2584" s="44"/>
      <c r="O2584" s="88"/>
      <c r="P2584" s="88"/>
    </row>
    <row r="2585" ht="15.0" customHeight="1">
      <c r="A2585" s="44"/>
      <c r="B2585" s="44"/>
      <c r="C2585" s="44"/>
      <c r="D2585" s="44"/>
      <c r="E2585" s="44"/>
      <c r="F2585" s="44"/>
      <c r="G2585" s="11"/>
      <c r="H2585" s="11"/>
      <c r="I2585" s="44"/>
      <c r="J2585" s="114"/>
      <c r="K2585" s="44"/>
      <c r="L2585" s="44"/>
      <c r="M2585" s="44"/>
      <c r="N2585" s="44"/>
      <c r="O2585" s="88"/>
      <c r="P2585" s="88"/>
    </row>
    <row r="2586" ht="15.0" customHeight="1">
      <c r="A2586" s="44"/>
      <c r="B2586" s="44"/>
      <c r="C2586" s="44"/>
      <c r="D2586" s="44"/>
      <c r="E2586" s="44"/>
      <c r="F2586" s="44"/>
      <c r="G2586" s="11"/>
      <c r="H2586" s="11"/>
      <c r="I2586" s="44"/>
      <c r="J2586" s="114"/>
      <c r="K2586" s="44"/>
      <c r="L2586" s="44"/>
      <c r="M2586" s="44"/>
      <c r="N2586" s="44"/>
      <c r="O2586" s="88"/>
      <c r="P2586" s="88"/>
    </row>
    <row r="2587" ht="15.0" customHeight="1">
      <c r="A2587" s="44"/>
      <c r="B2587" s="44"/>
      <c r="C2587" s="44"/>
      <c r="D2587" s="44"/>
      <c r="E2587" s="44"/>
      <c r="F2587" s="44"/>
      <c r="G2587" s="11"/>
      <c r="H2587" s="11"/>
      <c r="I2587" s="44"/>
      <c r="J2587" s="114"/>
      <c r="K2587" s="44"/>
      <c r="L2587" s="44"/>
      <c r="M2587" s="44"/>
      <c r="N2587" s="44"/>
      <c r="O2587" s="88"/>
      <c r="P2587" s="88"/>
    </row>
    <row r="2588" ht="15.0" customHeight="1">
      <c r="A2588" s="44"/>
      <c r="B2588" s="44"/>
      <c r="C2588" s="44"/>
      <c r="D2588" s="44"/>
      <c r="E2588" s="44"/>
      <c r="F2588" s="44"/>
      <c r="G2588" s="11"/>
      <c r="H2588" s="11"/>
      <c r="I2588" s="44"/>
      <c r="J2588" s="114"/>
      <c r="K2588" s="44"/>
      <c r="L2588" s="44"/>
      <c r="M2588" s="44"/>
      <c r="N2588" s="44"/>
      <c r="O2588" s="88"/>
      <c r="P2588" s="88"/>
    </row>
    <row r="2589" ht="15.0" customHeight="1">
      <c r="A2589" s="44"/>
      <c r="B2589" s="44"/>
      <c r="C2589" s="44"/>
      <c r="D2589" s="44"/>
      <c r="E2589" s="44"/>
      <c r="F2589" s="44"/>
      <c r="G2589" s="11"/>
      <c r="H2589" s="11"/>
      <c r="I2589" s="44"/>
      <c r="J2589" s="114"/>
      <c r="K2589" s="44"/>
      <c r="L2589" s="44"/>
      <c r="M2589" s="44"/>
      <c r="N2589" s="44"/>
      <c r="O2589" s="88"/>
      <c r="P2589" s="88"/>
    </row>
    <row r="2590" ht="15.0" customHeight="1">
      <c r="A2590" s="44"/>
      <c r="B2590" s="44"/>
      <c r="C2590" s="44"/>
      <c r="D2590" s="44"/>
      <c r="E2590" s="44"/>
      <c r="F2590" s="44"/>
      <c r="G2590" s="11"/>
      <c r="H2590" s="11"/>
      <c r="I2590" s="44"/>
      <c r="J2590" s="114"/>
      <c r="K2590" s="44"/>
      <c r="L2590" s="44"/>
      <c r="M2590" s="44"/>
      <c r="N2590" s="44"/>
      <c r="O2590" s="88"/>
      <c r="P2590" s="88"/>
    </row>
    <row r="2591" ht="15.0" customHeight="1">
      <c r="A2591" s="44"/>
      <c r="B2591" s="44"/>
      <c r="C2591" s="44"/>
      <c r="D2591" s="44"/>
      <c r="E2591" s="44"/>
      <c r="F2591" s="44"/>
      <c r="G2591" s="11"/>
      <c r="H2591" s="11"/>
      <c r="I2591" s="44"/>
      <c r="J2591" s="114"/>
      <c r="K2591" s="44"/>
      <c r="L2591" s="44"/>
      <c r="M2591" s="44"/>
      <c r="N2591" s="44"/>
      <c r="O2591" s="88"/>
      <c r="P2591" s="88"/>
    </row>
    <row r="2592" ht="15.0" customHeight="1">
      <c r="A2592" s="44"/>
      <c r="B2592" s="44"/>
      <c r="C2592" s="44"/>
      <c r="D2592" s="44"/>
      <c r="E2592" s="44"/>
      <c r="F2592" s="44"/>
      <c r="G2592" s="11"/>
      <c r="H2592" s="11"/>
      <c r="I2592" s="44"/>
      <c r="J2592" s="114"/>
      <c r="K2592" s="44"/>
      <c r="L2592" s="44"/>
      <c r="M2592" s="44"/>
      <c r="N2592" s="44"/>
      <c r="O2592" s="88"/>
      <c r="P2592" s="88"/>
    </row>
    <row r="2593" ht="15.0" customHeight="1">
      <c r="A2593" s="44"/>
      <c r="B2593" s="44"/>
      <c r="C2593" s="44"/>
      <c r="D2593" s="44"/>
      <c r="E2593" s="44"/>
      <c r="F2593" s="44"/>
      <c r="G2593" s="11"/>
      <c r="H2593" s="11"/>
      <c r="I2593" s="44"/>
      <c r="J2593" s="114"/>
      <c r="K2593" s="44"/>
      <c r="L2593" s="44"/>
      <c r="M2593" s="44"/>
      <c r="N2593" s="44"/>
      <c r="O2593" s="88"/>
      <c r="P2593" s="88"/>
    </row>
    <row r="2594" ht="15.0" customHeight="1">
      <c r="A2594" s="44"/>
      <c r="B2594" s="44"/>
      <c r="C2594" s="44"/>
      <c r="D2594" s="44"/>
      <c r="E2594" s="44"/>
      <c r="F2594" s="44"/>
      <c r="G2594" s="11"/>
      <c r="H2594" s="11"/>
      <c r="I2594" s="44"/>
      <c r="J2594" s="114"/>
      <c r="K2594" s="44"/>
      <c r="L2594" s="44"/>
      <c r="M2594" s="44"/>
      <c r="N2594" s="44"/>
      <c r="O2594" s="88"/>
      <c r="P2594" s="88"/>
    </row>
    <row r="2595" ht="15.0" customHeight="1">
      <c r="A2595" s="44"/>
      <c r="B2595" s="44"/>
      <c r="C2595" s="44"/>
      <c r="D2595" s="44"/>
      <c r="E2595" s="44"/>
      <c r="F2595" s="44"/>
      <c r="G2595" s="11"/>
      <c r="H2595" s="11"/>
      <c r="I2595" s="44"/>
      <c r="J2595" s="114"/>
      <c r="K2595" s="44"/>
      <c r="L2595" s="44"/>
      <c r="M2595" s="44"/>
      <c r="N2595" s="44"/>
      <c r="O2595" s="88"/>
      <c r="P2595" s="88"/>
    </row>
    <row r="2596" ht="15.0" customHeight="1">
      <c r="A2596" s="44"/>
      <c r="B2596" s="44"/>
      <c r="C2596" s="44"/>
      <c r="D2596" s="44"/>
      <c r="E2596" s="44"/>
      <c r="F2596" s="44"/>
      <c r="G2596" s="11"/>
      <c r="H2596" s="11"/>
      <c r="I2596" s="44"/>
      <c r="J2596" s="114"/>
      <c r="K2596" s="44"/>
      <c r="L2596" s="44"/>
      <c r="M2596" s="44"/>
      <c r="N2596" s="44"/>
      <c r="O2596" s="88"/>
      <c r="P2596" s="88"/>
    </row>
    <row r="2597" ht="15.0" customHeight="1">
      <c r="A2597" s="44"/>
      <c r="B2597" s="44"/>
      <c r="C2597" s="44"/>
      <c r="D2597" s="44"/>
      <c r="E2597" s="44"/>
      <c r="F2597" s="44"/>
      <c r="G2597" s="11"/>
      <c r="H2597" s="11"/>
      <c r="I2597" s="44"/>
      <c r="J2597" s="114"/>
      <c r="K2597" s="44"/>
      <c r="L2597" s="44"/>
      <c r="M2597" s="44"/>
      <c r="N2597" s="44"/>
      <c r="O2597" s="88"/>
      <c r="P2597" s="88"/>
    </row>
    <row r="2598" ht="15.0" customHeight="1">
      <c r="A2598" s="44"/>
      <c r="B2598" s="44"/>
      <c r="C2598" s="44"/>
      <c r="D2598" s="44"/>
      <c r="E2598" s="44"/>
      <c r="F2598" s="44"/>
      <c r="G2598" s="11"/>
      <c r="H2598" s="11"/>
      <c r="I2598" s="44"/>
      <c r="J2598" s="114"/>
      <c r="K2598" s="44"/>
      <c r="L2598" s="44"/>
      <c r="M2598" s="44"/>
      <c r="N2598" s="44"/>
      <c r="O2598" s="88"/>
      <c r="P2598" s="88"/>
    </row>
    <row r="2599" ht="15.0" customHeight="1">
      <c r="A2599" s="44"/>
      <c r="B2599" s="44"/>
      <c r="C2599" s="44"/>
      <c r="D2599" s="44"/>
      <c r="E2599" s="44"/>
      <c r="F2599" s="44"/>
      <c r="G2599" s="11"/>
      <c r="H2599" s="11"/>
      <c r="I2599" s="44"/>
      <c r="J2599" s="114"/>
      <c r="K2599" s="44"/>
      <c r="L2599" s="44"/>
      <c r="M2599" s="44"/>
      <c r="N2599" s="44"/>
      <c r="O2599" s="88"/>
      <c r="P2599" s="88"/>
    </row>
    <row r="2600" ht="15.0" customHeight="1">
      <c r="A2600" s="44"/>
      <c r="B2600" s="44"/>
      <c r="C2600" s="44"/>
      <c r="D2600" s="44"/>
      <c r="E2600" s="44"/>
      <c r="F2600" s="44"/>
      <c r="G2600" s="11"/>
      <c r="H2600" s="11"/>
      <c r="I2600" s="44"/>
      <c r="J2600" s="114"/>
      <c r="K2600" s="44"/>
      <c r="L2600" s="44"/>
      <c r="M2600" s="44"/>
      <c r="N2600" s="44"/>
      <c r="O2600" s="88"/>
      <c r="P2600" s="88"/>
    </row>
    <row r="2601" ht="15.0" customHeight="1">
      <c r="A2601" s="44"/>
      <c r="B2601" s="44"/>
      <c r="C2601" s="44"/>
      <c r="D2601" s="44"/>
      <c r="E2601" s="44"/>
      <c r="F2601" s="44"/>
      <c r="G2601" s="11"/>
      <c r="H2601" s="11"/>
      <c r="I2601" s="44"/>
      <c r="J2601" s="114"/>
      <c r="K2601" s="44"/>
      <c r="L2601" s="44"/>
      <c r="M2601" s="44"/>
      <c r="N2601" s="44"/>
      <c r="O2601" s="88"/>
      <c r="P2601" s="88"/>
    </row>
    <row r="2602" ht="15.0" customHeight="1">
      <c r="A2602" s="44"/>
      <c r="B2602" s="44"/>
      <c r="C2602" s="44"/>
      <c r="D2602" s="44"/>
      <c r="E2602" s="44"/>
      <c r="F2602" s="44"/>
      <c r="G2602" s="11"/>
      <c r="H2602" s="11"/>
      <c r="I2602" s="44"/>
      <c r="J2602" s="114"/>
      <c r="K2602" s="44"/>
      <c r="L2602" s="44"/>
      <c r="M2602" s="44"/>
      <c r="N2602" s="44"/>
      <c r="O2602" s="88"/>
      <c r="P2602" s="88"/>
    </row>
    <row r="2603" ht="15.0" customHeight="1">
      <c r="A2603" s="44"/>
      <c r="B2603" s="44"/>
      <c r="C2603" s="44"/>
      <c r="D2603" s="44"/>
      <c r="E2603" s="44"/>
      <c r="F2603" s="44"/>
      <c r="G2603" s="11"/>
      <c r="H2603" s="11"/>
      <c r="I2603" s="44"/>
      <c r="J2603" s="114"/>
      <c r="K2603" s="44"/>
      <c r="L2603" s="44"/>
      <c r="M2603" s="44"/>
      <c r="N2603" s="44"/>
      <c r="O2603" s="88"/>
      <c r="P2603" s="88"/>
    </row>
    <row r="2604" ht="15.0" customHeight="1">
      <c r="A2604" s="44"/>
      <c r="B2604" s="44"/>
      <c r="C2604" s="44"/>
      <c r="D2604" s="44"/>
      <c r="E2604" s="44"/>
      <c r="F2604" s="44"/>
      <c r="G2604" s="11"/>
      <c r="H2604" s="11"/>
      <c r="I2604" s="44"/>
      <c r="J2604" s="114"/>
      <c r="K2604" s="44"/>
      <c r="L2604" s="44"/>
      <c r="M2604" s="44"/>
      <c r="N2604" s="44"/>
      <c r="O2604" s="88"/>
      <c r="P2604" s="88"/>
    </row>
    <row r="2605" ht="15.0" customHeight="1">
      <c r="A2605" s="44"/>
      <c r="B2605" s="44"/>
      <c r="C2605" s="44"/>
      <c r="D2605" s="44"/>
      <c r="E2605" s="44"/>
      <c r="F2605" s="44"/>
      <c r="G2605" s="11"/>
      <c r="H2605" s="11"/>
      <c r="I2605" s="44"/>
      <c r="J2605" s="114"/>
      <c r="K2605" s="44"/>
      <c r="L2605" s="44"/>
      <c r="M2605" s="44"/>
      <c r="N2605" s="44"/>
      <c r="O2605" s="88"/>
      <c r="P2605" s="88"/>
    </row>
    <row r="2606" ht="15.0" customHeight="1">
      <c r="A2606" s="44"/>
      <c r="B2606" s="44"/>
      <c r="C2606" s="44"/>
      <c r="D2606" s="44"/>
      <c r="E2606" s="44"/>
      <c r="F2606" s="44"/>
      <c r="G2606" s="11"/>
      <c r="H2606" s="11"/>
      <c r="I2606" s="44"/>
      <c r="J2606" s="114"/>
      <c r="K2606" s="44"/>
      <c r="L2606" s="44"/>
      <c r="M2606" s="44"/>
      <c r="N2606" s="44"/>
      <c r="O2606" s="88"/>
      <c r="P2606" s="88"/>
    </row>
    <row r="2607" ht="15.0" customHeight="1">
      <c r="A2607" s="44"/>
      <c r="B2607" s="44"/>
      <c r="C2607" s="44"/>
      <c r="D2607" s="44"/>
      <c r="E2607" s="44"/>
      <c r="F2607" s="44"/>
      <c r="G2607" s="11"/>
      <c r="H2607" s="11"/>
      <c r="I2607" s="44"/>
      <c r="J2607" s="114"/>
      <c r="K2607" s="44"/>
      <c r="L2607" s="44"/>
      <c r="M2607" s="44"/>
      <c r="N2607" s="44"/>
      <c r="O2607" s="88"/>
      <c r="P2607" s="88"/>
    </row>
    <row r="2608" ht="15.0" customHeight="1">
      <c r="A2608" s="44"/>
      <c r="B2608" s="44"/>
      <c r="C2608" s="44"/>
      <c r="D2608" s="44"/>
      <c r="E2608" s="44"/>
      <c r="F2608" s="44"/>
      <c r="G2608" s="11"/>
      <c r="H2608" s="11"/>
      <c r="I2608" s="44"/>
      <c r="J2608" s="114"/>
      <c r="K2608" s="44"/>
      <c r="L2608" s="44"/>
      <c r="M2608" s="44"/>
      <c r="N2608" s="44"/>
      <c r="O2608" s="88"/>
      <c r="P2608" s="88"/>
    </row>
    <row r="2609" ht="15.0" customHeight="1">
      <c r="A2609" s="44"/>
      <c r="B2609" s="44"/>
      <c r="C2609" s="44"/>
      <c r="D2609" s="44"/>
      <c r="E2609" s="44"/>
      <c r="F2609" s="44"/>
      <c r="G2609" s="11"/>
      <c r="H2609" s="11"/>
      <c r="I2609" s="44"/>
      <c r="J2609" s="114"/>
      <c r="K2609" s="44"/>
      <c r="L2609" s="44"/>
      <c r="M2609" s="44"/>
      <c r="N2609" s="44"/>
      <c r="O2609" s="88"/>
      <c r="P2609" s="88"/>
    </row>
    <row r="2610" ht="15.0" customHeight="1">
      <c r="A2610" s="44"/>
      <c r="B2610" s="44"/>
      <c r="C2610" s="44"/>
      <c r="D2610" s="44"/>
      <c r="E2610" s="44"/>
      <c r="F2610" s="44"/>
      <c r="G2610" s="11"/>
      <c r="H2610" s="11"/>
      <c r="I2610" s="44"/>
      <c r="J2610" s="114"/>
      <c r="K2610" s="44"/>
      <c r="L2610" s="44"/>
      <c r="M2610" s="44"/>
      <c r="N2610" s="44"/>
      <c r="O2610" s="88"/>
      <c r="P2610" s="88"/>
    </row>
    <row r="2611" ht="15.0" customHeight="1">
      <c r="A2611" s="44"/>
      <c r="B2611" s="44"/>
      <c r="C2611" s="44"/>
      <c r="D2611" s="44"/>
      <c r="E2611" s="44"/>
      <c r="F2611" s="44"/>
      <c r="G2611" s="11"/>
      <c r="H2611" s="11"/>
      <c r="I2611" s="44"/>
      <c r="J2611" s="114"/>
      <c r="K2611" s="44"/>
      <c r="L2611" s="44"/>
      <c r="M2611" s="44"/>
      <c r="N2611" s="44"/>
      <c r="O2611" s="88"/>
      <c r="P2611" s="88"/>
    </row>
    <row r="2612" ht="15.0" customHeight="1">
      <c r="A2612" s="44"/>
      <c r="B2612" s="44"/>
      <c r="C2612" s="44"/>
      <c r="D2612" s="44"/>
      <c r="E2612" s="44"/>
      <c r="F2612" s="44"/>
      <c r="G2612" s="11"/>
      <c r="H2612" s="11"/>
      <c r="I2612" s="44"/>
      <c r="J2612" s="114"/>
      <c r="K2612" s="44"/>
      <c r="L2612" s="44"/>
      <c r="M2612" s="44"/>
      <c r="N2612" s="44"/>
      <c r="O2612" s="88"/>
      <c r="P2612" s="88"/>
    </row>
    <row r="2613" ht="15.0" customHeight="1">
      <c r="A2613" s="44"/>
      <c r="B2613" s="44"/>
      <c r="C2613" s="44"/>
      <c r="D2613" s="44"/>
      <c r="E2613" s="44"/>
      <c r="F2613" s="44"/>
      <c r="G2613" s="11"/>
      <c r="H2613" s="11"/>
      <c r="I2613" s="44"/>
      <c r="J2613" s="114"/>
      <c r="K2613" s="44"/>
      <c r="L2613" s="44"/>
      <c r="M2613" s="44"/>
      <c r="N2613" s="44"/>
      <c r="O2613" s="88"/>
      <c r="P2613" s="88"/>
    </row>
    <row r="2614" ht="15.0" customHeight="1">
      <c r="A2614" s="44"/>
      <c r="B2614" s="44"/>
      <c r="C2614" s="44"/>
      <c r="D2614" s="44"/>
      <c r="E2614" s="44"/>
      <c r="F2614" s="44"/>
      <c r="G2614" s="11"/>
      <c r="H2614" s="11"/>
      <c r="I2614" s="44"/>
      <c r="J2614" s="114"/>
      <c r="K2614" s="44"/>
      <c r="L2614" s="44"/>
      <c r="M2614" s="44"/>
      <c r="N2614" s="44"/>
      <c r="O2614" s="88"/>
      <c r="P2614" s="88"/>
    </row>
    <row r="2615" ht="15.0" customHeight="1">
      <c r="A2615" s="44"/>
      <c r="B2615" s="44"/>
      <c r="C2615" s="44"/>
      <c r="D2615" s="44"/>
      <c r="E2615" s="44"/>
      <c r="F2615" s="44"/>
      <c r="G2615" s="11"/>
      <c r="H2615" s="11"/>
      <c r="I2615" s="44"/>
      <c r="J2615" s="114"/>
      <c r="K2615" s="44"/>
      <c r="L2615" s="44"/>
      <c r="M2615" s="44"/>
      <c r="N2615" s="44"/>
      <c r="O2615" s="88"/>
      <c r="P2615" s="88"/>
    </row>
    <row r="2616" ht="15.0" customHeight="1">
      <c r="A2616" s="44"/>
      <c r="B2616" s="44"/>
      <c r="C2616" s="44"/>
      <c r="D2616" s="44"/>
      <c r="E2616" s="44"/>
      <c r="F2616" s="44"/>
      <c r="G2616" s="11"/>
      <c r="H2616" s="11"/>
      <c r="I2616" s="44"/>
      <c r="J2616" s="114"/>
      <c r="K2616" s="44"/>
      <c r="L2616" s="44"/>
      <c r="M2616" s="44"/>
      <c r="N2616" s="44"/>
      <c r="O2616" s="88"/>
      <c r="P2616" s="88"/>
    </row>
    <row r="2617" ht="15.0" customHeight="1">
      <c r="A2617" s="44"/>
      <c r="B2617" s="44"/>
      <c r="C2617" s="44"/>
      <c r="D2617" s="44"/>
      <c r="E2617" s="44"/>
      <c r="F2617" s="44"/>
      <c r="G2617" s="11"/>
      <c r="H2617" s="11"/>
      <c r="I2617" s="44"/>
      <c r="J2617" s="114"/>
      <c r="K2617" s="44"/>
      <c r="L2617" s="44"/>
      <c r="M2617" s="44"/>
      <c r="N2617" s="44"/>
      <c r="O2617" s="88"/>
      <c r="P2617" s="88"/>
    </row>
    <row r="2618" ht="15.0" customHeight="1">
      <c r="A2618" s="44"/>
      <c r="B2618" s="44"/>
      <c r="C2618" s="44"/>
      <c r="D2618" s="44"/>
      <c r="E2618" s="44"/>
      <c r="F2618" s="44"/>
      <c r="G2618" s="11"/>
      <c r="H2618" s="11"/>
      <c r="I2618" s="44"/>
      <c r="J2618" s="114"/>
      <c r="K2618" s="44"/>
      <c r="L2618" s="44"/>
      <c r="M2618" s="44"/>
      <c r="N2618" s="44"/>
      <c r="O2618" s="88"/>
      <c r="P2618" s="88"/>
    </row>
    <row r="2619" ht="15.0" customHeight="1">
      <c r="A2619" s="44"/>
      <c r="B2619" s="44"/>
      <c r="C2619" s="44"/>
      <c r="D2619" s="44"/>
      <c r="E2619" s="44"/>
      <c r="F2619" s="44"/>
      <c r="G2619" s="11"/>
      <c r="H2619" s="11"/>
      <c r="I2619" s="44"/>
      <c r="J2619" s="114"/>
      <c r="K2619" s="44"/>
      <c r="L2619" s="44"/>
      <c r="M2619" s="44"/>
      <c r="N2619" s="44"/>
      <c r="O2619" s="88"/>
      <c r="P2619" s="88"/>
    </row>
    <row r="2620" ht="15.0" customHeight="1">
      <c r="A2620" s="44"/>
      <c r="B2620" s="44"/>
      <c r="C2620" s="44"/>
      <c r="D2620" s="44"/>
      <c r="E2620" s="44"/>
      <c r="F2620" s="44"/>
      <c r="G2620" s="11"/>
      <c r="H2620" s="11"/>
      <c r="I2620" s="44"/>
      <c r="J2620" s="114"/>
      <c r="K2620" s="44"/>
      <c r="L2620" s="44"/>
      <c r="M2620" s="44"/>
      <c r="N2620" s="44"/>
      <c r="O2620" s="88"/>
      <c r="P2620" s="88"/>
    </row>
    <row r="2621" ht="15.0" customHeight="1">
      <c r="A2621" s="44"/>
      <c r="B2621" s="44"/>
      <c r="C2621" s="44"/>
      <c r="D2621" s="44"/>
      <c r="E2621" s="44"/>
      <c r="F2621" s="44"/>
      <c r="G2621" s="11"/>
      <c r="H2621" s="11"/>
      <c r="I2621" s="44"/>
      <c r="J2621" s="114"/>
      <c r="K2621" s="44"/>
      <c r="L2621" s="44"/>
      <c r="M2621" s="44"/>
      <c r="N2621" s="44"/>
      <c r="O2621" s="88"/>
      <c r="P2621" s="88"/>
    </row>
    <row r="2622" ht="15.0" customHeight="1">
      <c r="A2622" s="44"/>
      <c r="B2622" s="44"/>
      <c r="C2622" s="44"/>
      <c r="D2622" s="44"/>
      <c r="E2622" s="44"/>
      <c r="F2622" s="44"/>
      <c r="G2622" s="11"/>
      <c r="H2622" s="11"/>
      <c r="I2622" s="44"/>
      <c r="J2622" s="114"/>
      <c r="K2622" s="44"/>
      <c r="L2622" s="44"/>
      <c r="M2622" s="44"/>
      <c r="N2622" s="44"/>
      <c r="O2622" s="88"/>
      <c r="P2622" s="88"/>
    </row>
    <row r="2623" ht="15.0" customHeight="1">
      <c r="A2623" s="44"/>
      <c r="B2623" s="44"/>
      <c r="C2623" s="44"/>
      <c r="D2623" s="44"/>
      <c r="E2623" s="44"/>
      <c r="F2623" s="44"/>
      <c r="G2623" s="11"/>
      <c r="H2623" s="11"/>
      <c r="I2623" s="44"/>
      <c r="J2623" s="114"/>
      <c r="K2623" s="44"/>
      <c r="L2623" s="44"/>
      <c r="M2623" s="44"/>
      <c r="N2623" s="44"/>
      <c r="O2623" s="88"/>
      <c r="P2623" s="88"/>
    </row>
    <row r="2624" ht="15.0" customHeight="1">
      <c r="A2624" s="44"/>
      <c r="B2624" s="44"/>
      <c r="C2624" s="44"/>
      <c r="D2624" s="44"/>
      <c r="E2624" s="44"/>
      <c r="F2624" s="44"/>
      <c r="G2624" s="11"/>
      <c r="H2624" s="11"/>
      <c r="I2624" s="44"/>
      <c r="J2624" s="114"/>
      <c r="K2624" s="44"/>
      <c r="L2624" s="44"/>
      <c r="M2624" s="44"/>
      <c r="N2624" s="44"/>
      <c r="O2624" s="88"/>
      <c r="P2624" s="88"/>
    </row>
    <row r="2625" ht="15.0" customHeight="1">
      <c r="A2625" s="44"/>
      <c r="B2625" s="44"/>
      <c r="C2625" s="44"/>
      <c r="D2625" s="44"/>
      <c r="E2625" s="44"/>
      <c r="F2625" s="44"/>
      <c r="G2625" s="11"/>
      <c r="H2625" s="11"/>
      <c r="I2625" s="44"/>
      <c r="J2625" s="114"/>
      <c r="K2625" s="44"/>
      <c r="L2625" s="44"/>
      <c r="M2625" s="44"/>
      <c r="N2625" s="44"/>
      <c r="O2625" s="88"/>
      <c r="P2625" s="88"/>
    </row>
    <row r="2626" ht="15.0" customHeight="1">
      <c r="A2626" s="44"/>
      <c r="B2626" s="44"/>
      <c r="C2626" s="44"/>
      <c r="D2626" s="44"/>
      <c r="E2626" s="44"/>
      <c r="F2626" s="44"/>
      <c r="G2626" s="11"/>
      <c r="H2626" s="11"/>
      <c r="I2626" s="44"/>
      <c r="J2626" s="114"/>
      <c r="K2626" s="44"/>
      <c r="L2626" s="44"/>
      <c r="M2626" s="44"/>
      <c r="N2626" s="44"/>
      <c r="O2626" s="88"/>
      <c r="P2626" s="88"/>
    </row>
    <row r="2627" ht="15.0" customHeight="1">
      <c r="A2627" s="44"/>
      <c r="B2627" s="44"/>
      <c r="C2627" s="44"/>
      <c r="D2627" s="44"/>
      <c r="E2627" s="44"/>
      <c r="F2627" s="44"/>
      <c r="G2627" s="11"/>
      <c r="H2627" s="11"/>
      <c r="I2627" s="44"/>
      <c r="J2627" s="114"/>
      <c r="K2627" s="44"/>
      <c r="L2627" s="44"/>
      <c r="M2627" s="44"/>
      <c r="N2627" s="44"/>
      <c r="O2627" s="88"/>
      <c r="P2627" s="88"/>
    </row>
    <row r="2628" ht="15.0" customHeight="1">
      <c r="A2628" s="44"/>
      <c r="B2628" s="44"/>
      <c r="C2628" s="44"/>
      <c r="D2628" s="44"/>
      <c r="E2628" s="44"/>
      <c r="F2628" s="44"/>
      <c r="G2628" s="11"/>
      <c r="H2628" s="11"/>
      <c r="I2628" s="44"/>
      <c r="J2628" s="114"/>
      <c r="K2628" s="44"/>
      <c r="L2628" s="44"/>
      <c r="M2628" s="44"/>
      <c r="N2628" s="44"/>
      <c r="O2628" s="88"/>
      <c r="P2628" s="88"/>
    </row>
    <row r="2629" ht="15.0" customHeight="1">
      <c r="A2629" s="44"/>
      <c r="B2629" s="44"/>
      <c r="C2629" s="44"/>
      <c r="D2629" s="44"/>
      <c r="E2629" s="44"/>
      <c r="F2629" s="44"/>
      <c r="G2629" s="11"/>
      <c r="H2629" s="11"/>
      <c r="I2629" s="44"/>
      <c r="J2629" s="114"/>
      <c r="K2629" s="44"/>
      <c r="L2629" s="44"/>
      <c r="M2629" s="44"/>
      <c r="N2629" s="44"/>
      <c r="O2629" s="88"/>
      <c r="P2629" s="88"/>
    </row>
    <row r="2630" ht="15.0" customHeight="1">
      <c r="A2630" s="44"/>
      <c r="B2630" s="44"/>
      <c r="C2630" s="44"/>
      <c r="D2630" s="44"/>
      <c r="E2630" s="44"/>
      <c r="F2630" s="44"/>
      <c r="G2630" s="11"/>
      <c r="H2630" s="11"/>
      <c r="I2630" s="44"/>
      <c r="J2630" s="114"/>
      <c r="K2630" s="44"/>
      <c r="L2630" s="44"/>
      <c r="M2630" s="44"/>
      <c r="N2630" s="44"/>
      <c r="O2630" s="88"/>
      <c r="P2630" s="88"/>
    </row>
    <row r="2631" ht="15.0" customHeight="1">
      <c r="A2631" s="44"/>
      <c r="B2631" s="44"/>
      <c r="C2631" s="44"/>
      <c r="D2631" s="44"/>
      <c r="E2631" s="44"/>
      <c r="F2631" s="44"/>
      <c r="G2631" s="11"/>
      <c r="H2631" s="11"/>
      <c r="I2631" s="44"/>
      <c r="J2631" s="114"/>
      <c r="K2631" s="44"/>
      <c r="L2631" s="44"/>
      <c r="M2631" s="44"/>
      <c r="N2631" s="44"/>
      <c r="O2631" s="88"/>
      <c r="P2631" s="88"/>
    </row>
    <row r="2632" ht="15.0" customHeight="1">
      <c r="A2632" s="44"/>
      <c r="B2632" s="44"/>
      <c r="C2632" s="44"/>
      <c r="D2632" s="44"/>
      <c r="E2632" s="44"/>
      <c r="F2632" s="44"/>
      <c r="G2632" s="11"/>
      <c r="H2632" s="11"/>
      <c r="I2632" s="44"/>
      <c r="J2632" s="114"/>
      <c r="K2632" s="44"/>
      <c r="L2632" s="44"/>
      <c r="M2632" s="44"/>
      <c r="N2632" s="44"/>
      <c r="O2632" s="88"/>
      <c r="P2632" s="88"/>
    </row>
    <row r="2633" ht="15.0" customHeight="1">
      <c r="A2633" s="44"/>
      <c r="B2633" s="44"/>
      <c r="C2633" s="44"/>
      <c r="D2633" s="44"/>
      <c r="E2633" s="44"/>
      <c r="F2633" s="44"/>
      <c r="G2633" s="11"/>
      <c r="H2633" s="11"/>
      <c r="I2633" s="44"/>
      <c r="J2633" s="114"/>
      <c r="K2633" s="44"/>
      <c r="L2633" s="44"/>
      <c r="M2633" s="44"/>
      <c r="N2633" s="44"/>
      <c r="O2633" s="88"/>
      <c r="P2633" s="88"/>
    </row>
    <row r="2634" ht="15.0" customHeight="1">
      <c r="A2634" s="44"/>
      <c r="B2634" s="44"/>
      <c r="C2634" s="44"/>
      <c r="D2634" s="44"/>
      <c r="E2634" s="44"/>
      <c r="F2634" s="44"/>
      <c r="G2634" s="11"/>
      <c r="H2634" s="11"/>
      <c r="I2634" s="44"/>
      <c r="J2634" s="114"/>
      <c r="K2634" s="44"/>
      <c r="L2634" s="44"/>
      <c r="M2634" s="44"/>
      <c r="N2634" s="44"/>
      <c r="O2634" s="88"/>
      <c r="P2634" s="88"/>
    </row>
    <row r="2635" ht="15.0" customHeight="1">
      <c r="A2635" s="44"/>
      <c r="B2635" s="44"/>
      <c r="C2635" s="44"/>
      <c r="D2635" s="44"/>
      <c r="E2635" s="44"/>
      <c r="F2635" s="44"/>
      <c r="G2635" s="11"/>
      <c r="H2635" s="11"/>
      <c r="I2635" s="44"/>
      <c r="J2635" s="114"/>
      <c r="K2635" s="44"/>
      <c r="L2635" s="44"/>
      <c r="M2635" s="44"/>
      <c r="N2635" s="44"/>
      <c r="O2635" s="88"/>
      <c r="P2635" s="88"/>
    </row>
    <row r="2636" ht="15.0" customHeight="1">
      <c r="A2636" s="44"/>
      <c r="B2636" s="44"/>
      <c r="C2636" s="44"/>
      <c r="D2636" s="44"/>
      <c r="E2636" s="44"/>
      <c r="F2636" s="44"/>
      <c r="G2636" s="11"/>
      <c r="H2636" s="11"/>
      <c r="I2636" s="44"/>
      <c r="J2636" s="114"/>
      <c r="K2636" s="44"/>
      <c r="L2636" s="44"/>
      <c r="M2636" s="44"/>
      <c r="N2636" s="44"/>
      <c r="O2636" s="88"/>
      <c r="P2636" s="88"/>
    </row>
    <row r="2637" ht="15.0" customHeight="1">
      <c r="A2637" s="44"/>
      <c r="B2637" s="44"/>
      <c r="C2637" s="44"/>
      <c r="D2637" s="44"/>
      <c r="E2637" s="44"/>
      <c r="F2637" s="44"/>
      <c r="G2637" s="11"/>
      <c r="H2637" s="11"/>
      <c r="I2637" s="44"/>
      <c r="J2637" s="114"/>
      <c r="K2637" s="44"/>
      <c r="L2637" s="44"/>
      <c r="M2637" s="44"/>
      <c r="N2637" s="44"/>
      <c r="O2637" s="88"/>
      <c r="P2637" s="88"/>
    </row>
    <row r="2638" ht="15.0" customHeight="1">
      <c r="A2638" s="44"/>
      <c r="B2638" s="44"/>
      <c r="C2638" s="44"/>
      <c r="D2638" s="44"/>
      <c r="E2638" s="44"/>
      <c r="F2638" s="44"/>
      <c r="G2638" s="11"/>
      <c r="H2638" s="11"/>
      <c r="I2638" s="44"/>
      <c r="J2638" s="114"/>
      <c r="K2638" s="44"/>
      <c r="L2638" s="44"/>
      <c r="M2638" s="44"/>
      <c r="N2638" s="44"/>
      <c r="O2638" s="88"/>
      <c r="P2638" s="88"/>
    </row>
    <row r="2639" ht="15.0" customHeight="1">
      <c r="A2639" s="44"/>
      <c r="B2639" s="44"/>
      <c r="C2639" s="44"/>
      <c r="D2639" s="44"/>
      <c r="E2639" s="44"/>
      <c r="F2639" s="44"/>
      <c r="G2639" s="11"/>
      <c r="H2639" s="11"/>
      <c r="I2639" s="44"/>
      <c r="J2639" s="114"/>
      <c r="K2639" s="44"/>
      <c r="L2639" s="44"/>
      <c r="M2639" s="44"/>
      <c r="N2639" s="44"/>
      <c r="O2639" s="88"/>
      <c r="P2639" s="88"/>
    </row>
    <row r="2640" ht="15.0" customHeight="1">
      <c r="A2640" s="44"/>
      <c r="B2640" s="44"/>
      <c r="C2640" s="44"/>
      <c r="D2640" s="44"/>
      <c r="E2640" s="44"/>
      <c r="F2640" s="44"/>
      <c r="G2640" s="11"/>
      <c r="H2640" s="11"/>
      <c r="I2640" s="44"/>
      <c r="J2640" s="114"/>
      <c r="K2640" s="44"/>
      <c r="L2640" s="44"/>
      <c r="M2640" s="44"/>
      <c r="N2640" s="44"/>
      <c r="O2640" s="88"/>
      <c r="P2640" s="88"/>
    </row>
    <row r="2641" ht="15.0" customHeight="1">
      <c r="A2641" s="44"/>
      <c r="B2641" s="44"/>
      <c r="C2641" s="44"/>
      <c r="D2641" s="44"/>
      <c r="E2641" s="44"/>
      <c r="F2641" s="44"/>
      <c r="G2641" s="11"/>
      <c r="H2641" s="11"/>
      <c r="I2641" s="44"/>
      <c r="J2641" s="114"/>
      <c r="K2641" s="44"/>
      <c r="L2641" s="44"/>
      <c r="M2641" s="44"/>
      <c r="N2641" s="44"/>
      <c r="O2641" s="88"/>
      <c r="P2641" s="88"/>
    </row>
    <row r="2642" ht="15.0" customHeight="1">
      <c r="A2642" s="44"/>
      <c r="B2642" s="44"/>
      <c r="C2642" s="44"/>
      <c r="D2642" s="44"/>
      <c r="E2642" s="44"/>
      <c r="F2642" s="44"/>
      <c r="G2642" s="11"/>
      <c r="H2642" s="11"/>
      <c r="I2642" s="44"/>
      <c r="J2642" s="114"/>
      <c r="K2642" s="44"/>
      <c r="L2642" s="44"/>
      <c r="M2642" s="44"/>
      <c r="N2642" s="44"/>
      <c r="O2642" s="88"/>
      <c r="P2642" s="88"/>
    </row>
    <row r="2643" ht="15.0" customHeight="1">
      <c r="A2643" s="44"/>
      <c r="B2643" s="44"/>
      <c r="C2643" s="44"/>
      <c r="D2643" s="44"/>
      <c r="E2643" s="44"/>
      <c r="F2643" s="44"/>
      <c r="G2643" s="11"/>
      <c r="H2643" s="11"/>
      <c r="I2643" s="44"/>
      <c r="J2643" s="114"/>
      <c r="K2643" s="44"/>
      <c r="L2643" s="44"/>
      <c r="M2643" s="44"/>
      <c r="N2643" s="44"/>
      <c r="O2643" s="88"/>
      <c r="P2643" s="88"/>
    </row>
    <row r="2644" ht="15.0" customHeight="1">
      <c r="A2644" s="44"/>
      <c r="B2644" s="44"/>
      <c r="C2644" s="44"/>
      <c r="D2644" s="44"/>
      <c r="E2644" s="44"/>
      <c r="F2644" s="44"/>
      <c r="G2644" s="11"/>
      <c r="H2644" s="11"/>
      <c r="I2644" s="44"/>
      <c r="J2644" s="114"/>
      <c r="K2644" s="44"/>
      <c r="L2644" s="44"/>
      <c r="M2644" s="44"/>
      <c r="N2644" s="44"/>
      <c r="O2644" s="88"/>
      <c r="P2644" s="88"/>
    </row>
    <row r="2645" ht="15.0" customHeight="1">
      <c r="A2645" s="44"/>
      <c r="B2645" s="44"/>
      <c r="C2645" s="44"/>
      <c r="D2645" s="44"/>
      <c r="E2645" s="44"/>
      <c r="F2645" s="44"/>
      <c r="G2645" s="11"/>
      <c r="H2645" s="11"/>
      <c r="I2645" s="44"/>
      <c r="J2645" s="114"/>
      <c r="K2645" s="44"/>
      <c r="L2645" s="44"/>
      <c r="M2645" s="44"/>
      <c r="N2645" s="44"/>
      <c r="O2645" s="88"/>
      <c r="P2645" s="88"/>
    </row>
    <row r="2646" ht="15.0" customHeight="1">
      <c r="A2646" s="44"/>
      <c r="B2646" s="44"/>
      <c r="C2646" s="44"/>
      <c r="D2646" s="44"/>
      <c r="E2646" s="44"/>
      <c r="F2646" s="44"/>
      <c r="G2646" s="11"/>
      <c r="H2646" s="11"/>
      <c r="I2646" s="44"/>
      <c r="J2646" s="114"/>
      <c r="K2646" s="44"/>
      <c r="L2646" s="44"/>
      <c r="M2646" s="44"/>
      <c r="N2646" s="44"/>
      <c r="O2646" s="88"/>
      <c r="P2646" s="88"/>
    </row>
    <row r="2647" ht="15.0" customHeight="1">
      <c r="A2647" s="44"/>
      <c r="B2647" s="44"/>
      <c r="C2647" s="44"/>
      <c r="D2647" s="44"/>
      <c r="E2647" s="44"/>
      <c r="F2647" s="44"/>
      <c r="G2647" s="11"/>
      <c r="H2647" s="11"/>
      <c r="I2647" s="44"/>
      <c r="J2647" s="114"/>
      <c r="K2647" s="44"/>
      <c r="L2647" s="44"/>
      <c r="M2647" s="44"/>
      <c r="N2647" s="44"/>
      <c r="O2647" s="88"/>
      <c r="P2647" s="88"/>
    </row>
    <row r="2648" ht="15.0" customHeight="1">
      <c r="A2648" s="44"/>
      <c r="B2648" s="44"/>
      <c r="C2648" s="44"/>
      <c r="D2648" s="44"/>
      <c r="E2648" s="44"/>
      <c r="F2648" s="44"/>
      <c r="G2648" s="11"/>
      <c r="H2648" s="11"/>
      <c r="I2648" s="44"/>
      <c r="J2648" s="114"/>
      <c r="K2648" s="44"/>
      <c r="L2648" s="44"/>
      <c r="M2648" s="44"/>
      <c r="N2648" s="44"/>
      <c r="O2648" s="88"/>
      <c r="P2648" s="88"/>
    </row>
    <row r="2649" ht="15.0" customHeight="1">
      <c r="A2649" s="44"/>
      <c r="B2649" s="44"/>
      <c r="C2649" s="44"/>
      <c r="D2649" s="44"/>
      <c r="E2649" s="44"/>
      <c r="F2649" s="44"/>
      <c r="G2649" s="11"/>
      <c r="H2649" s="11"/>
      <c r="I2649" s="44"/>
      <c r="J2649" s="114"/>
      <c r="K2649" s="44"/>
      <c r="L2649" s="44"/>
      <c r="M2649" s="44"/>
      <c r="N2649" s="44"/>
      <c r="O2649" s="88"/>
      <c r="P2649" s="88"/>
    </row>
    <row r="2650" ht="15.0" customHeight="1">
      <c r="A2650" s="44"/>
      <c r="B2650" s="44"/>
      <c r="C2650" s="44"/>
      <c r="D2650" s="44"/>
      <c r="E2650" s="44"/>
      <c r="F2650" s="44"/>
      <c r="G2650" s="11"/>
      <c r="H2650" s="11"/>
      <c r="I2650" s="44"/>
      <c r="J2650" s="114"/>
      <c r="K2650" s="44"/>
      <c r="L2650" s="44"/>
      <c r="M2650" s="44"/>
      <c r="N2650" s="44"/>
      <c r="O2650" s="88"/>
      <c r="P2650" s="88"/>
    </row>
    <row r="2651" ht="15.0" customHeight="1">
      <c r="A2651" s="44"/>
      <c r="B2651" s="44"/>
      <c r="C2651" s="44"/>
      <c r="D2651" s="44"/>
      <c r="E2651" s="44"/>
      <c r="F2651" s="44"/>
      <c r="G2651" s="11"/>
      <c r="H2651" s="11"/>
      <c r="I2651" s="44"/>
      <c r="J2651" s="114"/>
      <c r="K2651" s="44"/>
      <c r="L2651" s="44"/>
      <c r="M2651" s="44"/>
      <c r="N2651" s="44"/>
      <c r="O2651" s="88"/>
      <c r="P2651" s="88"/>
    </row>
    <row r="2652" ht="15.0" customHeight="1">
      <c r="A2652" s="44"/>
      <c r="B2652" s="44"/>
      <c r="C2652" s="44"/>
      <c r="D2652" s="44"/>
      <c r="E2652" s="44"/>
      <c r="F2652" s="44"/>
      <c r="G2652" s="11"/>
      <c r="H2652" s="11"/>
      <c r="I2652" s="44"/>
      <c r="J2652" s="114"/>
      <c r="K2652" s="44"/>
      <c r="L2652" s="44"/>
      <c r="M2652" s="44"/>
      <c r="N2652" s="44"/>
      <c r="O2652" s="88"/>
      <c r="P2652" s="88"/>
    </row>
    <row r="2653" ht="15.0" customHeight="1">
      <c r="A2653" s="44"/>
      <c r="B2653" s="44"/>
      <c r="C2653" s="44"/>
      <c r="D2653" s="44"/>
      <c r="E2653" s="44"/>
      <c r="F2653" s="44"/>
      <c r="G2653" s="11"/>
      <c r="H2653" s="11"/>
      <c r="I2653" s="44"/>
      <c r="J2653" s="114"/>
      <c r="K2653" s="44"/>
      <c r="L2653" s="44"/>
      <c r="M2653" s="44"/>
      <c r="N2653" s="44"/>
      <c r="O2653" s="88"/>
      <c r="P2653" s="88"/>
    </row>
    <row r="2654" ht="15.0" customHeight="1">
      <c r="A2654" s="44"/>
      <c r="B2654" s="44"/>
      <c r="C2654" s="44"/>
      <c r="D2654" s="44"/>
      <c r="E2654" s="44"/>
      <c r="F2654" s="44"/>
      <c r="G2654" s="11"/>
      <c r="H2654" s="11"/>
      <c r="I2654" s="44"/>
      <c r="J2654" s="114"/>
      <c r="K2654" s="44"/>
      <c r="L2654" s="44"/>
      <c r="M2654" s="44"/>
      <c r="N2654" s="44"/>
      <c r="O2654" s="88"/>
      <c r="P2654" s="88"/>
    </row>
    <row r="2655" ht="15.0" customHeight="1">
      <c r="A2655" s="44"/>
      <c r="B2655" s="44"/>
      <c r="C2655" s="44"/>
      <c r="D2655" s="44"/>
      <c r="E2655" s="44"/>
      <c r="F2655" s="44"/>
      <c r="G2655" s="11"/>
      <c r="H2655" s="11"/>
      <c r="I2655" s="44"/>
      <c r="J2655" s="114"/>
      <c r="K2655" s="44"/>
      <c r="L2655" s="44"/>
      <c r="M2655" s="44"/>
      <c r="N2655" s="44"/>
      <c r="O2655" s="88"/>
      <c r="P2655" s="88"/>
    </row>
    <row r="2656" ht="15.0" customHeight="1">
      <c r="A2656" s="44"/>
      <c r="B2656" s="44"/>
      <c r="C2656" s="44"/>
      <c r="D2656" s="44"/>
      <c r="E2656" s="44"/>
      <c r="F2656" s="44"/>
      <c r="G2656" s="11"/>
      <c r="H2656" s="11"/>
      <c r="I2656" s="44"/>
      <c r="J2656" s="114"/>
      <c r="K2656" s="44"/>
      <c r="L2656" s="44"/>
      <c r="M2656" s="44"/>
      <c r="N2656" s="44"/>
      <c r="O2656" s="88"/>
      <c r="P2656" s="88"/>
    </row>
    <row r="2657" ht="15.0" customHeight="1">
      <c r="A2657" s="44"/>
      <c r="B2657" s="44"/>
      <c r="C2657" s="44"/>
      <c r="D2657" s="44"/>
      <c r="E2657" s="44"/>
      <c r="F2657" s="44"/>
      <c r="G2657" s="11"/>
      <c r="H2657" s="11"/>
      <c r="I2657" s="44"/>
      <c r="J2657" s="114"/>
      <c r="K2657" s="44"/>
      <c r="L2657" s="44"/>
      <c r="M2657" s="44"/>
      <c r="N2657" s="44"/>
      <c r="O2657" s="88"/>
      <c r="P2657" s="88"/>
    </row>
    <row r="2658" ht="15.0" customHeight="1">
      <c r="A2658" s="44"/>
      <c r="B2658" s="44"/>
      <c r="C2658" s="44"/>
      <c r="D2658" s="44"/>
      <c r="E2658" s="44"/>
      <c r="F2658" s="44"/>
      <c r="G2658" s="11"/>
      <c r="H2658" s="11"/>
      <c r="I2658" s="44"/>
      <c r="J2658" s="114"/>
      <c r="K2658" s="44"/>
      <c r="L2658" s="44"/>
      <c r="M2658" s="44"/>
      <c r="N2658" s="44"/>
      <c r="O2658" s="88"/>
      <c r="P2658" s="88"/>
    </row>
    <row r="2659" ht="15.0" customHeight="1">
      <c r="A2659" s="44"/>
      <c r="B2659" s="44"/>
      <c r="C2659" s="44"/>
      <c r="D2659" s="44"/>
      <c r="E2659" s="44"/>
      <c r="F2659" s="44"/>
      <c r="G2659" s="11"/>
      <c r="H2659" s="11"/>
      <c r="I2659" s="44"/>
      <c r="J2659" s="114"/>
      <c r="K2659" s="44"/>
      <c r="L2659" s="44"/>
      <c r="M2659" s="44"/>
      <c r="N2659" s="44"/>
      <c r="O2659" s="88"/>
      <c r="P2659" s="88"/>
    </row>
    <row r="2660" ht="15.0" customHeight="1">
      <c r="A2660" s="44"/>
      <c r="B2660" s="44"/>
      <c r="C2660" s="44"/>
      <c r="D2660" s="44"/>
      <c r="E2660" s="44"/>
      <c r="F2660" s="44"/>
      <c r="G2660" s="11"/>
      <c r="H2660" s="11"/>
      <c r="I2660" s="44"/>
      <c r="J2660" s="114"/>
      <c r="K2660" s="44"/>
      <c r="L2660" s="44"/>
      <c r="M2660" s="44"/>
      <c r="N2660" s="44"/>
      <c r="O2660" s="88"/>
      <c r="P2660" s="88"/>
    </row>
    <row r="2661" ht="15.0" customHeight="1">
      <c r="A2661" s="44"/>
      <c r="B2661" s="44"/>
      <c r="C2661" s="44"/>
      <c r="D2661" s="44"/>
      <c r="E2661" s="44"/>
      <c r="F2661" s="44"/>
      <c r="G2661" s="11"/>
      <c r="H2661" s="11"/>
      <c r="I2661" s="44"/>
      <c r="J2661" s="114"/>
      <c r="K2661" s="44"/>
      <c r="L2661" s="44"/>
      <c r="M2661" s="44"/>
      <c r="N2661" s="44"/>
      <c r="O2661" s="88"/>
      <c r="P2661" s="88"/>
    </row>
    <row r="2662" ht="15.0" customHeight="1">
      <c r="A2662" s="44"/>
      <c r="B2662" s="44"/>
      <c r="C2662" s="44"/>
      <c r="D2662" s="44"/>
      <c r="E2662" s="44"/>
      <c r="F2662" s="44"/>
      <c r="G2662" s="11"/>
      <c r="H2662" s="11"/>
      <c r="I2662" s="44"/>
      <c r="J2662" s="114"/>
      <c r="K2662" s="44"/>
      <c r="L2662" s="44"/>
      <c r="M2662" s="44"/>
      <c r="N2662" s="44"/>
      <c r="O2662" s="88"/>
      <c r="P2662" s="88"/>
    </row>
    <row r="2663" ht="15.0" customHeight="1">
      <c r="A2663" s="44"/>
      <c r="B2663" s="44"/>
      <c r="C2663" s="44"/>
      <c r="D2663" s="44"/>
      <c r="E2663" s="44"/>
      <c r="F2663" s="44"/>
      <c r="G2663" s="11"/>
      <c r="H2663" s="11"/>
      <c r="I2663" s="44"/>
      <c r="J2663" s="114"/>
      <c r="K2663" s="44"/>
      <c r="L2663" s="44"/>
      <c r="M2663" s="44"/>
      <c r="N2663" s="44"/>
      <c r="O2663" s="88"/>
      <c r="P2663" s="88"/>
    </row>
    <row r="2664" ht="15.0" customHeight="1">
      <c r="A2664" s="44"/>
      <c r="B2664" s="44"/>
      <c r="C2664" s="44"/>
      <c r="D2664" s="44"/>
      <c r="E2664" s="44"/>
      <c r="F2664" s="44"/>
      <c r="G2664" s="11"/>
      <c r="H2664" s="11"/>
      <c r="I2664" s="44"/>
      <c r="J2664" s="114"/>
      <c r="K2664" s="44"/>
      <c r="L2664" s="44"/>
      <c r="M2664" s="44"/>
      <c r="N2664" s="44"/>
      <c r="O2664" s="88"/>
      <c r="P2664" s="88"/>
    </row>
    <row r="2665" ht="15.0" customHeight="1">
      <c r="A2665" s="44"/>
      <c r="B2665" s="44"/>
      <c r="C2665" s="44"/>
      <c r="D2665" s="44"/>
      <c r="E2665" s="44"/>
      <c r="F2665" s="44"/>
      <c r="G2665" s="11"/>
      <c r="H2665" s="11"/>
      <c r="I2665" s="44"/>
      <c r="J2665" s="114"/>
      <c r="K2665" s="44"/>
      <c r="L2665" s="44"/>
      <c r="M2665" s="44"/>
      <c r="N2665" s="44"/>
      <c r="O2665" s="88"/>
      <c r="P2665" s="88"/>
    </row>
    <row r="2666" ht="15.0" customHeight="1">
      <c r="A2666" s="44"/>
      <c r="B2666" s="44"/>
      <c r="C2666" s="44"/>
      <c r="D2666" s="44"/>
      <c r="E2666" s="44"/>
      <c r="F2666" s="44"/>
      <c r="G2666" s="11"/>
      <c r="H2666" s="11"/>
      <c r="I2666" s="44"/>
      <c r="J2666" s="114"/>
      <c r="K2666" s="44"/>
      <c r="L2666" s="44"/>
      <c r="M2666" s="44"/>
      <c r="N2666" s="44"/>
      <c r="O2666" s="88"/>
      <c r="P2666" s="88"/>
    </row>
    <row r="2667" ht="15.0" customHeight="1">
      <c r="A2667" s="44"/>
      <c r="B2667" s="44"/>
      <c r="C2667" s="44"/>
      <c r="D2667" s="44"/>
      <c r="E2667" s="44"/>
      <c r="F2667" s="44"/>
      <c r="G2667" s="11"/>
      <c r="H2667" s="11"/>
      <c r="I2667" s="44"/>
      <c r="J2667" s="114"/>
      <c r="K2667" s="44"/>
      <c r="L2667" s="44"/>
      <c r="M2667" s="44"/>
      <c r="N2667" s="44"/>
      <c r="O2667" s="88"/>
      <c r="P2667" s="88"/>
    </row>
    <row r="2668" ht="15.0" customHeight="1">
      <c r="A2668" s="44"/>
      <c r="B2668" s="44"/>
      <c r="C2668" s="44"/>
      <c r="D2668" s="44"/>
      <c r="E2668" s="44"/>
      <c r="F2668" s="44"/>
      <c r="G2668" s="11"/>
      <c r="H2668" s="11"/>
      <c r="I2668" s="44"/>
      <c r="J2668" s="114"/>
      <c r="K2668" s="44"/>
      <c r="L2668" s="44"/>
      <c r="M2668" s="44"/>
      <c r="N2668" s="44"/>
      <c r="O2668" s="88"/>
      <c r="P2668" s="88"/>
    </row>
    <row r="2669" ht="15.0" customHeight="1">
      <c r="A2669" s="44"/>
      <c r="B2669" s="44"/>
      <c r="C2669" s="44"/>
      <c r="D2669" s="44"/>
      <c r="E2669" s="44"/>
      <c r="F2669" s="44"/>
      <c r="G2669" s="11"/>
      <c r="H2669" s="11"/>
      <c r="I2669" s="44"/>
      <c r="J2669" s="114"/>
      <c r="K2669" s="44"/>
      <c r="L2669" s="44"/>
      <c r="M2669" s="44"/>
      <c r="N2669" s="44"/>
      <c r="O2669" s="88"/>
      <c r="P2669" s="88"/>
    </row>
    <row r="2670" ht="15.0" customHeight="1">
      <c r="A2670" s="44"/>
      <c r="B2670" s="44"/>
      <c r="C2670" s="44"/>
      <c r="D2670" s="44"/>
      <c r="E2670" s="44"/>
      <c r="F2670" s="44"/>
      <c r="G2670" s="11"/>
      <c r="H2670" s="11"/>
      <c r="I2670" s="44"/>
      <c r="J2670" s="114"/>
      <c r="K2670" s="44"/>
      <c r="L2670" s="44"/>
      <c r="M2670" s="44"/>
      <c r="N2670" s="44"/>
      <c r="O2670" s="88"/>
      <c r="P2670" s="88"/>
    </row>
    <row r="2671" ht="15.0" customHeight="1">
      <c r="A2671" s="44"/>
      <c r="B2671" s="44"/>
      <c r="C2671" s="44"/>
      <c r="D2671" s="44"/>
      <c r="E2671" s="44"/>
      <c r="F2671" s="44"/>
      <c r="G2671" s="11"/>
      <c r="H2671" s="11"/>
      <c r="I2671" s="44"/>
      <c r="J2671" s="114"/>
      <c r="K2671" s="44"/>
      <c r="L2671" s="44"/>
      <c r="M2671" s="44"/>
      <c r="N2671" s="44"/>
      <c r="O2671" s="88"/>
      <c r="P2671" s="88"/>
    </row>
    <row r="2672" ht="15.0" customHeight="1">
      <c r="A2672" s="44"/>
      <c r="B2672" s="44"/>
      <c r="C2672" s="44"/>
      <c r="D2672" s="44"/>
      <c r="E2672" s="44"/>
      <c r="F2672" s="44"/>
      <c r="G2672" s="11"/>
      <c r="H2672" s="11"/>
      <c r="I2672" s="44"/>
      <c r="J2672" s="114"/>
      <c r="K2672" s="44"/>
      <c r="L2672" s="44"/>
      <c r="M2672" s="44"/>
      <c r="N2672" s="44"/>
      <c r="O2672" s="88"/>
      <c r="P2672" s="88"/>
    </row>
    <row r="2673" ht="15.0" customHeight="1">
      <c r="A2673" s="44"/>
      <c r="B2673" s="44"/>
      <c r="C2673" s="44"/>
      <c r="D2673" s="44"/>
      <c r="E2673" s="44"/>
      <c r="F2673" s="44"/>
      <c r="G2673" s="11"/>
      <c r="H2673" s="11"/>
      <c r="I2673" s="44"/>
      <c r="J2673" s="114"/>
      <c r="K2673" s="44"/>
      <c r="L2673" s="44"/>
      <c r="M2673" s="44"/>
      <c r="N2673" s="44"/>
      <c r="O2673" s="88"/>
      <c r="P2673" s="88"/>
    </row>
    <row r="2674" ht="15.0" customHeight="1">
      <c r="A2674" s="44"/>
      <c r="B2674" s="44"/>
      <c r="C2674" s="44"/>
      <c r="D2674" s="44"/>
      <c r="E2674" s="44"/>
      <c r="F2674" s="44"/>
      <c r="G2674" s="11"/>
      <c r="H2674" s="11"/>
      <c r="I2674" s="44"/>
      <c r="J2674" s="114"/>
      <c r="K2674" s="44"/>
      <c r="L2674" s="44"/>
      <c r="M2674" s="44"/>
      <c r="N2674" s="44"/>
      <c r="O2674" s="88"/>
      <c r="P2674" s="88"/>
    </row>
    <row r="2675" ht="15.0" customHeight="1">
      <c r="A2675" s="44"/>
      <c r="B2675" s="44"/>
      <c r="C2675" s="44"/>
      <c r="D2675" s="44"/>
      <c r="E2675" s="44"/>
      <c r="F2675" s="44"/>
      <c r="G2675" s="11"/>
      <c r="H2675" s="11"/>
      <c r="I2675" s="44"/>
      <c r="J2675" s="114"/>
      <c r="K2675" s="44"/>
      <c r="L2675" s="44"/>
      <c r="M2675" s="44"/>
      <c r="N2675" s="44"/>
      <c r="O2675" s="88"/>
      <c r="P2675" s="88"/>
    </row>
    <row r="2676" ht="15.0" customHeight="1">
      <c r="A2676" s="44"/>
      <c r="B2676" s="44"/>
      <c r="C2676" s="44"/>
      <c r="D2676" s="44"/>
      <c r="E2676" s="44"/>
      <c r="F2676" s="44"/>
      <c r="G2676" s="11"/>
      <c r="H2676" s="11"/>
      <c r="I2676" s="44"/>
      <c r="J2676" s="114"/>
      <c r="K2676" s="44"/>
      <c r="L2676" s="44"/>
      <c r="M2676" s="44"/>
      <c r="N2676" s="44"/>
      <c r="O2676" s="88"/>
      <c r="P2676" s="88"/>
    </row>
    <row r="2677" ht="15.0" customHeight="1">
      <c r="A2677" s="44"/>
      <c r="B2677" s="44"/>
      <c r="C2677" s="44"/>
      <c r="D2677" s="44"/>
      <c r="E2677" s="44"/>
      <c r="F2677" s="44"/>
      <c r="G2677" s="11"/>
      <c r="H2677" s="11"/>
      <c r="I2677" s="44"/>
      <c r="J2677" s="114"/>
      <c r="K2677" s="44"/>
      <c r="L2677" s="44"/>
      <c r="M2677" s="44"/>
      <c r="N2677" s="44"/>
      <c r="O2677" s="88"/>
      <c r="P2677" s="88"/>
    </row>
    <row r="2678" ht="15.0" customHeight="1">
      <c r="A2678" s="44"/>
      <c r="B2678" s="44"/>
      <c r="C2678" s="44"/>
      <c r="D2678" s="44"/>
      <c r="E2678" s="44"/>
      <c r="F2678" s="44"/>
      <c r="G2678" s="11"/>
      <c r="H2678" s="11"/>
      <c r="I2678" s="44"/>
      <c r="J2678" s="114"/>
      <c r="K2678" s="44"/>
      <c r="L2678" s="44"/>
      <c r="M2678" s="44"/>
      <c r="N2678" s="44"/>
      <c r="O2678" s="88"/>
      <c r="P2678" s="88"/>
    </row>
    <row r="2679" ht="15.0" customHeight="1">
      <c r="A2679" s="44"/>
      <c r="B2679" s="44"/>
      <c r="C2679" s="44"/>
      <c r="D2679" s="44"/>
      <c r="E2679" s="44"/>
      <c r="F2679" s="44"/>
      <c r="G2679" s="11"/>
      <c r="H2679" s="11"/>
      <c r="I2679" s="44"/>
      <c r="J2679" s="114"/>
      <c r="K2679" s="44"/>
      <c r="L2679" s="44"/>
      <c r="M2679" s="44"/>
      <c r="N2679" s="44"/>
      <c r="O2679" s="88"/>
      <c r="P2679" s="88"/>
    </row>
    <row r="2680" ht="15.0" customHeight="1">
      <c r="A2680" s="44"/>
      <c r="B2680" s="44"/>
      <c r="C2680" s="44"/>
      <c r="D2680" s="44"/>
      <c r="E2680" s="44"/>
      <c r="F2680" s="44"/>
      <c r="G2680" s="11"/>
      <c r="H2680" s="11"/>
      <c r="I2680" s="44"/>
      <c r="J2680" s="114"/>
      <c r="K2680" s="44"/>
      <c r="L2680" s="44"/>
      <c r="M2680" s="44"/>
      <c r="N2680" s="44"/>
      <c r="O2680" s="88"/>
      <c r="P2680" s="88"/>
    </row>
    <row r="2681" ht="15.0" customHeight="1">
      <c r="A2681" s="44"/>
      <c r="B2681" s="44"/>
      <c r="C2681" s="44"/>
      <c r="D2681" s="44"/>
      <c r="E2681" s="44"/>
      <c r="F2681" s="44"/>
      <c r="G2681" s="11"/>
      <c r="H2681" s="11"/>
      <c r="I2681" s="44"/>
      <c r="J2681" s="114"/>
      <c r="K2681" s="44"/>
      <c r="L2681" s="44"/>
      <c r="M2681" s="44"/>
      <c r="N2681" s="44"/>
      <c r="O2681" s="88"/>
      <c r="P2681" s="88"/>
    </row>
    <row r="2682" ht="15.0" customHeight="1">
      <c r="A2682" s="44"/>
      <c r="B2682" s="44"/>
      <c r="C2682" s="44"/>
      <c r="D2682" s="44"/>
      <c r="E2682" s="44"/>
      <c r="F2682" s="44"/>
      <c r="G2682" s="11"/>
      <c r="H2682" s="11"/>
      <c r="I2682" s="44"/>
      <c r="J2682" s="114"/>
      <c r="K2682" s="44"/>
      <c r="L2682" s="44"/>
      <c r="M2682" s="44"/>
      <c r="N2682" s="44"/>
      <c r="O2682" s="88"/>
      <c r="P2682" s="88"/>
    </row>
    <row r="2683" ht="15.0" customHeight="1">
      <c r="A2683" s="44"/>
      <c r="B2683" s="44"/>
      <c r="C2683" s="44"/>
      <c r="D2683" s="44"/>
      <c r="E2683" s="44"/>
      <c r="F2683" s="44"/>
      <c r="G2683" s="11"/>
      <c r="H2683" s="11"/>
      <c r="I2683" s="44"/>
      <c r="J2683" s="114"/>
      <c r="K2683" s="44"/>
      <c r="L2683" s="44"/>
      <c r="M2683" s="44"/>
      <c r="N2683" s="44"/>
      <c r="O2683" s="88"/>
      <c r="P2683" s="88"/>
    </row>
    <row r="2684" ht="15.0" customHeight="1">
      <c r="A2684" s="44"/>
      <c r="B2684" s="44"/>
      <c r="C2684" s="44"/>
      <c r="D2684" s="44"/>
      <c r="E2684" s="44"/>
      <c r="F2684" s="44"/>
      <c r="G2684" s="11"/>
      <c r="H2684" s="11"/>
      <c r="I2684" s="44"/>
      <c r="J2684" s="114"/>
      <c r="K2684" s="44"/>
      <c r="L2684" s="44"/>
      <c r="M2684" s="44"/>
      <c r="N2684" s="44"/>
      <c r="O2684" s="88"/>
      <c r="P2684" s="88"/>
    </row>
    <row r="2685" ht="15.0" customHeight="1">
      <c r="A2685" s="44"/>
      <c r="B2685" s="44"/>
      <c r="C2685" s="44"/>
      <c r="D2685" s="44"/>
      <c r="E2685" s="44"/>
      <c r="F2685" s="44"/>
      <c r="G2685" s="11"/>
      <c r="H2685" s="11"/>
      <c r="I2685" s="44"/>
      <c r="J2685" s="114"/>
      <c r="K2685" s="44"/>
      <c r="L2685" s="44"/>
      <c r="M2685" s="44"/>
      <c r="N2685" s="44"/>
      <c r="O2685" s="88"/>
      <c r="P2685" s="88"/>
    </row>
    <row r="2686" ht="15.0" customHeight="1">
      <c r="A2686" s="44"/>
      <c r="B2686" s="44"/>
      <c r="C2686" s="44"/>
      <c r="D2686" s="44"/>
      <c r="E2686" s="44"/>
      <c r="F2686" s="44"/>
      <c r="G2686" s="11"/>
      <c r="H2686" s="11"/>
      <c r="I2686" s="44"/>
      <c r="J2686" s="114"/>
      <c r="K2686" s="44"/>
      <c r="L2686" s="44"/>
      <c r="M2686" s="44"/>
      <c r="N2686" s="44"/>
      <c r="O2686" s="88"/>
      <c r="P2686" s="88"/>
    </row>
    <row r="2687" ht="15.0" customHeight="1">
      <c r="A2687" s="44"/>
      <c r="B2687" s="44"/>
      <c r="C2687" s="44"/>
      <c r="D2687" s="44"/>
      <c r="E2687" s="44"/>
      <c r="F2687" s="44"/>
      <c r="G2687" s="11"/>
      <c r="H2687" s="11"/>
      <c r="I2687" s="44"/>
      <c r="J2687" s="114"/>
      <c r="K2687" s="44"/>
      <c r="L2687" s="44"/>
      <c r="M2687" s="44"/>
      <c r="N2687" s="44"/>
      <c r="O2687" s="88"/>
      <c r="P2687" s="88"/>
    </row>
    <row r="2688" ht="15.0" customHeight="1">
      <c r="A2688" s="44"/>
      <c r="B2688" s="44"/>
      <c r="C2688" s="44"/>
      <c r="D2688" s="44"/>
      <c r="E2688" s="44"/>
      <c r="F2688" s="44"/>
      <c r="G2688" s="11"/>
      <c r="H2688" s="11"/>
      <c r="I2688" s="44"/>
      <c r="J2688" s="114"/>
      <c r="K2688" s="44"/>
      <c r="L2688" s="44"/>
      <c r="M2688" s="44"/>
      <c r="N2688" s="44"/>
      <c r="O2688" s="88"/>
      <c r="P2688" s="88"/>
    </row>
    <row r="2689" ht="15.0" customHeight="1">
      <c r="A2689" s="44"/>
      <c r="B2689" s="44"/>
      <c r="C2689" s="44"/>
      <c r="D2689" s="44"/>
      <c r="E2689" s="44"/>
      <c r="F2689" s="44"/>
      <c r="G2689" s="11"/>
      <c r="H2689" s="11"/>
      <c r="I2689" s="44"/>
      <c r="J2689" s="114"/>
      <c r="K2689" s="44"/>
      <c r="L2689" s="44"/>
      <c r="M2689" s="44"/>
      <c r="N2689" s="44"/>
      <c r="O2689" s="88"/>
      <c r="P2689" s="88"/>
    </row>
    <row r="2690" ht="15.0" customHeight="1">
      <c r="A2690" s="44"/>
      <c r="B2690" s="44"/>
      <c r="C2690" s="44"/>
      <c r="D2690" s="44"/>
      <c r="E2690" s="44"/>
      <c r="F2690" s="44"/>
      <c r="G2690" s="11"/>
      <c r="H2690" s="11"/>
      <c r="I2690" s="44"/>
      <c r="J2690" s="114"/>
      <c r="K2690" s="44"/>
      <c r="L2690" s="44"/>
      <c r="M2690" s="44"/>
      <c r="N2690" s="44"/>
      <c r="O2690" s="88"/>
      <c r="P2690" s="88"/>
    </row>
    <row r="2691" ht="15.0" customHeight="1">
      <c r="A2691" s="44"/>
      <c r="B2691" s="44"/>
      <c r="C2691" s="44"/>
      <c r="D2691" s="44"/>
      <c r="E2691" s="44"/>
      <c r="F2691" s="44"/>
      <c r="G2691" s="11"/>
      <c r="H2691" s="11"/>
      <c r="I2691" s="44"/>
      <c r="J2691" s="114"/>
      <c r="K2691" s="44"/>
      <c r="L2691" s="44"/>
      <c r="M2691" s="44"/>
      <c r="N2691" s="44"/>
      <c r="O2691" s="88"/>
      <c r="P2691" s="88"/>
    </row>
    <row r="2692" ht="15.0" customHeight="1">
      <c r="A2692" s="44"/>
      <c r="B2692" s="44"/>
      <c r="C2692" s="44"/>
      <c r="D2692" s="44"/>
      <c r="E2692" s="44"/>
      <c r="F2692" s="44"/>
      <c r="G2692" s="11"/>
      <c r="H2692" s="11"/>
      <c r="I2692" s="44"/>
      <c r="J2692" s="114"/>
      <c r="K2692" s="44"/>
      <c r="L2692" s="44"/>
      <c r="M2692" s="44"/>
      <c r="N2692" s="44"/>
      <c r="O2692" s="88"/>
      <c r="P2692" s="88"/>
    </row>
    <row r="2693" ht="15.0" customHeight="1">
      <c r="A2693" s="44"/>
      <c r="B2693" s="44"/>
      <c r="C2693" s="44"/>
      <c r="D2693" s="44"/>
      <c r="E2693" s="44"/>
      <c r="F2693" s="44"/>
      <c r="G2693" s="11"/>
      <c r="H2693" s="11"/>
      <c r="I2693" s="44"/>
      <c r="J2693" s="114"/>
      <c r="K2693" s="44"/>
      <c r="L2693" s="44"/>
      <c r="M2693" s="44"/>
      <c r="N2693" s="44"/>
      <c r="O2693" s="88"/>
      <c r="P2693" s="88"/>
    </row>
    <row r="2694" ht="15.0" customHeight="1">
      <c r="A2694" s="44"/>
      <c r="B2694" s="44"/>
      <c r="C2694" s="44"/>
      <c r="D2694" s="44"/>
      <c r="E2694" s="44"/>
      <c r="F2694" s="44"/>
      <c r="G2694" s="11"/>
      <c r="H2694" s="11"/>
      <c r="I2694" s="44"/>
      <c r="J2694" s="114"/>
      <c r="K2694" s="44"/>
      <c r="L2694" s="44"/>
      <c r="M2694" s="44"/>
      <c r="N2694" s="44"/>
      <c r="O2694" s="88"/>
      <c r="P2694" s="88"/>
    </row>
    <row r="2695" ht="15.0" customHeight="1">
      <c r="A2695" s="44"/>
      <c r="B2695" s="44"/>
      <c r="C2695" s="44"/>
      <c r="D2695" s="44"/>
      <c r="E2695" s="44"/>
      <c r="F2695" s="44"/>
      <c r="G2695" s="11"/>
      <c r="H2695" s="11"/>
      <c r="I2695" s="44"/>
      <c r="J2695" s="114"/>
      <c r="K2695" s="44"/>
      <c r="L2695" s="44"/>
      <c r="M2695" s="44"/>
      <c r="N2695" s="44"/>
      <c r="O2695" s="88"/>
      <c r="P2695" s="88"/>
    </row>
    <row r="2696" ht="15.0" customHeight="1">
      <c r="A2696" s="44"/>
      <c r="B2696" s="44"/>
      <c r="C2696" s="44"/>
      <c r="D2696" s="44"/>
      <c r="E2696" s="44"/>
      <c r="F2696" s="44"/>
      <c r="G2696" s="11"/>
      <c r="H2696" s="11"/>
      <c r="I2696" s="44"/>
      <c r="J2696" s="114"/>
      <c r="K2696" s="44"/>
      <c r="L2696" s="44"/>
      <c r="M2696" s="44"/>
      <c r="N2696" s="44"/>
      <c r="O2696" s="88"/>
      <c r="P2696" s="88"/>
    </row>
    <row r="2697" ht="15.0" customHeight="1">
      <c r="A2697" s="44"/>
      <c r="B2697" s="44"/>
      <c r="C2697" s="44"/>
      <c r="D2697" s="44"/>
      <c r="E2697" s="44"/>
      <c r="F2697" s="44"/>
      <c r="G2697" s="11"/>
      <c r="H2697" s="11"/>
      <c r="I2697" s="44"/>
      <c r="J2697" s="114"/>
      <c r="K2697" s="44"/>
      <c r="L2697" s="44"/>
      <c r="M2697" s="44"/>
      <c r="N2697" s="44"/>
      <c r="O2697" s="88"/>
      <c r="P2697" s="88"/>
    </row>
    <row r="2698" ht="15.0" customHeight="1">
      <c r="A2698" s="44"/>
      <c r="B2698" s="44"/>
      <c r="C2698" s="44"/>
      <c r="D2698" s="44"/>
      <c r="E2698" s="44"/>
      <c r="F2698" s="44"/>
      <c r="G2698" s="11"/>
      <c r="H2698" s="11"/>
      <c r="I2698" s="44"/>
      <c r="J2698" s="114"/>
      <c r="K2698" s="44"/>
      <c r="L2698" s="44"/>
      <c r="M2698" s="44"/>
      <c r="N2698" s="44"/>
      <c r="O2698" s="88"/>
      <c r="P2698" s="88"/>
    </row>
    <row r="2699" ht="15.0" customHeight="1">
      <c r="A2699" s="44"/>
      <c r="B2699" s="44"/>
      <c r="C2699" s="44"/>
      <c r="D2699" s="44"/>
      <c r="E2699" s="44"/>
      <c r="F2699" s="44"/>
      <c r="G2699" s="11"/>
      <c r="H2699" s="11"/>
      <c r="I2699" s="44"/>
      <c r="J2699" s="114"/>
      <c r="K2699" s="44"/>
      <c r="L2699" s="44"/>
      <c r="M2699" s="44"/>
      <c r="N2699" s="44"/>
      <c r="O2699" s="88"/>
      <c r="P2699" s="88"/>
    </row>
    <row r="2700" ht="15.0" customHeight="1">
      <c r="A2700" s="44"/>
      <c r="B2700" s="44"/>
      <c r="C2700" s="44"/>
      <c r="D2700" s="44"/>
      <c r="E2700" s="44"/>
      <c r="F2700" s="44"/>
      <c r="G2700" s="11"/>
      <c r="H2700" s="11"/>
      <c r="I2700" s="44"/>
      <c r="J2700" s="114"/>
      <c r="K2700" s="44"/>
      <c r="L2700" s="44"/>
      <c r="M2700" s="44"/>
      <c r="N2700" s="44"/>
      <c r="O2700" s="88"/>
      <c r="P2700" s="88"/>
    </row>
    <row r="2701" ht="15.0" customHeight="1">
      <c r="A2701" s="44"/>
      <c r="B2701" s="44"/>
      <c r="C2701" s="44"/>
      <c r="D2701" s="44"/>
      <c r="E2701" s="44"/>
      <c r="F2701" s="44"/>
      <c r="G2701" s="11"/>
      <c r="H2701" s="11"/>
      <c r="I2701" s="44"/>
      <c r="J2701" s="114"/>
      <c r="K2701" s="44"/>
      <c r="L2701" s="44"/>
      <c r="M2701" s="44"/>
      <c r="N2701" s="44"/>
      <c r="O2701" s="88"/>
      <c r="P2701" s="88"/>
    </row>
    <row r="2702" ht="15.0" customHeight="1">
      <c r="A2702" s="44"/>
      <c r="B2702" s="44"/>
      <c r="C2702" s="44"/>
      <c r="D2702" s="44"/>
      <c r="E2702" s="44"/>
      <c r="F2702" s="44"/>
      <c r="G2702" s="11"/>
      <c r="H2702" s="11"/>
      <c r="I2702" s="44"/>
      <c r="J2702" s="114"/>
      <c r="K2702" s="44"/>
      <c r="L2702" s="44"/>
      <c r="M2702" s="44"/>
      <c r="N2702" s="44"/>
      <c r="O2702" s="88"/>
      <c r="P2702" s="88"/>
    </row>
    <row r="2703" ht="15.0" customHeight="1">
      <c r="A2703" s="44"/>
      <c r="B2703" s="44"/>
      <c r="C2703" s="44"/>
      <c r="D2703" s="44"/>
      <c r="E2703" s="44"/>
      <c r="F2703" s="44"/>
      <c r="G2703" s="11"/>
      <c r="H2703" s="11"/>
      <c r="I2703" s="44"/>
      <c r="J2703" s="114"/>
      <c r="K2703" s="44"/>
      <c r="L2703" s="44"/>
      <c r="M2703" s="44"/>
      <c r="N2703" s="44"/>
      <c r="O2703" s="88"/>
      <c r="P2703" s="88"/>
    </row>
    <row r="2704" ht="15.0" customHeight="1">
      <c r="A2704" s="44"/>
      <c r="B2704" s="44"/>
      <c r="C2704" s="44"/>
      <c r="D2704" s="44"/>
      <c r="E2704" s="44"/>
      <c r="F2704" s="44"/>
      <c r="G2704" s="11"/>
      <c r="H2704" s="11"/>
      <c r="I2704" s="44"/>
      <c r="J2704" s="114"/>
      <c r="K2704" s="44"/>
      <c r="L2704" s="44"/>
      <c r="M2704" s="44"/>
      <c r="N2704" s="44"/>
      <c r="O2704" s="88"/>
      <c r="P2704" s="88"/>
    </row>
    <row r="2705" ht="15.0" customHeight="1">
      <c r="A2705" s="44"/>
      <c r="B2705" s="44"/>
      <c r="C2705" s="44"/>
      <c r="D2705" s="44"/>
      <c r="E2705" s="44"/>
      <c r="F2705" s="44"/>
      <c r="G2705" s="11"/>
      <c r="H2705" s="11"/>
      <c r="I2705" s="44"/>
      <c r="J2705" s="114"/>
      <c r="K2705" s="44"/>
      <c r="L2705" s="44"/>
      <c r="M2705" s="44"/>
      <c r="N2705" s="44"/>
      <c r="O2705" s="88"/>
      <c r="P2705" s="88"/>
    </row>
    <row r="2706" ht="15.0" customHeight="1">
      <c r="A2706" s="44"/>
      <c r="B2706" s="44"/>
      <c r="C2706" s="44"/>
      <c r="D2706" s="44"/>
      <c r="E2706" s="44"/>
      <c r="F2706" s="44"/>
      <c r="G2706" s="11"/>
      <c r="H2706" s="11"/>
      <c r="I2706" s="44"/>
      <c r="J2706" s="114"/>
      <c r="K2706" s="44"/>
      <c r="L2706" s="44"/>
      <c r="M2706" s="44"/>
      <c r="N2706" s="44"/>
      <c r="O2706" s="88"/>
      <c r="P2706" s="88"/>
    </row>
    <row r="2707" ht="15.0" customHeight="1">
      <c r="A2707" s="44"/>
      <c r="B2707" s="44"/>
      <c r="C2707" s="44"/>
      <c r="D2707" s="44"/>
      <c r="E2707" s="44"/>
      <c r="F2707" s="44"/>
      <c r="G2707" s="11"/>
      <c r="H2707" s="11"/>
      <c r="I2707" s="44"/>
      <c r="J2707" s="114"/>
      <c r="K2707" s="44"/>
      <c r="L2707" s="44"/>
      <c r="M2707" s="44"/>
      <c r="N2707" s="44"/>
      <c r="O2707" s="88"/>
      <c r="P2707" s="88"/>
    </row>
    <row r="2708" ht="15.0" customHeight="1">
      <c r="A2708" s="44"/>
      <c r="B2708" s="44"/>
      <c r="C2708" s="44"/>
      <c r="D2708" s="44"/>
      <c r="E2708" s="44"/>
      <c r="F2708" s="44"/>
      <c r="G2708" s="11"/>
      <c r="H2708" s="11"/>
      <c r="I2708" s="44"/>
      <c r="J2708" s="114"/>
      <c r="K2708" s="44"/>
      <c r="L2708" s="44"/>
      <c r="M2708" s="44"/>
      <c r="N2708" s="44"/>
      <c r="O2708" s="88"/>
      <c r="P2708" s="88"/>
    </row>
    <row r="2709" ht="15.0" customHeight="1">
      <c r="A2709" s="44"/>
      <c r="B2709" s="44"/>
      <c r="C2709" s="44"/>
      <c r="D2709" s="44"/>
      <c r="E2709" s="44"/>
      <c r="F2709" s="44"/>
      <c r="G2709" s="11"/>
      <c r="H2709" s="11"/>
      <c r="I2709" s="44"/>
      <c r="J2709" s="114"/>
      <c r="K2709" s="44"/>
      <c r="L2709" s="44"/>
      <c r="M2709" s="44"/>
      <c r="N2709" s="44"/>
      <c r="O2709" s="88"/>
      <c r="P2709" s="88"/>
    </row>
    <row r="2710" ht="15.0" customHeight="1">
      <c r="A2710" s="44"/>
      <c r="B2710" s="44"/>
      <c r="C2710" s="44"/>
      <c r="D2710" s="44"/>
      <c r="E2710" s="44"/>
      <c r="F2710" s="44"/>
      <c r="G2710" s="11"/>
      <c r="H2710" s="11"/>
      <c r="I2710" s="44"/>
      <c r="J2710" s="114"/>
      <c r="K2710" s="44"/>
      <c r="L2710" s="44"/>
      <c r="M2710" s="44"/>
      <c r="N2710" s="44"/>
      <c r="O2710" s="88"/>
      <c r="P2710" s="88"/>
    </row>
    <row r="2711" ht="15.0" customHeight="1">
      <c r="A2711" s="44"/>
      <c r="B2711" s="44"/>
      <c r="C2711" s="44"/>
      <c r="D2711" s="44"/>
      <c r="E2711" s="44"/>
      <c r="F2711" s="44"/>
      <c r="G2711" s="11"/>
      <c r="H2711" s="11"/>
      <c r="I2711" s="44"/>
      <c r="J2711" s="114"/>
      <c r="K2711" s="44"/>
      <c r="L2711" s="44"/>
      <c r="M2711" s="44"/>
      <c r="N2711" s="44"/>
      <c r="O2711" s="88"/>
      <c r="P2711" s="88"/>
    </row>
    <row r="2712" ht="15.0" customHeight="1">
      <c r="A2712" s="44"/>
      <c r="B2712" s="44"/>
      <c r="C2712" s="44"/>
      <c r="D2712" s="44"/>
      <c r="E2712" s="44"/>
      <c r="F2712" s="44"/>
      <c r="G2712" s="11"/>
      <c r="H2712" s="11"/>
      <c r="I2712" s="44"/>
      <c r="J2712" s="114"/>
      <c r="K2712" s="44"/>
      <c r="L2712" s="44"/>
      <c r="M2712" s="44"/>
      <c r="N2712" s="44"/>
      <c r="O2712" s="88"/>
      <c r="P2712" s="88"/>
    </row>
    <row r="2713" ht="15.0" customHeight="1">
      <c r="A2713" s="44"/>
      <c r="B2713" s="44"/>
      <c r="C2713" s="44"/>
      <c r="D2713" s="44"/>
      <c r="E2713" s="44"/>
      <c r="F2713" s="44"/>
      <c r="G2713" s="11"/>
      <c r="H2713" s="11"/>
      <c r="I2713" s="44"/>
      <c r="J2713" s="114"/>
      <c r="K2713" s="44"/>
      <c r="L2713" s="44"/>
      <c r="M2713" s="44"/>
      <c r="N2713" s="44"/>
      <c r="O2713" s="88"/>
      <c r="P2713" s="88"/>
    </row>
    <row r="2714" ht="15.0" customHeight="1">
      <c r="A2714" s="44"/>
      <c r="B2714" s="44"/>
      <c r="C2714" s="44"/>
      <c r="D2714" s="44"/>
      <c r="E2714" s="44"/>
      <c r="F2714" s="44"/>
      <c r="G2714" s="11"/>
      <c r="H2714" s="11"/>
      <c r="I2714" s="44"/>
      <c r="J2714" s="114"/>
      <c r="K2714" s="44"/>
      <c r="L2714" s="44"/>
      <c r="M2714" s="44"/>
      <c r="N2714" s="44"/>
      <c r="O2714" s="88"/>
      <c r="P2714" s="88"/>
    </row>
    <row r="2715" ht="15.0" customHeight="1">
      <c r="A2715" s="44"/>
      <c r="B2715" s="44"/>
      <c r="C2715" s="44"/>
      <c r="D2715" s="44"/>
      <c r="E2715" s="44"/>
      <c r="F2715" s="44"/>
      <c r="G2715" s="11"/>
      <c r="H2715" s="11"/>
      <c r="I2715" s="44"/>
      <c r="J2715" s="114"/>
      <c r="K2715" s="44"/>
      <c r="L2715" s="44"/>
      <c r="M2715" s="44"/>
      <c r="N2715" s="44"/>
      <c r="O2715" s="88"/>
      <c r="P2715" s="88"/>
    </row>
    <row r="2716" ht="15.0" customHeight="1">
      <c r="A2716" s="44"/>
      <c r="B2716" s="44"/>
      <c r="C2716" s="44"/>
      <c r="D2716" s="44"/>
      <c r="E2716" s="44"/>
      <c r="F2716" s="44"/>
      <c r="G2716" s="11"/>
      <c r="H2716" s="11"/>
      <c r="I2716" s="44"/>
      <c r="J2716" s="114"/>
      <c r="K2716" s="44"/>
      <c r="L2716" s="44"/>
      <c r="M2716" s="44"/>
      <c r="N2716" s="44"/>
      <c r="O2716" s="88"/>
      <c r="P2716" s="88"/>
    </row>
    <row r="2717" ht="15.0" customHeight="1">
      <c r="A2717" s="44"/>
      <c r="B2717" s="44"/>
      <c r="C2717" s="44"/>
      <c r="D2717" s="44"/>
      <c r="E2717" s="44"/>
      <c r="F2717" s="44"/>
      <c r="G2717" s="11"/>
      <c r="H2717" s="11"/>
      <c r="I2717" s="44"/>
      <c r="J2717" s="114"/>
      <c r="K2717" s="44"/>
      <c r="L2717" s="44"/>
      <c r="M2717" s="44"/>
      <c r="N2717" s="44"/>
      <c r="O2717" s="88"/>
      <c r="P2717" s="88"/>
    </row>
    <row r="2718" ht="15.0" customHeight="1">
      <c r="A2718" s="44"/>
      <c r="B2718" s="44"/>
      <c r="C2718" s="44"/>
      <c r="D2718" s="44"/>
      <c r="E2718" s="44"/>
      <c r="F2718" s="44"/>
      <c r="G2718" s="11"/>
      <c r="H2718" s="11"/>
      <c r="I2718" s="44"/>
      <c r="J2718" s="114"/>
      <c r="K2718" s="44"/>
      <c r="L2718" s="44"/>
      <c r="M2718" s="44"/>
      <c r="N2718" s="44"/>
      <c r="O2718" s="88"/>
      <c r="P2718" s="88"/>
    </row>
    <row r="2719" ht="15.0" customHeight="1">
      <c r="A2719" s="44"/>
      <c r="B2719" s="44"/>
      <c r="C2719" s="44"/>
      <c r="D2719" s="44"/>
      <c r="E2719" s="44"/>
      <c r="F2719" s="44"/>
      <c r="G2719" s="11"/>
      <c r="H2719" s="11"/>
      <c r="I2719" s="44"/>
      <c r="J2719" s="114"/>
      <c r="K2719" s="44"/>
      <c r="L2719" s="44"/>
      <c r="M2719" s="44"/>
      <c r="N2719" s="44"/>
      <c r="O2719" s="88"/>
      <c r="P2719" s="88"/>
    </row>
    <row r="2720" ht="15.0" customHeight="1">
      <c r="A2720" s="44"/>
      <c r="B2720" s="44"/>
      <c r="C2720" s="44"/>
      <c r="D2720" s="44"/>
      <c r="E2720" s="44"/>
      <c r="F2720" s="44"/>
      <c r="G2720" s="11"/>
      <c r="H2720" s="11"/>
      <c r="I2720" s="44"/>
      <c r="J2720" s="114"/>
      <c r="K2720" s="44"/>
      <c r="L2720" s="44"/>
      <c r="M2720" s="44"/>
      <c r="N2720" s="44"/>
      <c r="O2720" s="88"/>
      <c r="P2720" s="88"/>
    </row>
    <row r="2721" ht="15.0" customHeight="1">
      <c r="A2721" s="44"/>
      <c r="B2721" s="44"/>
      <c r="C2721" s="44"/>
      <c r="D2721" s="44"/>
      <c r="E2721" s="44"/>
      <c r="F2721" s="44"/>
      <c r="G2721" s="11"/>
      <c r="H2721" s="11"/>
      <c r="I2721" s="44"/>
      <c r="J2721" s="114"/>
      <c r="K2721" s="44"/>
      <c r="L2721" s="44"/>
      <c r="M2721" s="44"/>
      <c r="N2721" s="44"/>
      <c r="O2721" s="88"/>
      <c r="P2721" s="88"/>
    </row>
    <row r="2722" ht="15.0" customHeight="1">
      <c r="A2722" s="44"/>
      <c r="B2722" s="44"/>
      <c r="C2722" s="44"/>
      <c r="D2722" s="44"/>
      <c r="E2722" s="44"/>
      <c r="F2722" s="44"/>
      <c r="G2722" s="11"/>
      <c r="H2722" s="11"/>
      <c r="I2722" s="44"/>
      <c r="J2722" s="114"/>
      <c r="K2722" s="44"/>
      <c r="L2722" s="44"/>
      <c r="M2722" s="44"/>
      <c r="N2722" s="44"/>
      <c r="O2722" s="88"/>
      <c r="P2722" s="88"/>
    </row>
    <row r="2723" ht="15.0" customHeight="1">
      <c r="A2723" s="44"/>
      <c r="B2723" s="44"/>
      <c r="C2723" s="44"/>
      <c r="D2723" s="44"/>
      <c r="E2723" s="44"/>
      <c r="F2723" s="44"/>
      <c r="G2723" s="11"/>
      <c r="H2723" s="11"/>
      <c r="I2723" s="44"/>
      <c r="J2723" s="114"/>
      <c r="K2723" s="44"/>
      <c r="L2723" s="44"/>
      <c r="M2723" s="44"/>
      <c r="N2723" s="44"/>
      <c r="O2723" s="88"/>
      <c r="P2723" s="88"/>
    </row>
    <row r="2724" ht="15.0" customHeight="1">
      <c r="A2724" s="44"/>
      <c r="B2724" s="44"/>
      <c r="C2724" s="44"/>
      <c r="D2724" s="44"/>
      <c r="E2724" s="44"/>
      <c r="F2724" s="44"/>
      <c r="G2724" s="11"/>
      <c r="H2724" s="11"/>
      <c r="I2724" s="44"/>
      <c r="J2724" s="114"/>
      <c r="K2724" s="44"/>
      <c r="L2724" s="44"/>
      <c r="M2724" s="44"/>
      <c r="N2724" s="44"/>
      <c r="O2724" s="88"/>
      <c r="P2724" s="88"/>
    </row>
    <row r="2725" ht="15.0" customHeight="1">
      <c r="A2725" s="44"/>
      <c r="B2725" s="44"/>
      <c r="C2725" s="44"/>
      <c r="D2725" s="44"/>
      <c r="E2725" s="44"/>
      <c r="F2725" s="44"/>
      <c r="G2725" s="11"/>
      <c r="H2725" s="11"/>
      <c r="I2725" s="44"/>
      <c r="J2725" s="114"/>
      <c r="K2725" s="44"/>
      <c r="L2725" s="44"/>
      <c r="M2725" s="44"/>
      <c r="N2725" s="44"/>
      <c r="O2725" s="88"/>
      <c r="P2725" s="88"/>
    </row>
    <row r="2726" ht="15.0" customHeight="1">
      <c r="A2726" s="44"/>
      <c r="B2726" s="44"/>
      <c r="C2726" s="44"/>
      <c r="D2726" s="44"/>
      <c r="E2726" s="44"/>
      <c r="F2726" s="44"/>
      <c r="G2726" s="11"/>
      <c r="H2726" s="11"/>
      <c r="I2726" s="44"/>
      <c r="J2726" s="114"/>
      <c r="K2726" s="44"/>
      <c r="L2726" s="44"/>
      <c r="M2726" s="44"/>
      <c r="N2726" s="44"/>
      <c r="O2726" s="88"/>
      <c r="P2726" s="88"/>
    </row>
    <row r="2727" ht="15.0" customHeight="1">
      <c r="A2727" s="44"/>
      <c r="B2727" s="44"/>
      <c r="C2727" s="44"/>
      <c r="D2727" s="44"/>
      <c r="E2727" s="44"/>
      <c r="F2727" s="44"/>
      <c r="G2727" s="11"/>
      <c r="H2727" s="11"/>
      <c r="I2727" s="44"/>
      <c r="J2727" s="114"/>
      <c r="K2727" s="44"/>
      <c r="L2727" s="44"/>
      <c r="M2727" s="44"/>
      <c r="N2727" s="44"/>
      <c r="O2727" s="88"/>
      <c r="P2727" s="88"/>
    </row>
    <row r="2728" ht="15.0" customHeight="1">
      <c r="A2728" s="44"/>
      <c r="B2728" s="44"/>
      <c r="C2728" s="44"/>
      <c r="D2728" s="44"/>
      <c r="E2728" s="44"/>
      <c r="F2728" s="44"/>
      <c r="G2728" s="11"/>
      <c r="H2728" s="11"/>
      <c r="I2728" s="44"/>
      <c r="J2728" s="114"/>
      <c r="K2728" s="44"/>
      <c r="L2728" s="44"/>
      <c r="M2728" s="44"/>
      <c r="N2728" s="44"/>
      <c r="O2728" s="88"/>
      <c r="P2728" s="88"/>
    </row>
    <row r="2729" ht="15.0" customHeight="1">
      <c r="A2729" s="44"/>
      <c r="B2729" s="44"/>
      <c r="C2729" s="44"/>
      <c r="D2729" s="44"/>
      <c r="E2729" s="44"/>
      <c r="F2729" s="44"/>
      <c r="G2729" s="11"/>
      <c r="H2729" s="11"/>
      <c r="I2729" s="44"/>
      <c r="J2729" s="114"/>
      <c r="K2729" s="44"/>
      <c r="L2729" s="44"/>
      <c r="M2729" s="44"/>
      <c r="N2729" s="44"/>
      <c r="O2729" s="88"/>
      <c r="P2729" s="88"/>
    </row>
    <row r="2730" ht="15.0" customHeight="1">
      <c r="A2730" s="44"/>
      <c r="B2730" s="44"/>
      <c r="C2730" s="44"/>
      <c r="D2730" s="44"/>
      <c r="E2730" s="44"/>
      <c r="F2730" s="44"/>
      <c r="G2730" s="11"/>
      <c r="H2730" s="11"/>
      <c r="I2730" s="44"/>
      <c r="J2730" s="114"/>
      <c r="K2730" s="44"/>
      <c r="L2730" s="44"/>
      <c r="M2730" s="44"/>
      <c r="N2730" s="44"/>
      <c r="O2730" s="88"/>
      <c r="P2730" s="88"/>
    </row>
    <row r="2731" ht="15.0" customHeight="1">
      <c r="A2731" s="44"/>
      <c r="B2731" s="44"/>
      <c r="C2731" s="44"/>
      <c r="D2731" s="44"/>
      <c r="E2731" s="44"/>
      <c r="F2731" s="44"/>
      <c r="G2731" s="11"/>
      <c r="H2731" s="11"/>
      <c r="I2731" s="44"/>
      <c r="J2731" s="114"/>
      <c r="K2731" s="44"/>
      <c r="L2731" s="44"/>
      <c r="M2731" s="44"/>
      <c r="N2731" s="44"/>
      <c r="O2731" s="88"/>
      <c r="P2731" s="88"/>
    </row>
    <row r="2732" ht="15.0" customHeight="1">
      <c r="A2732" s="44"/>
      <c r="B2732" s="44"/>
      <c r="C2732" s="44"/>
      <c r="D2732" s="44"/>
      <c r="E2732" s="44"/>
      <c r="F2732" s="44"/>
      <c r="G2732" s="11"/>
      <c r="H2732" s="11"/>
      <c r="I2732" s="44"/>
      <c r="J2732" s="114"/>
      <c r="K2732" s="44"/>
      <c r="L2732" s="44"/>
      <c r="M2732" s="44"/>
      <c r="N2732" s="44"/>
      <c r="O2732" s="88"/>
      <c r="P2732" s="88"/>
    </row>
    <row r="2733" ht="15.0" customHeight="1">
      <c r="A2733" s="44"/>
      <c r="B2733" s="44"/>
      <c r="C2733" s="44"/>
      <c r="D2733" s="44"/>
      <c r="E2733" s="44"/>
      <c r="F2733" s="44"/>
      <c r="G2733" s="11"/>
      <c r="H2733" s="11"/>
      <c r="I2733" s="44"/>
      <c r="J2733" s="114"/>
      <c r="K2733" s="44"/>
      <c r="L2733" s="44"/>
      <c r="M2733" s="44"/>
      <c r="N2733" s="44"/>
      <c r="O2733" s="88"/>
      <c r="P2733" s="88"/>
    </row>
    <row r="2734" ht="15.0" customHeight="1">
      <c r="A2734" s="44"/>
      <c r="B2734" s="44"/>
      <c r="C2734" s="44"/>
      <c r="D2734" s="44"/>
      <c r="E2734" s="44"/>
      <c r="F2734" s="44"/>
      <c r="G2734" s="11"/>
      <c r="H2734" s="11"/>
      <c r="I2734" s="44"/>
      <c r="J2734" s="114"/>
      <c r="K2734" s="44"/>
      <c r="L2734" s="44"/>
      <c r="M2734" s="44"/>
      <c r="N2734" s="44"/>
      <c r="O2734" s="88"/>
      <c r="P2734" s="88"/>
    </row>
    <row r="2735" ht="15.0" customHeight="1">
      <c r="A2735" s="44"/>
      <c r="B2735" s="44"/>
      <c r="C2735" s="44"/>
      <c r="D2735" s="44"/>
      <c r="E2735" s="44"/>
      <c r="F2735" s="44"/>
      <c r="G2735" s="11"/>
      <c r="H2735" s="11"/>
      <c r="I2735" s="44"/>
      <c r="J2735" s="114"/>
      <c r="K2735" s="44"/>
      <c r="L2735" s="44"/>
      <c r="M2735" s="44"/>
      <c r="N2735" s="44"/>
      <c r="O2735" s="88"/>
      <c r="P2735" s="88"/>
    </row>
    <row r="2736" ht="15.0" customHeight="1">
      <c r="A2736" s="44"/>
      <c r="B2736" s="44"/>
      <c r="C2736" s="44"/>
      <c r="D2736" s="44"/>
      <c r="E2736" s="44"/>
      <c r="F2736" s="44"/>
      <c r="G2736" s="11"/>
      <c r="H2736" s="11"/>
      <c r="I2736" s="44"/>
      <c r="J2736" s="114"/>
      <c r="K2736" s="44"/>
      <c r="L2736" s="44"/>
      <c r="M2736" s="44"/>
      <c r="N2736" s="44"/>
      <c r="O2736" s="88"/>
      <c r="P2736" s="88"/>
    </row>
    <row r="2737" ht="15.0" customHeight="1">
      <c r="A2737" s="44"/>
      <c r="B2737" s="44"/>
      <c r="C2737" s="44"/>
      <c r="D2737" s="44"/>
      <c r="E2737" s="44"/>
      <c r="F2737" s="44"/>
      <c r="G2737" s="11"/>
      <c r="H2737" s="11"/>
      <c r="I2737" s="44"/>
      <c r="J2737" s="114"/>
      <c r="K2737" s="44"/>
      <c r="L2737" s="44"/>
      <c r="M2737" s="44"/>
      <c r="N2737" s="44"/>
      <c r="O2737" s="88"/>
      <c r="P2737" s="88"/>
    </row>
    <row r="2738" ht="15.0" customHeight="1">
      <c r="A2738" s="44"/>
      <c r="B2738" s="44"/>
      <c r="C2738" s="44"/>
      <c r="D2738" s="44"/>
      <c r="E2738" s="44"/>
      <c r="F2738" s="44"/>
      <c r="G2738" s="11"/>
      <c r="H2738" s="11"/>
      <c r="I2738" s="44"/>
      <c r="J2738" s="114"/>
      <c r="K2738" s="44"/>
      <c r="L2738" s="44"/>
      <c r="M2738" s="44"/>
      <c r="N2738" s="44"/>
      <c r="O2738" s="88"/>
      <c r="P2738" s="88"/>
    </row>
    <row r="2739" ht="15.0" customHeight="1">
      <c r="A2739" s="44"/>
      <c r="B2739" s="44"/>
      <c r="C2739" s="44"/>
      <c r="D2739" s="44"/>
      <c r="E2739" s="44"/>
      <c r="F2739" s="44"/>
      <c r="G2739" s="11"/>
      <c r="H2739" s="11"/>
      <c r="I2739" s="44"/>
      <c r="J2739" s="114"/>
      <c r="K2739" s="44"/>
      <c r="L2739" s="44"/>
      <c r="M2739" s="44"/>
      <c r="N2739" s="44"/>
      <c r="O2739" s="88"/>
      <c r="P2739" s="88"/>
    </row>
    <row r="2740" ht="15.0" customHeight="1">
      <c r="A2740" s="44"/>
      <c r="B2740" s="44"/>
      <c r="C2740" s="44"/>
      <c r="D2740" s="44"/>
      <c r="E2740" s="44"/>
      <c r="F2740" s="44"/>
      <c r="G2740" s="11"/>
      <c r="H2740" s="11"/>
      <c r="I2740" s="44"/>
      <c r="J2740" s="114"/>
      <c r="K2740" s="44"/>
      <c r="L2740" s="44"/>
      <c r="M2740" s="44"/>
      <c r="N2740" s="44"/>
      <c r="O2740" s="88"/>
      <c r="P2740" s="88"/>
    </row>
    <row r="2741" ht="15.0" customHeight="1">
      <c r="A2741" s="44"/>
      <c r="B2741" s="44"/>
      <c r="C2741" s="44"/>
      <c r="D2741" s="44"/>
      <c r="E2741" s="44"/>
      <c r="F2741" s="44"/>
      <c r="G2741" s="11"/>
      <c r="H2741" s="11"/>
      <c r="I2741" s="44"/>
      <c r="J2741" s="114"/>
      <c r="K2741" s="44"/>
      <c r="L2741" s="44"/>
      <c r="M2741" s="44"/>
      <c r="N2741" s="44"/>
      <c r="O2741" s="88"/>
      <c r="P2741" s="88"/>
    </row>
    <row r="2742" ht="15.0" customHeight="1">
      <c r="A2742" s="44"/>
      <c r="B2742" s="44"/>
      <c r="C2742" s="44"/>
      <c r="D2742" s="44"/>
      <c r="E2742" s="44"/>
      <c r="F2742" s="44"/>
      <c r="G2742" s="11"/>
      <c r="H2742" s="11"/>
      <c r="I2742" s="44"/>
      <c r="J2742" s="114"/>
      <c r="K2742" s="44"/>
      <c r="L2742" s="44"/>
      <c r="M2742" s="44"/>
      <c r="N2742" s="44"/>
      <c r="O2742" s="88"/>
      <c r="P2742" s="88"/>
    </row>
    <row r="2743" ht="15.0" customHeight="1">
      <c r="A2743" s="44"/>
      <c r="B2743" s="44"/>
      <c r="C2743" s="44"/>
      <c r="D2743" s="44"/>
      <c r="E2743" s="44"/>
      <c r="F2743" s="44"/>
      <c r="G2743" s="11"/>
      <c r="H2743" s="11"/>
      <c r="I2743" s="44"/>
      <c r="J2743" s="114"/>
      <c r="K2743" s="44"/>
      <c r="L2743" s="44"/>
      <c r="M2743" s="44"/>
      <c r="N2743" s="44"/>
      <c r="O2743" s="88"/>
      <c r="P2743" s="88"/>
    </row>
    <row r="2744" ht="15.0" customHeight="1">
      <c r="A2744" s="44"/>
      <c r="B2744" s="44"/>
      <c r="C2744" s="44"/>
      <c r="D2744" s="44"/>
      <c r="E2744" s="44"/>
      <c r="F2744" s="44"/>
      <c r="G2744" s="11"/>
      <c r="H2744" s="11"/>
      <c r="I2744" s="44"/>
      <c r="J2744" s="114"/>
      <c r="K2744" s="44"/>
      <c r="L2744" s="44"/>
      <c r="M2744" s="44"/>
      <c r="N2744" s="44"/>
      <c r="O2744" s="88"/>
      <c r="P2744" s="88"/>
    </row>
    <row r="2745" ht="15.0" customHeight="1">
      <c r="A2745" s="44"/>
      <c r="B2745" s="44"/>
      <c r="C2745" s="44"/>
      <c r="D2745" s="44"/>
      <c r="E2745" s="44"/>
      <c r="F2745" s="44"/>
      <c r="G2745" s="11"/>
      <c r="H2745" s="11"/>
      <c r="I2745" s="44"/>
      <c r="J2745" s="114"/>
      <c r="K2745" s="44"/>
      <c r="L2745" s="44"/>
      <c r="M2745" s="44"/>
      <c r="N2745" s="44"/>
      <c r="O2745" s="88"/>
      <c r="P2745" s="88"/>
    </row>
    <row r="2746" ht="15.0" customHeight="1">
      <c r="A2746" s="44"/>
      <c r="B2746" s="44"/>
      <c r="C2746" s="44"/>
      <c r="D2746" s="44"/>
      <c r="E2746" s="44"/>
      <c r="F2746" s="44"/>
      <c r="G2746" s="11"/>
      <c r="H2746" s="11"/>
      <c r="I2746" s="44"/>
      <c r="J2746" s="114"/>
      <c r="K2746" s="44"/>
      <c r="L2746" s="44"/>
      <c r="M2746" s="44"/>
      <c r="N2746" s="44"/>
      <c r="O2746" s="88"/>
      <c r="P2746" s="88"/>
    </row>
    <row r="2747" ht="15.0" customHeight="1">
      <c r="A2747" s="44"/>
      <c r="B2747" s="44"/>
      <c r="C2747" s="44"/>
      <c r="D2747" s="44"/>
      <c r="E2747" s="44"/>
      <c r="F2747" s="44"/>
      <c r="G2747" s="11"/>
      <c r="H2747" s="11"/>
      <c r="I2747" s="44"/>
      <c r="J2747" s="114"/>
      <c r="K2747" s="44"/>
      <c r="L2747" s="44"/>
      <c r="M2747" s="44"/>
      <c r="N2747" s="44"/>
      <c r="O2747" s="88"/>
      <c r="P2747" s="88"/>
    </row>
    <row r="2748" ht="15.0" customHeight="1">
      <c r="A2748" s="44"/>
      <c r="B2748" s="44"/>
      <c r="C2748" s="44"/>
      <c r="D2748" s="44"/>
      <c r="E2748" s="44"/>
      <c r="F2748" s="44"/>
      <c r="G2748" s="11"/>
      <c r="H2748" s="11"/>
      <c r="I2748" s="44"/>
      <c r="J2748" s="114"/>
      <c r="K2748" s="44"/>
      <c r="L2748" s="44"/>
      <c r="M2748" s="44"/>
      <c r="N2748" s="44"/>
      <c r="O2748" s="88"/>
      <c r="P2748" s="88"/>
    </row>
    <row r="2749" ht="15.0" customHeight="1">
      <c r="A2749" s="44"/>
      <c r="B2749" s="44"/>
      <c r="C2749" s="44"/>
      <c r="D2749" s="44"/>
      <c r="E2749" s="44"/>
      <c r="F2749" s="44"/>
      <c r="G2749" s="11"/>
      <c r="H2749" s="11"/>
      <c r="I2749" s="44"/>
      <c r="J2749" s="114"/>
      <c r="K2749" s="44"/>
      <c r="L2749" s="44"/>
      <c r="M2749" s="44"/>
      <c r="N2749" s="44"/>
      <c r="O2749" s="88"/>
      <c r="P2749" s="88"/>
    </row>
    <row r="2750" ht="15.0" customHeight="1">
      <c r="A2750" s="44"/>
      <c r="B2750" s="44"/>
      <c r="C2750" s="44"/>
      <c r="D2750" s="44"/>
      <c r="E2750" s="44"/>
      <c r="F2750" s="44"/>
      <c r="G2750" s="11"/>
      <c r="H2750" s="11"/>
      <c r="I2750" s="44"/>
      <c r="J2750" s="114"/>
      <c r="K2750" s="44"/>
      <c r="L2750" s="44"/>
      <c r="M2750" s="44"/>
      <c r="N2750" s="44"/>
      <c r="O2750" s="88"/>
      <c r="P2750" s="88"/>
    </row>
    <row r="2751" ht="15.0" customHeight="1">
      <c r="A2751" s="44"/>
      <c r="B2751" s="44"/>
      <c r="C2751" s="44"/>
      <c r="D2751" s="44"/>
      <c r="E2751" s="44"/>
      <c r="F2751" s="44"/>
      <c r="G2751" s="11"/>
      <c r="H2751" s="11"/>
      <c r="I2751" s="44"/>
      <c r="J2751" s="114"/>
      <c r="K2751" s="44"/>
      <c r="L2751" s="44"/>
      <c r="M2751" s="44"/>
      <c r="N2751" s="44"/>
      <c r="O2751" s="88"/>
      <c r="P2751" s="88"/>
    </row>
    <row r="2752" ht="15.0" customHeight="1">
      <c r="A2752" s="44"/>
      <c r="B2752" s="44"/>
      <c r="C2752" s="44"/>
      <c r="D2752" s="44"/>
      <c r="E2752" s="44"/>
      <c r="F2752" s="44"/>
      <c r="G2752" s="11"/>
      <c r="H2752" s="11"/>
      <c r="I2752" s="44"/>
      <c r="J2752" s="114"/>
      <c r="K2752" s="44"/>
      <c r="L2752" s="44"/>
      <c r="M2752" s="44"/>
      <c r="N2752" s="44"/>
      <c r="O2752" s="88"/>
      <c r="P2752" s="88"/>
    </row>
    <row r="2753" ht="15.0" customHeight="1">
      <c r="A2753" s="44"/>
      <c r="B2753" s="44"/>
      <c r="C2753" s="44"/>
      <c r="D2753" s="44"/>
      <c r="E2753" s="44"/>
      <c r="F2753" s="44"/>
      <c r="G2753" s="11"/>
      <c r="H2753" s="11"/>
      <c r="I2753" s="44"/>
      <c r="J2753" s="114"/>
      <c r="K2753" s="44"/>
      <c r="L2753" s="44"/>
      <c r="M2753" s="44"/>
      <c r="N2753" s="44"/>
      <c r="O2753" s="88"/>
      <c r="P2753" s="88"/>
    </row>
    <row r="2754" ht="15.0" customHeight="1">
      <c r="A2754" s="44"/>
      <c r="B2754" s="44"/>
      <c r="C2754" s="44"/>
      <c r="D2754" s="44"/>
      <c r="E2754" s="44"/>
      <c r="F2754" s="44"/>
      <c r="G2754" s="11"/>
      <c r="H2754" s="11"/>
      <c r="I2754" s="44"/>
      <c r="J2754" s="114"/>
      <c r="K2754" s="44"/>
      <c r="L2754" s="44"/>
      <c r="M2754" s="44"/>
      <c r="N2754" s="44"/>
      <c r="O2754" s="88"/>
      <c r="P2754" s="88"/>
    </row>
    <row r="2755" ht="15.0" customHeight="1">
      <c r="A2755" s="44"/>
      <c r="B2755" s="44"/>
      <c r="C2755" s="44"/>
      <c r="D2755" s="44"/>
      <c r="E2755" s="44"/>
      <c r="F2755" s="44"/>
      <c r="G2755" s="11"/>
      <c r="H2755" s="11"/>
      <c r="I2755" s="44"/>
      <c r="J2755" s="114"/>
      <c r="K2755" s="44"/>
      <c r="L2755" s="44"/>
      <c r="M2755" s="44"/>
      <c r="N2755" s="44"/>
      <c r="O2755" s="88"/>
      <c r="P2755" s="88"/>
    </row>
    <row r="2756" ht="15.0" customHeight="1">
      <c r="A2756" s="44"/>
      <c r="B2756" s="44"/>
      <c r="C2756" s="44"/>
      <c r="D2756" s="44"/>
      <c r="E2756" s="44"/>
      <c r="F2756" s="44"/>
      <c r="G2756" s="11"/>
      <c r="H2756" s="11"/>
      <c r="I2756" s="44"/>
      <c r="J2756" s="114"/>
      <c r="K2756" s="44"/>
      <c r="L2756" s="44"/>
      <c r="M2756" s="44"/>
      <c r="N2756" s="44"/>
      <c r="O2756" s="88"/>
      <c r="P2756" s="88"/>
    </row>
    <row r="2757" ht="15.0" customHeight="1">
      <c r="A2757" s="44"/>
      <c r="B2757" s="44"/>
      <c r="C2757" s="44"/>
      <c r="D2757" s="44"/>
      <c r="E2757" s="44"/>
      <c r="F2757" s="44"/>
      <c r="G2757" s="11"/>
      <c r="H2757" s="11"/>
      <c r="I2757" s="44"/>
      <c r="J2757" s="114"/>
      <c r="K2757" s="44"/>
      <c r="L2757" s="44"/>
      <c r="M2757" s="44"/>
      <c r="N2757" s="44"/>
      <c r="O2757" s="88"/>
      <c r="P2757" s="88"/>
    </row>
    <row r="2758" ht="15.0" customHeight="1">
      <c r="A2758" s="44"/>
      <c r="B2758" s="44"/>
      <c r="C2758" s="44"/>
      <c r="D2758" s="44"/>
      <c r="E2758" s="44"/>
      <c r="F2758" s="44"/>
      <c r="G2758" s="11"/>
      <c r="H2758" s="11"/>
      <c r="I2758" s="44"/>
      <c r="J2758" s="114"/>
      <c r="K2758" s="44"/>
      <c r="L2758" s="44"/>
      <c r="M2758" s="44"/>
      <c r="N2758" s="44"/>
      <c r="O2758" s="88"/>
      <c r="P2758" s="88"/>
    </row>
    <row r="2759" ht="15.0" customHeight="1">
      <c r="A2759" s="44"/>
      <c r="B2759" s="44"/>
      <c r="C2759" s="44"/>
      <c r="D2759" s="44"/>
      <c r="E2759" s="44"/>
      <c r="F2759" s="44"/>
      <c r="G2759" s="11"/>
      <c r="H2759" s="11"/>
      <c r="I2759" s="44"/>
      <c r="J2759" s="114"/>
      <c r="K2759" s="44"/>
      <c r="L2759" s="44"/>
      <c r="M2759" s="44"/>
      <c r="N2759" s="44"/>
      <c r="O2759" s="88"/>
      <c r="P2759" s="88"/>
    </row>
    <row r="2760" ht="15.0" customHeight="1">
      <c r="A2760" s="44"/>
      <c r="B2760" s="44"/>
      <c r="C2760" s="44"/>
      <c r="D2760" s="44"/>
      <c r="E2760" s="44"/>
      <c r="F2760" s="44"/>
      <c r="G2760" s="11"/>
      <c r="H2760" s="11"/>
      <c r="I2760" s="44"/>
      <c r="J2760" s="114"/>
      <c r="K2760" s="44"/>
      <c r="L2760" s="44"/>
      <c r="M2760" s="44"/>
      <c r="N2760" s="44"/>
      <c r="O2760" s="88"/>
      <c r="P2760" s="88"/>
    </row>
    <row r="2761" ht="15.0" customHeight="1">
      <c r="A2761" s="44"/>
      <c r="B2761" s="44"/>
      <c r="C2761" s="44"/>
      <c r="D2761" s="44"/>
      <c r="E2761" s="44"/>
      <c r="F2761" s="44"/>
      <c r="G2761" s="11"/>
      <c r="H2761" s="11"/>
      <c r="I2761" s="44"/>
      <c r="J2761" s="114"/>
      <c r="K2761" s="44"/>
      <c r="L2761" s="44"/>
      <c r="M2761" s="44"/>
      <c r="N2761" s="44"/>
      <c r="O2761" s="88"/>
      <c r="P2761" s="88"/>
    </row>
    <row r="2762" ht="15.0" customHeight="1">
      <c r="A2762" s="44"/>
      <c r="B2762" s="44"/>
      <c r="C2762" s="44"/>
      <c r="D2762" s="44"/>
      <c r="E2762" s="44"/>
      <c r="F2762" s="44"/>
      <c r="G2762" s="11"/>
      <c r="H2762" s="11"/>
      <c r="I2762" s="44"/>
      <c r="J2762" s="114"/>
      <c r="K2762" s="44"/>
      <c r="L2762" s="44"/>
      <c r="M2762" s="44"/>
      <c r="N2762" s="44"/>
      <c r="O2762" s="88"/>
      <c r="P2762" s="88"/>
    </row>
    <row r="2763" ht="15.0" customHeight="1">
      <c r="A2763" s="44"/>
      <c r="B2763" s="44"/>
      <c r="C2763" s="44"/>
      <c r="D2763" s="44"/>
      <c r="E2763" s="44"/>
      <c r="F2763" s="44"/>
      <c r="G2763" s="11"/>
      <c r="H2763" s="11"/>
      <c r="I2763" s="44"/>
      <c r="J2763" s="114"/>
      <c r="K2763" s="44"/>
      <c r="L2763" s="44"/>
      <c r="M2763" s="44"/>
      <c r="N2763" s="44"/>
      <c r="O2763" s="88"/>
      <c r="P2763" s="88"/>
    </row>
    <row r="2764" ht="15.0" customHeight="1">
      <c r="A2764" s="44"/>
      <c r="B2764" s="44"/>
      <c r="C2764" s="44"/>
      <c r="D2764" s="44"/>
      <c r="E2764" s="44"/>
      <c r="F2764" s="44"/>
      <c r="G2764" s="11"/>
      <c r="H2764" s="11"/>
      <c r="I2764" s="44"/>
      <c r="J2764" s="114"/>
      <c r="K2764" s="44"/>
      <c r="L2764" s="44"/>
      <c r="M2764" s="44"/>
      <c r="N2764" s="44"/>
      <c r="O2764" s="88"/>
      <c r="P2764" s="88"/>
    </row>
    <row r="2765" ht="15.0" customHeight="1">
      <c r="A2765" s="44"/>
      <c r="B2765" s="44"/>
      <c r="C2765" s="44"/>
      <c r="D2765" s="44"/>
      <c r="E2765" s="44"/>
      <c r="F2765" s="44"/>
      <c r="G2765" s="11"/>
      <c r="H2765" s="11"/>
      <c r="I2765" s="44"/>
      <c r="J2765" s="114"/>
      <c r="K2765" s="44"/>
      <c r="L2765" s="44"/>
      <c r="M2765" s="44"/>
      <c r="N2765" s="44"/>
      <c r="O2765" s="88"/>
      <c r="P2765" s="88"/>
    </row>
    <row r="2766" ht="15.0" customHeight="1">
      <c r="A2766" s="44"/>
      <c r="B2766" s="44"/>
      <c r="C2766" s="44"/>
      <c r="D2766" s="44"/>
      <c r="E2766" s="44"/>
      <c r="F2766" s="44"/>
      <c r="G2766" s="11"/>
      <c r="H2766" s="11"/>
      <c r="I2766" s="44"/>
      <c r="J2766" s="114"/>
      <c r="K2766" s="44"/>
      <c r="L2766" s="44"/>
      <c r="M2766" s="44"/>
      <c r="N2766" s="44"/>
      <c r="O2766" s="88"/>
      <c r="P2766" s="88"/>
    </row>
    <row r="2767" ht="15.0" customHeight="1">
      <c r="A2767" s="44"/>
      <c r="B2767" s="44"/>
      <c r="C2767" s="44"/>
      <c r="D2767" s="44"/>
      <c r="E2767" s="44"/>
      <c r="F2767" s="44"/>
      <c r="G2767" s="11"/>
      <c r="H2767" s="11"/>
      <c r="I2767" s="44"/>
      <c r="J2767" s="114"/>
      <c r="K2767" s="44"/>
      <c r="L2767" s="44"/>
      <c r="M2767" s="44"/>
      <c r="N2767" s="44"/>
      <c r="O2767" s="88"/>
      <c r="P2767" s="88"/>
    </row>
    <row r="2768" ht="15.0" customHeight="1">
      <c r="A2768" s="44"/>
      <c r="B2768" s="44"/>
      <c r="C2768" s="44"/>
      <c r="D2768" s="44"/>
      <c r="E2768" s="44"/>
      <c r="F2768" s="44"/>
      <c r="G2768" s="11"/>
      <c r="H2768" s="11"/>
      <c r="I2768" s="44"/>
      <c r="J2768" s="114"/>
      <c r="K2768" s="44"/>
      <c r="L2768" s="44"/>
      <c r="M2768" s="44"/>
      <c r="N2768" s="44"/>
      <c r="O2768" s="88"/>
      <c r="P2768" s="88"/>
    </row>
    <row r="2769" ht="15.0" customHeight="1">
      <c r="A2769" s="44"/>
      <c r="B2769" s="44"/>
      <c r="C2769" s="44"/>
      <c r="D2769" s="44"/>
      <c r="E2769" s="44"/>
      <c r="F2769" s="44"/>
      <c r="G2769" s="11"/>
      <c r="H2769" s="11"/>
      <c r="I2769" s="44"/>
      <c r="J2769" s="114"/>
      <c r="K2769" s="44"/>
      <c r="L2769" s="44"/>
      <c r="M2769" s="44"/>
      <c r="N2769" s="44"/>
      <c r="O2769" s="88"/>
      <c r="P2769" s="88"/>
    </row>
    <row r="2770" ht="15.0" customHeight="1">
      <c r="A2770" s="44"/>
      <c r="B2770" s="44"/>
      <c r="C2770" s="44"/>
      <c r="D2770" s="44"/>
      <c r="E2770" s="44"/>
      <c r="F2770" s="44"/>
      <c r="G2770" s="11"/>
      <c r="H2770" s="11"/>
      <c r="I2770" s="44"/>
      <c r="J2770" s="114"/>
      <c r="K2770" s="44"/>
      <c r="L2770" s="44"/>
      <c r="M2770" s="44"/>
      <c r="N2770" s="44"/>
      <c r="O2770" s="88"/>
      <c r="P2770" s="88"/>
    </row>
    <row r="2771" ht="15.0" customHeight="1">
      <c r="A2771" s="44"/>
      <c r="B2771" s="44"/>
      <c r="C2771" s="44"/>
      <c r="D2771" s="44"/>
      <c r="E2771" s="44"/>
      <c r="F2771" s="44"/>
      <c r="G2771" s="11"/>
      <c r="H2771" s="11"/>
      <c r="I2771" s="44"/>
      <c r="J2771" s="114"/>
      <c r="K2771" s="44"/>
      <c r="L2771" s="44"/>
      <c r="M2771" s="44"/>
      <c r="N2771" s="44"/>
      <c r="O2771" s="88"/>
      <c r="P2771" s="88"/>
    </row>
    <row r="2772" ht="15.0" customHeight="1">
      <c r="A2772" s="44"/>
      <c r="B2772" s="44"/>
      <c r="C2772" s="44"/>
      <c r="D2772" s="44"/>
      <c r="E2772" s="44"/>
      <c r="F2772" s="44"/>
      <c r="G2772" s="11"/>
      <c r="H2772" s="11"/>
      <c r="I2772" s="44"/>
      <c r="J2772" s="114"/>
      <c r="K2772" s="44"/>
      <c r="L2772" s="44"/>
      <c r="M2772" s="44"/>
      <c r="N2772" s="44"/>
      <c r="O2772" s="88"/>
      <c r="P2772" s="88"/>
    </row>
    <row r="2773" ht="15.0" customHeight="1">
      <c r="A2773" s="44"/>
      <c r="B2773" s="44"/>
      <c r="C2773" s="44"/>
      <c r="D2773" s="44"/>
      <c r="E2773" s="44"/>
      <c r="F2773" s="44"/>
      <c r="G2773" s="11"/>
      <c r="H2773" s="11"/>
      <c r="I2773" s="44"/>
      <c r="J2773" s="114"/>
      <c r="K2773" s="44"/>
      <c r="L2773" s="44"/>
      <c r="M2773" s="44"/>
      <c r="N2773" s="44"/>
      <c r="O2773" s="88"/>
      <c r="P2773" s="88"/>
    </row>
    <row r="2774" ht="15.0" customHeight="1">
      <c r="A2774" s="44"/>
      <c r="B2774" s="44"/>
      <c r="C2774" s="44"/>
      <c r="D2774" s="44"/>
      <c r="E2774" s="44"/>
      <c r="F2774" s="44"/>
      <c r="G2774" s="11"/>
      <c r="H2774" s="11"/>
      <c r="I2774" s="44"/>
      <c r="J2774" s="114"/>
      <c r="K2774" s="44"/>
      <c r="L2774" s="44"/>
      <c r="M2774" s="44"/>
      <c r="N2774" s="44"/>
      <c r="O2774" s="88"/>
      <c r="P2774" s="88"/>
    </row>
    <row r="2775" ht="15.0" customHeight="1">
      <c r="A2775" s="44"/>
      <c r="B2775" s="44"/>
      <c r="C2775" s="44"/>
      <c r="D2775" s="44"/>
      <c r="E2775" s="44"/>
      <c r="F2775" s="44"/>
      <c r="G2775" s="11"/>
      <c r="H2775" s="11"/>
      <c r="I2775" s="44"/>
      <c r="J2775" s="114"/>
      <c r="K2775" s="44"/>
      <c r="L2775" s="44"/>
      <c r="M2775" s="44"/>
      <c r="N2775" s="44"/>
      <c r="O2775" s="88"/>
      <c r="P2775" s="88"/>
    </row>
    <row r="2776" ht="15.0" customHeight="1">
      <c r="A2776" s="44"/>
      <c r="B2776" s="44"/>
      <c r="C2776" s="44"/>
      <c r="D2776" s="44"/>
      <c r="E2776" s="44"/>
      <c r="F2776" s="44"/>
      <c r="G2776" s="11"/>
      <c r="H2776" s="11"/>
      <c r="I2776" s="44"/>
      <c r="J2776" s="114"/>
      <c r="K2776" s="44"/>
      <c r="L2776" s="44"/>
      <c r="M2776" s="44"/>
      <c r="N2776" s="44"/>
      <c r="O2776" s="88"/>
      <c r="P2776" s="88"/>
    </row>
    <row r="2777" ht="15.0" customHeight="1">
      <c r="A2777" s="44"/>
      <c r="B2777" s="44"/>
      <c r="C2777" s="44"/>
      <c r="D2777" s="44"/>
      <c r="E2777" s="44"/>
      <c r="F2777" s="44"/>
      <c r="G2777" s="11"/>
      <c r="H2777" s="11"/>
      <c r="I2777" s="44"/>
      <c r="J2777" s="114"/>
      <c r="K2777" s="44"/>
      <c r="L2777" s="44"/>
      <c r="M2777" s="44"/>
      <c r="N2777" s="44"/>
      <c r="O2777" s="88"/>
      <c r="P2777" s="88"/>
    </row>
    <row r="2778" ht="15.0" customHeight="1">
      <c r="A2778" s="44"/>
      <c r="B2778" s="44"/>
      <c r="C2778" s="44"/>
      <c r="D2778" s="44"/>
      <c r="E2778" s="44"/>
      <c r="F2778" s="44"/>
      <c r="G2778" s="11"/>
      <c r="H2778" s="11"/>
      <c r="I2778" s="44"/>
      <c r="J2778" s="114"/>
      <c r="K2778" s="44"/>
      <c r="L2778" s="44"/>
      <c r="M2778" s="44"/>
      <c r="N2778" s="44"/>
      <c r="O2778" s="88"/>
      <c r="P2778" s="88"/>
    </row>
    <row r="2779" ht="15.0" customHeight="1">
      <c r="A2779" s="44"/>
      <c r="B2779" s="44"/>
      <c r="C2779" s="44"/>
      <c r="D2779" s="44"/>
      <c r="E2779" s="44"/>
      <c r="F2779" s="44"/>
      <c r="G2779" s="11"/>
      <c r="H2779" s="11"/>
      <c r="I2779" s="44"/>
      <c r="J2779" s="114"/>
      <c r="K2779" s="44"/>
      <c r="L2779" s="44"/>
      <c r="M2779" s="44"/>
      <c r="N2779" s="44"/>
      <c r="O2779" s="88"/>
      <c r="P2779" s="88"/>
    </row>
    <row r="2780" ht="15.0" customHeight="1">
      <c r="A2780" s="44"/>
      <c r="B2780" s="44"/>
      <c r="C2780" s="44"/>
      <c r="D2780" s="44"/>
      <c r="E2780" s="44"/>
      <c r="F2780" s="44"/>
      <c r="G2780" s="11"/>
      <c r="H2780" s="11"/>
      <c r="I2780" s="44"/>
      <c r="J2780" s="114"/>
      <c r="K2780" s="44"/>
      <c r="L2780" s="44"/>
      <c r="M2780" s="44"/>
      <c r="N2780" s="44"/>
      <c r="O2780" s="88"/>
      <c r="P2780" s="88"/>
    </row>
    <row r="2781" ht="15.0" customHeight="1">
      <c r="A2781" s="44"/>
      <c r="B2781" s="44"/>
      <c r="C2781" s="44"/>
      <c r="D2781" s="44"/>
      <c r="E2781" s="44"/>
      <c r="F2781" s="44"/>
      <c r="G2781" s="11"/>
      <c r="H2781" s="11"/>
      <c r="I2781" s="44"/>
      <c r="J2781" s="114"/>
      <c r="K2781" s="44"/>
      <c r="L2781" s="44"/>
      <c r="M2781" s="44"/>
      <c r="N2781" s="44"/>
      <c r="O2781" s="88"/>
      <c r="P2781" s="88"/>
    </row>
    <row r="2782" ht="15.0" customHeight="1">
      <c r="A2782" s="44"/>
      <c r="B2782" s="44"/>
      <c r="C2782" s="44"/>
      <c r="D2782" s="44"/>
      <c r="E2782" s="44"/>
      <c r="F2782" s="44"/>
      <c r="G2782" s="11"/>
      <c r="H2782" s="11"/>
      <c r="I2782" s="44"/>
      <c r="J2782" s="114"/>
      <c r="K2782" s="44"/>
      <c r="L2782" s="44"/>
      <c r="M2782" s="44"/>
      <c r="N2782" s="44"/>
      <c r="O2782" s="88"/>
      <c r="P2782" s="88"/>
    </row>
    <row r="2783" ht="15.0" customHeight="1">
      <c r="A2783" s="44"/>
      <c r="B2783" s="44"/>
      <c r="C2783" s="44"/>
      <c r="D2783" s="44"/>
      <c r="E2783" s="44"/>
      <c r="F2783" s="44"/>
      <c r="G2783" s="11"/>
      <c r="H2783" s="11"/>
      <c r="I2783" s="44"/>
      <c r="J2783" s="114"/>
      <c r="K2783" s="44"/>
      <c r="L2783" s="44"/>
      <c r="M2783" s="44"/>
      <c r="N2783" s="44"/>
      <c r="O2783" s="88"/>
      <c r="P2783" s="88"/>
    </row>
    <row r="2784" ht="15.0" customHeight="1">
      <c r="A2784" s="44"/>
      <c r="B2784" s="44"/>
      <c r="C2784" s="44"/>
      <c r="D2784" s="44"/>
      <c r="E2784" s="44"/>
      <c r="F2784" s="44"/>
      <c r="G2784" s="11"/>
      <c r="H2784" s="11"/>
      <c r="I2784" s="44"/>
      <c r="J2784" s="114"/>
      <c r="K2784" s="44"/>
      <c r="L2784" s="44"/>
      <c r="M2784" s="44"/>
      <c r="N2784" s="44"/>
      <c r="O2784" s="88"/>
      <c r="P2784" s="88"/>
    </row>
    <row r="2785" ht="15.0" customHeight="1">
      <c r="A2785" s="44"/>
      <c r="B2785" s="44"/>
      <c r="C2785" s="44"/>
      <c r="D2785" s="44"/>
      <c r="E2785" s="44"/>
      <c r="F2785" s="44"/>
      <c r="G2785" s="11"/>
      <c r="H2785" s="11"/>
      <c r="I2785" s="44"/>
      <c r="J2785" s="114"/>
      <c r="K2785" s="44"/>
      <c r="L2785" s="44"/>
      <c r="M2785" s="44"/>
      <c r="N2785" s="44"/>
      <c r="O2785" s="88"/>
      <c r="P2785" s="88"/>
    </row>
    <row r="2786" ht="15.0" customHeight="1">
      <c r="A2786" s="44"/>
      <c r="B2786" s="44"/>
      <c r="C2786" s="44"/>
      <c r="D2786" s="44"/>
      <c r="E2786" s="44"/>
      <c r="F2786" s="44"/>
      <c r="G2786" s="11"/>
      <c r="H2786" s="11"/>
      <c r="I2786" s="44"/>
      <c r="J2786" s="114"/>
      <c r="K2786" s="44"/>
      <c r="L2786" s="44"/>
      <c r="M2786" s="44"/>
      <c r="N2786" s="44"/>
      <c r="O2786" s="88"/>
      <c r="P2786" s="88"/>
    </row>
    <row r="2787" ht="15.0" customHeight="1">
      <c r="A2787" s="44"/>
      <c r="B2787" s="44"/>
      <c r="C2787" s="44"/>
      <c r="D2787" s="44"/>
      <c r="E2787" s="44"/>
      <c r="F2787" s="44"/>
      <c r="G2787" s="11"/>
      <c r="H2787" s="11"/>
      <c r="I2787" s="44"/>
      <c r="J2787" s="114"/>
      <c r="K2787" s="44"/>
      <c r="L2787" s="44"/>
      <c r="M2787" s="44"/>
      <c r="N2787" s="44"/>
      <c r="O2787" s="88"/>
      <c r="P2787" s="88"/>
    </row>
    <row r="2788" ht="15.0" customHeight="1">
      <c r="A2788" s="44"/>
      <c r="B2788" s="44"/>
      <c r="C2788" s="44"/>
      <c r="D2788" s="44"/>
      <c r="E2788" s="44"/>
      <c r="F2788" s="44"/>
      <c r="G2788" s="11"/>
      <c r="H2788" s="11"/>
      <c r="I2788" s="44"/>
      <c r="J2788" s="114"/>
      <c r="K2788" s="44"/>
      <c r="L2788" s="44"/>
      <c r="M2788" s="44"/>
      <c r="N2788" s="44"/>
      <c r="O2788" s="88"/>
      <c r="P2788" s="88"/>
    </row>
    <row r="2789" ht="15.0" customHeight="1">
      <c r="A2789" s="44"/>
      <c r="B2789" s="44"/>
      <c r="C2789" s="44"/>
      <c r="D2789" s="44"/>
      <c r="E2789" s="44"/>
      <c r="F2789" s="44"/>
      <c r="G2789" s="11"/>
      <c r="H2789" s="11"/>
      <c r="I2789" s="44"/>
      <c r="J2789" s="114"/>
      <c r="K2789" s="44"/>
      <c r="L2789" s="44"/>
      <c r="M2789" s="44"/>
      <c r="N2789" s="44"/>
      <c r="O2789" s="88"/>
      <c r="P2789" s="88"/>
    </row>
    <row r="2790" ht="15.0" customHeight="1">
      <c r="A2790" s="44"/>
      <c r="B2790" s="44"/>
      <c r="C2790" s="44"/>
      <c r="D2790" s="44"/>
      <c r="E2790" s="44"/>
      <c r="F2790" s="44"/>
      <c r="G2790" s="11"/>
      <c r="H2790" s="11"/>
      <c r="I2790" s="44"/>
      <c r="J2790" s="114"/>
      <c r="K2790" s="44"/>
      <c r="L2790" s="44"/>
      <c r="M2790" s="44"/>
      <c r="N2790" s="44"/>
      <c r="O2790" s="88"/>
      <c r="P2790" s="88"/>
    </row>
    <row r="2791" ht="15.0" customHeight="1">
      <c r="A2791" s="44"/>
      <c r="B2791" s="44"/>
      <c r="C2791" s="44"/>
      <c r="D2791" s="44"/>
      <c r="E2791" s="44"/>
      <c r="F2791" s="44"/>
      <c r="G2791" s="11"/>
      <c r="H2791" s="11"/>
      <c r="I2791" s="44"/>
      <c r="J2791" s="114"/>
      <c r="K2791" s="44"/>
      <c r="L2791" s="44"/>
      <c r="M2791" s="44"/>
      <c r="N2791" s="44"/>
      <c r="O2791" s="88"/>
      <c r="P2791" s="88"/>
    </row>
    <row r="2792" ht="15.0" customHeight="1">
      <c r="A2792" s="44"/>
      <c r="B2792" s="44"/>
      <c r="C2792" s="44"/>
      <c r="D2792" s="44"/>
      <c r="E2792" s="44"/>
      <c r="F2792" s="44"/>
      <c r="G2792" s="11"/>
      <c r="H2792" s="11"/>
      <c r="I2792" s="44"/>
      <c r="J2792" s="114"/>
      <c r="K2792" s="44"/>
      <c r="L2792" s="44"/>
      <c r="M2792" s="44"/>
      <c r="N2792" s="44"/>
      <c r="O2792" s="88"/>
      <c r="P2792" s="88"/>
    </row>
    <row r="2793" ht="15.0" customHeight="1">
      <c r="A2793" s="44"/>
      <c r="B2793" s="44"/>
      <c r="C2793" s="44"/>
      <c r="D2793" s="44"/>
      <c r="E2793" s="44"/>
      <c r="F2793" s="44"/>
      <c r="G2793" s="11"/>
      <c r="H2793" s="11"/>
      <c r="I2793" s="44"/>
      <c r="J2793" s="114"/>
      <c r="K2793" s="44"/>
      <c r="L2793" s="44"/>
      <c r="M2793" s="44"/>
      <c r="N2793" s="44"/>
      <c r="O2793" s="88"/>
      <c r="P2793" s="88"/>
    </row>
    <row r="2794" ht="15.0" customHeight="1">
      <c r="A2794" s="44"/>
      <c r="B2794" s="44"/>
      <c r="C2794" s="44"/>
      <c r="D2794" s="44"/>
      <c r="E2794" s="44"/>
      <c r="F2794" s="44"/>
      <c r="G2794" s="11"/>
      <c r="H2794" s="11"/>
      <c r="I2794" s="44"/>
      <c r="J2794" s="114"/>
      <c r="K2794" s="44"/>
      <c r="L2794" s="44"/>
      <c r="M2794" s="44"/>
      <c r="N2794" s="44"/>
      <c r="O2794" s="88"/>
      <c r="P2794" s="88"/>
    </row>
    <row r="2795" ht="15.0" customHeight="1">
      <c r="A2795" s="44"/>
      <c r="B2795" s="44"/>
      <c r="C2795" s="44"/>
      <c r="D2795" s="44"/>
      <c r="E2795" s="44"/>
      <c r="F2795" s="44"/>
      <c r="G2795" s="11"/>
      <c r="H2795" s="11"/>
      <c r="I2795" s="44"/>
      <c r="J2795" s="114"/>
      <c r="K2795" s="44"/>
      <c r="L2795" s="44"/>
      <c r="M2795" s="44"/>
      <c r="N2795" s="44"/>
      <c r="O2795" s="88"/>
      <c r="P2795" s="88"/>
    </row>
    <row r="2796" ht="15.0" customHeight="1">
      <c r="A2796" s="44"/>
      <c r="B2796" s="44"/>
      <c r="C2796" s="44"/>
      <c r="D2796" s="44"/>
      <c r="E2796" s="44"/>
      <c r="F2796" s="44"/>
      <c r="G2796" s="11"/>
      <c r="H2796" s="11"/>
      <c r="I2796" s="44"/>
      <c r="J2796" s="114"/>
      <c r="K2796" s="44"/>
      <c r="L2796" s="44"/>
      <c r="M2796" s="44"/>
      <c r="N2796" s="44"/>
      <c r="O2796" s="88"/>
      <c r="P2796" s="88"/>
    </row>
    <row r="2797" ht="15.0" customHeight="1">
      <c r="A2797" s="44"/>
      <c r="B2797" s="44"/>
      <c r="C2797" s="44"/>
      <c r="D2797" s="44"/>
      <c r="E2797" s="44"/>
      <c r="F2797" s="44"/>
      <c r="G2797" s="11"/>
      <c r="H2797" s="11"/>
      <c r="I2797" s="44"/>
      <c r="J2797" s="114"/>
      <c r="K2797" s="44"/>
      <c r="L2797" s="44"/>
      <c r="M2797" s="44"/>
      <c r="N2797" s="44"/>
      <c r="O2797" s="88"/>
      <c r="P2797" s="88"/>
    </row>
    <row r="2798" ht="15.0" customHeight="1">
      <c r="A2798" s="44"/>
      <c r="B2798" s="44"/>
      <c r="C2798" s="44"/>
      <c r="D2798" s="44"/>
      <c r="E2798" s="44"/>
      <c r="F2798" s="44"/>
      <c r="G2798" s="11"/>
      <c r="H2798" s="11"/>
      <c r="I2798" s="44"/>
      <c r="J2798" s="114"/>
      <c r="K2798" s="44"/>
      <c r="L2798" s="44"/>
      <c r="M2798" s="44"/>
      <c r="N2798" s="44"/>
      <c r="O2798" s="88"/>
      <c r="P2798" s="88"/>
    </row>
    <row r="2799" ht="15.0" customHeight="1">
      <c r="A2799" s="44"/>
      <c r="B2799" s="44"/>
      <c r="C2799" s="44"/>
      <c r="D2799" s="44"/>
      <c r="E2799" s="44"/>
      <c r="F2799" s="44"/>
      <c r="G2799" s="11"/>
      <c r="H2799" s="11"/>
      <c r="I2799" s="44"/>
      <c r="J2799" s="114"/>
      <c r="K2799" s="44"/>
      <c r="L2799" s="44"/>
      <c r="M2799" s="44"/>
      <c r="N2799" s="44"/>
      <c r="O2799" s="88"/>
      <c r="P2799" s="88"/>
    </row>
    <row r="2800" ht="15.0" customHeight="1">
      <c r="A2800" s="44"/>
      <c r="B2800" s="44"/>
      <c r="C2800" s="44"/>
      <c r="D2800" s="44"/>
      <c r="E2800" s="44"/>
      <c r="F2800" s="44"/>
      <c r="G2800" s="11"/>
      <c r="H2800" s="11"/>
      <c r="I2800" s="44"/>
      <c r="J2800" s="114"/>
      <c r="K2800" s="44"/>
      <c r="L2800" s="44"/>
      <c r="M2800" s="44"/>
      <c r="N2800" s="44"/>
      <c r="O2800" s="88"/>
      <c r="P2800" s="88"/>
    </row>
    <row r="2801" ht="15.0" customHeight="1">
      <c r="A2801" s="44"/>
      <c r="B2801" s="44"/>
      <c r="C2801" s="44"/>
      <c r="D2801" s="44"/>
      <c r="E2801" s="44"/>
      <c r="F2801" s="44"/>
      <c r="G2801" s="11"/>
      <c r="H2801" s="11"/>
      <c r="I2801" s="44"/>
      <c r="J2801" s="114"/>
      <c r="K2801" s="44"/>
      <c r="L2801" s="44"/>
      <c r="M2801" s="44"/>
      <c r="N2801" s="44"/>
      <c r="O2801" s="88"/>
      <c r="P2801" s="88"/>
    </row>
    <row r="2802" ht="15.0" customHeight="1">
      <c r="A2802" s="44"/>
      <c r="B2802" s="44"/>
      <c r="C2802" s="44"/>
      <c r="D2802" s="44"/>
      <c r="E2802" s="44"/>
      <c r="F2802" s="44"/>
      <c r="G2802" s="11"/>
      <c r="H2802" s="11"/>
      <c r="I2802" s="44"/>
      <c r="J2802" s="114"/>
      <c r="K2802" s="44"/>
      <c r="L2802" s="44"/>
      <c r="M2802" s="44"/>
      <c r="N2802" s="44"/>
      <c r="O2802" s="88"/>
      <c r="P2802" s="88"/>
    </row>
    <row r="2803" ht="15.0" customHeight="1">
      <c r="A2803" s="44"/>
      <c r="B2803" s="44"/>
      <c r="C2803" s="44"/>
      <c r="D2803" s="44"/>
      <c r="E2803" s="44"/>
      <c r="F2803" s="44"/>
      <c r="G2803" s="11"/>
      <c r="H2803" s="11"/>
      <c r="I2803" s="44"/>
      <c r="J2803" s="114"/>
      <c r="K2803" s="44"/>
      <c r="L2803" s="44"/>
      <c r="M2803" s="44"/>
      <c r="N2803" s="44"/>
      <c r="O2803" s="88"/>
      <c r="P2803" s="88"/>
    </row>
    <row r="2804" ht="15.0" customHeight="1">
      <c r="A2804" s="44"/>
      <c r="B2804" s="44"/>
      <c r="C2804" s="44"/>
      <c r="D2804" s="44"/>
      <c r="E2804" s="44"/>
      <c r="F2804" s="44"/>
      <c r="G2804" s="11"/>
      <c r="H2804" s="11"/>
      <c r="I2804" s="44"/>
      <c r="J2804" s="114"/>
      <c r="K2804" s="44"/>
      <c r="L2804" s="44"/>
      <c r="M2804" s="44"/>
      <c r="N2804" s="44"/>
      <c r="O2804" s="88"/>
      <c r="P2804" s="88"/>
    </row>
    <row r="2805" ht="15.0" customHeight="1">
      <c r="A2805" s="44"/>
      <c r="B2805" s="44"/>
      <c r="C2805" s="44"/>
      <c r="D2805" s="44"/>
      <c r="E2805" s="44"/>
      <c r="F2805" s="44"/>
      <c r="G2805" s="11"/>
      <c r="H2805" s="11"/>
      <c r="I2805" s="44"/>
      <c r="J2805" s="114"/>
      <c r="K2805" s="44"/>
      <c r="L2805" s="44"/>
      <c r="M2805" s="44"/>
      <c r="N2805" s="44"/>
      <c r="O2805" s="88"/>
      <c r="P2805" s="88"/>
    </row>
    <row r="2806" ht="15.0" customHeight="1">
      <c r="A2806" s="44"/>
      <c r="B2806" s="44"/>
      <c r="C2806" s="44"/>
      <c r="D2806" s="44"/>
      <c r="E2806" s="44"/>
      <c r="F2806" s="44"/>
      <c r="G2806" s="11"/>
      <c r="H2806" s="11"/>
      <c r="I2806" s="44"/>
      <c r="J2806" s="114"/>
      <c r="K2806" s="44"/>
      <c r="L2806" s="44"/>
      <c r="M2806" s="44"/>
      <c r="N2806" s="44"/>
      <c r="O2806" s="88"/>
      <c r="P2806" s="88"/>
    </row>
    <row r="2807" ht="15.0" customHeight="1">
      <c r="A2807" s="44"/>
      <c r="B2807" s="44"/>
      <c r="C2807" s="44"/>
      <c r="D2807" s="44"/>
      <c r="E2807" s="44"/>
      <c r="F2807" s="44"/>
      <c r="G2807" s="11"/>
      <c r="H2807" s="11"/>
      <c r="I2807" s="44"/>
      <c r="J2807" s="114"/>
      <c r="K2807" s="44"/>
      <c r="L2807" s="44"/>
      <c r="M2807" s="44"/>
      <c r="N2807" s="44"/>
      <c r="O2807" s="88"/>
      <c r="P2807" s="88"/>
    </row>
    <row r="2808" ht="15.0" customHeight="1">
      <c r="A2808" s="44"/>
      <c r="B2808" s="44"/>
      <c r="C2808" s="44"/>
      <c r="D2808" s="44"/>
      <c r="E2808" s="44"/>
      <c r="F2808" s="44"/>
      <c r="G2808" s="11"/>
      <c r="H2808" s="11"/>
      <c r="I2808" s="44"/>
      <c r="J2808" s="114"/>
      <c r="K2808" s="44"/>
      <c r="L2808" s="44"/>
      <c r="M2808" s="44"/>
      <c r="N2808" s="44"/>
      <c r="O2808" s="88"/>
      <c r="P2808" s="88"/>
    </row>
    <row r="2809" ht="15.0" customHeight="1">
      <c r="A2809" s="44"/>
      <c r="B2809" s="44"/>
      <c r="C2809" s="44"/>
      <c r="D2809" s="44"/>
      <c r="E2809" s="44"/>
      <c r="F2809" s="44"/>
      <c r="G2809" s="11"/>
      <c r="H2809" s="11"/>
      <c r="I2809" s="44"/>
      <c r="J2809" s="114"/>
      <c r="K2809" s="44"/>
      <c r="L2809" s="44"/>
      <c r="M2809" s="44"/>
      <c r="N2809" s="44"/>
      <c r="O2809" s="88"/>
      <c r="P2809" s="88"/>
    </row>
    <row r="2810" ht="15.0" customHeight="1">
      <c r="A2810" s="44"/>
      <c r="B2810" s="44"/>
      <c r="C2810" s="44"/>
      <c r="D2810" s="44"/>
      <c r="E2810" s="44"/>
      <c r="F2810" s="44"/>
      <c r="G2810" s="11"/>
      <c r="H2810" s="11"/>
      <c r="I2810" s="44"/>
      <c r="J2810" s="114"/>
      <c r="K2810" s="44"/>
      <c r="L2810" s="44"/>
      <c r="M2810" s="44"/>
      <c r="N2810" s="44"/>
      <c r="O2810" s="88"/>
      <c r="P2810" s="88"/>
    </row>
    <row r="2811" ht="15.0" customHeight="1">
      <c r="A2811" s="44"/>
      <c r="B2811" s="44"/>
      <c r="C2811" s="44"/>
      <c r="D2811" s="44"/>
      <c r="E2811" s="44"/>
      <c r="F2811" s="44"/>
      <c r="G2811" s="11"/>
      <c r="H2811" s="11"/>
      <c r="I2811" s="44"/>
      <c r="J2811" s="114"/>
      <c r="K2811" s="44"/>
      <c r="L2811" s="44"/>
      <c r="M2811" s="44"/>
      <c r="N2811" s="44"/>
      <c r="O2811" s="88"/>
      <c r="P2811" s="88"/>
    </row>
    <row r="2812" ht="15.0" customHeight="1">
      <c r="A2812" s="44"/>
      <c r="B2812" s="44"/>
      <c r="C2812" s="44"/>
      <c r="D2812" s="44"/>
      <c r="E2812" s="44"/>
      <c r="F2812" s="44"/>
      <c r="G2812" s="11"/>
      <c r="H2812" s="11"/>
      <c r="I2812" s="44"/>
      <c r="J2812" s="114"/>
      <c r="K2812" s="44"/>
      <c r="L2812" s="44"/>
      <c r="M2812" s="44"/>
      <c r="N2812" s="44"/>
      <c r="O2812" s="88"/>
      <c r="P2812" s="88"/>
    </row>
    <row r="2813" ht="15.0" customHeight="1">
      <c r="A2813" s="44"/>
      <c r="B2813" s="44"/>
      <c r="C2813" s="44"/>
      <c r="D2813" s="44"/>
      <c r="E2813" s="44"/>
      <c r="F2813" s="44"/>
      <c r="G2813" s="11"/>
      <c r="H2813" s="11"/>
      <c r="I2813" s="44"/>
      <c r="J2813" s="114"/>
      <c r="K2813" s="44"/>
      <c r="L2813" s="44"/>
      <c r="M2813" s="44"/>
      <c r="N2813" s="44"/>
      <c r="O2813" s="88"/>
      <c r="P2813" s="88"/>
    </row>
    <row r="2814" ht="15.0" customHeight="1">
      <c r="A2814" s="44"/>
      <c r="B2814" s="44"/>
      <c r="C2814" s="44"/>
      <c r="D2814" s="44"/>
      <c r="E2814" s="44"/>
      <c r="F2814" s="44"/>
      <c r="G2814" s="11"/>
      <c r="H2814" s="11"/>
      <c r="I2814" s="44"/>
      <c r="J2814" s="114"/>
      <c r="K2814" s="44"/>
      <c r="L2814" s="44"/>
      <c r="M2814" s="44"/>
      <c r="N2814" s="44"/>
      <c r="O2814" s="88"/>
      <c r="P2814" s="88"/>
    </row>
    <row r="2815" ht="15.0" customHeight="1">
      <c r="A2815" s="44"/>
      <c r="B2815" s="44"/>
      <c r="C2815" s="44"/>
      <c r="D2815" s="44"/>
      <c r="E2815" s="44"/>
      <c r="F2815" s="44"/>
      <c r="G2815" s="11"/>
      <c r="H2815" s="11"/>
      <c r="I2815" s="44"/>
      <c r="J2815" s="114"/>
      <c r="K2815" s="44"/>
      <c r="L2815" s="44"/>
      <c r="M2815" s="44"/>
      <c r="N2815" s="44"/>
      <c r="O2815" s="88"/>
      <c r="P2815" s="88"/>
    </row>
    <row r="2816" ht="15.0" customHeight="1">
      <c r="A2816" s="44"/>
      <c r="B2816" s="44"/>
      <c r="C2816" s="44"/>
      <c r="D2816" s="44"/>
      <c r="E2816" s="44"/>
      <c r="F2816" s="44"/>
      <c r="G2816" s="11"/>
      <c r="H2816" s="11"/>
      <c r="I2816" s="44"/>
      <c r="J2816" s="114"/>
      <c r="K2816" s="44"/>
      <c r="L2816" s="44"/>
      <c r="M2816" s="44"/>
      <c r="N2816" s="44"/>
      <c r="O2816" s="88"/>
      <c r="P2816" s="88"/>
    </row>
    <row r="2817" ht="15.0" customHeight="1">
      <c r="A2817" s="44"/>
      <c r="B2817" s="44"/>
      <c r="C2817" s="44"/>
      <c r="D2817" s="44"/>
      <c r="E2817" s="44"/>
      <c r="F2817" s="44"/>
      <c r="G2817" s="11"/>
      <c r="H2817" s="11"/>
      <c r="I2817" s="44"/>
      <c r="J2817" s="114"/>
      <c r="K2817" s="44"/>
      <c r="L2817" s="44"/>
      <c r="M2817" s="44"/>
      <c r="N2817" s="44"/>
      <c r="O2817" s="88"/>
      <c r="P2817" s="88"/>
    </row>
    <row r="2818" ht="15.0" customHeight="1">
      <c r="A2818" s="44"/>
      <c r="B2818" s="44"/>
      <c r="C2818" s="44"/>
      <c r="D2818" s="44"/>
      <c r="E2818" s="44"/>
      <c r="F2818" s="44"/>
      <c r="G2818" s="11"/>
      <c r="H2818" s="11"/>
      <c r="I2818" s="44"/>
      <c r="J2818" s="114"/>
      <c r="K2818" s="44"/>
      <c r="L2818" s="44"/>
      <c r="M2818" s="44"/>
      <c r="N2818" s="44"/>
      <c r="O2818" s="88"/>
      <c r="P2818" s="88"/>
    </row>
    <row r="2819" ht="15.0" customHeight="1">
      <c r="A2819" s="44"/>
      <c r="B2819" s="44"/>
      <c r="C2819" s="44"/>
      <c r="D2819" s="44"/>
      <c r="E2819" s="44"/>
      <c r="F2819" s="44"/>
      <c r="G2819" s="11"/>
      <c r="H2819" s="11"/>
      <c r="I2819" s="44"/>
      <c r="J2819" s="114"/>
      <c r="K2819" s="44"/>
      <c r="L2819" s="44"/>
      <c r="M2819" s="44"/>
      <c r="N2819" s="44"/>
      <c r="O2819" s="88"/>
      <c r="P2819" s="88"/>
    </row>
    <row r="2820" ht="15.0" customHeight="1">
      <c r="A2820" s="44"/>
      <c r="B2820" s="44"/>
      <c r="C2820" s="44"/>
      <c r="D2820" s="44"/>
      <c r="E2820" s="44"/>
      <c r="F2820" s="44"/>
      <c r="G2820" s="11"/>
      <c r="H2820" s="11"/>
      <c r="I2820" s="44"/>
      <c r="J2820" s="114"/>
      <c r="K2820" s="44"/>
      <c r="L2820" s="44"/>
      <c r="M2820" s="44"/>
      <c r="N2820" s="44"/>
      <c r="O2820" s="88"/>
      <c r="P2820" s="88"/>
    </row>
    <row r="2821" ht="15.0" customHeight="1">
      <c r="A2821" s="44"/>
      <c r="B2821" s="44"/>
      <c r="C2821" s="44"/>
      <c r="D2821" s="44"/>
      <c r="E2821" s="44"/>
      <c r="F2821" s="44"/>
      <c r="G2821" s="11"/>
      <c r="H2821" s="11"/>
      <c r="I2821" s="44"/>
      <c r="J2821" s="114"/>
      <c r="K2821" s="44"/>
      <c r="L2821" s="44"/>
      <c r="M2821" s="44"/>
      <c r="N2821" s="44"/>
      <c r="O2821" s="88"/>
      <c r="P2821" s="88"/>
    </row>
    <row r="2822" ht="15.0" customHeight="1">
      <c r="A2822" s="44"/>
      <c r="B2822" s="44"/>
      <c r="C2822" s="44"/>
      <c r="D2822" s="44"/>
      <c r="E2822" s="44"/>
      <c r="F2822" s="44"/>
      <c r="G2822" s="11"/>
      <c r="H2822" s="11"/>
      <c r="I2822" s="44"/>
      <c r="J2822" s="114"/>
      <c r="K2822" s="44"/>
      <c r="L2822" s="44"/>
      <c r="M2822" s="44"/>
      <c r="N2822" s="44"/>
      <c r="O2822" s="88"/>
      <c r="P2822" s="88"/>
    </row>
    <row r="2823" ht="15.0" customHeight="1">
      <c r="A2823" s="44"/>
      <c r="B2823" s="44"/>
      <c r="C2823" s="44"/>
      <c r="D2823" s="44"/>
      <c r="E2823" s="44"/>
      <c r="F2823" s="44"/>
      <c r="G2823" s="11"/>
      <c r="H2823" s="11"/>
      <c r="I2823" s="44"/>
      <c r="J2823" s="114"/>
      <c r="K2823" s="44"/>
      <c r="L2823" s="44"/>
      <c r="M2823" s="44"/>
      <c r="N2823" s="44"/>
      <c r="O2823" s="88"/>
      <c r="P2823" s="88"/>
    </row>
    <row r="2824" ht="15.0" customHeight="1">
      <c r="A2824" s="44"/>
      <c r="B2824" s="44"/>
      <c r="C2824" s="44"/>
      <c r="D2824" s="44"/>
      <c r="E2824" s="44"/>
      <c r="F2824" s="44"/>
      <c r="G2824" s="11"/>
      <c r="H2824" s="11"/>
      <c r="I2824" s="44"/>
      <c r="J2824" s="114"/>
      <c r="K2824" s="44"/>
      <c r="L2824" s="44"/>
      <c r="M2824" s="44"/>
      <c r="N2824" s="44"/>
      <c r="O2824" s="88"/>
      <c r="P2824" s="88"/>
    </row>
    <row r="2825" ht="15.0" customHeight="1">
      <c r="A2825" s="44"/>
      <c r="B2825" s="44"/>
      <c r="C2825" s="44"/>
      <c r="D2825" s="44"/>
      <c r="E2825" s="44"/>
      <c r="F2825" s="44"/>
      <c r="G2825" s="11"/>
      <c r="H2825" s="11"/>
      <c r="I2825" s="44"/>
      <c r="J2825" s="114"/>
      <c r="K2825" s="44"/>
      <c r="L2825" s="44"/>
      <c r="M2825" s="44"/>
      <c r="N2825" s="44"/>
      <c r="O2825" s="88"/>
      <c r="P2825" s="88"/>
    </row>
    <row r="2826" ht="15.0" customHeight="1">
      <c r="A2826" s="44"/>
      <c r="B2826" s="44"/>
      <c r="C2826" s="44"/>
      <c r="D2826" s="44"/>
      <c r="E2826" s="44"/>
      <c r="F2826" s="44"/>
      <c r="G2826" s="11"/>
      <c r="H2826" s="11"/>
      <c r="I2826" s="44"/>
      <c r="J2826" s="114"/>
      <c r="K2826" s="44"/>
      <c r="L2826" s="44"/>
      <c r="M2826" s="44"/>
      <c r="N2826" s="44"/>
      <c r="O2826" s="88"/>
      <c r="P2826" s="88"/>
    </row>
    <row r="2827" ht="15.0" customHeight="1">
      <c r="A2827" s="44"/>
      <c r="B2827" s="44"/>
      <c r="C2827" s="44"/>
      <c r="D2827" s="44"/>
      <c r="E2827" s="44"/>
      <c r="F2827" s="44"/>
      <c r="G2827" s="11"/>
      <c r="H2827" s="11"/>
      <c r="I2827" s="44"/>
      <c r="J2827" s="114"/>
      <c r="K2827" s="44"/>
      <c r="L2827" s="44"/>
      <c r="M2827" s="44"/>
      <c r="N2827" s="44"/>
      <c r="O2827" s="88"/>
      <c r="P2827" s="88"/>
    </row>
    <row r="2828" ht="15.0" customHeight="1">
      <c r="A2828" s="44"/>
      <c r="B2828" s="44"/>
      <c r="C2828" s="44"/>
      <c r="D2828" s="44"/>
      <c r="E2828" s="44"/>
      <c r="F2828" s="44"/>
      <c r="G2828" s="11"/>
      <c r="H2828" s="11"/>
      <c r="I2828" s="44"/>
      <c r="J2828" s="114"/>
      <c r="K2828" s="44"/>
      <c r="L2828" s="44"/>
      <c r="M2828" s="44"/>
      <c r="N2828" s="44"/>
      <c r="O2828" s="88"/>
      <c r="P2828" s="88"/>
    </row>
    <row r="2829" ht="15.0" customHeight="1">
      <c r="A2829" s="44"/>
      <c r="B2829" s="44"/>
      <c r="C2829" s="44"/>
      <c r="D2829" s="44"/>
      <c r="E2829" s="44"/>
      <c r="F2829" s="44"/>
      <c r="G2829" s="11"/>
      <c r="H2829" s="11"/>
      <c r="I2829" s="44"/>
      <c r="J2829" s="114"/>
      <c r="K2829" s="44"/>
      <c r="L2829" s="44"/>
      <c r="M2829" s="44"/>
      <c r="N2829" s="44"/>
      <c r="O2829" s="88"/>
      <c r="P2829" s="88"/>
    </row>
    <row r="2830" ht="15.0" customHeight="1">
      <c r="A2830" s="44"/>
      <c r="B2830" s="44"/>
      <c r="C2830" s="44"/>
      <c r="D2830" s="44"/>
      <c r="E2830" s="44"/>
      <c r="F2830" s="44"/>
      <c r="G2830" s="11"/>
      <c r="H2830" s="11"/>
      <c r="I2830" s="44"/>
      <c r="J2830" s="114"/>
      <c r="K2830" s="44"/>
      <c r="L2830" s="44"/>
      <c r="M2830" s="44"/>
      <c r="N2830" s="44"/>
      <c r="O2830" s="88"/>
      <c r="P2830" s="88"/>
    </row>
    <row r="2831" ht="15.0" customHeight="1">
      <c r="A2831" s="44"/>
      <c r="B2831" s="44"/>
      <c r="C2831" s="44"/>
      <c r="D2831" s="44"/>
      <c r="E2831" s="44"/>
      <c r="F2831" s="44"/>
      <c r="G2831" s="11"/>
      <c r="H2831" s="11"/>
      <c r="I2831" s="44"/>
      <c r="J2831" s="114"/>
      <c r="K2831" s="44"/>
      <c r="L2831" s="44"/>
      <c r="M2831" s="44"/>
      <c r="N2831" s="44"/>
      <c r="O2831" s="88"/>
      <c r="P2831" s="88"/>
    </row>
    <row r="2832" ht="15.0" customHeight="1">
      <c r="A2832" s="44"/>
      <c r="B2832" s="44"/>
      <c r="C2832" s="44"/>
      <c r="D2832" s="44"/>
      <c r="E2832" s="44"/>
      <c r="F2832" s="44"/>
      <c r="G2832" s="11"/>
      <c r="H2832" s="11"/>
      <c r="I2832" s="44"/>
      <c r="J2832" s="114"/>
      <c r="K2832" s="44"/>
      <c r="L2832" s="44"/>
      <c r="M2832" s="44"/>
      <c r="N2832" s="44"/>
      <c r="O2832" s="88"/>
      <c r="P2832" s="88"/>
    </row>
    <row r="2833" ht="15.0" customHeight="1">
      <c r="A2833" s="44"/>
      <c r="B2833" s="44"/>
      <c r="C2833" s="44"/>
      <c r="D2833" s="44"/>
      <c r="E2833" s="44"/>
      <c r="F2833" s="44"/>
      <c r="G2833" s="11"/>
      <c r="H2833" s="11"/>
      <c r="I2833" s="44"/>
      <c r="J2833" s="114"/>
      <c r="K2833" s="44"/>
      <c r="L2833" s="44"/>
      <c r="M2833" s="44"/>
      <c r="N2833" s="44"/>
      <c r="O2833" s="88"/>
      <c r="P2833" s="88"/>
    </row>
    <row r="2834" ht="15.0" customHeight="1">
      <c r="A2834" s="44"/>
      <c r="B2834" s="44"/>
      <c r="C2834" s="44"/>
      <c r="D2834" s="44"/>
      <c r="E2834" s="44"/>
      <c r="F2834" s="44"/>
      <c r="G2834" s="11"/>
      <c r="H2834" s="11"/>
      <c r="I2834" s="44"/>
      <c r="J2834" s="114"/>
      <c r="K2834" s="44"/>
      <c r="L2834" s="44"/>
      <c r="M2834" s="44"/>
      <c r="N2834" s="44"/>
      <c r="O2834" s="88"/>
      <c r="P2834" s="88"/>
    </row>
    <row r="2835" ht="15.0" customHeight="1">
      <c r="A2835" s="44"/>
      <c r="B2835" s="44"/>
      <c r="C2835" s="44"/>
      <c r="D2835" s="44"/>
      <c r="E2835" s="44"/>
      <c r="F2835" s="44"/>
      <c r="G2835" s="11"/>
      <c r="H2835" s="11"/>
      <c r="I2835" s="44"/>
      <c r="J2835" s="114"/>
      <c r="K2835" s="44"/>
      <c r="L2835" s="44"/>
      <c r="M2835" s="44"/>
      <c r="N2835" s="44"/>
      <c r="O2835" s="88"/>
      <c r="P2835" s="88"/>
    </row>
    <row r="2836" ht="15.0" customHeight="1">
      <c r="A2836" s="44"/>
      <c r="B2836" s="44"/>
      <c r="C2836" s="44"/>
      <c r="D2836" s="44"/>
      <c r="E2836" s="44"/>
      <c r="F2836" s="44"/>
      <c r="G2836" s="11"/>
      <c r="H2836" s="11"/>
      <c r="I2836" s="44"/>
      <c r="J2836" s="114"/>
      <c r="K2836" s="44"/>
      <c r="L2836" s="44"/>
      <c r="M2836" s="44"/>
      <c r="N2836" s="44"/>
      <c r="O2836" s="88"/>
      <c r="P2836" s="88"/>
    </row>
    <row r="2837" ht="15.0" customHeight="1">
      <c r="A2837" s="44"/>
      <c r="B2837" s="44"/>
      <c r="C2837" s="44"/>
      <c r="D2837" s="44"/>
      <c r="E2837" s="44"/>
      <c r="F2837" s="44"/>
      <c r="G2837" s="11"/>
      <c r="H2837" s="11"/>
      <c r="I2837" s="44"/>
      <c r="J2837" s="114"/>
      <c r="K2837" s="44"/>
      <c r="L2837" s="44"/>
      <c r="M2837" s="44"/>
      <c r="N2837" s="44"/>
      <c r="O2837" s="88"/>
      <c r="P2837" s="88"/>
    </row>
    <row r="2838" ht="15.0" customHeight="1">
      <c r="A2838" s="44"/>
      <c r="B2838" s="44"/>
      <c r="C2838" s="44"/>
      <c r="D2838" s="44"/>
      <c r="E2838" s="44"/>
      <c r="F2838" s="44"/>
      <c r="G2838" s="11"/>
      <c r="H2838" s="11"/>
      <c r="I2838" s="44"/>
      <c r="J2838" s="114"/>
      <c r="K2838" s="44"/>
      <c r="L2838" s="44"/>
      <c r="M2838" s="44"/>
      <c r="N2838" s="44"/>
      <c r="O2838" s="88"/>
      <c r="P2838" s="88"/>
    </row>
    <row r="2839" ht="15.0" customHeight="1">
      <c r="A2839" s="44"/>
      <c r="B2839" s="44"/>
      <c r="C2839" s="44"/>
      <c r="D2839" s="44"/>
      <c r="E2839" s="44"/>
      <c r="F2839" s="44"/>
      <c r="G2839" s="11"/>
      <c r="H2839" s="11"/>
      <c r="I2839" s="44"/>
      <c r="J2839" s="114"/>
      <c r="K2839" s="44"/>
      <c r="L2839" s="44"/>
      <c r="M2839" s="44"/>
      <c r="N2839" s="44"/>
      <c r="O2839" s="88"/>
      <c r="P2839" s="88"/>
    </row>
    <row r="2840" ht="15.0" customHeight="1">
      <c r="A2840" s="44"/>
      <c r="B2840" s="44"/>
      <c r="C2840" s="44"/>
      <c r="D2840" s="44"/>
      <c r="E2840" s="44"/>
      <c r="F2840" s="44"/>
      <c r="G2840" s="11"/>
      <c r="H2840" s="11"/>
      <c r="I2840" s="44"/>
      <c r="J2840" s="114"/>
      <c r="K2840" s="44"/>
      <c r="L2840" s="44"/>
      <c r="M2840" s="44"/>
      <c r="N2840" s="44"/>
      <c r="O2840" s="88"/>
      <c r="P2840" s="88"/>
    </row>
    <row r="2841" ht="15.0" customHeight="1">
      <c r="A2841" s="44"/>
      <c r="B2841" s="44"/>
      <c r="C2841" s="44"/>
      <c r="D2841" s="44"/>
      <c r="E2841" s="44"/>
      <c r="F2841" s="44"/>
      <c r="G2841" s="11"/>
      <c r="H2841" s="11"/>
      <c r="I2841" s="44"/>
      <c r="J2841" s="114"/>
      <c r="K2841" s="44"/>
      <c r="L2841" s="44"/>
      <c r="M2841" s="44"/>
      <c r="N2841" s="44"/>
      <c r="O2841" s="88"/>
      <c r="P2841" s="88"/>
    </row>
    <row r="2842" ht="15.0" customHeight="1">
      <c r="A2842" s="44"/>
      <c r="B2842" s="44"/>
      <c r="C2842" s="44"/>
      <c r="D2842" s="44"/>
      <c r="E2842" s="44"/>
      <c r="F2842" s="44"/>
      <c r="G2842" s="11"/>
      <c r="H2842" s="11"/>
      <c r="I2842" s="44"/>
      <c r="J2842" s="114"/>
      <c r="K2842" s="44"/>
      <c r="L2842" s="44"/>
      <c r="M2842" s="44"/>
      <c r="N2842" s="44"/>
      <c r="O2842" s="88"/>
      <c r="P2842" s="88"/>
    </row>
    <row r="2843" ht="15.0" customHeight="1">
      <c r="A2843" s="44"/>
      <c r="B2843" s="44"/>
      <c r="C2843" s="44"/>
      <c r="D2843" s="44"/>
      <c r="E2843" s="44"/>
      <c r="F2843" s="44"/>
      <c r="G2843" s="11"/>
      <c r="H2843" s="11"/>
      <c r="I2843" s="44"/>
      <c r="J2843" s="114"/>
      <c r="K2843" s="44"/>
      <c r="L2843" s="44"/>
      <c r="M2843" s="44"/>
      <c r="N2843" s="44"/>
      <c r="O2843" s="88"/>
      <c r="P2843" s="88"/>
    </row>
    <row r="2844" ht="15.0" customHeight="1">
      <c r="A2844" s="44"/>
      <c r="B2844" s="44"/>
      <c r="C2844" s="44"/>
      <c r="D2844" s="44"/>
      <c r="E2844" s="44"/>
      <c r="F2844" s="44"/>
      <c r="G2844" s="11"/>
      <c r="H2844" s="11"/>
      <c r="I2844" s="44"/>
      <c r="J2844" s="114"/>
      <c r="K2844" s="44"/>
      <c r="L2844" s="44"/>
      <c r="M2844" s="44"/>
      <c r="N2844" s="44"/>
      <c r="O2844" s="88"/>
      <c r="P2844" s="88"/>
    </row>
    <row r="2845" ht="15.0" customHeight="1">
      <c r="A2845" s="44"/>
      <c r="B2845" s="44"/>
      <c r="C2845" s="44"/>
      <c r="D2845" s="44"/>
      <c r="E2845" s="44"/>
      <c r="F2845" s="44"/>
      <c r="G2845" s="11"/>
      <c r="H2845" s="11"/>
      <c r="I2845" s="44"/>
      <c r="J2845" s="114"/>
      <c r="K2845" s="44"/>
      <c r="L2845" s="44"/>
      <c r="M2845" s="44"/>
      <c r="N2845" s="44"/>
      <c r="O2845" s="88"/>
      <c r="P2845" s="88"/>
    </row>
    <row r="2846" ht="15.0" customHeight="1">
      <c r="A2846" s="44"/>
      <c r="B2846" s="44"/>
      <c r="C2846" s="44"/>
      <c r="D2846" s="44"/>
      <c r="E2846" s="44"/>
      <c r="F2846" s="44"/>
      <c r="G2846" s="11"/>
      <c r="H2846" s="11"/>
      <c r="I2846" s="44"/>
      <c r="J2846" s="114"/>
      <c r="K2846" s="44"/>
      <c r="L2846" s="44"/>
      <c r="M2846" s="44"/>
      <c r="N2846" s="44"/>
      <c r="O2846" s="88"/>
      <c r="P2846" s="88"/>
    </row>
    <row r="2847" ht="15.0" customHeight="1">
      <c r="A2847" s="44"/>
      <c r="B2847" s="44"/>
      <c r="C2847" s="44"/>
      <c r="D2847" s="44"/>
      <c r="E2847" s="44"/>
      <c r="F2847" s="44"/>
      <c r="G2847" s="11"/>
      <c r="H2847" s="11"/>
      <c r="I2847" s="44"/>
      <c r="J2847" s="114"/>
      <c r="K2847" s="44"/>
      <c r="L2847" s="44"/>
      <c r="M2847" s="44"/>
      <c r="N2847" s="44"/>
      <c r="O2847" s="88"/>
      <c r="P2847" s="88"/>
    </row>
    <row r="2848" ht="15.0" customHeight="1">
      <c r="A2848" s="44"/>
      <c r="B2848" s="44"/>
      <c r="C2848" s="44"/>
      <c r="D2848" s="44"/>
      <c r="E2848" s="44"/>
      <c r="F2848" s="44"/>
      <c r="G2848" s="11"/>
      <c r="H2848" s="11"/>
      <c r="I2848" s="44"/>
      <c r="J2848" s="114"/>
      <c r="K2848" s="44"/>
      <c r="L2848" s="44"/>
      <c r="M2848" s="44"/>
      <c r="N2848" s="44"/>
      <c r="O2848" s="88"/>
      <c r="P2848" s="88"/>
    </row>
    <row r="2849" ht="15.0" customHeight="1">
      <c r="A2849" s="44"/>
      <c r="B2849" s="44"/>
      <c r="C2849" s="44"/>
      <c r="D2849" s="44"/>
      <c r="E2849" s="44"/>
      <c r="F2849" s="44"/>
      <c r="G2849" s="11"/>
      <c r="H2849" s="11"/>
      <c r="I2849" s="44"/>
      <c r="J2849" s="114"/>
      <c r="K2849" s="44"/>
      <c r="L2849" s="44"/>
      <c r="M2849" s="44"/>
      <c r="N2849" s="44"/>
      <c r="O2849" s="88"/>
      <c r="P2849" s="88"/>
    </row>
    <row r="2850" ht="15.0" customHeight="1">
      <c r="A2850" s="44"/>
      <c r="B2850" s="44"/>
      <c r="C2850" s="44"/>
      <c r="D2850" s="44"/>
      <c r="E2850" s="44"/>
      <c r="F2850" s="44"/>
      <c r="G2850" s="11"/>
      <c r="H2850" s="11"/>
      <c r="I2850" s="44"/>
      <c r="J2850" s="114"/>
      <c r="K2850" s="44"/>
      <c r="L2850" s="44"/>
      <c r="M2850" s="44"/>
      <c r="N2850" s="44"/>
      <c r="O2850" s="88"/>
      <c r="P2850" s="88"/>
    </row>
    <row r="2851" ht="15.0" customHeight="1">
      <c r="A2851" s="44"/>
      <c r="B2851" s="44"/>
      <c r="C2851" s="44"/>
      <c r="D2851" s="44"/>
      <c r="E2851" s="44"/>
      <c r="F2851" s="44"/>
      <c r="G2851" s="11"/>
      <c r="H2851" s="11"/>
      <c r="I2851" s="44"/>
      <c r="J2851" s="114"/>
      <c r="K2851" s="44"/>
      <c r="L2851" s="44"/>
      <c r="M2851" s="44"/>
      <c r="N2851" s="44"/>
      <c r="O2851" s="88"/>
      <c r="P2851" s="88"/>
    </row>
    <row r="2852" ht="15.0" customHeight="1">
      <c r="A2852" s="44"/>
      <c r="B2852" s="44"/>
      <c r="C2852" s="44"/>
      <c r="D2852" s="44"/>
      <c r="E2852" s="44"/>
      <c r="F2852" s="44"/>
      <c r="G2852" s="11"/>
      <c r="H2852" s="11"/>
      <c r="I2852" s="44"/>
      <c r="J2852" s="114"/>
      <c r="K2852" s="44"/>
      <c r="L2852" s="44"/>
      <c r="M2852" s="44"/>
      <c r="N2852" s="44"/>
      <c r="O2852" s="88"/>
      <c r="P2852" s="88"/>
    </row>
    <row r="2853" ht="15.0" customHeight="1">
      <c r="A2853" s="44"/>
      <c r="B2853" s="44"/>
      <c r="C2853" s="44"/>
      <c r="D2853" s="44"/>
      <c r="E2853" s="44"/>
      <c r="F2853" s="44"/>
      <c r="G2853" s="11"/>
      <c r="H2853" s="11"/>
      <c r="I2853" s="44"/>
      <c r="J2853" s="114"/>
      <c r="K2853" s="44"/>
      <c r="L2853" s="44"/>
      <c r="M2853" s="44"/>
      <c r="N2853" s="44"/>
      <c r="O2853" s="88"/>
      <c r="P2853" s="88"/>
    </row>
    <row r="2854" ht="15.0" customHeight="1">
      <c r="A2854" s="44"/>
      <c r="B2854" s="44"/>
      <c r="C2854" s="44"/>
      <c r="D2854" s="44"/>
      <c r="E2854" s="44"/>
      <c r="F2854" s="44"/>
      <c r="G2854" s="11"/>
      <c r="H2854" s="11"/>
      <c r="I2854" s="44"/>
      <c r="J2854" s="114"/>
      <c r="K2854" s="44"/>
      <c r="L2854" s="44"/>
      <c r="M2854" s="44"/>
      <c r="N2854" s="44"/>
      <c r="O2854" s="88"/>
      <c r="P2854" s="88"/>
    </row>
    <row r="2855" ht="15.0" customHeight="1">
      <c r="A2855" s="44"/>
      <c r="B2855" s="44"/>
      <c r="C2855" s="44"/>
      <c r="D2855" s="44"/>
      <c r="E2855" s="44"/>
      <c r="F2855" s="44"/>
      <c r="G2855" s="11"/>
      <c r="H2855" s="11"/>
      <c r="I2855" s="44"/>
      <c r="J2855" s="114"/>
      <c r="K2855" s="44"/>
      <c r="L2855" s="44"/>
      <c r="M2855" s="44"/>
      <c r="N2855" s="44"/>
      <c r="O2855" s="88"/>
      <c r="P2855" s="88"/>
    </row>
    <row r="2856" ht="15.0" customHeight="1">
      <c r="A2856" s="44"/>
      <c r="B2856" s="44"/>
      <c r="C2856" s="44"/>
      <c r="D2856" s="44"/>
      <c r="E2856" s="44"/>
      <c r="F2856" s="44"/>
      <c r="G2856" s="11"/>
      <c r="H2856" s="11"/>
      <c r="I2856" s="44"/>
      <c r="J2856" s="114"/>
      <c r="K2856" s="44"/>
      <c r="L2856" s="44"/>
      <c r="M2856" s="44"/>
      <c r="N2856" s="44"/>
      <c r="O2856" s="88"/>
      <c r="P2856" s="88"/>
    </row>
    <row r="2857" ht="15.0" customHeight="1">
      <c r="A2857" s="44"/>
      <c r="B2857" s="44"/>
      <c r="C2857" s="44"/>
      <c r="D2857" s="44"/>
      <c r="E2857" s="44"/>
      <c r="F2857" s="44"/>
      <c r="G2857" s="11"/>
      <c r="H2857" s="11"/>
      <c r="I2857" s="44"/>
      <c r="J2857" s="114"/>
      <c r="K2857" s="44"/>
      <c r="L2857" s="44"/>
      <c r="M2857" s="44"/>
      <c r="N2857" s="44"/>
      <c r="O2857" s="88"/>
      <c r="P2857" s="88"/>
    </row>
    <row r="2858" ht="15.0" customHeight="1">
      <c r="A2858" s="44"/>
      <c r="B2858" s="44"/>
      <c r="C2858" s="44"/>
      <c r="D2858" s="44"/>
      <c r="E2858" s="44"/>
      <c r="F2858" s="44"/>
      <c r="G2858" s="11"/>
      <c r="H2858" s="11"/>
      <c r="I2858" s="44"/>
      <c r="J2858" s="114"/>
      <c r="K2858" s="44"/>
      <c r="L2858" s="44"/>
      <c r="M2858" s="44"/>
      <c r="N2858" s="44"/>
      <c r="O2858" s="88"/>
      <c r="P2858" s="88"/>
    </row>
    <row r="2859" ht="15.0" customHeight="1">
      <c r="A2859" s="44"/>
      <c r="B2859" s="44"/>
      <c r="C2859" s="44"/>
      <c r="D2859" s="44"/>
      <c r="E2859" s="44"/>
      <c r="F2859" s="44"/>
      <c r="G2859" s="11"/>
      <c r="H2859" s="11"/>
      <c r="I2859" s="44"/>
      <c r="J2859" s="114"/>
      <c r="K2859" s="44"/>
      <c r="L2859" s="44"/>
      <c r="M2859" s="44"/>
      <c r="N2859" s="44"/>
      <c r="O2859" s="88"/>
      <c r="P2859" s="88"/>
    </row>
    <row r="2860" ht="15.0" customHeight="1">
      <c r="A2860" s="44"/>
      <c r="B2860" s="44"/>
      <c r="C2860" s="44"/>
      <c r="D2860" s="44"/>
      <c r="E2860" s="44"/>
      <c r="F2860" s="44"/>
      <c r="G2860" s="11"/>
      <c r="H2860" s="11"/>
      <c r="I2860" s="44"/>
      <c r="J2860" s="114"/>
      <c r="K2860" s="44"/>
      <c r="L2860" s="44"/>
      <c r="M2860" s="44"/>
      <c r="N2860" s="44"/>
      <c r="O2860" s="88"/>
      <c r="P2860" s="88"/>
    </row>
    <row r="2861" ht="15.0" customHeight="1">
      <c r="A2861" s="44"/>
      <c r="B2861" s="44"/>
      <c r="C2861" s="44"/>
      <c r="D2861" s="44"/>
      <c r="E2861" s="44"/>
      <c r="F2861" s="44"/>
      <c r="G2861" s="11"/>
      <c r="H2861" s="11"/>
      <c r="I2861" s="44"/>
      <c r="J2861" s="114"/>
      <c r="K2861" s="44"/>
      <c r="L2861" s="44"/>
      <c r="M2861" s="44"/>
      <c r="N2861" s="44"/>
      <c r="O2861" s="88"/>
      <c r="P2861" s="88"/>
    </row>
    <row r="2862" ht="15.0" customHeight="1">
      <c r="A2862" s="44"/>
      <c r="B2862" s="44"/>
      <c r="C2862" s="44"/>
      <c r="D2862" s="44"/>
      <c r="E2862" s="44"/>
      <c r="F2862" s="44"/>
      <c r="G2862" s="11"/>
      <c r="H2862" s="11"/>
      <c r="I2862" s="44"/>
      <c r="J2862" s="114"/>
      <c r="K2862" s="44"/>
      <c r="L2862" s="44"/>
      <c r="M2862" s="44"/>
      <c r="N2862" s="44"/>
      <c r="O2862" s="88"/>
      <c r="P2862" s="88"/>
    </row>
    <row r="2863" ht="15.0" customHeight="1">
      <c r="A2863" s="44"/>
      <c r="B2863" s="44"/>
      <c r="C2863" s="44"/>
      <c r="D2863" s="44"/>
      <c r="E2863" s="44"/>
      <c r="F2863" s="44"/>
      <c r="G2863" s="11"/>
      <c r="H2863" s="11"/>
      <c r="I2863" s="44"/>
      <c r="J2863" s="114"/>
      <c r="K2863" s="44"/>
      <c r="L2863" s="44"/>
      <c r="M2863" s="44"/>
      <c r="N2863" s="44"/>
      <c r="O2863" s="88"/>
      <c r="P2863" s="88"/>
    </row>
    <row r="2864" ht="15.0" customHeight="1">
      <c r="A2864" s="44"/>
      <c r="B2864" s="44"/>
      <c r="C2864" s="44"/>
      <c r="D2864" s="44"/>
      <c r="E2864" s="44"/>
      <c r="F2864" s="44"/>
      <c r="G2864" s="11"/>
      <c r="H2864" s="11"/>
      <c r="I2864" s="44"/>
      <c r="J2864" s="114"/>
      <c r="K2864" s="44"/>
      <c r="L2864" s="44"/>
      <c r="M2864" s="44"/>
      <c r="N2864" s="44"/>
      <c r="O2864" s="88"/>
      <c r="P2864" s="88"/>
    </row>
    <row r="2865" ht="15.0" customHeight="1">
      <c r="A2865" s="44"/>
      <c r="B2865" s="44"/>
      <c r="C2865" s="44"/>
      <c r="D2865" s="44"/>
      <c r="E2865" s="44"/>
      <c r="F2865" s="44"/>
      <c r="G2865" s="11"/>
      <c r="H2865" s="11"/>
      <c r="I2865" s="44"/>
      <c r="J2865" s="114"/>
      <c r="K2865" s="44"/>
      <c r="L2865" s="44"/>
      <c r="M2865" s="44"/>
      <c r="N2865" s="44"/>
      <c r="O2865" s="88"/>
      <c r="P2865" s="88"/>
    </row>
    <row r="2866" ht="15.0" customHeight="1">
      <c r="A2866" s="44"/>
      <c r="B2866" s="44"/>
      <c r="C2866" s="44"/>
      <c r="D2866" s="44"/>
      <c r="E2866" s="44"/>
      <c r="F2866" s="44"/>
      <c r="G2866" s="11"/>
      <c r="H2866" s="11"/>
      <c r="I2866" s="44"/>
      <c r="J2866" s="114"/>
      <c r="K2866" s="44"/>
      <c r="L2866" s="44"/>
      <c r="M2866" s="44"/>
      <c r="N2866" s="44"/>
      <c r="O2866" s="88"/>
      <c r="P2866" s="88"/>
    </row>
    <row r="2867" ht="15.0" customHeight="1">
      <c r="A2867" s="44"/>
      <c r="B2867" s="44"/>
      <c r="C2867" s="44"/>
      <c r="D2867" s="44"/>
      <c r="E2867" s="44"/>
      <c r="F2867" s="44"/>
      <c r="G2867" s="11"/>
      <c r="H2867" s="11"/>
      <c r="I2867" s="44"/>
      <c r="J2867" s="114"/>
      <c r="K2867" s="44"/>
      <c r="L2867" s="44"/>
      <c r="M2867" s="44"/>
      <c r="N2867" s="44"/>
      <c r="O2867" s="88"/>
      <c r="P2867" s="88"/>
    </row>
    <row r="2868" ht="15.0" customHeight="1">
      <c r="A2868" s="44"/>
      <c r="B2868" s="44"/>
      <c r="C2868" s="44"/>
      <c r="D2868" s="44"/>
      <c r="E2868" s="44"/>
      <c r="F2868" s="44"/>
      <c r="G2868" s="11"/>
      <c r="H2868" s="11"/>
      <c r="I2868" s="44"/>
      <c r="J2868" s="114"/>
      <c r="K2868" s="44"/>
      <c r="L2868" s="44"/>
      <c r="M2868" s="44"/>
      <c r="N2868" s="44"/>
      <c r="O2868" s="88"/>
      <c r="P2868" s="88"/>
    </row>
    <row r="2869" ht="15.0" customHeight="1">
      <c r="A2869" s="44"/>
      <c r="B2869" s="44"/>
      <c r="C2869" s="44"/>
      <c r="D2869" s="44"/>
      <c r="E2869" s="44"/>
      <c r="F2869" s="44"/>
      <c r="G2869" s="11"/>
      <c r="H2869" s="11"/>
      <c r="I2869" s="44"/>
      <c r="J2869" s="114"/>
      <c r="K2869" s="44"/>
      <c r="L2869" s="44"/>
      <c r="M2869" s="44"/>
      <c r="N2869" s="44"/>
      <c r="O2869" s="88"/>
      <c r="P2869" s="88"/>
    </row>
    <row r="2870" ht="15.0" customHeight="1">
      <c r="A2870" s="44"/>
      <c r="B2870" s="44"/>
      <c r="C2870" s="44"/>
      <c r="D2870" s="44"/>
      <c r="E2870" s="44"/>
      <c r="F2870" s="44"/>
      <c r="G2870" s="11"/>
      <c r="H2870" s="11"/>
      <c r="I2870" s="44"/>
      <c r="J2870" s="114"/>
      <c r="K2870" s="44"/>
      <c r="L2870" s="44"/>
      <c r="M2870" s="44"/>
      <c r="N2870" s="44"/>
      <c r="O2870" s="88"/>
      <c r="P2870" s="88"/>
    </row>
    <row r="2871" ht="15.0" customHeight="1">
      <c r="A2871" s="44"/>
      <c r="B2871" s="44"/>
      <c r="C2871" s="44"/>
      <c r="D2871" s="44"/>
      <c r="E2871" s="44"/>
      <c r="F2871" s="44"/>
      <c r="G2871" s="11"/>
      <c r="H2871" s="11"/>
      <c r="I2871" s="44"/>
      <c r="J2871" s="114"/>
      <c r="K2871" s="44"/>
      <c r="L2871" s="44"/>
      <c r="M2871" s="44"/>
      <c r="N2871" s="44"/>
      <c r="O2871" s="88"/>
      <c r="P2871" s="88"/>
    </row>
    <row r="2872" ht="15.0" customHeight="1">
      <c r="A2872" s="44"/>
      <c r="B2872" s="44"/>
      <c r="C2872" s="44"/>
      <c r="D2872" s="44"/>
      <c r="E2872" s="44"/>
      <c r="F2872" s="44"/>
      <c r="G2872" s="11"/>
      <c r="H2872" s="11"/>
      <c r="I2872" s="44"/>
      <c r="J2872" s="114"/>
      <c r="K2872" s="44"/>
      <c r="L2872" s="44"/>
      <c r="M2872" s="44"/>
      <c r="N2872" s="44"/>
      <c r="O2872" s="88"/>
      <c r="P2872" s="88"/>
    </row>
    <row r="2873" ht="15.0" customHeight="1">
      <c r="A2873" s="44"/>
      <c r="B2873" s="44"/>
      <c r="C2873" s="44"/>
      <c r="D2873" s="44"/>
      <c r="E2873" s="44"/>
      <c r="F2873" s="44"/>
      <c r="G2873" s="11"/>
      <c r="H2873" s="11"/>
      <c r="I2873" s="44"/>
      <c r="J2873" s="114"/>
      <c r="K2873" s="44"/>
      <c r="L2873" s="44"/>
      <c r="M2873" s="44"/>
      <c r="N2873" s="44"/>
      <c r="O2873" s="88"/>
      <c r="P2873" s="88"/>
    </row>
    <row r="2874" ht="15.0" customHeight="1">
      <c r="A2874" s="44"/>
      <c r="B2874" s="44"/>
      <c r="C2874" s="44"/>
      <c r="D2874" s="44"/>
      <c r="E2874" s="44"/>
      <c r="F2874" s="44"/>
      <c r="G2874" s="11"/>
      <c r="H2874" s="11"/>
      <c r="I2874" s="44"/>
      <c r="J2874" s="114"/>
      <c r="K2874" s="44"/>
      <c r="L2874" s="44"/>
      <c r="M2874" s="44"/>
      <c r="N2874" s="44"/>
      <c r="O2874" s="88"/>
      <c r="P2874" s="88"/>
    </row>
    <row r="2875" ht="15.0" customHeight="1">
      <c r="A2875" s="44"/>
      <c r="B2875" s="44"/>
      <c r="C2875" s="44"/>
      <c r="D2875" s="44"/>
      <c r="E2875" s="44"/>
      <c r="F2875" s="44"/>
      <c r="G2875" s="11"/>
      <c r="H2875" s="11"/>
      <c r="I2875" s="44"/>
      <c r="J2875" s="114"/>
      <c r="K2875" s="44"/>
      <c r="L2875" s="44"/>
      <c r="M2875" s="44"/>
      <c r="N2875" s="44"/>
      <c r="O2875" s="88"/>
      <c r="P2875" s="88"/>
    </row>
    <row r="2876" ht="15.0" customHeight="1">
      <c r="A2876" s="44"/>
      <c r="B2876" s="44"/>
      <c r="C2876" s="44"/>
      <c r="D2876" s="44"/>
      <c r="E2876" s="44"/>
      <c r="F2876" s="44"/>
      <c r="G2876" s="11"/>
      <c r="H2876" s="11"/>
      <c r="I2876" s="44"/>
      <c r="J2876" s="114"/>
      <c r="K2876" s="44"/>
      <c r="L2876" s="44"/>
      <c r="M2876" s="44"/>
      <c r="N2876" s="44"/>
      <c r="O2876" s="88"/>
      <c r="P2876" s="88"/>
    </row>
    <row r="2877" ht="15.0" customHeight="1">
      <c r="A2877" s="44"/>
      <c r="B2877" s="44"/>
      <c r="C2877" s="44"/>
      <c r="D2877" s="44"/>
      <c r="E2877" s="44"/>
      <c r="F2877" s="44"/>
      <c r="G2877" s="11"/>
      <c r="H2877" s="11"/>
      <c r="I2877" s="44"/>
      <c r="J2877" s="114"/>
      <c r="K2877" s="44"/>
      <c r="L2877" s="44"/>
      <c r="M2877" s="44"/>
      <c r="N2877" s="44"/>
      <c r="O2877" s="88"/>
      <c r="P2877" s="88"/>
    </row>
    <row r="2878" ht="15.0" customHeight="1">
      <c r="A2878" s="44"/>
      <c r="B2878" s="44"/>
      <c r="C2878" s="44"/>
      <c r="D2878" s="44"/>
      <c r="E2878" s="44"/>
      <c r="F2878" s="44"/>
      <c r="G2878" s="11"/>
      <c r="H2878" s="11"/>
      <c r="I2878" s="44"/>
      <c r="J2878" s="114"/>
      <c r="K2878" s="44"/>
      <c r="L2878" s="44"/>
      <c r="M2878" s="44"/>
      <c r="N2878" s="44"/>
      <c r="O2878" s="88"/>
      <c r="P2878" s="88"/>
    </row>
    <row r="2879" ht="15.0" customHeight="1">
      <c r="A2879" s="44"/>
      <c r="B2879" s="44"/>
      <c r="C2879" s="44"/>
      <c r="D2879" s="44"/>
      <c r="E2879" s="44"/>
      <c r="F2879" s="44"/>
      <c r="G2879" s="11"/>
      <c r="H2879" s="11"/>
      <c r="I2879" s="44"/>
      <c r="J2879" s="114"/>
      <c r="K2879" s="44"/>
      <c r="L2879" s="44"/>
      <c r="M2879" s="44"/>
      <c r="N2879" s="44"/>
      <c r="O2879" s="88"/>
      <c r="P2879" s="88"/>
    </row>
    <row r="2880" ht="15.0" customHeight="1">
      <c r="A2880" s="44"/>
      <c r="B2880" s="44"/>
      <c r="C2880" s="44"/>
      <c r="D2880" s="44"/>
      <c r="E2880" s="44"/>
      <c r="F2880" s="44"/>
      <c r="G2880" s="11"/>
      <c r="H2880" s="11"/>
      <c r="I2880" s="44"/>
      <c r="J2880" s="114"/>
      <c r="K2880" s="44"/>
      <c r="L2880" s="44"/>
      <c r="M2880" s="44"/>
      <c r="N2880" s="44"/>
      <c r="O2880" s="88"/>
      <c r="P2880" s="88"/>
    </row>
    <row r="2881" ht="15.0" customHeight="1">
      <c r="A2881" s="44"/>
      <c r="B2881" s="44"/>
      <c r="C2881" s="44"/>
      <c r="D2881" s="44"/>
      <c r="E2881" s="44"/>
      <c r="F2881" s="44"/>
      <c r="G2881" s="11"/>
      <c r="H2881" s="11"/>
      <c r="I2881" s="44"/>
      <c r="J2881" s="114"/>
      <c r="K2881" s="44"/>
      <c r="L2881" s="44"/>
      <c r="M2881" s="44"/>
      <c r="N2881" s="44"/>
      <c r="O2881" s="88"/>
      <c r="P2881" s="88"/>
    </row>
    <row r="2882" ht="15.0" customHeight="1">
      <c r="A2882" s="44"/>
      <c r="B2882" s="44"/>
      <c r="C2882" s="44"/>
      <c r="D2882" s="44"/>
      <c r="E2882" s="44"/>
      <c r="F2882" s="44"/>
      <c r="G2882" s="11"/>
      <c r="H2882" s="11"/>
      <c r="I2882" s="44"/>
      <c r="J2882" s="114"/>
      <c r="K2882" s="44"/>
      <c r="L2882" s="44"/>
      <c r="M2882" s="44"/>
      <c r="N2882" s="44"/>
      <c r="O2882" s="88"/>
      <c r="P2882" s="88"/>
    </row>
    <row r="2883" ht="15.0" customHeight="1">
      <c r="A2883" s="44"/>
      <c r="B2883" s="44"/>
      <c r="C2883" s="44"/>
      <c r="D2883" s="44"/>
      <c r="E2883" s="44"/>
      <c r="F2883" s="44"/>
      <c r="G2883" s="11"/>
      <c r="H2883" s="11"/>
      <c r="I2883" s="44"/>
      <c r="J2883" s="114"/>
      <c r="K2883" s="44"/>
      <c r="L2883" s="44"/>
      <c r="M2883" s="44"/>
      <c r="N2883" s="44"/>
      <c r="O2883" s="88"/>
      <c r="P2883" s="88"/>
    </row>
    <row r="2884" ht="15.0" customHeight="1">
      <c r="A2884" s="44"/>
      <c r="B2884" s="44"/>
      <c r="C2884" s="44"/>
      <c r="D2884" s="44"/>
      <c r="E2884" s="44"/>
      <c r="F2884" s="44"/>
      <c r="G2884" s="11"/>
      <c r="H2884" s="11"/>
      <c r="I2884" s="44"/>
      <c r="J2884" s="114"/>
      <c r="K2884" s="44"/>
      <c r="L2884" s="44"/>
      <c r="M2884" s="44"/>
      <c r="N2884" s="44"/>
      <c r="O2884" s="88"/>
      <c r="P2884" s="88"/>
    </row>
    <row r="2885" ht="15.0" customHeight="1">
      <c r="A2885" s="44"/>
      <c r="B2885" s="44"/>
      <c r="C2885" s="44"/>
      <c r="D2885" s="44"/>
      <c r="E2885" s="44"/>
      <c r="F2885" s="44"/>
      <c r="G2885" s="11"/>
      <c r="H2885" s="11"/>
      <c r="I2885" s="44"/>
      <c r="J2885" s="114"/>
      <c r="K2885" s="44"/>
      <c r="L2885" s="44"/>
      <c r="M2885" s="44"/>
      <c r="N2885" s="44"/>
      <c r="O2885" s="88"/>
      <c r="P2885" s="88"/>
    </row>
    <row r="2886" ht="15.0" customHeight="1">
      <c r="A2886" s="44"/>
      <c r="B2886" s="44"/>
      <c r="C2886" s="44"/>
      <c r="D2886" s="44"/>
      <c r="E2886" s="44"/>
      <c r="F2886" s="44"/>
      <c r="G2886" s="11"/>
      <c r="H2886" s="11"/>
      <c r="I2886" s="44"/>
      <c r="J2886" s="114"/>
      <c r="K2886" s="44"/>
      <c r="L2886" s="44"/>
      <c r="M2886" s="44"/>
      <c r="N2886" s="44"/>
      <c r="O2886" s="88"/>
      <c r="P2886" s="88"/>
    </row>
    <row r="2887" ht="15.0" customHeight="1">
      <c r="A2887" s="44"/>
      <c r="B2887" s="44"/>
      <c r="C2887" s="44"/>
      <c r="D2887" s="44"/>
      <c r="E2887" s="44"/>
      <c r="F2887" s="44"/>
      <c r="G2887" s="11"/>
      <c r="H2887" s="11"/>
      <c r="I2887" s="44"/>
      <c r="J2887" s="114"/>
      <c r="K2887" s="44"/>
      <c r="L2887" s="44"/>
      <c r="M2887" s="44"/>
      <c r="N2887" s="44"/>
      <c r="O2887" s="88"/>
      <c r="P2887" s="88"/>
    </row>
    <row r="2888" ht="15.0" customHeight="1">
      <c r="A2888" s="44"/>
      <c r="B2888" s="44"/>
      <c r="C2888" s="44"/>
      <c r="D2888" s="44"/>
      <c r="E2888" s="44"/>
      <c r="F2888" s="44"/>
      <c r="G2888" s="11"/>
      <c r="H2888" s="11"/>
      <c r="I2888" s="44"/>
      <c r="J2888" s="114"/>
      <c r="K2888" s="44"/>
      <c r="L2888" s="44"/>
      <c r="M2888" s="44"/>
      <c r="N2888" s="44"/>
      <c r="O2888" s="88"/>
      <c r="P2888" s="88"/>
    </row>
    <row r="2889" ht="15.0" customHeight="1">
      <c r="A2889" s="44"/>
      <c r="B2889" s="44"/>
      <c r="C2889" s="44"/>
      <c r="D2889" s="44"/>
      <c r="E2889" s="44"/>
      <c r="F2889" s="44"/>
      <c r="G2889" s="11"/>
      <c r="H2889" s="11"/>
      <c r="I2889" s="44"/>
      <c r="J2889" s="114"/>
      <c r="K2889" s="44"/>
      <c r="L2889" s="44"/>
      <c r="M2889" s="44"/>
      <c r="N2889" s="44"/>
      <c r="O2889" s="88"/>
      <c r="P2889" s="88"/>
    </row>
    <row r="2890" ht="15.0" customHeight="1">
      <c r="A2890" s="44"/>
      <c r="B2890" s="44"/>
      <c r="C2890" s="44"/>
      <c r="D2890" s="44"/>
      <c r="E2890" s="44"/>
      <c r="F2890" s="44"/>
      <c r="G2890" s="11"/>
      <c r="H2890" s="11"/>
      <c r="I2890" s="44"/>
      <c r="J2890" s="114"/>
      <c r="K2890" s="44"/>
      <c r="L2890" s="44"/>
      <c r="M2890" s="44"/>
      <c r="N2890" s="44"/>
      <c r="O2890" s="88"/>
      <c r="P2890" s="88"/>
    </row>
    <row r="2891" ht="15.0" customHeight="1">
      <c r="A2891" s="44"/>
      <c r="B2891" s="44"/>
      <c r="C2891" s="44"/>
      <c r="D2891" s="44"/>
      <c r="E2891" s="44"/>
      <c r="F2891" s="44"/>
      <c r="G2891" s="11"/>
      <c r="H2891" s="11"/>
      <c r="I2891" s="44"/>
      <c r="J2891" s="114"/>
      <c r="K2891" s="44"/>
      <c r="L2891" s="44"/>
      <c r="M2891" s="44"/>
      <c r="N2891" s="44"/>
      <c r="O2891" s="88"/>
      <c r="P2891" s="88"/>
    </row>
    <row r="2892" ht="15.0" customHeight="1">
      <c r="A2892" s="44"/>
      <c r="B2892" s="44"/>
      <c r="C2892" s="44"/>
      <c r="D2892" s="44"/>
      <c r="E2892" s="44"/>
      <c r="F2892" s="44"/>
      <c r="G2892" s="11"/>
      <c r="H2892" s="11"/>
      <c r="I2892" s="44"/>
      <c r="J2892" s="114"/>
      <c r="K2892" s="44"/>
      <c r="L2892" s="44"/>
      <c r="M2892" s="44"/>
      <c r="N2892" s="44"/>
      <c r="O2892" s="88"/>
      <c r="P2892" s="88"/>
    </row>
    <row r="2893" ht="15.0" customHeight="1">
      <c r="A2893" s="44"/>
      <c r="B2893" s="44"/>
      <c r="C2893" s="44"/>
      <c r="D2893" s="44"/>
      <c r="E2893" s="44"/>
      <c r="F2893" s="44"/>
      <c r="G2893" s="11"/>
      <c r="H2893" s="11"/>
      <c r="I2893" s="44"/>
      <c r="J2893" s="114"/>
      <c r="K2893" s="44"/>
      <c r="L2893" s="44"/>
      <c r="M2893" s="44"/>
      <c r="N2893" s="44"/>
      <c r="O2893" s="88"/>
      <c r="P2893" s="88"/>
    </row>
    <row r="2894" ht="15.0" customHeight="1">
      <c r="A2894" s="44"/>
      <c r="B2894" s="44"/>
      <c r="C2894" s="44"/>
      <c r="D2894" s="44"/>
      <c r="E2894" s="44"/>
      <c r="F2894" s="44"/>
      <c r="G2894" s="11"/>
      <c r="H2894" s="11"/>
      <c r="I2894" s="44"/>
      <c r="J2894" s="114"/>
      <c r="K2894" s="44"/>
      <c r="L2894" s="44"/>
      <c r="M2894" s="44"/>
      <c r="N2894" s="44"/>
      <c r="O2894" s="88"/>
      <c r="P2894" s="88"/>
    </row>
    <row r="2895" ht="15.0" customHeight="1">
      <c r="A2895" s="44"/>
      <c r="B2895" s="44"/>
      <c r="C2895" s="44"/>
      <c r="D2895" s="44"/>
      <c r="E2895" s="44"/>
      <c r="F2895" s="44"/>
      <c r="G2895" s="11"/>
      <c r="H2895" s="11"/>
      <c r="I2895" s="44"/>
      <c r="J2895" s="114"/>
      <c r="K2895" s="44"/>
      <c r="L2895" s="44"/>
      <c r="M2895" s="44"/>
      <c r="N2895" s="44"/>
      <c r="O2895" s="88"/>
      <c r="P2895" s="88"/>
    </row>
    <row r="2896" ht="15.0" customHeight="1">
      <c r="A2896" s="44"/>
      <c r="B2896" s="44"/>
      <c r="C2896" s="44"/>
      <c r="D2896" s="44"/>
      <c r="E2896" s="44"/>
      <c r="F2896" s="44"/>
      <c r="G2896" s="11"/>
      <c r="H2896" s="11"/>
      <c r="I2896" s="44"/>
      <c r="J2896" s="114"/>
      <c r="K2896" s="44"/>
      <c r="L2896" s="44"/>
      <c r="M2896" s="44"/>
      <c r="N2896" s="44"/>
      <c r="O2896" s="88"/>
      <c r="P2896" s="88"/>
    </row>
    <row r="2897" ht="15.0" customHeight="1">
      <c r="A2897" s="44"/>
      <c r="B2897" s="44"/>
      <c r="C2897" s="44"/>
      <c r="D2897" s="44"/>
      <c r="E2897" s="44"/>
      <c r="F2897" s="44"/>
      <c r="G2897" s="11"/>
      <c r="H2897" s="11"/>
      <c r="I2897" s="44"/>
      <c r="J2897" s="114"/>
      <c r="K2897" s="44"/>
      <c r="L2897" s="44"/>
      <c r="M2897" s="44"/>
      <c r="N2897" s="44"/>
      <c r="O2897" s="88"/>
      <c r="P2897" s="88"/>
    </row>
    <row r="2898" ht="15.0" customHeight="1">
      <c r="A2898" s="44"/>
      <c r="B2898" s="44"/>
      <c r="C2898" s="44"/>
      <c r="D2898" s="44"/>
      <c r="E2898" s="44"/>
      <c r="F2898" s="44"/>
      <c r="G2898" s="11"/>
      <c r="H2898" s="11"/>
      <c r="I2898" s="44"/>
      <c r="J2898" s="114"/>
      <c r="K2898" s="44"/>
      <c r="L2898" s="44"/>
      <c r="M2898" s="44"/>
      <c r="N2898" s="44"/>
      <c r="O2898" s="88"/>
      <c r="P2898" s="88"/>
    </row>
    <row r="2899" ht="15.0" customHeight="1">
      <c r="A2899" s="44"/>
      <c r="B2899" s="44"/>
      <c r="C2899" s="44"/>
      <c r="D2899" s="44"/>
      <c r="E2899" s="44"/>
      <c r="F2899" s="44"/>
      <c r="G2899" s="11"/>
      <c r="H2899" s="11"/>
      <c r="I2899" s="44"/>
      <c r="J2899" s="114"/>
      <c r="K2899" s="44"/>
      <c r="L2899" s="44"/>
      <c r="M2899" s="44"/>
      <c r="N2899" s="44"/>
      <c r="O2899" s="88"/>
      <c r="P2899" s="88"/>
    </row>
    <row r="2900" ht="15.0" customHeight="1">
      <c r="A2900" s="44"/>
      <c r="B2900" s="44"/>
      <c r="C2900" s="44"/>
      <c r="D2900" s="44"/>
      <c r="E2900" s="44"/>
      <c r="F2900" s="44"/>
      <c r="G2900" s="11"/>
      <c r="H2900" s="11"/>
      <c r="I2900" s="44"/>
      <c r="J2900" s="114"/>
      <c r="K2900" s="44"/>
      <c r="L2900" s="44"/>
      <c r="M2900" s="44"/>
      <c r="N2900" s="44"/>
      <c r="O2900" s="88"/>
      <c r="P2900" s="88"/>
    </row>
    <row r="2901" ht="15.0" customHeight="1">
      <c r="A2901" s="44"/>
      <c r="B2901" s="44"/>
      <c r="C2901" s="44"/>
      <c r="D2901" s="44"/>
      <c r="E2901" s="44"/>
      <c r="F2901" s="44"/>
      <c r="G2901" s="11"/>
      <c r="H2901" s="11"/>
      <c r="I2901" s="44"/>
      <c r="J2901" s="114"/>
      <c r="K2901" s="44"/>
      <c r="L2901" s="44"/>
      <c r="M2901" s="44"/>
      <c r="N2901" s="44"/>
      <c r="O2901" s="88"/>
      <c r="P2901" s="88"/>
    </row>
    <row r="2902" ht="15.0" customHeight="1">
      <c r="A2902" s="44"/>
      <c r="B2902" s="44"/>
      <c r="C2902" s="44"/>
      <c r="D2902" s="44"/>
      <c r="E2902" s="44"/>
      <c r="F2902" s="44"/>
      <c r="G2902" s="11"/>
      <c r="H2902" s="11"/>
      <c r="I2902" s="44"/>
      <c r="J2902" s="114"/>
      <c r="K2902" s="44"/>
      <c r="L2902" s="44"/>
      <c r="M2902" s="44"/>
      <c r="N2902" s="44"/>
      <c r="O2902" s="88"/>
      <c r="P2902" s="88"/>
    </row>
    <row r="2903" ht="15.0" customHeight="1">
      <c r="A2903" s="44"/>
      <c r="B2903" s="44"/>
      <c r="C2903" s="44"/>
      <c r="D2903" s="44"/>
      <c r="E2903" s="44"/>
      <c r="F2903" s="44"/>
      <c r="G2903" s="11"/>
      <c r="H2903" s="11"/>
      <c r="I2903" s="44"/>
      <c r="J2903" s="114"/>
      <c r="K2903" s="44"/>
      <c r="L2903" s="44"/>
      <c r="M2903" s="44"/>
      <c r="N2903" s="44"/>
      <c r="O2903" s="88"/>
      <c r="P2903" s="88"/>
    </row>
    <row r="2904" ht="15.0" customHeight="1">
      <c r="A2904" s="44"/>
      <c r="B2904" s="44"/>
      <c r="C2904" s="44"/>
      <c r="D2904" s="44"/>
      <c r="E2904" s="44"/>
      <c r="F2904" s="44"/>
      <c r="G2904" s="11"/>
      <c r="H2904" s="11"/>
      <c r="I2904" s="44"/>
      <c r="J2904" s="114"/>
      <c r="K2904" s="44"/>
      <c r="L2904" s="44"/>
      <c r="M2904" s="44"/>
      <c r="N2904" s="44"/>
      <c r="O2904" s="88"/>
      <c r="P2904" s="88"/>
    </row>
    <row r="2905" ht="15.0" customHeight="1">
      <c r="A2905" s="44"/>
      <c r="B2905" s="44"/>
      <c r="C2905" s="44"/>
      <c r="D2905" s="44"/>
      <c r="E2905" s="44"/>
      <c r="F2905" s="44"/>
      <c r="G2905" s="11"/>
      <c r="H2905" s="11"/>
      <c r="I2905" s="44"/>
      <c r="J2905" s="114"/>
      <c r="K2905" s="44"/>
      <c r="L2905" s="44"/>
      <c r="M2905" s="44"/>
      <c r="N2905" s="44"/>
      <c r="O2905" s="88"/>
      <c r="P2905" s="88"/>
    </row>
    <row r="2906" ht="15.0" customHeight="1">
      <c r="A2906" s="44"/>
      <c r="B2906" s="44"/>
      <c r="C2906" s="44"/>
      <c r="D2906" s="44"/>
      <c r="E2906" s="44"/>
      <c r="F2906" s="44"/>
      <c r="G2906" s="11"/>
      <c r="H2906" s="11"/>
      <c r="I2906" s="44"/>
      <c r="J2906" s="114"/>
      <c r="K2906" s="44"/>
      <c r="L2906" s="44"/>
      <c r="M2906" s="44"/>
      <c r="N2906" s="44"/>
      <c r="O2906" s="88"/>
      <c r="P2906" s="88"/>
    </row>
    <row r="2907" ht="15.0" customHeight="1">
      <c r="A2907" s="44"/>
      <c r="B2907" s="44"/>
      <c r="C2907" s="44"/>
      <c r="D2907" s="44"/>
      <c r="E2907" s="44"/>
      <c r="F2907" s="44"/>
      <c r="G2907" s="11"/>
      <c r="H2907" s="11"/>
      <c r="I2907" s="44"/>
      <c r="J2907" s="114"/>
      <c r="K2907" s="44"/>
      <c r="L2907" s="44"/>
      <c r="M2907" s="44"/>
      <c r="N2907" s="44"/>
      <c r="O2907" s="88"/>
      <c r="P2907" s="88"/>
    </row>
    <row r="2908" ht="15.0" customHeight="1">
      <c r="A2908" s="44"/>
      <c r="B2908" s="44"/>
      <c r="C2908" s="44"/>
      <c r="D2908" s="44"/>
      <c r="E2908" s="44"/>
      <c r="F2908" s="44"/>
      <c r="G2908" s="11"/>
      <c r="H2908" s="11"/>
      <c r="I2908" s="44"/>
      <c r="J2908" s="114"/>
      <c r="K2908" s="44"/>
      <c r="L2908" s="44"/>
      <c r="M2908" s="44"/>
      <c r="N2908" s="44"/>
      <c r="O2908" s="88"/>
      <c r="P2908" s="88"/>
    </row>
    <row r="2909" ht="15.0" customHeight="1">
      <c r="A2909" s="44"/>
      <c r="B2909" s="44"/>
      <c r="C2909" s="44"/>
      <c r="D2909" s="44"/>
      <c r="E2909" s="44"/>
      <c r="F2909" s="44"/>
      <c r="G2909" s="11"/>
      <c r="H2909" s="11"/>
      <c r="I2909" s="44"/>
      <c r="J2909" s="114"/>
      <c r="K2909" s="44"/>
      <c r="L2909" s="44"/>
      <c r="M2909" s="44"/>
      <c r="N2909" s="44"/>
      <c r="O2909" s="88"/>
      <c r="P2909" s="88"/>
    </row>
    <row r="2910" ht="15.0" customHeight="1">
      <c r="A2910" s="44"/>
      <c r="B2910" s="44"/>
      <c r="C2910" s="44"/>
      <c r="D2910" s="44"/>
      <c r="E2910" s="44"/>
      <c r="F2910" s="44"/>
      <c r="G2910" s="11"/>
      <c r="H2910" s="11"/>
      <c r="I2910" s="44"/>
      <c r="J2910" s="114"/>
      <c r="K2910" s="44"/>
      <c r="L2910" s="44"/>
      <c r="M2910" s="44"/>
      <c r="N2910" s="44"/>
      <c r="O2910" s="88"/>
      <c r="P2910" s="88"/>
    </row>
    <row r="2911" ht="15.0" customHeight="1">
      <c r="A2911" s="44"/>
      <c r="B2911" s="44"/>
      <c r="C2911" s="44"/>
      <c r="D2911" s="44"/>
      <c r="E2911" s="44"/>
      <c r="F2911" s="44"/>
      <c r="G2911" s="11"/>
      <c r="H2911" s="11"/>
      <c r="I2911" s="44"/>
      <c r="J2911" s="114"/>
      <c r="K2911" s="44"/>
      <c r="L2911" s="44"/>
      <c r="M2911" s="44"/>
      <c r="N2911" s="44"/>
      <c r="O2911" s="88"/>
      <c r="P2911" s="88"/>
    </row>
    <row r="2912" ht="15.0" customHeight="1">
      <c r="A2912" s="44"/>
      <c r="B2912" s="44"/>
      <c r="C2912" s="44"/>
      <c r="D2912" s="44"/>
      <c r="E2912" s="44"/>
      <c r="F2912" s="44"/>
      <c r="G2912" s="11"/>
      <c r="H2912" s="11"/>
      <c r="I2912" s="44"/>
      <c r="J2912" s="114"/>
      <c r="K2912" s="44"/>
      <c r="L2912" s="44"/>
      <c r="M2912" s="44"/>
      <c r="N2912" s="44"/>
      <c r="O2912" s="88"/>
      <c r="P2912" s="88"/>
    </row>
    <row r="2913" ht="15.0" customHeight="1">
      <c r="A2913" s="44"/>
      <c r="B2913" s="44"/>
      <c r="C2913" s="44"/>
      <c r="D2913" s="44"/>
      <c r="E2913" s="44"/>
      <c r="F2913" s="44"/>
      <c r="G2913" s="11"/>
      <c r="H2913" s="11"/>
      <c r="I2913" s="44"/>
      <c r="J2913" s="114"/>
      <c r="K2913" s="44"/>
      <c r="L2913" s="44"/>
      <c r="M2913" s="44"/>
      <c r="N2913" s="44"/>
      <c r="O2913" s="88"/>
      <c r="P2913" s="88"/>
    </row>
    <row r="2914" ht="15.0" customHeight="1">
      <c r="A2914" s="44"/>
      <c r="B2914" s="44"/>
      <c r="C2914" s="44"/>
      <c r="D2914" s="44"/>
      <c r="E2914" s="44"/>
      <c r="F2914" s="44"/>
      <c r="G2914" s="11"/>
      <c r="H2914" s="11"/>
      <c r="I2914" s="44"/>
      <c r="J2914" s="114"/>
      <c r="K2914" s="44"/>
      <c r="L2914" s="44"/>
      <c r="M2914" s="44"/>
      <c r="N2914" s="44"/>
      <c r="O2914" s="88"/>
      <c r="P2914" s="88"/>
    </row>
    <row r="2915" ht="15.0" customHeight="1">
      <c r="A2915" s="44"/>
      <c r="B2915" s="44"/>
      <c r="C2915" s="44"/>
      <c r="D2915" s="44"/>
      <c r="E2915" s="44"/>
      <c r="F2915" s="44"/>
      <c r="G2915" s="11"/>
      <c r="H2915" s="11"/>
      <c r="I2915" s="44"/>
      <c r="J2915" s="114"/>
      <c r="K2915" s="44"/>
      <c r="L2915" s="44"/>
      <c r="M2915" s="44"/>
      <c r="N2915" s="44"/>
      <c r="O2915" s="88"/>
      <c r="P2915" s="88"/>
    </row>
    <row r="2916" ht="15.0" customHeight="1">
      <c r="A2916" s="44"/>
      <c r="B2916" s="44"/>
      <c r="C2916" s="44"/>
      <c r="D2916" s="44"/>
      <c r="E2916" s="44"/>
      <c r="F2916" s="44"/>
      <c r="G2916" s="11"/>
      <c r="H2916" s="11"/>
      <c r="I2916" s="44"/>
      <c r="J2916" s="114"/>
      <c r="K2916" s="44"/>
      <c r="L2916" s="44"/>
      <c r="M2916" s="44"/>
      <c r="N2916" s="44"/>
      <c r="O2916" s="88"/>
      <c r="P2916" s="88"/>
    </row>
    <row r="2917" ht="15.0" customHeight="1">
      <c r="A2917" s="44"/>
      <c r="B2917" s="44"/>
      <c r="C2917" s="44"/>
      <c r="D2917" s="44"/>
      <c r="E2917" s="44"/>
      <c r="F2917" s="44"/>
      <c r="G2917" s="11"/>
      <c r="H2917" s="11"/>
      <c r="I2917" s="44"/>
      <c r="J2917" s="114"/>
      <c r="K2917" s="44"/>
      <c r="L2917" s="44"/>
      <c r="M2917" s="44"/>
      <c r="N2917" s="44"/>
      <c r="O2917" s="88"/>
      <c r="P2917" s="88"/>
    </row>
    <row r="2918" ht="15.0" customHeight="1">
      <c r="A2918" s="44"/>
      <c r="B2918" s="44"/>
      <c r="C2918" s="44"/>
      <c r="D2918" s="44"/>
      <c r="E2918" s="44"/>
      <c r="F2918" s="44"/>
      <c r="G2918" s="11"/>
      <c r="H2918" s="11"/>
      <c r="I2918" s="44"/>
      <c r="J2918" s="114"/>
      <c r="K2918" s="44"/>
      <c r="L2918" s="44"/>
      <c r="M2918" s="44"/>
      <c r="N2918" s="44"/>
      <c r="O2918" s="88"/>
      <c r="P2918" s="88"/>
    </row>
    <row r="2919" ht="15.0" customHeight="1">
      <c r="A2919" s="44"/>
      <c r="B2919" s="44"/>
      <c r="C2919" s="44"/>
      <c r="D2919" s="44"/>
      <c r="E2919" s="44"/>
      <c r="F2919" s="44"/>
      <c r="G2919" s="11"/>
      <c r="H2919" s="11"/>
      <c r="I2919" s="44"/>
      <c r="J2919" s="114"/>
      <c r="K2919" s="44"/>
      <c r="L2919" s="44"/>
      <c r="M2919" s="44"/>
      <c r="N2919" s="44"/>
      <c r="O2919" s="88"/>
      <c r="P2919" s="88"/>
    </row>
    <row r="2920" ht="15.0" customHeight="1">
      <c r="A2920" s="44"/>
      <c r="B2920" s="44"/>
      <c r="C2920" s="44"/>
      <c r="D2920" s="44"/>
      <c r="E2920" s="44"/>
      <c r="F2920" s="44"/>
      <c r="G2920" s="11"/>
      <c r="H2920" s="11"/>
      <c r="I2920" s="44"/>
      <c r="J2920" s="114"/>
      <c r="K2920" s="44"/>
      <c r="L2920" s="44"/>
      <c r="M2920" s="44"/>
      <c r="N2920" s="44"/>
      <c r="O2920" s="88"/>
      <c r="P2920" s="88"/>
    </row>
    <row r="2921" ht="15.0" customHeight="1">
      <c r="A2921" s="44"/>
      <c r="B2921" s="44"/>
      <c r="C2921" s="44"/>
      <c r="D2921" s="44"/>
      <c r="E2921" s="44"/>
      <c r="F2921" s="44"/>
      <c r="G2921" s="11"/>
      <c r="H2921" s="11"/>
      <c r="I2921" s="44"/>
      <c r="J2921" s="114"/>
      <c r="K2921" s="44"/>
      <c r="L2921" s="44"/>
      <c r="M2921" s="44"/>
      <c r="N2921" s="44"/>
      <c r="O2921" s="88"/>
      <c r="P2921" s="88"/>
    </row>
    <row r="2922" ht="15.0" customHeight="1">
      <c r="A2922" s="44"/>
      <c r="B2922" s="44"/>
      <c r="C2922" s="44"/>
      <c r="D2922" s="44"/>
      <c r="E2922" s="44"/>
      <c r="F2922" s="44"/>
      <c r="G2922" s="11"/>
      <c r="H2922" s="11"/>
      <c r="I2922" s="44"/>
      <c r="J2922" s="114"/>
      <c r="K2922" s="44"/>
      <c r="L2922" s="44"/>
      <c r="M2922" s="44"/>
      <c r="N2922" s="44"/>
      <c r="O2922" s="88"/>
      <c r="P2922" s="88"/>
    </row>
    <row r="2923" ht="15.0" customHeight="1">
      <c r="A2923" s="44"/>
      <c r="B2923" s="44"/>
      <c r="C2923" s="44"/>
      <c r="D2923" s="44"/>
      <c r="E2923" s="44"/>
      <c r="F2923" s="44"/>
      <c r="G2923" s="11"/>
      <c r="H2923" s="11"/>
      <c r="I2923" s="44"/>
      <c r="J2923" s="114"/>
      <c r="K2923" s="44"/>
      <c r="L2923" s="44"/>
      <c r="M2923" s="44"/>
      <c r="N2923" s="44"/>
      <c r="O2923" s="88"/>
      <c r="P2923" s="88"/>
    </row>
    <row r="2924" ht="15.0" customHeight="1">
      <c r="A2924" s="44"/>
      <c r="B2924" s="44"/>
      <c r="C2924" s="44"/>
      <c r="D2924" s="44"/>
      <c r="E2924" s="44"/>
      <c r="F2924" s="44"/>
      <c r="G2924" s="11"/>
      <c r="H2924" s="11"/>
      <c r="I2924" s="44"/>
      <c r="J2924" s="114"/>
      <c r="K2924" s="44"/>
      <c r="L2924" s="44"/>
      <c r="M2924" s="44"/>
      <c r="N2924" s="44"/>
      <c r="O2924" s="88"/>
      <c r="P2924" s="88"/>
    </row>
    <row r="2925" ht="15.0" customHeight="1">
      <c r="A2925" s="44"/>
      <c r="B2925" s="44"/>
      <c r="C2925" s="44"/>
      <c r="D2925" s="44"/>
      <c r="E2925" s="44"/>
      <c r="F2925" s="44"/>
      <c r="G2925" s="11"/>
      <c r="H2925" s="11"/>
      <c r="I2925" s="44"/>
      <c r="J2925" s="114"/>
      <c r="K2925" s="44"/>
      <c r="L2925" s="44"/>
      <c r="M2925" s="44"/>
      <c r="N2925" s="44"/>
      <c r="O2925" s="88"/>
      <c r="P2925" s="88"/>
    </row>
    <row r="2926" ht="15.0" customHeight="1">
      <c r="A2926" s="44"/>
      <c r="B2926" s="44"/>
      <c r="C2926" s="44"/>
      <c r="D2926" s="44"/>
      <c r="E2926" s="44"/>
      <c r="F2926" s="44"/>
      <c r="G2926" s="11"/>
      <c r="H2926" s="11"/>
      <c r="I2926" s="44"/>
      <c r="J2926" s="114"/>
      <c r="K2926" s="44"/>
      <c r="L2926" s="44"/>
      <c r="M2926" s="44"/>
      <c r="N2926" s="44"/>
      <c r="O2926" s="88"/>
      <c r="P2926" s="88"/>
    </row>
    <row r="2927" ht="15.0" customHeight="1">
      <c r="A2927" s="44"/>
      <c r="B2927" s="44"/>
      <c r="C2927" s="44"/>
      <c r="D2927" s="44"/>
      <c r="E2927" s="44"/>
      <c r="F2927" s="44"/>
      <c r="G2927" s="11"/>
      <c r="H2927" s="11"/>
      <c r="I2927" s="44"/>
      <c r="J2927" s="114"/>
      <c r="K2927" s="44"/>
      <c r="L2927" s="44"/>
      <c r="M2927" s="44"/>
      <c r="N2927" s="44"/>
      <c r="O2927" s="88"/>
      <c r="P2927" s="88"/>
    </row>
    <row r="2928" ht="15.0" customHeight="1">
      <c r="A2928" s="44"/>
      <c r="B2928" s="44"/>
      <c r="C2928" s="44"/>
      <c r="D2928" s="44"/>
      <c r="E2928" s="44"/>
      <c r="F2928" s="44"/>
      <c r="G2928" s="11"/>
      <c r="H2928" s="11"/>
      <c r="I2928" s="44"/>
      <c r="J2928" s="114"/>
      <c r="K2928" s="44"/>
      <c r="L2928" s="44"/>
      <c r="M2928" s="44"/>
      <c r="N2928" s="44"/>
      <c r="O2928" s="88"/>
      <c r="P2928" s="88"/>
    </row>
    <row r="2929" ht="15.0" customHeight="1">
      <c r="A2929" s="44"/>
      <c r="B2929" s="44"/>
      <c r="C2929" s="44"/>
      <c r="D2929" s="44"/>
      <c r="E2929" s="44"/>
      <c r="F2929" s="44"/>
      <c r="G2929" s="11"/>
      <c r="H2929" s="11"/>
      <c r="I2929" s="44"/>
      <c r="J2929" s="114"/>
      <c r="K2929" s="44"/>
      <c r="L2929" s="44"/>
      <c r="M2929" s="44"/>
      <c r="N2929" s="44"/>
      <c r="O2929" s="88"/>
      <c r="P2929" s="88"/>
    </row>
    <row r="2930" ht="15.0" customHeight="1">
      <c r="A2930" s="44"/>
      <c r="B2930" s="44"/>
      <c r="C2930" s="44"/>
      <c r="D2930" s="44"/>
      <c r="E2930" s="44"/>
      <c r="F2930" s="44"/>
      <c r="G2930" s="11"/>
      <c r="H2930" s="11"/>
      <c r="I2930" s="44"/>
      <c r="J2930" s="114"/>
      <c r="K2930" s="44"/>
      <c r="L2930" s="44"/>
      <c r="M2930" s="44"/>
      <c r="N2930" s="44"/>
      <c r="O2930" s="88"/>
      <c r="P2930" s="88"/>
    </row>
    <row r="2931" ht="15.0" customHeight="1">
      <c r="A2931" s="44"/>
      <c r="B2931" s="44"/>
      <c r="C2931" s="44"/>
      <c r="D2931" s="44"/>
      <c r="E2931" s="44"/>
      <c r="F2931" s="44"/>
      <c r="G2931" s="11"/>
      <c r="H2931" s="11"/>
      <c r="I2931" s="44"/>
      <c r="J2931" s="114"/>
      <c r="K2931" s="44"/>
      <c r="L2931" s="44"/>
      <c r="M2931" s="44"/>
      <c r="N2931" s="44"/>
      <c r="O2931" s="88"/>
      <c r="P2931" s="88"/>
    </row>
    <row r="2932" ht="15.0" customHeight="1">
      <c r="A2932" s="44"/>
      <c r="B2932" s="44"/>
      <c r="C2932" s="44"/>
      <c r="D2932" s="44"/>
      <c r="E2932" s="44"/>
      <c r="F2932" s="44"/>
      <c r="G2932" s="11"/>
      <c r="H2932" s="11"/>
      <c r="I2932" s="44"/>
      <c r="J2932" s="114"/>
      <c r="K2932" s="44"/>
      <c r="L2932" s="44"/>
      <c r="M2932" s="44"/>
      <c r="N2932" s="44"/>
      <c r="O2932" s="88"/>
      <c r="P2932" s="88"/>
    </row>
    <row r="2933" ht="15.0" customHeight="1">
      <c r="A2933" s="44"/>
      <c r="B2933" s="44"/>
      <c r="C2933" s="44"/>
      <c r="D2933" s="44"/>
      <c r="E2933" s="44"/>
      <c r="F2933" s="44"/>
      <c r="G2933" s="11"/>
      <c r="H2933" s="11"/>
      <c r="I2933" s="44"/>
      <c r="J2933" s="114"/>
      <c r="K2933" s="44"/>
      <c r="L2933" s="44"/>
      <c r="M2933" s="44"/>
      <c r="N2933" s="44"/>
      <c r="O2933" s="88"/>
      <c r="P2933" s="88"/>
    </row>
    <row r="2934" ht="15.0" customHeight="1">
      <c r="A2934" s="44"/>
      <c r="B2934" s="44"/>
      <c r="C2934" s="44"/>
      <c r="D2934" s="44"/>
      <c r="E2934" s="44"/>
      <c r="F2934" s="44"/>
      <c r="G2934" s="11"/>
      <c r="H2934" s="11"/>
      <c r="I2934" s="44"/>
      <c r="J2934" s="114"/>
      <c r="K2934" s="44"/>
      <c r="L2934" s="44"/>
      <c r="M2934" s="44"/>
      <c r="N2934" s="44"/>
      <c r="O2934" s="88"/>
      <c r="P2934" s="88"/>
    </row>
  </sheetData>
  <printOptions/>
  <pageMargins bottom="0.25" footer="0.0" header="0.0" left="0.25" right="0.25" top="0.2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29"/>
    <col customWidth="1" min="2" max="2" width="16.0"/>
    <col customWidth="1" min="3" max="3" width="24.71"/>
    <col customWidth="1" min="4" max="4" width="41.71"/>
    <col customWidth="1" min="5" max="5" width="3.43"/>
    <col customWidth="1" min="6" max="7" width="11.43"/>
    <col customWidth="1" min="8" max="8" width="10.0"/>
    <col customWidth="1" min="9" max="10" width="11.43"/>
    <col customWidth="1" min="11" max="11" width="10.57"/>
    <col customWidth="1" min="12" max="12" width="19.57"/>
    <col customWidth="1" min="13" max="13" width="8.43"/>
    <col customWidth="1" min="14" max="14" width="10.43"/>
    <col customWidth="1" min="15" max="15" width="16.57"/>
    <col customWidth="1" min="16" max="16" width="10.14"/>
    <col customWidth="1" min="17" max="17" width="9.57"/>
    <col customWidth="1" min="18" max="20" width="12.86"/>
    <col customWidth="1" min="21" max="21" width="9.57"/>
    <col customWidth="1" min="22" max="22" width="12.0"/>
    <col customWidth="1" min="23" max="25" width="9.57"/>
    <col customWidth="1" min="26" max="26" width="8.71"/>
  </cols>
  <sheetData>
    <row r="1" ht="14.25" customHeight="1">
      <c r="A1" s="115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ht="14.25" customHeight="1">
      <c r="A2" s="117" t="s">
        <v>2726</v>
      </c>
      <c r="B2" s="118" t="s">
        <v>2727</v>
      </c>
      <c r="C2" s="119" t="s">
        <v>2728</v>
      </c>
      <c r="D2" s="120"/>
      <c r="E2" s="118" t="s">
        <v>2729</v>
      </c>
      <c r="F2" s="121" t="s">
        <v>2730</v>
      </c>
      <c r="G2" s="122"/>
      <c r="H2" s="122"/>
      <c r="I2" s="122"/>
      <c r="J2" s="120"/>
      <c r="K2" s="123" t="s">
        <v>2731</v>
      </c>
      <c r="L2" s="122"/>
      <c r="M2" s="122"/>
      <c r="N2" s="122"/>
      <c r="O2" s="120"/>
      <c r="P2" s="124" t="s">
        <v>2732</v>
      </c>
      <c r="Q2" s="125" t="s">
        <v>2733</v>
      </c>
      <c r="W2" s="125"/>
      <c r="X2" s="126" t="s">
        <v>2734</v>
      </c>
      <c r="Y2" s="127" t="s">
        <v>2735</v>
      </c>
      <c r="Z2" s="128" t="s">
        <v>2736</v>
      </c>
    </row>
    <row r="3" ht="14.25" customHeight="1">
      <c r="A3" s="129"/>
      <c r="B3" s="129"/>
      <c r="C3" s="130" t="s">
        <v>2737</v>
      </c>
      <c r="D3" s="131" t="s">
        <v>2738</v>
      </c>
      <c r="E3" s="129"/>
      <c r="F3" s="132" t="s">
        <v>2739</v>
      </c>
      <c r="G3" s="133" t="s">
        <v>2740</v>
      </c>
      <c r="H3" s="133" t="s">
        <v>2741</v>
      </c>
      <c r="I3" s="133" t="s">
        <v>2742</v>
      </c>
      <c r="J3" s="133" t="s">
        <v>2740</v>
      </c>
      <c r="K3" s="134" t="s">
        <v>2743</v>
      </c>
      <c r="L3" s="135" t="s">
        <v>2744</v>
      </c>
      <c r="M3" s="134" t="s">
        <v>2745</v>
      </c>
      <c r="N3" s="134" t="s">
        <v>2746</v>
      </c>
      <c r="O3" s="134" t="s">
        <v>2747</v>
      </c>
      <c r="P3" s="129"/>
      <c r="Q3" s="136" t="s">
        <v>2748</v>
      </c>
      <c r="R3" s="137" t="s">
        <v>2749</v>
      </c>
      <c r="S3" s="137" t="s">
        <v>2750</v>
      </c>
      <c r="T3" s="137" t="s">
        <v>2751</v>
      </c>
      <c r="U3" s="137" t="s">
        <v>2752</v>
      </c>
      <c r="V3" s="137" t="s">
        <v>2753</v>
      </c>
      <c r="W3" s="137" t="s">
        <v>2754</v>
      </c>
      <c r="X3" s="138"/>
      <c r="Y3" s="138"/>
      <c r="Z3" s="138"/>
    </row>
    <row r="4" ht="14.25" customHeight="1">
      <c r="A4" s="139">
        <v>45719.0</v>
      </c>
      <c r="B4" s="64" t="s">
        <v>2755</v>
      </c>
      <c r="C4" s="64" t="s">
        <v>2756</v>
      </c>
      <c r="D4" s="140" t="str">
        <f>IFERROR(VLOOKUP(C4,Stock,3,FALSE),"")</f>
        <v>Wuling Almaz (Sensor)</v>
      </c>
      <c r="E4" s="64">
        <v>1.0</v>
      </c>
      <c r="F4" s="141">
        <v>3150000.0</v>
      </c>
      <c r="G4" s="142">
        <f t="shared" ref="G4:G20" si="1">E4*F4</f>
        <v>3150000</v>
      </c>
      <c r="H4" s="143">
        <v>150000.0</v>
      </c>
      <c r="I4" s="142">
        <f t="shared" ref="I4:I20" si="2">G4-H4</f>
        <v>3000000</v>
      </c>
      <c r="J4" s="144">
        <f t="shared" ref="J4:J20" si="3">I4</f>
        <v>3000000</v>
      </c>
      <c r="K4" s="145" t="s">
        <v>2757</v>
      </c>
      <c r="L4" s="146" t="s">
        <v>2758</v>
      </c>
      <c r="M4" s="64"/>
      <c r="N4" s="64" t="s">
        <v>2759</v>
      </c>
      <c r="O4" s="64" t="s">
        <v>2760</v>
      </c>
      <c r="P4" s="147" t="s">
        <v>2761</v>
      </c>
      <c r="Q4" s="141"/>
      <c r="R4" s="141"/>
      <c r="S4" s="141"/>
      <c r="T4" s="141">
        <v>3000000.0</v>
      </c>
      <c r="U4" s="141"/>
      <c r="V4" s="141"/>
      <c r="W4" s="141"/>
      <c r="X4" s="64" t="s">
        <v>2762</v>
      </c>
      <c r="Y4" s="64"/>
      <c r="Z4" s="64" t="s">
        <v>2763</v>
      </c>
    </row>
    <row r="5" ht="15.0" customHeight="1">
      <c r="A5" s="139">
        <v>45721.0</v>
      </c>
      <c r="B5" s="148" t="s">
        <v>2764</v>
      </c>
      <c r="C5" s="64" t="s">
        <v>2765</v>
      </c>
      <c r="D5" s="140" t="str">
        <f>IFERROR(VLOOKUP(C5,Stock,3,FALSE),"")</f>
        <v>Kia Timor 95-98 / Sephia 94-05</v>
      </c>
      <c r="E5" s="64">
        <v>1.0</v>
      </c>
      <c r="F5" s="141">
        <v>1480000.0</v>
      </c>
      <c r="G5" s="142">
        <f t="shared" si="1"/>
        <v>1480000</v>
      </c>
      <c r="H5" s="142"/>
      <c r="I5" s="143">
        <f t="shared" si="2"/>
        <v>1480000</v>
      </c>
      <c r="J5" s="144">
        <f t="shared" si="3"/>
        <v>1480000</v>
      </c>
      <c r="K5" s="145" t="s">
        <v>2766</v>
      </c>
      <c r="L5" s="146" t="s">
        <v>2767</v>
      </c>
      <c r="M5" s="140"/>
      <c r="N5" s="68"/>
      <c r="O5" s="64" t="s">
        <v>2768</v>
      </c>
      <c r="P5" s="147" t="s">
        <v>2761</v>
      </c>
      <c r="Q5" s="149"/>
      <c r="R5" s="141"/>
      <c r="S5" s="141"/>
      <c r="T5" s="141">
        <v>130000.0</v>
      </c>
      <c r="U5" s="149"/>
      <c r="V5" s="149"/>
      <c r="W5" s="149"/>
      <c r="X5" s="68"/>
      <c r="Y5" s="68"/>
      <c r="Z5" s="64" t="s">
        <v>2769</v>
      </c>
    </row>
    <row r="6" ht="15.0" customHeight="1">
      <c r="A6" s="139">
        <v>45721.0</v>
      </c>
      <c r="B6" s="148" t="s">
        <v>2764</v>
      </c>
      <c r="C6" s="64" t="s">
        <v>2770</v>
      </c>
      <c r="D6" s="140" t="str">
        <f>IFERROR(VLOOKUP(C6,Stock,3,FALSE),"")</f>
        <v>Transport</v>
      </c>
      <c r="E6" s="64">
        <v>1.0</v>
      </c>
      <c r="F6" s="141">
        <v>150000.0</v>
      </c>
      <c r="G6" s="142">
        <f t="shared" si="1"/>
        <v>150000</v>
      </c>
      <c r="H6" s="142"/>
      <c r="I6" s="143">
        <f t="shared" si="2"/>
        <v>150000</v>
      </c>
      <c r="J6" s="144">
        <f t="shared" si="3"/>
        <v>150000</v>
      </c>
      <c r="K6" s="145" t="s">
        <v>2766</v>
      </c>
      <c r="L6" s="146" t="s">
        <v>2767</v>
      </c>
      <c r="M6" s="140"/>
      <c r="N6" s="68"/>
      <c r="O6" s="64" t="s">
        <v>2768</v>
      </c>
      <c r="P6" s="147" t="s">
        <v>2761</v>
      </c>
      <c r="Q6" s="149"/>
      <c r="R6" s="149"/>
      <c r="S6" s="149"/>
      <c r="T6" s="149"/>
      <c r="U6" s="149"/>
      <c r="V6" s="149"/>
      <c r="W6" s="149"/>
      <c r="X6" s="68"/>
      <c r="Y6" s="68"/>
      <c r="Z6" s="68"/>
    </row>
    <row r="7" ht="15.0" customHeight="1">
      <c r="A7" s="139">
        <v>45721.0</v>
      </c>
      <c r="B7" s="148" t="s">
        <v>2771</v>
      </c>
      <c r="C7" s="64" t="s">
        <v>2772</v>
      </c>
      <c r="D7" s="140" t="str">
        <f>IFERROR(VLOOKUP(C7,Stock,3,FALSE),"")</f>
        <v>Suzuki Ignis 17-</v>
      </c>
      <c r="E7" s="64">
        <v>1.0</v>
      </c>
      <c r="F7" s="141">
        <v>1149000.0</v>
      </c>
      <c r="G7" s="142">
        <f t="shared" si="1"/>
        <v>1149000</v>
      </c>
      <c r="H7" s="142"/>
      <c r="I7" s="143">
        <f t="shared" si="2"/>
        <v>1149000</v>
      </c>
      <c r="J7" s="144">
        <f t="shared" si="3"/>
        <v>1149000</v>
      </c>
      <c r="K7" s="145" t="s">
        <v>2773</v>
      </c>
      <c r="L7" s="146" t="s">
        <v>2774</v>
      </c>
      <c r="M7" s="140"/>
      <c r="N7" s="64" t="s">
        <v>2775</v>
      </c>
      <c r="O7" s="64" t="s">
        <v>2776</v>
      </c>
      <c r="P7" s="147" t="s">
        <v>2761</v>
      </c>
      <c r="Q7" s="149"/>
      <c r="R7" s="149"/>
      <c r="S7" s="149"/>
      <c r="T7" s="149"/>
      <c r="U7" s="149"/>
      <c r="V7" s="149"/>
      <c r="W7" s="149"/>
      <c r="X7" s="68"/>
      <c r="Y7" s="68"/>
      <c r="Z7" s="68"/>
    </row>
    <row r="8" ht="15.0" customHeight="1">
      <c r="A8" s="139">
        <v>45722.0</v>
      </c>
      <c r="B8" s="148" t="s">
        <v>2777</v>
      </c>
      <c r="C8" s="150" t="s">
        <v>2778</v>
      </c>
      <c r="D8" s="140" t="str">
        <f>IFERROR(VLOOKUP(C8,Stock,3,FALSE),"")</f>
        <v>Bongkar Pasang Kaca Mobil Depan</v>
      </c>
      <c r="E8" s="64">
        <v>1.0</v>
      </c>
      <c r="F8" s="141">
        <v>450000.0</v>
      </c>
      <c r="G8" s="142">
        <f t="shared" si="1"/>
        <v>450000</v>
      </c>
      <c r="H8" s="142"/>
      <c r="I8" s="143">
        <f t="shared" si="2"/>
        <v>450000</v>
      </c>
      <c r="J8" s="144">
        <f t="shared" si="3"/>
        <v>450000</v>
      </c>
      <c r="K8" s="151" t="s">
        <v>2779</v>
      </c>
      <c r="L8" s="146" t="s">
        <v>2780</v>
      </c>
      <c r="M8" s="140"/>
      <c r="N8" s="68"/>
      <c r="O8" s="64" t="s">
        <v>2760</v>
      </c>
      <c r="P8" s="147" t="s">
        <v>2761</v>
      </c>
      <c r="Q8" s="149"/>
      <c r="R8" s="141"/>
      <c r="S8" s="141"/>
      <c r="T8" s="141">
        <v>100000.0</v>
      </c>
      <c r="U8" s="149"/>
      <c r="V8" s="149"/>
      <c r="W8" s="149"/>
      <c r="X8" s="68"/>
      <c r="Y8" s="68"/>
      <c r="Z8" s="64" t="s">
        <v>2781</v>
      </c>
    </row>
    <row r="9" ht="15.0" customHeight="1">
      <c r="A9" s="139">
        <v>45722.0</v>
      </c>
      <c r="B9" s="148" t="s">
        <v>2777</v>
      </c>
      <c r="C9" s="150" t="s">
        <v>2782</v>
      </c>
      <c r="D9" s="140" t="str">
        <f>IFERROR(VLOOKUP(C9,Stock,3,FALSE),"")</f>
        <v>Bongkar Pasang Kaca Mobil Samping</v>
      </c>
      <c r="E9" s="64">
        <v>2.0</v>
      </c>
      <c r="F9" s="141">
        <v>200000.0</v>
      </c>
      <c r="G9" s="142">
        <f t="shared" si="1"/>
        <v>400000</v>
      </c>
      <c r="H9" s="142"/>
      <c r="I9" s="143">
        <f t="shared" si="2"/>
        <v>400000</v>
      </c>
      <c r="J9" s="144">
        <f t="shared" si="3"/>
        <v>400000</v>
      </c>
      <c r="K9" s="151" t="s">
        <v>2779</v>
      </c>
      <c r="L9" s="146" t="s">
        <v>2780</v>
      </c>
      <c r="M9" s="140"/>
      <c r="N9" s="68"/>
      <c r="O9" s="64" t="s">
        <v>2760</v>
      </c>
      <c r="P9" s="147" t="s">
        <v>2761</v>
      </c>
      <c r="Q9" s="149"/>
      <c r="R9" s="149"/>
      <c r="S9" s="149"/>
      <c r="T9" s="149"/>
      <c r="U9" s="149"/>
      <c r="V9" s="149"/>
      <c r="W9" s="149"/>
      <c r="X9" s="68"/>
      <c r="Y9" s="68"/>
      <c r="Z9" s="64" t="s">
        <v>2783</v>
      </c>
    </row>
    <row r="10" ht="15.0" customHeight="1">
      <c r="A10" s="139">
        <v>45722.0</v>
      </c>
      <c r="B10" s="148" t="s">
        <v>2777</v>
      </c>
      <c r="C10" s="150" t="s">
        <v>2770</v>
      </c>
      <c r="D10" s="140" t="str">
        <f>IFERROR(VLOOKUP(C10,Stock,3,FALSE),"")</f>
        <v>Transport</v>
      </c>
      <c r="E10" s="64">
        <v>1.0</v>
      </c>
      <c r="F10" s="141">
        <v>100000.0</v>
      </c>
      <c r="G10" s="142">
        <f t="shared" si="1"/>
        <v>100000</v>
      </c>
      <c r="H10" s="142"/>
      <c r="I10" s="143">
        <f t="shared" si="2"/>
        <v>100000</v>
      </c>
      <c r="J10" s="144">
        <f t="shared" si="3"/>
        <v>100000</v>
      </c>
      <c r="K10" s="151" t="s">
        <v>2779</v>
      </c>
      <c r="L10" s="146" t="s">
        <v>2780</v>
      </c>
      <c r="M10" s="140"/>
      <c r="N10" s="68"/>
      <c r="O10" s="64" t="s">
        <v>2760</v>
      </c>
      <c r="P10" s="147" t="s">
        <v>2761</v>
      </c>
      <c r="Q10" s="149"/>
      <c r="R10" s="149"/>
      <c r="S10" s="149"/>
      <c r="T10" s="149"/>
      <c r="U10" s="149"/>
      <c r="V10" s="149"/>
      <c r="W10" s="149"/>
      <c r="X10" s="68"/>
      <c r="Y10" s="68"/>
      <c r="Z10" s="64" t="s">
        <v>2763</v>
      </c>
    </row>
    <row r="11" ht="15.0" customHeight="1">
      <c r="A11" s="139">
        <v>45722.0</v>
      </c>
      <c r="B11" s="148" t="s">
        <v>2784</v>
      </c>
      <c r="C11" s="64" t="s">
        <v>2785</v>
      </c>
      <c r="D11" s="140" t="str">
        <f>IFERROR(VLOOKUP(C11,Stock,3,FALSE),"")</f>
        <v>Mitsubishi Pajero 08-16</v>
      </c>
      <c r="E11" s="64">
        <v>1.0</v>
      </c>
      <c r="F11" s="141">
        <v>839000.0</v>
      </c>
      <c r="G11" s="142">
        <f t="shared" si="1"/>
        <v>839000</v>
      </c>
      <c r="H11" s="142"/>
      <c r="I11" s="143">
        <f t="shared" si="2"/>
        <v>839000</v>
      </c>
      <c r="J11" s="144">
        <f t="shared" si="3"/>
        <v>839000</v>
      </c>
      <c r="K11" s="145" t="s">
        <v>2786</v>
      </c>
      <c r="L11" s="146" t="s">
        <v>2787</v>
      </c>
      <c r="M11" s="140"/>
      <c r="N11" s="64" t="s">
        <v>2788</v>
      </c>
      <c r="O11" s="64" t="s">
        <v>2789</v>
      </c>
      <c r="P11" s="147" t="s">
        <v>2761</v>
      </c>
      <c r="Q11" s="149"/>
      <c r="R11" s="141"/>
      <c r="S11" s="141"/>
      <c r="T11" s="141">
        <v>100000.0</v>
      </c>
      <c r="U11" s="149"/>
      <c r="V11" s="149"/>
      <c r="W11" s="149"/>
      <c r="X11" s="68"/>
      <c r="Y11" s="68"/>
      <c r="Z11" s="64" t="s">
        <v>2790</v>
      </c>
    </row>
    <row r="12" ht="15.0" customHeight="1">
      <c r="A12" s="139">
        <v>45722.0</v>
      </c>
      <c r="B12" s="148" t="s">
        <v>2784</v>
      </c>
      <c r="C12" s="150" t="s">
        <v>2770</v>
      </c>
      <c r="D12" s="140" t="str">
        <f>IFERROR(VLOOKUP(C12,Stock,3,FALSE),"")</f>
        <v>Transport</v>
      </c>
      <c r="E12" s="64">
        <v>1.0</v>
      </c>
      <c r="F12" s="141">
        <v>80000.0</v>
      </c>
      <c r="G12" s="142">
        <f t="shared" si="1"/>
        <v>80000</v>
      </c>
      <c r="H12" s="142"/>
      <c r="I12" s="143">
        <f t="shared" si="2"/>
        <v>80000</v>
      </c>
      <c r="J12" s="144">
        <f t="shared" si="3"/>
        <v>80000</v>
      </c>
      <c r="K12" s="145" t="s">
        <v>2786</v>
      </c>
      <c r="L12" s="146" t="s">
        <v>2787</v>
      </c>
      <c r="M12" s="140"/>
      <c r="N12" s="64" t="s">
        <v>2788</v>
      </c>
      <c r="O12" s="64" t="s">
        <v>2789</v>
      </c>
      <c r="P12" s="147" t="s">
        <v>2761</v>
      </c>
      <c r="Q12" s="149"/>
      <c r="R12" s="149"/>
      <c r="S12" s="149"/>
      <c r="T12" s="149"/>
      <c r="U12" s="149"/>
      <c r="V12" s="149"/>
      <c r="W12" s="149"/>
      <c r="X12" s="68"/>
      <c r="Y12" s="68"/>
      <c r="Z12" s="68"/>
    </row>
    <row r="13" ht="15.0" customHeight="1">
      <c r="A13" s="139">
        <v>45722.0</v>
      </c>
      <c r="B13" s="148" t="s">
        <v>2791</v>
      </c>
      <c r="C13" s="64" t="s">
        <v>2792</v>
      </c>
      <c r="D13" s="140" t="str">
        <f>IFERROR(VLOOKUP(C13,Stock,3,FALSE),"")</f>
        <v>Toyota Calya / Sigra 16-</v>
      </c>
      <c r="E13" s="64">
        <v>1.0</v>
      </c>
      <c r="F13" s="141">
        <v>850000.0</v>
      </c>
      <c r="G13" s="142">
        <f t="shared" si="1"/>
        <v>850000</v>
      </c>
      <c r="H13" s="142"/>
      <c r="I13" s="143">
        <f t="shared" si="2"/>
        <v>850000</v>
      </c>
      <c r="J13" s="144">
        <f t="shared" si="3"/>
        <v>850000</v>
      </c>
      <c r="K13" s="145" t="s">
        <v>2793</v>
      </c>
      <c r="L13" s="146" t="s">
        <v>2794</v>
      </c>
      <c r="M13" s="140"/>
      <c r="N13" s="68"/>
      <c r="O13" s="64" t="s">
        <v>2795</v>
      </c>
      <c r="P13" s="147" t="s">
        <v>2761</v>
      </c>
      <c r="Q13" s="149"/>
      <c r="R13" s="149"/>
      <c r="S13" s="149"/>
      <c r="T13" s="149"/>
      <c r="U13" s="149"/>
      <c r="V13" s="149"/>
      <c r="W13" s="149"/>
      <c r="X13" s="68"/>
      <c r="Y13" s="68"/>
      <c r="Z13" s="68"/>
    </row>
    <row r="14" ht="15.0" customHeight="1">
      <c r="A14" s="139">
        <v>45722.0</v>
      </c>
      <c r="B14" s="148" t="s">
        <v>2796</v>
      </c>
      <c r="C14" s="64" t="s">
        <v>2797</v>
      </c>
      <c r="D14" s="140" t="str">
        <f>IFERROR(VLOOKUP(C14,Stock,3,FALSE),"")</f>
        <v>Toyota Calya / Sigra 16-</v>
      </c>
      <c r="E14" s="64">
        <v>1.0</v>
      </c>
      <c r="F14" s="141">
        <v>450000.0</v>
      </c>
      <c r="G14" s="142">
        <f t="shared" si="1"/>
        <v>450000</v>
      </c>
      <c r="H14" s="142"/>
      <c r="I14" s="143">
        <f t="shared" si="2"/>
        <v>450000</v>
      </c>
      <c r="J14" s="144">
        <f t="shared" si="3"/>
        <v>450000</v>
      </c>
      <c r="K14" s="145" t="s">
        <v>2798</v>
      </c>
      <c r="L14" s="146" t="s">
        <v>2799</v>
      </c>
      <c r="M14" s="140"/>
      <c r="N14" s="64" t="s">
        <v>2800</v>
      </c>
      <c r="O14" s="64" t="s">
        <v>2801</v>
      </c>
      <c r="P14" s="147" t="s">
        <v>2761</v>
      </c>
      <c r="Q14" s="149"/>
      <c r="R14" s="149"/>
      <c r="S14" s="149"/>
      <c r="T14" s="149"/>
      <c r="U14" s="149"/>
      <c r="V14" s="149"/>
      <c r="W14" s="149"/>
      <c r="X14" s="68"/>
      <c r="Y14" s="68"/>
      <c r="Z14" s="68"/>
    </row>
    <row r="15" ht="15.0" customHeight="1">
      <c r="A15" s="139">
        <v>45723.0</v>
      </c>
      <c r="B15" s="148" t="s">
        <v>2802</v>
      </c>
      <c r="C15" s="64" t="s">
        <v>2803</v>
      </c>
      <c r="D15" s="140" t="str">
        <f>IFERROR(VLOOKUP(C15,Stock,3,FALSE),"")</f>
        <v>Audi A4 08-15 B8 [11-15] (1 Sensor / O Sempurna)</v>
      </c>
      <c r="E15" s="64">
        <v>1.0</v>
      </c>
      <c r="F15" s="141">
        <v>5081000.0</v>
      </c>
      <c r="G15" s="142">
        <f t="shared" si="1"/>
        <v>5081000</v>
      </c>
      <c r="H15" s="142"/>
      <c r="I15" s="143">
        <f t="shared" si="2"/>
        <v>5081000</v>
      </c>
      <c r="J15" s="144">
        <f t="shared" si="3"/>
        <v>5081000</v>
      </c>
      <c r="K15" s="145" t="s">
        <v>2804</v>
      </c>
      <c r="L15" s="146" t="s">
        <v>2805</v>
      </c>
      <c r="M15" s="140"/>
      <c r="N15" s="64" t="s">
        <v>2806</v>
      </c>
      <c r="O15" s="64" t="s">
        <v>2807</v>
      </c>
      <c r="P15" s="147" t="s">
        <v>2761</v>
      </c>
      <c r="Q15" s="149"/>
      <c r="R15" s="141"/>
      <c r="S15" s="141"/>
      <c r="T15" s="141">
        <v>5081000.0</v>
      </c>
      <c r="U15" s="149"/>
      <c r="V15" s="149"/>
      <c r="W15" s="149"/>
      <c r="X15" s="64" t="s">
        <v>2808</v>
      </c>
      <c r="Y15" s="64"/>
      <c r="Z15" s="68"/>
    </row>
    <row r="16" ht="15.0" customHeight="1">
      <c r="A16" s="139">
        <v>45723.0</v>
      </c>
      <c r="B16" s="148" t="s">
        <v>2802</v>
      </c>
      <c r="C16" s="64" t="s">
        <v>2770</v>
      </c>
      <c r="D16" s="140" t="str">
        <f>IFERROR(VLOOKUP(C16,Stock,3,FALSE),"")</f>
        <v>Transport</v>
      </c>
      <c r="E16" s="64">
        <v>1.0</v>
      </c>
      <c r="F16" s="141">
        <v>250000.0</v>
      </c>
      <c r="G16" s="142">
        <f t="shared" si="1"/>
        <v>250000</v>
      </c>
      <c r="H16" s="142"/>
      <c r="I16" s="143">
        <f t="shared" si="2"/>
        <v>250000</v>
      </c>
      <c r="J16" s="144">
        <f t="shared" si="3"/>
        <v>250000</v>
      </c>
      <c r="K16" s="145" t="s">
        <v>2804</v>
      </c>
      <c r="L16" s="146" t="s">
        <v>2805</v>
      </c>
      <c r="M16" s="140"/>
      <c r="N16" s="64" t="s">
        <v>2806</v>
      </c>
      <c r="O16" s="64" t="s">
        <v>2807</v>
      </c>
      <c r="P16" s="147" t="s">
        <v>2761</v>
      </c>
      <c r="Q16" s="149"/>
      <c r="R16" s="141"/>
      <c r="S16" s="141"/>
      <c r="T16" s="141">
        <v>250000.0</v>
      </c>
      <c r="U16" s="149"/>
      <c r="V16" s="149"/>
      <c r="W16" s="149"/>
      <c r="X16" s="64" t="s">
        <v>2808</v>
      </c>
      <c r="Y16" s="64"/>
      <c r="Z16" s="68"/>
    </row>
    <row r="17" ht="15.0" customHeight="1">
      <c r="A17" s="139">
        <v>45723.0</v>
      </c>
      <c r="B17" s="148" t="s">
        <v>2809</v>
      </c>
      <c r="C17" s="64" t="s">
        <v>2810</v>
      </c>
      <c r="D17" s="140" t="str">
        <f>IFERROR(VLOOKUP(C17,Stock,3,FALSE),"")</f>
        <v>Toyota Rush / Terios 18-</v>
      </c>
      <c r="E17" s="64">
        <v>1.0</v>
      </c>
      <c r="F17" s="141">
        <v>1052000.0</v>
      </c>
      <c r="G17" s="142">
        <f t="shared" si="1"/>
        <v>1052000</v>
      </c>
      <c r="H17" s="142"/>
      <c r="I17" s="143">
        <f t="shared" si="2"/>
        <v>1052000</v>
      </c>
      <c r="J17" s="144">
        <f t="shared" si="3"/>
        <v>1052000</v>
      </c>
      <c r="K17" s="145" t="s">
        <v>2811</v>
      </c>
      <c r="L17" s="146" t="s">
        <v>2812</v>
      </c>
      <c r="M17" s="140"/>
      <c r="N17" s="68"/>
      <c r="O17" s="64" t="s">
        <v>2813</v>
      </c>
      <c r="P17" s="147" t="s">
        <v>2761</v>
      </c>
      <c r="Q17" s="149"/>
      <c r="R17" s="141"/>
      <c r="S17" s="141"/>
      <c r="T17" s="141">
        <v>100000.0</v>
      </c>
      <c r="U17" s="149"/>
      <c r="V17" s="149"/>
      <c r="W17" s="149"/>
      <c r="X17" s="64" t="s">
        <v>2808</v>
      </c>
      <c r="Y17" s="64"/>
      <c r="Z17" s="68"/>
    </row>
    <row r="18" ht="15.0" customHeight="1">
      <c r="A18" s="139">
        <v>45723.0</v>
      </c>
      <c r="B18" s="148" t="s">
        <v>2809</v>
      </c>
      <c r="C18" s="64" t="s">
        <v>2770</v>
      </c>
      <c r="D18" s="140" t="str">
        <f>IFERROR(VLOOKUP(C18,Stock,3,FALSE),"")</f>
        <v>Transport</v>
      </c>
      <c r="E18" s="64">
        <v>1.0</v>
      </c>
      <c r="F18" s="141">
        <v>120000.0</v>
      </c>
      <c r="G18" s="142">
        <f t="shared" si="1"/>
        <v>120000</v>
      </c>
      <c r="H18" s="142"/>
      <c r="I18" s="143">
        <f t="shared" si="2"/>
        <v>120000</v>
      </c>
      <c r="J18" s="144">
        <f t="shared" si="3"/>
        <v>120000</v>
      </c>
      <c r="K18" s="145" t="s">
        <v>2811</v>
      </c>
      <c r="L18" s="146" t="s">
        <v>2812</v>
      </c>
      <c r="M18" s="140"/>
      <c r="N18" s="64" t="s">
        <v>2814</v>
      </c>
      <c r="O18" s="64" t="s">
        <v>2813</v>
      </c>
      <c r="P18" s="147" t="s">
        <v>2761</v>
      </c>
      <c r="Q18" s="149"/>
      <c r="R18" s="149"/>
      <c r="S18" s="149"/>
      <c r="T18" s="149"/>
      <c r="U18" s="149"/>
      <c r="V18" s="149"/>
      <c r="W18" s="149"/>
      <c r="X18" s="64" t="s">
        <v>2808</v>
      </c>
      <c r="Y18" s="64"/>
      <c r="Z18" s="68"/>
    </row>
    <row r="19" ht="15.0" customHeight="1">
      <c r="A19" s="139">
        <v>45724.0</v>
      </c>
      <c r="B19" s="148" t="s">
        <v>2815</v>
      </c>
      <c r="C19" s="64" t="s">
        <v>2816</v>
      </c>
      <c r="D19" s="140" t="str">
        <f>IFERROR(VLOOKUP(C19,Stock,3,FALSE),"")</f>
        <v>Toyota Vios 02-07 XP40 1st Gen</v>
      </c>
      <c r="E19" s="64">
        <v>1.0</v>
      </c>
      <c r="F19" s="141">
        <v>1455000.0</v>
      </c>
      <c r="G19" s="142">
        <f t="shared" si="1"/>
        <v>1455000</v>
      </c>
      <c r="H19" s="142"/>
      <c r="I19" s="143">
        <f t="shared" si="2"/>
        <v>1455000</v>
      </c>
      <c r="J19" s="144">
        <f t="shared" si="3"/>
        <v>1455000</v>
      </c>
      <c r="K19" s="145" t="s">
        <v>2817</v>
      </c>
      <c r="L19" s="146" t="s">
        <v>2818</v>
      </c>
      <c r="M19" s="64" t="s">
        <v>2819</v>
      </c>
      <c r="N19" s="64" t="s">
        <v>2820</v>
      </c>
      <c r="O19" s="64" t="s">
        <v>2821</v>
      </c>
      <c r="P19" s="147" t="s">
        <v>2761</v>
      </c>
      <c r="Q19" s="141">
        <v>1455000.0</v>
      </c>
      <c r="R19" s="149"/>
      <c r="S19" s="149"/>
      <c r="T19" s="149"/>
      <c r="U19" s="149"/>
      <c r="V19" s="149"/>
      <c r="W19" s="149"/>
      <c r="X19" s="68"/>
      <c r="Y19" s="68"/>
      <c r="Z19" s="68"/>
    </row>
    <row r="20" ht="15.0" customHeight="1">
      <c r="A20" s="139">
        <v>45724.0</v>
      </c>
      <c r="B20" s="148" t="s">
        <v>2822</v>
      </c>
      <c r="C20" s="64" t="s">
        <v>2823</v>
      </c>
      <c r="D20" s="140" t="str">
        <f>IFERROR(VLOOKUP(C20,Stock,3,FALSE),"")</f>
        <v>Honda CR-V 95-01 1st Gen</v>
      </c>
      <c r="E20" s="64">
        <v>1.0</v>
      </c>
      <c r="F20" s="141">
        <v>1600000.0</v>
      </c>
      <c r="G20" s="142">
        <f t="shared" si="1"/>
        <v>1600000</v>
      </c>
      <c r="H20" s="142"/>
      <c r="I20" s="143">
        <f t="shared" si="2"/>
        <v>1600000</v>
      </c>
      <c r="J20" s="144">
        <f t="shared" si="3"/>
        <v>1600000</v>
      </c>
      <c r="K20" s="145" t="s">
        <v>2824</v>
      </c>
      <c r="L20" s="146" t="s">
        <v>2825</v>
      </c>
      <c r="M20" s="64" t="s">
        <v>2826</v>
      </c>
      <c r="N20" s="64" t="s">
        <v>2827</v>
      </c>
      <c r="O20" s="64" t="s">
        <v>2828</v>
      </c>
      <c r="P20" s="147" t="s">
        <v>2761</v>
      </c>
      <c r="Q20" s="149"/>
      <c r="R20" s="149"/>
      <c r="S20" s="149"/>
      <c r="T20" s="149"/>
      <c r="U20" s="149"/>
      <c r="V20" s="149"/>
      <c r="W20" s="149"/>
      <c r="X20" s="68"/>
      <c r="Y20" s="68"/>
      <c r="Z20" s="68"/>
    </row>
    <row r="21" ht="15.0" customHeight="1">
      <c r="A21" s="139">
        <v>45724.0</v>
      </c>
      <c r="B21" s="148" t="s">
        <v>2829</v>
      </c>
      <c r="C21" s="64" t="s">
        <v>2830</v>
      </c>
      <c r="D21" s="140" t="str">
        <f>IFERROR(VLOOKUP(C21,Stock,3,FALSE),"")</f>
        <v/>
      </c>
      <c r="E21" s="64"/>
      <c r="F21" s="141"/>
      <c r="G21" s="142"/>
      <c r="H21" s="142"/>
      <c r="I21" s="143"/>
      <c r="J21" s="144"/>
      <c r="K21" s="145"/>
      <c r="L21" s="64"/>
      <c r="M21" s="64"/>
      <c r="N21" s="64"/>
      <c r="O21" s="64"/>
      <c r="P21" s="147"/>
      <c r="Q21" s="149"/>
      <c r="R21" s="149"/>
      <c r="S21" s="149"/>
      <c r="T21" s="149"/>
      <c r="U21" s="149"/>
      <c r="V21" s="149"/>
      <c r="W21" s="149"/>
      <c r="X21" s="68"/>
      <c r="Y21" s="68"/>
      <c r="Z21" s="68"/>
    </row>
    <row r="22" ht="15.0" customHeight="1">
      <c r="A22" s="139">
        <v>45724.0</v>
      </c>
      <c r="B22" s="148" t="s">
        <v>2831</v>
      </c>
      <c r="C22" s="64" t="s">
        <v>2832</v>
      </c>
      <c r="D22" s="140" t="str">
        <f>IFERROR(VLOOKUP(C22,Stock,3,FALSE),"")</f>
        <v>Toyota Avanza / Xenia 21- 4th Gen</v>
      </c>
      <c r="E22" s="64">
        <v>1.0</v>
      </c>
      <c r="F22" s="141">
        <v>975000.0</v>
      </c>
      <c r="G22" s="142">
        <f t="shared" ref="G22:G192" si="4">E22*F22</f>
        <v>975000</v>
      </c>
      <c r="H22" s="142"/>
      <c r="I22" s="143">
        <f t="shared" ref="I22:I192" si="5">G22-H22</f>
        <v>975000</v>
      </c>
      <c r="J22" s="144">
        <f t="shared" ref="J22:J192" si="6">I22</f>
        <v>975000</v>
      </c>
      <c r="K22" s="145" t="s">
        <v>2833</v>
      </c>
      <c r="L22" s="146" t="s">
        <v>2834</v>
      </c>
      <c r="M22" s="140"/>
      <c r="N22" s="68"/>
      <c r="O22" s="64" t="s">
        <v>2813</v>
      </c>
      <c r="P22" s="147" t="s">
        <v>2761</v>
      </c>
      <c r="Q22" s="143">
        <v>975000.0</v>
      </c>
      <c r="R22" s="149"/>
      <c r="S22" s="149"/>
      <c r="T22" s="149"/>
      <c r="U22" s="149"/>
      <c r="V22" s="149"/>
      <c r="W22" s="149"/>
      <c r="X22" s="68"/>
      <c r="Y22" s="68"/>
      <c r="Z22" s="64" t="s">
        <v>2763</v>
      </c>
    </row>
    <row r="23" ht="15.0" customHeight="1">
      <c r="A23" s="139">
        <v>45724.0</v>
      </c>
      <c r="B23" s="148" t="s">
        <v>2831</v>
      </c>
      <c r="C23" s="64" t="s">
        <v>2835</v>
      </c>
      <c r="D23" s="140" t="str">
        <f>IFERROR(VLOOKUP(C23,Stock,3,FALSE),"")</f>
        <v>Peti Kayu</v>
      </c>
      <c r="E23" s="64">
        <v>1.0</v>
      </c>
      <c r="F23" s="141">
        <v>200000.0</v>
      </c>
      <c r="G23" s="142">
        <f t="shared" si="4"/>
        <v>200000</v>
      </c>
      <c r="H23" s="142"/>
      <c r="I23" s="143">
        <f t="shared" si="5"/>
        <v>200000</v>
      </c>
      <c r="J23" s="144">
        <f t="shared" si="6"/>
        <v>200000</v>
      </c>
      <c r="K23" s="145" t="s">
        <v>2833</v>
      </c>
      <c r="L23" s="146" t="s">
        <v>2834</v>
      </c>
      <c r="M23" s="140"/>
      <c r="N23" s="68"/>
      <c r="O23" s="64" t="s">
        <v>2813</v>
      </c>
      <c r="P23" s="147" t="s">
        <v>2761</v>
      </c>
      <c r="Q23" s="143">
        <v>200000.0</v>
      </c>
      <c r="R23" s="149"/>
      <c r="S23" s="149"/>
      <c r="T23" s="149"/>
      <c r="U23" s="149"/>
      <c r="V23" s="149"/>
      <c r="W23" s="149"/>
      <c r="X23" s="68"/>
      <c r="Y23" s="68"/>
      <c r="Z23" s="64" t="s">
        <v>2763</v>
      </c>
    </row>
    <row r="24" ht="15.0" customHeight="1">
      <c r="A24" s="139">
        <v>45724.0</v>
      </c>
      <c r="B24" s="148" t="s">
        <v>2831</v>
      </c>
      <c r="C24" s="64" t="s">
        <v>2770</v>
      </c>
      <c r="D24" s="140" t="str">
        <f>IFERROR(VLOOKUP(C24,Stock,3,FALSE),"")</f>
        <v>Transport</v>
      </c>
      <c r="E24" s="64">
        <v>1.0</v>
      </c>
      <c r="F24" s="141">
        <v>150000.0</v>
      </c>
      <c r="G24" s="142">
        <f t="shared" si="4"/>
        <v>150000</v>
      </c>
      <c r="H24" s="142"/>
      <c r="I24" s="143">
        <f t="shared" si="5"/>
        <v>150000</v>
      </c>
      <c r="J24" s="144">
        <f t="shared" si="6"/>
        <v>150000</v>
      </c>
      <c r="K24" s="145" t="s">
        <v>2833</v>
      </c>
      <c r="L24" s="146" t="s">
        <v>2834</v>
      </c>
      <c r="M24" s="140"/>
      <c r="N24" s="68"/>
      <c r="O24" s="64" t="s">
        <v>2813</v>
      </c>
      <c r="P24" s="147" t="s">
        <v>2761</v>
      </c>
      <c r="Q24" s="143">
        <v>150000.0</v>
      </c>
      <c r="R24" s="149"/>
      <c r="S24" s="149"/>
      <c r="T24" s="149"/>
      <c r="U24" s="149"/>
      <c r="V24" s="149"/>
      <c r="W24" s="149"/>
      <c r="X24" s="68"/>
      <c r="Y24" s="68"/>
      <c r="Z24" s="64" t="s">
        <v>2763</v>
      </c>
    </row>
    <row r="25" ht="15.0" customHeight="1">
      <c r="A25" s="139">
        <v>45726.0</v>
      </c>
      <c r="B25" s="148" t="s">
        <v>2836</v>
      </c>
      <c r="C25" s="64" t="s">
        <v>2837</v>
      </c>
      <c r="D25" s="140" t="str">
        <f>IFERROR(VLOOKUP(C25,Stock,3,FALSE),"")</f>
        <v>Toyota Corolla Cross 21-</v>
      </c>
      <c r="E25" s="64">
        <v>1.0</v>
      </c>
      <c r="F25" s="141">
        <v>3750000.0</v>
      </c>
      <c r="G25" s="142">
        <f t="shared" si="4"/>
        <v>3750000</v>
      </c>
      <c r="H25" s="142"/>
      <c r="I25" s="143">
        <f t="shared" si="5"/>
        <v>3750000</v>
      </c>
      <c r="J25" s="144">
        <f t="shared" si="6"/>
        <v>3750000</v>
      </c>
      <c r="K25" s="152" t="s">
        <v>2838</v>
      </c>
      <c r="L25" s="146" t="s">
        <v>2839</v>
      </c>
      <c r="M25" s="140"/>
      <c r="N25" s="68"/>
      <c r="O25" s="64" t="s">
        <v>2813</v>
      </c>
      <c r="P25" s="147" t="s">
        <v>2761</v>
      </c>
      <c r="Q25" s="149"/>
      <c r="R25" s="141"/>
      <c r="S25" s="141"/>
      <c r="T25" s="141">
        <v>810000.0</v>
      </c>
      <c r="U25" s="149"/>
      <c r="V25" s="149"/>
      <c r="W25" s="149"/>
      <c r="X25" s="64" t="s">
        <v>2808</v>
      </c>
      <c r="Y25" s="64"/>
      <c r="Z25" s="64" t="s">
        <v>2763</v>
      </c>
    </row>
    <row r="26" ht="15.0" customHeight="1">
      <c r="A26" s="139">
        <v>45726.0</v>
      </c>
      <c r="B26" s="148" t="s">
        <v>2836</v>
      </c>
      <c r="C26" s="64" t="s">
        <v>2835</v>
      </c>
      <c r="D26" s="140" t="str">
        <f>IFERROR(VLOOKUP(C26,Stock,3,FALSE),"")</f>
        <v>Peti Kayu</v>
      </c>
      <c r="E26" s="64">
        <v>1.0</v>
      </c>
      <c r="F26" s="141">
        <v>200000.0</v>
      </c>
      <c r="G26" s="142">
        <f t="shared" si="4"/>
        <v>200000</v>
      </c>
      <c r="H26" s="142"/>
      <c r="I26" s="143">
        <f t="shared" si="5"/>
        <v>200000</v>
      </c>
      <c r="J26" s="144">
        <f t="shared" si="6"/>
        <v>200000</v>
      </c>
      <c r="K26" s="152" t="s">
        <v>2838</v>
      </c>
      <c r="L26" s="146" t="s">
        <v>2839</v>
      </c>
      <c r="M26" s="140"/>
      <c r="N26" s="68"/>
      <c r="O26" s="64" t="s">
        <v>2813</v>
      </c>
      <c r="P26" s="147" t="s">
        <v>2761</v>
      </c>
      <c r="Q26" s="149"/>
      <c r="R26" s="149"/>
      <c r="S26" s="149"/>
      <c r="T26" s="149"/>
      <c r="U26" s="149"/>
      <c r="V26" s="149"/>
      <c r="W26" s="149"/>
      <c r="X26" s="64" t="s">
        <v>2808</v>
      </c>
      <c r="Y26" s="64"/>
      <c r="Z26" s="64" t="s">
        <v>2763</v>
      </c>
    </row>
    <row r="27" ht="15.0" customHeight="1">
      <c r="A27" s="139">
        <v>45726.0</v>
      </c>
      <c r="B27" s="148" t="s">
        <v>2836</v>
      </c>
      <c r="C27" s="153" t="s">
        <v>2770</v>
      </c>
      <c r="D27" s="140" t="str">
        <f>IFERROR(VLOOKUP(C27,Stock,3,FALSE),"")</f>
        <v>Transport</v>
      </c>
      <c r="E27" s="64">
        <v>1.0</v>
      </c>
      <c r="F27" s="141">
        <v>100000.0</v>
      </c>
      <c r="G27" s="142">
        <f t="shared" si="4"/>
        <v>100000</v>
      </c>
      <c r="H27" s="142"/>
      <c r="I27" s="143">
        <f t="shared" si="5"/>
        <v>100000</v>
      </c>
      <c r="J27" s="144">
        <f t="shared" si="6"/>
        <v>100000</v>
      </c>
      <c r="K27" s="152" t="s">
        <v>2838</v>
      </c>
      <c r="L27" s="146" t="s">
        <v>2839</v>
      </c>
      <c r="M27" s="140"/>
      <c r="N27" s="68"/>
      <c r="O27" s="64" t="s">
        <v>2813</v>
      </c>
      <c r="P27" s="147" t="s">
        <v>2761</v>
      </c>
      <c r="Q27" s="149"/>
      <c r="R27" s="149"/>
      <c r="S27" s="149"/>
      <c r="T27" s="149"/>
      <c r="U27" s="149"/>
      <c r="V27" s="149"/>
      <c r="W27" s="149"/>
      <c r="X27" s="64" t="s">
        <v>2808</v>
      </c>
      <c r="Y27" s="64"/>
      <c r="Z27" s="64" t="s">
        <v>2763</v>
      </c>
    </row>
    <row r="28" ht="15.0" customHeight="1">
      <c r="A28" s="139">
        <v>45726.0</v>
      </c>
      <c r="B28" s="148" t="s">
        <v>2836</v>
      </c>
      <c r="C28" s="153" t="s">
        <v>2770</v>
      </c>
      <c r="D28" s="140" t="str">
        <f>IFERROR(VLOOKUP(C28,Stock,3,FALSE),"")</f>
        <v>Transport</v>
      </c>
      <c r="E28" s="64">
        <v>1.0</v>
      </c>
      <c r="F28" s="141">
        <v>388000.0</v>
      </c>
      <c r="G28" s="142">
        <f t="shared" si="4"/>
        <v>388000</v>
      </c>
      <c r="H28" s="142"/>
      <c r="I28" s="143">
        <f t="shared" si="5"/>
        <v>388000</v>
      </c>
      <c r="J28" s="144">
        <f t="shared" si="6"/>
        <v>388000</v>
      </c>
      <c r="K28" s="152" t="s">
        <v>2838</v>
      </c>
      <c r="L28" s="146" t="s">
        <v>2839</v>
      </c>
      <c r="M28" s="140"/>
      <c r="N28" s="68"/>
      <c r="O28" s="64" t="s">
        <v>2813</v>
      </c>
      <c r="P28" s="147" t="s">
        <v>2761</v>
      </c>
      <c r="Q28" s="149"/>
      <c r="R28" s="149"/>
      <c r="S28" s="149"/>
      <c r="T28" s="149"/>
      <c r="U28" s="149"/>
      <c r="V28" s="149"/>
      <c r="W28" s="149"/>
      <c r="X28" s="64"/>
      <c r="Y28" s="64"/>
      <c r="Z28" s="68"/>
    </row>
    <row r="29" ht="15.0" customHeight="1">
      <c r="A29" s="139">
        <v>45726.0</v>
      </c>
      <c r="B29" s="148" t="s">
        <v>2840</v>
      </c>
      <c r="C29" s="64" t="s">
        <v>2841</v>
      </c>
      <c r="D29" s="140" t="str">
        <f>IFERROR(VLOOKUP(C29,Stock,3,FALSE),"")</f>
        <v>Toyota Hi-Ace 04-20 Commuter</v>
      </c>
      <c r="E29" s="64">
        <v>1.0</v>
      </c>
      <c r="F29" s="141">
        <v>1759000.0</v>
      </c>
      <c r="G29" s="142">
        <f t="shared" si="4"/>
        <v>1759000</v>
      </c>
      <c r="H29" s="142"/>
      <c r="I29" s="143">
        <f t="shared" si="5"/>
        <v>1759000</v>
      </c>
      <c r="J29" s="144">
        <f t="shared" si="6"/>
        <v>1759000</v>
      </c>
      <c r="K29" s="145" t="s">
        <v>2842</v>
      </c>
      <c r="L29" s="146" t="s">
        <v>2843</v>
      </c>
      <c r="M29" s="140"/>
      <c r="N29" s="68"/>
      <c r="O29" s="64" t="s">
        <v>2813</v>
      </c>
      <c r="P29" s="147" t="s">
        <v>2761</v>
      </c>
      <c r="Q29" s="149"/>
      <c r="R29" s="149"/>
      <c r="S29" s="149"/>
      <c r="T29" s="149"/>
      <c r="U29" s="149"/>
      <c r="V29" s="149"/>
      <c r="W29" s="149"/>
      <c r="X29" s="64" t="s">
        <v>2808</v>
      </c>
      <c r="Y29" s="64"/>
      <c r="Z29" s="68"/>
    </row>
    <row r="30" ht="15.0" customHeight="1">
      <c r="A30" s="139">
        <v>45726.0</v>
      </c>
      <c r="B30" s="148" t="s">
        <v>2844</v>
      </c>
      <c r="C30" s="64" t="s">
        <v>2778</v>
      </c>
      <c r="D30" s="140" t="str">
        <f>IFERROR(VLOOKUP(C30,Stock,3,FALSE),"")</f>
        <v>Bongkar Pasang Kaca Mobil Depan</v>
      </c>
      <c r="E30" s="64">
        <v>1.0</v>
      </c>
      <c r="F30" s="141">
        <v>550000.0</v>
      </c>
      <c r="G30" s="142">
        <f t="shared" si="4"/>
        <v>550000</v>
      </c>
      <c r="H30" s="142"/>
      <c r="I30" s="143">
        <f t="shared" si="5"/>
        <v>550000</v>
      </c>
      <c r="J30" s="144">
        <f t="shared" si="6"/>
        <v>550000</v>
      </c>
      <c r="K30" s="145" t="s">
        <v>2845</v>
      </c>
      <c r="L30" s="146" t="s">
        <v>2846</v>
      </c>
      <c r="M30" s="140"/>
      <c r="N30" s="68"/>
      <c r="O30" s="64" t="s">
        <v>2813</v>
      </c>
      <c r="P30" s="147" t="s">
        <v>2761</v>
      </c>
      <c r="Q30" s="149"/>
      <c r="R30" s="149"/>
      <c r="S30" s="149"/>
      <c r="T30" s="149"/>
      <c r="U30" s="149"/>
      <c r="V30" s="149"/>
      <c r="W30" s="149"/>
      <c r="X30" s="68"/>
      <c r="Y30" s="68"/>
      <c r="Z30" s="68"/>
    </row>
    <row r="31" ht="15.0" customHeight="1">
      <c r="A31" s="139">
        <v>45726.0</v>
      </c>
      <c r="B31" s="148" t="s">
        <v>2844</v>
      </c>
      <c r="C31" s="64" t="s">
        <v>2770</v>
      </c>
      <c r="D31" s="140" t="str">
        <f>IFERROR(VLOOKUP(C31,Stock,3,FALSE),"")</f>
        <v>Transport</v>
      </c>
      <c r="E31" s="64">
        <v>1.0</v>
      </c>
      <c r="F31" s="141">
        <v>80000.0</v>
      </c>
      <c r="G31" s="142">
        <f t="shared" si="4"/>
        <v>80000</v>
      </c>
      <c r="H31" s="142"/>
      <c r="I31" s="143">
        <f t="shared" si="5"/>
        <v>80000</v>
      </c>
      <c r="J31" s="144">
        <f t="shared" si="6"/>
        <v>80000</v>
      </c>
      <c r="K31" s="145" t="s">
        <v>2845</v>
      </c>
      <c r="L31" s="146" t="s">
        <v>2846</v>
      </c>
      <c r="M31" s="140"/>
      <c r="N31" s="68"/>
      <c r="O31" s="64" t="s">
        <v>2813</v>
      </c>
      <c r="P31" s="147" t="s">
        <v>2761</v>
      </c>
      <c r="Q31" s="149"/>
      <c r="R31" s="149"/>
      <c r="S31" s="149"/>
      <c r="T31" s="149"/>
      <c r="U31" s="149"/>
      <c r="V31" s="149"/>
      <c r="W31" s="149"/>
      <c r="X31" s="68"/>
      <c r="Y31" s="68"/>
      <c r="Z31" s="68"/>
    </row>
    <row r="32" ht="15.0" customHeight="1">
      <c r="A32" s="139">
        <v>45726.0</v>
      </c>
      <c r="B32" s="148" t="s">
        <v>2847</v>
      </c>
      <c r="C32" s="64" t="s">
        <v>2848</v>
      </c>
      <c r="D32" s="140" t="str">
        <f>IFERROR(VLOOKUP(C32,Stock,3,FALSE),"")</f>
        <v>Honda Brio 10-17 [Tanpa Lubang]</v>
      </c>
      <c r="E32" s="64">
        <v>1.0</v>
      </c>
      <c r="F32" s="141">
        <v>955000.0</v>
      </c>
      <c r="G32" s="142">
        <f t="shared" si="4"/>
        <v>955000</v>
      </c>
      <c r="H32" s="142"/>
      <c r="I32" s="143">
        <f t="shared" si="5"/>
        <v>955000</v>
      </c>
      <c r="J32" s="144">
        <f t="shared" si="6"/>
        <v>955000</v>
      </c>
      <c r="K32" s="145" t="s">
        <v>2849</v>
      </c>
      <c r="L32" s="146" t="s">
        <v>2850</v>
      </c>
      <c r="M32" s="140"/>
      <c r="N32" s="68"/>
      <c r="O32" s="64" t="s">
        <v>2768</v>
      </c>
      <c r="P32" s="147" t="s">
        <v>2761</v>
      </c>
      <c r="Q32" s="149"/>
      <c r="R32" s="149"/>
      <c r="S32" s="149"/>
      <c r="T32" s="149"/>
      <c r="U32" s="149"/>
      <c r="V32" s="149"/>
      <c r="W32" s="149"/>
      <c r="X32" s="68"/>
      <c r="Y32" s="68"/>
      <c r="Z32" s="68"/>
    </row>
    <row r="33" ht="15.0" customHeight="1">
      <c r="A33" s="139">
        <v>45726.0</v>
      </c>
      <c r="B33" s="148" t="s">
        <v>2851</v>
      </c>
      <c r="C33" s="64" t="s">
        <v>2852</v>
      </c>
      <c r="D33" s="140" t="str">
        <f>IFERROR(VLOOKUP(C33,Stock,3,FALSE),"")</f>
        <v>Mazda Biante 08-</v>
      </c>
      <c r="E33" s="64">
        <v>1.0</v>
      </c>
      <c r="F33" s="141">
        <v>3661000.0</v>
      </c>
      <c r="G33" s="142">
        <f t="shared" si="4"/>
        <v>3661000</v>
      </c>
      <c r="H33" s="142"/>
      <c r="I33" s="143">
        <f t="shared" si="5"/>
        <v>3661000</v>
      </c>
      <c r="J33" s="144">
        <f t="shared" si="6"/>
        <v>3661000</v>
      </c>
      <c r="K33" s="145" t="s">
        <v>2853</v>
      </c>
      <c r="L33" s="146" t="s">
        <v>2854</v>
      </c>
      <c r="M33" s="64" t="s">
        <v>2855</v>
      </c>
      <c r="N33" s="68"/>
      <c r="O33" s="64" t="s">
        <v>2813</v>
      </c>
      <c r="P33" s="147" t="s">
        <v>2761</v>
      </c>
      <c r="Q33" s="149"/>
      <c r="R33" s="149"/>
      <c r="S33" s="149"/>
      <c r="T33" s="149"/>
      <c r="U33" s="149"/>
      <c r="V33" s="149"/>
      <c r="W33" s="149"/>
      <c r="X33" s="68"/>
      <c r="Y33" s="68"/>
      <c r="Z33" s="68"/>
    </row>
    <row r="34" ht="15.0" customHeight="1">
      <c r="A34" s="139">
        <v>45726.0</v>
      </c>
      <c r="B34" s="148" t="s">
        <v>2856</v>
      </c>
      <c r="C34" s="64" t="s">
        <v>2857</v>
      </c>
      <c r="D34" s="140" t="str">
        <f>IFERROR(VLOOKUP(C34,Stock,3,FALSE),"")</f>
        <v>Toyota Corolla Great E100 91-96 7th Gen</v>
      </c>
      <c r="E34" s="64">
        <v>1.0</v>
      </c>
      <c r="F34" s="141">
        <v>1488000.0</v>
      </c>
      <c r="G34" s="142">
        <f t="shared" si="4"/>
        <v>1488000</v>
      </c>
      <c r="H34" s="142"/>
      <c r="I34" s="143">
        <f t="shared" si="5"/>
        <v>1488000</v>
      </c>
      <c r="J34" s="144">
        <f t="shared" si="6"/>
        <v>1488000</v>
      </c>
      <c r="K34" s="145"/>
      <c r="L34" s="64"/>
      <c r="M34" s="64"/>
      <c r="N34" s="68"/>
      <c r="O34" s="64" t="s">
        <v>2813</v>
      </c>
      <c r="P34" s="147" t="s">
        <v>2858</v>
      </c>
      <c r="Q34" s="149"/>
      <c r="R34" s="149"/>
      <c r="S34" s="149"/>
      <c r="T34" s="149"/>
      <c r="U34" s="149"/>
      <c r="V34" s="149"/>
      <c r="W34" s="149"/>
      <c r="X34" s="68"/>
      <c r="Y34" s="68"/>
      <c r="Z34" s="68"/>
    </row>
    <row r="35" ht="15.0" customHeight="1">
      <c r="A35" s="139">
        <v>45726.0</v>
      </c>
      <c r="B35" s="148" t="s">
        <v>2859</v>
      </c>
      <c r="C35" s="64" t="s">
        <v>2860</v>
      </c>
      <c r="D35" s="140" t="str">
        <f>IFERROR(VLOOKUP(C35,Stock,3,FALSE),"")</f>
        <v>Suzuki Baleno 15-21</v>
      </c>
      <c r="E35" s="64">
        <v>1.0</v>
      </c>
      <c r="F35" s="141">
        <v>1164000.0</v>
      </c>
      <c r="G35" s="142">
        <f t="shared" si="4"/>
        <v>1164000</v>
      </c>
      <c r="H35" s="142"/>
      <c r="I35" s="143">
        <f t="shared" si="5"/>
        <v>1164000</v>
      </c>
      <c r="J35" s="144">
        <f t="shared" si="6"/>
        <v>1164000</v>
      </c>
      <c r="K35" s="145" t="s">
        <v>2861</v>
      </c>
      <c r="L35" s="146" t="s">
        <v>2862</v>
      </c>
      <c r="M35" s="140"/>
      <c r="N35" s="68"/>
      <c r="O35" s="64" t="s">
        <v>2863</v>
      </c>
      <c r="P35" s="147" t="s">
        <v>2761</v>
      </c>
      <c r="Q35" s="149"/>
      <c r="R35" s="141"/>
      <c r="S35" s="141"/>
      <c r="T35" s="141">
        <v>1164000.0</v>
      </c>
      <c r="U35" s="149"/>
      <c r="V35" s="149"/>
      <c r="W35" s="149"/>
      <c r="X35" s="64" t="s">
        <v>2808</v>
      </c>
      <c r="Y35" s="64"/>
      <c r="Z35" s="68"/>
    </row>
    <row r="36" ht="15.0" customHeight="1">
      <c r="A36" s="139">
        <v>45726.0</v>
      </c>
      <c r="B36" s="148" t="s">
        <v>2859</v>
      </c>
      <c r="C36" s="64" t="s">
        <v>2835</v>
      </c>
      <c r="D36" s="140" t="str">
        <f>IFERROR(VLOOKUP(C36,Stock,3,FALSE),"")</f>
        <v>Peti Kayu</v>
      </c>
      <c r="E36" s="64">
        <v>1.0</v>
      </c>
      <c r="F36" s="141">
        <v>200000.0</v>
      </c>
      <c r="G36" s="142">
        <f t="shared" si="4"/>
        <v>200000</v>
      </c>
      <c r="H36" s="142"/>
      <c r="I36" s="143">
        <f t="shared" si="5"/>
        <v>200000</v>
      </c>
      <c r="J36" s="144">
        <f t="shared" si="6"/>
        <v>200000</v>
      </c>
      <c r="K36" s="145" t="s">
        <v>2861</v>
      </c>
      <c r="L36" s="146" t="s">
        <v>2862</v>
      </c>
      <c r="M36" s="140"/>
      <c r="N36" s="68"/>
      <c r="O36" s="64" t="s">
        <v>2863</v>
      </c>
      <c r="P36" s="147" t="s">
        <v>2761</v>
      </c>
      <c r="Q36" s="149"/>
      <c r="R36" s="141"/>
      <c r="S36" s="141"/>
      <c r="T36" s="141">
        <v>200000.0</v>
      </c>
      <c r="U36" s="149"/>
      <c r="V36" s="149"/>
      <c r="W36" s="149"/>
      <c r="X36" s="64" t="s">
        <v>2808</v>
      </c>
      <c r="Y36" s="64"/>
      <c r="Z36" s="68"/>
    </row>
    <row r="37" ht="15.0" customHeight="1">
      <c r="A37" s="139">
        <v>45726.0</v>
      </c>
      <c r="B37" s="148" t="s">
        <v>2864</v>
      </c>
      <c r="C37" s="64" t="s">
        <v>2865</v>
      </c>
      <c r="D37" s="140" t="str">
        <f>IFERROR(VLOOKUP(C37,Stock,3,FALSE),"")</f>
        <v>Toyota Fortuner 15- 2nd Gen</v>
      </c>
      <c r="E37" s="64">
        <v>1.0</v>
      </c>
      <c r="F37" s="141">
        <v>1737000.0</v>
      </c>
      <c r="G37" s="142">
        <f t="shared" si="4"/>
        <v>1737000</v>
      </c>
      <c r="H37" s="142"/>
      <c r="I37" s="143">
        <f t="shared" si="5"/>
        <v>1737000</v>
      </c>
      <c r="J37" s="144">
        <f t="shared" si="6"/>
        <v>1737000</v>
      </c>
      <c r="K37" s="145" t="s">
        <v>2866</v>
      </c>
      <c r="L37" s="146" t="s">
        <v>2867</v>
      </c>
      <c r="M37" s="140"/>
      <c r="N37" s="68"/>
      <c r="O37" s="64" t="s">
        <v>2813</v>
      </c>
      <c r="P37" s="147" t="s">
        <v>2761</v>
      </c>
      <c r="Q37" s="149"/>
      <c r="R37" s="141"/>
      <c r="S37" s="141"/>
      <c r="T37" s="141">
        <v>100000.0</v>
      </c>
      <c r="U37" s="149"/>
      <c r="V37" s="149"/>
      <c r="W37" s="149"/>
      <c r="X37" s="68"/>
      <c r="Y37" s="68"/>
      <c r="Z37" s="68"/>
    </row>
    <row r="38" ht="15.0" customHeight="1">
      <c r="A38" s="139">
        <v>45726.0</v>
      </c>
      <c r="B38" s="148" t="s">
        <v>2864</v>
      </c>
      <c r="C38" s="64" t="s">
        <v>2770</v>
      </c>
      <c r="D38" s="140" t="str">
        <f>IFERROR(VLOOKUP(C38,Stock,3,FALSE),"")</f>
        <v>Transport</v>
      </c>
      <c r="E38" s="64">
        <v>1.0</v>
      </c>
      <c r="F38" s="141">
        <v>20000.0</v>
      </c>
      <c r="G38" s="142">
        <f t="shared" si="4"/>
        <v>20000</v>
      </c>
      <c r="H38" s="142"/>
      <c r="I38" s="143">
        <f t="shared" si="5"/>
        <v>20000</v>
      </c>
      <c r="J38" s="144">
        <f t="shared" si="6"/>
        <v>20000</v>
      </c>
      <c r="K38" s="145" t="s">
        <v>2866</v>
      </c>
      <c r="L38" s="146" t="s">
        <v>2867</v>
      </c>
      <c r="M38" s="140"/>
      <c r="N38" s="68"/>
      <c r="O38" s="64" t="s">
        <v>2813</v>
      </c>
      <c r="P38" s="147" t="s">
        <v>2761</v>
      </c>
      <c r="Q38" s="149"/>
      <c r="R38" s="149"/>
      <c r="S38" s="149"/>
      <c r="T38" s="149"/>
      <c r="U38" s="149"/>
      <c r="V38" s="149"/>
      <c r="W38" s="149"/>
      <c r="X38" s="68"/>
      <c r="Y38" s="68"/>
      <c r="Z38" s="68"/>
    </row>
    <row r="39" ht="15.0" customHeight="1">
      <c r="A39" s="139">
        <v>45728.0</v>
      </c>
      <c r="B39" s="148" t="s">
        <v>2868</v>
      </c>
      <c r="C39" s="64" t="s">
        <v>2869</v>
      </c>
      <c r="D39" s="140" t="str">
        <f>IFERROR(VLOOKUP(C39,Stock,3,FALSE),"")</f>
        <v>Daihatsu Gran Max / Luxio 07-</v>
      </c>
      <c r="E39" s="64">
        <v>1.0</v>
      </c>
      <c r="F39" s="141">
        <v>985000.0</v>
      </c>
      <c r="G39" s="142">
        <f t="shared" si="4"/>
        <v>985000</v>
      </c>
      <c r="H39" s="142"/>
      <c r="I39" s="143">
        <f t="shared" si="5"/>
        <v>985000</v>
      </c>
      <c r="J39" s="144">
        <f t="shared" si="6"/>
        <v>985000</v>
      </c>
      <c r="K39" s="145" t="s">
        <v>2870</v>
      </c>
      <c r="L39" s="146" t="s">
        <v>2871</v>
      </c>
      <c r="M39" s="140"/>
      <c r="N39" s="68"/>
      <c r="O39" s="64" t="s">
        <v>2872</v>
      </c>
      <c r="P39" s="147" t="s">
        <v>2761</v>
      </c>
      <c r="Q39" s="149"/>
      <c r="R39" s="141"/>
      <c r="S39" s="141"/>
      <c r="T39" s="141">
        <v>50000.0</v>
      </c>
      <c r="U39" s="149"/>
      <c r="V39" s="149"/>
      <c r="W39" s="149"/>
      <c r="X39" s="68"/>
      <c r="Y39" s="68"/>
      <c r="Z39" s="68"/>
    </row>
    <row r="40" ht="15.0" customHeight="1">
      <c r="A40" s="139">
        <v>45728.0</v>
      </c>
      <c r="B40" s="148" t="s">
        <v>2868</v>
      </c>
      <c r="C40" s="64" t="s">
        <v>2770</v>
      </c>
      <c r="D40" s="140" t="str">
        <f>IFERROR(VLOOKUP(C40,Stock,3,FALSE),"")</f>
        <v>Transport</v>
      </c>
      <c r="E40" s="64">
        <v>1.0</v>
      </c>
      <c r="F40" s="141">
        <v>70000.0</v>
      </c>
      <c r="G40" s="142">
        <f t="shared" si="4"/>
        <v>70000</v>
      </c>
      <c r="H40" s="142"/>
      <c r="I40" s="143">
        <f t="shared" si="5"/>
        <v>70000</v>
      </c>
      <c r="J40" s="144">
        <f t="shared" si="6"/>
        <v>70000</v>
      </c>
      <c r="K40" s="145" t="s">
        <v>2870</v>
      </c>
      <c r="L40" s="146" t="s">
        <v>2871</v>
      </c>
      <c r="M40" s="140"/>
      <c r="N40" s="68"/>
      <c r="O40" s="64" t="s">
        <v>2872</v>
      </c>
      <c r="P40" s="147" t="s">
        <v>2761</v>
      </c>
      <c r="Q40" s="149"/>
      <c r="R40" s="149"/>
      <c r="S40" s="149"/>
      <c r="T40" s="149"/>
      <c r="U40" s="149"/>
      <c r="V40" s="149"/>
      <c r="W40" s="149"/>
      <c r="X40" s="68"/>
      <c r="Y40" s="68"/>
      <c r="Z40" s="68"/>
    </row>
    <row r="41" ht="15.0" customHeight="1">
      <c r="A41" s="139">
        <v>45728.0</v>
      </c>
      <c r="B41" s="148" t="s">
        <v>2873</v>
      </c>
      <c r="C41" s="64" t="s">
        <v>2792</v>
      </c>
      <c r="D41" s="140" t="str">
        <f>IFERROR(VLOOKUP(C41,Stock,3,FALSE),"")</f>
        <v>Toyota Calya / Sigra 16-</v>
      </c>
      <c r="E41" s="64">
        <v>1.0</v>
      </c>
      <c r="F41" s="141">
        <v>850000.0</v>
      </c>
      <c r="G41" s="142">
        <f t="shared" si="4"/>
        <v>850000</v>
      </c>
      <c r="H41" s="142"/>
      <c r="I41" s="143">
        <f t="shared" si="5"/>
        <v>850000</v>
      </c>
      <c r="J41" s="144">
        <f t="shared" si="6"/>
        <v>850000</v>
      </c>
      <c r="K41" s="145" t="s">
        <v>2874</v>
      </c>
      <c r="L41" s="146" t="s">
        <v>2875</v>
      </c>
      <c r="M41" s="140"/>
      <c r="N41" s="68"/>
      <c r="O41" s="64" t="s">
        <v>2813</v>
      </c>
      <c r="P41" s="147" t="s">
        <v>2761</v>
      </c>
      <c r="Q41" s="149"/>
      <c r="R41" s="141"/>
      <c r="S41" s="141"/>
      <c r="T41" s="141">
        <v>100000.0</v>
      </c>
      <c r="U41" s="149"/>
      <c r="V41" s="149"/>
      <c r="W41" s="149"/>
      <c r="X41" s="68"/>
      <c r="Y41" s="68"/>
      <c r="Z41" s="68"/>
    </row>
    <row r="42" ht="15.0" customHeight="1">
      <c r="A42" s="139">
        <v>45728.0</v>
      </c>
      <c r="B42" s="148" t="s">
        <v>2876</v>
      </c>
      <c r="C42" s="64" t="s">
        <v>2877</v>
      </c>
      <c r="D42" s="140" t="str">
        <f>IFERROR(VLOOKUP(C42,Stock,3,FALSE),"")</f>
        <v>Toyota Dyna/Hino Dutro 00-</v>
      </c>
      <c r="E42" s="64">
        <v>1.0</v>
      </c>
      <c r="F42" s="141">
        <v>1150000.0</v>
      </c>
      <c r="G42" s="142">
        <f t="shared" si="4"/>
        <v>1150000</v>
      </c>
      <c r="H42" s="142"/>
      <c r="I42" s="143">
        <f t="shared" si="5"/>
        <v>1150000</v>
      </c>
      <c r="J42" s="144">
        <f t="shared" si="6"/>
        <v>1150000</v>
      </c>
      <c r="K42" s="145" t="s">
        <v>2878</v>
      </c>
      <c r="L42" s="140"/>
      <c r="M42" s="140"/>
      <c r="N42" s="68"/>
      <c r="O42" s="64" t="s">
        <v>2879</v>
      </c>
      <c r="P42" s="147" t="s">
        <v>2761</v>
      </c>
      <c r="Q42" s="149"/>
      <c r="R42" s="149"/>
      <c r="S42" s="149"/>
      <c r="T42" s="149"/>
      <c r="U42" s="149"/>
      <c r="V42" s="149"/>
      <c r="W42" s="149"/>
      <c r="X42" s="68"/>
      <c r="Y42" s="68"/>
      <c r="Z42" s="68"/>
    </row>
    <row r="43" ht="15.0" customHeight="1">
      <c r="A43" s="139">
        <v>45728.0</v>
      </c>
      <c r="B43" s="148" t="s">
        <v>2880</v>
      </c>
      <c r="C43" s="64" t="s">
        <v>2881</v>
      </c>
      <c r="D43" s="140" t="str">
        <f>IFERROR(VLOOKUP(C43,Stock,3,FALSE),"")</f>
        <v>Mitsubishi Outlander 10-21 GA3</v>
      </c>
      <c r="E43" s="64">
        <v>1.0</v>
      </c>
      <c r="F43" s="141">
        <v>2138000.0</v>
      </c>
      <c r="G43" s="142">
        <f t="shared" si="4"/>
        <v>2138000</v>
      </c>
      <c r="H43" s="143">
        <v>38000.0</v>
      </c>
      <c r="I43" s="143">
        <f t="shared" si="5"/>
        <v>2100000</v>
      </c>
      <c r="J43" s="144">
        <f t="shared" si="6"/>
        <v>2100000</v>
      </c>
      <c r="K43" s="145" t="s">
        <v>2866</v>
      </c>
      <c r="L43" s="146" t="s">
        <v>2882</v>
      </c>
      <c r="M43" s="140"/>
      <c r="N43" s="68"/>
      <c r="O43" s="64" t="s">
        <v>2883</v>
      </c>
      <c r="P43" s="147" t="s">
        <v>2761</v>
      </c>
      <c r="Q43" s="149"/>
      <c r="R43" s="149"/>
      <c r="S43" s="149"/>
      <c r="T43" s="149"/>
      <c r="U43" s="149"/>
      <c r="V43" s="149"/>
      <c r="W43" s="149"/>
      <c r="X43" s="68"/>
      <c r="Y43" s="68"/>
      <c r="Z43" s="68"/>
    </row>
    <row r="44" ht="15.0" customHeight="1">
      <c r="A44" s="139">
        <v>45728.0</v>
      </c>
      <c r="B44" s="148" t="s">
        <v>2880</v>
      </c>
      <c r="C44" s="64" t="s">
        <v>2770</v>
      </c>
      <c r="D44" s="140" t="str">
        <f>IFERROR(VLOOKUP(C44,Stock,3,FALSE),"")</f>
        <v>Transport</v>
      </c>
      <c r="E44" s="64">
        <v>1.0</v>
      </c>
      <c r="F44" s="141">
        <v>200000.0</v>
      </c>
      <c r="G44" s="142">
        <f t="shared" si="4"/>
        <v>200000</v>
      </c>
      <c r="H44" s="142"/>
      <c r="I44" s="143">
        <f t="shared" si="5"/>
        <v>200000</v>
      </c>
      <c r="J44" s="144">
        <f t="shared" si="6"/>
        <v>200000</v>
      </c>
      <c r="K44" s="151" t="s">
        <v>2779</v>
      </c>
      <c r="L44" s="146" t="s">
        <v>2780</v>
      </c>
      <c r="M44" s="140"/>
      <c r="N44" s="68"/>
      <c r="O44" s="64" t="s">
        <v>2760</v>
      </c>
      <c r="P44" s="147" t="s">
        <v>2761</v>
      </c>
      <c r="Q44" s="149"/>
      <c r="R44" s="149"/>
      <c r="S44" s="149"/>
      <c r="T44" s="149"/>
      <c r="U44" s="149"/>
      <c r="V44" s="149"/>
      <c r="W44" s="149"/>
      <c r="X44" s="68"/>
      <c r="Y44" s="68"/>
      <c r="Z44" s="68"/>
    </row>
    <row r="45" ht="15.0" customHeight="1">
      <c r="A45" s="139">
        <v>45730.0</v>
      </c>
      <c r="B45" s="148" t="s">
        <v>2884</v>
      </c>
      <c r="C45" s="140" t="s">
        <v>2778</v>
      </c>
      <c r="D45" s="140" t="str">
        <f>IFERROR(VLOOKUP(C45,Stock,3,FALSE),"")</f>
        <v>Bongkar Pasang Kaca Mobil Depan</v>
      </c>
      <c r="E45" s="64">
        <v>1.0</v>
      </c>
      <c r="F45" s="141">
        <v>650000.0</v>
      </c>
      <c r="G45" s="142">
        <f t="shared" si="4"/>
        <v>650000</v>
      </c>
      <c r="H45" s="142"/>
      <c r="I45" s="143">
        <f t="shared" si="5"/>
        <v>650000</v>
      </c>
      <c r="J45" s="144">
        <f t="shared" si="6"/>
        <v>650000</v>
      </c>
      <c r="K45" s="151" t="s">
        <v>2779</v>
      </c>
      <c r="L45" s="146" t="s">
        <v>2780</v>
      </c>
      <c r="M45" s="140"/>
      <c r="N45" s="68"/>
      <c r="O45" s="64" t="s">
        <v>2760</v>
      </c>
      <c r="P45" s="147" t="s">
        <v>2761</v>
      </c>
      <c r="Q45" s="149"/>
      <c r="R45" s="149"/>
      <c r="S45" s="149"/>
      <c r="T45" s="149"/>
      <c r="U45" s="149"/>
      <c r="V45" s="149"/>
      <c r="W45" s="149"/>
      <c r="X45" s="68"/>
      <c r="Y45" s="68"/>
      <c r="Z45" s="68"/>
    </row>
    <row r="46" ht="15.0" customHeight="1">
      <c r="A46" s="139">
        <v>45730.0</v>
      </c>
      <c r="B46" s="148" t="s">
        <v>2884</v>
      </c>
      <c r="C46" s="140" t="s">
        <v>2885</v>
      </c>
      <c r="D46" s="140" t="str">
        <f>IFERROR(VLOOKUP(C46,Stock,3,FALSE),"")</f>
        <v>Bongkar Pasang Kaca Mobil Belakang</v>
      </c>
      <c r="E46" s="64">
        <v>1.0</v>
      </c>
      <c r="F46" s="141">
        <v>450000.0</v>
      </c>
      <c r="G46" s="142">
        <f t="shared" si="4"/>
        <v>450000</v>
      </c>
      <c r="H46" s="142"/>
      <c r="I46" s="143">
        <f t="shared" si="5"/>
        <v>450000</v>
      </c>
      <c r="J46" s="144">
        <f t="shared" si="6"/>
        <v>450000</v>
      </c>
      <c r="K46" s="151" t="s">
        <v>2779</v>
      </c>
      <c r="L46" s="146" t="s">
        <v>2780</v>
      </c>
      <c r="M46" s="140"/>
      <c r="N46" s="68"/>
      <c r="O46" s="64" t="s">
        <v>2760</v>
      </c>
      <c r="P46" s="147" t="s">
        <v>2761</v>
      </c>
      <c r="Q46" s="149"/>
      <c r="R46" s="149"/>
      <c r="S46" s="149"/>
      <c r="T46" s="149"/>
      <c r="U46" s="149"/>
      <c r="V46" s="149"/>
      <c r="W46" s="149"/>
      <c r="X46" s="68"/>
      <c r="Y46" s="68"/>
      <c r="Z46" s="68"/>
    </row>
    <row r="47" ht="15.0" customHeight="1">
      <c r="A47" s="139">
        <v>45730.0</v>
      </c>
      <c r="B47" s="148" t="s">
        <v>2884</v>
      </c>
      <c r="C47" s="140" t="s">
        <v>2782</v>
      </c>
      <c r="D47" s="140" t="str">
        <f>IFERROR(VLOOKUP(C47,Stock,3,FALSE),"")</f>
        <v>Bongkar Pasang Kaca Mobil Samping</v>
      </c>
      <c r="E47" s="64">
        <v>2.0</v>
      </c>
      <c r="F47" s="141">
        <v>350000.0</v>
      </c>
      <c r="G47" s="142">
        <f t="shared" si="4"/>
        <v>700000</v>
      </c>
      <c r="H47" s="142"/>
      <c r="I47" s="143">
        <f t="shared" si="5"/>
        <v>700000</v>
      </c>
      <c r="J47" s="144">
        <f t="shared" si="6"/>
        <v>700000</v>
      </c>
      <c r="K47" s="151" t="s">
        <v>2779</v>
      </c>
      <c r="L47" s="146" t="s">
        <v>2780</v>
      </c>
      <c r="M47" s="140"/>
      <c r="N47" s="68"/>
      <c r="O47" s="64" t="s">
        <v>2760</v>
      </c>
      <c r="P47" s="147" t="s">
        <v>2761</v>
      </c>
      <c r="Q47" s="149"/>
      <c r="R47" s="149"/>
      <c r="S47" s="149"/>
      <c r="T47" s="149"/>
      <c r="U47" s="149"/>
      <c r="V47" s="149"/>
      <c r="W47" s="149"/>
      <c r="X47" s="68"/>
      <c r="Y47" s="68"/>
      <c r="Z47" s="68"/>
    </row>
    <row r="48" ht="15.0" customHeight="1">
      <c r="A48" s="139">
        <v>45731.0</v>
      </c>
      <c r="B48" s="148" t="s">
        <v>2886</v>
      </c>
      <c r="C48" s="64" t="s">
        <v>2778</v>
      </c>
      <c r="D48" s="140" t="str">
        <f>IFERROR(VLOOKUP(C48,Stock,3,FALSE),"")</f>
        <v>Bongkar Pasang Kaca Mobil Depan</v>
      </c>
      <c r="E48" s="64">
        <v>1.0</v>
      </c>
      <c r="F48" s="141">
        <v>600000.0</v>
      </c>
      <c r="G48" s="142">
        <f t="shared" si="4"/>
        <v>600000</v>
      </c>
      <c r="H48" s="142"/>
      <c r="I48" s="143">
        <f t="shared" si="5"/>
        <v>600000</v>
      </c>
      <c r="J48" s="144">
        <f t="shared" si="6"/>
        <v>600000</v>
      </c>
      <c r="K48" s="151" t="s">
        <v>2887</v>
      </c>
      <c r="L48" s="146" t="s">
        <v>2888</v>
      </c>
      <c r="M48" s="140"/>
      <c r="N48" s="154" t="s">
        <v>2889</v>
      </c>
      <c r="O48" s="64" t="s">
        <v>2890</v>
      </c>
      <c r="P48" s="147" t="s">
        <v>2761</v>
      </c>
      <c r="Q48" s="149"/>
      <c r="R48" s="149"/>
      <c r="S48" s="149"/>
      <c r="T48" s="149"/>
      <c r="U48" s="149"/>
      <c r="V48" s="149"/>
      <c r="W48" s="149"/>
      <c r="X48" s="64" t="s">
        <v>2891</v>
      </c>
      <c r="Y48" s="64"/>
      <c r="Z48" s="68"/>
    </row>
    <row r="49" ht="15.0" customHeight="1">
      <c r="A49" s="139">
        <v>45731.0</v>
      </c>
      <c r="B49" s="148" t="s">
        <v>2886</v>
      </c>
      <c r="C49" s="64" t="s">
        <v>2770</v>
      </c>
      <c r="D49" s="140" t="str">
        <f>IFERROR(VLOOKUP(C49,Stock,3,FALSE),"")</f>
        <v>Transport</v>
      </c>
      <c r="E49" s="64">
        <v>1.0</v>
      </c>
      <c r="F49" s="141">
        <v>150000.0</v>
      </c>
      <c r="G49" s="142">
        <f t="shared" si="4"/>
        <v>150000</v>
      </c>
      <c r="H49" s="142"/>
      <c r="I49" s="143">
        <f t="shared" si="5"/>
        <v>150000</v>
      </c>
      <c r="J49" s="144">
        <f t="shared" si="6"/>
        <v>150000</v>
      </c>
      <c r="K49" s="151" t="s">
        <v>2887</v>
      </c>
      <c r="L49" s="146" t="s">
        <v>2888</v>
      </c>
      <c r="M49" s="140"/>
      <c r="N49" s="154" t="s">
        <v>2889</v>
      </c>
      <c r="O49" s="64" t="s">
        <v>2890</v>
      </c>
      <c r="P49" s="147" t="s">
        <v>2761</v>
      </c>
      <c r="Q49" s="149"/>
      <c r="R49" s="149"/>
      <c r="S49" s="149"/>
      <c r="T49" s="149"/>
      <c r="U49" s="149"/>
      <c r="V49" s="149"/>
      <c r="W49" s="149"/>
      <c r="X49" s="64" t="s">
        <v>2891</v>
      </c>
      <c r="Y49" s="64"/>
      <c r="Z49" s="68"/>
    </row>
    <row r="50" ht="15.0" customHeight="1">
      <c r="A50" s="139">
        <v>45731.0</v>
      </c>
      <c r="B50" s="148" t="s">
        <v>2892</v>
      </c>
      <c r="C50" s="64" t="s">
        <v>2893</v>
      </c>
      <c r="D50" s="140" t="str">
        <f>IFERROR(VLOOKUP(C50,Stock,3,FALSE),"")</f>
        <v>Daihatsu Taruna</v>
      </c>
      <c r="E50" s="64">
        <v>1.0</v>
      </c>
      <c r="F50" s="141">
        <v>1500000.0</v>
      </c>
      <c r="G50" s="142">
        <f t="shared" si="4"/>
        <v>1500000</v>
      </c>
      <c r="H50" s="142"/>
      <c r="I50" s="143">
        <f t="shared" si="5"/>
        <v>1500000</v>
      </c>
      <c r="J50" s="144">
        <f t="shared" si="6"/>
        <v>1500000</v>
      </c>
      <c r="K50" s="145" t="s">
        <v>2894</v>
      </c>
      <c r="L50" s="146" t="s">
        <v>2895</v>
      </c>
      <c r="M50" s="140"/>
      <c r="N50" s="68"/>
      <c r="O50" s="64" t="s">
        <v>2813</v>
      </c>
      <c r="P50" s="147" t="s">
        <v>2761</v>
      </c>
      <c r="Q50" s="149"/>
      <c r="R50" s="149"/>
      <c r="S50" s="149"/>
      <c r="T50" s="149"/>
      <c r="U50" s="149"/>
      <c r="V50" s="149"/>
      <c r="W50" s="149"/>
      <c r="X50" s="68"/>
      <c r="Y50" s="68"/>
      <c r="Z50" s="68"/>
    </row>
    <row r="51" ht="15.0" customHeight="1">
      <c r="A51" s="139">
        <v>45733.0</v>
      </c>
      <c r="B51" s="148" t="s">
        <v>2896</v>
      </c>
      <c r="C51" s="64" t="s">
        <v>2897</v>
      </c>
      <c r="D51" s="140" t="str">
        <f>IFERROR(VLOOKUP(C51,Stock,3,FALSE),"")</f>
        <v>Toyota Avanza / Xenia 11-15 2nd Gen/3rd Gen (Toyota/Daihatsu)</v>
      </c>
      <c r="E51" s="64">
        <v>1.0</v>
      </c>
      <c r="F51" s="141">
        <v>1522000.0</v>
      </c>
      <c r="G51" s="142">
        <f t="shared" si="4"/>
        <v>1522000</v>
      </c>
      <c r="H51" s="142"/>
      <c r="I51" s="143">
        <f t="shared" si="5"/>
        <v>1522000</v>
      </c>
      <c r="J51" s="144">
        <f t="shared" si="6"/>
        <v>1522000</v>
      </c>
      <c r="K51" s="145" t="s">
        <v>2898</v>
      </c>
      <c r="L51" s="146" t="s">
        <v>2899</v>
      </c>
      <c r="M51" s="140"/>
      <c r="N51" s="68"/>
      <c r="O51" s="64" t="s">
        <v>2813</v>
      </c>
      <c r="P51" s="147" t="s">
        <v>2761</v>
      </c>
      <c r="Q51" s="149"/>
      <c r="R51" s="141"/>
      <c r="S51" s="141"/>
      <c r="T51" s="141">
        <v>480000.0</v>
      </c>
      <c r="U51" s="149"/>
      <c r="V51" s="149"/>
      <c r="W51" s="149"/>
      <c r="X51" s="64" t="s">
        <v>2808</v>
      </c>
      <c r="Y51" s="64"/>
      <c r="Z51" s="68"/>
    </row>
    <row r="52" ht="15.0" customHeight="1">
      <c r="A52" s="139">
        <v>45733.0</v>
      </c>
      <c r="B52" s="148" t="s">
        <v>2896</v>
      </c>
      <c r="C52" s="64" t="s">
        <v>2770</v>
      </c>
      <c r="D52" s="140" t="str">
        <f>IFERROR(VLOOKUP(C52,Stock,3,FALSE),"")</f>
        <v>Transport</v>
      </c>
      <c r="E52" s="64">
        <v>1.0</v>
      </c>
      <c r="F52" s="141">
        <v>75000.0</v>
      </c>
      <c r="G52" s="142">
        <f t="shared" si="4"/>
        <v>75000</v>
      </c>
      <c r="H52" s="142"/>
      <c r="I52" s="143">
        <f t="shared" si="5"/>
        <v>75000</v>
      </c>
      <c r="J52" s="144">
        <f t="shared" si="6"/>
        <v>75000</v>
      </c>
      <c r="K52" s="145" t="s">
        <v>2898</v>
      </c>
      <c r="L52" s="146" t="s">
        <v>2899</v>
      </c>
      <c r="M52" s="140"/>
      <c r="N52" s="68"/>
      <c r="O52" s="64" t="s">
        <v>2813</v>
      </c>
      <c r="P52" s="147" t="s">
        <v>2761</v>
      </c>
      <c r="Q52" s="149"/>
      <c r="R52" s="149"/>
      <c r="S52" s="149"/>
      <c r="T52" s="149"/>
      <c r="U52" s="149"/>
      <c r="V52" s="149"/>
      <c r="W52" s="149"/>
      <c r="X52" s="64" t="s">
        <v>2808</v>
      </c>
      <c r="Y52" s="64"/>
      <c r="Z52" s="68"/>
    </row>
    <row r="53" ht="15.0" customHeight="1">
      <c r="A53" s="139">
        <v>45733.0</v>
      </c>
      <c r="B53" s="148" t="s">
        <v>2900</v>
      </c>
      <c r="C53" s="64" t="s">
        <v>2901</v>
      </c>
      <c r="D53" s="140" t="str">
        <f>IFERROR(VLOOKUP(C53,Stock,3,FALSE),"")</f>
        <v>Honda CR-V 12-16 4th Gen</v>
      </c>
      <c r="E53" s="64">
        <v>1.0</v>
      </c>
      <c r="F53" s="141">
        <v>1949000.0</v>
      </c>
      <c r="G53" s="142">
        <f t="shared" si="4"/>
        <v>1949000</v>
      </c>
      <c r="H53" s="142"/>
      <c r="I53" s="143">
        <f t="shared" si="5"/>
        <v>1949000</v>
      </c>
      <c r="J53" s="144">
        <f t="shared" si="6"/>
        <v>1949000</v>
      </c>
      <c r="K53" s="145" t="s">
        <v>2902</v>
      </c>
      <c r="L53" s="146" t="s">
        <v>2903</v>
      </c>
      <c r="M53" s="140"/>
      <c r="N53" s="64" t="s">
        <v>2904</v>
      </c>
      <c r="O53" s="64" t="s">
        <v>2905</v>
      </c>
      <c r="P53" s="147" t="s">
        <v>2761</v>
      </c>
      <c r="Q53" s="149"/>
      <c r="R53" s="149"/>
      <c r="S53" s="149"/>
      <c r="T53" s="149"/>
      <c r="U53" s="149"/>
      <c r="V53" s="149"/>
      <c r="W53" s="149"/>
      <c r="X53" s="68"/>
      <c r="Y53" s="68"/>
      <c r="Z53" s="68"/>
    </row>
    <row r="54" ht="15.0" customHeight="1">
      <c r="A54" s="139">
        <v>45733.0</v>
      </c>
      <c r="B54" s="148" t="s">
        <v>2906</v>
      </c>
      <c r="C54" s="64" t="s">
        <v>2907</v>
      </c>
      <c r="D54" s="140" t="str">
        <f>IFERROR(VLOOKUP(C54,Stock,3,FALSE),"")</f>
        <v>Honda Odyssey 13- 5th Gen RC1/RC2</v>
      </c>
      <c r="E54" s="64">
        <v>1.0</v>
      </c>
      <c r="F54" s="141">
        <v>3823000.0</v>
      </c>
      <c r="G54" s="142">
        <f t="shared" si="4"/>
        <v>3823000</v>
      </c>
      <c r="H54" s="142"/>
      <c r="I54" s="143">
        <f t="shared" si="5"/>
        <v>3823000</v>
      </c>
      <c r="J54" s="144">
        <f t="shared" si="6"/>
        <v>3823000</v>
      </c>
      <c r="K54" s="145" t="s">
        <v>2908</v>
      </c>
      <c r="L54" s="146" t="s">
        <v>2909</v>
      </c>
      <c r="M54" s="140"/>
      <c r="N54" s="64" t="s">
        <v>2910</v>
      </c>
      <c r="O54" s="64" t="s">
        <v>2813</v>
      </c>
      <c r="P54" s="147" t="s">
        <v>2761</v>
      </c>
      <c r="Q54" s="149"/>
      <c r="R54" s="149"/>
      <c r="S54" s="149"/>
      <c r="T54" s="149"/>
      <c r="U54" s="149"/>
      <c r="V54" s="149"/>
      <c r="W54" s="149"/>
      <c r="X54" s="68"/>
      <c r="Y54" s="68"/>
      <c r="Z54" s="68"/>
    </row>
    <row r="55" ht="15.0" customHeight="1">
      <c r="A55" s="139">
        <v>45734.0</v>
      </c>
      <c r="B55" s="148" t="s">
        <v>2911</v>
      </c>
      <c r="C55" s="64" t="s">
        <v>2778</v>
      </c>
      <c r="D55" s="140" t="str">
        <f>IFERROR(VLOOKUP(C55,Stock,3,FALSE),"")</f>
        <v>Bongkar Pasang Kaca Mobil Depan</v>
      </c>
      <c r="E55" s="64">
        <v>1.0</v>
      </c>
      <c r="F55" s="141">
        <v>550000.0</v>
      </c>
      <c r="G55" s="142">
        <f t="shared" si="4"/>
        <v>550000</v>
      </c>
      <c r="H55" s="142"/>
      <c r="I55" s="143">
        <f t="shared" si="5"/>
        <v>550000</v>
      </c>
      <c r="J55" s="144">
        <f t="shared" si="6"/>
        <v>550000</v>
      </c>
      <c r="K55" s="151" t="s">
        <v>2912</v>
      </c>
      <c r="L55" s="146" t="s">
        <v>2913</v>
      </c>
      <c r="M55" s="140"/>
      <c r="N55" s="68"/>
      <c r="O55" s="64" t="s">
        <v>2813</v>
      </c>
      <c r="P55" s="147" t="s">
        <v>2761</v>
      </c>
      <c r="Q55" s="149"/>
      <c r="R55" s="141"/>
      <c r="S55" s="141"/>
      <c r="T55" s="141">
        <v>550000.0</v>
      </c>
      <c r="U55" s="149"/>
      <c r="V55" s="149"/>
      <c r="W55" s="149"/>
      <c r="X55" s="64" t="s">
        <v>2914</v>
      </c>
      <c r="Y55" s="64"/>
      <c r="Z55" s="68"/>
    </row>
    <row r="56" ht="15.0" customHeight="1">
      <c r="A56" s="139">
        <v>45734.0</v>
      </c>
      <c r="B56" s="148" t="s">
        <v>2911</v>
      </c>
      <c r="C56" s="64" t="s">
        <v>2770</v>
      </c>
      <c r="D56" s="140" t="str">
        <f>IFERROR(VLOOKUP(C56,Stock,3,FALSE),"")</f>
        <v>Transport</v>
      </c>
      <c r="E56" s="64">
        <v>1.0</v>
      </c>
      <c r="F56" s="141">
        <v>100000.0</v>
      </c>
      <c r="G56" s="142">
        <f t="shared" si="4"/>
        <v>100000</v>
      </c>
      <c r="H56" s="142"/>
      <c r="I56" s="143">
        <f t="shared" si="5"/>
        <v>100000</v>
      </c>
      <c r="J56" s="144">
        <f t="shared" si="6"/>
        <v>100000</v>
      </c>
      <c r="K56" s="151" t="s">
        <v>2912</v>
      </c>
      <c r="L56" s="146" t="s">
        <v>2913</v>
      </c>
      <c r="M56" s="140"/>
      <c r="N56" s="68"/>
      <c r="O56" s="64" t="s">
        <v>2813</v>
      </c>
      <c r="P56" s="147" t="s">
        <v>2761</v>
      </c>
      <c r="Q56" s="149"/>
      <c r="R56" s="141"/>
      <c r="S56" s="141"/>
      <c r="T56" s="141">
        <v>100000.0</v>
      </c>
      <c r="U56" s="149"/>
      <c r="V56" s="149"/>
      <c r="W56" s="149"/>
      <c r="X56" s="64" t="s">
        <v>2914</v>
      </c>
      <c r="Y56" s="64"/>
      <c r="Z56" s="68"/>
    </row>
    <row r="57" ht="15.0" customHeight="1">
      <c r="A57" s="139">
        <v>45735.0</v>
      </c>
      <c r="B57" s="148" t="s">
        <v>2915</v>
      </c>
      <c r="C57" s="64" t="s">
        <v>2916</v>
      </c>
      <c r="D57" s="140" t="str">
        <f>IFERROR(VLOOKUP(C57,Stock,3,FALSE),"")</f>
        <v>Toyota Alphard 08-15 ANH20 2nd Gen (Hitam)</v>
      </c>
      <c r="E57" s="64">
        <v>1.0</v>
      </c>
      <c r="F57" s="141">
        <v>2944000.0</v>
      </c>
      <c r="G57" s="142">
        <f t="shared" si="4"/>
        <v>2944000</v>
      </c>
      <c r="H57" s="142"/>
      <c r="I57" s="143">
        <f t="shared" si="5"/>
        <v>2944000</v>
      </c>
      <c r="J57" s="144">
        <f t="shared" si="6"/>
        <v>2944000</v>
      </c>
      <c r="K57" s="145" t="s">
        <v>2917</v>
      </c>
      <c r="L57" s="146" t="s">
        <v>2918</v>
      </c>
      <c r="M57" s="140"/>
      <c r="N57" s="68"/>
      <c r="O57" s="64" t="s">
        <v>2813</v>
      </c>
      <c r="P57" s="147" t="s">
        <v>2761</v>
      </c>
      <c r="Q57" s="149"/>
      <c r="R57" s="141"/>
      <c r="S57" s="141"/>
      <c r="T57" s="141">
        <v>2944000.0</v>
      </c>
      <c r="U57" s="149"/>
      <c r="V57" s="149"/>
      <c r="W57" s="149"/>
      <c r="X57" s="64" t="s">
        <v>2914</v>
      </c>
      <c r="Y57" s="64"/>
      <c r="Z57" s="68"/>
    </row>
    <row r="58" ht="15.0" customHeight="1">
      <c r="A58" s="139">
        <v>45735.0</v>
      </c>
      <c r="B58" s="148" t="s">
        <v>2915</v>
      </c>
      <c r="C58" s="64" t="s">
        <v>2770</v>
      </c>
      <c r="D58" s="140" t="str">
        <f>IFERROR(VLOOKUP(C58,Stock,3,FALSE),"")</f>
        <v>Transport</v>
      </c>
      <c r="E58" s="64">
        <v>1.0</v>
      </c>
      <c r="F58" s="141">
        <v>50000.0</v>
      </c>
      <c r="G58" s="142">
        <f t="shared" si="4"/>
        <v>50000</v>
      </c>
      <c r="H58" s="142"/>
      <c r="I58" s="143">
        <f t="shared" si="5"/>
        <v>50000</v>
      </c>
      <c r="J58" s="144">
        <f t="shared" si="6"/>
        <v>50000</v>
      </c>
      <c r="K58" s="145" t="s">
        <v>2917</v>
      </c>
      <c r="L58" s="146" t="s">
        <v>2918</v>
      </c>
      <c r="M58" s="140"/>
      <c r="N58" s="68"/>
      <c r="O58" s="64" t="s">
        <v>2813</v>
      </c>
      <c r="P58" s="147" t="s">
        <v>2761</v>
      </c>
      <c r="Q58" s="149"/>
      <c r="R58" s="141"/>
      <c r="S58" s="141"/>
      <c r="T58" s="141">
        <v>50000.0</v>
      </c>
      <c r="U58" s="149"/>
      <c r="V58" s="149"/>
      <c r="W58" s="149"/>
      <c r="X58" s="64" t="s">
        <v>2914</v>
      </c>
      <c r="Y58" s="64"/>
      <c r="Z58" s="68"/>
    </row>
    <row r="59" ht="15.0" customHeight="1">
      <c r="A59" s="139">
        <v>45735.0</v>
      </c>
      <c r="B59" s="148" t="s">
        <v>2919</v>
      </c>
      <c r="C59" s="64" t="s">
        <v>2792</v>
      </c>
      <c r="D59" s="140" t="str">
        <f>IFERROR(VLOOKUP(C59,Stock,3,FALSE),"")</f>
        <v>Toyota Calya / Sigra 16-</v>
      </c>
      <c r="E59" s="64">
        <v>1.0</v>
      </c>
      <c r="F59" s="141">
        <v>850000.0</v>
      </c>
      <c r="G59" s="142">
        <f t="shared" si="4"/>
        <v>850000</v>
      </c>
      <c r="H59" s="142"/>
      <c r="I59" s="143">
        <f t="shared" si="5"/>
        <v>850000</v>
      </c>
      <c r="J59" s="144">
        <f t="shared" si="6"/>
        <v>850000</v>
      </c>
      <c r="K59" s="145" t="s">
        <v>2920</v>
      </c>
      <c r="L59" s="146" t="s">
        <v>2921</v>
      </c>
      <c r="M59" s="140"/>
      <c r="N59" s="68"/>
      <c r="O59" s="64" t="s">
        <v>2922</v>
      </c>
      <c r="P59" s="147" t="s">
        <v>2761</v>
      </c>
      <c r="Q59" s="149"/>
      <c r="R59" s="141"/>
      <c r="S59" s="141"/>
      <c r="T59" s="141">
        <v>850000.0</v>
      </c>
      <c r="U59" s="149"/>
      <c r="V59" s="149"/>
      <c r="W59" s="149"/>
      <c r="X59" s="64" t="s">
        <v>2914</v>
      </c>
      <c r="Y59" s="64"/>
      <c r="Z59" s="68"/>
    </row>
    <row r="60" ht="15.0" customHeight="1">
      <c r="A60" s="139">
        <v>45735.0</v>
      </c>
      <c r="B60" s="148" t="s">
        <v>2923</v>
      </c>
      <c r="C60" s="64" t="s">
        <v>2924</v>
      </c>
      <c r="D60" s="140" t="str">
        <f>IFERROR(VLOOKUP(C60,Stock,3,FALSE),"")</f>
        <v>Suzuki Ertiga 12-18 1st Gen MPV</v>
      </c>
      <c r="E60" s="64">
        <v>1.0</v>
      </c>
      <c r="F60" s="141">
        <v>1300000.0</v>
      </c>
      <c r="G60" s="142">
        <f t="shared" si="4"/>
        <v>1300000</v>
      </c>
      <c r="H60" s="142"/>
      <c r="I60" s="143">
        <f t="shared" si="5"/>
        <v>1300000</v>
      </c>
      <c r="J60" s="144">
        <f t="shared" si="6"/>
        <v>1300000</v>
      </c>
      <c r="K60" s="145" t="s">
        <v>2925</v>
      </c>
      <c r="L60" s="146" t="s">
        <v>2926</v>
      </c>
      <c r="M60" s="140"/>
      <c r="N60" s="68"/>
      <c r="O60" s="64" t="s">
        <v>2813</v>
      </c>
      <c r="P60" s="147" t="s">
        <v>2761</v>
      </c>
      <c r="Q60" s="141">
        <v>1300000.0</v>
      </c>
      <c r="R60" s="68"/>
      <c r="S60" s="68"/>
      <c r="T60" s="68"/>
      <c r="U60" s="149"/>
      <c r="V60" s="149"/>
      <c r="W60" s="149"/>
      <c r="X60" s="64" t="s">
        <v>2914</v>
      </c>
      <c r="Y60" s="64"/>
      <c r="Z60" s="68"/>
    </row>
    <row r="61" ht="15.0" customHeight="1">
      <c r="A61" s="139">
        <v>45735.0</v>
      </c>
      <c r="B61" s="148" t="s">
        <v>2923</v>
      </c>
      <c r="C61" s="64" t="s">
        <v>2770</v>
      </c>
      <c r="D61" s="140" t="str">
        <f>IFERROR(VLOOKUP(C61,Stock,3,FALSE),"")</f>
        <v>Transport</v>
      </c>
      <c r="E61" s="64">
        <v>1.0</v>
      </c>
      <c r="F61" s="141">
        <v>100000.0</v>
      </c>
      <c r="G61" s="142">
        <f t="shared" si="4"/>
        <v>100000</v>
      </c>
      <c r="H61" s="142"/>
      <c r="I61" s="143">
        <f t="shared" si="5"/>
        <v>100000</v>
      </c>
      <c r="J61" s="144">
        <f t="shared" si="6"/>
        <v>100000</v>
      </c>
      <c r="K61" s="145" t="s">
        <v>2925</v>
      </c>
      <c r="L61" s="146" t="s">
        <v>2926</v>
      </c>
      <c r="M61" s="140"/>
      <c r="N61" s="68"/>
      <c r="O61" s="64" t="s">
        <v>2813</v>
      </c>
      <c r="P61" s="147" t="s">
        <v>2761</v>
      </c>
      <c r="Q61" s="68"/>
      <c r="R61" s="141"/>
      <c r="S61" s="141"/>
      <c r="T61" s="141">
        <v>100000.0</v>
      </c>
      <c r="U61" s="149"/>
      <c r="V61" s="149"/>
      <c r="W61" s="149"/>
      <c r="X61" s="64" t="s">
        <v>2914</v>
      </c>
      <c r="Y61" s="64"/>
      <c r="Z61" s="68"/>
    </row>
    <row r="62" ht="15.0" customHeight="1">
      <c r="A62" s="139">
        <v>45736.0</v>
      </c>
      <c r="B62" s="148" t="s">
        <v>2927</v>
      </c>
      <c r="C62" s="64" t="s">
        <v>2928</v>
      </c>
      <c r="D62" s="140" t="str">
        <f>IFERROR(VLOOKUP(C62,Stock,3,FALSE),"")</f>
        <v>Mers-Benz E-Class 17- W213 (1 Sensor/ □ )</v>
      </c>
      <c r="E62" s="64">
        <v>1.0</v>
      </c>
      <c r="F62" s="141">
        <v>8090000.0</v>
      </c>
      <c r="G62" s="142">
        <f t="shared" si="4"/>
        <v>8090000</v>
      </c>
      <c r="H62" s="142"/>
      <c r="I62" s="143">
        <f t="shared" si="5"/>
        <v>8090000</v>
      </c>
      <c r="J62" s="144">
        <f t="shared" si="6"/>
        <v>8090000</v>
      </c>
      <c r="K62" s="145" t="s">
        <v>2929</v>
      </c>
      <c r="L62" s="146" t="s">
        <v>2930</v>
      </c>
      <c r="M62" s="140"/>
      <c r="N62" s="68"/>
      <c r="O62" s="64" t="s">
        <v>2813</v>
      </c>
      <c r="P62" s="147" t="s">
        <v>2761</v>
      </c>
      <c r="Q62" s="149"/>
      <c r="R62" s="141"/>
      <c r="S62" s="141"/>
      <c r="T62" s="141">
        <v>900000.0</v>
      </c>
      <c r="U62" s="149"/>
      <c r="V62" s="149"/>
      <c r="W62" s="149"/>
      <c r="X62" s="64" t="s">
        <v>2914</v>
      </c>
      <c r="Y62" s="64"/>
      <c r="Z62" s="68"/>
    </row>
    <row r="63" ht="15.0" customHeight="1">
      <c r="A63" s="139">
        <v>45736.0</v>
      </c>
      <c r="B63" s="148" t="s">
        <v>2927</v>
      </c>
      <c r="C63" s="64" t="s">
        <v>2770</v>
      </c>
      <c r="D63" s="140" t="str">
        <f>IFERROR(VLOOKUP(C63,Stock,3,FALSE),"")</f>
        <v>Transport</v>
      </c>
      <c r="E63" s="64">
        <v>1.0</v>
      </c>
      <c r="F63" s="141">
        <v>150000.0</v>
      </c>
      <c r="G63" s="142">
        <f t="shared" si="4"/>
        <v>150000</v>
      </c>
      <c r="H63" s="142"/>
      <c r="I63" s="143">
        <f t="shared" si="5"/>
        <v>150000</v>
      </c>
      <c r="J63" s="144">
        <f t="shared" si="6"/>
        <v>150000</v>
      </c>
      <c r="K63" s="145" t="s">
        <v>2929</v>
      </c>
      <c r="L63" s="146" t="s">
        <v>2930</v>
      </c>
      <c r="M63" s="140"/>
      <c r="N63" s="68"/>
      <c r="O63" s="64" t="s">
        <v>2813</v>
      </c>
      <c r="P63" s="147" t="s">
        <v>2761</v>
      </c>
      <c r="Q63" s="149"/>
      <c r="R63" s="149"/>
      <c r="S63" s="149"/>
      <c r="T63" s="149"/>
      <c r="U63" s="149"/>
      <c r="V63" s="149"/>
      <c r="W63" s="149"/>
      <c r="X63" s="64" t="s">
        <v>2914</v>
      </c>
      <c r="Y63" s="64"/>
      <c r="Z63" s="68"/>
    </row>
    <row r="64" ht="15.0" customHeight="1">
      <c r="A64" s="139">
        <v>45737.0</v>
      </c>
      <c r="B64" s="148" t="s">
        <v>2931</v>
      </c>
      <c r="C64" s="64" t="s">
        <v>2932</v>
      </c>
      <c r="D64" s="140" t="str">
        <f>IFERROR(VLOOKUP(C64,Stock,3,FALSE),"")</f>
        <v>Mitsubishi Xpander 17-21</v>
      </c>
      <c r="E64" s="64">
        <v>1.0</v>
      </c>
      <c r="F64" s="141">
        <v>620000.0</v>
      </c>
      <c r="G64" s="142">
        <f t="shared" si="4"/>
        <v>620000</v>
      </c>
      <c r="H64" s="142"/>
      <c r="I64" s="143">
        <f t="shared" si="5"/>
        <v>620000</v>
      </c>
      <c r="J64" s="144">
        <f t="shared" si="6"/>
        <v>620000</v>
      </c>
      <c r="K64" s="145" t="s">
        <v>2933</v>
      </c>
      <c r="L64" s="146" t="s">
        <v>2934</v>
      </c>
      <c r="M64" s="140"/>
      <c r="N64" s="68"/>
      <c r="O64" s="64" t="s">
        <v>2935</v>
      </c>
      <c r="P64" s="147" t="s">
        <v>2858</v>
      </c>
      <c r="Q64" s="149"/>
      <c r="R64" s="149"/>
      <c r="S64" s="149"/>
      <c r="T64" s="149"/>
      <c r="U64" s="149">
        <f>J64+J65</f>
        <v>1412000</v>
      </c>
      <c r="V64" s="149"/>
      <c r="W64" s="149"/>
      <c r="X64" s="64" t="s">
        <v>2936</v>
      </c>
      <c r="Y64" s="64"/>
      <c r="Z64" s="68"/>
    </row>
    <row r="65" ht="15.0" customHeight="1">
      <c r="A65" s="139">
        <v>45737.0</v>
      </c>
      <c r="B65" s="148" t="s">
        <v>2931</v>
      </c>
      <c r="C65" s="64" t="s">
        <v>2937</v>
      </c>
      <c r="D65" s="140" t="str">
        <f>IFERROR(VLOOKUP(C65,Stock,3,FALSE),"")</f>
        <v>Mitsubishi Xpander 17- / Livina 19- 2nd Gen (Chrome)</v>
      </c>
      <c r="E65" s="64">
        <v>1.0</v>
      </c>
      <c r="F65" s="141">
        <v>792000.0</v>
      </c>
      <c r="G65" s="142">
        <f t="shared" si="4"/>
        <v>792000</v>
      </c>
      <c r="H65" s="142"/>
      <c r="I65" s="143">
        <f t="shared" si="5"/>
        <v>792000</v>
      </c>
      <c r="J65" s="144">
        <f t="shared" si="6"/>
        <v>792000</v>
      </c>
      <c r="K65" s="145" t="s">
        <v>2933</v>
      </c>
      <c r="L65" s="146" t="s">
        <v>2934</v>
      </c>
      <c r="M65" s="140"/>
      <c r="N65" s="68"/>
      <c r="O65" s="64" t="s">
        <v>2935</v>
      </c>
      <c r="P65" s="147" t="s">
        <v>2858</v>
      </c>
      <c r="Q65" s="149"/>
      <c r="R65" s="149"/>
      <c r="S65" s="149"/>
      <c r="T65" s="149"/>
      <c r="U65" s="149"/>
      <c r="V65" s="149"/>
      <c r="W65" s="149"/>
      <c r="X65" s="68"/>
      <c r="Y65" s="68"/>
      <c r="Z65" s="68"/>
    </row>
    <row r="66" ht="15.0" customHeight="1">
      <c r="A66" s="139">
        <v>45737.0</v>
      </c>
      <c r="B66" s="148" t="s">
        <v>2931</v>
      </c>
      <c r="C66" s="64" t="s">
        <v>2770</v>
      </c>
      <c r="D66" s="140" t="str">
        <f>IFERROR(VLOOKUP(C66,Stock,3,FALSE),"")</f>
        <v>Transport</v>
      </c>
      <c r="E66" s="64">
        <v>1.0</v>
      </c>
      <c r="F66" s="141">
        <v>100000.0</v>
      </c>
      <c r="G66" s="142">
        <f t="shared" si="4"/>
        <v>100000</v>
      </c>
      <c r="H66" s="142"/>
      <c r="I66" s="143">
        <f t="shared" si="5"/>
        <v>100000</v>
      </c>
      <c r="J66" s="144">
        <f t="shared" si="6"/>
        <v>100000</v>
      </c>
      <c r="K66" s="145" t="s">
        <v>2933</v>
      </c>
      <c r="L66" s="146" t="s">
        <v>2934</v>
      </c>
      <c r="M66" s="140"/>
      <c r="N66" s="68"/>
      <c r="O66" s="64" t="s">
        <v>2935</v>
      </c>
      <c r="P66" s="147" t="s">
        <v>2858</v>
      </c>
      <c r="Q66" s="149"/>
      <c r="R66" s="149"/>
      <c r="S66" s="149"/>
      <c r="T66" s="149"/>
      <c r="U66" s="149"/>
      <c r="V66" s="149"/>
      <c r="W66" s="149"/>
      <c r="X66" s="68"/>
      <c r="Y66" s="68"/>
      <c r="Z66" s="68"/>
    </row>
    <row r="67" ht="15.0" customHeight="1">
      <c r="A67" s="139">
        <v>45737.0</v>
      </c>
      <c r="B67" s="148" t="s">
        <v>2938</v>
      </c>
      <c r="C67" s="64" t="s">
        <v>2939</v>
      </c>
      <c r="D67" s="140" t="str">
        <f>IFERROR(VLOOKUP(C67,Stock,3,FALSE),"")</f>
        <v>Honda CR-V 17- 5th Gen</v>
      </c>
      <c r="E67" s="64">
        <v>1.0</v>
      </c>
      <c r="F67" s="141">
        <v>1546000.0</v>
      </c>
      <c r="G67" s="142">
        <f t="shared" si="4"/>
        <v>1546000</v>
      </c>
      <c r="H67" s="142"/>
      <c r="I67" s="143">
        <f t="shared" si="5"/>
        <v>1546000</v>
      </c>
      <c r="J67" s="144">
        <f t="shared" si="6"/>
        <v>1546000</v>
      </c>
      <c r="K67" s="145" t="s">
        <v>2940</v>
      </c>
      <c r="L67" s="146" t="s">
        <v>2941</v>
      </c>
      <c r="M67" s="140"/>
      <c r="N67" s="68"/>
      <c r="O67" s="64" t="s">
        <v>2942</v>
      </c>
      <c r="P67" s="147" t="s">
        <v>2761</v>
      </c>
      <c r="Q67" s="149"/>
      <c r="R67" s="149"/>
      <c r="S67" s="149"/>
      <c r="T67" s="149"/>
      <c r="U67" s="149"/>
      <c r="V67" s="149"/>
      <c r="W67" s="149"/>
      <c r="X67" s="68"/>
      <c r="Y67" s="68"/>
      <c r="Z67" s="68"/>
    </row>
    <row r="68" ht="15.0" customHeight="1">
      <c r="A68" s="139">
        <v>45737.0</v>
      </c>
      <c r="B68" s="148" t="s">
        <v>2943</v>
      </c>
      <c r="C68" s="64" t="s">
        <v>2944</v>
      </c>
      <c r="D68" s="140" t="str">
        <f>IFERROR(VLOOKUP(C68,Stock,3,FALSE),"")</f>
        <v>Toyota Innova 04-15 1st Gen</v>
      </c>
      <c r="E68" s="64">
        <v>1.0</v>
      </c>
      <c r="F68" s="141">
        <v>1250000.0</v>
      </c>
      <c r="G68" s="142">
        <f t="shared" si="4"/>
        <v>1250000</v>
      </c>
      <c r="H68" s="142"/>
      <c r="I68" s="143">
        <f t="shared" si="5"/>
        <v>1250000</v>
      </c>
      <c r="J68" s="144">
        <f t="shared" si="6"/>
        <v>1250000</v>
      </c>
      <c r="K68" s="145" t="s">
        <v>2945</v>
      </c>
      <c r="L68" s="146" t="s">
        <v>2946</v>
      </c>
      <c r="M68" s="140"/>
      <c r="N68" s="68"/>
      <c r="O68" s="64" t="s">
        <v>2813</v>
      </c>
      <c r="P68" s="147" t="s">
        <v>2761</v>
      </c>
      <c r="Q68" s="149"/>
      <c r="R68" s="141"/>
      <c r="S68" s="141"/>
      <c r="T68" s="141">
        <v>100000.0</v>
      </c>
      <c r="U68" s="149"/>
      <c r="V68" s="149"/>
      <c r="W68" s="149"/>
      <c r="X68" s="64" t="s">
        <v>2808</v>
      </c>
      <c r="Y68" s="64"/>
      <c r="Z68" s="68"/>
    </row>
    <row r="69" ht="15.0" customHeight="1">
      <c r="A69" s="139">
        <v>45737.0</v>
      </c>
      <c r="B69" s="148" t="s">
        <v>2943</v>
      </c>
      <c r="C69" s="64" t="s">
        <v>2770</v>
      </c>
      <c r="D69" s="140" t="str">
        <f>IFERROR(VLOOKUP(C69,Stock,3,FALSE),"")</f>
        <v>Transport</v>
      </c>
      <c r="E69" s="64">
        <v>1.0</v>
      </c>
      <c r="F69" s="141">
        <v>100000.0</v>
      </c>
      <c r="G69" s="142">
        <f t="shared" si="4"/>
        <v>100000</v>
      </c>
      <c r="H69" s="142"/>
      <c r="I69" s="143">
        <f t="shared" si="5"/>
        <v>100000</v>
      </c>
      <c r="J69" s="144">
        <f t="shared" si="6"/>
        <v>100000</v>
      </c>
      <c r="K69" s="145" t="s">
        <v>2945</v>
      </c>
      <c r="L69" s="146" t="s">
        <v>2946</v>
      </c>
      <c r="M69" s="140"/>
      <c r="N69" s="68"/>
      <c r="O69" s="64" t="s">
        <v>2813</v>
      </c>
      <c r="P69" s="147" t="s">
        <v>2761</v>
      </c>
      <c r="Q69" s="149"/>
      <c r="R69" s="149"/>
      <c r="S69" s="149"/>
      <c r="T69" s="149"/>
      <c r="U69" s="149"/>
      <c r="V69" s="149"/>
      <c r="W69" s="149"/>
      <c r="X69" s="64" t="s">
        <v>2808</v>
      </c>
      <c r="Y69" s="64"/>
      <c r="Z69" s="68"/>
    </row>
    <row r="70" ht="15.0" customHeight="1">
      <c r="A70" s="139">
        <v>45738.0</v>
      </c>
      <c r="B70" s="148" t="s">
        <v>2947</v>
      </c>
      <c r="C70" s="64" t="s">
        <v>2948</v>
      </c>
      <c r="D70" s="140" t="str">
        <f>IFERROR(VLOOKUP(C70,Stock,3,FALSE),"")</f>
        <v>Nissan March 10- K13</v>
      </c>
      <c r="E70" s="64">
        <v>1.0</v>
      </c>
      <c r="F70" s="141">
        <v>1528000.0</v>
      </c>
      <c r="G70" s="142">
        <f t="shared" si="4"/>
        <v>1528000</v>
      </c>
      <c r="H70" s="142"/>
      <c r="I70" s="143">
        <f t="shared" si="5"/>
        <v>1528000</v>
      </c>
      <c r="J70" s="144">
        <f t="shared" si="6"/>
        <v>1528000</v>
      </c>
      <c r="K70" s="145" t="s">
        <v>2949</v>
      </c>
      <c r="L70" s="146" t="s">
        <v>2950</v>
      </c>
      <c r="M70" s="140"/>
      <c r="N70" s="68"/>
      <c r="O70" s="64" t="s">
        <v>2813</v>
      </c>
      <c r="P70" s="147" t="s">
        <v>2761</v>
      </c>
      <c r="Q70" s="149"/>
      <c r="R70" s="149"/>
      <c r="S70" s="149"/>
      <c r="T70" s="149"/>
      <c r="U70" s="149"/>
      <c r="V70" s="149"/>
      <c r="W70" s="149"/>
      <c r="X70" s="64" t="s">
        <v>2808</v>
      </c>
      <c r="Y70" s="64"/>
      <c r="Z70" s="68"/>
    </row>
    <row r="71" ht="15.0" customHeight="1">
      <c r="A71" s="139">
        <v>45738.0</v>
      </c>
      <c r="B71" s="148" t="s">
        <v>2951</v>
      </c>
      <c r="C71" s="64" t="s">
        <v>2952</v>
      </c>
      <c r="D71" s="140" t="str">
        <f>IFERROR(VLOOKUP(C71,Stock,3,FALSE),"")</f>
        <v/>
      </c>
      <c r="E71" s="64">
        <v>1.0</v>
      </c>
      <c r="F71" s="141">
        <v>1020000.0</v>
      </c>
      <c r="G71" s="142">
        <f t="shared" si="4"/>
        <v>1020000</v>
      </c>
      <c r="H71" s="142"/>
      <c r="I71" s="143">
        <f t="shared" si="5"/>
        <v>1020000</v>
      </c>
      <c r="J71" s="144">
        <f t="shared" si="6"/>
        <v>1020000</v>
      </c>
      <c r="K71" s="145" t="s">
        <v>2953</v>
      </c>
      <c r="L71" s="146" t="s">
        <v>2954</v>
      </c>
      <c r="M71" s="140"/>
      <c r="N71" s="68"/>
      <c r="O71" s="64" t="s">
        <v>2813</v>
      </c>
      <c r="P71" s="147" t="s">
        <v>2761</v>
      </c>
      <c r="Q71" s="149"/>
      <c r="R71" s="141"/>
      <c r="S71" s="141"/>
      <c r="T71" s="141">
        <v>1020000.0</v>
      </c>
      <c r="U71" s="149"/>
      <c r="V71" s="149"/>
      <c r="W71" s="149"/>
      <c r="X71" s="64" t="s">
        <v>2808</v>
      </c>
      <c r="Y71" s="64"/>
      <c r="Z71" s="68"/>
    </row>
    <row r="72" ht="15.0" customHeight="1">
      <c r="A72" s="139">
        <v>45738.0</v>
      </c>
      <c r="B72" s="148" t="s">
        <v>2955</v>
      </c>
      <c r="C72" s="64" t="s">
        <v>2956</v>
      </c>
      <c r="D72" s="140" t="str">
        <f>IFERROR(VLOOKUP(C72,Stock,3,FALSE),"")</f>
        <v>Toyota Avanza / Xenia 21- 4th Gen</v>
      </c>
      <c r="E72" s="64">
        <v>1.0</v>
      </c>
      <c r="F72" s="141">
        <v>950000.0</v>
      </c>
      <c r="G72" s="142">
        <f t="shared" si="4"/>
        <v>950000</v>
      </c>
      <c r="H72" s="142"/>
      <c r="I72" s="143">
        <f t="shared" si="5"/>
        <v>950000</v>
      </c>
      <c r="J72" s="144">
        <f t="shared" si="6"/>
        <v>950000</v>
      </c>
      <c r="K72" s="151" t="s">
        <v>2957</v>
      </c>
      <c r="L72" s="146" t="s">
        <v>2958</v>
      </c>
      <c r="M72" s="140"/>
      <c r="N72" s="154" t="s">
        <v>2959</v>
      </c>
      <c r="O72" s="64" t="s">
        <v>2813</v>
      </c>
      <c r="P72" s="147" t="s">
        <v>2761</v>
      </c>
      <c r="Q72" s="149"/>
      <c r="R72" s="141"/>
      <c r="S72" s="141"/>
      <c r="T72" s="141">
        <v>950000.0</v>
      </c>
      <c r="U72" s="149"/>
      <c r="V72" s="149"/>
      <c r="W72" s="149"/>
      <c r="X72" s="64" t="s">
        <v>2891</v>
      </c>
      <c r="Y72" s="64"/>
      <c r="Z72" s="68"/>
    </row>
    <row r="73" ht="15.0" customHeight="1">
      <c r="A73" s="139">
        <v>45738.0</v>
      </c>
      <c r="B73" s="148" t="s">
        <v>2960</v>
      </c>
      <c r="C73" s="64" t="s">
        <v>2778</v>
      </c>
      <c r="D73" s="140" t="str">
        <f>IFERROR(VLOOKUP(C73,Stock,3,FALSE),"")</f>
        <v>Bongkar Pasang Kaca Mobil Depan</v>
      </c>
      <c r="E73" s="64">
        <v>1.0</v>
      </c>
      <c r="F73" s="141">
        <v>600000.0</v>
      </c>
      <c r="G73" s="142">
        <f t="shared" si="4"/>
        <v>600000</v>
      </c>
      <c r="H73" s="142"/>
      <c r="I73" s="143">
        <f t="shared" si="5"/>
        <v>600000</v>
      </c>
      <c r="J73" s="144">
        <f t="shared" si="6"/>
        <v>600000</v>
      </c>
      <c r="K73" s="145" t="s">
        <v>2887</v>
      </c>
      <c r="L73" s="146" t="s">
        <v>2961</v>
      </c>
      <c r="M73" s="140"/>
      <c r="N73" s="68"/>
      <c r="O73" s="64" t="s">
        <v>2813</v>
      </c>
      <c r="P73" s="147" t="s">
        <v>2761</v>
      </c>
      <c r="Q73" s="149"/>
      <c r="R73" s="149"/>
      <c r="S73" s="149"/>
      <c r="T73" s="149"/>
      <c r="U73" s="149"/>
      <c r="V73" s="149"/>
      <c r="W73" s="149"/>
      <c r="X73" s="68"/>
      <c r="Y73" s="68"/>
      <c r="Z73" s="68"/>
    </row>
    <row r="74" ht="15.0" customHeight="1">
      <c r="A74" s="139">
        <v>45738.0</v>
      </c>
      <c r="B74" s="148" t="s">
        <v>2960</v>
      </c>
      <c r="C74" s="64" t="s">
        <v>2962</v>
      </c>
      <c r="D74" s="140" t="str">
        <f>IFERROR(VLOOKUP(C74,Stock,3,FALSE),"")</f>
        <v>Lembur</v>
      </c>
      <c r="E74" s="64">
        <v>1.0</v>
      </c>
      <c r="F74" s="141">
        <v>100000.0</v>
      </c>
      <c r="G74" s="142">
        <f t="shared" si="4"/>
        <v>100000</v>
      </c>
      <c r="H74" s="142"/>
      <c r="I74" s="143">
        <f t="shared" si="5"/>
        <v>100000</v>
      </c>
      <c r="J74" s="144">
        <f t="shared" si="6"/>
        <v>100000</v>
      </c>
      <c r="K74" s="145" t="s">
        <v>2887</v>
      </c>
      <c r="L74" s="146" t="s">
        <v>2961</v>
      </c>
      <c r="M74" s="140"/>
      <c r="N74" s="68"/>
      <c r="O74" s="64" t="s">
        <v>2813</v>
      </c>
      <c r="P74" s="147" t="s">
        <v>2761</v>
      </c>
      <c r="Q74" s="149"/>
      <c r="R74" s="149"/>
      <c r="S74" s="149"/>
      <c r="T74" s="149"/>
      <c r="U74" s="149"/>
      <c r="V74" s="149"/>
      <c r="W74" s="149"/>
      <c r="X74" s="68"/>
      <c r="Y74" s="68"/>
      <c r="Z74" s="68"/>
    </row>
    <row r="75" ht="15.0" customHeight="1">
      <c r="A75" s="139">
        <v>45739.0</v>
      </c>
      <c r="B75" s="148" t="s">
        <v>2963</v>
      </c>
      <c r="C75" s="64" t="s">
        <v>2964</v>
      </c>
      <c r="D75" s="140" t="str">
        <f>IFERROR(VLOOKUP(C75,Stock,3,FALSE),"")</f>
        <v>Toyota Fortuner 15- 2nd Gen (Toyota)</v>
      </c>
      <c r="E75" s="64">
        <v>1.0</v>
      </c>
      <c r="F75" s="141">
        <v>1232000.0</v>
      </c>
      <c r="G75" s="142">
        <f t="shared" si="4"/>
        <v>1232000</v>
      </c>
      <c r="H75" s="142"/>
      <c r="I75" s="143">
        <f t="shared" si="5"/>
        <v>1232000</v>
      </c>
      <c r="J75" s="144">
        <f t="shared" si="6"/>
        <v>1232000</v>
      </c>
      <c r="K75" s="145" t="s">
        <v>2965</v>
      </c>
      <c r="L75" s="146" t="s">
        <v>2966</v>
      </c>
      <c r="M75" s="140"/>
      <c r="N75" s="68"/>
      <c r="O75" s="64" t="s">
        <v>2813</v>
      </c>
      <c r="P75" s="147" t="s">
        <v>2761</v>
      </c>
      <c r="Q75" s="149"/>
      <c r="R75" s="141"/>
      <c r="S75" s="141"/>
      <c r="T75" s="141">
        <v>246400.0</v>
      </c>
      <c r="U75" s="149"/>
      <c r="V75" s="149"/>
      <c r="W75" s="149"/>
      <c r="X75" s="68"/>
      <c r="Y75" s="68"/>
      <c r="Z75" s="68"/>
    </row>
    <row r="76" ht="15.0" customHeight="1">
      <c r="A76" s="139">
        <v>45741.0</v>
      </c>
      <c r="B76" s="148" t="s">
        <v>2967</v>
      </c>
      <c r="C76" s="64" t="s">
        <v>2968</v>
      </c>
      <c r="D76" s="140" t="str">
        <f>IFERROR(VLOOKUP(C76,Stock,3,FALSE),"")</f>
        <v>Toyota Rush / Terios 18-</v>
      </c>
      <c r="E76" s="64">
        <v>1.0</v>
      </c>
      <c r="F76" s="141">
        <v>1038000.0</v>
      </c>
      <c r="G76" s="142">
        <f t="shared" si="4"/>
        <v>1038000</v>
      </c>
      <c r="H76" s="142"/>
      <c r="I76" s="143">
        <f t="shared" si="5"/>
        <v>1038000</v>
      </c>
      <c r="J76" s="144">
        <f t="shared" si="6"/>
        <v>1038000</v>
      </c>
      <c r="K76" s="151" t="s">
        <v>2969</v>
      </c>
      <c r="L76" s="146" t="s">
        <v>2970</v>
      </c>
      <c r="M76" s="140"/>
      <c r="N76" s="154" t="s">
        <v>2971</v>
      </c>
      <c r="O76" s="64" t="s">
        <v>2813</v>
      </c>
      <c r="P76" s="147" t="s">
        <v>2761</v>
      </c>
      <c r="Q76" s="149"/>
      <c r="R76" s="149"/>
      <c r="S76" s="149"/>
      <c r="T76" s="149"/>
      <c r="U76" s="149"/>
      <c r="V76" s="149"/>
      <c r="W76" s="149"/>
      <c r="X76" s="68"/>
      <c r="Y76" s="68"/>
      <c r="Z76" s="68"/>
    </row>
    <row r="77" ht="15.0" customHeight="1">
      <c r="A77" s="139">
        <v>45740.0</v>
      </c>
      <c r="B77" s="148" t="s">
        <v>2972</v>
      </c>
      <c r="C77" s="64" t="s">
        <v>2973</v>
      </c>
      <c r="D77" s="140" t="str">
        <f>IFERROR(VLOOKUP(C77,Stock,3,FALSE),"")</f>
        <v>Suzuki Carry New 19-</v>
      </c>
      <c r="E77" s="64">
        <v>1.0</v>
      </c>
      <c r="F77" s="141">
        <v>1200000.0</v>
      </c>
      <c r="G77" s="142">
        <f t="shared" si="4"/>
        <v>1200000</v>
      </c>
      <c r="H77" s="142"/>
      <c r="I77" s="143">
        <f t="shared" si="5"/>
        <v>1200000</v>
      </c>
      <c r="J77" s="144">
        <f t="shared" si="6"/>
        <v>1200000</v>
      </c>
      <c r="K77" s="145" t="s">
        <v>2974</v>
      </c>
      <c r="L77" s="146" t="s">
        <v>2975</v>
      </c>
      <c r="M77" s="140"/>
      <c r="N77" s="68"/>
      <c r="O77" s="64" t="s">
        <v>2942</v>
      </c>
      <c r="P77" s="147" t="s">
        <v>2761</v>
      </c>
      <c r="Q77" s="149"/>
      <c r="R77" s="141"/>
      <c r="S77" s="141"/>
      <c r="T77" s="141">
        <v>1200000.0</v>
      </c>
      <c r="U77" s="149"/>
      <c r="V77" s="149"/>
      <c r="W77" s="149"/>
      <c r="X77" s="64" t="s">
        <v>2976</v>
      </c>
      <c r="Y77" s="64"/>
      <c r="Z77" s="68"/>
    </row>
    <row r="78" ht="15.0" customHeight="1">
      <c r="A78" s="139">
        <v>45740.0</v>
      </c>
      <c r="B78" s="148" t="s">
        <v>2972</v>
      </c>
      <c r="C78" s="64" t="s">
        <v>2770</v>
      </c>
      <c r="D78" s="140" t="str">
        <f>IFERROR(VLOOKUP(C78,Stock,3,FALSE),"")</f>
        <v>Transport</v>
      </c>
      <c r="E78" s="64">
        <v>1.0</v>
      </c>
      <c r="F78" s="141">
        <v>100000.0</v>
      </c>
      <c r="G78" s="142">
        <f t="shared" si="4"/>
        <v>100000</v>
      </c>
      <c r="H78" s="142"/>
      <c r="I78" s="143">
        <f t="shared" si="5"/>
        <v>100000</v>
      </c>
      <c r="J78" s="144">
        <f t="shared" si="6"/>
        <v>100000</v>
      </c>
      <c r="K78" s="145" t="s">
        <v>2974</v>
      </c>
      <c r="L78" s="146" t="s">
        <v>2975</v>
      </c>
      <c r="M78" s="140"/>
      <c r="N78" s="68"/>
      <c r="O78" s="64" t="s">
        <v>2942</v>
      </c>
      <c r="P78" s="147" t="s">
        <v>2761</v>
      </c>
      <c r="Q78" s="149"/>
      <c r="R78" s="141"/>
      <c r="S78" s="141"/>
      <c r="T78" s="141">
        <v>100000.0</v>
      </c>
      <c r="U78" s="149"/>
      <c r="V78" s="149"/>
      <c r="W78" s="149"/>
      <c r="X78" s="64" t="s">
        <v>2976</v>
      </c>
      <c r="Y78" s="64"/>
      <c r="Z78" s="68"/>
    </row>
    <row r="79" ht="15.0" customHeight="1">
      <c r="A79" s="139">
        <v>45736.0</v>
      </c>
      <c r="B79" s="148" t="s">
        <v>2977</v>
      </c>
      <c r="C79" s="64" t="s">
        <v>2978</v>
      </c>
      <c r="D79" s="140" t="str">
        <f>IFERROR(VLOOKUP(C79,Stock,3,FALSE),"")</f>
        <v>Chery QQ 03-15 S11 5D / Spark 98-05</v>
      </c>
      <c r="E79" s="64">
        <v>1.0</v>
      </c>
      <c r="F79" s="141">
        <v>1690000.0</v>
      </c>
      <c r="G79" s="142">
        <f t="shared" si="4"/>
        <v>1690000</v>
      </c>
      <c r="H79" s="142"/>
      <c r="I79" s="143">
        <f t="shared" si="5"/>
        <v>1690000</v>
      </c>
      <c r="J79" s="144">
        <f t="shared" si="6"/>
        <v>1690000</v>
      </c>
      <c r="K79" s="145" t="s">
        <v>2979</v>
      </c>
      <c r="L79" s="146" t="s">
        <v>2980</v>
      </c>
      <c r="M79" s="140"/>
      <c r="N79" s="64" t="s">
        <v>2981</v>
      </c>
      <c r="O79" s="64" t="s">
        <v>2982</v>
      </c>
      <c r="P79" s="147" t="s">
        <v>2761</v>
      </c>
      <c r="Q79" s="149"/>
      <c r="R79" s="141"/>
      <c r="S79" s="141"/>
      <c r="T79" s="141">
        <v>1690000.0</v>
      </c>
      <c r="U79" s="149"/>
      <c r="V79" s="149"/>
      <c r="W79" s="149"/>
      <c r="X79" s="68"/>
      <c r="Y79" s="68"/>
      <c r="Z79" s="68"/>
    </row>
    <row r="80" ht="15.0" customHeight="1">
      <c r="A80" s="139">
        <v>45741.0</v>
      </c>
      <c r="B80" s="148" t="s">
        <v>2983</v>
      </c>
      <c r="C80" s="64" t="s">
        <v>2778</v>
      </c>
      <c r="D80" s="140" t="str">
        <f>IFERROR(VLOOKUP(C80,Stock,3,FALSE),"")</f>
        <v>Bongkar Pasang Kaca Mobil Depan</v>
      </c>
      <c r="E80" s="64">
        <v>1.0</v>
      </c>
      <c r="F80" s="141">
        <v>500000.0</v>
      </c>
      <c r="G80" s="142">
        <f t="shared" si="4"/>
        <v>500000</v>
      </c>
      <c r="H80" s="142"/>
      <c r="I80" s="143">
        <f t="shared" si="5"/>
        <v>500000</v>
      </c>
      <c r="J80" s="144">
        <f t="shared" si="6"/>
        <v>500000</v>
      </c>
      <c r="K80" s="145" t="s">
        <v>2984</v>
      </c>
      <c r="L80" s="146" t="s">
        <v>2985</v>
      </c>
      <c r="M80" s="140"/>
      <c r="N80" s="64" t="s">
        <v>2986</v>
      </c>
      <c r="O80" s="64" t="s">
        <v>2987</v>
      </c>
      <c r="P80" s="147" t="s">
        <v>2761</v>
      </c>
      <c r="Q80" s="141">
        <v>500000.0</v>
      </c>
      <c r="R80" s="149"/>
      <c r="S80" s="149"/>
      <c r="T80" s="149"/>
      <c r="U80" s="149"/>
      <c r="V80" s="149"/>
      <c r="W80" s="149"/>
      <c r="X80" s="64" t="s">
        <v>2976</v>
      </c>
      <c r="Y80" s="64"/>
      <c r="Z80" s="68"/>
    </row>
    <row r="81" ht="15.0" customHeight="1">
      <c r="A81" s="139">
        <v>45741.0</v>
      </c>
      <c r="B81" s="148" t="s">
        <v>2983</v>
      </c>
      <c r="C81" s="64" t="s">
        <v>2770</v>
      </c>
      <c r="D81" s="140" t="str">
        <f>IFERROR(VLOOKUP(C81,Stock,3,FALSE),"")</f>
        <v>Transport</v>
      </c>
      <c r="E81" s="64">
        <v>1.0</v>
      </c>
      <c r="F81" s="141">
        <v>250000.0</v>
      </c>
      <c r="G81" s="142">
        <f t="shared" si="4"/>
        <v>250000</v>
      </c>
      <c r="H81" s="142"/>
      <c r="I81" s="143">
        <f t="shared" si="5"/>
        <v>250000</v>
      </c>
      <c r="J81" s="144">
        <f t="shared" si="6"/>
        <v>250000</v>
      </c>
      <c r="K81" s="145" t="s">
        <v>2984</v>
      </c>
      <c r="L81" s="146" t="s">
        <v>2985</v>
      </c>
      <c r="M81" s="140"/>
      <c r="N81" s="64" t="s">
        <v>2986</v>
      </c>
      <c r="O81" s="64" t="s">
        <v>2987</v>
      </c>
      <c r="P81" s="147" t="s">
        <v>2761</v>
      </c>
      <c r="Q81" s="141">
        <v>250000.0</v>
      </c>
      <c r="R81" s="149"/>
      <c r="S81" s="149"/>
      <c r="T81" s="149"/>
      <c r="U81" s="149"/>
      <c r="V81" s="149"/>
      <c r="W81" s="149"/>
      <c r="X81" s="64" t="s">
        <v>2976</v>
      </c>
      <c r="Y81" s="64"/>
      <c r="Z81" s="68"/>
    </row>
    <row r="82" ht="15.0" customHeight="1">
      <c r="A82" s="139">
        <v>45731.0</v>
      </c>
      <c r="B82" s="148" t="s">
        <v>2988</v>
      </c>
      <c r="C82" s="64" t="s">
        <v>2830</v>
      </c>
      <c r="D82" s="140" t="str">
        <f>IFERROR(VLOOKUP(C82,Stock,3,FALSE),"")</f>
        <v/>
      </c>
      <c r="E82" s="64"/>
      <c r="F82" s="149"/>
      <c r="G82" s="142">
        <f t="shared" si="4"/>
        <v>0</v>
      </c>
      <c r="H82" s="142"/>
      <c r="I82" s="143">
        <f t="shared" si="5"/>
        <v>0</v>
      </c>
      <c r="J82" s="144">
        <f t="shared" si="6"/>
        <v>0</v>
      </c>
      <c r="K82" s="155"/>
      <c r="L82" s="140"/>
      <c r="M82" s="140"/>
      <c r="N82" s="68"/>
      <c r="O82" s="68"/>
      <c r="P82" s="147" t="s">
        <v>2761</v>
      </c>
      <c r="Q82" s="149"/>
      <c r="R82" s="149"/>
      <c r="S82" s="149"/>
      <c r="T82" s="149"/>
      <c r="U82" s="149"/>
      <c r="V82" s="149"/>
      <c r="W82" s="149"/>
      <c r="X82" s="68"/>
      <c r="Y82" s="68"/>
      <c r="Z82" s="68"/>
    </row>
    <row r="83" ht="15.0" customHeight="1">
      <c r="A83" s="139">
        <v>45742.0</v>
      </c>
      <c r="B83" s="148" t="s">
        <v>2989</v>
      </c>
      <c r="C83" s="64" t="s">
        <v>2990</v>
      </c>
      <c r="D83" s="140" t="str">
        <f>IFERROR(VLOOKUP(C83,Stock,3,FALSE),"")</f>
        <v>Daihatsu Sirion 18- 3rd Gen</v>
      </c>
      <c r="E83" s="64">
        <v>1.0</v>
      </c>
      <c r="F83" s="141">
        <v>1750000.0</v>
      </c>
      <c r="G83" s="142">
        <f t="shared" si="4"/>
        <v>1750000</v>
      </c>
      <c r="H83" s="142"/>
      <c r="I83" s="143">
        <f t="shared" si="5"/>
        <v>1750000</v>
      </c>
      <c r="J83" s="144">
        <f t="shared" si="6"/>
        <v>1750000</v>
      </c>
      <c r="K83" s="145" t="s">
        <v>2991</v>
      </c>
      <c r="L83" s="146" t="s">
        <v>2992</v>
      </c>
      <c r="M83" s="140"/>
      <c r="N83" s="64" t="s">
        <v>2993</v>
      </c>
      <c r="O83" s="64" t="s">
        <v>2987</v>
      </c>
      <c r="P83" s="147" t="s">
        <v>2761</v>
      </c>
      <c r="Q83" s="149"/>
      <c r="R83" s="149"/>
      <c r="S83" s="149"/>
      <c r="T83" s="149"/>
      <c r="U83" s="149"/>
      <c r="V83" s="149"/>
      <c r="W83" s="149"/>
      <c r="X83" s="68"/>
      <c r="Y83" s="68"/>
      <c r="Z83" s="68"/>
    </row>
    <row r="84" ht="15.0" customHeight="1">
      <c r="A84" s="139">
        <v>45742.0</v>
      </c>
      <c r="B84" s="148" t="s">
        <v>2994</v>
      </c>
      <c r="C84" s="64" t="s">
        <v>2995</v>
      </c>
      <c r="D84" s="140" t="str">
        <f>IFERROR(VLOOKUP(C84,Stock,3,FALSE),"")</f>
        <v>Honda CR-V 02-04 2nd Gen (Spion Jepit)</v>
      </c>
      <c r="E84" s="64">
        <v>1.0</v>
      </c>
      <c r="F84" s="141">
        <v>1832000.0</v>
      </c>
      <c r="G84" s="142">
        <f t="shared" si="4"/>
        <v>1832000</v>
      </c>
      <c r="H84" s="142"/>
      <c r="I84" s="143">
        <f t="shared" si="5"/>
        <v>1832000</v>
      </c>
      <c r="J84" s="144">
        <f t="shared" si="6"/>
        <v>1832000</v>
      </c>
      <c r="K84" s="145" t="s">
        <v>2996</v>
      </c>
      <c r="L84" s="146" t="s">
        <v>2997</v>
      </c>
      <c r="M84" s="140"/>
      <c r="N84" s="64" t="s">
        <v>2998</v>
      </c>
      <c r="O84" s="64" t="s">
        <v>2999</v>
      </c>
      <c r="P84" s="147" t="s">
        <v>2761</v>
      </c>
      <c r="Q84" s="141"/>
      <c r="R84" s="141"/>
      <c r="S84" s="141"/>
      <c r="T84" s="141">
        <v>1832000.0</v>
      </c>
      <c r="U84" s="149"/>
      <c r="V84" s="149"/>
      <c r="W84" s="149"/>
      <c r="X84" s="68"/>
      <c r="Y84" s="68"/>
      <c r="Z84" s="68"/>
    </row>
    <row r="85" ht="15.0" customHeight="1">
      <c r="A85" s="139">
        <v>45742.0</v>
      </c>
      <c r="B85" s="148" t="s">
        <v>2994</v>
      </c>
      <c r="C85" s="64" t="s">
        <v>2770</v>
      </c>
      <c r="D85" s="140" t="str">
        <f>IFERROR(VLOOKUP(C85,Stock,3,FALSE),"")</f>
        <v>Transport</v>
      </c>
      <c r="E85" s="64">
        <v>1.0</v>
      </c>
      <c r="F85" s="141">
        <v>50000.0</v>
      </c>
      <c r="G85" s="142">
        <f t="shared" si="4"/>
        <v>50000</v>
      </c>
      <c r="H85" s="142"/>
      <c r="I85" s="143">
        <f t="shared" si="5"/>
        <v>50000</v>
      </c>
      <c r="J85" s="144">
        <f t="shared" si="6"/>
        <v>50000</v>
      </c>
      <c r="K85" s="145" t="s">
        <v>2996</v>
      </c>
      <c r="L85" s="146" t="s">
        <v>2997</v>
      </c>
      <c r="M85" s="140"/>
      <c r="N85" s="64" t="s">
        <v>2998</v>
      </c>
      <c r="O85" s="64" t="s">
        <v>2999</v>
      </c>
      <c r="P85" s="147" t="s">
        <v>2761</v>
      </c>
      <c r="Q85" s="141"/>
      <c r="R85" s="141"/>
      <c r="S85" s="141"/>
      <c r="T85" s="141">
        <v>50000.0</v>
      </c>
      <c r="U85" s="149"/>
      <c r="V85" s="149"/>
      <c r="W85" s="149"/>
      <c r="X85" s="68"/>
      <c r="Y85" s="68"/>
      <c r="Z85" s="68"/>
    </row>
    <row r="86" ht="15.0" customHeight="1">
      <c r="A86" s="139">
        <v>45743.0</v>
      </c>
      <c r="B86" s="148" t="s">
        <v>3000</v>
      </c>
      <c r="C86" s="64" t="s">
        <v>2877</v>
      </c>
      <c r="D86" s="140" t="str">
        <f>IFERROR(VLOOKUP(C86,Stock,3,FALSE),"")</f>
        <v>Toyota Dyna/Hino Dutro 00-</v>
      </c>
      <c r="E86" s="64">
        <v>1.0</v>
      </c>
      <c r="F86" s="141">
        <v>1250000.0</v>
      </c>
      <c r="G86" s="142">
        <f t="shared" si="4"/>
        <v>1250000</v>
      </c>
      <c r="H86" s="142"/>
      <c r="I86" s="143">
        <f t="shared" si="5"/>
        <v>1250000</v>
      </c>
      <c r="J86" s="144">
        <f t="shared" si="6"/>
        <v>1250000</v>
      </c>
      <c r="K86" s="145" t="s">
        <v>3001</v>
      </c>
      <c r="L86" s="146" t="s">
        <v>3002</v>
      </c>
      <c r="M86" s="140"/>
      <c r="N86" s="68"/>
      <c r="O86" s="64" t="s">
        <v>3003</v>
      </c>
      <c r="P86" s="147" t="s">
        <v>2761</v>
      </c>
      <c r="Q86" s="149"/>
      <c r="R86" s="149"/>
      <c r="S86" s="149"/>
      <c r="T86" s="149"/>
      <c r="U86" s="149"/>
      <c r="V86" s="149"/>
      <c r="W86" s="149"/>
      <c r="X86" s="68"/>
      <c r="Y86" s="68"/>
      <c r="Z86" s="68"/>
    </row>
    <row r="87" ht="15.0" customHeight="1">
      <c r="A87" s="139">
        <v>45743.0</v>
      </c>
      <c r="B87" s="148" t="s">
        <v>3000</v>
      </c>
      <c r="C87" s="64" t="s">
        <v>2770</v>
      </c>
      <c r="D87" s="140" t="str">
        <f>IFERROR(VLOOKUP(C87,Stock,3,FALSE),"")</f>
        <v>Transport</v>
      </c>
      <c r="E87" s="64">
        <v>1.0</v>
      </c>
      <c r="F87" s="141">
        <v>200000.0</v>
      </c>
      <c r="G87" s="142">
        <f t="shared" si="4"/>
        <v>200000</v>
      </c>
      <c r="H87" s="142"/>
      <c r="I87" s="143">
        <f t="shared" si="5"/>
        <v>200000</v>
      </c>
      <c r="J87" s="144">
        <f t="shared" si="6"/>
        <v>200000</v>
      </c>
      <c r="K87" s="145" t="s">
        <v>3001</v>
      </c>
      <c r="L87" s="146" t="s">
        <v>3002</v>
      </c>
      <c r="M87" s="140"/>
      <c r="N87" s="68"/>
      <c r="O87" s="64" t="s">
        <v>3003</v>
      </c>
      <c r="P87" s="147" t="s">
        <v>2761</v>
      </c>
      <c r="Q87" s="149"/>
      <c r="R87" s="149"/>
      <c r="S87" s="149"/>
      <c r="T87" s="149"/>
      <c r="U87" s="149"/>
      <c r="V87" s="149"/>
      <c r="W87" s="149"/>
      <c r="X87" s="68"/>
      <c r="Y87" s="68"/>
      <c r="Z87" s="68"/>
    </row>
    <row r="88" ht="15.0" customHeight="1">
      <c r="A88" s="139">
        <v>45743.0</v>
      </c>
      <c r="B88" s="148" t="s">
        <v>3004</v>
      </c>
      <c r="C88" s="64" t="s">
        <v>2952</v>
      </c>
      <c r="D88" s="140" t="str">
        <f>IFERROR(VLOOKUP(C88,Stock,3,FALSE),"")</f>
        <v/>
      </c>
      <c r="E88" s="64">
        <v>1.0</v>
      </c>
      <c r="F88" s="141">
        <v>1050000.0</v>
      </c>
      <c r="G88" s="142">
        <f t="shared" si="4"/>
        <v>1050000</v>
      </c>
      <c r="H88" s="142"/>
      <c r="I88" s="143">
        <f t="shared" si="5"/>
        <v>1050000</v>
      </c>
      <c r="J88" s="144">
        <f t="shared" si="6"/>
        <v>1050000</v>
      </c>
      <c r="K88" s="145" t="s">
        <v>3005</v>
      </c>
      <c r="L88" s="146" t="s">
        <v>3006</v>
      </c>
      <c r="M88" s="140"/>
      <c r="N88" s="68"/>
      <c r="O88" s="64" t="s">
        <v>3007</v>
      </c>
      <c r="P88" s="147" t="s">
        <v>2761</v>
      </c>
      <c r="Q88" s="149"/>
      <c r="R88" s="141"/>
      <c r="S88" s="141"/>
      <c r="T88" s="141">
        <v>100000.0</v>
      </c>
      <c r="U88" s="149"/>
      <c r="V88" s="149"/>
      <c r="W88" s="149"/>
      <c r="X88" s="64" t="s">
        <v>2808</v>
      </c>
      <c r="Y88" s="64"/>
      <c r="Z88" s="68"/>
    </row>
    <row r="89" ht="15.0" customHeight="1">
      <c r="A89" s="139">
        <v>45743.0</v>
      </c>
      <c r="B89" s="148" t="s">
        <v>3004</v>
      </c>
      <c r="C89" s="64" t="s">
        <v>2770</v>
      </c>
      <c r="D89" s="140" t="str">
        <f>IFERROR(VLOOKUP(C89,Stock,3,FALSE),"")</f>
        <v>Transport</v>
      </c>
      <c r="E89" s="64">
        <v>1.0</v>
      </c>
      <c r="F89" s="141">
        <v>150000.0</v>
      </c>
      <c r="G89" s="142">
        <f t="shared" si="4"/>
        <v>150000</v>
      </c>
      <c r="H89" s="142"/>
      <c r="I89" s="143">
        <f t="shared" si="5"/>
        <v>150000</v>
      </c>
      <c r="J89" s="144">
        <f t="shared" si="6"/>
        <v>150000</v>
      </c>
      <c r="K89" s="145" t="s">
        <v>3005</v>
      </c>
      <c r="L89" s="146" t="s">
        <v>3006</v>
      </c>
      <c r="M89" s="140"/>
      <c r="N89" s="68"/>
      <c r="O89" s="64" t="s">
        <v>3007</v>
      </c>
      <c r="P89" s="147" t="s">
        <v>2761</v>
      </c>
      <c r="Q89" s="149"/>
      <c r="R89" s="149"/>
      <c r="S89" s="149"/>
      <c r="T89" s="149"/>
      <c r="U89" s="149"/>
      <c r="V89" s="149"/>
      <c r="W89" s="149"/>
      <c r="X89" s="64" t="s">
        <v>2808</v>
      </c>
      <c r="Y89" s="64"/>
      <c r="Z89" s="68"/>
    </row>
    <row r="90" ht="15.0" customHeight="1">
      <c r="A90" s="139">
        <v>45744.0</v>
      </c>
      <c r="B90" s="148" t="s">
        <v>3008</v>
      </c>
      <c r="C90" s="64" t="s">
        <v>3009</v>
      </c>
      <c r="D90" s="140" t="str">
        <f>IFERROR(VLOOKUP(C90,Stock,3,FALSE),"")</f>
        <v>Honda Mobilio 14-</v>
      </c>
      <c r="E90" s="64">
        <v>1.0</v>
      </c>
      <c r="F90" s="141">
        <v>1151000.0</v>
      </c>
      <c r="G90" s="142">
        <f t="shared" si="4"/>
        <v>1151000</v>
      </c>
      <c r="H90" s="142"/>
      <c r="I90" s="143">
        <f t="shared" si="5"/>
        <v>1151000</v>
      </c>
      <c r="J90" s="144">
        <f t="shared" si="6"/>
        <v>1151000</v>
      </c>
      <c r="K90" s="145" t="s">
        <v>3010</v>
      </c>
      <c r="L90" s="146" t="s">
        <v>3011</v>
      </c>
      <c r="M90" s="140"/>
      <c r="N90" s="68"/>
      <c r="O90" s="64" t="s">
        <v>2795</v>
      </c>
      <c r="P90" s="147" t="s">
        <v>2761</v>
      </c>
      <c r="Q90" s="149"/>
      <c r="R90" s="141"/>
      <c r="S90" s="141"/>
      <c r="T90" s="141">
        <v>1151000.0</v>
      </c>
      <c r="U90" s="149"/>
      <c r="V90" s="149"/>
      <c r="W90" s="149"/>
      <c r="X90" s="64" t="s">
        <v>2976</v>
      </c>
      <c r="Y90" s="64"/>
      <c r="Z90" s="68"/>
    </row>
    <row r="91" ht="15.0" customHeight="1">
      <c r="A91" s="139">
        <v>45754.0</v>
      </c>
      <c r="B91" s="148" t="s">
        <v>3012</v>
      </c>
      <c r="C91" s="64" t="s">
        <v>3013</v>
      </c>
      <c r="D91" s="140" t="str">
        <f>IFERROR(VLOOKUP(C91,Stock,3,FALSE),"")</f>
        <v>Honda Freed 08-16 1st Gen (Honda)</v>
      </c>
      <c r="E91" s="64">
        <v>1.0</v>
      </c>
      <c r="F91" s="141">
        <v>3422000.0</v>
      </c>
      <c r="G91" s="142">
        <f t="shared" si="4"/>
        <v>3422000</v>
      </c>
      <c r="H91" s="142"/>
      <c r="I91" s="143">
        <f t="shared" si="5"/>
        <v>3422000</v>
      </c>
      <c r="J91" s="144">
        <f t="shared" si="6"/>
        <v>3422000</v>
      </c>
      <c r="K91" s="145" t="s">
        <v>3014</v>
      </c>
      <c r="L91" s="146" t="s">
        <v>3015</v>
      </c>
      <c r="M91" s="140"/>
      <c r="N91" s="68"/>
      <c r="O91" s="64" t="s">
        <v>2813</v>
      </c>
      <c r="P91" s="147" t="s">
        <v>2761</v>
      </c>
      <c r="Q91" s="149"/>
      <c r="R91" s="141"/>
      <c r="S91" s="141"/>
      <c r="T91" s="141">
        <v>1071600.0</v>
      </c>
      <c r="U91" s="149"/>
      <c r="V91" s="149"/>
      <c r="W91" s="149"/>
      <c r="X91" s="64" t="s">
        <v>2808</v>
      </c>
      <c r="Y91" s="64"/>
      <c r="Z91" s="68"/>
    </row>
    <row r="92" ht="15.0" customHeight="1">
      <c r="A92" s="139">
        <v>45754.0</v>
      </c>
      <c r="B92" s="148" t="s">
        <v>3012</v>
      </c>
      <c r="C92" s="64" t="s">
        <v>2770</v>
      </c>
      <c r="D92" s="140" t="str">
        <f>IFERROR(VLOOKUP(C92,Stock,3,FALSE),"")</f>
        <v>Transport</v>
      </c>
      <c r="E92" s="64">
        <v>1.0</v>
      </c>
      <c r="F92" s="141">
        <v>150000.0</v>
      </c>
      <c r="G92" s="142">
        <f t="shared" si="4"/>
        <v>150000</v>
      </c>
      <c r="H92" s="142"/>
      <c r="I92" s="143">
        <f t="shared" si="5"/>
        <v>150000</v>
      </c>
      <c r="J92" s="144">
        <f t="shared" si="6"/>
        <v>150000</v>
      </c>
      <c r="K92" s="145" t="s">
        <v>3014</v>
      </c>
      <c r="L92" s="146" t="s">
        <v>3015</v>
      </c>
      <c r="M92" s="140"/>
      <c r="N92" s="68"/>
      <c r="O92" s="64" t="s">
        <v>2813</v>
      </c>
      <c r="P92" s="147" t="s">
        <v>2761</v>
      </c>
      <c r="Q92" s="149"/>
      <c r="R92" s="149"/>
      <c r="S92" s="149"/>
      <c r="T92" s="149"/>
      <c r="U92" s="149"/>
      <c r="V92" s="149"/>
      <c r="W92" s="149"/>
      <c r="X92" s="64" t="s">
        <v>2808</v>
      </c>
      <c r="Y92" s="64"/>
      <c r="Z92" s="68"/>
    </row>
    <row r="93" ht="15.0" customHeight="1">
      <c r="A93" s="139">
        <v>45755.0</v>
      </c>
      <c r="B93" s="156" t="s">
        <v>3016</v>
      </c>
      <c r="C93" s="64" t="s">
        <v>3017</v>
      </c>
      <c r="D93" s="140" t="str">
        <f>IFERROR(VLOOKUP(C93,Stock,3,FALSE),"")</f>
        <v>Nissan X-Trail 01-07 T30</v>
      </c>
      <c r="E93" s="64">
        <v>1.0</v>
      </c>
      <c r="F93" s="141">
        <v>1950000.0</v>
      </c>
      <c r="G93" s="142">
        <f t="shared" si="4"/>
        <v>1950000</v>
      </c>
      <c r="H93" s="142"/>
      <c r="I93" s="143">
        <f t="shared" si="5"/>
        <v>1950000</v>
      </c>
      <c r="J93" s="144">
        <f t="shared" si="6"/>
        <v>1950000</v>
      </c>
      <c r="K93" s="145" t="s">
        <v>3018</v>
      </c>
      <c r="L93" s="146" t="s">
        <v>3019</v>
      </c>
      <c r="M93" s="140"/>
      <c r="N93" s="68"/>
      <c r="O93" s="64" t="s">
        <v>2813</v>
      </c>
      <c r="P93" s="147" t="s">
        <v>2761</v>
      </c>
      <c r="Q93" s="149"/>
      <c r="R93" s="141"/>
      <c r="S93" s="141"/>
      <c r="T93" s="141">
        <v>1950000.0</v>
      </c>
      <c r="U93" s="149"/>
      <c r="V93" s="149"/>
      <c r="W93" s="149"/>
      <c r="X93" s="64" t="s">
        <v>2808</v>
      </c>
      <c r="Y93" s="64"/>
      <c r="Z93" s="68"/>
    </row>
    <row r="94" ht="15.0" customHeight="1">
      <c r="A94" s="139">
        <v>45756.0</v>
      </c>
      <c r="B94" s="148" t="s">
        <v>3020</v>
      </c>
      <c r="C94" s="64" t="s">
        <v>3021</v>
      </c>
      <c r="D94" s="140" t="str">
        <f>IFERROR(VLOOKUP(C94,Stock,3,FALSE),"")</f>
        <v>Honda Freed 08-16 1st gen</v>
      </c>
      <c r="E94" s="64">
        <v>1.0</v>
      </c>
      <c r="F94" s="141">
        <v>1496000.0</v>
      </c>
      <c r="G94" s="142">
        <f t="shared" si="4"/>
        <v>1496000</v>
      </c>
      <c r="H94" s="142"/>
      <c r="I94" s="143">
        <f t="shared" si="5"/>
        <v>1496000</v>
      </c>
      <c r="J94" s="144">
        <f t="shared" si="6"/>
        <v>1496000</v>
      </c>
      <c r="K94" s="145" t="s">
        <v>3022</v>
      </c>
      <c r="L94" s="146" t="s">
        <v>3023</v>
      </c>
      <c r="M94" s="140"/>
      <c r="N94" s="68"/>
      <c r="O94" s="64" t="s">
        <v>2813</v>
      </c>
      <c r="P94" s="147" t="s">
        <v>2761</v>
      </c>
      <c r="Q94" s="149"/>
      <c r="R94" s="141"/>
      <c r="S94" s="141"/>
      <c r="T94" s="141">
        <v>1496000.0</v>
      </c>
      <c r="U94" s="149"/>
      <c r="V94" s="149"/>
      <c r="W94" s="149"/>
      <c r="X94" s="64" t="s">
        <v>2808</v>
      </c>
      <c r="Y94" s="64"/>
      <c r="Z94" s="68"/>
    </row>
    <row r="95" ht="15.0" customHeight="1">
      <c r="A95" s="139">
        <v>45756.0</v>
      </c>
      <c r="B95" s="148" t="s">
        <v>3024</v>
      </c>
      <c r="C95" s="64" t="s">
        <v>3025</v>
      </c>
      <c r="D95" s="140" t="str">
        <f>IFERROR(VLOOKUP(C95,Stock,3,FALSE),"")</f>
        <v>Toyota Innova 15- 2nd Gen</v>
      </c>
      <c r="E95" s="64">
        <v>1.0</v>
      </c>
      <c r="F95" s="141">
        <v>650000.0</v>
      </c>
      <c r="G95" s="142">
        <f t="shared" si="4"/>
        <v>650000</v>
      </c>
      <c r="H95" s="142"/>
      <c r="I95" s="143">
        <f t="shared" si="5"/>
        <v>650000</v>
      </c>
      <c r="J95" s="144">
        <f t="shared" si="6"/>
        <v>650000</v>
      </c>
      <c r="K95" s="151" t="s">
        <v>3026</v>
      </c>
      <c r="L95" s="146" t="s">
        <v>3027</v>
      </c>
      <c r="M95" s="140"/>
      <c r="N95" s="68"/>
      <c r="O95" s="64" t="s">
        <v>2813</v>
      </c>
      <c r="P95" s="147" t="s">
        <v>2761</v>
      </c>
      <c r="Q95" s="149"/>
      <c r="R95" s="141"/>
      <c r="S95" s="141"/>
      <c r="T95" s="141">
        <v>650000.0</v>
      </c>
      <c r="U95" s="149"/>
      <c r="V95" s="149"/>
      <c r="W95" s="149"/>
      <c r="X95" s="64" t="s">
        <v>2891</v>
      </c>
      <c r="Y95" s="64"/>
      <c r="Z95" s="68"/>
    </row>
    <row r="96" ht="15.0" customHeight="1">
      <c r="A96" s="139">
        <v>45757.0</v>
      </c>
      <c r="B96" s="148" t="s">
        <v>3028</v>
      </c>
      <c r="C96" s="64" t="s">
        <v>3029</v>
      </c>
      <c r="D96" s="140" t="str">
        <f>IFERROR(VLOOKUP(C96,Stock,3,FALSE),"")</f>
        <v>Mitsubishi Canter FE700 01- (PS110,125)</v>
      </c>
      <c r="E96" s="64">
        <v>1.0</v>
      </c>
      <c r="F96" s="141">
        <v>1194000.0</v>
      </c>
      <c r="G96" s="142">
        <f t="shared" si="4"/>
        <v>1194000</v>
      </c>
      <c r="H96" s="142"/>
      <c r="I96" s="143">
        <f t="shared" si="5"/>
        <v>1194000</v>
      </c>
      <c r="J96" s="144">
        <f t="shared" si="6"/>
        <v>1194000</v>
      </c>
      <c r="K96" s="151" t="s">
        <v>3030</v>
      </c>
      <c r="L96" s="146" t="s">
        <v>3031</v>
      </c>
      <c r="M96" s="140"/>
      <c r="N96" s="154" t="s">
        <v>3032</v>
      </c>
      <c r="O96" s="64" t="s">
        <v>3033</v>
      </c>
      <c r="P96" s="147" t="s">
        <v>2761</v>
      </c>
      <c r="Q96" s="149"/>
      <c r="R96" s="141"/>
      <c r="S96" s="141"/>
      <c r="T96" s="141">
        <v>1194000.0</v>
      </c>
      <c r="U96" s="149"/>
      <c r="V96" s="149"/>
      <c r="W96" s="149"/>
      <c r="X96" s="64" t="s">
        <v>2891</v>
      </c>
      <c r="Y96" s="64"/>
      <c r="Z96" s="68"/>
    </row>
    <row r="97" ht="15.0" customHeight="1">
      <c r="A97" s="139">
        <v>45757.0</v>
      </c>
      <c r="B97" s="148" t="s">
        <v>3028</v>
      </c>
      <c r="C97" s="64" t="s">
        <v>2770</v>
      </c>
      <c r="D97" s="140" t="str">
        <f>IFERROR(VLOOKUP(C97,Stock,3,FALSE),"")</f>
        <v>Transport</v>
      </c>
      <c r="E97" s="64">
        <v>1.0</v>
      </c>
      <c r="F97" s="141">
        <v>200000.0</v>
      </c>
      <c r="G97" s="142">
        <f t="shared" si="4"/>
        <v>200000</v>
      </c>
      <c r="H97" s="142"/>
      <c r="I97" s="143">
        <f t="shared" si="5"/>
        <v>200000</v>
      </c>
      <c r="J97" s="144">
        <f t="shared" si="6"/>
        <v>200000</v>
      </c>
      <c r="K97" s="151" t="s">
        <v>3030</v>
      </c>
      <c r="L97" s="146" t="s">
        <v>3031</v>
      </c>
      <c r="M97" s="140"/>
      <c r="N97" s="154" t="s">
        <v>3032</v>
      </c>
      <c r="O97" s="64" t="s">
        <v>3033</v>
      </c>
      <c r="P97" s="147" t="s">
        <v>2761</v>
      </c>
      <c r="Q97" s="149"/>
      <c r="R97" s="141"/>
      <c r="S97" s="141"/>
      <c r="T97" s="141">
        <v>200000.0</v>
      </c>
      <c r="U97" s="149"/>
      <c r="V97" s="149"/>
      <c r="W97" s="149"/>
      <c r="X97" s="64" t="s">
        <v>2891</v>
      </c>
      <c r="Y97" s="64"/>
      <c r="Z97" s="68"/>
    </row>
    <row r="98" ht="15.0" customHeight="1">
      <c r="A98" s="139">
        <v>45757.0</v>
      </c>
      <c r="B98" s="148" t="s">
        <v>3034</v>
      </c>
      <c r="C98" s="64" t="s">
        <v>3035</v>
      </c>
      <c r="D98" s="140" t="str">
        <f>IFERROR(VLOOKUP(C98,Stock,3,FALSE),"")</f>
        <v>Toyota Hi-Ace 04-20 Commuter With Frame</v>
      </c>
      <c r="E98" s="64">
        <v>1.0</v>
      </c>
      <c r="F98" s="141">
        <v>2695000.0</v>
      </c>
      <c r="G98" s="142">
        <f t="shared" si="4"/>
        <v>2695000</v>
      </c>
      <c r="H98" s="142"/>
      <c r="I98" s="143">
        <f t="shared" si="5"/>
        <v>2695000</v>
      </c>
      <c r="J98" s="144">
        <f t="shared" si="6"/>
        <v>2695000</v>
      </c>
      <c r="K98" s="145" t="s">
        <v>3036</v>
      </c>
      <c r="L98" s="146" t="s">
        <v>3037</v>
      </c>
      <c r="M98" s="140"/>
      <c r="N98" s="68"/>
      <c r="O98" s="64" t="s">
        <v>2813</v>
      </c>
      <c r="P98" s="147" t="s">
        <v>2761</v>
      </c>
      <c r="Q98" s="149"/>
      <c r="R98" s="141"/>
      <c r="S98" s="141"/>
      <c r="T98" s="141">
        <v>539000.0</v>
      </c>
      <c r="U98" s="149"/>
      <c r="V98" s="149"/>
      <c r="W98" s="149"/>
      <c r="X98" s="68"/>
      <c r="Y98" s="68"/>
      <c r="Z98" s="68"/>
    </row>
    <row r="99" ht="15.0" customHeight="1">
      <c r="A99" s="139">
        <v>45758.0</v>
      </c>
      <c r="B99" s="148" t="s">
        <v>3038</v>
      </c>
      <c r="C99" s="64" t="s">
        <v>2003</v>
      </c>
      <c r="D99" s="140" t="str">
        <f>IFERROR(VLOOKUP(C99,Stock,3,FALSE),"")</f>
        <v>Toyota Agya/Ayla 13-22 1st Gen</v>
      </c>
      <c r="E99" s="64">
        <v>1.0</v>
      </c>
      <c r="F99" s="141">
        <v>1050000.0</v>
      </c>
      <c r="G99" s="142">
        <f t="shared" si="4"/>
        <v>1050000</v>
      </c>
      <c r="H99" s="142"/>
      <c r="I99" s="143">
        <f t="shared" si="5"/>
        <v>1050000</v>
      </c>
      <c r="J99" s="144">
        <f t="shared" si="6"/>
        <v>1050000</v>
      </c>
      <c r="K99" s="145" t="s">
        <v>3039</v>
      </c>
      <c r="L99" s="146" t="s">
        <v>3040</v>
      </c>
      <c r="M99" s="140"/>
      <c r="N99" s="64" t="s">
        <v>3041</v>
      </c>
      <c r="O99" s="64" t="s">
        <v>2813</v>
      </c>
      <c r="P99" s="147" t="s">
        <v>2761</v>
      </c>
      <c r="Q99" s="149"/>
      <c r="R99" s="141"/>
      <c r="S99" s="141"/>
      <c r="T99" s="141">
        <v>1050000.0</v>
      </c>
      <c r="U99" s="149"/>
      <c r="V99" s="149"/>
      <c r="W99" s="149"/>
      <c r="X99" s="64" t="s">
        <v>2914</v>
      </c>
      <c r="Y99" s="64"/>
      <c r="Z99" s="68"/>
    </row>
    <row r="100" ht="15.0" customHeight="1">
      <c r="A100" s="139">
        <v>45758.0</v>
      </c>
      <c r="B100" s="148" t="s">
        <v>3042</v>
      </c>
      <c r="C100" s="64" t="s">
        <v>3043</v>
      </c>
      <c r="D100" s="140" t="str">
        <f>IFERROR(VLOOKUP(C100,Stock,3,FALSE),"")</f>
        <v>Honda CR-V 17- 5th Gen</v>
      </c>
      <c r="E100" s="64">
        <v>1.0</v>
      </c>
      <c r="F100" s="141">
        <v>2050000.0</v>
      </c>
      <c r="G100" s="142">
        <f t="shared" si="4"/>
        <v>2050000</v>
      </c>
      <c r="H100" s="142"/>
      <c r="I100" s="143">
        <f t="shared" si="5"/>
        <v>2050000</v>
      </c>
      <c r="J100" s="144">
        <f t="shared" si="6"/>
        <v>2050000</v>
      </c>
      <c r="K100" s="151" t="s">
        <v>3044</v>
      </c>
      <c r="L100" s="146" t="s">
        <v>3045</v>
      </c>
      <c r="M100" s="140"/>
      <c r="N100" s="154" t="s">
        <v>3046</v>
      </c>
      <c r="O100" s="64" t="s">
        <v>2813</v>
      </c>
      <c r="P100" s="147" t="s">
        <v>2761</v>
      </c>
      <c r="Q100" s="149"/>
      <c r="R100" s="141"/>
      <c r="S100" s="141"/>
      <c r="T100" s="141">
        <v>2050000.0</v>
      </c>
      <c r="U100" s="149"/>
      <c r="V100" s="149"/>
      <c r="W100" s="149"/>
      <c r="X100" s="68"/>
      <c r="Y100" s="68"/>
      <c r="Z100" s="68"/>
    </row>
    <row r="101" ht="15.0" customHeight="1">
      <c r="A101" s="139">
        <v>45759.0</v>
      </c>
      <c r="B101" s="148" t="s">
        <v>3047</v>
      </c>
      <c r="C101" s="64" t="s">
        <v>3048</v>
      </c>
      <c r="D101" s="140" t="str">
        <f>IFERROR(VLOOKUP(C101,Stock,3,FALSE),"")</f>
        <v>Biaya Pengecekan</v>
      </c>
      <c r="E101" s="64">
        <v>1.0</v>
      </c>
      <c r="F101" s="141">
        <v>300000.0</v>
      </c>
      <c r="G101" s="142">
        <f t="shared" si="4"/>
        <v>300000</v>
      </c>
      <c r="H101" s="142"/>
      <c r="I101" s="143">
        <f t="shared" si="5"/>
        <v>300000</v>
      </c>
      <c r="J101" s="144">
        <f t="shared" si="6"/>
        <v>300000</v>
      </c>
      <c r="K101" s="151" t="s">
        <v>3049</v>
      </c>
      <c r="L101" s="146" t="s">
        <v>3050</v>
      </c>
      <c r="M101" s="140"/>
      <c r="N101" s="68"/>
      <c r="O101" s="64" t="s">
        <v>2813</v>
      </c>
      <c r="P101" s="147" t="s">
        <v>2761</v>
      </c>
      <c r="Q101" s="149"/>
      <c r="R101" s="141"/>
      <c r="S101" s="141"/>
      <c r="T101" s="141">
        <v>300000.0</v>
      </c>
      <c r="U101" s="149"/>
      <c r="V101" s="149"/>
      <c r="W101" s="149"/>
      <c r="X101" s="64" t="s">
        <v>2891</v>
      </c>
      <c r="Y101" s="64"/>
      <c r="Z101" s="68"/>
    </row>
    <row r="102" ht="15.0" customHeight="1">
      <c r="A102" s="139">
        <v>45761.0</v>
      </c>
      <c r="B102" s="148" t="s">
        <v>3051</v>
      </c>
      <c r="C102" s="64" t="s">
        <v>3052</v>
      </c>
      <c r="D102" s="140" t="str">
        <f>IFERROR(VLOOKUP(C102,Stock,3,FALSE),"")</f>
        <v>Honda City 19- GN</v>
      </c>
      <c r="E102" s="64">
        <v>1.0</v>
      </c>
      <c r="F102" s="141">
        <v>2722000.0</v>
      </c>
      <c r="G102" s="142">
        <f t="shared" si="4"/>
        <v>2722000</v>
      </c>
      <c r="H102" s="142"/>
      <c r="I102" s="143">
        <f t="shared" si="5"/>
        <v>2722000</v>
      </c>
      <c r="J102" s="144">
        <f t="shared" si="6"/>
        <v>2722000</v>
      </c>
      <c r="K102" s="151" t="s">
        <v>3053</v>
      </c>
      <c r="L102" s="146" t="s">
        <v>3054</v>
      </c>
      <c r="M102" s="140"/>
      <c r="N102" s="154" t="s">
        <v>3055</v>
      </c>
      <c r="O102" s="64" t="s">
        <v>2813</v>
      </c>
      <c r="P102" s="147" t="s">
        <v>2761</v>
      </c>
      <c r="Q102" s="149"/>
      <c r="R102" s="141"/>
      <c r="S102" s="141"/>
      <c r="T102" s="141">
        <v>2722000.0</v>
      </c>
      <c r="U102" s="149"/>
      <c r="V102" s="149"/>
      <c r="W102" s="149"/>
      <c r="X102" s="68"/>
      <c r="Y102" s="68"/>
      <c r="Z102" s="68"/>
    </row>
    <row r="103" ht="15.0" customHeight="1">
      <c r="A103" s="139">
        <v>45761.0</v>
      </c>
      <c r="B103" s="148" t="s">
        <v>3051</v>
      </c>
      <c r="C103" s="64" t="s">
        <v>2770</v>
      </c>
      <c r="D103" s="140" t="str">
        <f>IFERROR(VLOOKUP(C103,Stock,3,FALSE),"")</f>
        <v>Transport</v>
      </c>
      <c r="E103" s="64">
        <v>1.0</v>
      </c>
      <c r="F103" s="141">
        <v>250000.0</v>
      </c>
      <c r="G103" s="142">
        <f t="shared" si="4"/>
        <v>250000</v>
      </c>
      <c r="H103" s="142"/>
      <c r="I103" s="143">
        <f t="shared" si="5"/>
        <v>250000</v>
      </c>
      <c r="J103" s="144">
        <f t="shared" si="6"/>
        <v>250000</v>
      </c>
      <c r="K103" s="151" t="s">
        <v>3053</v>
      </c>
      <c r="L103" s="146" t="s">
        <v>3054</v>
      </c>
      <c r="M103" s="140"/>
      <c r="N103" s="154" t="s">
        <v>3055</v>
      </c>
      <c r="O103" s="64" t="s">
        <v>2813</v>
      </c>
      <c r="P103" s="147" t="s">
        <v>2761</v>
      </c>
      <c r="Q103" s="149"/>
      <c r="R103" s="141"/>
      <c r="S103" s="141"/>
      <c r="T103" s="141">
        <v>250000.0</v>
      </c>
      <c r="U103" s="149"/>
      <c r="V103" s="149"/>
      <c r="W103" s="149"/>
      <c r="X103" s="68"/>
      <c r="Y103" s="68"/>
      <c r="Z103" s="68"/>
    </row>
    <row r="104" ht="15.0" customHeight="1">
      <c r="A104" s="139">
        <v>45761.0</v>
      </c>
      <c r="B104" s="148" t="s">
        <v>3056</v>
      </c>
      <c r="C104" s="64" t="s">
        <v>3057</v>
      </c>
      <c r="D104" s="140" t="str">
        <f>IFERROR(VLOOKUP(C104,Stock,3,FALSE),"")</f>
        <v>Toyota Innova 04-15 1st Gen</v>
      </c>
      <c r="E104" s="64">
        <v>1.0</v>
      </c>
      <c r="F104" s="141">
        <v>615000.0</v>
      </c>
      <c r="G104" s="142">
        <f t="shared" si="4"/>
        <v>615000</v>
      </c>
      <c r="H104" s="142"/>
      <c r="I104" s="143">
        <f t="shared" si="5"/>
        <v>615000</v>
      </c>
      <c r="J104" s="144">
        <f t="shared" si="6"/>
        <v>615000</v>
      </c>
      <c r="K104" s="145" t="s">
        <v>3058</v>
      </c>
      <c r="L104" s="146" t="s">
        <v>3059</v>
      </c>
      <c r="M104" s="140"/>
      <c r="N104" s="68"/>
      <c r="O104" s="64" t="s">
        <v>2813</v>
      </c>
      <c r="P104" s="147" t="s">
        <v>2761</v>
      </c>
      <c r="Q104" s="149"/>
      <c r="R104" s="149"/>
      <c r="S104" s="149"/>
      <c r="T104" s="149"/>
      <c r="U104" s="149"/>
      <c r="V104" s="149"/>
      <c r="W104" s="149"/>
      <c r="X104" s="68"/>
      <c r="Y104" s="68"/>
      <c r="Z104" s="68"/>
    </row>
    <row r="105" ht="15.0" customHeight="1">
      <c r="A105" s="139">
        <v>45761.0</v>
      </c>
      <c r="B105" s="148" t="s">
        <v>3056</v>
      </c>
      <c r="C105" s="64" t="s">
        <v>2962</v>
      </c>
      <c r="D105" s="140" t="str">
        <f>IFERROR(VLOOKUP(C105,Stock,3,FALSE),"")</f>
        <v>Lembur</v>
      </c>
      <c r="E105" s="64">
        <v>1.0</v>
      </c>
      <c r="F105" s="141">
        <v>50000.0</v>
      </c>
      <c r="G105" s="142">
        <f t="shared" si="4"/>
        <v>50000</v>
      </c>
      <c r="H105" s="142"/>
      <c r="I105" s="143">
        <f t="shared" si="5"/>
        <v>50000</v>
      </c>
      <c r="J105" s="144">
        <f t="shared" si="6"/>
        <v>50000</v>
      </c>
      <c r="K105" s="145" t="s">
        <v>3058</v>
      </c>
      <c r="L105" s="146" t="s">
        <v>3059</v>
      </c>
      <c r="M105" s="140"/>
      <c r="N105" s="68"/>
      <c r="O105" s="64" t="s">
        <v>2813</v>
      </c>
      <c r="P105" s="147" t="s">
        <v>2761</v>
      </c>
      <c r="Q105" s="149"/>
      <c r="R105" s="149"/>
      <c r="S105" s="149"/>
      <c r="T105" s="149"/>
      <c r="U105" s="149"/>
      <c r="V105" s="149"/>
      <c r="W105" s="149"/>
      <c r="X105" s="68"/>
      <c r="Y105" s="68"/>
      <c r="Z105" s="68"/>
    </row>
    <row r="106" ht="15.0" customHeight="1">
      <c r="A106" s="139">
        <v>45762.0</v>
      </c>
      <c r="B106" s="148" t="s">
        <v>3060</v>
      </c>
      <c r="C106" s="64" t="s">
        <v>2792</v>
      </c>
      <c r="D106" s="140" t="str">
        <f>IFERROR(VLOOKUP(C106,Stock,3,FALSE),"")</f>
        <v>Toyota Calya / Sigra 16-</v>
      </c>
      <c r="E106" s="64">
        <v>1.0</v>
      </c>
      <c r="F106" s="141">
        <v>850000.0</v>
      </c>
      <c r="G106" s="142">
        <f t="shared" si="4"/>
        <v>850000</v>
      </c>
      <c r="H106" s="142"/>
      <c r="I106" s="143">
        <f t="shared" si="5"/>
        <v>850000</v>
      </c>
      <c r="J106" s="144">
        <f t="shared" si="6"/>
        <v>850000</v>
      </c>
      <c r="K106" s="145" t="s">
        <v>3061</v>
      </c>
      <c r="L106" s="146" t="s">
        <v>3062</v>
      </c>
      <c r="M106" s="140"/>
      <c r="N106" s="64" t="s">
        <v>3063</v>
      </c>
      <c r="O106" s="64" t="s">
        <v>2813</v>
      </c>
      <c r="P106" s="147" t="s">
        <v>2761</v>
      </c>
      <c r="Q106" s="149"/>
      <c r="R106" s="141"/>
      <c r="S106" s="141"/>
      <c r="T106" s="141">
        <v>850000.0</v>
      </c>
      <c r="U106" s="149"/>
      <c r="V106" s="149"/>
      <c r="W106" s="149"/>
      <c r="X106" s="64" t="s">
        <v>2914</v>
      </c>
      <c r="Y106" s="64"/>
      <c r="Z106" s="68"/>
    </row>
    <row r="107" ht="15.0" customHeight="1">
      <c r="A107" s="139">
        <v>45765.0</v>
      </c>
      <c r="B107" s="148" t="s">
        <v>3064</v>
      </c>
      <c r="C107" s="64" t="s">
        <v>2869</v>
      </c>
      <c r="D107" s="140" t="str">
        <f>IFERROR(VLOOKUP(C107,Stock,3,FALSE),"")</f>
        <v>Daihatsu Gran Max / Luxio 07-</v>
      </c>
      <c r="E107" s="64">
        <v>1.0</v>
      </c>
      <c r="F107" s="141">
        <v>1000000.0</v>
      </c>
      <c r="G107" s="142">
        <f t="shared" si="4"/>
        <v>1000000</v>
      </c>
      <c r="H107" s="142"/>
      <c r="I107" s="143">
        <f t="shared" si="5"/>
        <v>1000000</v>
      </c>
      <c r="J107" s="144">
        <f t="shared" si="6"/>
        <v>1000000</v>
      </c>
      <c r="K107" s="145" t="s">
        <v>3065</v>
      </c>
      <c r="L107" s="146" t="s">
        <v>3066</v>
      </c>
      <c r="M107" s="140"/>
      <c r="N107" s="68"/>
      <c r="O107" s="64" t="s">
        <v>2813</v>
      </c>
      <c r="P107" s="147" t="s">
        <v>2761</v>
      </c>
      <c r="Q107" s="149"/>
      <c r="R107" s="149"/>
      <c r="S107" s="149"/>
      <c r="T107" s="149"/>
      <c r="U107" s="149"/>
      <c r="V107" s="149"/>
      <c r="W107" s="149"/>
      <c r="X107" s="64" t="s">
        <v>3067</v>
      </c>
      <c r="Y107" s="64"/>
      <c r="Z107" s="68"/>
    </row>
    <row r="108" ht="15.0" customHeight="1">
      <c r="A108" s="139">
        <v>45765.0</v>
      </c>
      <c r="B108" s="148" t="s">
        <v>3064</v>
      </c>
      <c r="C108" s="64" t="s">
        <v>2962</v>
      </c>
      <c r="D108" s="140" t="str">
        <f>IFERROR(VLOOKUP(C108,Stock,3,FALSE),"")</f>
        <v>Lembur</v>
      </c>
      <c r="E108" s="64">
        <v>1.0</v>
      </c>
      <c r="F108" s="141">
        <v>100000.0</v>
      </c>
      <c r="G108" s="142">
        <f t="shared" si="4"/>
        <v>100000</v>
      </c>
      <c r="H108" s="142"/>
      <c r="I108" s="143">
        <f t="shared" si="5"/>
        <v>100000</v>
      </c>
      <c r="J108" s="144">
        <f t="shared" si="6"/>
        <v>100000</v>
      </c>
      <c r="K108" s="145" t="s">
        <v>3065</v>
      </c>
      <c r="L108" s="146" t="s">
        <v>3066</v>
      </c>
      <c r="M108" s="140"/>
      <c r="N108" s="68"/>
      <c r="O108" s="64" t="s">
        <v>2813</v>
      </c>
      <c r="P108" s="147" t="s">
        <v>2761</v>
      </c>
      <c r="Q108" s="149"/>
      <c r="R108" s="149"/>
      <c r="S108" s="149"/>
      <c r="T108" s="149"/>
      <c r="U108" s="149"/>
      <c r="V108" s="149"/>
      <c r="W108" s="149"/>
      <c r="X108" s="68"/>
      <c r="Y108" s="68"/>
      <c r="Z108" s="68"/>
    </row>
    <row r="109" ht="15.0" customHeight="1">
      <c r="A109" s="139">
        <v>45766.0</v>
      </c>
      <c r="B109" s="148" t="s">
        <v>3068</v>
      </c>
      <c r="C109" s="64" t="s">
        <v>3069</v>
      </c>
      <c r="D109" s="140" t="str">
        <f>IFERROR(VLOOKUP(C109,Stock,3,FALSE),"")</f>
        <v>Isuzu Traga</v>
      </c>
      <c r="E109" s="64">
        <v>1.0</v>
      </c>
      <c r="F109" s="141">
        <v>1550000.0</v>
      </c>
      <c r="G109" s="142">
        <f t="shared" si="4"/>
        <v>1550000</v>
      </c>
      <c r="H109" s="142"/>
      <c r="I109" s="143">
        <f t="shared" si="5"/>
        <v>1550000</v>
      </c>
      <c r="J109" s="144">
        <f t="shared" si="6"/>
        <v>1550000</v>
      </c>
      <c r="K109" s="151" t="s">
        <v>3070</v>
      </c>
      <c r="L109" s="146" t="s">
        <v>3071</v>
      </c>
      <c r="M109" s="140"/>
      <c r="N109" s="68"/>
      <c r="O109" s="64" t="s">
        <v>2813</v>
      </c>
      <c r="P109" s="147" t="s">
        <v>2761</v>
      </c>
      <c r="Q109" s="149"/>
      <c r="R109" s="149"/>
      <c r="S109" s="149"/>
      <c r="T109" s="149"/>
      <c r="U109" s="149"/>
      <c r="V109" s="149"/>
      <c r="W109" s="149"/>
      <c r="X109" s="68"/>
      <c r="Y109" s="68"/>
      <c r="Z109" s="68"/>
    </row>
    <row r="110" ht="15.0" customHeight="1">
      <c r="A110" s="139">
        <v>45766.0</v>
      </c>
      <c r="B110" s="148" t="s">
        <v>3068</v>
      </c>
      <c r="C110" s="64" t="s">
        <v>2770</v>
      </c>
      <c r="D110" s="140" t="str">
        <f>IFERROR(VLOOKUP(C110,Stock,3,FALSE),"")</f>
        <v>Transport</v>
      </c>
      <c r="E110" s="64">
        <v>1.0</v>
      </c>
      <c r="F110" s="141">
        <v>200000.0</v>
      </c>
      <c r="G110" s="142">
        <f t="shared" si="4"/>
        <v>200000</v>
      </c>
      <c r="H110" s="142"/>
      <c r="I110" s="143">
        <f t="shared" si="5"/>
        <v>200000</v>
      </c>
      <c r="J110" s="144">
        <f t="shared" si="6"/>
        <v>200000</v>
      </c>
      <c r="K110" s="151" t="s">
        <v>3070</v>
      </c>
      <c r="L110" s="146" t="s">
        <v>3071</v>
      </c>
      <c r="M110" s="140"/>
      <c r="N110" s="68"/>
      <c r="O110" s="64" t="s">
        <v>2813</v>
      </c>
      <c r="P110" s="147" t="s">
        <v>2761</v>
      </c>
      <c r="Q110" s="149"/>
      <c r="R110" s="149"/>
      <c r="S110" s="149"/>
      <c r="T110" s="149"/>
      <c r="U110" s="149"/>
      <c r="V110" s="149"/>
      <c r="W110" s="149"/>
      <c r="X110" s="68"/>
      <c r="Y110" s="68"/>
      <c r="Z110" s="68"/>
    </row>
    <row r="111" ht="15.0" customHeight="1">
      <c r="A111" s="139">
        <v>45766.0</v>
      </c>
      <c r="B111" s="148" t="s">
        <v>3072</v>
      </c>
      <c r="C111" s="64" t="s">
        <v>3073</v>
      </c>
      <c r="D111" s="140" t="str">
        <f>IFERROR(VLOOKUP(C111,Stock,3,FALSE),"")</f>
        <v>Toyota Innova 15- 2nd Gen</v>
      </c>
      <c r="E111" s="64">
        <v>1.0</v>
      </c>
      <c r="F111" s="141">
        <v>1320000.0</v>
      </c>
      <c r="G111" s="142">
        <f t="shared" si="4"/>
        <v>1320000</v>
      </c>
      <c r="H111" s="142"/>
      <c r="I111" s="143">
        <f t="shared" si="5"/>
        <v>1320000</v>
      </c>
      <c r="J111" s="144">
        <f t="shared" si="6"/>
        <v>1320000</v>
      </c>
      <c r="K111" s="151" t="s">
        <v>3074</v>
      </c>
      <c r="L111" s="146" t="s">
        <v>3075</v>
      </c>
      <c r="M111" s="140"/>
      <c r="N111" s="154" t="s">
        <v>3076</v>
      </c>
      <c r="O111" s="64" t="s">
        <v>2813</v>
      </c>
      <c r="P111" s="147" t="s">
        <v>2761</v>
      </c>
      <c r="Q111" s="141">
        <v>1320000.0</v>
      </c>
      <c r="R111" s="149"/>
      <c r="S111" s="149"/>
      <c r="T111" s="149"/>
      <c r="U111" s="149"/>
      <c r="V111" s="149"/>
      <c r="W111" s="149"/>
      <c r="X111" s="68"/>
      <c r="Y111" s="68"/>
      <c r="Z111" s="68"/>
    </row>
    <row r="112" ht="15.0" customHeight="1">
      <c r="A112" s="139">
        <v>45766.0</v>
      </c>
      <c r="B112" s="148" t="s">
        <v>3072</v>
      </c>
      <c r="C112" s="64" t="s">
        <v>2770</v>
      </c>
      <c r="D112" s="140" t="str">
        <f>IFERROR(VLOOKUP(C112,Stock,3,FALSE),"")</f>
        <v>Transport</v>
      </c>
      <c r="E112" s="64">
        <v>1.0</v>
      </c>
      <c r="F112" s="141">
        <v>150000.0</v>
      </c>
      <c r="G112" s="142">
        <f t="shared" si="4"/>
        <v>150000</v>
      </c>
      <c r="H112" s="142"/>
      <c r="I112" s="143">
        <f t="shared" si="5"/>
        <v>150000</v>
      </c>
      <c r="J112" s="144">
        <f t="shared" si="6"/>
        <v>150000</v>
      </c>
      <c r="K112" s="151" t="s">
        <v>3074</v>
      </c>
      <c r="L112" s="146" t="s">
        <v>3075</v>
      </c>
      <c r="M112" s="140"/>
      <c r="N112" s="154" t="s">
        <v>3076</v>
      </c>
      <c r="O112" s="64" t="s">
        <v>2813</v>
      </c>
      <c r="P112" s="147" t="s">
        <v>2761</v>
      </c>
      <c r="Q112" s="141">
        <v>150000.0</v>
      </c>
      <c r="R112" s="149"/>
      <c r="S112" s="149"/>
      <c r="T112" s="149"/>
      <c r="U112" s="149"/>
      <c r="V112" s="149"/>
      <c r="W112" s="149"/>
      <c r="X112" s="68"/>
      <c r="Y112" s="68"/>
      <c r="Z112" s="68"/>
    </row>
    <row r="113" ht="15.0" customHeight="1">
      <c r="A113" s="139">
        <v>45766.0</v>
      </c>
      <c r="B113" s="148" t="s">
        <v>3077</v>
      </c>
      <c r="C113" s="64" t="s">
        <v>3078</v>
      </c>
      <c r="D113" s="140" t="str">
        <f>IFERROR(VLOOKUP(C113,Stock,3,FALSE),"")</f>
        <v>Suzuki Ertiga 12-18 1st Gen MPV</v>
      </c>
      <c r="E113" s="64">
        <v>1.0</v>
      </c>
      <c r="F113" s="141">
        <v>950000.0</v>
      </c>
      <c r="G113" s="142">
        <f t="shared" si="4"/>
        <v>950000</v>
      </c>
      <c r="H113" s="142"/>
      <c r="I113" s="143">
        <f t="shared" si="5"/>
        <v>950000</v>
      </c>
      <c r="J113" s="144">
        <f t="shared" si="6"/>
        <v>950000</v>
      </c>
      <c r="K113" s="145" t="s">
        <v>3079</v>
      </c>
      <c r="L113" s="146" t="s">
        <v>3075</v>
      </c>
      <c r="M113" s="140"/>
      <c r="N113" s="64" t="s">
        <v>3080</v>
      </c>
      <c r="O113" s="64" t="s">
        <v>2813</v>
      </c>
      <c r="P113" s="147" t="s">
        <v>2761</v>
      </c>
      <c r="Q113" s="149"/>
      <c r="R113" s="141"/>
      <c r="S113" s="141"/>
      <c r="T113" s="141">
        <v>750000.0</v>
      </c>
      <c r="U113" s="149"/>
      <c r="V113" s="149"/>
      <c r="W113" s="149"/>
      <c r="X113" s="64" t="s">
        <v>2808</v>
      </c>
      <c r="Y113" s="64"/>
      <c r="Z113" s="68"/>
    </row>
    <row r="114" ht="15.0" customHeight="1">
      <c r="A114" s="139">
        <v>45768.0</v>
      </c>
      <c r="B114" s="148" t="s">
        <v>3081</v>
      </c>
      <c r="C114" s="64" t="s">
        <v>3082</v>
      </c>
      <c r="D114" s="140" t="str">
        <f>IFERROR(VLOOKUP(C114,Stock,3,FALSE),"")</f>
        <v>BMW X5 Series 13-18 F15 (1 Sensor / O )</v>
      </c>
      <c r="E114" s="64">
        <v>1.0</v>
      </c>
      <c r="F114" s="141">
        <v>4622000.0</v>
      </c>
      <c r="G114" s="142">
        <f t="shared" si="4"/>
        <v>4622000</v>
      </c>
      <c r="H114" s="142"/>
      <c r="I114" s="143">
        <f t="shared" si="5"/>
        <v>4622000</v>
      </c>
      <c r="J114" s="144">
        <f t="shared" si="6"/>
        <v>4622000</v>
      </c>
      <c r="K114" s="145" t="s">
        <v>3083</v>
      </c>
      <c r="L114" s="146" t="s">
        <v>3084</v>
      </c>
      <c r="M114" s="140"/>
      <c r="N114" s="64" t="s">
        <v>3085</v>
      </c>
      <c r="O114" s="64" t="s">
        <v>2813</v>
      </c>
      <c r="P114" s="147" t="s">
        <v>2761</v>
      </c>
      <c r="Q114" s="149"/>
      <c r="R114" s="149"/>
      <c r="S114" s="149"/>
      <c r="T114" s="149"/>
      <c r="U114" s="149"/>
      <c r="V114" s="149"/>
      <c r="W114" s="149"/>
      <c r="X114" s="64" t="s">
        <v>2808</v>
      </c>
      <c r="Y114" s="64"/>
      <c r="Z114" s="68"/>
    </row>
    <row r="115" ht="15.0" customHeight="1">
      <c r="A115" s="139">
        <v>45769.0</v>
      </c>
      <c r="B115" s="148" t="s">
        <v>3086</v>
      </c>
      <c r="C115" s="64" t="s">
        <v>3087</v>
      </c>
      <c r="D115" s="140" t="str">
        <f>IFERROR(VLOOKUP(C115,Stock,3,FALSE),"")</f>
        <v>Mitsubishi Canter FE700 01- (PS110,125)</v>
      </c>
      <c r="E115" s="64">
        <v>1.0</v>
      </c>
      <c r="F115" s="141">
        <v>550000.0</v>
      </c>
      <c r="G115" s="142">
        <f t="shared" si="4"/>
        <v>550000</v>
      </c>
      <c r="H115" s="142"/>
      <c r="I115" s="143">
        <f t="shared" si="5"/>
        <v>550000</v>
      </c>
      <c r="J115" s="144">
        <f t="shared" si="6"/>
        <v>550000</v>
      </c>
      <c r="K115" s="151" t="s">
        <v>3074</v>
      </c>
      <c r="L115" s="146" t="s">
        <v>3075</v>
      </c>
      <c r="M115" s="140"/>
      <c r="N115" s="68"/>
      <c r="O115" s="64" t="s">
        <v>2813</v>
      </c>
      <c r="P115" s="147" t="s">
        <v>2761</v>
      </c>
      <c r="Q115" s="141">
        <v>550000.0</v>
      </c>
      <c r="R115" s="149"/>
      <c r="S115" s="149"/>
      <c r="T115" s="149"/>
      <c r="U115" s="149"/>
      <c r="V115" s="149"/>
      <c r="W115" s="149"/>
      <c r="X115" s="68"/>
      <c r="Y115" s="68"/>
      <c r="Z115" s="68"/>
    </row>
    <row r="116" ht="15.0" customHeight="1">
      <c r="A116" s="139">
        <v>45769.0</v>
      </c>
      <c r="B116" s="148" t="s">
        <v>3088</v>
      </c>
      <c r="C116" s="64" t="s">
        <v>2770</v>
      </c>
      <c r="D116" s="140" t="str">
        <f>IFERROR(VLOOKUP(C116,Stock,3,FALSE),"")</f>
        <v>Transport</v>
      </c>
      <c r="E116" s="64">
        <v>1.0</v>
      </c>
      <c r="F116" s="141">
        <v>150000.0</v>
      </c>
      <c r="G116" s="142">
        <f t="shared" si="4"/>
        <v>150000</v>
      </c>
      <c r="H116" s="142"/>
      <c r="I116" s="143">
        <f t="shared" si="5"/>
        <v>150000</v>
      </c>
      <c r="J116" s="144">
        <f t="shared" si="6"/>
        <v>150000</v>
      </c>
      <c r="K116" s="151" t="s">
        <v>3074</v>
      </c>
      <c r="L116" s="146" t="s">
        <v>3075</v>
      </c>
      <c r="M116" s="140"/>
      <c r="N116" s="154" t="s">
        <v>3076</v>
      </c>
      <c r="O116" s="64" t="s">
        <v>2813</v>
      </c>
      <c r="P116" s="147" t="s">
        <v>2761</v>
      </c>
      <c r="Q116" s="141">
        <v>150000.0</v>
      </c>
      <c r="R116" s="149"/>
      <c r="S116" s="149"/>
      <c r="T116" s="149"/>
      <c r="U116" s="149"/>
      <c r="V116" s="149"/>
      <c r="W116" s="149"/>
      <c r="X116" s="68"/>
      <c r="Y116" s="68"/>
      <c r="Z116" s="68"/>
    </row>
    <row r="117" ht="15.0" customHeight="1">
      <c r="A117" s="139">
        <v>45770.0</v>
      </c>
      <c r="B117" s="148" t="s">
        <v>3089</v>
      </c>
      <c r="C117" s="64" t="s">
        <v>3090</v>
      </c>
      <c r="D117" s="140" t="str">
        <f>IFERROR(VLOOKUP(C117,Stock,3,FALSE),"")</f>
        <v>Toyota Alphard 08-15 ANH20 2nd Gen</v>
      </c>
      <c r="E117" s="64">
        <v>1.0</v>
      </c>
      <c r="F117" s="141">
        <v>885000.0</v>
      </c>
      <c r="G117" s="142">
        <f t="shared" si="4"/>
        <v>885000</v>
      </c>
      <c r="H117" s="142"/>
      <c r="I117" s="143">
        <f t="shared" si="5"/>
        <v>885000</v>
      </c>
      <c r="J117" s="144">
        <f t="shared" si="6"/>
        <v>885000</v>
      </c>
      <c r="K117" s="151" t="s">
        <v>3091</v>
      </c>
      <c r="L117" s="146" t="s">
        <v>3092</v>
      </c>
      <c r="M117" s="140"/>
      <c r="N117" s="68"/>
      <c r="O117" s="64" t="s">
        <v>2813</v>
      </c>
      <c r="P117" s="147" t="s">
        <v>2761</v>
      </c>
      <c r="Q117" s="149"/>
      <c r="R117" s="141"/>
      <c r="S117" s="141"/>
      <c r="T117" s="141">
        <v>885000.0</v>
      </c>
      <c r="U117" s="149"/>
      <c r="V117" s="149"/>
      <c r="W117" s="149"/>
      <c r="X117" s="64" t="s">
        <v>2891</v>
      </c>
      <c r="Y117" s="64"/>
      <c r="Z117" s="68"/>
    </row>
    <row r="118" ht="15.0" customHeight="1">
      <c r="A118" s="139">
        <v>45771.0</v>
      </c>
      <c r="B118" s="148" t="s">
        <v>3093</v>
      </c>
      <c r="C118" s="64" t="s">
        <v>3094</v>
      </c>
      <c r="D118" s="140" t="str">
        <f>IFERROR(VLOOKUP(C118,Stock,3,FALSE),"")</f>
        <v>Taft GT Rocky / / Hiline / Feroza (Daihatsu)        </v>
      </c>
      <c r="E118" s="64">
        <v>1.0</v>
      </c>
      <c r="F118" s="141">
        <v>550000.0</v>
      </c>
      <c r="G118" s="142">
        <f t="shared" si="4"/>
        <v>550000</v>
      </c>
      <c r="H118" s="142"/>
      <c r="I118" s="143">
        <f t="shared" si="5"/>
        <v>550000</v>
      </c>
      <c r="J118" s="144">
        <f t="shared" si="6"/>
        <v>550000</v>
      </c>
      <c r="K118" s="145" t="s">
        <v>3095</v>
      </c>
      <c r="L118" s="146" t="s">
        <v>3096</v>
      </c>
      <c r="M118" s="140"/>
      <c r="N118" s="64" t="s">
        <v>3097</v>
      </c>
      <c r="O118" s="64" t="s">
        <v>2813</v>
      </c>
      <c r="P118" s="147" t="s">
        <v>2761</v>
      </c>
      <c r="Q118" s="149"/>
      <c r="R118" s="149"/>
      <c r="S118" s="149"/>
      <c r="T118" s="149"/>
      <c r="U118" s="149"/>
      <c r="V118" s="149"/>
      <c r="W118" s="149"/>
      <c r="X118" s="68"/>
      <c r="Y118" s="68"/>
      <c r="Z118" s="68"/>
    </row>
    <row r="119" ht="15.0" customHeight="1">
      <c r="A119" s="139">
        <v>45770.0</v>
      </c>
      <c r="B119" s="148" t="s">
        <v>3093</v>
      </c>
      <c r="C119" s="64" t="s">
        <v>3098</v>
      </c>
      <c r="D119" s="140" t="str">
        <f>IFERROR(VLOOKUP(C119,Stock,3,FALSE),"")</f>
        <v>Taft GT Rocky / / Hiline / Feroza (Daihatsu)        </v>
      </c>
      <c r="E119" s="64">
        <v>1.0</v>
      </c>
      <c r="F119" s="141">
        <v>550000.0</v>
      </c>
      <c r="G119" s="142">
        <f t="shared" si="4"/>
        <v>550000</v>
      </c>
      <c r="H119" s="142"/>
      <c r="I119" s="143">
        <f t="shared" si="5"/>
        <v>550000</v>
      </c>
      <c r="J119" s="144">
        <f t="shared" si="6"/>
        <v>550000</v>
      </c>
      <c r="K119" s="145" t="s">
        <v>3095</v>
      </c>
      <c r="L119" s="140"/>
      <c r="M119" s="140"/>
      <c r="N119" s="154" t="s">
        <v>3097</v>
      </c>
      <c r="O119" s="64" t="s">
        <v>2813</v>
      </c>
      <c r="P119" s="147" t="s">
        <v>2761</v>
      </c>
      <c r="Q119" s="149"/>
      <c r="R119" s="149"/>
      <c r="S119" s="149"/>
      <c r="T119" s="149"/>
      <c r="U119" s="149"/>
      <c r="V119" s="149"/>
      <c r="W119" s="149"/>
      <c r="X119" s="68"/>
      <c r="Y119" s="68"/>
      <c r="Z119" s="68"/>
    </row>
    <row r="120" ht="15.0" customHeight="1">
      <c r="A120" s="139">
        <v>45771.0</v>
      </c>
      <c r="B120" s="148" t="s">
        <v>3093</v>
      </c>
      <c r="C120" s="64" t="s">
        <v>2770</v>
      </c>
      <c r="D120" s="140" t="str">
        <f>IFERROR(VLOOKUP(C120,Stock,3,FALSE),"")</f>
        <v>Transport</v>
      </c>
      <c r="E120" s="64">
        <v>1.0</v>
      </c>
      <c r="F120" s="141">
        <v>150000.0</v>
      </c>
      <c r="G120" s="142">
        <f t="shared" si="4"/>
        <v>150000</v>
      </c>
      <c r="H120" s="142"/>
      <c r="I120" s="143">
        <f t="shared" si="5"/>
        <v>150000</v>
      </c>
      <c r="J120" s="144">
        <f t="shared" si="6"/>
        <v>150000</v>
      </c>
      <c r="K120" s="145" t="s">
        <v>3095</v>
      </c>
      <c r="L120" s="140"/>
      <c r="M120" s="140"/>
      <c r="N120" s="154" t="s">
        <v>3097</v>
      </c>
      <c r="O120" s="64" t="s">
        <v>2813</v>
      </c>
      <c r="P120" s="147" t="s">
        <v>2761</v>
      </c>
      <c r="Q120" s="149"/>
      <c r="R120" s="149"/>
      <c r="S120" s="149"/>
      <c r="T120" s="149"/>
      <c r="U120" s="149"/>
      <c r="V120" s="149"/>
      <c r="W120" s="149"/>
      <c r="X120" s="68"/>
      <c r="Y120" s="68"/>
      <c r="Z120" s="68"/>
    </row>
    <row r="121" ht="15.0" customHeight="1">
      <c r="A121" s="139">
        <v>45772.0</v>
      </c>
      <c r="B121" s="148" t="s">
        <v>3099</v>
      </c>
      <c r="C121" s="64" t="s">
        <v>3100</v>
      </c>
      <c r="D121" s="140" t="str">
        <f>IFERROR(VLOOKUP(C121,Stock,3,FALSE),"")</f>
        <v>Toyota Kijang 02-04 Kapsul Lem Efi</v>
      </c>
      <c r="E121" s="64">
        <v>1.0</v>
      </c>
      <c r="F121" s="141">
        <v>1400000.0</v>
      </c>
      <c r="G121" s="142">
        <f t="shared" si="4"/>
        <v>1400000</v>
      </c>
      <c r="H121" s="142"/>
      <c r="I121" s="143">
        <f t="shared" si="5"/>
        <v>1400000</v>
      </c>
      <c r="J121" s="144">
        <f t="shared" si="6"/>
        <v>1400000</v>
      </c>
      <c r="K121" s="151" t="s">
        <v>3101</v>
      </c>
      <c r="L121" s="146" t="s">
        <v>3102</v>
      </c>
      <c r="M121" s="140"/>
      <c r="N121" s="64" t="s">
        <v>3103</v>
      </c>
      <c r="O121" s="64" t="s">
        <v>2813</v>
      </c>
      <c r="P121" s="147" t="s">
        <v>2761</v>
      </c>
      <c r="Q121" s="149"/>
      <c r="R121" s="141"/>
      <c r="S121" s="141"/>
      <c r="T121" s="141">
        <v>1400000.0</v>
      </c>
      <c r="U121" s="149"/>
      <c r="V121" s="149"/>
      <c r="W121" s="149"/>
      <c r="X121" s="64" t="s">
        <v>2891</v>
      </c>
      <c r="Y121" s="64"/>
      <c r="Z121" s="68"/>
    </row>
    <row r="122" ht="15.0" customHeight="1">
      <c r="A122" s="139">
        <v>45772.0</v>
      </c>
      <c r="B122" s="148" t="s">
        <v>3099</v>
      </c>
      <c r="C122" s="64" t="s">
        <v>2770</v>
      </c>
      <c r="D122" s="140" t="str">
        <f>IFERROR(VLOOKUP(C122,Stock,3,FALSE),"")</f>
        <v>Transport</v>
      </c>
      <c r="E122" s="64">
        <v>1.0</v>
      </c>
      <c r="F122" s="141">
        <v>50000.0</v>
      </c>
      <c r="G122" s="142">
        <f t="shared" si="4"/>
        <v>50000</v>
      </c>
      <c r="H122" s="142"/>
      <c r="I122" s="143">
        <f t="shared" si="5"/>
        <v>50000</v>
      </c>
      <c r="J122" s="144">
        <f t="shared" si="6"/>
        <v>50000</v>
      </c>
      <c r="K122" s="151" t="s">
        <v>3101</v>
      </c>
      <c r="L122" s="146" t="s">
        <v>3102</v>
      </c>
      <c r="M122" s="140"/>
      <c r="N122" s="64" t="s">
        <v>3103</v>
      </c>
      <c r="O122" s="64" t="s">
        <v>2813</v>
      </c>
      <c r="P122" s="147" t="s">
        <v>2761</v>
      </c>
      <c r="Q122" s="149"/>
      <c r="R122" s="141"/>
      <c r="S122" s="141"/>
      <c r="T122" s="141">
        <v>50000.0</v>
      </c>
      <c r="U122" s="149"/>
      <c r="V122" s="149"/>
      <c r="W122" s="149"/>
      <c r="X122" s="64" t="s">
        <v>2891</v>
      </c>
      <c r="Y122" s="64"/>
      <c r="Z122" s="68"/>
    </row>
    <row r="123" ht="15.0" customHeight="1">
      <c r="A123" s="139">
        <v>45772.0</v>
      </c>
      <c r="B123" s="148" t="s">
        <v>3104</v>
      </c>
      <c r="C123" s="64" t="s">
        <v>3105</v>
      </c>
      <c r="D123" s="140" t="str">
        <f>IFERROR(VLOOKUP(C123,Stock,3,FALSE),"")</f>
        <v>Mers-Benz C-Class 14 - W205 (3 Sensor/ Δ□Δ)</v>
      </c>
      <c r="E123" s="64">
        <v>1.0</v>
      </c>
      <c r="F123" s="141">
        <v>4465000.0</v>
      </c>
      <c r="G123" s="142">
        <f t="shared" si="4"/>
        <v>4465000</v>
      </c>
      <c r="H123" s="142"/>
      <c r="I123" s="143">
        <f t="shared" si="5"/>
        <v>4465000</v>
      </c>
      <c r="J123" s="144">
        <f t="shared" si="6"/>
        <v>4465000</v>
      </c>
      <c r="K123" s="151" t="s">
        <v>3106</v>
      </c>
      <c r="L123" s="146" t="s">
        <v>3107</v>
      </c>
      <c r="M123" s="140"/>
      <c r="N123" s="68"/>
      <c r="O123" s="64" t="s">
        <v>2813</v>
      </c>
      <c r="P123" s="147" t="s">
        <v>2761</v>
      </c>
      <c r="Q123" s="149"/>
      <c r="R123" s="141"/>
      <c r="S123" s="141"/>
      <c r="T123" s="141">
        <v>3000000.0</v>
      </c>
      <c r="U123" s="149"/>
      <c r="V123" s="149"/>
      <c r="W123" s="149"/>
      <c r="X123" s="64" t="s">
        <v>2891</v>
      </c>
      <c r="Y123" s="64"/>
      <c r="Z123" s="68"/>
    </row>
    <row r="124" ht="15.0" customHeight="1">
      <c r="A124" s="139">
        <v>45772.0</v>
      </c>
      <c r="B124" s="148" t="s">
        <v>3108</v>
      </c>
      <c r="C124" s="64" t="s">
        <v>3109</v>
      </c>
      <c r="D124" s="140" t="str">
        <f>IFERROR(VLOOKUP(C124,Stock,3,FALSE),"")</f>
        <v>Toyota Camry 06-11 XV40 4th Gen</v>
      </c>
      <c r="E124" s="64">
        <v>1.0</v>
      </c>
      <c r="F124" s="141">
        <v>3100000.0</v>
      </c>
      <c r="G124" s="142">
        <f t="shared" si="4"/>
        <v>3100000</v>
      </c>
      <c r="H124" s="142"/>
      <c r="I124" s="143">
        <f t="shared" si="5"/>
        <v>3100000</v>
      </c>
      <c r="J124" s="144">
        <f t="shared" si="6"/>
        <v>3100000</v>
      </c>
      <c r="K124" s="145" t="s">
        <v>3110</v>
      </c>
      <c r="L124" s="146" t="s">
        <v>3111</v>
      </c>
      <c r="M124" s="140"/>
      <c r="N124" s="68"/>
      <c r="O124" s="64" t="s">
        <v>2813</v>
      </c>
      <c r="P124" s="147" t="s">
        <v>2761</v>
      </c>
      <c r="Q124" s="149"/>
      <c r="R124" s="141"/>
      <c r="S124" s="141"/>
      <c r="T124" s="141">
        <v>100000.0</v>
      </c>
      <c r="U124" s="149"/>
      <c r="V124" s="149"/>
      <c r="W124" s="149"/>
      <c r="X124" s="64" t="s">
        <v>2808</v>
      </c>
      <c r="Y124" s="64"/>
      <c r="Z124" s="68"/>
    </row>
    <row r="125" ht="15.0" customHeight="1">
      <c r="A125" s="139">
        <v>45772.0</v>
      </c>
      <c r="B125" s="148" t="s">
        <v>3108</v>
      </c>
      <c r="C125" s="64" t="s">
        <v>2770</v>
      </c>
      <c r="D125" s="140" t="str">
        <f>IFERROR(VLOOKUP(C125,Stock,3,FALSE),"")</f>
        <v>Transport</v>
      </c>
      <c r="E125" s="64">
        <v>1.0</v>
      </c>
      <c r="F125" s="141">
        <v>150000.0</v>
      </c>
      <c r="G125" s="142">
        <f t="shared" si="4"/>
        <v>150000</v>
      </c>
      <c r="H125" s="142"/>
      <c r="I125" s="143">
        <f t="shared" si="5"/>
        <v>150000</v>
      </c>
      <c r="J125" s="144">
        <f t="shared" si="6"/>
        <v>150000</v>
      </c>
      <c r="K125" s="145" t="s">
        <v>3110</v>
      </c>
      <c r="L125" s="146" t="s">
        <v>3111</v>
      </c>
      <c r="M125" s="140"/>
      <c r="N125" s="68"/>
      <c r="O125" s="64" t="s">
        <v>2813</v>
      </c>
      <c r="P125" s="147" t="s">
        <v>2761</v>
      </c>
      <c r="Q125" s="149"/>
      <c r="R125" s="149"/>
      <c r="S125" s="149"/>
      <c r="T125" s="149"/>
      <c r="U125" s="149"/>
      <c r="V125" s="149"/>
      <c r="W125" s="149"/>
      <c r="X125" s="64" t="s">
        <v>2808</v>
      </c>
      <c r="Y125" s="64"/>
      <c r="Z125" s="68"/>
    </row>
    <row r="126" ht="15.0" customHeight="1">
      <c r="A126" s="139">
        <v>45772.0</v>
      </c>
      <c r="B126" s="148" t="s">
        <v>3112</v>
      </c>
      <c r="C126" s="64" t="s">
        <v>3113</v>
      </c>
      <c r="D126" s="140" t="str">
        <f>IFERROR(VLOOKUP(C126,Stock,3,FALSE),"")</f>
        <v>Mitsubishi Pajero 16-</v>
      </c>
      <c r="E126" s="64">
        <v>1.0</v>
      </c>
      <c r="F126" s="141">
        <v>1800000.0</v>
      </c>
      <c r="G126" s="142">
        <f t="shared" si="4"/>
        <v>1800000</v>
      </c>
      <c r="H126" s="142"/>
      <c r="I126" s="143">
        <f t="shared" si="5"/>
        <v>1800000</v>
      </c>
      <c r="J126" s="144">
        <f t="shared" si="6"/>
        <v>1800000</v>
      </c>
      <c r="K126" s="145" t="s">
        <v>3114</v>
      </c>
      <c r="L126" s="146" t="s">
        <v>3115</v>
      </c>
      <c r="M126" s="140"/>
      <c r="N126" s="68"/>
      <c r="O126" s="64" t="s">
        <v>2813</v>
      </c>
      <c r="P126" s="147" t="s">
        <v>2761</v>
      </c>
      <c r="Q126" s="149"/>
      <c r="R126" s="149"/>
      <c r="S126" s="149"/>
      <c r="T126" s="149"/>
      <c r="U126" s="149"/>
      <c r="V126" s="149"/>
      <c r="W126" s="149"/>
      <c r="X126" s="64" t="s">
        <v>2808</v>
      </c>
      <c r="Y126" s="64"/>
      <c r="Z126" s="68"/>
    </row>
    <row r="127" ht="15.0" customHeight="1">
      <c r="A127" s="139">
        <v>45772.0</v>
      </c>
      <c r="B127" s="148" t="s">
        <v>3116</v>
      </c>
      <c r="C127" s="64" t="s">
        <v>3117</v>
      </c>
      <c r="D127" s="140" t="str">
        <f>IFERROR(VLOOKUP(C127,Stock,3,FALSE),"")</f>
        <v>Honda Jazz 01-07 1st Gen</v>
      </c>
      <c r="E127" s="64">
        <v>1.0</v>
      </c>
      <c r="F127" s="141">
        <v>645000.0</v>
      </c>
      <c r="G127" s="142">
        <f t="shared" si="4"/>
        <v>645000</v>
      </c>
      <c r="H127" s="142"/>
      <c r="I127" s="143">
        <f t="shared" si="5"/>
        <v>645000</v>
      </c>
      <c r="J127" s="144">
        <f t="shared" si="6"/>
        <v>645000</v>
      </c>
      <c r="K127" s="145" t="s">
        <v>3118</v>
      </c>
      <c r="L127" s="146" t="s">
        <v>3119</v>
      </c>
      <c r="M127" s="140"/>
      <c r="N127" s="68"/>
      <c r="O127" s="64" t="s">
        <v>2813</v>
      </c>
      <c r="P127" s="147" t="s">
        <v>2761</v>
      </c>
      <c r="Q127" s="149"/>
      <c r="R127" s="141"/>
      <c r="S127" s="141"/>
      <c r="T127" s="141">
        <v>100000.0</v>
      </c>
      <c r="U127" s="149"/>
      <c r="V127" s="149"/>
      <c r="W127" s="149"/>
      <c r="X127" s="64" t="s">
        <v>2808</v>
      </c>
      <c r="Y127" s="64"/>
      <c r="Z127" s="68"/>
    </row>
    <row r="128" ht="15.0" customHeight="1">
      <c r="A128" s="139">
        <v>45772.0</v>
      </c>
      <c r="B128" s="148" t="s">
        <v>3116</v>
      </c>
      <c r="C128" s="64" t="s">
        <v>2962</v>
      </c>
      <c r="D128" s="140" t="str">
        <f>IFERROR(VLOOKUP(C128,Stock,3,FALSE),"")</f>
        <v>Lembur</v>
      </c>
      <c r="E128" s="64">
        <v>1.0</v>
      </c>
      <c r="F128" s="141">
        <v>75000.0</v>
      </c>
      <c r="G128" s="142">
        <f t="shared" si="4"/>
        <v>75000</v>
      </c>
      <c r="H128" s="142"/>
      <c r="I128" s="143">
        <f t="shared" si="5"/>
        <v>75000</v>
      </c>
      <c r="J128" s="144">
        <f t="shared" si="6"/>
        <v>75000</v>
      </c>
      <c r="K128" s="145" t="s">
        <v>3118</v>
      </c>
      <c r="L128" s="146" t="s">
        <v>3119</v>
      </c>
      <c r="M128" s="140"/>
      <c r="N128" s="68"/>
      <c r="O128" s="64" t="s">
        <v>2813</v>
      </c>
      <c r="P128" s="147" t="s">
        <v>2761</v>
      </c>
      <c r="Q128" s="149"/>
      <c r="R128" s="149"/>
      <c r="S128" s="149"/>
      <c r="T128" s="149"/>
      <c r="U128" s="149"/>
      <c r="V128" s="149"/>
      <c r="W128" s="149"/>
      <c r="X128" s="64" t="s">
        <v>2808</v>
      </c>
      <c r="Y128" s="64"/>
      <c r="Z128" s="68"/>
    </row>
    <row r="129" ht="15.0" customHeight="1">
      <c r="A129" s="139">
        <v>45773.0</v>
      </c>
      <c r="B129" s="148" t="s">
        <v>3120</v>
      </c>
      <c r="C129" s="64" t="s">
        <v>3121</v>
      </c>
      <c r="D129" s="140" t="str">
        <f>IFERROR(VLOOKUP(C129,Stock,3,FALSE),"")</f>
        <v>Toyota Camry 02-06 ACV30 3rd Gen</v>
      </c>
      <c r="E129" s="64">
        <v>1.0</v>
      </c>
      <c r="F129" s="141">
        <v>2568000.0</v>
      </c>
      <c r="G129" s="142">
        <f t="shared" si="4"/>
        <v>2568000</v>
      </c>
      <c r="H129" s="142"/>
      <c r="I129" s="143">
        <f t="shared" si="5"/>
        <v>2568000</v>
      </c>
      <c r="J129" s="144">
        <f t="shared" si="6"/>
        <v>2568000</v>
      </c>
      <c r="K129" s="145" t="s">
        <v>3122</v>
      </c>
      <c r="L129" s="146" t="s">
        <v>3123</v>
      </c>
      <c r="M129" s="140"/>
      <c r="N129" s="64" t="s">
        <v>3124</v>
      </c>
      <c r="O129" s="64" t="s">
        <v>2813</v>
      </c>
      <c r="P129" s="147" t="s">
        <v>2761</v>
      </c>
      <c r="Q129" s="149"/>
      <c r="R129" s="141"/>
      <c r="S129" s="141"/>
      <c r="T129" s="141">
        <v>2568000.0</v>
      </c>
      <c r="U129" s="149"/>
      <c r="V129" s="149"/>
      <c r="W129" s="149"/>
      <c r="X129" s="64" t="s">
        <v>2808</v>
      </c>
      <c r="Y129" s="64"/>
      <c r="Z129" s="68"/>
    </row>
    <row r="130" ht="15.0" customHeight="1">
      <c r="A130" s="139">
        <v>45773.0</v>
      </c>
      <c r="B130" s="148" t="s">
        <v>3120</v>
      </c>
      <c r="C130" s="64" t="s">
        <v>2770</v>
      </c>
      <c r="D130" s="140" t="str">
        <f>IFERROR(VLOOKUP(C130,Stock,3,FALSE),"")</f>
        <v>Transport</v>
      </c>
      <c r="E130" s="64">
        <v>1.0</v>
      </c>
      <c r="F130" s="141">
        <v>150000.0</v>
      </c>
      <c r="G130" s="142">
        <f t="shared" si="4"/>
        <v>150000</v>
      </c>
      <c r="H130" s="142"/>
      <c r="I130" s="143">
        <f t="shared" si="5"/>
        <v>150000</v>
      </c>
      <c r="J130" s="144">
        <f t="shared" si="6"/>
        <v>150000</v>
      </c>
      <c r="K130" s="145" t="s">
        <v>3122</v>
      </c>
      <c r="L130" s="146" t="s">
        <v>3123</v>
      </c>
      <c r="M130" s="140"/>
      <c r="N130" s="64" t="s">
        <v>3124</v>
      </c>
      <c r="O130" s="64" t="s">
        <v>2813</v>
      </c>
      <c r="P130" s="147" t="s">
        <v>2761</v>
      </c>
      <c r="Q130" s="149"/>
      <c r="R130" s="141"/>
      <c r="S130" s="141"/>
      <c r="T130" s="141">
        <v>150000.0</v>
      </c>
      <c r="U130" s="149"/>
      <c r="V130" s="149"/>
      <c r="W130" s="149"/>
      <c r="X130" s="64" t="s">
        <v>2808</v>
      </c>
      <c r="Y130" s="64"/>
      <c r="Z130" s="68"/>
    </row>
    <row r="131" ht="15.0" customHeight="1">
      <c r="A131" s="139">
        <v>45773.0</v>
      </c>
      <c r="B131" s="148" t="s">
        <v>3125</v>
      </c>
      <c r="C131" s="64" t="s">
        <v>3126</v>
      </c>
      <c r="D131" s="140" t="str">
        <f>IFERROR(VLOOKUP(C131,Stock,3,FALSE),"")</f>
        <v>Suzuki Carry New 19-</v>
      </c>
      <c r="E131" s="64">
        <v>1.0</v>
      </c>
      <c r="F131" s="141">
        <v>1250000.0</v>
      </c>
      <c r="G131" s="142">
        <f t="shared" si="4"/>
        <v>1250000</v>
      </c>
      <c r="H131" s="142"/>
      <c r="I131" s="143">
        <f t="shared" si="5"/>
        <v>1250000</v>
      </c>
      <c r="J131" s="144">
        <f t="shared" si="6"/>
        <v>1250000</v>
      </c>
      <c r="K131" s="145" t="s">
        <v>3127</v>
      </c>
      <c r="L131" s="146" t="s">
        <v>3128</v>
      </c>
      <c r="M131" s="140"/>
      <c r="N131" s="68"/>
      <c r="O131" s="64" t="s">
        <v>2813</v>
      </c>
      <c r="P131" s="147" t="s">
        <v>2761</v>
      </c>
      <c r="Q131" s="149"/>
      <c r="R131" s="149"/>
      <c r="S131" s="149"/>
      <c r="T131" s="149"/>
      <c r="U131" s="149"/>
      <c r="V131" s="149"/>
      <c r="W131" s="149"/>
      <c r="X131" s="64" t="s">
        <v>2808</v>
      </c>
      <c r="Y131" s="64"/>
      <c r="Z131" s="68"/>
    </row>
    <row r="132" ht="15.0" customHeight="1">
      <c r="A132" s="139">
        <v>45773.0</v>
      </c>
      <c r="B132" s="148" t="s">
        <v>3129</v>
      </c>
      <c r="C132" s="64" t="s">
        <v>3130</v>
      </c>
      <c r="D132" s="140" t="str">
        <f>IFERROR(VLOOKUP(C132,Stock,3,FALSE),"")</f>
        <v>Toyota Innova 04-15 1st Gen</v>
      </c>
      <c r="E132" s="64">
        <v>1.0</v>
      </c>
      <c r="F132" s="141">
        <v>1319000.0</v>
      </c>
      <c r="G132" s="142">
        <f t="shared" si="4"/>
        <v>1319000</v>
      </c>
      <c r="H132" s="142"/>
      <c r="I132" s="143">
        <f t="shared" si="5"/>
        <v>1319000</v>
      </c>
      <c r="J132" s="144">
        <f t="shared" si="6"/>
        <v>1319000</v>
      </c>
      <c r="K132" s="145" t="s">
        <v>3131</v>
      </c>
      <c r="L132" s="146" t="s">
        <v>3132</v>
      </c>
      <c r="M132" s="140"/>
      <c r="N132" s="68"/>
      <c r="O132" s="64" t="s">
        <v>2813</v>
      </c>
      <c r="P132" s="147" t="s">
        <v>2761</v>
      </c>
      <c r="Q132" s="149"/>
      <c r="R132" s="149"/>
      <c r="S132" s="149"/>
      <c r="T132" s="149"/>
      <c r="U132" s="149"/>
      <c r="V132" s="149"/>
      <c r="W132" s="149"/>
      <c r="X132" s="64" t="s">
        <v>2808</v>
      </c>
      <c r="Y132" s="64"/>
      <c r="Z132" s="68"/>
    </row>
    <row r="133" ht="15.0" customHeight="1">
      <c r="A133" s="139">
        <v>45774.0</v>
      </c>
      <c r="B133" s="148" t="s">
        <v>3133</v>
      </c>
      <c r="C133" s="64" t="s">
        <v>3134</v>
      </c>
      <c r="D133" s="140" t="str">
        <f>IFERROR(VLOOKUP(C133,Stock,3,FALSE),"")</f>
        <v>Toyota LandCruiser 07-21 FJ200</v>
      </c>
      <c r="E133" s="64">
        <v>1.0</v>
      </c>
      <c r="F133" s="141">
        <v>7218000.0</v>
      </c>
      <c r="G133" s="142">
        <f t="shared" si="4"/>
        <v>7218000</v>
      </c>
      <c r="H133" s="142"/>
      <c r="I133" s="143">
        <f t="shared" si="5"/>
        <v>7218000</v>
      </c>
      <c r="J133" s="144">
        <f t="shared" si="6"/>
        <v>7218000</v>
      </c>
      <c r="K133" s="151" t="s">
        <v>3135</v>
      </c>
      <c r="L133" s="146" t="s">
        <v>3136</v>
      </c>
      <c r="M133" s="140"/>
      <c r="N133" s="68"/>
      <c r="O133" s="64" t="s">
        <v>2813</v>
      </c>
      <c r="P133" s="147" t="s">
        <v>2761</v>
      </c>
      <c r="Q133" s="149"/>
      <c r="R133" s="141"/>
      <c r="S133" s="141"/>
      <c r="T133" s="141">
        <v>7218000.0</v>
      </c>
      <c r="U133" s="149"/>
      <c r="V133" s="149"/>
      <c r="W133" s="149"/>
      <c r="X133" s="64" t="s">
        <v>2891</v>
      </c>
      <c r="Y133" s="64"/>
      <c r="Z133" s="68"/>
    </row>
    <row r="134" ht="15.0" customHeight="1">
      <c r="A134" s="139">
        <v>45775.0</v>
      </c>
      <c r="B134" s="148" t="s">
        <v>3137</v>
      </c>
      <c r="C134" s="64" t="s">
        <v>3138</v>
      </c>
      <c r="D134" s="140" t="str">
        <f>IFERROR(VLOOKUP(C134,Stock,3,FALSE),"")</f>
        <v>Toyota Fortuner 05-15 1st Gen (Hitam)</v>
      </c>
      <c r="E134" s="64">
        <v>1.0</v>
      </c>
      <c r="F134" s="141">
        <v>2250000.0</v>
      </c>
      <c r="G134" s="142">
        <f t="shared" si="4"/>
        <v>2250000</v>
      </c>
      <c r="H134" s="142"/>
      <c r="I134" s="143">
        <f t="shared" si="5"/>
        <v>2250000</v>
      </c>
      <c r="J134" s="144">
        <f t="shared" si="6"/>
        <v>2250000</v>
      </c>
      <c r="K134" s="145" t="s">
        <v>3139</v>
      </c>
      <c r="L134" s="146" t="s">
        <v>3140</v>
      </c>
      <c r="M134" s="140"/>
      <c r="N134" s="68"/>
      <c r="O134" s="64" t="s">
        <v>2813</v>
      </c>
      <c r="P134" s="147" t="s">
        <v>2761</v>
      </c>
      <c r="Q134" s="149"/>
      <c r="R134" s="141"/>
      <c r="S134" s="141"/>
      <c r="T134" s="141">
        <v>2250000.0</v>
      </c>
      <c r="U134" s="149"/>
      <c r="V134" s="149"/>
      <c r="W134" s="149"/>
      <c r="X134" s="64" t="s">
        <v>2808</v>
      </c>
      <c r="Y134" s="64"/>
      <c r="Z134" s="68"/>
    </row>
    <row r="135" ht="15.0" customHeight="1">
      <c r="A135" s="139">
        <v>45776.0</v>
      </c>
      <c r="B135" s="148" t="s">
        <v>3141</v>
      </c>
      <c r="C135" s="148" t="s">
        <v>3142</v>
      </c>
      <c r="D135" s="140" t="str">
        <f>IFERROR(VLOOKUP(C135,Stock,3,FALSE),"")</f>
        <v>Mitsubishi Xpander 17-</v>
      </c>
      <c r="E135" s="64">
        <v>1.0</v>
      </c>
      <c r="F135" s="141">
        <v>1698000.0</v>
      </c>
      <c r="G135" s="142">
        <f t="shared" si="4"/>
        <v>1698000</v>
      </c>
      <c r="H135" s="142"/>
      <c r="I135" s="143">
        <f t="shared" si="5"/>
        <v>1698000</v>
      </c>
      <c r="J135" s="144">
        <f t="shared" si="6"/>
        <v>1698000</v>
      </c>
      <c r="K135" s="145" t="s">
        <v>3143</v>
      </c>
      <c r="L135" s="146" t="s">
        <v>3144</v>
      </c>
      <c r="M135" s="140"/>
      <c r="N135" s="64" t="s">
        <v>3145</v>
      </c>
      <c r="O135" s="64" t="s">
        <v>2813</v>
      </c>
      <c r="P135" s="147" t="s">
        <v>2761</v>
      </c>
      <c r="Q135" s="149"/>
      <c r="R135" s="141"/>
      <c r="S135" s="141"/>
      <c r="T135" s="141">
        <v>1698000.0</v>
      </c>
      <c r="U135" s="149"/>
      <c r="V135" s="149"/>
      <c r="W135" s="149"/>
      <c r="X135" s="64" t="s">
        <v>2808</v>
      </c>
      <c r="Y135" s="64"/>
      <c r="Z135" s="68"/>
    </row>
    <row r="136" ht="15.0" customHeight="1">
      <c r="A136" s="139">
        <v>45776.0</v>
      </c>
      <c r="B136" s="148" t="s">
        <v>3141</v>
      </c>
      <c r="C136" s="64" t="s">
        <v>2770</v>
      </c>
      <c r="D136" s="140" t="str">
        <f>IFERROR(VLOOKUP(C136,Stock,3,FALSE),"")</f>
        <v>Transport</v>
      </c>
      <c r="E136" s="64">
        <v>1.0</v>
      </c>
      <c r="F136" s="141">
        <v>80000.0</v>
      </c>
      <c r="G136" s="142">
        <f t="shared" si="4"/>
        <v>80000</v>
      </c>
      <c r="H136" s="142"/>
      <c r="I136" s="143">
        <f t="shared" si="5"/>
        <v>80000</v>
      </c>
      <c r="J136" s="144">
        <f t="shared" si="6"/>
        <v>80000</v>
      </c>
      <c r="K136" s="145" t="s">
        <v>3143</v>
      </c>
      <c r="L136" s="146" t="s">
        <v>3144</v>
      </c>
      <c r="M136" s="140"/>
      <c r="N136" s="64" t="s">
        <v>3145</v>
      </c>
      <c r="O136" s="64" t="s">
        <v>2813</v>
      </c>
      <c r="P136" s="147" t="s">
        <v>2761</v>
      </c>
      <c r="Q136" s="149"/>
      <c r="R136" s="141"/>
      <c r="S136" s="141"/>
      <c r="T136" s="141">
        <v>80000.0</v>
      </c>
      <c r="U136" s="149"/>
      <c r="V136" s="149"/>
      <c r="W136" s="149"/>
      <c r="X136" s="64" t="s">
        <v>2808</v>
      </c>
      <c r="Y136" s="64"/>
      <c r="Z136" s="68"/>
    </row>
    <row r="137" ht="15.0" customHeight="1">
      <c r="A137" s="139">
        <v>45777.0</v>
      </c>
      <c r="B137" s="148" t="s">
        <v>3146</v>
      </c>
      <c r="C137" s="64" t="s">
        <v>3147</v>
      </c>
      <c r="D137" s="140" t="str">
        <f>IFERROR(VLOOKUP(C137,Stock,3,FALSE),"")</f>
        <v>Chevrolet Spin 12-</v>
      </c>
      <c r="E137" s="64">
        <v>1.0</v>
      </c>
      <c r="F137" s="141">
        <v>1750000.0</v>
      </c>
      <c r="G137" s="142">
        <f t="shared" si="4"/>
        <v>1750000</v>
      </c>
      <c r="H137" s="142"/>
      <c r="I137" s="143">
        <f t="shared" si="5"/>
        <v>1750000</v>
      </c>
      <c r="J137" s="144">
        <f t="shared" si="6"/>
        <v>1750000</v>
      </c>
      <c r="K137" s="145" t="s">
        <v>3148</v>
      </c>
      <c r="L137" s="146" t="s">
        <v>3149</v>
      </c>
      <c r="M137" s="140"/>
      <c r="N137" s="64" t="s">
        <v>3150</v>
      </c>
      <c r="O137" s="64" t="s">
        <v>2813</v>
      </c>
      <c r="P137" s="147" t="s">
        <v>2761</v>
      </c>
      <c r="Q137" s="149"/>
      <c r="R137" s="141"/>
      <c r="S137" s="141"/>
      <c r="T137" s="141">
        <v>1750000.0</v>
      </c>
      <c r="U137" s="149"/>
      <c r="V137" s="149"/>
      <c r="W137" s="149"/>
      <c r="X137" s="64" t="s">
        <v>2808</v>
      </c>
      <c r="Y137" s="64"/>
      <c r="Z137" s="68"/>
    </row>
    <row r="138" ht="15.0" customHeight="1">
      <c r="A138" s="139">
        <v>45777.0</v>
      </c>
      <c r="B138" s="148" t="s">
        <v>3151</v>
      </c>
      <c r="C138" s="64" t="s">
        <v>3152</v>
      </c>
      <c r="D138" s="140" t="str">
        <f>IFERROR(VLOOKUP(C138,Stock,3,FALSE),"")</f>
        <v>Honda Civic 05-11 8th Gen (Civic Batman FD)</v>
      </c>
      <c r="E138" s="64">
        <v>1.0</v>
      </c>
      <c r="F138" s="141">
        <v>2036000.0</v>
      </c>
      <c r="G138" s="142">
        <f t="shared" si="4"/>
        <v>2036000</v>
      </c>
      <c r="H138" s="142"/>
      <c r="I138" s="143">
        <f t="shared" si="5"/>
        <v>2036000</v>
      </c>
      <c r="J138" s="144">
        <f t="shared" si="6"/>
        <v>2036000</v>
      </c>
      <c r="K138" s="145" t="s">
        <v>3153</v>
      </c>
      <c r="L138" s="146" t="s">
        <v>3154</v>
      </c>
      <c r="M138" s="140"/>
      <c r="N138" s="64" t="s">
        <v>3155</v>
      </c>
      <c r="O138" s="64" t="s">
        <v>2813</v>
      </c>
      <c r="P138" s="147" t="s">
        <v>2761</v>
      </c>
      <c r="Q138" s="149"/>
      <c r="R138" s="141"/>
      <c r="S138" s="141"/>
      <c r="T138" s="141">
        <v>2036000.0</v>
      </c>
      <c r="U138" s="149"/>
      <c r="V138" s="149"/>
      <c r="W138" s="149"/>
      <c r="X138" s="64" t="s">
        <v>2808</v>
      </c>
      <c r="Y138" s="64"/>
      <c r="Z138" s="68"/>
    </row>
    <row r="139" ht="15.0" customHeight="1">
      <c r="A139" s="157">
        <v>45777.0</v>
      </c>
      <c r="B139" s="158" t="s">
        <v>3156</v>
      </c>
      <c r="C139" s="159" t="s">
        <v>3069</v>
      </c>
      <c r="D139" s="160" t="str">
        <f>IFERROR(VLOOKUP(C139,Stock,3,FALSE),"")</f>
        <v>Isuzu Traga</v>
      </c>
      <c r="E139" s="159">
        <v>1.0</v>
      </c>
      <c r="F139" s="161">
        <v>740000.0</v>
      </c>
      <c r="G139" s="162">
        <f t="shared" si="4"/>
        <v>740000</v>
      </c>
      <c r="H139" s="162"/>
      <c r="I139" s="163">
        <f t="shared" si="5"/>
        <v>740000</v>
      </c>
      <c r="J139" s="164">
        <f t="shared" si="6"/>
        <v>740000</v>
      </c>
      <c r="K139" s="165" t="s">
        <v>3157</v>
      </c>
      <c r="L139" s="160"/>
      <c r="M139" s="160"/>
      <c r="N139" s="166"/>
      <c r="O139" s="166"/>
      <c r="P139" s="167"/>
      <c r="Q139" s="168"/>
      <c r="R139" s="168"/>
      <c r="S139" s="168"/>
      <c r="T139" s="168"/>
      <c r="U139" s="168"/>
      <c r="V139" s="168"/>
      <c r="W139" s="168"/>
      <c r="X139" s="166"/>
      <c r="Y139" s="166"/>
      <c r="Z139" s="166"/>
    </row>
    <row r="140" ht="15.0" customHeight="1">
      <c r="A140" s="139">
        <v>45776.0</v>
      </c>
      <c r="B140" s="148" t="s">
        <v>3158</v>
      </c>
      <c r="C140" s="64" t="s">
        <v>3126</v>
      </c>
      <c r="D140" s="140" t="str">
        <f>IFERROR(VLOOKUP(C140,Stock,3,FALSE),"")</f>
        <v>Suzuki Carry New 19-</v>
      </c>
      <c r="E140" s="64">
        <v>1.0</v>
      </c>
      <c r="F140" s="141">
        <v>950000.0</v>
      </c>
      <c r="G140" s="142">
        <f t="shared" si="4"/>
        <v>950000</v>
      </c>
      <c r="H140" s="142"/>
      <c r="I140" s="143">
        <f t="shared" si="5"/>
        <v>950000</v>
      </c>
      <c r="J140" s="144">
        <f t="shared" si="6"/>
        <v>950000</v>
      </c>
      <c r="K140" s="145" t="s">
        <v>3127</v>
      </c>
      <c r="L140" s="146" t="s">
        <v>3128</v>
      </c>
      <c r="M140" s="140"/>
      <c r="N140" s="68"/>
      <c r="O140" s="64" t="s">
        <v>2813</v>
      </c>
      <c r="P140" s="147" t="s">
        <v>2761</v>
      </c>
      <c r="Q140" s="149"/>
      <c r="R140" s="149"/>
      <c r="S140" s="149"/>
      <c r="T140" s="149"/>
      <c r="U140" s="149"/>
      <c r="V140" s="149"/>
      <c r="W140" s="149"/>
      <c r="X140" s="68"/>
      <c r="Y140" s="68"/>
      <c r="Z140" s="68"/>
    </row>
    <row r="141" ht="15.0" customHeight="1">
      <c r="A141" s="139">
        <v>45777.0</v>
      </c>
      <c r="B141" s="148" t="s">
        <v>3159</v>
      </c>
      <c r="C141" s="64" t="s">
        <v>3160</v>
      </c>
      <c r="D141" s="140" t="str">
        <f>IFERROR(VLOOKUP(C141,Stock,3,FALSE),"")</f>
        <v>Honda Brio 10- (Honda)</v>
      </c>
      <c r="E141" s="64">
        <v>1.0</v>
      </c>
      <c r="F141" s="141">
        <v>775000.0</v>
      </c>
      <c r="G141" s="142">
        <f t="shared" si="4"/>
        <v>775000</v>
      </c>
      <c r="H141" s="142"/>
      <c r="I141" s="143">
        <f t="shared" si="5"/>
        <v>775000</v>
      </c>
      <c r="J141" s="144">
        <f t="shared" si="6"/>
        <v>775000</v>
      </c>
      <c r="K141" s="145" t="s">
        <v>3161</v>
      </c>
      <c r="L141" s="146" t="s">
        <v>3162</v>
      </c>
      <c r="M141" s="140"/>
      <c r="N141" s="64" t="s">
        <v>3163</v>
      </c>
      <c r="O141" s="64" t="s">
        <v>3033</v>
      </c>
      <c r="P141" s="147" t="s">
        <v>2761</v>
      </c>
      <c r="Q141" s="149"/>
      <c r="R141" s="149"/>
      <c r="S141" s="149"/>
      <c r="T141" s="149"/>
      <c r="U141" s="149"/>
      <c r="V141" s="149"/>
      <c r="W141" s="149"/>
      <c r="X141" s="68"/>
      <c r="Y141" s="68"/>
      <c r="Z141" s="68"/>
    </row>
    <row r="142" ht="15.0" customHeight="1">
      <c r="A142" s="139">
        <v>45777.0</v>
      </c>
      <c r="B142" s="148" t="s">
        <v>3159</v>
      </c>
      <c r="C142" s="64" t="s">
        <v>2770</v>
      </c>
      <c r="D142" s="140" t="str">
        <f>IFERROR(VLOOKUP(C142,Stock,3,FALSE),"")</f>
        <v>Transport</v>
      </c>
      <c r="E142" s="64">
        <v>1.0</v>
      </c>
      <c r="F142" s="141">
        <v>100000.0</v>
      </c>
      <c r="G142" s="142">
        <f t="shared" si="4"/>
        <v>100000</v>
      </c>
      <c r="H142" s="142"/>
      <c r="I142" s="143">
        <f t="shared" si="5"/>
        <v>100000</v>
      </c>
      <c r="J142" s="144">
        <f t="shared" si="6"/>
        <v>100000</v>
      </c>
      <c r="K142" s="145" t="s">
        <v>3161</v>
      </c>
      <c r="L142" s="146" t="s">
        <v>3162</v>
      </c>
      <c r="M142" s="140"/>
      <c r="N142" s="68"/>
      <c r="O142" s="64" t="s">
        <v>3033</v>
      </c>
      <c r="P142" s="147" t="s">
        <v>2761</v>
      </c>
      <c r="Q142" s="149"/>
      <c r="R142" s="149"/>
      <c r="S142" s="149"/>
      <c r="T142" s="149"/>
      <c r="U142" s="149"/>
      <c r="V142" s="149"/>
      <c r="W142" s="149"/>
      <c r="X142" s="68"/>
      <c r="Y142" s="68"/>
      <c r="Z142" s="68"/>
    </row>
    <row r="143" ht="15.0" customHeight="1">
      <c r="A143" s="139">
        <v>45773.0</v>
      </c>
      <c r="B143" s="148" t="s">
        <v>3164</v>
      </c>
      <c r="C143" s="64" t="s">
        <v>3165</v>
      </c>
      <c r="D143" s="140" t="str">
        <f>IFERROR(VLOOKUP(C143,Stock,3,FALSE),"")</f>
        <v>Honda HR-V 22- 5D SUV (Honda)</v>
      </c>
      <c r="E143" s="64">
        <v>1.0</v>
      </c>
      <c r="F143" s="141">
        <v>3617000.0</v>
      </c>
      <c r="G143" s="142">
        <f t="shared" si="4"/>
        <v>3617000</v>
      </c>
      <c r="H143" s="142"/>
      <c r="I143" s="143">
        <f t="shared" si="5"/>
        <v>3617000</v>
      </c>
      <c r="J143" s="144">
        <f t="shared" si="6"/>
        <v>3617000</v>
      </c>
      <c r="K143" s="145" t="s">
        <v>3166</v>
      </c>
      <c r="L143" s="146" t="s">
        <v>3167</v>
      </c>
      <c r="M143" s="140"/>
      <c r="N143" s="64" t="s">
        <v>3168</v>
      </c>
      <c r="O143" s="68"/>
      <c r="P143" s="147" t="s">
        <v>2761</v>
      </c>
      <c r="Q143" s="149"/>
      <c r="R143" s="149"/>
      <c r="S143" s="149"/>
      <c r="T143" s="149"/>
      <c r="U143" s="149"/>
      <c r="V143" s="149"/>
      <c r="W143" s="149"/>
      <c r="X143" s="68"/>
      <c r="Y143" s="68"/>
      <c r="Z143" s="68"/>
    </row>
    <row r="144" ht="15.0" customHeight="1">
      <c r="A144" s="139">
        <v>45779.0</v>
      </c>
      <c r="B144" s="148" t="s">
        <v>3169</v>
      </c>
      <c r="C144" s="64" t="s">
        <v>2952</v>
      </c>
      <c r="D144" s="140" t="str">
        <f>IFERROR(VLOOKUP(C144,Stock,3,FALSE),"")</f>
        <v/>
      </c>
      <c r="E144" s="64">
        <v>1.0</v>
      </c>
      <c r="F144" s="141">
        <v>1050000.0</v>
      </c>
      <c r="G144" s="142">
        <f t="shared" si="4"/>
        <v>1050000</v>
      </c>
      <c r="H144" s="142"/>
      <c r="I144" s="143">
        <f t="shared" si="5"/>
        <v>1050000</v>
      </c>
      <c r="J144" s="144">
        <f t="shared" si="6"/>
        <v>1050000</v>
      </c>
      <c r="K144" s="145" t="s">
        <v>3170</v>
      </c>
      <c r="L144" s="146" t="s">
        <v>3171</v>
      </c>
      <c r="M144" s="140"/>
      <c r="N144" s="68"/>
      <c r="O144" s="64" t="s">
        <v>2813</v>
      </c>
      <c r="P144" s="147" t="s">
        <v>2761</v>
      </c>
      <c r="Q144" s="149"/>
      <c r="R144" s="141"/>
      <c r="S144" s="141"/>
      <c r="T144" s="141">
        <v>1050000.0</v>
      </c>
      <c r="U144" s="149"/>
      <c r="V144" s="149"/>
      <c r="W144" s="149"/>
      <c r="X144" s="64" t="s">
        <v>2808</v>
      </c>
      <c r="Y144" s="64"/>
      <c r="Z144" s="68"/>
    </row>
    <row r="145" ht="15.0" customHeight="1">
      <c r="A145" s="139">
        <v>45780.0</v>
      </c>
      <c r="B145" s="148" t="s">
        <v>3172</v>
      </c>
      <c r="C145" s="64" t="s">
        <v>3021</v>
      </c>
      <c r="D145" s="140" t="str">
        <f>IFERROR(VLOOKUP(C145,Stock,3,FALSE),"")</f>
        <v>Honda Freed 08-16 1st gen</v>
      </c>
      <c r="E145" s="64">
        <v>1.0</v>
      </c>
      <c r="F145" s="141">
        <v>1496000.0</v>
      </c>
      <c r="G145" s="142">
        <f t="shared" si="4"/>
        <v>1496000</v>
      </c>
      <c r="H145" s="142"/>
      <c r="I145" s="143">
        <f t="shared" si="5"/>
        <v>1496000</v>
      </c>
      <c r="J145" s="144">
        <f t="shared" si="6"/>
        <v>1496000</v>
      </c>
      <c r="K145" s="145" t="s">
        <v>3173</v>
      </c>
      <c r="L145" s="146" t="s">
        <v>3174</v>
      </c>
      <c r="M145" s="140"/>
      <c r="N145" s="68"/>
      <c r="O145" s="64" t="s">
        <v>2813</v>
      </c>
      <c r="P145" s="147" t="s">
        <v>2761</v>
      </c>
      <c r="Q145" s="149"/>
      <c r="R145" s="141"/>
      <c r="S145" s="141"/>
      <c r="T145" s="141">
        <v>1496000.0</v>
      </c>
      <c r="U145" s="149"/>
      <c r="V145" s="149"/>
      <c r="W145" s="149"/>
      <c r="X145" s="64" t="s">
        <v>2808</v>
      </c>
      <c r="Y145" s="64"/>
      <c r="Z145" s="68"/>
    </row>
    <row r="146" ht="15.0" customHeight="1">
      <c r="A146" s="139">
        <v>45780.0</v>
      </c>
      <c r="B146" s="148" t="s">
        <v>3175</v>
      </c>
      <c r="C146" s="64" t="s">
        <v>3176</v>
      </c>
      <c r="D146" s="140" t="str">
        <f>IFERROR(VLOOKUP(C146,Stock,3,FALSE),"")</f>
        <v>Mazda 2 09-14 3rd Gen</v>
      </c>
      <c r="E146" s="64">
        <v>1.0</v>
      </c>
      <c r="F146" s="141">
        <v>1949000.0</v>
      </c>
      <c r="G146" s="142">
        <f t="shared" si="4"/>
        <v>1949000</v>
      </c>
      <c r="H146" s="142"/>
      <c r="I146" s="143">
        <f t="shared" si="5"/>
        <v>1949000</v>
      </c>
      <c r="J146" s="144">
        <f t="shared" si="6"/>
        <v>1949000</v>
      </c>
      <c r="K146" s="151" t="s">
        <v>3177</v>
      </c>
      <c r="L146" s="146" t="s">
        <v>3178</v>
      </c>
      <c r="M146" s="140"/>
      <c r="N146" s="154" t="s">
        <v>3179</v>
      </c>
      <c r="O146" s="64" t="s">
        <v>2813</v>
      </c>
      <c r="P146" s="147" t="s">
        <v>2761</v>
      </c>
      <c r="Q146" s="149"/>
      <c r="R146" s="149"/>
      <c r="S146" s="149"/>
      <c r="T146" s="149"/>
      <c r="U146" s="149"/>
      <c r="V146" s="149"/>
      <c r="W146" s="149"/>
      <c r="X146" s="68"/>
      <c r="Y146" s="68"/>
      <c r="Z146" s="68"/>
    </row>
    <row r="147" ht="15.0" customHeight="1">
      <c r="A147" s="139">
        <v>45780.0</v>
      </c>
      <c r="B147" s="148" t="s">
        <v>3180</v>
      </c>
      <c r="C147" s="64" t="s">
        <v>3181</v>
      </c>
      <c r="D147" s="140" t="str">
        <f>IFERROR(VLOOKUP(C147,Stock,3,FALSE),"")</f>
        <v>Toyota Kijang 98- Kapsul Karet</v>
      </c>
      <c r="E147" s="64">
        <v>1.0</v>
      </c>
      <c r="F147" s="141">
        <v>1025000.0</v>
      </c>
      <c r="G147" s="142">
        <f t="shared" si="4"/>
        <v>1025000</v>
      </c>
      <c r="H147" s="142"/>
      <c r="I147" s="143">
        <f t="shared" si="5"/>
        <v>1025000</v>
      </c>
      <c r="J147" s="144">
        <f t="shared" si="6"/>
        <v>1025000</v>
      </c>
      <c r="K147" s="145" t="s">
        <v>3182</v>
      </c>
      <c r="L147" s="146" t="s">
        <v>3183</v>
      </c>
      <c r="M147" s="140"/>
      <c r="N147" s="68"/>
      <c r="O147" s="64" t="s">
        <v>2813</v>
      </c>
      <c r="P147" s="147" t="s">
        <v>2761</v>
      </c>
      <c r="Q147" s="149"/>
      <c r="R147" s="149"/>
      <c r="S147" s="149"/>
      <c r="T147" s="149"/>
      <c r="U147" s="149"/>
      <c r="V147" s="149"/>
      <c r="W147" s="149"/>
      <c r="X147" s="64" t="s">
        <v>2808</v>
      </c>
      <c r="Y147" s="64"/>
      <c r="Z147" s="68"/>
    </row>
    <row r="148" ht="15.0" customHeight="1">
      <c r="A148" s="139">
        <v>45780.0</v>
      </c>
      <c r="B148" s="148" t="s">
        <v>3184</v>
      </c>
      <c r="C148" s="64" t="s">
        <v>3185</v>
      </c>
      <c r="D148" s="140" t="str">
        <f>IFERROR(VLOOKUP(C148,Stock,3,FALSE),"")</f>
        <v>Toyota Fortuner 05-15  1st Gen / Hilux Pickup 05-15</v>
      </c>
      <c r="E148" s="64">
        <v>1.0</v>
      </c>
      <c r="F148" s="141">
        <v>785000.0</v>
      </c>
      <c r="G148" s="142">
        <f t="shared" si="4"/>
        <v>785000</v>
      </c>
      <c r="H148" s="142"/>
      <c r="I148" s="143">
        <f t="shared" si="5"/>
        <v>785000</v>
      </c>
      <c r="J148" s="144">
        <f t="shared" si="6"/>
        <v>785000</v>
      </c>
      <c r="K148" s="145" t="s">
        <v>3186</v>
      </c>
      <c r="L148" s="146" t="s">
        <v>3187</v>
      </c>
      <c r="M148" s="140"/>
      <c r="N148" s="68"/>
      <c r="O148" s="64" t="s">
        <v>2813</v>
      </c>
      <c r="P148" s="147" t="s">
        <v>2761</v>
      </c>
      <c r="Q148" s="149"/>
      <c r="R148" s="141"/>
      <c r="S148" s="141"/>
      <c r="T148" s="141">
        <v>785000.0</v>
      </c>
      <c r="U148" s="149"/>
      <c r="V148" s="149"/>
      <c r="W148" s="149"/>
      <c r="X148" s="64" t="s">
        <v>2808</v>
      </c>
      <c r="Y148" s="64"/>
      <c r="Z148" s="68"/>
    </row>
    <row r="149" ht="15.0" customHeight="1">
      <c r="A149" s="139">
        <v>45780.0</v>
      </c>
      <c r="B149" s="148" t="s">
        <v>3184</v>
      </c>
      <c r="C149" s="64" t="s">
        <v>2770</v>
      </c>
      <c r="D149" s="140" t="str">
        <f>IFERROR(VLOOKUP(C149,Stock,3,FALSE),"")</f>
        <v>Transport</v>
      </c>
      <c r="E149" s="64">
        <v>1.0</v>
      </c>
      <c r="F149" s="141">
        <v>80000.0</v>
      </c>
      <c r="G149" s="142">
        <f t="shared" si="4"/>
        <v>80000</v>
      </c>
      <c r="H149" s="142"/>
      <c r="I149" s="143">
        <f t="shared" si="5"/>
        <v>80000</v>
      </c>
      <c r="J149" s="144">
        <f t="shared" si="6"/>
        <v>80000</v>
      </c>
      <c r="K149" s="145" t="s">
        <v>3186</v>
      </c>
      <c r="L149" s="146" t="s">
        <v>3187</v>
      </c>
      <c r="M149" s="140"/>
      <c r="N149" s="68"/>
      <c r="O149" s="64" t="s">
        <v>2813</v>
      </c>
      <c r="P149" s="147" t="s">
        <v>2761</v>
      </c>
      <c r="Q149" s="149"/>
      <c r="R149" s="141"/>
      <c r="S149" s="141"/>
      <c r="T149" s="141">
        <v>80000.0</v>
      </c>
      <c r="U149" s="149"/>
      <c r="V149" s="149"/>
      <c r="W149" s="149"/>
      <c r="X149" s="64" t="s">
        <v>2808</v>
      </c>
      <c r="Y149" s="64"/>
      <c r="Z149" s="68"/>
    </row>
    <row r="150" ht="15.0" customHeight="1">
      <c r="A150" s="139">
        <v>45780.0</v>
      </c>
      <c r="B150" s="148" t="s">
        <v>3188</v>
      </c>
      <c r="C150" s="64" t="s">
        <v>2869</v>
      </c>
      <c r="D150" s="140" t="str">
        <f>IFERROR(VLOOKUP(C150,Stock,3,FALSE),"")</f>
        <v>Daihatsu Gran Max / Luxio 07-</v>
      </c>
      <c r="E150" s="64">
        <v>1.0</v>
      </c>
      <c r="F150" s="141">
        <v>1000000.0</v>
      </c>
      <c r="G150" s="142">
        <f t="shared" si="4"/>
        <v>1000000</v>
      </c>
      <c r="H150" s="142"/>
      <c r="I150" s="143">
        <f t="shared" si="5"/>
        <v>1000000</v>
      </c>
      <c r="J150" s="144">
        <f t="shared" si="6"/>
        <v>1000000</v>
      </c>
      <c r="K150" s="155"/>
      <c r="L150" s="146" t="s">
        <v>3189</v>
      </c>
      <c r="M150" s="140"/>
      <c r="N150" s="68"/>
      <c r="O150" s="64" t="s">
        <v>2813</v>
      </c>
      <c r="P150" s="147" t="s">
        <v>3190</v>
      </c>
      <c r="Q150" s="149"/>
      <c r="R150" s="141"/>
      <c r="S150" s="141"/>
      <c r="T150" s="141">
        <v>1000000.0</v>
      </c>
      <c r="U150" s="149"/>
      <c r="V150" s="149"/>
      <c r="W150" s="149"/>
      <c r="X150" s="64" t="s">
        <v>3191</v>
      </c>
      <c r="Y150" s="64"/>
      <c r="Z150" s="68"/>
    </row>
    <row r="151" ht="15.0" customHeight="1">
      <c r="A151" s="139">
        <v>45780.0</v>
      </c>
      <c r="B151" s="148" t="s">
        <v>3188</v>
      </c>
      <c r="C151" s="64" t="s">
        <v>2770</v>
      </c>
      <c r="D151" s="140" t="str">
        <f>IFERROR(VLOOKUP(C151,Stock,3,FALSE),"")</f>
        <v>Transport</v>
      </c>
      <c r="E151" s="64">
        <v>1.0</v>
      </c>
      <c r="F151" s="141">
        <v>50000.0</v>
      </c>
      <c r="G151" s="142">
        <f t="shared" si="4"/>
        <v>50000</v>
      </c>
      <c r="H151" s="142"/>
      <c r="I151" s="143">
        <f t="shared" si="5"/>
        <v>50000</v>
      </c>
      <c r="J151" s="144">
        <f t="shared" si="6"/>
        <v>50000</v>
      </c>
      <c r="K151" s="155"/>
      <c r="L151" s="146" t="s">
        <v>3189</v>
      </c>
      <c r="M151" s="140"/>
      <c r="N151" s="68"/>
      <c r="O151" s="64" t="s">
        <v>2813</v>
      </c>
      <c r="P151" s="147" t="s">
        <v>3190</v>
      </c>
      <c r="Q151" s="149"/>
      <c r="R151" s="141"/>
      <c r="S151" s="141"/>
      <c r="T151" s="141">
        <v>50000.0</v>
      </c>
      <c r="U151" s="149"/>
      <c r="V151" s="149"/>
      <c r="W151" s="149"/>
      <c r="X151" s="64" t="s">
        <v>3191</v>
      </c>
      <c r="Y151" s="64"/>
      <c r="Z151" s="68"/>
    </row>
    <row r="152" ht="15.0" customHeight="1">
      <c r="A152" s="139">
        <v>45780.0</v>
      </c>
      <c r="B152" s="148" t="s">
        <v>3192</v>
      </c>
      <c r="C152" s="64" t="s">
        <v>3193</v>
      </c>
      <c r="D152" s="140" t="str">
        <f>IFERROR(VLOOKUP(C152,Stock,3,FALSE),"")</f>
        <v>Toyota Avanza / Xenia 11-15 2nd Gen</v>
      </c>
      <c r="E152" s="64">
        <v>1.0</v>
      </c>
      <c r="F152" s="141">
        <v>1000000.0</v>
      </c>
      <c r="G152" s="142">
        <f t="shared" si="4"/>
        <v>1000000</v>
      </c>
      <c r="H152" s="142"/>
      <c r="I152" s="143">
        <f t="shared" si="5"/>
        <v>1000000</v>
      </c>
      <c r="J152" s="144">
        <f t="shared" si="6"/>
        <v>1000000</v>
      </c>
      <c r="K152" s="145" t="s">
        <v>3194</v>
      </c>
      <c r="L152" s="146" t="s">
        <v>3195</v>
      </c>
      <c r="M152" s="140"/>
      <c r="N152" s="68"/>
      <c r="O152" s="64" t="s">
        <v>2813</v>
      </c>
      <c r="P152" s="147" t="s">
        <v>2761</v>
      </c>
      <c r="Q152" s="149"/>
      <c r="R152" s="141"/>
      <c r="S152" s="141"/>
      <c r="T152" s="141">
        <v>1000000.0</v>
      </c>
      <c r="U152" s="149"/>
      <c r="V152" s="149"/>
      <c r="W152" s="149"/>
      <c r="X152" s="64" t="s">
        <v>2808</v>
      </c>
      <c r="Y152" s="64"/>
      <c r="Z152" s="68"/>
    </row>
    <row r="153" ht="15.0" customHeight="1">
      <c r="A153" s="139">
        <v>45782.0</v>
      </c>
      <c r="B153" s="148" t="s">
        <v>3196</v>
      </c>
      <c r="C153" s="64" t="s">
        <v>3197</v>
      </c>
      <c r="D153" s="140" t="str">
        <f>IFERROR(VLOOKUP(C153,Stock,3,FALSE),"")</f>
        <v>Mitsubishi Strada Triton 16-</v>
      </c>
      <c r="E153" s="64">
        <v>1.0</v>
      </c>
      <c r="F153" s="141">
        <v>1550000.0</v>
      </c>
      <c r="G153" s="142">
        <f t="shared" si="4"/>
        <v>1550000</v>
      </c>
      <c r="H153" s="142"/>
      <c r="I153" s="143">
        <f t="shared" si="5"/>
        <v>1550000</v>
      </c>
      <c r="J153" s="144">
        <f t="shared" si="6"/>
        <v>1550000</v>
      </c>
      <c r="K153" s="151" t="s">
        <v>3198</v>
      </c>
      <c r="L153" s="146" t="s">
        <v>3199</v>
      </c>
      <c r="M153" s="140"/>
      <c r="N153" s="68"/>
      <c r="O153" s="64" t="s">
        <v>2813</v>
      </c>
      <c r="P153" s="147" t="s">
        <v>2761</v>
      </c>
      <c r="Q153" s="149"/>
      <c r="R153" s="141"/>
      <c r="S153" s="141"/>
      <c r="T153" s="141">
        <v>1550000.0</v>
      </c>
      <c r="U153" s="149"/>
      <c r="V153" s="149"/>
      <c r="W153" s="149"/>
      <c r="X153" s="68"/>
      <c r="Y153" s="68"/>
      <c r="Z153" s="68"/>
    </row>
    <row r="154" ht="15.0" customHeight="1">
      <c r="A154" s="139">
        <v>45782.0</v>
      </c>
      <c r="B154" s="148" t="s">
        <v>3196</v>
      </c>
      <c r="C154" s="64" t="s">
        <v>2770</v>
      </c>
      <c r="D154" s="140" t="str">
        <f>IFERROR(VLOOKUP(C154,Stock,3,FALSE),"")</f>
        <v>Transport</v>
      </c>
      <c r="E154" s="64">
        <v>1.0</v>
      </c>
      <c r="F154" s="141">
        <v>200000.0</v>
      </c>
      <c r="G154" s="142">
        <f t="shared" si="4"/>
        <v>200000</v>
      </c>
      <c r="H154" s="142"/>
      <c r="I154" s="143">
        <f t="shared" si="5"/>
        <v>200000</v>
      </c>
      <c r="J154" s="144">
        <f t="shared" si="6"/>
        <v>200000</v>
      </c>
      <c r="K154" s="151" t="s">
        <v>3198</v>
      </c>
      <c r="L154" s="146" t="s">
        <v>3200</v>
      </c>
      <c r="M154" s="140"/>
      <c r="N154" s="68"/>
      <c r="O154" s="64" t="s">
        <v>2813</v>
      </c>
      <c r="P154" s="147" t="s">
        <v>2761</v>
      </c>
      <c r="Q154" s="149"/>
      <c r="R154" s="141"/>
      <c r="S154" s="141"/>
      <c r="T154" s="141">
        <v>200000.0</v>
      </c>
      <c r="U154" s="149"/>
      <c r="V154" s="149"/>
      <c r="W154" s="149"/>
      <c r="X154" s="68"/>
      <c r="Y154" s="68"/>
      <c r="Z154" s="68"/>
    </row>
    <row r="155" ht="15.0" customHeight="1">
      <c r="A155" s="139">
        <v>45782.0</v>
      </c>
      <c r="B155" s="148" t="s">
        <v>3201</v>
      </c>
      <c r="C155" s="64" t="s">
        <v>2952</v>
      </c>
      <c r="D155" s="140" t="str">
        <f>IFERROR(VLOOKUP(C155,Stock,3,FALSE),"")</f>
        <v/>
      </c>
      <c r="E155" s="64">
        <v>1.0</v>
      </c>
      <c r="F155" s="141">
        <v>1050000.0</v>
      </c>
      <c r="G155" s="142">
        <f t="shared" si="4"/>
        <v>1050000</v>
      </c>
      <c r="H155" s="142"/>
      <c r="I155" s="143">
        <f t="shared" si="5"/>
        <v>1050000</v>
      </c>
      <c r="J155" s="144">
        <f t="shared" si="6"/>
        <v>1050000</v>
      </c>
      <c r="K155" s="151" t="s">
        <v>3202</v>
      </c>
      <c r="L155" s="146" t="s">
        <v>3203</v>
      </c>
      <c r="M155" s="140"/>
      <c r="N155" s="68"/>
      <c r="O155" s="64" t="s">
        <v>2813</v>
      </c>
      <c r="P155" s="147" t="s">
        <v>2761</v>
      </c>
      <c r="Q155" s="149"/>
      <c r="R155" s="141"/>
      <c r="S155" s="141"/>
      <c r="T155" s="141">
        <v>1050000.0</v>
      </c>
      <c r="U155" s="149"/>
      <c r="V155" s="149"/>
      <c r="W155" s="149"/>
      <c r="X155" s="64" t="s">
        <v>2891</v>
      </c>
      <c r="Y155" s="64"/>
      <c r="Z155" s="68"/>
    </row>
    <row r="156" ht="15.0" customHeight="1">
      <c r="A156" s="139">
        <v>45783.0</v>
      </c>
      <c r="B156" s="148" t="s">
        <v>3204</v>
      </c>
      <c r="C156" s="64" t="s">
        <v>3205</v>
      </c>
      <c r="D156" s="140" t="str">
        <f>IFERROR(VLOOKUP(C156,Stock,3,FALSE),"")</f>
        <v>Toyota Innova 04-15 1st Gen</v>
      </c>
      <c r="E156" s="64">
        <v>1.0</v>
      </c>
      <c r="F156" s="141">
        <v>1372000.0</v>
      </c>
      <c r="G156" s="142">
        <f t="shared" si="4"/>
        <v>1372000</v>
      </c>
      <c r="H156" s="142"/>
      <c r="I156" s="143">
        <f t="shared" si="5"/>
        <v>1372000</v>
      </c>
      <c r="J156" s="144">
        <f t="shared" si="6"/>
        <v>1372000</v>
      </c>
      <c r="K156" s="151" t="s">
        <v>3206</v>
      </c>
      <c r="L156" s="146" t="s">
        <v>3207</v>
      </c>
      <c r="M156" s="140"/>
      <c r="N156" s="154" t="s">
        <v>3208</v>
      </c>
      <c r="O156" s="64" t="s">
        <v>2813</v>
      </c>
      <c r="P156" s="147" t="s">
        <v>2761</v>
      </c>
      <c r="Q156" s="149"/>
      <c r="R156" s="141"/>
      <c r="S156" s="141"/>
      <c r="T156" s="141">
        <v>1372000.0</v>
      </c>
      <c r="U156" s="149"/>
      <c r="V156" s="149"/>
      <c r="W156" s="149"/>
      <c r="X156" s="64" t="s">
        <v>2891</v>
      </c>
      <c r="Y156" s="64"/>
      <c r="Z156" s="68"/>
    </row>
    <row r="157" ht="15.0" customHeight="1">
      <c r="A157" s="139">
        <v>45783.0</v>
      </c>
      <c r="B157" s="148" t="s">
        <v>3209</v>
      </c>
      <c r="C157" s="64" t="s">
        <v>2797</v>
      </c>
      <c r="D157" s="140" t="str">
        <f>IFERROR(VLOOKUP(C157,Stock,3,FALSE),"")</f>
        <v>Toyota Calya / Sigra 16-</v>
      </c>
      <c r="E157" s="64">
        <v>1.0</v>
      </c>
      <c r="F157" s="141">
        <v>400000.0</v>
      </c>
      <c r="G157" s="142">
        <f t="shared" si="4"/>
        <v>400000</v>
      </c>
      <c r="H157" s="142"/>
      <c r="I157" s="143">
        <f t="shared" si="5"/>
        <v>400000</v>
      </c>
      <c r="J157" s="144">
        <f t="shared" si="6"/>
        <v>400000</v>
      </c>
      <c r="K157" s="151" t="s">
        <v>3210</v>
      </c>
      <c r="L157" s="146" t="s">
        <v>3211</v>
      </c>
      <c r="M157" s="140"/>
      <c r="N157" s="68"/>
      <c r="O157" s="64" t="s">
        <v>2813</v>
      </c>
      <c r="P157" s="147" t="s">
        <v>2761</v>
      </c>
      <c r="Q157" s="141">
        <v>125000.0</v>
      </c>
      <c r="R157" s="141"/>
      <c r="S157" s="141"/>
      <c r="T157" s="141">
        <v>275000.0</v>
      </c>
      <c r="U157" s="149"/>
      <c r="V157" s="149"/>
      <c r="W157" s="149"/>
      <c r="X157" s="64" t="s">
        <v>2891</v>
      </c>
      <c r="Y157" s="64"/>
      <c r="Z157" s="68"/>
    </row>
    <row r="158" ht="15.0" customHeight="1">
      <c r="A158" s="139">
        <v>45783.0</v>
      </c>
      <c r="B158" s="148" t="s">
        <v>3212</v>
      </c>
      <c r="C158" s="64" t="s">
        <v>3009</v>
      </c>
      <c r="D158" s="140" t="str">
        <f>IFERROR(VLOOKUP(C158,Stock,3,FALSE),"")</f>
        <v>Honda Mobilio 14-</v>
      </c>
      <c r="E158" s="64">
        <v>1.0</v>
      </c>
      <c r="F158" s="141">
        <v>1300000.0</v>
      </c>
      <c r="G158" s="142">
        <f t="shared" si="4"/>
        <v>1300000</v>
      </c>
      <c r="H158" s="143">
        <v>100000.0</v>
      </c>
      <c r="I158" s="143">
        <f t="shared" si="5"/>
        <v>1200000</v>
      </c>
      <c r="J158" s="144">
        <f t="shared" si="6"/>
        <v>1200000</v>
      </c>
      <c r="K158" s="151" t="s">
        <v>3213</v>
      </c>
      <c r="L158" s="146" t="s">
        <v>3214</v>
      </c>
      <c r="M158" s="140"/>
      <c r="N158" s="154" t="s">
        <v>3215</v>
      </c>
      <c r="O158" s="64" t="s">
        <v>2813</v>
      </c>
      <c r="P158" s="147" t="s">
        <v>2761</v>
      </c>
      <c r="Q158" s="141">
        <v>1200000.0</v>
      </c>
      <c r="R158" s="149"/>
      <c r="S158" s="149"/>
      <c r="T158" s="149"/>
      <c r="U158" s="149"/>
      <c r="V158" s="149"/>
      <c r="W158" s="149"/>
      <c r="X158" s="64" t="s">
        <v>2891</v>
      </c>
      <c r="Y158" s="64"/>
      <c r="Z158" s="68"/>
    </row>
    <row r="159" ht="15.0" customHeight="1">
      <c r="A159" s="139">
        <v>45784.0</v>
      </c>
      <c r="B159" s="148" t="s">
        <v>3216</v>
      </c>
      <c r="C159" s="64" t="s">
        <v>2952</v>
      </c>
      <c r="D159" s="140" t="str">
        <f>IFERROR(VLOOKUP(C159,Stock,3,FALSE),"")</f>
        <v/>
      </c>
      <c r="E159" s="64">
        <v>1.0</v>
      </c>
      <c r="F159" s="141">
        <v>1050000.0</v>
      </c>
      <c r="G159" s="142">
        <f t="shared" si="4"/>
        <v>1050000</v>
      </c>
      <c r="H159" s="142"/>
      <c r="I159" s="143">
        <f t="shared" si="5"/>
        <v>1050000</v>
      </c>
      <c r="J159" s="144">
        <f t="shared" si="6"/>
        <v>1050000</v>
      </c>
      <c r="K159" s="151" t="s">
        <v>3217</v>
      </c>
      <c r="L159" s="146" t="s">
        <v>3218</v>
      </c>
      <c r="M159" s="140"/>
      <c r="N159" s="68"/>
      <c r="O159" s="64" t="s">
        <v>2813</v>
      </c>
      <c r="P159" s="147" t="s">
        <v>2761</v>
      </c>
      <c r="Q159" s="149"/>
      <c r="R159" s="141"/>
      <c r="S159" s="141"/>
      <c r="T159" s="141">
        <v>1050000.0</v>
      </c>
      <c r="U159" s="149"/>
      <c r="V159" s="149"/>
      <c r="W159" s="149"/>
      <c r="X159" s="64" t="s">
        <v>2891</v>
      </c>
      <c r="Y159" s="64"/>
      <c r="Z159" s="68"/>
    </row>
    <row r="160" ht="15.0" customHeight="1">
      <c r="A160" s="139">
        <v>45784.0</v>
      </c>
      <c r="B160" s="148" t="s">
        <v>3216</v>
      </c>
      <c r="C160" s="64" t="s">
        <v>2770</v>
      </c>
      <c r="D160" s="140" t="str">
        <f>IFERROR(VLOOKUP(C160,Stock,3,FALSE),"")</f>
        <v>Transport</v>
      </c>
      <c r="E160" s="64">
        <v>1.0</v>
      </c>
      <c r="F160" s="141">
        <v>200000.0</v>
      </c>
      <c r="G160" s="142">
        <f t="shared" si="4"/>
        <v>200000</v>
      </c>
      <c r="H160" s="142"/>
      <c r="I160" s="143">
        <f t="shared" si="5"/>
        <v>200000</v>
      </c>
      <c r="J160" s="144">
        <f t="shared" si="6"/>
        <v>200000</v>
      </c>
      <c r="K160" s="151" t="s">
        <v>3217</v>
      </c>
      <c r="L160" s="146" t="s">
        <v>3218</v>
      </c>
      <c r="M160" s="140"/>
      <c r="N160" s="68"/>
      <c r="O160" s="64" t="s">
        <v>2813</v>
      </c>
      <c r="P160" s="147" t="s">
        <v>2761</v>
      </c>
      <c r="Q160" s="149"/>
      <c r="R160" s="141"/>
      <c r="S160" s="141"/>
      <c r="T160" s="141">
        <v>200000.0</v>
      </c>
      <c r="U160" s="149"/>
      <c r="V160" s="149"/>
      <c r="W160" s="149"/>
      <c r="X160" s="64" t="s">
        <v>2891</v>
      </c>
      <c r="Y160" s="64"/>
      <c r="Z160" s="68"/>
    </row>
    <row r="161" ht="15.0" customHeight="1">
      <c r="A161" s="139">
        <v>45785.0</v>
      </c>
      <c r="B161" s="148" t="s">
        <v>3219</v>
      </c>
      <c r="C161" s="64" t="s">
        <v>3220</v>
      </c>
      <c r="D161" s="140" t="str">
        <f>IFERROR(VLOOKUP(C161,Stock,3,FALSE),"")</f>
        <v>BMW 3 Series 12-18 F30/F35 (1 Sensor / O )</v>
      </c>
      <c r="E161" s="64">
        <v>1.0</v>
      </c>
      <c r="F161" s="141">
        <v>4900000.0</v>
      </c>
      <c r="G161" s="142">
        <f t="shared" si="4"/>
        <v>4900000</v>
      </c>
      <c r="H161" s="142"/>
      <c r="I161" s="143">
        <f t="shared" si="5"/>
        <v>4900000</v>
      </c>
      <c r="J161" s="144">
        <f t="shared" si="6"/>
        <v>4900000</v>
      </c>
      <c r="K161" s="151" t="s">
        <v>3221</v>
      </c>
      <c r="L161" s="146" t="s">
        <v>3222</v>
      </c>
      <c r="M161" s="140"/>
      <c r="N161" s="154" t="s">
        <v>3223</v>
      </c>
      <c r="O161" s="64" t="s">
        <v>2813</v>
      </c>
      <c r="P161" s="147" t="s">
        <v>2761</v>
      </c>
      <c r="Q161" s="149"/>
      <c r="R161" s="141"/>
      <c r="S161" s="141"/>
      <c r="T161" s="141">
        <v>4900000.0</v>
      </c>
      <c r="U161" s="149"/>
      <c r="V161" s="149"/>
      <c r="W161" s="149"/>
      <c r="X161" s="64" t="s">
        <v>2891</v>
      </c>
      <c r="Y161" s="64"/>
      <c r="Z161" s="68"/>
    </row>
    <row r="162" ht="15.0" customHeight="1">
      <c r="A162" s="139">
        <v>45785.0</v>
      </c>
      <c r="B162" s="148" t="s">
        <v>3224</v>
      </c>
      <c r="C162" s="64" t="s">
        <v>3225</v>
      </c>
      <c r="D162" s="140" t="str">
        <f>IFERROR(VLOOKUP(C162,Stock,3,FALSE),"")</f>
        <v>Toyota Rush / Terios 18-</v>
      </c>
      <c r="E162" s="64">
        <v>1.0</v>
      </c>
      <c r="F162" s="141">
        <v>1398000.0</v>
      </c>
      <c r="G162" s="142">
        <f t="shared" si="4"/>
        <v>1398000</v>
      </c>
      <c r="H162" s="142"/>
      <c r="I162" s="143">
        <f t="shared" si="5"/>
        <v>1398000</v>
      </c>
      <c r="J162" s="144">
        <f t="shared" si="6"/>
        <v>1398000</v>
      </c>
      <c r="K162" s="151" t="s">
        <v>3226</v>
      </c>
      <c r="L162" s="146" t="s">
        <v>3227</v>
      </c>
      <c r="M162" s="140"/>
      <c r="N162" s="154" t="s">
        <v>3228</v>
      </c>
      <c r="O162" s="64" t="s">
        <v>2813</v>
      </c>
      <c r="P162" s="147" t="s">
        <v>2761</v>
      </c>
      <c r="Q162" s="149"/>
      <c r="R162" s="141"/>
      <c r="S162" s="141"/>
      <c r="T162" s="141">
        <v>1398000.0</v>
      </c>
      <c r="U162" s="149"/>
      <c r="V162" s="149"/>
      <c r="W162" s="149"/>
      <c r="X162" s="64" t="s">
        <v>2891</v>
      </c>
      <c r="Y162" s="64"/>
      <c r="Z162" s="68"/>
    </row>
    <row r="163" ht="15.0" customHeight="1">
      <c r="A163" s="139">
        <v>45785.0</v>
      </c>
      <c r="B163" s="148" t="s">
        <v>3229</v>
      </c>
      <c r="C163" s="64" t="s">
        <v>3230</v>
      </c>
      <c r="D163" s="140" t="str">
        <f>IFERROR(VLOOKUP(C163,Stock,3,FALSE),"")</f>
        <v>Toyota LandCruiser 07- FJ200</v>
      </c>
      <c r="E163" s="64">
        <v>1.0</v>
      </c>
      <c r="F163" s="141">
        <v>3580000.0</v>
      </c>
      <c r="G163" s="142">
        <f t="shared" si="4"/>
        <v>3580000</v>
      </c>
      <c r="H163" s="142"/>
      <c r="I163" s="143">
        <f t="shared" si="5"/>
        <v>3580000</v>
      </c>
      <c r="J163" s="144">
        <f t="shared" si="6"/>
        <v>3580000</v>
      </c>
      <c r="K163" s="151" t="s">
        <v>3231</v>
      </c>
      <c r="L163" s="146" t="s">
        <v>3232</v>
      </c>
      <c r="M163" s="140"/>
      <c r="N163" s="68"/>
      <c r="O163" s="64" t="s">
        <v>2813</v>
      </c>
      <c r="P163" s="147" t="s">
        <v>2761</v>
      </c>
      <c r="Q163" s="149"/>
      <c r="R163" s="141"/>
      <c r="S163" s="141"/>
      <c r="T163" s="141">
        <v>3580000.0</v>
      </c>
      <c r="U163" s="149"/>
      <c r="V163" s="149"/>
      <c r="W163" s="149"/>
      <c r="X163" s="64" t="s">
        <v>2891</v>
      </c>
      <c r="Y163" s="64"/>
      <c r="Z163" s="68"/>
    </row>
    <row r="164" ht="15.0" customHeight="1">
      <c r="A164" s="139">
        <v>45785.0</v>
      </c>
      <c r="B164" s="148" t="s">
        <v>3229</v>
      </c>
      <c r="C164" s="64" t="s">
        <v>2770</v>
      </c>
      <c r="D164" s="140" t="str">
        <f>IFERROR(VLOOKUP(C164,Stock,3,FALSE),"")</f>
        <v>Transport</v>
      </c>
      <c r="E164" s="64">
        <v>1.0</v>
      </c>
      <c r="F164" s="141">
        <v>200000.0</v>
      </c>
      <c r="G164" s="142">
        <f t="shared" si="4"/>
        <v>200000</v>
      </c>
      <c r="H164" s="142"/>
      <c r="I164" s="143">
        <f t="shared" si="5"/>
        <v>200000</v>
      </c>
      <c r="J164" s="144">
        <f t="shared" si="6"/>
        <v>200000</v>
      </c>
      <c r="K164" s="151" t="s">
        <v>3231</v>
      </c>
      <c r="L164" s="146" t="s">
        <v>3232</v>
      </c>
      <c r="M164" s="140"/>
      <c r="N164" s="68"/>
      <c r="O164" s="64" t="s">
        <v>2813</v>
      </c>
      <c r="P164" s="147" t="s">
        <v>2761</v>
      </c>
      <c r="Q164" s="149"/>
      <c r="R164" s="141"/>
      <c r="S164" s="141"/>
      <c r="T164" s="141">
        <v>200000.0</v>
      </c>
      <c r="U164" s="149"/>
      <c r="V164" s="149"/>
      <c r="W164" s="149"/>
      <c r="X164" s="64" t="s">
        <v>2891</v>
      </c>
      <c r="Y164" s="64"/>
      <c r="Z164" s="68"/>
    </row>
    <row r="165" ht="15.0" customHeight="1">
      <c r="A165" s="139">
        <v>45786.0</v>
      </c>
      <c r="B165" s="148" t="s">
        <v>3233</v>
      </c>
      <c r="C165" s="64" t="s">
        <v>3234</v>
      </c>
      <c r="D165" s="140" t="str">
        <f>IFERROR(VLOOKUP(C165,Stock,3,FALSE),"")</f>
        <v>Toyota Avanza / Xenia 21- 4th Gen (Non sensor)</v>
      </c>
      <c r="E165" s="64">
        <v>1.0</v>
      </c>
      <c r="F165" s="141">
        <v>1550000.0</v>
      </c>
      <c r="G165" s="142">
        <f t="shared" si="4"/>
        <v>1550000</v>
      </c>
      <c r="H165" s="142"/>
      <c r="I165" s="143">
        <f t="shared" si="5"/>
        <v>1550000</v>
      </c>
      <c r="J165" s="144">
        <f t="shared" si="6"/>
        <v>1550000</v>
      </c>
      <c r="K165" s="145" t="s">
        <v>3235</v>
      </c>
      <c r="L165" s="146" t="s">
        <v>3236</v>
      </c>
      <c r="M165" s="140"/>
      <c r="N165" s="68"/>
      <c r="O165" s="64" t="s">
        <v>2813</v>
      </c>
      <c r="P165" s="147" t="s">
        <v>2761</v>
      </c>
      <c r="Q165" s="149"/>
      <c r="R165" s="141"/>
      <c r="S165" s="141"/>
      <c r="T165" s="141">
        <v>1550000.0</v>
      </c>
      <c r="U165" s="149"/>
      <c r="V165" s="149"/>
      <c r="W165" s="149"/>
      <c r="X165" s="64" t="s">
        <v>2808</v>
      </c>
      <c r="Y165" s="64"/>
      <c r="Z165" s="68"/>
    </row>
    <row r="166" ht="15.0" customHeight="1">
      <c r="A166" s="139">
        <v>45787.0</v>
      </c>
      <c r="B166" s="148" t="s">
        <v>3237</v>
      </c>
      <c r="C166" s="64" t="s">
        <v>3238</v>
      </c>
      <c r="D166" s="140" t="str">
        <f>IFERROR(VLOOKUP(C166,Stock,3,FALSE),"")</f>
        <v>Toyota Kijang 98- Kapsul Karet</v>
      </c>
      <c r="E166" s="64">
        <v>1.0</v>
      </c>
      <c r="F166" s="141">
        <v>1025000.0</v>
      </c>
      <c r="G166" s="142">
        <f t="shared" si="4"/>
        <v>1025000</v>
      </c>
      <c r="H166" s="142"/>
      <c r="I166" s="143">
        <f t="shared" si="5"/>
        <v>1025000</v>
      </c>
      <c r="J166" s="144">
        <f t="shared" si="6"/>
        <v>1025000</v>
      </c>
      <c r="K166" s="151" t="s">
        <v>3182</v>
      </c>
      <c r="L166" s="146" t="s">
        <v>3239</v>
      </c>
      <c r="M166" s="140"/>
      <c r="N166" s="68"/>
      <c r="O166" s="64" t="s">
        <v>2813</v>
      </c>
      <c r="P166" s="147" t="s">
        <v>2761</v>
      </c>
      <c r="Q166" s="149"/>
      <c r="R166" s="149"/>
      <c r="S166" s="149"/>
      <c r="T166" s="149"/>
      <c r="U166" s="149"/>
      <c r="V166" s="149"/>
      <c r="W166" s="149"/>
      <c r="X166" s="64" t="s">
        <v>2891</v>
      </c>
      <c r="Y166" s="64"/>
      <c r="Z166" s="68"/>
    </row>
    <row r="167" ht="15.0" customHeight="1">
      <c r="A167" s="139">
        <v>45787.0</v>
      </c>
      <c r="B167" s="148" t="s">
        <v>3240</v>
      </c>
      <c r="C167" s="64" t="s">
        <v>3241</v>
      </c>
      <c r="D167" s="140" t="str">
        <f>IFERROR(VLOOKUP(C167,Stock,3,FALSE),"")</f>
        <v>Toyota Alphard 18- ANH30 3rd Gen</v>
      </c>
      <c r="E167" s="64">
        <v>1.0</v>
      </c>
      <c r="F167" s="141">
        <v>3761000.0</v>
      </c>
      <c r="G167" s="142">
        <f t="shared" si="4"/>
        <v>3761000</v>
      </c>
      <c r="H167" s="142"/>
      <c r="I167" s="143">
        <f t="shared" si="5"/>
        <v>3761000</v>
      </c>
      <c r="J167" s="144">
        <f t="shared" si="6"/>
        <v>3761000</v>
      </c>
      <c r="K167" s="151" t="s">
        <v>3242</v>
      </c>
      <c r="L167" s="146" t="s">
        <v>3243</v>
      </c>
      <c r="M167" s="140"/>
      <c r="N167" s="154" t="s">
        <v>3244</v>
      </c>
      <c r="O167" s="64" t="s">
        <v>2813</v>
      </c>
      <c r="P167" s="147" t="s">
        <v>2761</v>
      </c>
      <c r="Q167" s="149"/>
      <c r="R167" s="141"/>
      <c r="S167" s="141"/>
      <c r="T167" s="141">
        <v>3761000.0</v>
      </c>
      <c r="U167" s="149"/>
      <c r="V167" s="149"/>
      <c r="W167" s="149"/>
      <c r="X167" s="64" t="s">
        <v>2891</v>
      </c>
      <c r="Y167" s="64"/>
      <c r="Z167" s="68"/>
    </row>
    <row r="168" ht="15.0" customHeight="1">
      <c r="A168" s="139">
        <v>45787.0</v>
      </c>
      <c r="B168" s="148" t="s">
        <v>3245</v>
      </c>
      <c r="C168" s="64" t="s">
        <v>3246</v>
      </c>
      <c r="D168" s="140" t="str">
        <f>IFERROR(VLOOKUP(C168,Stock,3,FALSE),"")</f>
        <v>Toyota Calya / Sigra 16-</v>
      </c>
      <c r="E168" s="64">
        <v>1.0</v>
      </c>
      <c r="F168" s="141">
        <v>1150000.0</v>
      </c>
      <c r="G168" s="142">
        <f t="shared" si="4"/>
        <v>1150000</v>
      </c>
      <c r="H168" s="142"/>
      <c r="I168" s="143">
        <f t="shared" si="5"/>
        <v>1150000</v>
      </c>
      <c r="J168" s="144">
        <f t="shared" si="6"/>
        <v>1150000</v>
      </c>
      <c r="K168" s="151" t="s">
        <v>3247</v>
      </c>
      <c r="L168" s="146" t="s">
        <v>3248</v>
      </c>
      <c r="M168" s="140"/>
      <c r="N168" s="154" t="s">
        <v>3249</v>
      </c>
      <c r="O168" s="64" t="s">
        <v>2813</v>
      </c>
      <c r="P168" s="147" t="s">
        <v>2761</v>
      </c>
      <c r="Q168" s="149"/>
      <c r="R168" s="141"/>
      <c r="S168" s="141"/>
      <c r="T168" s="141">
        <v>1150000.0</v>
      </c>
      <c r="U168" s="149"/>
      <c r="V168" s="149"/>
      <c r="W168" s="149"/>
      <c r="X168" s="64" t="s">
        <v>2891</v>
      </c>
      <c r="Y168" s="64"/>
      <c r="Z168" s="68"/>
    </row>
    <row r="169" ht="15.0" customHeight="1">
      <c r="A169" s="139">
        <v>45787.0</v>
      </c>
      <c r="B169" s="148" t="s">
        <v>3250</v>
      </c>
      <c r="C169" s="64" t="s">
        <v>2944</v>
      </c>
      <c r="D169" s="140" t="str">
        <f>IFERROR(VLOOKUP(C169,Stock,3,FALSE),"")</f>
        <v>Toyota Innova 04-15 1st Gen</v>
      </c>
      <c r="E169" s="64">
        <v>1.0</v>
      </c>
      <c r="F169" s="141">
        <v>1350000.0</v>
      </c>
      <c r="G169" s="142">
        <f t="shared" si="4"/>
        <v>1350000</v>
      </c>
      <c r="H169" s="143">
        <v>50000.0</v>
      </c>
      <c r="I169" s="143">
        <f t="shared" si="5"/>
        <v>1300000</v>
      </c>
      <c r="J169" s="144">
        <f t="shared" si="6"/>
        <v>1300000</v>
      </c>
      <c r="K169" s="151" t="s">
        <v>3251</v>
      </c>
      <c r="L169" s="146" t="s">
        <v>3252</v>
      </c>
      <c r="M169" s="140"/>
      <c r="N169" s="68"/>
      <c r="O169" s="64" t="s">
        <v>2813</v>
      </c>
      <c r="P169" s="147" t="s">
        <v>2761</v>
      </c>
      <c r="Q169" s="141">
        <v>1300000.0</v>
      </c>
      <c r="R169" s="149"/>
      <c r="S169" s="149"/>
      <c r="T169" s="149"/>
      <c r="U169" s="149"/>
      <c r="V169" s="149"/>
      <c r="W169" s="149"/>
      <c r="X169" s="64" t="s">
        <v>2891</v>
      </c>
      <c r="Y169" s="64"/>
      <c r="Z169" s="68"/>
    </row>
    <row r="170" ht="15.0" customHeight="1">
      <c r="A170" s="139">
        <v>45787.0</v>
      </c>
      <c r="B170" s="148" t="s">
        <v>3250</v>
      </c>
      <c r="C170" s="64" t="s">
        <v>2770</v>
      </c>
      <c r="D170" s="140" t="str">
        <f>IFERROR(VLOOKUP(C170,Stock,3,FALSE),"")</f>
        <v>Transport</v>
      </c>
      <c r="E170" s="64">
        <v>1.0</v>
      </c>
      <c r="F170" s="141">
        <v>200000.0</v>
      </c>
      <c r="G170" s="142">
        <f t="shared" si="4"/>
        <v>200000</v>
      </c>
      <c r="H170" s="142"/>
      <c r="I170" s="143">
        <f t="shared" si="5"/>
        <v>200000</v>
      </c>
      <c r="J170" s="144">
        <f t="shared" si="6"/>
        <v>200000</v>
      </c>
      <c r="K170" s="151" t="s">
        <v>3251</v>
      </c>
      <c r="L170" s="146" t="s">
        <v>3253</v>
      </c>
      <c r="M170" s="140"/>
      <c r="N170" s="68"/>
      <c r="O170" s="64" t="s">
        <v>2813</v>
      </c>
      <c r="P170" s="147" t="s">
        <v>2761</v>
      </c>
      <c r="Q170" s="141">
        <v>200000.0</v>
      </c>
      <c r="R170" s="149"/>
      <c r="S170" s="149"/>
      <c r="T170" s="149"/>
      <c r="U170" s="149"/>
      <c r="V170" s="149"/>
      <c r="W170" s="149"/>
      <c r="X170" s="64" t="s">
        <v>2891</v>
      </c>
      <c r="Y170" s="64"/>
      <c r="Z170" s="68"/>
    </row>
    <row r="171" ht="15.0" customHeight="1">
      <c r="A171" s="139">
        <v>45788.0</v>
      </c>
      <c r="B171" s="148" t="s">
        <v>3254</v>
      </c>
      <c r="C171" s="64" t="s">
        <v>3255</v>
      </c>
      <c r="D171" s="140" t="str">
        <f>IFERROR(VLOOKUP(C171,Stock,3,FALSE),"")</f>
        <v>Honda CR-V 07-11 3rd Gen</v>
      </c>
      <c r="E171" s="64">
        <v>1.0</v>
      </c>
      <c r="F171" s="141">
        <v>650000.0</v>
      </c>
      <c r="G171" s="142">
        <f t="shared" si="4"/>
        <v>650000</v>
      </c>
      <c r="H171" s="142"/>
      <c r="I171" s="143">
        <f t="shared" si="5"/>
        <v>650000</v>
      </c>
      <c r="J171" s="144">
        <f t="shared" si="6"/>
        <v>650000</v>
      </c>
      <c r="K171" s="151" t="s">
        <v>3256</v>
      </c>
      <c r="L171" s="146" t="s">
        <v>3257</v>
      </c>
      <c r="M171" s="140"/>
      <c r="N171" s="68"/>
      <c r="O171" s="64" t="s">
        <v>2813</v>
      </c>
      <c r="P171" s="147" t="s">
        <v>2761</v>
      </c>
      <c r="Q171" s="149"/>
      <c r="R171" s="141"/>
      <c r="S171" s="141"/>
      <c r="T171" s="141">
        <v>650000.0</v>
      </c>
      <c r="U171" s="149"/>
      <c r="V171" s="149"/>
      <c r="W171" s="149"/>
      <c r="X171" s="64" t="s">
        <v>2891</v>
      </c>
      <c r="Y171" s="64"/>
      <c r="Z171" s="68"/>
    </row>
    <row r="172" ht="15.0" customHeight="1">
      <c r="A172" s="139">
        <v>45788.0</v>
      </c>
      <c r="B172" s="148" t="s">
        <v>3254</v>
      </c>
      <c r="C172" s="64" t="s">
        <v>2962</v>
      </c>
      <c r="D172" s="140" t="str">
        <f>IFERROR(VLOOKUP(C172,Stock,3,FALSE),"")</f>
        <v>Lembur</v>
      </c>
      <c r="E172" s="64">
        <v>1.0</v>
      </c>
      <c r="F172" s="141">
        <v>75000.0</v>
      </c>
      <c r="G172" s="142">
        <f t="shared" si="4"/>
        <v>75000</v>
      </c>
      <c r="H172" s="142"/>
      <c r="I172" s="143">
        <f t="shared" si="5"/>
        <v>75000</v>
      </c>
      <c r="J172" s="144">
        <f t="shared" si="6"/>
        <v>75000</v>
      </c>
      <c r="K172" s="151" t="s">
        <v>3256</v>
      </c>
      <c r="L172" s="146" t="s">
        <v>3257</v>
      </c>
      <c r="M172" s="140"/>
      <c r="N172" s="68"/>
      <c r="O172" s="64" t="s">
        <v>2813</v>
      </c>
      <c r="P172" s="147" t="s">
        <v>2761</v>
      </c>
      <c r="Q172" s="149"/>
      <c r="R172" s="141"/>
      <c r="S172" s="141"/>
      <c r="T172" s="141">
        <v>75000.0</v>
      </c>
      <c r="U172" s="149"/>
      <c r="V172" s="149"/>
      <c r="W172" s="149"/>
      <c r="X172" s="64" t="s">
        <v>2891</v>
      </c>
      <c r="Y172" s="64"/>
      <c r="Z172" s="68"/>
    </row>
    <row r="173" ht="15.0" customHeight="1">
      <c r="A173" s="139">
        <v>45790.0</v>
      </c>
      <c r="B173" s="148" t="s">
        <v>3258</v>
      </c>
      <c r="C173" s="64" t="s">
        <v>2901</v>
      </c>
      <c r="D173" s="140" t="str">
        <f>IFERROR(VLOOKUP(C173,Stock,3,FALSE),"")</f>
        <v>Honda CR-V 12-16 4th Gen</v>
      </c>
      <c r="E173" s="64">
        <v>1.0</v>
      </c>
      <c r="F173" s="141">
        <v>1800000.0</v>
      </c>
      <c r="G173" s="142">
        <f t="shared" si="4"/>
        <v>1800000</v>
      </c>
      <c r="H173" s="142"/>
      <c r="I173" s="143">
        <f t="shared" si="5"/>
        <v>1800000</v>
      </c>
      <c r="J173" s="144">
        <f t="shared" si="6"/>
        <v>1800000</v>
      </c>
      <c r="K173" s="145" t="s">
        <v>3259</v>
      </c>
      <c r="L173" s="146" t="s">
        <v>3260</v>
      </c>
      <c r="M173" s="140"/>
      <c r="N173" s="68"/>
      <c r="O173" s="64" t="s">
        <v>2942</v>
      </c>
      <c r="P173" s="147" t="s">
        <v>2761</v>
      </c>
      <c r="Q173" s="149"/>
      <c r="R173" s="149"/>
      <c r="S173" s="149"/>
      <c r="T173" s="149"/>
      <c r="U173" s="149"/>
      <c r="V173" s="149"/>
      <c r="W173" s="149"/>
      <c r="X173" s="64" t="s">
        <v>2808</v>
      </c>
      <c r="Y173" s="64"/>
      <c r="Z173" s="68"/>
    </row>
    <row r="174" ht="15.0" customHeight="1">
      <c r="A174" s="139">
        <v>45791.0</v>
      </c>
      <c r="B174" s="148" t="s">
        <v>3261</v>
      </c>
      <c r="C174" s="64" t="s">
        <v>2865</v>
      </c>
      <c r="D174" s="140" t="str">
        <f>IFERROR(VLOOKUP(C174,Stock,3,FALSE),"")</f>
        <v>Toyota Fortuner 15- 2nd Gen</v>
      </c>
      <c r="E174" s="64">
        <v>1.0</v>
      </c>
      <c r="F174" s="141">
        <v>1800000.0</v>
      </c>
      <c r="G174" s="142">
        <f t="shared" si="4"/>
        <v>1800000</v>
      </c>
      <c r="H174" s="142"/>
      <c r="I174" s="143">
        <f t="shared" si="5"/>
        <v>1800000</v>
      </c>
      <c r="J174" s="144">
        <f t="shared" si="6"/>
        <v>1800000</v>
      </c>
      <c r="K174" s="145" t="s">
        <v>3262</v>
      </c>
      <c r="L174" s="146" t="s">
        <v>3263</v>
      </c>
      <c r="M174" s="140"/>
      <c r="N174" s="68"/>
      <c r="O174" s="64" t="s">
        <v>2813</v>
      </c>
      <c r="P174" s="147" t="s">
        <v>2761</v>
      </c>
      <c r="Q174" s="149"/>
      <c r="R174" s="141"/>
      <c r="S174" s="141"/>
      <c r="T174" s="141">
        <v>1800000.0</v>
      </c>
      <c r="U174" s="149"/>
      <c r="V174" s="149"/>
      <c r="W174" s="149"/>
      <c r="X174" s="64" t="s">
        <v>2891</v>
      </c>
      <c r="Y174" s="64"/>
      <c r="Z174" s="68"/>
    </row>
    <row r="175" ht="15.0" customHeight="1">
      <c r="A175" s="139">
        <v>45791.0</v>
      </c>
      <c r="B175" s="148" t="s">
        <v>3261</v>
      </c>
      <c r="C175" s="64" t="s">
        <v>2770</v>
      </c>
      <c r="D175" s="140" t="str">
        <f>IFERROR(VLOOKUP(C175,Stock,3,FALSE),"")</f>
        <v>Transport</v>
      </c>
      <c r="E175" s="64">
        <v>1.0</v>
      </c>
      <c r="F175" s="141">
        <v>250000.0</v>
      </c>
      <c r="G175" s="142">
        <f t="shared" si="4"/>
        <v>250000</v>
      </c>
      <c r="H175" s="142"/>
      <c r="I175" s="143">
        <f t="shared" si="5"/>
        <v>250000</v>
      </c>
      <c r="J175" s="144">
        <f t="shared" si="6"/>
        <v>250000</v>
      </c>
      <c r="K175" s="145" t="s">
        <v>3262</v>
      </c>
      <c r="L175" s="146" t="s">
        <v>3263</v>
      </c>
      <c r="M175" s="140"/>
      <c r="N175" s="68"/>
      <c r="O175" s="169" t="s">
        <v>2813</v>
      </c>
      <c r="P175" s="147" t="s">
        <v>2761</v>
      </c>
      <c r="Q175" s="149"/>
      <c r="R175" s="141"/>
      <c r="S175" s="141"/>
      <c r="T175" s="141">
        <v>250000.0</v>
      </c>
      <c r="U175" s="149"/>
      <c r="V175" s="149"/>
      <c r="W175" s="149"/>
      <c r="X175" s="64" t="s">
        <v>2891</v>
      </c>
      <c r="Y175" s="64"/>
      <c r="Z175" s="68"/>
    </row>
    <row r="176" ht="15.0" customHeight="1">
      <c r="A176" s="139">
        <v>45791.0</v>
      </c>
      <c r="B176" s="148" t="s">
        <v>3264</v>
      </c>
      <c r="C176" s="64" t="s">
        <v>3265</v>
      </c>
      <c r="D176" s="140" t="str">
        <f>IFERROR(VLOOKUP(C176,Stock,3,FALSE),"")</f>
        <v>Honda Jazz 07-13 2nd Gen</v>
      </c>
      <c r="E176" s="64">
        <v>1.0</v>
      </c>
      <c r="F176" s="141">
        <v>1750000.0</v>
      </c>
      <c r="G176" s="142">
        <f t="shared" si="4"/>
        <v>1750000</v>
      </c>
      <c r="H176" s="142"/>
      <c r="I176" s="143">
        <f t="shared" si="5"/>
        <v>1750000</v>
      </c>
      <c r="J176" s="144">
        <f t="shared" si="6"/>
        <v>1750000</v>
      </c>
      <c r="K176" s="151" t="s">
        <v>3266</v>
      </c>
      <c r="L176" s="146" t="s">
        <v>3267</v>
      </c>
      <c r="M176" s="140"/>
      <c r="N176" s="68"/>
      <c r="O176" s="169" t="s">
        <v>2813</v>
      </c>
      <c r="P176" s="147" t="s">
        <v>2761</v>
      </c>
      <c r="Q176" s="149"/>
      <c r="R176" s="149"/>
      <c r="S176" s="149"/>
      <c r="T176" s="149"/>
      <c r="U176" s="149"/>
      <c r="V176" s="149"/>
      <c r="W176" s="149"/>
      <c r="X176" s="68"/>
      <c r="Y176" s="68"/>
      <c r="Z176" s="68"/>
    </row>
    <row r="177" ht="15.0" customHeight="1">
      <c r="A177" s="139">
        <v>45791.0</v>
      </c>
      <c r="B177" s="148" t="s">
        <v>3264</v>
      </c>
      <c r="C177" s="64" t="s">
        <v>2770</v>
      </c>
      <c r="D177" s="140" t="str">
        <f>IFERROR(VLOOKUP(C177,Stock,3,FALSE),"")</f>
        <v>Transport</v>
      </c>
      <c r="E177" s="64">
        <v>1.0</v>
      </c>
      <c r="F177" s="141">
        <v>75000.0</v>
      </c>
      <c r="G177" s="142">
        <f t="shared" si="4"/>
        <v>75000</v>
      </c>
      <c r="H177" s="142"/>
      <c r="I177" s="143">
        <f t="shared" si="5"/>
        <v>75000</v>
      </c>
      <c r="J177" s="144">
        <f t="shared" si="6"/>
        <v>75000</v>
      </c>
      <c r="K177" s="151" t="s">
        <v>3266</v>
      </c>
      <c r="L177" s="146" t="s">
        <v>3267</v>
      </c>
      <c r="M177" s="140"/>
      <c r="N177" s="68"/>
      <c r="O177" s="169" t="s">
        <v>2813</v>
      </c>
      <c r="P177" s="147" t="s">
        <v>2761</v>
      </c>
      <c r="Q177" s="149"/>
      <c r="R177" s="149"/>
      <c r="S177" s="149"/>
      <c r="T177" s="149"/>
      <c r="U177" s="149"/>
      <c r="V177" s="149"/>
      <c r="W177" s="149"/>
      <c r="X177" s="68"/>
      <c r="Y177" s="68"/>
      <c r="Z177" s="68"/>
    </row>
    <row r="178" ht="15.0" customHeight="1">
      <c r="A178" s="139">
        <v>45790.0</v>
      </c>
      <c r="B178" s="148" t="s">
        <v>3268</v>
      </c>
      <c r="C178" s="64" t="s">
        <v>3269</v>
      </c>
      <c r="D178" s="140" t="str">
        <f>IFERROR(VLOOKUP(C178,Stock,3,FALSE),"")</f>
        <v>Mitsubishi Pajero 16-</v>
      </c>
      <c r="E178" s="64">
        <v>1.0</v>
      </c>
      <c r="F178" s="141">
        <v>675000.0</v>
      </c>
      <c r="G178" s="142">
        <f t="shared" si="4"/>
        <v>675000</v>
      </c>
      <c r="H178" s="142"/>
      <c r="I178" s="143">
        <f t="shared" si="5"/>
        <v>675000</v>
      </c>
      <c r="J178" s="144">
        <f t="shared" si="6"/>
        <v>675000</v>
      </c>
      <c r="K178" s="145" t="s">
        <v>3270</v>
      </c>
      <c r="L178" s="140"/>
      <c r="M178" s="140"/>
      <c r="N178" s="64" t="s">
        <v>3271</v>
      </c>
      <c r="O178" s="169" t="s">
        <v>2813</v>
      </c>
      <c r="P178" s="147" t="s">
        <v>2761</v>
      </c>
      <c r="Q178" s="149"/>
      <c r="R178" s="141"/>
      <c r="S178" s="141"/>
      <c r="T178" s="141">
        <v>675000.0</v>
      </c>
      <c r="U178" s="149"/>
      <c r="V178" s="149"/>
      <c r="W178" s="149"/>
      <c r="X178" s="64" t="s">
        <v>2976</v>
      </c>
      <c r="Y178" s="64"/>
      <c r="Z178" s="68"/>
    </row>
    <row r="179" ht="15.0" customHeight="1">
      <c r="A179" s="139">
        <v>45792.0</v>
      </c>
      <c r="B179" s="148" t="s">
        <v>3272</v>
      </c>
      <c r="C179" s="64" t="s">
        <v>3273</v>
      </c>
      <c r="D179" s="140" t="str">
        <f>IFERROR(VLOOKUP(C179,Stock,3,FALSE),"")</f>
        <v>Wuling Almaz (Wuling)</v>
      </c>
      <c r="E179" s="64">
        <v>1.0</v>
      </c>
      <c r="F179" s="141">
        <v>1384000.0</v>
      </c>
      <c r="G179" s="142">
        <f t="shared" si="4"/>
        <v>1384000</v>
      </c>
      <c r="H179" s="142"/>
      <c r="I179" s="143">
        <f t="shared" si="5"/>
        <v>1384000</v>
      </c>
      <c r="J179" s="144">
        <f t="shared" si="6"/>
        <v>1384000</v>
      </c>
      <c r="K179" s="145" t="s">
        <v>3274</v>
      </c>
      <c r="L179" s="146" t="s">
        <v>3275</v>
      </c>
      <c r="M179" s="140"/>
      <c r="N179" s="64" t="s">
        <v>3276</v>
      </c>
      <c r="O179" s="169" t="s">
        <v>2813</v>
      </c>
      <c r="P179" s="147" t="s">
        <v>2761</v>
      </c>
      <c r="Q179" s="149"/>
      <c r="R179" s="141"/>
      <c r="S179" s="141"/>
      <c r="T179" s="141">
        <v>1384000.0</v>
      </c>
      <c r="U179" s="149"/>
      <c r="V179" s="149"/>
      <c r="W179" s="149"/>
      <c r="X179" s="64" t="s">
        <v>2976</v>
      </c>
      <c r="Y179" s="64"/>
      <c r="Z179" s="68"/>
    </row>
    <row r="180" ht="15.0" customHeight="1">
      <c r="A180" s="139">
        <v>45793.0</v>
      </c>
      <c r="B180" s="148" t="s">
        <v>3277</v>
      </c>
      <c r="C180" s="64" t="s">
        <v>3278</v>
      </c>
      <c r="D180" s="140" t="str">
        <f>IFERROR(VLOOKUP(C180,Stock,3,FALSE),"")</f>
        <v>Mazda 8 06-16</v>
      </c>
      <c r="E180" s="64">
        <v>1.0</v>
      </c>
      <c r="F180" s="141">
        <v>4686000.0</v>
      </c>
      <c r="G180" s="142">
        <f t="shared" si="4"/>
        <v>4686000</v>
      </c>
      <c r="H180" s="142"/>
      <c r="I180" s="143">
        <f t="shared" si="5"/>
        <v>4686000</v>
      </c>
      <c r="J180" s="144">
        <f t="shared" si="6"/>
        <v>4686000</v>
      </c>
      <c r="K180" s="151" t="s">
        <v>3279</v>
      </c>
      <c r="L180" s="146" t="s">
        <v>3280</v>
      </c>
      <c r="M180" s="140"/>
      <c r="N180" s="154" t="s">
        <v>3281</v>
      </c>
      <c r="O180" s="169" t="s">
        <v>2813</v>
      </c>
      <c r="P180" s="147" t="s">
        <v>2761</v>
      </c>
      <c r="Q180" s="149"/>
      <c r="R180" s="141"/>
      <c r="S180" s="141"/>
      <c r="T180" s="141">
        <v>4686000.0</v>
      </c>
      <c r="U180" s="149"/>
      <c r="V180" s="149"/>
      <c r="W180" s="149"/>
      <c r="X180" s="64" t="s">
        <v>2891</v>
      </c>
      <c r="Y180" s="64"/>
      <c r="Z180" s="68"/>
    </row>
    <row r="181" ht="15.0" customHeight="1">
      <c r="A181" s="139">
        <v>45793.0</v>
      </c>
      <c r="B181" s="148" t="s">
        <v>3282</v>
      </c>
      <c r="C181" s="64" t="s">
        <v>3283</v>
      </c>
      <c r="D181" s="140" t="str">
        <f>IFERROR(VLOOKUP(C181,Stock,3,FALSE),"")</f>
        <v>Nissan X-Trail 13- T32</v>
      </c>
      <c r="E181" s="64">
        <v>1.0</v>
      </c>
      <c r="F181" s="141">
        <v>808000.0</v>
      </c>
      <c r="G181" s="142">
        <f t="shared" si="4"/>
        <v>808000</v>
      </c>
      <c r="H181" s="142"/>
      <c r="I181" s="143">
        <f t="shared" si="5"/>
        <v>808000</v>
      </c>
      <c r="J181" s="144">
        <f t="shared" si="6"/>
        <v>808000</v>
      </c>
      <c r="K181" s="151" t="s">
        <v>3284</v>
      </c>
      <c r="L181" s="146" t="s">
        <v>3285</v>
      </c>
      <c r="M181" s="140"/>
      <c r="N181" s="68"/>
      <c r="O181" s="169" t="s">
        <v>2813</v>
      </c>
      <c r="P181" s="147" t="s">
        <v>2761</v>
      </c>
      <c r="Q181" s="149"/>
      <c r="R181" s="141"/>
      <c r="S181" s="141"/>
      <c r="T181" s="141">
        <v>808000.0</v>
      </c>
      <c r="U181" s="149"/>
      <c r="V181" s="149"/>
      <c r="W181" s="149"/>
      <c r="X181" s="64" t="s">
        <v>2891</v>
      </c>
      <c r="Y181" s="64"/>
      <c r="Z181" s="68"/>
    </row>
    <row r="182" ht="15.0" customHeight="1">
      <c r="A182" s="139">
        <v>45793.0</v>
      </c>
      <c r="B182" s="148" t="s">
        <v>3282</v>
      </c>
      <c r="C182" s="64" t="s">
        <v>2770</v>
      </c>
      <c r="D182" s="140" t="str">
        <f>IFERROR(VLOOKUP(C182,Stock,3,FALSE),"")</f>
        <v>Transport</v>
      </c>
      <c r="E182" s="64">
        <v>1.0</v>
      </c>
      <c r="F182" s="141">
        <v>50000.0</v>
      </c>
      <c r="G182" s="142">
        <f t="shared" si="4"/>
        <v>50000</v>
      </c>
      <c r="H182" s="142"/>
      <c r="I182" s="143">
        <f t="shared" si="5"/>
        <v>50000</v>
      </c>
      <c r="J182" s="144">
        <f t="shared" si="6"/>
        <v>50000</v>
      </c>
      <c r="K182" s="151" t="s">
        <v>3284</v>
      </c>
      <c r="L182" s="146" t="s">
        <v>3285</v>
      </c>
      <c r="M182" s="140"/>
      <c r="N182" s="68"/>
      <c r="O182" s="169" t="s">
        <v>2813</v>
      </c>
      <c r="P182" s="147" t="s">
        <v>2761</v>
      </c>
      <c r="Q182" s="149"/>
      <c r="R182" s="141"/>
      <c r="S182" s="141"/>
      <c r="T182" s="141">
        <v>50000.0</v>
      </c>
      <c r="U182" s="149"/>
      <c r="V182" s="149"/>
      <c r="W182" s="149"/>
      <c r="X182" s="64" t="s">
        <v>2891</v>
      </c>
      <c r="Y182" s="64"/>
      <c r="Z182" s="68"/>
    </row>
    <row r="183" ht="15.0" customHeight="1">
      <c r="A183" s="139">
        <v>45793.0</v>
      </c>
      <c r="B183" s="148" t="s">
        <v>3286</v>
      </c>
      <c r="C183" s="64" t="s">
        <v>3287</v>
      </c>
      <c r="D183" s="140" t="str">
        <f>IFERROR(VLOOKUP(C183,Stock,3,FALSE),"")</f>
        <v>Toyota Calya / Sigra 16-</v>
      </c>
      <c r="E183" s="64">
        <v>1.0</v>
      </c>
      <c r="F183" s="141">
        <v>489000.0</v>
      </c>
      <c r="G183" s="142">
        <f t="shared" si="4"/>
        <v>489000</v>
      </c>
      <c r="H183" s="142"/>
      <c r="I183" s="143">
        <f t="shared" si="5"/>
        <v>489000</v>
      </c>
      <c r="J183" s="144">
        <f t="shared" si="6"/>
        <v>489000</v>
      </c>
      <c r="K183" s="151" t="s">
        <v>3288</v>
      </c>
      <c r="L183" s="146" t="s">
        <v>3289</v>
      </c>
      <c r="M183" s="140"/>
      <c r="N183" s="68"/>
      <c r="O183" s="169" t="s">
        <v>2813</v>
      </c>
      <c r="P183" s="147" t="s">
        <v>2761</v>
      </c>
      <c r="Q183" s="149"/>
      <c r="R183" s="141"/>
      <c r="S183" s="141"/>
      <c r="T183" s="141">
        <v>489000.0</v>
      </c>
      <c r="U183" s="149"/>
      <c r="V183" s="149"/>
      <c r="W183" s="149"/>
      <c r="X183" s="64" t="s">
        <v>2891</v>
      </c>
      <c r="Y183" s="64"/>
      <c r="Z183" s="68"/>
    </row>
    <row r="184" ht="15.0" customHeight="1">
      <c r="A184" s="139">
        <v>45793.0</v>
      </c>
      <c r="B184" s="148" t="s">
        <v>3290</v>
      </c>
      <c r="C184" s="64" t="s">
        <v>2901</v>
      </c>
      <c r="D184" s="140" t="str">
        <f>IFERROR(VLOOKUP(C184,Stock,3,FALSE),"")</f>
        <v>Honda CR-V 12-16 4th Gen</v>
      </c>
      <c r="E184" s="64">
        <v>1.0</v>
      </c>
      <c r="F184" s="141">
        <v>1850000.0</v>
      </c>
      <c r="G184" s="142">
        <f t="shared" si="4"/>
        <v>1850000</v>
      </c>
      <c r="H184" s="142"/>
      <c r="I184" s="143">
        <f t="shared" si="5"/>
        <v>1850000</v>
      </c>
      <c r="J184" s="144">
        <f t="shared" si="6"/>
        <v>1850000</v>
      </c>
      <c r="K184" s="145" t="s">
        <v>3291</v>
      </c>
      <c r="L184" s="146" t="s">
        <v>3292</v>
      </c>
      <c r="M184" s="140"/>
      <c r="N184" s="154" t="s">
        <v>3293</v>
      </c>
      <c r="O184" s="169" t="s">
        <v>2813</v>
      </c>
      <c r="P184" s="147" t="s">
        <v>2761</v>
      </c>
      <c r="Q184" s="149"/>
      <c r="R184" s="141"/>
      <c r="S184" s="141"/>
      <c r="T184" s="141">
        <v>1850000.0</v>
      </c>
      <c r="U184" s="149"/>
      <c r="V184" s="149"/>
      <c r="W184" s="149"/>
      <c r="X184" s="64" t="s">
        <v>2891</v>
      </c>
      <c r="Y184" s="64"/>
      <c r="Z184" s="68"/>
    </row>
    <row r="185" ht="15.0" customHeight="1">
      <c r="A185" s="139">
        <v>45794.0</v>
      </c>
      <c r="B185" s="148" t="s">
        <v>3294</v>
      </c>
      <c r="C185" s="64" t="s">
        <v>3048</v>
      </c>
      <c r="D185" s="140" t="str">
        <f>IFERROR(VLOOKUP(C185,Stock,3,FALSE),"")</f>
        <v>Biaya Pengecekan</v>
      </c>
      <c r="E185" s="64">
        <v>1.0</v>
      </c>
      <c r="F185" s="141">
        <v>100000.0</v>
      </c>
      <c r="G185" s="142">
        <f t="shared" si="4"/>
        <v>100000</v>
      </c>
      <c r="H185" s="142"/>
      <c r="I185" s="143">
        <f t="shared" si="5"/>
        <v>100000</v>
      </c>
      <c r="J185" s="144">
        <f t="shared" si="6"/>
        <v>100000</v>
      </c>
      <c r="K185" s="151" t="s">
        <v>3026</v>
      </c>
      <c r="L185" s="146" t="s">
        <v>3295</v>
      </c>
      <c r="M185" s="140"/>
      <c r="N185" s="68"/>
      <c r="O185" s="169" t="s">
        <v>2813</v>
      </c>
      <c r="P185" s="147" t="s">
        <v>2761</v>
      </c>
      <c r="Q185" s="149"/>
      <c r="R185" s="141"/>
      <c r="S185" s="141"/>
      <c r="T185" s="141">
        <v>100000.0</v>
      </c>
      <c r="U185" s="149"/>
      <c r="V185" s="149"/>
      <c r="W185" s="149"/>
      <c r="X185" s="64" t="s">
        <v>2891</v>
      </c>
      <c r="Y185" s="64"/>
      <c r="Z185" s="68"/>
    </row>
    <row r="186" ht="15.0" customHeight="1">
      <c r="A186" s="139">
        <v>45794.0</v>
      </c>
      <c r="B186" s="148" t="s">
        <v>3294</v>
      </c>
      <c r="C186" s="64" t="s">
        <v>2770</v>
      </c>
      <c r="D186" s="140" t="str">
        <f>IFERROR(VLOOKUP(C186,Stock,3,FALSE),"")</f>
        <v>Transport</v>
      </c>
      <c r="E186" s="64">
        <v>1.0</v>
      </c>
      <c r="F186" s="141">
        <v>80000.0</v>
      </c>
      <c r="G186" s="142">
        <f t="shared" si="4"/>
        <v>80000</v>
      </c>
      <c r="H186" s="142"/>
      <c r="I186" s="143">
        <f t="shared" si="5"/>
        <v>80000</v>
      </c>
      <c r="J186" s="144">
        <f t="shared" si="6"/>
        <v>80000</v>
      </c>
      <c r="K186" s="151" t="s">
        <v>3026</v>
      </c>
      <c r="L186" s="146" t="s">
        <v>3295</v>
      </c>
      <c r="M186" s="140"/>
      <c r="N186" s="68"/>
      <c r="O186" s="169" t="s">
        <v>2813</v>
      </c>
      <c r="P186" s="147" t="s">
        <v>2761</v>
      </c>
      <c r="Q186" s="149"/>
      <c r="R186" s="141"/>
      <c r="S186" s="141"/>
      <c r="T186" s="141">
        <v>80000.0</v>
      </c>
      <c r="U186" s="149"/>
      <c r="V186" s="149"/>
      <c r="W186" s="149"/>
      <c r="X186" s="64" t="s">
        <v>2891</v>
      </c>
      <c r="Y186" s="64"/>
      <c r="Z186" s="68"/>
    </row>
    <row r="187" ht="15.0" customHeight="1">
      <c r="A187" s="139">
        <v>45794.0</v>
      </c>
      <c r="B187" s="148" t="s">
        <v>3296</v>
      </c>
      <c r="C187" s="64" t="s">
        <v>3297</v>
      </c>
      <c r="D187" s="140" t="str">
        <f>IFERROR(VLOOKUP(C187,Stock,3,FALSE),"")</f>
        <v>Ford EcoSport 13- B515</v>
      </c>
      <c r="E187" s="64">
        <v>1.0</v>
      </c>
      <c r="F187" s="141">
        <v>2500000.0</v>
      </c>
      <c r="G187" s="142">
        <f t="shared" si="4"/>
        <v>2500000</v>
      </c>
      <c r="H187" s="142"/>
      <c r="I187" s="143">
        <f t="shared" si="5"/>
        <v>2500000</v>
      </c>
      <c r="J187" s="144">
        <f t="shared" si="6"/>
        <v>2500000</v>
      </c>
      <c r="K187" s="145" t="s">
        <v>3298</v>
      </c>
      <c r="L187" s="146" t="s">
        <v>3299</v>
      </c>
      <c r="M187" s="140"/>
      <c r="N187" s="64" t="s">
        <v>3300</v>
      </c>
      <c r="O187" s="169" t="s">
        <v>2813</v>
      </c>
      <c r="P187" s="147" t="s">
        <v>2761</v>
      </c>
      <c r="Q187" s="149"/>
      <c r="R187" s="141"/>
      <c r="S187" s="141"/>
      <c r="T187" s="141">
        <v>2500000.0</v>
      </c>
      <c r="U187" s="149"/>
      <c r="V187" s="149"/>
      <c r="W187" s="149"/>
      <c r="X187" s="64" t="s">
        <v>2808</v>
      </c>
      <c r="Y187" s="64"/>
      <c r="Z187" s="68"/>
    </row>
    <row r="188" ht="15.0" customHeight="1">
      <c r="A188" s="139">
        <v>45795.0</v>
      </c>
      <c r="B188" s="148" t="s">
        <v>3301</v>
      </c>
      <c r="C188" s="64" t="s">
        <v>3302</v>
      </c>
      <c r="D188" s="140" t="str">
        <f>IFERROR(VLOOKUP(C188,Stock,3,FALSE),"")</f>
        <v>Nissan Livina 07-18 L10/L11</v>
      </c>
      <c r="E188" s="64">
        <v>1.0</v>
      </c>
      <c r="F188" s="141">
        <v>1350000.0</v>
      </c>
      <c r="G188" s="142">
        <f t="shared" si="4"/>
        <v>1350000</v>
      </c>
      <c r="H188" s="142"/>
      <c r="I188" s="143">
        <f t="shared" si="5"/>
        <v>1350000</v>
      </c>
      <c r="J188" s="144">
        <f t="shared" si="6"/>
        <v>1350000</v>
      </c>
      <c r="K188" s="145" t="s">
        <v>3303</v>
      </c>
      <c r="L188" s="146" t="s">
        <v>3304</v>
      </c>
      <c r="M188" s="140"/>
      <c r="N188" s="68"/>
      <c r="O188" s="169" t="s">
        <v>2813</v>
      </c>
      <c r="P188" s="147" t="s">
        <v>2761</v>
      </c>
      <c r="Q188" s="149"/>
      <c r="R188" s="141"/>
      <c r="S188" s="141"/>
      <c r="T188" s="141">
        <v>1350000.0</v>
      </c>
      <c r="U188" s="149"/>
      <c r="V188" s="149"/>
      <c r="W188" s="149"/>
      <c r="X188" s="68"/>
      <c r="Y188" s="68"/>
      <c r="Z188" s="68"/>
    </row>
    <row r="189" ht="15.0" customHeight="1">
      <c r="A189" s="139">
        <v>45795.0</v>
      </c>
      <c r="B189" s="148" t="s">
        <v>3301</v>
      </c>
      <c r="C189" s="64" t="s">
        <v>2962</v>
      </c>
      <c r="D189" s="140" t="str">
        <f>IFERROR(VLOOKUP(C189,Stock,3,FALSE),"")</f>
        <v>Lembur</v>
      </c>
      <c r="E189" s="64">
        <v>1.0</v>
      </c>
      <c r="F189" s="141">
        <v>100000.0</v>
      </c>
      <c r="G189" s="142">
        <f t="shared" si="4"/>
        <v>100000</v>
      </c>
      <c r="H189" s="142"/>
      <c r="I189" s="143">
        <f t="shared" si="5"/>
        <v>100000</v>
      </c>
      <c r="J189" s="144">
        <f t="shared" si="6"/>
        <v>100000</v>
      </c>
      <c r="K189" s="145" t="s">
        <v>3303</v>
      </c>
      <c r="L189" s="146" t="s">
        <v>3304</v>
      </c>
      <c r="M189" s="140"/>
      <c r="N189" s="68"/>
      <c r="O189" s="169" t="s">
        <v>2813</v>
      </c>
      <c r="P189" s="147" t="s">
        <v>2761</v>
      </c>
      <c r="Q189" s="149"/>
      <c r="R189" s="141"/>
      <c r="S189" s="141"/>
      <c r="T189" s="141">
        <v>100000.0</v>
      </c>
      <c r="U189" s="149"/>
      <c r="V189" s="149"/>
      <c r="W189" s="149"/>
      <c r="X189" s="68"/>
      <c r="Y189" s="68"/>
      <c r="Z189" s="68"/>
    </row>
    <row r="190" ht="15.0" customHeight="1">
      <c r="A190" s="139">
        <v>45796.0</v>
      </c>
      <c r="B190" s="148" t="s">
        <v>3305</v>
      </c>
      <c r="C190" s="64" t="s">
        <v>3306</v>
      </c>
      <c r="D190" s="140" t="str">
        <f>IFERROR(VLOOKUP(C190,Stock,3,FALSE),"")</f>
        <v>Toyota Sienta 15-</v>
      </c>
      <c r="E190" s="64">
        <v>1.0</v>
      </c>
      <c r="F190" s="141">
        <v>670000.0</v>
      </c>
      <c r="G190" s="142">
        <f t="shared" si="4"/>
        <v>670000</v>
      </c>
      <c r="H190" s="142"/>
      <c r="I190" s="143">
        <f t="shared" si="5"/>
        <v>670000</v>
      </c>
      <c r="J190" s="144">
        <f t="shared" si="6"/>
        <v>670000</v>
      </c>
      <c r="K190" s="145" t="s">
        <v>3307</v>
      </c>
      <c r="L190" s="146" t="s">
        <v>3308</v>
      </c>
      <c r="M190" s="140"/>
      <c r="N190" s="68"/>
      <c r="O190" s="64" t="s">
        <v>2813</v>
      </c>
      <c r="P190" s="147" t="s">
        <v>2761</v>
      </c>
      <c r="Q190" s="149"/>
      <c r="R190" s="141"/>
      <c r="S190" s="141"/>
      <c r="T190" s="141">
        <v>670000.0</v>
      </c>
      <c r="U190" s="149"/>
      <c r="V190" s="149"/>
      <c r="W190" s="141"/>
      <c r="X190" s="64" t="s">
        <v>3309</v>
      </c>
      <c r="Y190" s="64"/>
      <c r="Z190" s="68"/>
    </row>
    <row r="191" ht="15.0" customHeight="1">
      <c r="A191" s="139">
        <v>45796.0</v>
      </c>
      <c r="B191" s="148" t="s">
        <v>3305</v>
      </c>
      <c r="C191" s="64" t="s">
        <v>2770</v>
      </c>
      <c r="D191" s="140" t="str">
        <f>IFERROR(VLOOKUP(C191,Stock,3,FALSE),"")</f>
        <v>Transport</v>
      </c>
      <c r="E191" s="64">
        <v>1.0</v>
      </c>
      <c r="F191" s="141">
        <v>150000.0</v>
      </c>
      <c r="G191" s="142">
        <f t="shared" si="4"/>
        <v>150000</v>
      </c>
      <c r="H191" s="142"/>
      <c r="I191" s="143">
        <f t="shared" si="5"/>
        <v>150000</v>
      </c>
      <c r="J191" s="144">
        <f t="shared" si="6"/>
        <v>150000</v>
      </c>
      <c r="K191" s="145" t="s">
        <v>3307</v>
      </c>
      <c r="L191" s="146" t="s">
        <v>3308</v>
      </c>
      <c r="M191" s="140"/>
      <c r="N191" s="68"/>
      <c r="O191" s="64" t="s">
        <v>2813</v>
      </c>
      <c r="P191" s="147" t="s">
        <v>2761</v>
      </c>
      <c r="Q191" s="149"/>
      <c r="R191" s="141"/>
      <c r="S191" s="141"/>
      <c r="T191" s="141">
        <v>150000.0</v>
      </c>
      <c r="U191" s="149"/>
      <c r="V191" s="149"/>
      <c r="W191" s="149"/>
      <c r="X191" s="64" t="s">
        <v>3309</v>
      </c>
      <c r="Y191" s="64"/>
      <c r="Z191" s="68"/>
    </row>
    <row r="192" ht="15.0" customHeight="1">
      <c r="A192" s="139">
        <v>45797.0</v>
      </c>
      <c r="B192" s="148" t="s">
        <v>3310</v>
      </c>
      <c r="C192" s="64" t="s">
        <v>2869</v>
      </c>
      <c r="D192" s="140" t="str">
        <f>IFERROR(VLOOKUP(C192,Stock,3,FALSE),"")</f>
        <v>Daihatsu Gran Max / Luxio 07-</v>
      </c>
      <c r="E192" s="64">
        <v>1.0</v>
      </c>
      <c r="F192" s="141">
        <v>1050000.0</v>
      </c>
      <c r="G192" s="142">
        <f t="shared" si="4"/>
        <v>1050000</v>
      </c>
      <c r="H192" s="143">
        <v>50000.0</v>
      </c>
      <c r="I192" s="143">
        <f t="shared" si="5"/>
        <v>1000000</v>
      </c>
      <c r="J192" s="144">
        <f t="shared" si="6"/>
        <v>1000000</v>
      </c>
      <c r="K192" s="145" t="s">
        <v>3311</v>
      </c>
      <c r="L192" s="146" t="s">
        <v>3312</v>
      </c>
      <c r="M192" s="140"/>
      <c r="N192" s="154" t="s">
        <v>3313</v>
      </c>
      <c r="O192" s="64" t="s">
        <v>2813</v>
      </c>
      <c r="P192" s="147" t="s">
        <v>2761</v>
      </c>
      <c r="Q192" s="141">
        <v>1000000.0</v>
      </c>
      <c r="R192" s="149"/>
      <c r="S192" s="149"/>
      <c r="T192" s="149"/>
      <c r="U192" s="149"/>
      <c r="V192" s="149"/>
      <c r="W192" s="149"/>
      <c r="X192" s="64" t="s">
        <v>2891</v>
      </c>
      <c r="Y192" s="64"/>
      <c r="Z192" s="68"/>
    </row>
    <row r="193" ht="15.0" customHeight="1">
      <c r="A193" s="139">
        <v>45793.0</v>
      </c>
      <c r="B193" s="148" t="s">
        <v>3314</v>
      </c>
      <c r="C193" s="64" t="s">
        <v>2830</v>
      </c>
      <c r="D193" s="140"/>
      <c r="E193" s="64"/>
      <c r="F193" s="141"/>
      <c r="G193" s="142"/>
      <c r="H193" s="142"/>
      <c r="I193" s="143"/>
      <c r="J193" s="144"/>
      <c r="K193" s="145" t="s">
        <v>3315</v>
      </c>
      <c r="L193" s="146" t="s">
        <v>3316</v>
      </c>
      <c r="M193" s="140"/>
      <c r="N193" s="68"/>
      <c r="O193" s="64" t="s">
        <v>2813</v>
      </c>
      <c r="P193" s="147" t="s">
        <v>2761</v>
      </c>
      <c r="Q193" s="149"/>
      <c r="R193" s="141"/>
      <c r="S193" s="141"/>
      <c r="T193" s="141">
        <v>489000.0</v>
      </c>
      <c r="U193" s="149"/>
      <c r="V193" s="149"/>
      <c r="W193" s="149"/>
      <c r="X193" s="64" t="s">
        <v>3191</v>
      </c>
      <c r="Y193" s="64"/>
      <c r="Z193" s="68"/>
    </row>
    <row r="194" ht="15.0" customHeight="1">
      <c r="A194" s="139">
        <v>45797.0</v>
      </c>
      <c r="B194" s="148" t="s">
        <v>3317</v>
      </c>
      <c r="C194" s="64" t="s">
        <v>3318</v>
      </c>
      <c r="D194" s="140" t="str">
        <f>IFERROR(VLOOKUP(C194,Stock,3,FALSE),"")</f>
        <v>Suzuki Swift 11-17 2nd Gen</v>
      </c>
      <c r="E194" s="64">
        <v>1.0</v>
      </c>
      <c r="F194" s="141">
        <v>1664000.0</v>
      </c>
      <c r="G194" s="142">
        <f t="shared" ref="G194:G275" si="7">E194*F194</f>
        <v>1664000</v>
      </c>
      <c r="H194" s="143">
        <v>64000.0</v>
      </c>
      <c r="I194" s="143">
        <f t="shared" ref="I194:I275" si="8">G194-H194</f>
        <v>1600000</v>
      </c>
      <c r="J194" s="144">
        <f t="shared" ref="J194:J223" si="9">I194</f>
        <v>1600000</v>
      </c>
      <c r="K194" s="145" t="s">
        <v>3319</v>
      </c>
      <c r="L194" s="146" t="s">
        <v>3320</v>
      </c>
      <c r="M194" s="140"/>
      <c r="N194" s="64" t="s">
        <v>3321</v>
      </c>
      <c r="O194" s="64" t="s">
        <v>3322</v>
      </c>
      <c r="P194" s="147" t="s">
        <v>2761</v>
      </c>
      <c r="Q194" s="149"/>
      <c r="R194" s="141"/>
      <c r="S194" s="141"/>
      <c r="T194" s="141">
        <v>1600000.0</v>
      </c>
      <c r="U194" s="149"/>
      <c r="V194" s="149"/>
      <c r="W194" s="149"/>
      <c r="X194" s="64" t="s">
        <v>3191</v>
      </c>
      <c r="Y194" s="64"/>
      <c r="Z194" s="68"/>
    </row>
    <row r="195" ht="15.0" customHeight="1">
      <c r="A195" s="139">
        <v>45797.0</v>
      </c>
      <c r="B195" s="148" t="s">
        <v>3317</v>
      </c>
      <c r="C195" s="64" t="s">
        <v>2770</v>
      </c>
      <c r="D195" s="140" t="str">
        <f>IFERROR(VLOOKUP(C195,Stock,3,FALSE),"")</f>
        <v>Transport</v>
      </c>
      <c r="E195" s="64">
        <v>1.0</v>
      </c>
      <c r="F195" s="141">
        <v>200000.0</v>
      </c>
      <c r="G195" s="142">
        <f t="shared" si="7"/>
        <v>200000</v>
      </c>
      <c r="H195" s="143">
        <v>100000.0</v>
      </c>
      <c r="I195" s="143">
        <f t="shared" si="8"/>
        <v>100000</v>
      </c>
      <c r="J195" s="144">
        <f t="shared" si="9"/>
        <v>100000</v>
      </c>
      <c r="K195" s="145" t="s">
        <v>3319</v>
      </c>
      <c r="L195" s="146" t="s">
        <v>3320</v>
      </c>
      <c r="M195" s="140"/>
      <c r="N195" s="64" t="s">
        <v>3321</v>
      </c>
      <c r="O195" s="64" t="s">
        <v>3322</v>
      </c>
      <c r="P195" s="147" t="s">
        <v>2761</v>
      </c>
      <c r="Q195" s="149"/>
      <c r="R195" s="141"/>
      <c r="S195" s="141"/>
      <c r="T195" s="141">
        <v>100000.0</v>
      </c>
      <c r="U195" s="149"/>
      <c r="V195" s="149"/>
      <c r="W195" s="149"/>
      <c r="X195" s="64" t="s">
        <v>3191</v>
      </c>
      <c r="Y195" s="64"/>
      <c r="Z195" s="68"/>
    </row>
    <row r="196" ht="15.0" customHeight="1">
      <c r="A196" s="139">
        <v>45795.0</v>
      </c>
      <c r="B196" s="148" t="s">
        <v>3323</v>
      </c>
      <c r="C196" s="64" t="s">
        <v>3324</v>
      </c>
      <c r="D196" s="140" t="str">
        <f>IFERROR(VLOOKUP(C196,Stock,3,FALSE),"")</f>
        <v>Nissan X-Trail 01-07 T30</v>
      </c>
      <c r="E196" s="64">
        <v>1.0</v>
      </c>
      <c r="F196" s="141">
        <v>1821000.0</v>
      </c>
      <c r="G196" s="142">
        <f t="shared" si="7"/>
        <v>1821000</v>
      </c>
      <c r="H196" s="142"/>
      <c r="I196" s="143">
        <f t="shared" si="8"/>
        <v>1821000</v>
      </c>
      <c r="J196" s="144">
        <f t="shared" si="9"/>
        <v>1821000</v>
      </c>
      <c r="K196" s="145" t="s">
        <v>3325</v>
      </c>
      <c r="L196" s="146" t="s">
        <v>3326</v>
      </c>
      <c r="M196" s="140"/>
      <c r="N196" s="64" t="s">
        <v>3327</v>
      </c>
      <c r="O196" s="64" t="s">
        <v>2795</v>
      </c>
      <c r="P196" s="147" t="s">
        <v>2761</v>
      </c>
      <c r="Q196" s="149"/>
      <c r="R196" s="141"/>
      <c r="S196" s="141"/>
      <c r="T196" s="141">
        <v>1821000.0</v>
      </c>
      <c r="U196" s="149"/>
      <c r="V196" s="149"/>
      <c r="W196" s="149"/>
      <c r="X196" s="64" t="s">
        <v>3191</v>
      </c>
      <c r="Y196" s="64"/>
      <c r="Z196" s="68"/>
    </row>
    <row r="197" ht="15.0" customHeight="1">
      <c r="A197" s="139">
        <v>45795.0</v>
      </c>
      <c r="B197" s="148" t="s">
        <v>3323</v>
      </c>
      <c r="C197" s="64" t="s">
        <v>2962</v>
      </c>
      <c r="D197" s="140" t="str">
        <f>IFERROR(VLOOKUP(C197,Stock,3,FALSE),"")</f>
        <v>Lembur</v>
      </c>
      <c r="E197" s="64">
        <v>1.0</v>
      </c>
      <c r="F197" s="141">
        <v>100000.0</v>
      </c>
      <c r="G197" s="142">
        <f t="shared" si="7"/>
        <v>100000</v>
      </c>
      <c r="H197" s="142"/>
      <c r="I197" s="143">
        <f t="shared" si="8"/>
        <v>100000</v>
      </c>
      <c r="J197" s="144">
        <f t="shared" si="9"/>
        <v>100000</v>
      </c>
      <c r="K197" s="145" t="s">
        <v>3325</v>
      </c>
      <c r="L197" s="146" t="s">
        <v>3326</v>
      </c>
      <c r="M197" s="140"/>
      <c r="N197" s="64" t="s">
        <v>3327</v>
      </c>
      <c r="O197" s="64" t="s">
        <v>2795</v>
      </c>
      <c r="P197" s="147" t="s">
        <v>2761</v>
      </c>
      <c r="Q197" s="149"/>
      <c r="R197" s="141"/>
      <c r="S197" s="141"/>
      <c r="T197" s="141">
        <v>100000.0</v>
      </c>
      <c r="U197" s="149"/>
      <c r="V197" s="149"/>
      <c r="W197" s="149"/>
      <c r="X197" s="64" t="s">
        <v>3191</v>
      </c>
      <c r="Y197" s="64"/>
      <c r="Z197" s="68"/>
    </row>
    <row r="198" ht="15.0" customHeight="1">
      <c r="A198" s="139">
        <v>45796.0</v>
      </c>
      <c r="B198" s="148" t="s">
        <v>3328</v>
      </c>
      <c r="C198" s="64" t="s">
        <v>3329</v>
      </c>
      <c r="D198" s="140" t="str">
        <f>IFERROR(VLOOKUP(C198,Stock,3,FALSE),"")</f>
        <v>Toyota Avanza / Xenia 21- 4th Gen</v>
      </c>
      <c r="E198" s="64">
        <v>1.0</v>
      </c>
      <c r="F198" s="141">
        <v>550000.0</v>
      </c>
      <c r="G198" s="142">
        <f t="shared" si="7"/>
        <v>550000</v>
      </c>
      <c r="H198" s="142"/>
      <c r="I198" s="143">
        <f t="shared" si="8"/>
        <v>550000</v>
      </c>
      <c r="J198" s="144">
        <f t="shared" si="9"/>
        <v>550000</v>
      </c>
      <c r="K198" s="145" t="s">
        <v>3330</v>
      </c>
      <c r="L198" s="146" t="s">
        <v>3331</v>
      </c>
      <c r="M198" s="140"/>
      <c r="N198" s="68"/>
      <c r="O198" s="64" t="s">
        <v>2813</v>
      </c>
      <c r="P198" s="147" t="s">
        <v>2761</v>
      </c>
      <c r="Q198" s="141">
        <v>550000.0</v>
      </c>
      <c r="R198" s="149"/>
      <c r="S198" s="149"/>
      <c r="T198" s="149"/>
      <c r="U198" s="149"/>
      <c r="V198" s="149"/>
      <c r="W198" s="149"/>
      <c r="X198" s="64" t="s">
        <v>3191</v>
      </c>
      <c r="Y198" s="64"/>
      <c r="Z198" s="68"/>
    </row>
    <row r="199" ht="15.0" customHeight="1">
      <c r="A199" s="139">
        <v>45798.0</v>
      </c>
      <c r="B199" s="148" t="s">
        <v>3332</v>
      </c>
      <c r="C199" s="64" t="s">
        <v>3333</v>
      </c>
      <c r="D199" s="140" t="str">
        <f>IFERROR(VLOOKUP(C199,Stock,3,FALSE),"")</f>
        <v>Toyota Alphard 18- ANH30 3rd Gen (Sensor bwh keramik)</v>
      </c>
      <c r="E199" s="64">
        <v>1.0</v>
      </c>
      <c r="F199" s="141">
        <v>3711000.0</v>
      </c>
      <c r="G199" s="142">
        <f t="shared" si="7"/>
        <v>3711000</v>
      </c>
      <c r="H199" s="142"/>
      <c r="I199" s="143">
        <f t="shared" si="8"/>
        <v>3711000</v>
      </c>
      <c r="J199" s="144">
        <f t="shared" si="9"/>
        <v>3711000</v>
      </c>
      <c r="K199" s="151" t="s">
        <v>3334</v>
      </c>
      <c r="L199" s="146" t="s">
        <v>3335</v>
      </c>
      <c r="M199" s="140"/>
      <c r="N199" s="154" t="s">
        <v>3336</v>
      </c>
      <c r="O199" s="64" t="s">
        <v>2813</v>
      </c>
      <c r="P199" s="147" t="s">
        <v>2761</v>
      </c>
      <c r="Q199" s="149"/>
      <c r="R199" s="141"/>
      <c r="S199" s="141"/>
      <c r="T199" s="141">
        <v>3711000.0</v>
      </c>
      <c r="U199" s="149"/>
      <c r="V199" s="149"/>
      <c r="W199" s="149"/>
      <c r="X199" s="64" t="s">
        <v>2891</v>
      </c>
      <c r="Y199" s="64"/>
      <c r="Z199" s="68"/>
    </row>
    <row r="200" ht="15.0" customHeight="1">
      <c r="A200" s="139">
        <v>45798.0</v>
      </c>
      <c r="B200" s="148" t="s">
        <v>3337</v>
      </c>
      <c r="C200" s="64" t="s">
        <v>3338</v>
      </c>
      <c r="D200" s="140" t="str">
        <f>IFERROR(VLOOKUP(C200,Stock,3,FALSE),"")</f>
        <v>Toyota Innova 15-22 2nd Gen (Toyota)</v>
      </c>
      <c r="E200" s="64">
        <v>1.0</v>
      </c>
      <c r="F200" s="141">
        <v>2250000.0</v>
      </c>
      <c r="G200" s="142">
        <f t="shared" si="7"/>
        <v>2250000</v>
      </c>
      <c r="H200" s="142"/>
      <c r="I200" s="143">
        <f t="shared" si="8"/>
        <v>2250000</v>
      </c>
      <c r="J200" s="144">
        <f t="shared" si="9"/>
        <v>2250000</v>
      </c>
      <c r="K200" s="145" t="s">
        <v>3339</v>
      </c>
      <c r="L200" s="146" t="s">
        <v>3340</v>
      </c>
      <c r="M200" s="140"/>
      <c r="N200" s="68"/>
      <c r="O200" s="64" t="s">
        <v>3341</v>
      </c>
      <c r="P200" s="147" t="s">
        <v>2761</v>
      </c>
      <c r="Q200" s="149"/>
      <c r="R200" s="141"/>
      <c r="S200" s="141"/>
      <c r="T200" s="141">
        <v>2250000.0</v>
      </c>
      <c r="U200" s="149"/>
      <c r="V200" s="149"/>
      <c r="W200" s="149"/>
      <c r="X200" s="64" t="s">
        <v>2936</v>
      </c>
      <c r="Y200" s="64"/>
      <c r="Z200" s="68"/>
    </row>
    <row r="201" ht="15.0" customHeight="1">
      <c r="A201" s="139">
        <v>45798.0</v>
      </c>
      <c r="B201" s="148" t="s">
        <v>3337</v>
      </c>
      <c r="C201" s="64" t="s">
        <v>2770</v>
      </c>
      <c r="D201" s="140" t="str">
        <f>IFERROR(VLOOKUP(C201,Stock,3,FALSE),"")</f>
        <v>Transport</v>
      </c>
      <c r="E201" s="64">
        <v>1.0</v>
      </c>
      <c r="F201" s="141">
        <v>175000.0</v>
      </c>
      <c r="G201" s="142">
        <f t="shared" si="7"/>
        <v>175000</v>
      </c>
      <c r="H201" s="142"/>
      <c r="I201" s="143">
        <f t="shared" si="8"/>
        <v>175000</v>
      </c>
      <c r="J201" s="144">
        <f t="shared" si="9"/>
        <v>175000</v>
      </c>
      <c r="K201" s="145" t="s">
        <v>3339</v>
      </c>
      <c r="L201" s="146" t="s">
        <v>3340</v>
      </c>
      <c r="M201" s="140"/>
      <c r="N201" s="68"/>
      <c r="O201" s="64" t="s">
        <v>3341</v>
      </c>
      <c r="P201" s="147" t="s">
        <v>2761</v>
      </c>
      <c r="Q201" s="149"/>
      <c r="R201" s="141"/>
      <c r="S201" s="141"/>
      <c r="T201" s="141">
        <v>175000.0</v>
      </c>
      <c r="U201" s="149"/>
      <c r="V201" s="149"/>
      <c r="W201" s="149"/>
      <c r="X201" s="64" t="s">
        <v>2936</v>
      </c>
      <c r="Y201" s="64"/>
      <c r="Z201" s="68"/>
    </row>
    <row r="202" ht="15.0" customHeight="1">
      <c r="A202" s="139">
        <v>45798.0</v>
      </c>
      <c r="B202" s="148" t="s">
        <v>3342</v>
      </c>
      <c r="C202" s="64" t="s">
        <v>3343</v>
      </c>
      <c r="D202" s="140" t="str">
        <f>IFERROR(VLOOKUP(C202,Stock,3,FALSE),"")</f>
        <v>Toyota NAV1/Noah 07-17</v>
      </c>
      <c r="E202" s="64">
        <v>1.0</v>
      </c>
      <c r="F202" s="141">
        <v>3039000.0</v>
      </c>
      <c r="G202" s="142">
        <f t="shared" si="7"/>
        <v>3039000</v>
      </c>
      <c r="H202" s="143">
        <v>39000.0</v>
      </c>
      <c r="I202" s="143">
        <f t="shared" si="8"/>
        <v>3000000</v>
      </c>
      <c r="J202" s="144">
        <f t="shared" si="9"/>
        <v>3000000</v>
      </c>
      <c r="K202" s="145" t="s">
        <v>3344</v>
      </c>
      <c r="L202" s="146" t="s">
        <v>3345</v>
      </c>
      <c r="M202" s="64" t="s">
        <v>3346</v>
      </c>
      <c r="N202" s="68"/>
      <c r="O202" s="64" t="s">
        <v>2807</v>
      </c>
      <c r="P202" s="170"/>
      <c r="Q202" s="149"/>
      <c r="R202" s="149"/>
      <c r="S202" s="149"/>
      <c r="T202" s="149"/>
      <c r="U202" s="149"/>
      <c r="V202" s="149"/>
      <c r="W202" s="149"/>
      <c r="X202" s="68"/>
      <c r="Y202" s="68"/>
      <c r="Z202" s="68"/>
    </row>
    <row r="203" ht="15.0" customHeight="1">
      <c r="A203" s="139">
        <v>45798.0</v>
      </c>
      <c r="B203" s="148" t="s">
        <v>3342</v>
      </c>
      <c r="C203" s="64" t="s">
        <v>2770</v>
      </c>
      <c r="D203" s="140" t="str">
        <f>IFERROR(VLOOKUP(C203,Stock,3,FALSE),"")</f>
        <v>Transport</v>
      </c>
      <c r="E203" s="64">
        <v>1.0</v>
      </c>
      <c r="F203" s="141">
        <v>200000.0</v>
      </c>
      <c r="G203" s="142">
        <f t="shared" si="7"/>
        <v>200000</v>
      </c>
      <c r="H203" s="142"/>
      <c r="I203" s="143">
        <f t="shared" si="8"/>
        <v>200000</v>
      </c>
      <c r="J203" s="144">
        <f t="shared" si="9"/>
        <v>200000</v>
      </c>
      <c r="K203" s="145" t="s">
        <v>3344</v>
      </c>
      <c r="L203" s="146" t="s">
        <v>3345</v>
      </c>
      <c r="M203" s="64" t="s">
        <v>3346</v>
      </c>
      <c r="N203" s="68"/>
      <c r="O203" s="64" t="s">
        <v>2807</v>
      </c>
      <c r="P203" s="170"/>
      <c r="Q203" s="149"/>
      <c r="R203" s="149"/>
      <c r="S203" s="149"/>
      <c r="T203" s="149"/>
      <c r="U203" s="149"/>
      <c r="V203" s="149"/>
      <c r="W203" s="149"/>
      <c r="X203" s="68"/>
      <c r="Y203" s="68"/>
      <c r="Z203" s="68"/>
    </row>
    <row r="204" ht="15.0" customHeight="1">
      <c r="A204" s="139">
        <v>45799.0</v>
      </c>
      <c r="B204" s="148" t="s">
        <v>3347</v>
      </c>
      <c r="C204" s="64" t="s">
        <v>3348</v>
      </c>
      <c r="D204" s="140" t="str">
        <f>IFERROR(VLOOKUP(C204,Stock,3,FALSE),"")</f>
        <v>Ford Fiesta 09-17</v>
      </c>
      <c r="E204" s="64">
        <v>1.0</v>
      </c>
      <c r="F204" s="141">
        <v>1652000.0</v>
      </c>
      <c r="G204" s="142">
        <f t="shared" si="7"/>
        <v>1652000</v>
      </c>
      <c r="H204" s="142"/>
      <c r="I204" s="143">
        <f t="shared" si="8"/>
        <v>1652000</v>
      </c>
      <c r="J204" s="144">
        <f t="shared" si="9"/>
        <v>1652000</v>
      </c>
      <c r="K204" s="155"/>
      <c r="L204" s="140"/>
      <c r="M204" s="140"/>
      <c r="N204" s="68"/>
      <c r="O204" s="68"/>
      <c r="P204" s="170"/>
      <c r="Q204" s="149"/>
      <c r="R204" s="149"/>
      <c r="S204" s="149"/>
      <c r="T204" s="149"/>
      <c r="U204" s="149"/>
      <c r="V204" s="149"/>
      <c r="W204" s="149"/>
      <c r="X204" s="68"/>
      <c r="Y204" s="68"/>
      <c r="Z204" s="68"/>
    </row>
    <row r="205" ht="15.0" customHeight="1">
      <c r="A205" s="139">
        <v>45799.0</v>
      </c>
      <c r="B205" s="148" t="s">
        <v>3347</v>
      </c>
      <c r="C205" s="64" t="s">
        <v>2770</v>
      </c>
      <c r="D205" s="140" t="str">
        <f>IFERROR(VLOOKUP(C205,Stock,3,FALSE),"")</f>
        <v>Transport</v>
      </c>
      <c r="E205" s="64">
        <v>1.0</v>
      </c>
      <c r="F205" s="141">
        <v>150000.0</v>
      </c>
      <c r="G205" s="142">
        <f t="shared" si="7"/>
        <v>150000</v>
      </c>
      <c r="H205" s="142"/>
      <c r="I205" s="143">
        <f t="shared" si="8"/>
        <v>150000</v>
      </c>
      <c r="J205" s="144">
        <f t="shared" si="9"/>
        <v>150000</v>
      </c>
      <c r="K205" s="155"/>
      <c r="L205" s="140"/>
      <c r="M205" s="140"/>
      <c r="N205" s="68"/>
      <c r="O205" s="68"/>
      <c r="P205" s="170"/>
      <c r="Q205" s="149"/>
      <c r="R205" s="149"/>
      <c r="S205" s="149"/>
      <c r="T205" s="149"/>
      <c r="U205" s="149"/>
      <c r="V205" s="149"/>
      <c r="W205" s="149"/>
      <c r="X205" s="68"/>
      <c r="Y205" s="68"/>
      <c r="Z205" s="68"/>
    </row>
    <row r="206" ht="15.0" customHeight="1">
      <c r="A206" s="139">
        <v>45800.0</v>
      </c>
      <c r="B206" s="148" t="s">
        <v>3349</v>
      </c>
      <c r="C206" s="64" t="s">
        <v>2944</v>
      </c>
      <c r="D206" s="140" t="str">
        <f>IFERROR(VLOOKUP(C206,Stock,3,FALSE),"")</f>
        <v>Toyota Innova 04-15 1st Gen</v>
      </c>
      <c r="E206" s="64">
        <v>1.0</v>
      </c>
      <c r="F206" s="141">
        <v>1350000.0</v>
      </c>
      <c r="G206" s="142">
        <f t="shared" si="7"/>
        <v>1350000</v>
      </c>
      <c r="H206" s="142"/>
      <c r="I206" s="143">
        <f t="shared" si="8"/>
        <v>1350000</v>
      </c>
      <c r="J206" s="171">
        <f t="shared" si="9"/>
        <v>1350000</v>
      </c>
      <c r="K206" s="145" t="s">
        <v>3350</v>
      </c>
      <c r="L206" s="146" t="s">
        <v>3351</v>
      </c>
      <c r="M206" s="140"/>
      <c r="N206" s="68"/>
      <c r="O206" s="68"/>
      <c r="P206" s="147" t="s">
        <v>2858</v>
      </c>
      <c r="Q206" s="149"/>
      <c r="R206" s="149"/>
      <c r="S206" s="149"/>
      <c r="T206" s="149"/>
      <c r="U206" s="149"/>
      <c r="V206" s="149"/>
      <c r="W206" s="149"/>
      <c r="X206" s="64" t="s">
        <v>2936</v>
      </c>
      <c r="Y206" s="64"/>
      <c r="Z206" s="68"/>
    </row>
    <row r="207" ht="15.0" customHeight="1">
      <c r="A207" s="139">
        <v>45800.0</v>
      </c>
      <c r="B207" s="148" t="s">
        <v>3349</v>
      </c>
      <c r="C207" s="64" t="s">
        <v>3352</v>
      </c>
      <c r="D207" s="140" t="str">
        <f>IFERROR(VLOOKUP(C207,Stock,3,FALSE),"")</f>
        <v>List Kaca Depan INV</v>
      </c>
      <c r="E207" s="64">
        <v>1.0</v>
      </c>
      <c r="F207" s="141">
        <v>315000.0</v>
      </c>
      <c r="G207" s="142">
        <f t="shared" si="7"/>
        <v>315000</v>
      </c>
      <c r="H207" s="142"/>
      <c r="I207" s="143">
        <f t="shared" si="8"/>
        <v>315000</v>
      </c>
      <c r="J207" s="171">
        <f t="shared" si="9"/>
        <v>315000</v>
      </c>
      <c r="K207" s="145" t="s">
        <v>3350</v>
      </c>
      <c r="L207" s="146" t="s">
        <v>3351</v>
      </c>
      <c r="M207" s="140"/>
      <c r="N207" s="68"/>
      <c r="O207" s="68"/>
      <c r="P207" s="147" t="s">
        <v>2858</v>
      </c>
      <c r="Q207" s="149"/>
      <c r="R207" s="149"/>
      <c r="S207" s="149"/>
      <c r="T207" s="149"/>
      <c r="U207" s="149"/>
      <c r="V207" s="149"/>
      <c r="W207" s="141"/>
      <c r="X207" s="64" t="s">
        <v>2936</v>
      </c>
      <c r="Y207" s="64"/>
      <c r="Z207" s="68"/>
    </row>
    <row r="208" ht="15.0" customHeight="1">
      <c r="A208" s="139">
        <v>45800.0</v>
      </c>
      <c r="B208" s="148" t="s">
        <v>3349</v>
      </c>
      <c r="C208" s="64" t="s">
        <v>2770</v>
      </c>
      <c r="D208" s="140" t="str">
        <f>IFERROR(VLOOKUP(C208,Stock,3,FALSE),"")</f>
        <v>Transport</v>
      </c>
      <c r="E208" s="64">
        <v>1.0</v>
      </c>
      <c r="F208" s="141">
        <v>150000.0</v>
      </c>
      <c r="G208" s="142">
        <f t="shared" si="7"/>
        <v>150000</v>
      </c>
      <c r="H208" s="142"/>
      <c r="I208" s="143">
        <f t="shared" si="8"/>
        <v>150000</v>
      </c>
      <c r="J208" s="171">
        <f t="shared" si="9"/>
        <v>150000</v>
      </c>
      <c r="K208" s="145" t="s">
        <v>3350</v>
      </c>
      <c r="L208" s="146" t="s">
        <v>3351</v>
      </c>
      <c r="M208" s="140"/>
      <c r="N208" s="68"/>
      <c r="O208" s="68"/>
      <c r="P208" s="147" t="s">
        <v>2858</v>
      </c>
      <c r="Q208" s="149"/>
      <c r="R208" s="149"/>
      <c r="S208" s="149"/>
      <c r="T208" s="149"/>
      <c r="U208" s="149"/>
      <c r="V208" s="149"/>
      <c r="W208" s="149"/>
      <c r="X208" s="64" t="s">
        <v>2936</v>
      </c>
      <c r="Y208" s="64"/>
      <c r="Z208" s="68"/>
    </row>
    <row r="209" ht="15.0" customHeight="1">
      <c r="A209" s="139">
        <v>45801.0</v>
      </c>
      <c r="B209" s="148" t="s">
        <v>3353</v>
      </c>
      <c r="C209" s="64" t="s">
        <v>3354</v>
      </c>
      <c r="D209" s="140" t="str">
        <f>IFERROR(VLOOKUP(C209,Stock,3,FALSE),"")</f>
        <v>Honda Brio 10- / Mobilio 11- (Honda)</v>
      </c>
      <c r="E209" s="64">
        <v>1.0</v>
      </c>
      <c r="F209" s="141">
        <v>1850000.0</v>
      </c>
      <c r="G209" s="142">
        <f t="shared" si="7"/>
        <v>1850000</v>
      </c>
      <c r="H209" s="142"/>
      <c r="I209" s="143">
        <f t="shared" si="8"/>
        <v>1850000</v>
      </c>
      <c r="J209" s="171">
        <f t="shared" si="9"/>
        <v>1850000</v>
      </c>
      <c r="K209" s="151" t="s">
        <v>3355</v>
      </c>
      <c r="L209" s="146" t="s">
        <v>3356</v>
      </c>
      <c r="M209" s="140"/>
      <c r="N209" s="68"/>
      <c r="O209" s="64" t="s">
        <v>2813</v>
      </c>
      <c r="P209" s="147" t="s">
        <v>2761</v>
      </c>
      <c r="Q209" s="149"/>
      <c r="R209" s="141"/>
      <c r="S209" s="141"/>
      <c r="T209" s="141">
        <v>1850000.0</v>
      </c>
      <c r="U209" s="149"/>
      <c r="V209" s="149"/>
      <c r="W209" s="149"/>
      <c r="X209" s="64" t="s">
        <v>2891</v>
      </c>
      <c r="Y209" s="64"/>
      <c r="Z209" s="68"/>
    </row>
    <row r="210" ht="15.0" customHeight="1">
      <c r="A210" s="139">
        <v>45801.0</v>
      </c>
      <c r="B210" s="148" t="s">
        <v>3357</v>
      </c>
      <c r="C210" s="64" t="s">
        <v>3358</v>
      </c>
      <c r="D210" s="140" t="str">
        <f>IFERROR(VLOOKUP(C210,Stock,3,FALSE),"")</f>
        <v>Toyota Avanza / Xenia 11-15 2nd Gen / 15-21 3rd Gen</v>
      </c>
      <c r="E210" s="64">
        <v>1.0</v>
      </c>
      <c r="F210" s="141">
        <v>850000.0</v>
      </c>
      <c r="G210" s="142">
        <f t="shared" si="7"/>
        <v>850000</v>
      </c>
      <c r="H210" s="142"/>
      <c r="I210" s="143">
        <f t="shared" si="8"/>
        <v>850000</v>
      </c>
      <c r="J210" s="144">
        <f t="shared" si="9"/>
        <v>850000</v>
      </c>
      <c r="K210" s="151" t="s">
        <v>3359</v>
      </c>
      <c r="L210" s="146" t="s">
        <v>3360</v>
      </c>
      <c r="M210" s="140"/>
      <c r="N210" s="154" t="s">
        <v>3361</v>
      </c>
      <c r="O210" s="64" t="s">
        <v>2813</v>
      </c>
      <c r="P210" s="147" t="s">
        <v>2761</v>
      </c>
      <c r="Q210" s="149"/>
      <c r="R210" s="141"/>
      <c r="S210" s="141"/>
      <c r="T210" s="141">
        <v>850000.0</v>
      </c>
      <c r="U210" s="149"/>
      <c r="V210" s="149"/>
      <c r="W210" s="149"/>
      <c r="X210" s="64" t="s">
        <v>2891</v>
      </c>
      <c r="Y210" s="64"/>
      <c r="Z210" s="68"/>
    </row>
    <row r="211" ht="15.0" customHeight="1">
      <c r="A211" s="139">
        <v>45801.0</v>
      </c>
      <c r="B211" s="148" t="s">
        <v>3362</v>
      </c>
      <c r="C211" s="64" t="s">
        <v>2952</v>
      </c>
      <c r="D211" s="140" t="str">
        <f>IFERROR(VLOOKUP(C211,Stock,3,FALSE),"")</f>
        <v/>
      </c>
      <c r="E211" s="64">
        <v>1.0</v>
      </c>
      <c r="F211" s="141">
        <v>1050000.0</v>
      </c>
      <c r="G211" s="142">
        <f t="shared" si="7"/>
        <v>1050000</v>
      </c>
      <c r="H211" s="142"/>
      <c r="I211" s="143">
        <f t="shared" si="8"/>
        <v>1050000</v>
      </c>
      <c r="J211" s="144">
        <f t="shared" si="9"/>
        <v>1050000</v>
      </c>
      <c r="K211" s="151" t="s">
        <v>3363</v>
      </c>
      <c r="L211" s="146" t="s">
        <v>3364</v>
      </c>
      <c r="M211" s="140"/>
      <c r="N211" s="154" t="s">
        <v>3365</v>
      </c>
      <c r="O211" s="64" t="s">
        <v>2813</v>
      </c>
      <c r="P211" s="147" t="s">
        <v>2761</v>
      </c>
      <c r="Q211" s="149"/>
      <c r="R211" s="141"/>
      <c r="S211" s="141"/>
      <c r="T211" s="141">
        <v>1050000.0</v>
      </c>
      <c r="U211" s="149"/>
      <c r="V211" s="149"/>
      <c r="W211" s="149"/>
      <c r="X211" s="64" t="s">
        <v>2891</v>
      </c>
      <c r="Y211" s="64"/>
      <c r="Z211" s="68"/>
    </row>
    <row r="212" ht="15.0" customHeight="1">
      <c r="A212" s="139">
        <v>45803.0</v>
      </c>
      <c r="B212" s="148" t="s">
        <v>3366</v>
      </c>
      <c r="C212" s="64" t="s">
        <v>3234</v>
      </c>
      <c r="D212" s="140" t="str">
        <f>IFERROR(VLOOKUP(C212,Stock,3,FALSE),"")</f>
        <v>Toyota Avanza / Xenia 21- 4th Gen (Non sensor)</v>
      </c>
      <c r="E212" s="64">
        <v>1.0</v>
      </c>
      <c r="F212" s="141">
        <v>1550000.0</v>
      </c>
      <c r="G212" s="142">
        <f t="shared" si="7"/>
        <v>1550000</v>
      </c>
      <c r="H212" s="142"/>
      <c r="I212" s="143">
        <f t="shared" si="8"/>
        <v>1550000</v>
      </c>
      <c r="J212" s="144">
        <f t="shared" si="9"/>
        <v>1550000</v>
      </c>
      <c r="K212" s="151" t="s">
        <v>3367</v>
      </c>
      <c r="L212" s="146" t="s">
        <v>3368</v>
      </c>
      <c r="M212" s="140"/>
      <c r="N212" s="154" t="s">
        <v>3369</v>
      </c>
      <c r="O212" s="64" t="s">
        <v>2813</v>
      </c>
      <c r="P212" s="147" t="s">
        <v>2761</v>
      </c>
      <c r="Q212" s="149"/>
      <c r="R212" s="141"/>
      <c r="S212" s="141"/>
      <c r="T212" s="141">
        <v>1550000.0</v>
      </c>
      <c r="U212" s="149"/>
      <c r="V212" s="149"/>
      <c r="W212" s="149"/>
      <c r="X212" s="68"/>
      <c r="Y212" s="68"/>
      <c r="Z212" s="68"/>
    </row>
    <row r="213" ht="15.0" customHeight="1">
      <c r="A213" s="139">
        <v>45803.0</v>
      </c>
      <c r="B213" s="148" t="s">
        <v>3366</v>
      </c>
      <c r="C213" s="64" t="s">
        <v>2770</v>
      </c>
      <c r="D213" s="140" t="str">
        <f>IFERROR(VLOOKUP(C213,Stock,3,FALSE),"")</f>
        <v>Transport</v>
      </c>
      <c r="E213" s="64">
        <v>1.0</v>
      </c>
      <c r="F213" s="141">
        <v>150000.0</v>
      </c>
      <c r="G213" s="142">
        <f t="shared" si="7"/>
        <v>150000</v>
      </c>
      <c r="H213" s="142"/>
      <c r="I213" s="143">
        <f t="shared" si="8"/>
        <v>150000</v>
      </c>
      <c r="J213" s="144">
        <f t="shared" si="9"/>
        <v>150000</v>
      </c>
      <c r="K213" s="151" t="s">
        <v>3367</v>
      </c>
      <c r="L213" s="146" t="s">
        <v>3368</v>
      </c>
      <c r="M213" s="140"/>
      <c r="N213" s="154" t="s">
        <v>3369</v>
      </c>
      <c r="O213" s="64" t="s">
        <v>2813</v>
      </c>
      <c r="P213" s="147" t="s">
        <v>2761</v>
      </c>
      <c r="Q213" s="149"/>
      <c r="R213" s="141"/>
      <c r="S213" s="141"/>
      <c r="T213" s="141">
        <v>150000.0</v>
      </c>
      <c r="U213" s="149"/>
      <c r="V213" s="149"/>
      <c r="W213" s="149"/>
      <c r="X213" s="68"/>
      <c r="Y213" s="68"/>
      <c r="Z213" s="68"/>
    </row>
    <row r="214" ht="15.0" customHeight="1">
      <c r="A214" s="139">
        <v>45803.0</v>
      </c>
      <c r="B214" s="148" t="s">
        <v>3370</v>
      </c>
      <c r="C214" s="64" t="s">
        <v>3358</v>
      </c>
      <c r="D214" s="140" t="str">
        <f>IFERROR(VLOOKUP(C214,Stock,3,FALSE),"")</f>
        <v>Toyota Avanza / Xenia 11-15 2nd Gen / 15-21 3rd Gen</v>
      </c>
      <c r="E214" s="64">
        <v>1.0</v>
      </c>
      <c r="F214" s="141">
        <v>850000.0</v>
      </c>
      <c r="G214" s="142">
        <f t="shared" si="7"/>
        <v>850000</v>
      </c>
      <c r="H214" s="142"/>
      <c r="I214" s="143">
        <f t="shared" si="8"/>
        <v>850000</v>
      </c>
      <c r="J214" s="144">
        <f t="shared" si="9"/>
        <v>850000</v>
      </c>
      <c r="K214" s="145" t="s">
        <v>3371</v>
      </c>
      <c r="L214" s="146" t="s">
        <v>3372</v>
      </c>
      <c r="M214" s="140"/>
      <c r="N214" s="172" t="s">
        <v>3373</v>
      </c>
      <c r="O214" s="64" t="s">
        <v>2813</v>
      </c>
      <c r="P214" s="147" t="s">
        <v>2761</v>
      </c>
      <c r="Q214" s="149"/>
      <c r="R214" s="141"/>
      <c r="S214" s="141"/>
      <c r="T214" s="141">
        <v>850000.0</v>
      </c>
      <c r="U214" s="149"/>
      <c r="V214" s="149"/>
      <c r="W214" s="149"/>
      <c r="X214" s="64" t="s">
        <v>2808</v>
      </c>
      <c r="Y214" s="64"/>
      <c r="Z214" s="68"/>
    </row>
    <row r="215" ht="15.0" customHeight="1">
      <c r="A215" s="139">
        <v>45803.0</v>
      </c>
      <c r="B215" s="148" t="s">
        <v>3374</v>
      </c>
      <c r="C215" s="64" t="s">
        <v>2869</v>
      </c>
      <c r="D215" s="140" t="str">
        <f>IFERROR(VLOOKUP(C215,Stock,3,FALSE),"")</f>
        <v>Daihatsu Gran Max / Luxio 07-</v>
      </c>
      <c r="E215" s="64">
        <v>1.0</v>
      </c>
      <c r="F215" s="141">
        <v>1000000.0</v>
      </c>
      <c r="G215" s="142">
        <f t="shared" si="7"/>
        <v>1000000</v>
      </c>
      <c r="H215" s="142"/>
      <c r="I215" s="143">
        <f t="shared" si="8"/>
        <v>1000000</v>
      </c>
      <c r="J215" s="144">
        <f t="shared" si="9"/>
        <v>1000000</v>
      </c>
      <c r="K215" s="145" t="s">
        <v>3375</v>
      </c>
      <c r="L215" s="146" t="s">
        <v>3376</v>
      </c>
      <c r="M215" s="140"/>
      <c r="N215" s="68"/>
      <c r="O215" s="64" t="s">
        <v>2813</v>
      </c>
      <c r="P215" s="147" t="s">
        <v>2761</v>
      </c>
      <c r="Q215" s="149"/>
      <c r="R215" s="141"/>
      <c r="S215" s="141"/>
      <c r="T215" s="141"/>
      <c r="U215" s="149"/>
      <c r="V215" s="149"/>
      <c r="W215" s="149"/>
      <c r="X215" s="64" t="s">
        <v>2808</v>
      </c>
      <c r="Y215" s="64"/>
      <c r="Z215" s="68"/>
    </row>
    <row r="216" ht="15.0" customHeight="1">
      <c r="A216" s="139">
        <v>45803.0</v>
      </c>
      <c r="B216" s="148" t="s">
        <v>3374</v>
      </c>
      <c r="C216" s="64" t="s">
        <v>2770</v>
      </c>
      <c r="D216" s="140" t="str">
        <f>IFERROR(VLOOKUP(C216,Stock,3,FALSE),"")</f>
        <v>Transport</v>
      </c>
      <c r="E216" s="64">
        <v>1.0</v>
      </c>
      <c r="F216" s="141">
        <v>200000.0</v>
      </c>
      <c r="G216" s="142">
        <f t="shared" si="7"/>
        <v>200000</v>
      </c>
      <c r="H216" s="142"/>
      <c r="I216" s="143">
        <f t="shared" si="8"/>
        <v>200000</v>
      </c>
      <c r="J216" s="144">
        <f t="shared" si="9"/>
        <v>200000</v>
      </c>
      <c r="K216" s="145" t="s">
        <v>3375</v>
      </c>
      <c r="L216" s="146" t="s">
        <v>3376</v>
      </c>
      <c r="M216" s="140"/>
      <c r="N216" s="68"/>
      <c r="O216" s="64" t="s">
        <v>2813</v>
      </c>
      <c r="P216" s="147" t="s">
        <v>2761</v>
      </c>
      <c r="Q216" s="149"/>
      <c r="R216" s="149"/>
      <c r="S216" s="149"/>
      <c r="T216" s="149"/>
      <c r="U216" s="149"/>
      <c r="V216" s="149"/>
      <c r="W216" s="149"/>
      <c r="X216" s="64" t="s">
        <v>2808</v>
      </c>
      <c r="Y216" s="64"/>
      <c r="Z216" s="68"/>
    </row>
    <row r="217" ht="15.0" customHeight="1">
      <c r="A217" s="139">
        <v>45804.0</v>
      </c>
      <c r="B217" s="148" t="s">
        <v>3377</v>
      </c>
      <c r="C217" s="64" t="s">
        <v>3378</v>
      </c>
      <c r="D217" s="140" t="str">
        <f>IFERROR(VLOOKUP(C217,Stock,3,FALSE),"")</f>
        <v>Suzuki APV 03- Pickup/ Van</v>
      </c>
      <c r="E217" s="64">
        <v>1.0</v>
      </c>
      <c r="F217" s="141">
        <v>1200000.0</v>
      </c>
      <c r="G217" s="142">
        <f t="shared" si="7"/>
        <v>1200000</v>
      </c>
      <c r="H217" s="142"/>
      <c r="I217" s="143">
        <f t="shared" si="8"/>
        <v>1200000</v>
      </c>
      <c r="J217" s="144">
        <f t="shared" si="9"/>
        <v>1200000</v>
      </c>
      <c r="K217" s="145" t="s">
        <v>3379</v>
      </c>
      <c r="L217" s="146" t="s">
        <v>3380</v>
      </c>
      <c r="M217" s="140"/>
      <c r="N217" s="68"/>
      <c r="O217" s="64" t="s">
        <v>2813</v>
      </c>
      <c r="P217" s="147" t="s">
        <v>2761</v>
      </c>
      <c r="Q217" s="149"/>
      <c r="R217" s="149"/>
      <c r="S217" s="149"/>
      <c r="T217" s="149"/>
      <c r="U217" s="149"/>
      <c r="V217" s="149"/>
      <c r="W217" s="149"/>
      <c r="X217" s="64" t="s">
        <v>2808</v>
      </c>
      <c r="Y217" s="64"/>
      <c r="Z217" s="68"/>
    </row>
    <row r="218" ht="15.0" customHeight="1">
      <c r="A218" s="139">
        <v>45804.0</v>
      </c>
      <c r="B218" s="148" t="s">
        <v>3377</v>
      </c>
      <c r="C218" s="64" t="s">
        <v>2770</v>
      </c>
      <c r="D218" s="140" t="str">
        <f>IFERROR(VLOOKUP(C218,Stock,3,FALSE),"")</f>
        <v>Transport</v>
      </c>
      <c r="E218" s="64">
        <v>1.0</v>
      </c>
      <c r="F218" s="141">
        <v>250000.0</v>
      </c>
      <c r="G218" s="142">
        <f t="shared" si="7"/>
        <v>250000</v>
      </c>
      <c r="H218" s="142"/>
      <c r="I218" s="143">
        <f t="shared" si="8"/>
        <v>250000</v>
      </c>
      <c r="J218" s="144">
        <f t="shared" si="9"/>
        <v>250000</v>
      </c>
      <c r="K218" s="145" t="s">
        <v>3379</v>
      </c>
      <c r="L218" s="146" t="s">
        <v>3380</v>
      </c>
      <c r="M218" s="140"/>
      <c r="N218" s="64"/>
      <c r="O218" s="64" t="s">
        <v>2813</v>
      </c>
      <c r="P218" s="147" t="s">
        <v>2761</v>
      </c>
      <c r="Q218" s="149"/>
      <c r="R218" s="149"/>
      <c r="S218" s="149"/>
      <c r="T218" s="149">
        <f t="shared" ref="T218:T219" si="10">J218</f>
        <v>250000</v>
      </c>
      <c r="U218" s="149"/>
      <c r="V218" s="149"/>
      <c r="W218" s="149"/>
      <c r="X218" s="64" t="s">
        <v>2808</v>
      </c>
      <c r="Y218" s="64"/>
      <c r="Z218" s="68"/>
    </row>
    <row r="219" ht="15.0" customHeight="1">
      <c r="A219" s="139">
        <v>45805.0</v>
      </c>
      <c r="B219" s="148" t="s">
        <v>3381</v>
      </c>
      <c r="C219" s="64" t="s">
        <v>3382</v>
      </c>
      <c r="D219" s="140" t="str">
        <f>IFERROR(VLOOKUP(C219,Stock,3,FALSE),"")</f>
        <v>Mitsubishi Outlander 10-21 GA3</v>
      </c>
      <c r="E219" s="64">
        <v>1.0</v>
      </c>
      <c r="F219" s="141">
        <v>1391000.0</v>
      </c>
      <c r="G219" s="142">
        <f t="shared" si="7"/>
        <v>1391000</v>
      </c>
      <c r="H219" s="142"/>
      <c r="I219" s="143">
        <f t="shared" si="8"/>
        <v>1391000</v>
      </c>
      <c r="J219" s="144">
        <f t="shared" si="9"/>
        <v>1391000</v>
      </c>
      <c r="K219" s="145" t="s">
        <v>3383</v>
      </c>
      <c r="L219" s="146" t="s">
        <v>3384</v>
      </c>
      <c r="M219" s="140"/>
      <c r="N219" s="64" t="s">
        <v>3385</v>
      </c>
      <c r="O219" s="64" t="s">
        <v>2813</v>
      </c>
      <c r="P219" s="147" t="s">
        <v>2761</v>
      </c>
      <c r="Q219" s="149"/>
      <c r="R219" s="149"/>
      <c r="S219" s="149"/>
      <c r="T219" s="149">
        <f t="shared" si="10"/>
        <v>1391000</v>
      </c>
      <c r="U219" s="149"/>
      <c r="V219" s="149"/>
      <c r="W219" s="149"/>
      <c r="X219" s="64" t="s">
        <v>2936</v>
      </c>
      <c r="Y219" s="64"/>
      <c r="Z219" s="68"/>
    </row>
    <row r="220" ht="15.0" customHeight="1">
      <c r="A220" s="139">
        <v>45805.0</v>
      </c>
      <c r="B220" s="148" t="s">
        <v>3386</v>
      </c>
      <c r="C220" s="64" t="s">
        <v>2944</v>
      </c>
      <c r="D220" s="140" t="str">
        <f>IFERROR(VLOOKUP(C220,Stock,3,FALSE),"")</f>
        <v>Toyota Innova 04-15 1st Gen</v>
      </c>
      <c r="E220" s="64">
        <v>1.0</v>
      </c>
      <c r="F220" s="141">
        <v>1350000.0</v>
      </c>
      <c r="G220" s="142">
        <f t="shared" si="7"/>
        <v>1350000</v>
      </c>
      <c r="H220" s="142"/>
      <c r="I220" s="143">
        <f t="shared" si="8"/>
        <v>1350000</v>
      </c>
      <c r="J220" s="144">
        <f t="shared" si="9"/>
        <v>1350000</v>
      </c>
      <c r="K220" s="145" t="s">
        <v>3387</v>
      </c>
      <c r="L220" s="146" t="s">
        <v>3388</v>
      </c>
      <c r="M220" s="140"/>
      <c r="N220" s="64" t="s">
        <v>3389</v>
      </c>
      <c r="O220" s="64" t="s">
        <v>2813</v>
      </c>
      <c r="P220" s="147" t="s">
        <v>2761</v>
      </c>
      <c r="Q220" s="149">
        <f>J220</f>
        <v>1350000</v>
      </c>
      <c r="R220" s="149"/>
      <c r="S220" s="149"/>
      <c r="T220" s="149"/>
      <c r="U220" s="149"/>
      <c r="V220" s="149"/>
      <c r="W220" s="149"/>
      <c r="X220" s="64" t="s">
        <v>2936</v>
      </c>
      <c r="Y220" s="64"/>
      <c r="Z220" s="68"/>
    </row>
    <row r="221" ht="15.0" customHeight="1">
      <c r="A221" s="139">
        <v>45807.0</v>
      </c>
      <c r="B221" s="148" t="s">
        <v>3390</v>
      </c>
      <c r="C221" s="64" t="s">
        <v>3391</v>
      </c>
      <c r="D221" s="140" t="str">
        <f>IFERROR(VLOOKUP(C221,Stock,3,FALSE),"")</f>
        <v>Mers-Benz S-Class 13-20 W222 4D</v>
      </c>
      <c r="E221" s="64">
        <v>1.0</v>
      </c>
      <c r="F221" s="141">
        <v>1.0732E7</v>
      </c>
      <c r="G221" s="142">
        <f t="shared" si="7"/>
        <v>10732000</v>
      </c>
      <c r="H221" s="142"/>
      <c r="I221" s="143">
        <f t="shared" si="8"/>
        <v>10732000</v>
      </c>
      <c r="J221" s="144">
        <f t="shared" si="9"/>
        <v>10732000</v>
      </c>
      <c r="K221" s="145" t="s">
        <v>3392</v>
      </c>
      <c r="L221" s="146" t="s">
        <v>3393</v>
      </c>
      <c r="M221" s="140"/>
      <c r="N221" s="68"/>
      <c r="O221" s="64" t="s">
        <v>3394</v>
      </c>
      <c r="P221" s="147" t="s">
        <v>2761</v>
      </c>
      <c r="Q221" s="149"/>
      <c r="R221" s="141"/>
      <c r="S221" s="141"/>
      <c r="T221" s="141">
        <v>1.0732E7</v>
      </c>
      <c r="U221" s="149"/>
      <c r="V221" s="149"/>
      <c r="W221" s="149"/>
      <c r="X221" s="64" t="s">
        <v>2808</v>
      </c>
      <c r="Y221" s="64"/>
      <c r="Z221" s="68"/>
    </row>
    <row r="222" ht="15.0" customHeight="1">
      <c r="A222" s="139">
        <v>45807.0</v>
      </c>
      <c r="B222" s="148" t="s">
        <v>3390</v>
      </c>
      <c r="C222" s="64" t="s">
        <v>2770</v>
      </c>
      <c r="D222" s="140" t="str">
        <f>IFERROR(VLOOKUP(C222,Stock,3,FALSE),"")</f>
        <v>Transport</v>
      </c>
      <c r="E222" s="64">
        <v>1.0</v>
      </c>
      <c r="F222" s="141">
        <v>500000.0</v>
      </c>
      <c r="G222" s="142">
        <f t="shared" si="7"/>
        <v>500000</v>
      </c>
      <c r="H222" s="142"/>
      <c r="I222" s="143">
        <f t="shared" si="8"/>
        <v>500000</v>
      </c>
      <c r="J222" s="144">
        <f t="shared" si="9"/>
        <v>500000</v>
      </c>
      <c r="K222" s="145" t="s">
        <v>3392</v>
      </c>
      <c r="L222" s="146" t="s">
        <v>3393</v>
      </c>
      <c r="M222" s="140"/>
      <c r="N222" s="68"/>
      <c r="O222" s="64" t="s">
        <v>3394</v>
      </c>
      <c r="P222" s="147" t="s">
        <v>2761</v>
      </c>
      <c r="Q222" s="149"/>
      <c r="R222" s="141"/>
      <c r="S222" s="141"/>
      <c r="T222" s="141">
        <v>500000.0</v>
      </c>
      <c r="U222" s="149"/>
      <c r="V222" s="149"/>
      <c r="W222" s="149"/>
      <c r="X222" s="64" t="s">
        <v>2808</v>
      </c>
      <c r="Y222" s="64"/>
      <c r="Z222" s="68"/>
    </row>
    <row r="223" ht="15.0" customHeight="1">
      <c r="A223" s="139">
        <v>45807.0</v>
      </c>
      <c r="B223" s="148" t="s">
        <v>3395</v>
      </c>
      <c r="C223" s="64" t="s">
        <v>3396</v>
      </c>
      <c r="D223" s="140" t="str">
        <f>IFERROR(VLOOKUP(C223,Stock,3,FALSE),"")</f>
        <v>Honda HR-V 22- 5D SUV (Honda)</v>
      </c>
      <c r="E223" s="64">
        <v>1.0</v>
      </c>
      <c r="F223" s="141">
        <v>915000.0</v>
      </c>
      <c r="G223" s="142">
        <f t="shared" si="7"/>
        <v>915000</v>
      </c>
      <c r="H223" s="142"/>
      <c r="I223" s="143">
        <f t="shared" si="8"/>
        <v>915000</v>
      </c>
      <c r="J223" s="144">
        <f t="shared" si="9"/>
        <v>915000</v>
      </c>
      <c r="K223" s="145" t="s">
        <v>3397</v>
      </c>
      <c r="L223" s="146" t="s">
        <v>3398</v>
      </c>
      <c r="M223" s="140"/>
      <c r="N223" s="68"/>
      <c r="O223" s="64" t="s">
        <v>2813</v>
      </c>
      <c r="P223" s="147" t="s">
        <v>2761</v>
      </c>
      <c r="Q223" s="149"/>
      <c r="R223" s="141"/>
      <c r="S223" s="141"/>
      <c r="T223" s="141">
        <v>915000.0</v>
      </c>
      <c r="U223" s="149"/>
      <c r="V223" s="149"/>
      <c r="W223" s="149"/>
      <c r="X223" s="64" t="s">
        <v>2808</v>
      </c>
      <c r="Y223" s="64"/>
      <c r="Z223" s="68"/>
    </row>
    <row r="224" ht="15.0" customHeight="1">
      <c r="A224" s="173">
        <v>45808.0</v>
      </c>
      <c r="B224" s="174" t="s">
        <v>3399</v>
      </c>
      <c r="C224" s="64" t="s">
        <v>3400</v>
      </c>
      <c r="D224" s="140" t="str">
        <f>IFERROR(VLOOKUP(C224,Stock,3,FALSE),"")</f>
        <v>Mers-Benz B-Class 11-17 W246</v>
      </c>
      <c r="E224" s="64">
        <v>1.0</v>
      </c>
      <c r="F224" s="141">
        <v>5543000.0</v>
      </c>
      <c r="G224" s="142">
        <f t="shared" si="7"/>
        <v>5543000</v>
      </c>
      <c r="H224" s="142"/>
      <c r="I224" s="143">
        <f t="shared" si="8"/>
        <v>5543000</v>
      </c>
      <c r="J224" s="144">
        <f>I224+I225+I226</f>
        <v>5993000</v>
      </c>
      <c r="K224" s="145" t="s">
        <v>3401</v>
      </c>
      <c r="L224" s="146" t="s">
        <v>3402</v>
      </c>
      <c r="M224" s="140"/>
      <c r="N224" s="68"/>
      <c r="O224" s="68"/>
      <c r="P224" s="170"/>
      <c r="Q224" s="149"/>
      <c r="R224" s="149"/>
      <c r="S224" s="149"/>
      <c r="T224" s="149"/>
      <c r="U224" s="149">
        <f>J224</f>
        <v>5993000</v>
      </c>
      <c r="V224" s="149"/>
      <c r="W224" s="149"/>
      <c r="X224" s="64" t="s">
        <v>2936</v>
      </c>
      <c r="Y224" s="64"/>
      <c r="Z224" s="68"/>
    </row>
    <row r="225" ht="15.0" customHeight="1">
      <c r="A225" s="173">
        <v>45808.0</v>
      </c>
      <c r="B225" s="148" t="s">
        <v>3399</v>
      </c>
      <c r="C225" s="64" t="s">
        <v>2778</v>
      </c>
      <c r="D225" s="140" t="str">
        <f>IFERROR(VLOOKUP(C225,Stock,3,FALSE),"")</f>
        <v>Bongkar Pasang Kaca Mobil Depan</v>
      </c>
      <c r="E225" s="64">
        <v>1.0</v>
      </c>
      <c r="F225" s="141">
        <v>350000.0</v>
      </c>
      <c r="G225" s="142">
        <f t="shared" si="7"/>
        <v>350000</v>
      </c>
      <c r="H225" s="142"/>
      <c r="I225" s="143">
        <f t="shared" si="8"/>
        <v>350000</v>
      </c>
      <c r="J225" s="144"/>
      <c r="K225" s="145" t="s">
        <v>3401</v>
      </c>
      <c r="L225" s="146" t="s">
        <v>3402</v>
      </c>
      <c r="M225" s="140"/>
      <c r="N225" s="68"/>
      <c r="O225" s="68"/>
      <c r="P225" s="170"/>
      <c r="Q225" s="149"/>
      <c r="R225" s="149"/>
      <c r="S225" s="149"/>
      <c r="T225" s="149"/>
      <c r="U225" s="149"/>
      <c r="V225" s="149"/>
      <c r="W225" s="149"/>
      <c r="X225" s="64" t="s">
        <v>2936</v>
      </c>
      <c r="Y225" s="64"/>
      <c r="Z225" s="68"/>
    </row>
    <row r="226" ht="15.0" customHeight="1">
      <c r="A226" s="173">
        <v>45808.0</v>
      </c>
      <c r="B226" s="148" t="s">
        <v>3399</v>
      </c>
      <c r="C226" s="64" t="s">
        <v>2770</v>
      </c>
      <c r="D226" s="140" t="str">
        <f>IFERROR(VLOOKUP(C226,Stock,3,FALSE),"")</f>
        <v>Transport</v>
      </c>
      <c r="E226" s="64">
        <v>1.0</v>
      </c>
      <c r="F226" s="141">
        <v>100000.0</v>
      </c>
      <c r="G226" s="142">
        <f t="shared" si="7"/>
        <v>100000</v>
      </c>
      <c r="H226" s="142"/>
      <c r="I226" s="143">
        <f t="shared" si="8"/>
        <v>100000</v>
      </c>
      <c r="J226" s="144"/>
      <c r="K226" s="145" t="s">
        <v>3401</v>
      </c>
      <c r="L226" s="146" t="s">
        <v>3402</v>
      </c>
      <c r="M226" s="140"/>
      <c r="N226" s="68"/>
      <c r="O226" s="68"/>
      <c r="P226" s="170"/>
      <c r="Q226" s="149"/>
      <c r="R226" s="149"/>
      <c r="S226" s="149"/>
      <c r="T226" s="149"/>
      <c r="U226" s="149"/>
      <c r="V226" s="149"/>
      <c r="W226" s="149"/>
      <c r="X226" s="64" t="s">
        <v>2936</v>
      </c>
      <c r="Y226" s="64"/>
      <c r="Z226" s="68"/>
    </row>
    <row r="227" ht="15.0" customHeight="1">
      <c r="A227" s="139">
        <v>45808.0</v>
      </c>
      <c r="B227" s="148" t="s">
        <v>3403</v>
      </c>
      <c r="C227" s="64" t="s">
        <v>2778</v>
      </c>
      <c r="D227" s="140" t="str">
        <f>IFERROR(VLOOKUP(C227,Stock,3,FALSE),"")</f>
        <v>Bongkar Pasang Kaca Mobil Depan</v>
      </c>
      <c r="E227" s="64">
        <v>1.0</v>
      </c>
      <c r="F227" s="141">
        <v>500000.0</v>
      </c>
      <c r="G227" s="142">
        <f t="shared" si="7"/>
        <v>500000</v>
      </c>
      <c r="H227" s="142"/>
      <c r="I227" s="143">
        <f t="shared" si="8"/>
        <v>500000</v>
      </c>
      <c r="J227" s="144">
        <f>I227+I228</f>
        <v>550000</v>
      </c>
      <c r="K227" s="145" t="s">
        <v>3404</v>
      </c>
      <c r="L227" s="146" t="s">
        <v>3405</v>
      </c>
      <c r="M227" s="140"/>
      <c r="N227" s="68"/>
      <c r="O227" s="68"/>
      <c r="P227" s="170"/>
      <c r="Q227" s="141">
        <v>450000.0</v>
      </c>
      <c r="R227" s="141"/>
      <c r="S227" s="141"/>
      <c r="T227" s="141">
        <v>100000.0</v>
      </c>
      <c r="U227" s="149"/>
      <c r="V227" s="149"/>
      <c r="W227" s="149"/>
      <c r="X227" s="64" t="s">
        <v>2808</v>
      </c>
      <c r="Y227" s="64"/>
      <c r="Z227" s="68"/>
    </row>
    <row r="228" ht="15.0" customHeight="1">
      <c r="A228" s="139">
        <v>45808.0</v>
      </c>
      <c r="B228" s="148" t="s">
        <v>3403</v>
      </c>
      <c r="C228" s="64" t="s">
        <v>2770</v>
      </c>
      <c r="D228" s="140" t="str">
        <f>IFERROR(VLOOKUP(C228,Stock,3,FALSE),"")</f>
        <v>Transport</v>
      </c>
      <c r="E228" s="64">
        <v>1.0</v>
      </c>
      <c r="F228" s="141">
        <v>50000.0</v>
      </c>
      <c r="G228" s="142">
        <f t="shared" si="7"/>
        <v>50000</v>
      </c>
      <c r="H228" s="142"/>
      <c r="I228" s="143">
        <f t="shared" si="8"/>
        <v>50000</v>
      </c>
      <c r="J228" s="144"/>
      <c r="K228" s="145" t="s">
        <v>3404</v>
      </c>
      <c r="L228" s="146" t="s">
        <v>3405</v>
      </c>
      <c r="M228" s="140"/>
      <c r="N228" s="68"/>
      <c r="O228" s="68"/>
      <c r="P228" s="170"/>
      <c r="Q228" s="149"/>
      <c r="R228" s="149"/>
      <c r="S228" s="149"/>
      <c r="T228" s="149"/>
      <c r="U228" s="149"/>
      <c r="V228" s="149"/>
      <c r="W228" s="149"/>
      <c r="X228" s="64" t="s">
        <v>2808</v>
      </c>
      <c r="Y228" s="64"/>
      <c r="Z228" s="68"/>
    </row>
    <row r="229" ht="15.0" customHeight="1">
      <c r="A229" s="139">
        <v>45808.0</v>
      </c>
      <c r="B229" s="148" t="s">
        <v>3406</v>
      </c>
      <c r="C229" s="64" t="s">
        <v>3220</v>
      </c>
      <c r="D229" s="140" t="str">
        <f>IFERROR(VLOOKUP(C229,Stock,3,FALSE),"")</f>
        <v>BMW 3 Series 12-18 F30/F35 (1 Sensor / O )</v>
      </c>
      <c r="E229" s="64">
        <v>1.0</v>
      </c>
      <c r="F229" s="141">
        <v>4088000.0</v>
      </c>
      <c r="G229" s="142">
        <f t="shared" si="7"/>
        <v>4088000</v>
      </c>
      <c r="H229" s="142"/>
      <c r="I229" s="143">
        <f t="shared" si="8"/>
        <v>4088000</v>
      </c>
      <c r="J229" s="144">
        <f>I229+I230</f>
        <v>4188000</v>
      </c>
      <c r="K229" s="145" t="s">
        <v>3407</v>
      </c>
      <c r="L229" s="146" t="s">
        <v>3408</v>
      </c>
      <c r="M229" s="140"/>
      <c r="N229" s="68"/>
      <c r="O229" s="68"/>
      <c r="P229" s="147" t="s">
        <v>3409</v>
      </c>
      <c r="Q229" s="149"/>
      <c r="R229" s="149"/>
      <c r="S229" s="149"/>
      <c r="T229" s="149">
        <f>J229</f>
        <v>4188000</v>
      </c>
      <c r="U229" s="149"/>
      <c r="V229" s="149"/>
      <c r="W229" s="149"/>
      <c r="X229" s="68"/>
      <c r="Y229" s="68"/>
      <c r="Z229" s="68"/>
    </row>
    <row r="230" ht="15.0" customHeight="1">
      <c r="A230" s="139">
        <v>45808.0</v>
      </c>
      <c r="B230" s="148" t="s">
        <v>3406</v>
      </c>
      <c r="C230" s="64" t="s">
        <v>2770</v>
      </c>
      <c r="D230" s="140" t="str">
        <f>IFERROR(VLOOKUP(C230,Stock,3,FALSE),"")</f>
        <v>Transport</v>
      </c>
      <c r="E230" s="64">
        <v>1.0</v>
      </c>
      <c r="F230" s="141">
        <v>100000.0</v>
      </c>
      <c r="G230" s="142">
        <f t="shared" si="7"/>
        <v>100000</v>
      </c>
      <c r="H230" s="142"/>
      <c r="I230" s="143">
        <f t="shared" si="8"/>
        <v>100000</v>
      </c>
      <c r="J230" s="144"/>
      <c r="K230" s="145" t="s">
        <v>3407</v>
      </c>
      <c r="L230" s="146" t="s">
        <v>3408</v>
      </c>
      <c r="M230" s="140"/>
      <c r="N230" s="68"/>
      <c r="O230" s="68"/>
      <c r="P230" s="147" t="s">
        <v>3409</v>
      </c>
      <c r="Q230" s="149"/>
      <c r="R230" s="149"/>
      <c r="S230" s="149"/>
      <c r="T230" s="149"/>
      <c r="U230" s="149"/>
      <c r="V230" s="149"/>
      <c r="W230" s="149"/>
      <c r="X230" s="68"/>
      <c r="Y230" s="68"/>
      <c r="Z230" s="68"/>
    </row>
    <row r="231" ht="15.0" customHeight="1">
      <c r="A231" s="139">
        <v>45808.0</v>
      </c>
      <c r="B231" s="148" t="s">
        <v>3410</v>
      </c>
      <c r="C231" s="64" t="s">
        <v>2952</v>
      </c>
      <c r="D231" s="140" t="str">
        <f>IFERROR(VLOOKUP(C231,Stock,3,FALSE),"")</f>
        <v/>
      </c>
      <c r="E231" s="64">
        <v>1.0</v>
      </c>
      <c r="F231" s="141">
        <v>1050000.0</v>
      </c>
      <c r="G231" s="142">
        <f t="shared" si="7"/>
        <v>1050000</v>
      </c>
      <c r="H231" s="142"/>
      <c r="I231" s="143">
        <f t="shared" si="8"/>
        <v>1050000</v>
      </c>
      <c r="J231" s="144">
        <f>I231</f>
        <v>1050000</v>
      </c>
      <c r="K231" s="145" t="s">
        <v>3411</v>
      </c>
      <c r="L231" s="146" t="s">
        <v>3412</v>
      </c>
      <c r="M231" s="140"/>
      <c r="N231" s="68"/>
      <c r="O231" s="68"/>
      <c r="P231" s="147" t="s">
        <v>2761</v>
      </c>
      <c r="Q231" s="149"/>
      <c r="R231" s="141"/>
      <c r="S231" s="141"/>
      <c r="T231" s="141">
        <v>1050000.0</v>
      </c>
      <c r="U231" s="149"/>
      <c r="V231" s="149"/>
      <c r="W231" s="149"/>
      <c r="X231" s="64" t="s">
        <v>2808</v>
      </c>
      <c r="Y231" s="64"/>
      <c r="Z231" s="68"/>
    </row>
    <row r="232" ht="15.0" customHeight="1">
      <c r="A232" s="139">
        <v>45803.0</v>
      </c>
      <c r="B232" s="148" t="s">
        <v>3413</v>
      </c>
      <c r="C232" s="64" t="s">
        <v>3414</v>
      </c>
      <c r="D232" s="140" t="str">
        <f>IFERROR(VLOOKUP(C232,Stock,3,FALSE),"")</f>
        <v>Honda Mobilio 11-</v>
      </c>
      <c r="E232" s="64">
        <v>1.0</v>
      </c>
      <c r="F232" s="141">
        <v>1035000.0</v>
      </c>
      <c r="G232" s="142">
        <f t="shared" si="7"/>
        <v>1035000</v>
      </c>
      <c r="H232" s="142"/>
      <c r="I232" s="143">
        <f t="shared" si="8"/>
        <v>1035000</v>
      </c>
      <c r="J232" s="144">
        <f>I232+I318</f>
        <v>3972000</v>
      </c>
      <c r="K232" s="145" t="s">
        <v>3415</v>
      </c>
      <c r="L232" s="146" t="s">
        <v>3416</v>
      </c>
      <c r="M232" s="140"/>
      <c r="N232" s="68"/>
      <c r="O232" s="64" t="s">
        <v>2813</v>
      </c>
      <c r="P232" s="147" t="s">
        <v>2761</v>
      </c>
      <c r="Q232" s="149"/>
      <c r="R232" s="141"/>
      <c r="S232" s="141"/>
      <c r="T232" s="141">
        <v>1035000.0</v>
      </c>
      <c r="U232" s="149"/>
      <c r="V232" s="149"/>
      <c r="W232" s="149"/>
      <c r="X232" s="64" t="s">
        <v>2891</v>
      </c>
      <c r="Y232" s="64"/>
      <c r="Z232" s="68"/>
    </row>
    <row r="233" ht="15.0" customHeight="1">
      <c r="A233" s="139">
        <v>45809.0</v>
      </c>
      <c r="B233" s="148" t="s">
        <v>3417</v>
      </c>
      <c r="C233" s="64" t="s">
        <v>3246</v>
      </c>
      <c r="D233" s="140" t="str">
        <f>IFERROR(VLOOKUP(C233,Stock,3,FALSE),"")</f>
        <v>Toyota Calya / Sigra 16-</v>
      </c>
      <c r="E233" s="64">
        <v>1.0</v>
      </c>
      <c r="F233" s="141">
        <v>1050000.0</v>
      </c>
      <c r="G233" s="142">
        <f t="shared" si="7"/>
        <v>1050000</v>
      </c>
      <c r="H233" s="142"/>
      <c r="I233" s="143">
        <f t="shared" si="8"/>
        <v>1050000</v>
      </c>
      <c r="J233" s="144">
        <f t="shared" ref="J233:J275" si="11">I233</f>
        <v>1050000</v>
      </c>
      <c r="K233" s="145" t="s">
        <v>3418</v>
      </c>
      <c r="L233" s="146" t="s">
        <v>3419</v>
      </c>
      <c r="M233" s="140"/>
      <c r="N233" s="68"/>
      <c r="O233" s="64" t="s">
        <v>2813</v>
      </c>
      <c r="P233" s="147" t="s">
        <v>2761</v>
      </c>
      <c r="Q233" s="149"/>
      <c r="R233" s="141"/>
      <c r="S233" s="141"/>
      <c r="T233" s="141">
        <v>1050000.0</v>
      </c>
      <c r="U233" s="149"/>
      <c r="V233" s="149"/>
      <c r="W233" s="149"/>
      <c r="X233" s="64" t="s">
        <v>2808</v>
      </c>
      <c r="Y233" s="64"/>
      <c r="Z233" s="68"/>
    </row>
    <row r="234" ht="15.0" customHeight="1">
      <c r="A234" s="139">
        <v>45810.0</v>
      </c>
      <c r="B234" s="148" t="s">
        <v>3420</v>
      </c>
      <c r="C234" s="64" t="s">
        <v>2869</v>
      </c>
      <c r="D234" s="140" t="str">
        <f>IFERROR(VLOOKUP(C234,Stock,3,FALSE),"")</f>
        <v>Daihatsu Gran Max / Luxio 07-</v>
      </c>
      <c r="E234" s="64">
        <v>1.0</v>
      </c>
      <c r="F234" s="141">
        <v>1050000.0</v>
      </c>
      <c r="G234" s="142">
        <f t="shared" si="7"/>
        <v>1050000</v>
      </c>
      <c r="H234" s="143">
        <v>50000.0</v>
      </c>
      <c r="I234" s="143">
        <f t="shared" si="8"/>
        <v>1000000</v>
      </c>
      <c r="J234" s="144">
        <f t="shared" si="11"/>
        <v>1000000</v>
      </c>
      <c r="K234" s="145" t="s">
        <v>3421</v>
      </c>
      <c r="L234" s="146" t="s">
        <v>3422</v>
      </c>
      <c r="M234" s="140"/>
      <c r="N234" s="68"/>
      <c r="O234" s="64" t="s">
        <v>2813</v>
      </c>
      <c r="P234" s="147" t="s">
        <v>2761</v>
      </c>
      <c r="Q234" s="149"/>
      <c r="R234" s="149"/>
      <c r="S234" s="149"/>
      <c r="T234" s="149"/>
      <c r="U234" s="149"/>
      <c r="V234" s="149"/>
      <c r="W234" s="149"/>
      <c r="X234" s="68"/>
      <c r="Y234" s="68"/>
      <c r="Z234" s="68"/>
    </row>
    <row r="235" ht="15.0" customHeight="1">
      <c r="A235" s="139">
        <v>45810.0</v>
      </c>
      <c r="B235" s="148" t="s">
        <v>3423</v>
      </c>
      <c r="C235" s="64" t="s">
        <v>3424</v>
      </c>
      <c r="D235" s="140" t="str">
        <f>IFERROR(VLOOKUP(C235,Stock,3,FALSE),"")</f>
        <v>Mitsubishi Xpander 22-  (Mitsubishi)</v>
      </c>
      <c r="E235" s="64">
        <v>1.0</v>
      </c>
      <c r="F235" s="141">
        <v>1112000.0</v>
      </c>
      <c r="G235" s="142">
        <f t="shared" si="7"/>
        <v>1112000</v>
      </c>
      <c r="H235" s="142"/>
      <c r="I235" s="143">
        <f t="shared" si="8"/>
        <v>1112000</v>
      </c>
      <c r="J235" s="144">
        <f t="shared" si="11"/>
        <v>1112000</v>
      </c>
      <c r="K235" s="145" t="s">
        <v>3425</v>
      </c>
      <c r="L235" s="146" t="s">
        <v>3426</v>
      </c>
      <c r="M235" s="140"/>
      <c r="N235" s="68"/>
      <c r="O235" s="64" t="s">
        <v>2813</v>
      </c>
      <c r="P235" s="147" t="s">
        <v>2761</v>
      </c>
      <c r="Q235" s="149"/>
      <c r="R235" s="149"/>
      <c r="S235" s="149"/>
      <c r="T235" s="149">
        <f>J235</f>
        <v>1112000</v>
      </c>
      <c r="U235" s="149"/>
      <c r="V235" s="149"/>
      <c r="W235" s="149"/>
      <c r="X235" s="64"/>
      <c r="Y235" s="64"/>
      <c r="Z235" s="68"/>
    </row>
    <row r="236" ht="15.0" customHeight="1">
      <c r="A236" s="139">
        <v>45810.0</v>
      </c>
      <c r="B236" s="148" t="s">
        <v>3427</v>
      </c>
      <c r="C236" s="64" t="s">
        <v>3354</v>
      </c>
      <c r="D236" s="140" t="str">
        <f>IFERROR(VLOOKUP(C236,Stock,3,FALSE),"")</f>
        <v>Honda Brio 10- / Mobilio 11- (Honda)</v>
      </c>
      <c r="E236" s="64">
        <v>1.0</v>
      </c>
      <c r="F236" s="141">
        <v>1800000.0</v>
      </c>
      <c r="G236" s="142">
        <f t="shared" si="7"/>
        <v>1800000</v>
      </c>
      <c r="H236" s="142"/>
      <c r="I236" s="143">
        <f t="shared" si="8"/>
        <v>1800000</v>
      </c>
      <c r="J236" s="144">
        <f t="shared" si="11"/>
        <v>1800000</v>
      </c>
      <c r="K236" s="145" t="s">
        <v>3428</v>
      </c>
      <c r="L236" s="146" t="s">
        <v>3429</v>
      </c>
      <c r="M236" s="140"/>
      <c r="N236" s="68"/>
      <c r="O236" s="64" t="s">
        <v>2813</v>
      </c>
      <c r="P236" s="147" t="s">
        <v>2761</v>
      </c>
      <c r="Q236" s="149"/>
      <c r="R236" s="149"/>
      <c r="S236" s="149"/>
      <c r="T236" s="149"/>
      <c r="U236" s="149"/>
      <c r="V236" s="149"/>
      <c r="W236" s="149"/>
      <c r="X236" s="68"/>
      <c r="Y236" s="68"/>
      <c r="Z236" s="68"/>
    </row>
    <row r="237" ht="15.0" customHeight="1">
      <c r="A237" s="139">
        <v>45810.0</v>
      </c>
      <c r="B237" s="148" t="s">
        <v>3430</v>
      </c>
      <c r="C237" s="64" t="s">
        <v>2869</v>
      </c>
      <c r="D237" s="140" t="str">
        <f>IFERROR(VLOOKUP(C237,Stock,3,FALSE),"")</f>
        <v>Daihatsu Gran Max / Luxio 07-</v>
      </c>
      <c r="E237" s="64">
        <v>1.0</v>
      </c>
      <c r="F237" s="141">
        <v>1050000.0</v>
      </c>
      <c r="G237" s="142">
        <f t="shared" si="7"/>
        <v>1050000</v>
      </c>
      <c r="H237" s="143">
        <v>50000.0</v>
      </c>
      <c r="I237" s="143">
        <f t="shared" si="8"/>
        <v>1000000</v>
      </c>
      <c r="J237" s="144">
        <f t="shared" si="11"/>
        <v>1000000</v>
      </c>
      <c r="K237" s="145" t="s">
        <v>3431</v>
      </c>
      <c r="L237" s="146" t="s">
        <v>3432</v>
      </c>
      <c r="M237" s="140"/>
      <c r="N237" s="154" t="s">
        <v>3433</v>
      </c>
      <c r="O237" s="64" t="s">
        <v>2813</v>
      </c>
      <c r="P237" s="147" t="s">
        <v>2761</v>
      </c>
      <c r="Q237" s="149"/>
      <c r="R237" s="141"/>
      <c r="S237" s="141"/>
      <c r="T237" s="141">
        <v>1000000.0</v>
      </c>
      <c r="U237" s="149"/>
      <c r="V237" s="149"/>
      <c r="W237" s="149"/>
      <c r="X237" s="64" t="s">
        <v>2891</v>
      </c>
      <c r="Y237" s="64"/>
      <c r="Z237" s="68"/>
    </row>
    <row r="238" ht="15.0" customHeight="1">
      <c r="A238" s="139">
        <v>45810.0</v>
      </c>
      <c r="B238" s="148" t="s">
        <v>3430</v>
      </c>
      <c r="C238" s="64" t="s">
        <v>3434</v>
      </c>
      <c r="D238" s="140" t="str">
        <f>IFERROR(VLOOKUP(C238,Stock,3,FALSE),"")</f>
        <v>List Kaca Depan Code 04</v>
      </c>
      <c r="E238" s="64">
        <v>1.0</v>
      </c>
      <c r="F238" s="141">
        <v>200000.0</v>
      </c>
      <c r="G238" s="142">
        <f t="shared" si="7"/>
        <v>200000</v>
      </c>
      <c r="H238" s="142"/>
      <c r="I238" s="143">
        <f t="shared" si="8"/>
        <v>200000</v>
      </c>
      <c r="J238" s="144">
        <f t="shared" si="11"/>
        <v>200000</v>
      </c>
      <c r="K238" s="145" t="s">
        <v>3431</v>
      </c>
      <c r="L238" s="146" t="s">
        <v>3432</v>
      </c>
      <c r="M238" s="140"/>
      <c r="N238" s="154" t="s">
        <v>3433</v>
      </c>
      <c r="O238" s="64" t="s">
        <v>2813</v>
      </c>
      <c r="P238" s="147" t="s">
        <v>2761</v>
      </c>
      <c r="Q238" s="149"/>
      <c r="R238" s="141"/>
      <c r="S238" s="141"/>
      <c r="T238" s="141">
        <v>200000.0</v>
      </c>
      <c r="U238" s="149"/>
      <c r="V238" s="149"/>
      <c r="W238" s="149"/>
      <c r="X238" s="64" t="s">
        <v>2891</v>
      </c>
      <c r="Y238" s="64"/>
      <c r="Z238" s="68"/>
    </row>
    <row r="239" ht="15.0" customHeight="1">
      <c r="A239" s="139">
        <v>45810.0</v>
      </c>
      <c r="B239" s="148" t="s">
        <v>3435</v>
      </c>
      <c r="C239" s="64" t="s">
        <v>2995</v>
      </c>
      <c r="D239" s="140" t="str">
        <f>IFERROR(VLOOKUP(C239,Stock,3,FALSE),"")</f>
        <v>Honda CR-V 02-04 2nd Gen (Spion Jepit)</v>
      </c>
      <c r="E239" s="64">
        <v>1.0</v>
      </c>
      <c r="F239" s="141">
        <v>1800000.0</v>
      </c>
      <c r="G239" s="142">
        <f t="shared" si="7"/>
        <v>1800000</v>
      </c>
      <c r="H239" s="142"/>
      <c r="I239" s="143">
        <f t="shared" si="8"/>
        <v>1800000</v>
      </c>
      <c r="J239" s="144">
        <f t="shared" si="11"/>
        <v>1800000</v>
      </c>
      <c r="K239" s="145" t="s">
        <v>3436</v>
      </c>
      <c r="L239" s="146" t="s">
        <v>3437</v>
      </c>
      <c r="M239" s="140"/>
      <c r="N239" s="68"/>
      <c r="O239" s="64" t="s">
        <v>2813</v>
      </c>
      <c r="P239" s="147" t="s">
        <v>2761</v>
      </c>
      <c r="Q239" s="149"/>
      <c r="R239" s="149"/>
      <c r="S239" s="149"/>
      <c r="T239" s="149"/>
      <c r="U239" s="149"/>
      <c r="V239" s="149"/>
      <c r="W239" s="149"/>
      <c r="X239" s="68"/>
      <c r="Y239" s="68"/>
      <c r="Z239" s="68"/>
    </row>
    <row r="240" ht="15.0" customHeight="1">
      <c r="A240" s="139">
        <v>45811.0</v>
      </c>
      <c r="B240" s="148" t="s">
        <v>3438</v>
      </c>
      <c r="C240" s="64" t="s">
        <v>3439</v>
      </c>
      <c r="D240" s="140" t="str">
        <f>IFERROR(VLOOKUP(C240,Stock,3,FALSE),"")</f>
        <v>Toyota LandCruiser 90-97 FJ80</v>
      </c>
      <c r="E240" s="64">
        <v>1.0</v>
      </c>
      <c r="F240" s="141">
        <v>1050000.0</v>
      </c>
      <c r="G240" s="142">
        <f t="shared" si="7"/>
        <v>1050000</v>
      </c>
      <c r="H240" s="142"/>
      <c r="I240" s="143">
        <f t="shared" si="8"/>
        <v>1050000</v>
      </c>
      <c r="J240" s="144">
        <f t="shared" si="11"/>
        <v>1050000</v>
      </c>
      <c r="K240" s="145" t="s">
        <v>3440</v>
      </c>
      <c r="L240" s="146" t="s">
        <v>3441</v>
      </c>
      <c r="M240" s="140"/>
      <c r="N240" s="68"/>
      <c r="O240" s="64" t="s">
        <v>2813</v>
      </c>
      <c r="P240" s="147" t="s">
        <v>2761</v>
      </c>
      <c r="Q240" s="149"/>
      <c r="R240" s="141"/>
      <c r="S240" s="141"/>
      <c r="T240" s="141">
        <v>1050000.0</v>
      </c>
      <c r="U240" s="149"/>
      <c r="V240" s="149"/>
      <c r="W240" s="149"/>
      <c r="X240" s="64" t="s">
        <v>2891</v>
      </c>
      <c r="Y240" s="64"/>
      <c r="Z240" s="68"/>
    </row>
    <row r="241" ht="15.0" customHeight="1">
      <c r="A241" s="139">
        <v>45812.0</v>
      </c>
      <c r="B241" s="148" t="s">
        <v>3442</v>
      </c>
      <c r="C241" s="64" t="s">
        <v>3443</v>
      </c>
      <c r="D241" s="140" t="str">
        <f>IFERROR(VLOOKUP(C241,Stock,3,FALSE),"")</f>
        <v>Toyota Vios 07-13 XP90 2nd Gen</v>
      </c>
      <c r="E241" s="64">
        <v>1.0</v>
      </c>
      <c r="F241" s="141">
        <v>1350000.0</v>
      </c>
      <c r="G241" s="142">
        <f t="shared" si="7"/>
        <v>1350000</v>
      </c>
      <c r="H241" s="68"/>
      <c r="I241" s="143">
        <f t="shared" si="8"/>
        <v>1350000</v>
      </c>
      <c r="J241" s="144">
        <f t="shared" si="11"/>
        <v>1350000</v>
      </c>
      <c r="K241" s="145" t="s">
        <v>3444</v>
      </c>
      <c r="L241" s="146" t="s">
        <v>3445</v>
      </c>
      <c r="M241" s="140"/>
      <c r="N241" s="68"/>
      <c r="O241" s="64" t="s">
        <v>2813</v>
      </c>
      <c r="P241" s="147" t="s">
        <v>2761</v>
      </c>
      <c r="Q241" s="149"/>
      <c r="R241" s="141"/>
      <c r="S241" s="141"/>
      <c r="T241" s="141">
        <v>1350000.0</v>
      </c>
      <c r="U241" s="149"/>
      <c r="V241" s="149"/>
      <c r="W241" s="149"/>
      <c r="X241" s="68"/>
      <c r="Y241" s="68"/>
      <c r="Z241" s="68"/>
    </row>
    <row r="242" ht="15.0" customHeight="1">
      <c r="A242" s="139">
        <v>45812.0</v>
      </c>
      <c r="B242" s="148" t="s">
        <v>3442</v>
      </c>
      <c r="C242" s="64" t="s">
        <v>3446</v>
      </c>
      <c r="D242" s="140" t="str">
        <f>IFERROR(VLOOKUP(C242,Stock,3,FALSE),"")</f>
        <v>501 Sealant Application</v>
      </c>
      <c r="E242" s="64">
        <v>1.0</v>
      </c>
      <c r="F242" s="141">
        <v>95000.0</v>
      </c>
      <c r="G242" s="142">
        <f t="shared" si="7"/>
        <v>95000</v>
      </c>
      <c r="H242" s="142"/>
      <c r="I242" s="143">
        <f t="shared" si="8"/>
        <v>95000</v>
      </c>
      <c r="J242" s="144">
        <f t="shared" si="11"/>
        <v>95000</v>
      </c>
      <c r="K242" s="145" t="s">
        <v>3444</v>
      </c>
      <c r="L242" s="146" t="s">
        <v>3445</v>
      </c>
      <c r="M242" s="140"/>
      <c r="N242" s="68"/>
      <c r="O242" s="64" t="s">
        <v>2813</v>
      </c>
      <c r="P242" s="147" t="s">
        <v>2761</v>
      </c>
      <c r="Q242" s="149"/>
      <c r="R242" s="141"/>
      <c r="S242" s="141"/>
      <c r="T242" s="141">
        <v>95000.0</v>
      </c>
      <c r="U242" s="149"/>
      <c r="V242" s="149"/>
      <c r="W242" s="149"/>
      <c r="X242" s="68"/>
      <c r="Y242" s="68"/>
      <c r="Z242" s="68"/>
    </row>
    <row r="243" ht="15.0" customHeight="1">
      <c r="A243" s="139">
        <v>45813.0</v>
      </c>
      <c r="B243" s="148" t="s">
        <v>3447</v>
      </c>
      <c r="C243" s="64" t="s">
        <v>3448</v>
      </c>
      <c r="D243" s="140" t="str">
        <f>IFERROR(VLOOKUP(C243,Stock,3,FALSE),"")</f>
        <v>Hyundai Getz 02-11</v>
      </c>
      <c r="E243" s="64">
        <v>1.0</v>
      </c>
      <c r="F243" s="141">
        <v>555000.0</v>
      </c>
      <c r="G243" s="142">
        <f t="shared" si="7"/>
        <v>555000</v>
      </c>
      <c r="H243" s="142"/>
      <c r="I243" s="143">
        <f t="shared" si="8"/>
        <v>555000</v>
      </c>
      <c r="J243" s="144">
        <f t="shared" si="11"/>
        <v>555000</v>
      </c>
      <c r="K243" s="145" t="s">
        <v>3449</v>
      </c>
      <c r="L243" s="146" t="s">
        <v>3450</v>
      </c>
      <c r="M243" s="140"/>
      <c r="N243" s="68"/>
      <c r="O243" s="64" t="s">
        <v>3451</v>
      </c>
      <c r="P243" s="147" t="s">
        <v>2761</v>
      </c>
      <c r="Q243" s="149"/>
      <c r="R243" s="149"/>
      <c r="S243" s="149"/>
      <c r="T243" s="149">
        <f>J243</f>
        <v>555000</v>
      </c>
      <c r="U243" s="149"/>
      <c r="V243" s="149"/>
      <c r="W243" s="149"/>
      <c r="X243" s="64" t="s">
        <v>2936</v>
      </c>
      <c r="Y243" s="64"/>
      <c r="Z243" s="68"/>
    </row>
    <row r="244" ht="15.0" customHeight="1">
      <c r="A244" s="139">
        <v>45813.0</v>
      </c>
      <c r="B244" s="148" t="s">
        <v>3447</v>
      </c>
      <c r="C244" s="64" t="s">
        <v>2835</v>
      </c>
      <c r="D244" s="140" t="str">
        <f>IFERROR(VLOOKUP(C244,Stock,3,FALSE),"")</f>
        <v>Peti Kayu</v>
      </c>
      <c r="E244" s="64">
        <v>1.0</v>
      </c>
      <c r="F244" s="141">
        <v>120000.0</v>
      </c>
      <c r="G244" s="142">
        <f t="shared" si="7"/>
        <v>120000</v>
      </c>
      <c r="H244" s="142"/>
      <c r="I244" s="143">
        <f t="shared" si="8"/>
        <v>120000</v>
      </c>
      <c r="J244" s="144">
        <f t="shared" si="11"/>
        <v>120000</v>
      </c>
      <c r="K244" s="145" t="s">
        <v>3449</v>
      </c>
      <c r="L244" s="146" t="s">
        <v>3450</v>
      </c>
      <c r="M244" s="140"/>
      <c r="N244" s="68"/>
      <c r="O244" s="64" t="s">
        <v>3451</v>
      </c>
      <c r="P244" s="147" t="s">
        <v>2761</v>
      </c>
      <c r="Q244" s="149"/>
      <c r="R244" s="149"/>
      <c r="S244" s="149"/>
      <c r="T244" s="149"/>
      <c r="U244" s="149"/>
      <c r="V244" s="149"/>
      <c r="W244" s="149"/>
      <c r="X244" s="64" t="s">
        <v>2936</v>
      </c>
      <c r="Y244" s="64"/>
      <c r="Z244" s="68"/>
    </row>
    <row r="245" ht="15.0" customHeight="1">
      <c r="A245" s="139">
        <v>45813.0</v>
      </c>
      <c r="B245" s="148" t="s">
        <v>3452</v>
      </c>
      <c r="C245" s="64" t="s">
        <v>2990</v>
      </c>
      <c r="D245" s="140" t="str">
        <f>IFERROR(VLOOKUP(C245,Stock,3,FALSE),"")</f>
        <v>Daihatsu Sirion 18- 3rd Gen</v>
      </c>
      <c r="E245" s="64">
        <v>1.0</v>
      </c>
      <c r="F245" s="141">
        <v>1700000.0</v>
      </c>
      <c r="G245" s="142">
        <f t="shared" si="7"/>
        <v>1700000</v>
      </c>
      <c r="H245" s="142"/>
      <c r="I245" s="143">
        <f t="shared" si="8"/>
        <v>1700000</v>
      </c>
      <c r="J245" s="144">
        <f t="shared" si="11"/>
        <v>1700000</v>
      </c>
      <c r="K245" s="151" t="s">
        <v>3453</v>
      </c>
      <c r="L245" s="146" t="s">
        <v>3454</v>
      </c>
      <c r="M245" s="140"/>
      <c r="N245" s="154" t="s">
        <v>3455</v>
      </c>
      <c r="O245" s="64" t="s">
        <v>2813</v>
      </c>
      <c r="P245" s="147" t="s">
        <v>2761</v>
      </c>
      <c r="Q245" s="149"/>
      <c r="R245" s="141"/>
      <c r="S245" s="141"/>
      <c r="T245" s="141">
        <v>1700000.0</v>
      </c>
      <c r="U245" s="149"/>
      <c r="V245" s="149"/>
      <c r="W245" s="149"/>
      <c r="X245" s="64" t="s">
        <v>2891</v>
      </c>
      <c r="Y245" s="64"/>
      <c r="Z245" s="68"/>
    </row>
    <row r="246" ht="15.0" customHeight="1">
      <c r="A246" s="139">
        <v>45813.0</v>
      </c>
      <c r="B246" s="148" t="s">
        <v>3452</v>
      </c>
      <c r="C246" s="64" t="s">
        <v>3456</v>
      </c>
      <c r="D246" s="140" t="str">
        <f>IFERROR(VLOOKUP(C246,Stock,3,FALSE),"")</f>
        <v>List Kaca Depan Code 11</v>
      </c>
      <c r="E246" s="64">
        <v>1.0</v>
      </c>
      <c r="F246" s="141">
        <v>275000.0</v>
      </c>
      <c r="G246" s="142">
        <f t="shared" si="7"/>
        <v>275000</v>
      </c>
      <c r="H246" s="142"/>
      <c r="I246" s="143">
        <f t="shared" si="8"/>
        <v>275000</v>
      </c>
      <c r="J246" s="144">
        <f t="shared" si="11"/>
        <v>275000</v>
      </c>
      <c r="K246" s="151" t="s">
        <v>3453</v>
      </c>
      <c r="L246" s="146" t="s">
        <v>3454</v>
      </c>
      <c r="M246" s="140"/>
      <c r="N246" s="154" t="s">
        <v>3455</v>
      </c>
      <c r="O246" s="64" t="s">
        <v>2813</v>
      </c>
      <c r="P246" s="147" t="s">
        <v>2761</v>
      </c>
      <c r="Q246" s="149"/>
      <c r="R246" s="141"/>
      <c r="S246" s="141"/>
      <c r="T246" s="141">
        <v>275000.0</v>
      </c>
      <c r="U246" s="149"/>
      <c r="V246" s="149"/>
      <c r="W246" s="149"/>
      <c r="X246" s="64" t="s">
        <v>2891</v>
      </c>
      <c r="Y246" s="64"/>
      <c r="Z246" s="68"/>
    </row>
    <row r="247" ht="15.0" customHeight="1">
      <c r="A247" s="139">
        <v>45813.0</v>
      </c>
      <c r="B247" s="148" t="s">
        <v>3452</v>
      </c>
      <c r="C247" s="64" t="s">
        <v>2770</v>
      </c>
      <c r="D247" s="140" t="str">
        <f>IFERROR(VLOOKUP(C247,Stock,3,FALSE),"")</f>
        <v>Transport</v>
      </c>
      <c r="E247" s="64">
        <v>1.0</v>
      </c>
      <c r="F247" s="141">
        <v>100000.0</v>
      </c>
      <c r="G247" s="142">
        <f t="shared" si="7"/>
        <v>100000</v>
      </c>
      <c r="H247" s="142"/>
      <c r="I247" s="143">
        <f t="shared" si="8"/>
        <v>100000</v>
      </c>
      <c r="J247" s="144">
        <f t="shared" si="11"/>
        <v>100000</v>
      </c>
      <c r="K247" s="151" t="s">
        <v>3453</v>
      </c>
      <c r="L247" s="146" t="s">
        <v>3454</v>
      </c>
      <c r="M247" s="140"/>
      <c r="N247" s="154" t="s">
        <v>3455</v>
      </c>
      <c r="O247" s="64" t="s">
        <v>2813</v>
      </c>
      <c r="P247" s="147" t="s">
        <v>2761</v>
      </c>
      <c r="Q247" s="149"/>
      <c r="R247" s="141"/>
      <c r="S247" s="141"/>
      <c r="T247" s="141">
        <v>100000.0</v>
      </c>
      <c r="U247" s="149"/>
      <c r="V247" s="149"/>
      <c r="W247" s="149"/>
      <c r="X247" s="64" t="s">
        <v>2891</v>
      </c>
      <c r="Y247" s="64"/>
      <c r="Z247" s="68"/>
    </row>
    <row r="248" ht="15.0" customHeight="1">
      <c r="A248" s="139">
        <v>45813.0</v>
      </c>
      <c r="B248" s="148" t="s">
        <v>3457</v>
      </c>
      <c r="C248" s="64" t="s">
        <v>3193</v>
      </c>
      <c r="D248" s="140" t="str">
        <f>IFERROR(VLOOKUP(C248,Stock,3,FALSE),"")</f>
        <v>Toyota Avanza / Xenia 11-15 2nd Gen</v>
      </c>
      <c r="E248" s="64">
        <v>1.0</v>
      </c>
      <c r="F248" s="141">
        <v>1000000.0</v>
      </c>
      <c r="G248" s="142">
        <f t="shared" si="7"/>
        <v>1000000</v>
      </c>
      <c r="H248" s="142"/>
      <c r="I248" s="143">
        <f t="shared" si="8"/>
        <v>1000000</v>
      </c>
      <c r="J248" s="144">
        <f t="shared" si="11"/>
        <v>1000000</v>
      </c>
      <c r="K248" s="151" t="s">
        <v>3458</v>
      </c>
      <c r="L248" s="146" t="s">
        <v>3459</v>
      </c>
      <c r="M248" s="140"/>
      <c r="N248" s="154" t="s">
        <v>3460</v>
      </c>
      <c r="O248" s="64" t="s">
        <v>2813</v>
      </c>
      <c r="P248" s="147" t="s">
        <v>2761</v>
      </c>
      <c r="Q248" s="149"/>
      <c r="R248" s="141"/>
      <c r="S248" s="141"/>
      <c r="T248" s="141">
        <v>1000000.0</v>
      </c>
      <c r="U248" s="149"/>
      <c r="V248" s="149"/>
      <c r="W248" s="149"/>
      <c r="X248" s="64" t="s">
        <v>2891</v>
      </c>
      <c r="Y248" s="64"/>
      <c r="Z248" s="68"/>
    </row>
    <row r="249" ht="15.0" customHeight="1">
      <c r="A249" s="139">
        <v>45813.0</v>
      </c>
      <c r="B249" s="148" t="s">
        <v>3461</v>
      </c>
      <c r="C249" s="64" t="s">
        <v>3462</v>
      </c>
      <c r="D249" s="140" t="str">
        <f>IFERROR(VLOOKUP(C249,Stock,3,FALSE),"")</f>
        <v>BMW X1 Series 15- F48</v>
      </c>
      <c r="E249" s="64">
        <v>1.0</v>
      </c>
      <c r="F249" s="141">
        <v>4088000.0</v>
      </c>
      <c r="G249" s="142">
        <f t="shared" si="7"/>
        <v>4088000</v>
      </c>
      <c r="H249" s="142"/>
      <c r="I249" s="143">
        <f t="shared" si="8"/>
        <v>4088000</v>
      </c>
      <c r="J249" s="144">
        <f t="shared" si="11"/>
        <v>4088000</v>
      </c>
      <c r="K249" s="145" t="s">
        <v>3463</v>
      </c>
      <c r="L249" s="146" t="s">
        <v>3464</v>
      </c>
      <c r="M249" s="140"/>
      <c r="N249" s="68"/>
      <c r="O249" s="64" t="s">
        <v>2813</v>
      </c>
      <c r="P249" s="147" t="s">
        <v>2761</v>
      </c>
      <c r="Q249" s="149"/>
      <c r="R249" s="149"/>
      <c r="S249" s="149"/>
      <c r="T249" s="149"/>
      <c r="U249" s="149"/>
      <c r="V249" s="149"/>
      <c r="W249" s="149"/>
      <c r="X249" s="64" t="s">
        <v>2891</v>
      </c>
      <c r="Y249" s="64"/>
      <c r="Z249" s="68"/>
    </row>
    <row r="250" ht="15.0" customHeight="1">
      <c r="A250" s="139">
        <v>45815.0</v>
      </c>
      <c r="B250" s="148" t="s">
        <v>3465</v>
      </c>
      <c r="C250" s="64" t="s">
        <v>3466</v>
      </c>
      <c r="D250" s="140" t="str">
        <f>IFERROR(VLOOKUP(C250,Stock,3,FALSE),"")</f>
        <v>Honda Jazz 07-13 2nd Gen</v>
      </c>
      <c r="E250" s="64">
        <v>1.0</v>
      </c>
      <c r="F250" s="141">
        <v>1200000.0</v>
      </c>
      <c r="G250" s="142">
        <f t="shared" si="7"/>
        <v>1200000</v>
      </c>
      <c r="H250" s="142"/>
      <c r="I250" s="143">
        <f t="shared" si="8"/>
        <v>1200000</v>
      </c>
      <c r="J250" s="144">
        <f t="shared" si="11"/>
        <v>1200000</v>
      </c>
      <c r="K250" s="151" t="s">
        <v>3467</v>
      </c>
      <c r="L250" s="146" t="s">
        <v>3468</v>
      </c>
      <c r="M250" s="140"/>
      <c r="N250" s="154" t="s">
        <v>3469</v>
      </c>
      <c r="O250" s="64" t="s">
        <v>2813</v>
      </c>
      <c r="P250" s="147" t="s">
        <v>2761</v>
      </c>
      <c r="Q250" s="149"/>
      <c r="R250" s="149"/>
      <c r="S250" s="149"/>
      <c r="T250" s="149"/>
      <c r="U250" s="149"/>
      <c r="V250" s="149"/>
      <c r="W250" s="149"/>
      <c r="X250" s="68"/>
      <c r="Y250" s="68"/>
      <c r="Z250" s="68"/>
    </row>
    <row r="251" ht="15.0" customHeight="1">
      <c r="A251" s="139">
        <v>45815.0</v>
      </c>
      <c r="B251" s="148" t="s">
        <v>3470</v>
      </c>
      <c r="C251" s="64" t="s">
        <v>2944</v>
      </c>
      <c r="D251" s="140" t="str">
        <f>IFERROR(VLOOKUP(C251,Stock,3,FALSE),"")</f>
        <v>Toyota Innova 04-15 1st Gen</v>
      </c>
      <c r="E251" s="64">
        <v>1.0</v>
      </c>
      <c r="F251" s="141">
        <v>1350000.0</v>
      </c>
      <c r="G251" s="142">
        <f t="shared" si="7"/>
        <v>1350000</v>
      </c>
      <c r="H251" s="142"/>
      <c r="I251" s="143">
        <f t="shared" si="8"/>
        <v>1350000</v>
      </c>
      <c r="J251" s="144">
        <f t="shared" si="11"/>
        <v>1350000</v>
      </c>
      <c r="K251" s="145" t="s">
        <v>3471</v>
      </c>
      <c r="L251" s="146" t="s">
        <v>3472</v>
      </c>
      <c r="M251" s="140"/>
      <c r="N251" s="64" t="s">
        <v>3473</v>
      </c>
      <c r="O251" s="64" t="s">
        <v>2813</v>
      </c>
      <c r="P251" s="170"/>
      <c r="Q251" s="149"/>
      <c r="R251" s="149"/>
      <c r="S251" s="149"/>
      <c r="T251" s="149"/>
      <c r="U251" s="149"/>
      <c r="V251" s="149"/>
      <c r="W251" s="149"/>
      <c r="X251" s="64" t="s">
        <v>2936</v>
      </c>
      <c r="Y251" s="64"/>
      <c r="Z251" s="68"/>
    </row>
    <row r="252" ht="15.0" customHeight="1">
      <c r="A252" s="139">
        <v>45815.0</v>
      </c>
      <c r="B252" s="148" t="s">
        <v>3470</v>
      </c>
      <c r="C252" s="64" t="s">
        <v>3352</v>
      </c>
      <c r="D252" s="140" t="str">
        <f>IFERROR(VLOOKUP(C252,Stock,3,FALSE),"")</f>
        <v>List Kaca Depan INV</v>
      </c>
      <c r="E252" s="64">
        <v>1.0</v>
      </c>
      <c r="F252" s="141">
        <v>315000.0</v>
      </c>
      <c r="G252" s="142">
        <f t="shared" si="7"/>
        <v>315000</v>
      </c>
      <c r="H252" s="142"/>
      <c r="I252" s="143">
        <f t="shared" si="8"/>
        <v>315000</v>
      </c>
      <c r="J252" s="144">
        <f t="shared" si="11"/>
        <v>315000</v>
      </c>
      <c r="K252" s="145" t="s">
        <v>3471</v>
      </c>
      <c r="L252" s="146" t="s">
        <v>3472</v>
      </c>
      <c r="M252" s="140"/>
      <c r="N252" s="64" t="s">
        <v>3473</v>
      </c>
      <c r="O252" s="64" t="s">
        <v>2813</v>
      </c>
      <c r="P252" s="170"/>
      <c r="Q252" s="149"/>
      <c r="R252" s="149"/>
      <c r="S252" s="149"/>
      <c r="T252" s="149"/>
      <c r="U252" s="149"/>
      <c r="V252" s="149"/>
      <c r="W252" s="149"/>
      <c r="X252" s="64" t="s">
        <v>2936</v>
      </c>
      <c r="Y252" s="64"/>
      <c r="Z252" s="68"/>
    </row>
    <row r="253" ht="15.0" customHeight="1">
      <c r="A253" s="139">
        <v>45816.0</v>
      </c>
      <c r="B253" s="148" t="s">
        <v>3474</v>
      </c>
      <c r="C253" s="64" t="s">
        <v>3475</v>
      </c>
      <c r="D253" s="140" t="str">
        <f>IFERROR(VLOOKUP(C253,Stock,3,FALSE),"")</f>
        <v>Toyota Avanza / Xenia 03-11 1st Gen</v>
      </c>
      <c r="E253" s="64">
        <v>1.0</v>
      </c>
      <c r="F253" s="141">
        <v>1000000.0</v>
      </c>
      <c r="G253" s="142">
        <f t="shared" si="7"/>
        <v>1000000</v>
      </c>
      <c r="H253" s="142"/>
      <c r="I253" s="143">
        <f t="shared" si="8"/>
        <v>1000000</v>
      </c>
      <c r="J253" s="144">
        <f t="shared" si="11"/>
        <v>1000000</v>
      </c>
      <c r="K253" s="145" t="s">
        <v>3476</v>
      </c>
      <c r="L253" s="146" t="s">
        <v>3477</v>
      </c>
      <c r="M253" s="140"/>
      <c r="N253" s="64" t="s">
        <v>3478</v>
      </c>
      <c r="O253" s="64" t="s">
        <v>3479</v>
      </c>
      <c r="P253" s="147" t="s">
        <v>3480</v>
      </c>
      <c r="Q253" s="149"/>
      <c r="R253" s="149"/>
      <c r="S253" s="149"/>
      <c r="T253" s="149"/>
      <c r="U253" s="149"/>
      <c r="V253" s="149"/>
      <c r="W253" s="149"/>
      <c r="X253" s="64" t="s">
        <v>3481</v>
      </c>
      <c r="Y253" s="64"/>
      <c r="Z253" s="68"/>
    </row>
    <row r="254" ht="15.0" customHeight="1">
      <c r="A254" s="139">
        <v>45816.0</v>
      </c>
      <c r="B254" s="148" t="s">
        <v>3474</v>
      </c>
      <c r="C254" s="64" t="s">
        <v>2962</v>
      </c>
      <c r="D254" s="140" t="str">
        <f>IFERROR(VLOOKUP(C254,Stock,3,FALSE),"")</f>
        <v>Lembur</v>
      </c>
      <c r="E254" s="64">
        <v>1.0</v>
      </c>
      <c r="F254" s="141">
        <v>100000.0</v>
      </c>
      <c r="G254" s="142">
        <f t="shared" si="7"/>
        <v>100000</v>
      </c>
      <c r="H254" s="142"/>
      <c r="I254" s="143">
        <f t="shared" si="8"/>
        <v>100000</v>
      </c>
      <c r="J254" s="144">
        <f t="shared" si="11"/>
        <v>100000</v>
      </c>
      <c r="K254" s="155"/>
      <c r="L254" s="140"/>
      <c r="M254" s="140"/>
      <c r="N254" s="68"/>
      <c r="O254" s="68"/>
      <c r="P254" s="170"/>
      <c r="Q254" s="149"/>
      <c r="R254" s="149"/>
      <c r="S254" s="149"/>
      <c r="T254" s="149"/>
      <c r="U254" s="149"/>
      <c r="V254" s="149"/>
      <c r="W254" s="149"/>
      <c r="X254" s="68"/>
      <c r="Y254" s="68"/>
      <c r="Z254" s="68"/>
    </row>
    <row r="255" ht="15.0" customHeight="1">
      <c r="A255" s="139">
        <v>45817.0</v>
      </c>
      <c r="B255" s="148" t="s">
        <v>3482</v>
      </c>
      <c r="C255" s="64" t="s">
        <v>3483</v>
      </c>
      <c r="D255" s="140" t="str">
        <f>IFERROR(VLOOKUP(C255,Stock,3,FALSE),"")</f>
        <v>Honda HR-V 14-21 5D SUV</v>
      </c>
      <c r="E255" s="64">
        <v>1.0</v>
      </c>
      <c r="F255" s="141">
        <v>2006000.0</v>
      </c>
      <c r="G255" s="142">
        <f t="shared" si="7"/>
        <v>2006000</v>
      </c>
      <c r="H255" s="142"/>
      <c r="I255" s="143">
        <f t="shared" si="8"/>
        <v>2006000</v>
      </c>
      <c r="J255" s="144">
        <f t="shared" si="11"/>
        <v>2006000</v>
      </c>
      <c r="K255" s="145" t="s">
        <v>3484</v>
      </c>
      <c r="L255" s="146" t="s">
        <v>3485</v>
      </c>
      <c r="M255" s="140"/>
      <c r="N255" s="64" t="s">
        <v>3486</v>
      </c>
      <c r="O255" s="64" t="s">
        <v>3487</v>
      </c>
      <c r="P255" s="170"/>
      <c r="Q255" s="149"/>
      <c r="R255" s="149"/>
      <c r="S255" s="149"/>
      <c r="T255" s="149">
        <f>J255</f>
        <v>2006000</v>
      </c>
      <c r="U255" s="149"/>
      <c r="V255" s="149"/>
      <c r="W255" s="149"/>
      <c r="X255" s="64" t="s">
        <v>2936</v>
      </c>
      <c r="Y255" s="64"/>
      <c r="Z255" s="68"/>
    </row>
    <row r="256" ht="15.0" customHeight="1">
      <c r="A256" s="139">
        <v>45817.0</v>
      </c>
      <c r="B256" s="148" t="s">
        <v>3482</v>
      </c>
      <c r="C256" s="64" t="s">
        <v>2770</v>
      </c>
      <c r="D256" s="140" t="str">
        <f>IFERROR(VLOOKUP(C256,Stock,3,FALSE),"")</f>
        <v>Transport</v>
      </c>
      <c r="E256" s="64">
        <v>1.0</v>
      </c>
      <c r="F256" s="141">
        <v>200000.0</v>
      </c>
      <c r="G256" s="142">
        <f t="shared" si="7"/>
        <v>200000</v>
      </c>
      <c r="H256" s="142"/>
      <c r="I256" s="143">
        <f t="shared" si="8"/>
        <v>200000</v>
      </c>
      <c r="J256" s="144">
        <f t="shared" si="11"/>
        <v>200000</v>
      </c>
      <c r="K256" s="145" t="s">
        <v>3484</v>
      </c>
      <c r="L256" s="146" t="s">
        <v>3485</v>
      </c>
      <c r="M256" s="140"/>
      <c r="N256" s="64" t="s">
        <v>3486</v>
      </c>
      <c r="O256" s="64" t="s">
        <v>3487</v>
      </c>
      <c r="P256" s="170"/>
      <c r="Q256" s="149"/>
      <c r="R256" s="149"/>
      <c r="S256" s="149"/>
      <c r="T256" s="149"/>
      <c r="U256" s="149"/>
      <c r="V256" s="149"/>
      <c r="W256" s="149"/>
      <c r="X256" s="64" t="s">
        <v>2936</v>
      </c>
      <c r="Y256" s="64"/>
      <c r="Z256" s="68"/>
    </row>
    <row r="257" ht="15.0" customHeight="1">
      <c r="A257" s="139">
        <v>45817.0</v>
      </c>
      <c r="B257" s="148" t="s">
        <v>3488</v>
      </c>
      <c r="C257" s="64" t="s">
        <v>3489</v>
      </c>
      <c r="D257" s="140" t="str">
        <f>IFERROR(VLOOKUP(C257,Stock,3,FALSE),"")</f>
        <v>Mazda 6 12- GJ1/GL 3rd Gen</v>
      </c>
      <c r="E257" s="64">
        <v>1.0</v>
      </c>
      <c r="F257" s="141">
        <v>1169000.0</v>
      </c>
      <c r="G257" s="142">
        <f t="shared" si="7"/>
        <v>1169000</v>
      </c>
      <c r="H257" s="142"/>
      <c r="I257" s="143">
        <f t="shared" si="8"/>
        <v>1169000</v>
      </c>
      <c r="J257" s="144">
        <f t="shared" si="11"/>
        <v>1169000</v>
      </c>
      <c r="K257" s="145" t="s">
        <v>3490</v>
      </c>
      <c r="L257" s="146" t="s">
        <v>3491</v>
      </c>
      <c r="M257" s="140"/>
      <c r="N257" s="64" t="s">
        <v>3492</v>
      </c>
      <c r="O257" s="64" t="s">
        <v>2813</v>
      </c>
      <c r="P257" s="170"/>
      <c r="Q257" s="149"/>
      <c r="R257" s="149"/>
      <c r="S257" s="149"/>
      <c r="T257" s="149"/>
      <c r="U257" s="149"/>
      <c r="V257" s="149"/>
      <c r="W257" s="149"/>
      <c r="X257" s="64" t="s">
        <v>2936</v>
      </c>
      <c r="Y257" s="64"/>
      <c r="Z257" s="68"/>
    </row>
    <row r="258" ht="15.0" customHeight="1">
      <c r="A258" s="139">
        <v>45817.0</v>
      </c>
      <c r="B258" s="148" t="s">
        <v>3493</v>
      </c>
      <c r="C258" s="64" t="s">
        <v>3494</v>
      </c>
      <c r="D258" s="140" t="str">
        <f>IFERROR(VLOOKUP(C258,Stock,3,FALSE),"")</f>
        <v>Wuling Almaz</v>
      </c>
      <c r="E258" s="64">
        <v>1.0</v>
      </c>
      <c r="F258" s="141">
        <v>1600000.0</v>
      </c>
      <c r="G258" s="142">
        <f t="shared" si="7"/>
        <v>1600000</v>
      </c>
      <c r="H258" s="142"/>
      <c r="I258" s="143">
        <f t="shared" si="8"/>
        <v>1600000</v>
      </c>
      <c r="J258" s="144">
        <f t="shared" si="11"/>
        <v>1600000</v>
      </c>
      <c r="K258" s="145" t="s">
        <v>3495</v>
      </c>
      <c r="L258" s="146" t="s">
        <v>3496</v>
      </c>
      <c r="M258" s="140"/>
      <c r="N258" s="64" t="s">
        <v>3497</v>
      </c>
      <c r="O258" s="68"/>
      <c r="P258" s="170"/>
      <c r="Q258" s="149"/>
      <c r="R258" s="149"/>
      <c r="S258" s="149"/>
      <c r="T258" s="149">
        <f>J258</f>
        <v>1600000</v>
      </c>
      <c r="U258" s="149"/>
      <c r="V258" s="149"/>
      <c r="W258" s="149"/>
      <c r="X258" s="64" t="s">
        <v>2936</v>
      </c>
      <c r="Y258" s="64"/>
      <c r="Z258" s="68"/>
    </row>
    <row r="259" ht="15.0" customHeight="1">
      <c r="A259" s="139">
        <v>45817.0</v>
      </c>
      <c r="B259" s="148" t="s">
        <v>3493</v>
      </c>
      <c r="C259" s="64" t="s">
        <v>2770</v>
      </c>
      <c r="D259" s="140" t="str">
        <f>IFERROR(VLOOKUP(C259,Stock,3,FALSE),"")</f>
        <v>Transport</v>
      </c>
      <c r="E259" s="64">
        <v>1.0</v>
      </c>
      <c r="F259" s="141">
        <v>150000.0</v>
      </c>
      <c r="G259" s="142">
        <f t="shared" si="7"/>
        <v>150000</v>
      </c>
      <c r="H259" s="142"/>
      <c r="I259" s="143">
        <f t="shared" si="8"/>
        <v>150000</v>
      </c>
      <c r="J259" s="144">
        <f t="shared" si="11"/>
        <v>150000</v>
      </c>
      <c r="K259" s="145" t="s">
        <v>3495</v>
      </c>
      <c r="L259" s="146" t="s">
        <v>3496</v>
      </c>
      <c r="M259" s="140"/>
      <c r="N259" s="64" t="s">
        <v>3497</v>
      </c>
      <c r="O259" s="68"/>
      <c r="P259" s="170"/>
      <c r="Q259" s="149"/>
      <c r="R259" s="149"/>
      <c r="S259" s="149"/>
      <c r="T259" s="149"/>
      <c r="U259" s="149"/>
      <c r="V259" s="149"/>
      <c r="W259" s="149"/>
      <c r="X259" s="64" t="s">
        <v>2936</v>
      </c>
      <c r="Y259" s="64"/>
      <c r="Z259" s="68"/>
    </row>
    <row r="260" ht="15.0" customHeight="1">
      <c r="A260" s="139">
        <v>45818.0</v>
      </c>
      <c r="B260" s="156" t="s">
        <v>3498</v>
      </c>
      <c r="C260" s="64" t="s">
        <v>3499</v>
      </c>
      <c r="D260" s="140" t="str">
        <f>IFERROR(VLOOKUP(C260,Stock,3,FALSE),"")</f>
        <v>Honda Brio 10- / Mobilio 11-</v>
      </c>
      <c r="E260" s="64">
        <v>1.0</v>
      </c>
      <c r="F260" s="141">
        <v>1300000.0</v>
      </c>
      <c r="G260" s="142">
        <f t="shared" si="7"/>
        <v>1300000</v>
      </c>
      <c r="H260" s="142"/>
      <c r="I260" s="143">
        <f t="shared" si="8"/>
        <v>1300000</v>
      </c>
      <c r="J260" s="144">
        <f t="shared" si="11"/>
        <v>1300000</v>
      </c>
      <c r="K260" s="145" t="s">
        <v>3500</v>
      </c>
      <c r="L260" s="146" t="s">
        <v>3501</v>
      </c>
      <c r="M260" s="140"/>
      <c r="N260" s="64" t="s">
        <v>3502</v>
      </c>
      <c r="O260" s="64" t="s">
        <v>2813</v>
      </c>
      <c r="P260" s="147" t="s">
        <v>2761</v>
      </c>
      <c r="Q260" s="149"/>
      <c r="R260" s="141"/>
      <c r="S260" s="141"/>
      <c r="T260" s="141">
        <v>1300000.0</v>
      </c>
      <c r="U260" s="149"/>
      <c r="V260" s="149"/>
      <c r="W260" s="149"/>
      <c r="X260" s="64" t="s">
        <v>2808</v>
      </c>
      <c r="Y260" s="64"/>
      <c r="Z260" s="68"/>
    </row>
    <row r="261" ht="15.0" customHeight="1">
      <c r="A261" s="139">
        <v>45818.0</v>
      </c>
      <c r="B261" s="156" t="s">
        <v>3503</v>
      </c>
      <c r="C261" s="64" t="s">
        <v>3130</v>
      </c>
      <c r="D261" s="140" t="str">
        <f>IFERROR(VLOOKUP(C261,Stock,3,FALSE),"")</f>
        <v>Toyota Innova 04-15 1st Gen</v>
      </c>
      <c r="E261" s="64">
        <v>1.0</v>
      </c>
      <c r="F261" s="141">
        <v>1322000.0</v>
      </c>
      <c r="G261" s="142">
        <f t="shared" si="7"/>
        <v>1322000</v>
      </c>
      <c r="H261" s="142"/>
      <c r="I261" s="143">
        <f t="shared" si="8"/>
        <v>1322000</v>
      </c>
      <c r="J261" s="144">
        <f t="shared" si="11"/>
        <v>1322000</v>
      </c>
      <c r="K261" s="151" t="s">
        <v>3504</v>
      </c>
      <c r="L261" s="146" t="s">
        <v>3505</v>
      </c>
      <c r="M261" s="140"/>
      <c r="N261" s="64" t="s">
        <v>3506</v>
      </c>
      <c r="O261" s="64" t="s">
        <v>2813</v>
      </c>
      <c r="P261" s="147" t="s">
        <v>2761</v>
      </c>
      <c r="Q261" s="149"/>
      <c r="R261" s="141"/>
      <c r="S261" s="141"/>
      <c r="T261" s="141">
        <v>1322000.0</v>
      </c>
      <c r="U261" s="149"/>
      <c r="V261" s="149"/>
      <c r="W261" s="149"/>
      <c r="X261" s="64" t="s">
        <v>2808</v>
      </c>
      <c r="Y261" s="64"/>
      <c r="Z261" s="68"/>
    </row>
    <row r="262" ht="15.0" customHeight="1">
      <c r="A262" s="139">
        <v>45818.0</v>
      </c>
      <c r="B262" s="156" t="s">
        <v>3507</v>
      </c>
      <c r="C262" s="64" t="s">
        <v>3090</v>
      </c>
      <c r="D262" s="140" t="str">
        <f>IFERROR(VLOOKUP(C262,Stock,3,FALSE),"")</f>
        <v>Toyota Alphard 08-15 ANH20 2nd Gen</v>
      </c>
      <c r="E262" s="64">
        <v>1.0</v>
      </c>
      <c r="F262" s="141">
        <v>866000.0</v>
      </c>
      <c r="G262" s="142">
        <f t="shared" si="7"/>
        <v>866000</v>
      </c>
      <c r="H262" s="141">
        <v>86600.0</v>
      </c>
      <c r="I262" s="143">
        <f t="shared" si="8"/>
        <v>779400</v>
      </c>
      <c r="J262" s="144">
        <f t="shared" si="11"/>
        <v>779400</v>
      </c>
      <c r="K262" s="145" t="s">
        <v>3508</v>
      </c>
      <c r="L262" s="146" t="s">
        <v>3509</v>
      </c>
      <c r="M262" s="140"/>
      <c r="N262" s="68"/>
      <c r="O262" s="64" t="s">
        <v>2813</v>
      </c>
      <c r="P262" s="170"/>
      <c r="Q262" s="149"/>
      <c r="R262" s="149"/>
      <c r="S262" s="149"/>
      <c r="T262" s="149"/>
      <c r="U262" s="149"/>
      <c r="V262" s="149"/>
      <c r="W262" s="149"/>
      <c r="X262" s="64" t="s">
        <v>2936</v>
      </c>
      <c r="Y262" s="64"/>
      <c r="Z262" s="68"/>
    </row>
    <row r="263" ht="15.0" customHeight="1">
      <c r="A263" s="139">
        <v>45818.0</v>
      </c>
      <c r="B263" s="156" t="s">
        <v>3510</v>
      </c>
      <c r="C263" s="64" t="s">
        <v>3511</v>
      </c>
      <c r="D263" s="140" t="str">
        <f>IFERROR(VLOOKUP(C263,Stock,3,FALSE),"")</f>
        <v>Toyota Rush / Terios 06-17</v>
      </c>
      <c r="E263" s="64">
        <v>1.0</v>
      </c>
      <c r="F263" s="141">
        <v>530000.0</v>
      </c>
      <c r="G263" s="142">
        <f t="shared" si="7"/>
        <v>530000</v>
      </c>
      <c r="H263" s="142"/>
      <c r="I263" s="143">
        <f t="shared" si="8"/>
        <v>530000</v>
      </c>
      <c r="J263" s="144">
        <f t="shared" si="11"/>
        <v>530000</v>
      </c>
      <c r="K263" s="145" t="s">
        <v>3512</v>
      </c>
      <c r="L263" s="146" t="s">
        <v>3513</v>
      </c>
      <c r="M263" s="140"/>
      <c r="N263" s="68"/>
      <c r="O263" s="68"/>
      <c r="P263" s="170"/>
      <c r="Q263" s="149"/>
      <c r="R263" s="149"/>
      <c r="S263" s="149"/>
      <c r="T263" s="149"/>
      <c r="U263" s="149"/>
      <c r="V263" s="149"/>
      <c r="W263" s="149"/>
      <c r="X263" s="64" t="s">
        <v>2936</v>
      </c>
      <c r="Y263" s="64"/>
      <c r="Z263" s="68"/>
    </row>
    <row r="264" ht="15.0" customHeight="1">
      <c r="A264" s="139">
        <v>45818.0</v>
      </c>
      <c r="B264" s="148" t="s">
        <v>3510</v>
      </c>
      <c r="C264" s="64" t="s">
        <v>2770</v>
      </c>
      <c r="D264" s="140" t="str">
        <f>IFERROR(VLOOKUP(C264,Stock,3,FALSE),"")</f>
        <v>Transport</v>
      </c>
      <c r="E264" s="64">
        <v>1.0</v>
      </c>
      <c r="F264" s="141">
        <v>80000.0</v>
      </c>
      <c r="G264" s="142">
        <f t="shared" si="7"/>
        <v>80000</v>
      </c>
      <c r="H264" s="142"/>
      <c r="I264" s="143">
        <f t="shared" si="8"/>
        <v>80000</v>
      </c>
      <c r="J264" s="144">
        <f t="shared" si="11"/>
        <v>80000</v>
      </c>
      <c r="K264" s="145" t="s">
        <v>3512</v>
      </c>
      <c r="L264" s="146" t="s">
        <v>3513</v>
      </c>
      <c r="M264" s="140"/>
      <c r="N264" s="68"/>
      <c r="O264" s="68"/>
      <c r="P264" s="170"/>
      <c r="Q264" s="149"/>
      <c r="R264" s="149"/>
      <c r="S264" s="149"/>
      <c r="T264" s="149"/>
      <c r="U264" s="149"/>
      <c r="V264" s="149"/>
      <c r="W264" s="149"/>
      <c r="X264" s="64" t="s">
        <v>2936</v>
      </c>
      <c r="Y264" s="64"/>
      <c r="Z264" s="68"/>
    </row>
    <row r="265" ht="15.0" customHeight="1">
      <c r="A265" s="139">
        <v>45820.0</v>
      </c>
      <c r="B265" s="148" t="s">
        <v>3514</v>
      </c>
      <c r="C265" s="64" t="s">
        <v>3515</v>
      </c>
      <c r="D265" s="140" t="str">
        <f>IFERROR(VLOOKUP(C265,Stock,3,FALSE),"")</f>
        <v>Suzuki Ertiga 18- 2nd Gen / XL7 (Suzuki)</v>
      </c>
      <c r="E265" s="64">
        <v>1.0</v>
      </c>
      <c r="F265" s="141">
        <v>1050000.0</v>
      </c>
      <c r="G265" s="142">
        <f t="shared" si="7"/>
        <v>1050000</v>
      </c>
      <c r="H265" s="142"/>
      <c r="I265" s="143">
        <f t="shared" si="8"/>
        <v>1050000</v>
      </c>
      <c r="J265" s="144">
        <f t="shared" si="11"/>
        <v>1050000</v>
      </c>
      <c r="K265" s="145" t="s">
        <v>3516</v>
      </c>
      <c r="L265" s="146" t="s">
        <v>3517</v>
      </c>
      <c r="M265" s="140"/>
      <c r="N265" s="64" t="s">
        <v>3518</v>
      </c>
      <c r="O265" s="64" t="s">
        <v>2813</v>
      </c>
      <c r="P265" s="147" t="s">
        <v>2761</v>
      </c>
      <c r="Q265" s="149"/>
      <c r="R265" s="141"/>
      <c r="S265" s="141"/>
      <c r="T265" s="141">
        <v>1050000.0</v>
      </c>
      <c r="U265" s="149"/>
      <c r="V265" s="149"/>
      <c r="W265" s="149"/>
      <c r="X265" s="64" t="s">
        <v>2808</v>
      </c>
      <c r="Y265" s="64"/>
      <c r="Z265" s="68"/>
    </row>
    <row r="266" ht="15.0" customHeight="1">
      <c r="A266" s="139">
        <v>45820.0</v>
      </c>
      <c r="B266" s="148" t="s">
        <v>3519</v>
      </c>
      <c r="C266" s="64" t="s">
        <v>2881</v>
      </c>
      <c r="D266" s="140" t="str">
        <f>IFERROR(VLOOKUP(C266,Stock,3,FALSE),"")</f>
        <v>Mitsubishi Outlander 10-21 GA3</v>
      </c>
      <c r="E266" s="64">
        <v>1.0</v>
      </c>
      <c r="F266" s="141">
        <v>2138000.0</v>
      </c>
      <c r="G266" s="142">
        <f t="shared" si="7"/>
        <v>2138000</v>
      </c>
      <c r="H266" s="142"/>
      <c r="I266" s="143">
        <f t="shared" si="8"/>
        <v>2138000</v>
      </c>
      <c r="J266" s="144">
        <f t="shared" si="11"/>
        <v>2138000</v>
      </c>
      <c r="K266" s="145" t="s">
        <v>3520</v>
      </c>
      <c r="L266" s="146" t="s">
        <v>3521</v>
      </c>
      <c r="M266" s="140"/>
      <c r="N266" s="68"/>
      <c r="O266" s="64" t="s">
        <v>2813</v>
      </c>
      <c r="P266" s="147" t="s">
        <v>2761</v>
      </c>
      <c r="Q266" s="149"/>
      <c r="R266" s="149"/>
      <c r="S266" s="149"/>
      <c r="T266" s="149"/>
      <c r="U266" s="149"/>
      <c r="V266" s="149"/>
      <c r="W266" s="149"/>
      <c r="X266" s="64" t="s">
        <v>2808</v>
      </c>
      <c r="Y266" s="64"/>
      <c r="Z266" s="68"/>
    </row>
    <row r="267" ht="15.0" customHeight="1">
      <c r="A267" s="139">
        <v>45820.0</v>
      </c>
      <c r="B267" s="148" t="s">
        <v>3519</v>
      </c>
      <c r="C267" s="64" t="s">
        <v>2770</v>
      </c>
      <c r="D267" s="140" t="str">
        <f>IFERROR(VLOOKUP(C267,Stock,3,FALSE),"")</f>
        <v>Transport</v>
      </c>
      <c r="E267" s="64">
        <v>1.0</v>
      </c>
      <c r="F267" s="141">
        <v>300000.0</v>
      </c>
      <c r="G267" s="142">
        <f t="shared" si="7"/>
        <v>300000</v>
      </c>
      <c r="H267" s="142"/>
      <c r="I267" s="143">
        <f t="shared" si="8"/>
        <v>300000</v>
      </c>
      <c r="J267" s="144">
        <f t="shared" si="11"/>
        <v>300000</v>
      </c>
      <c r="K267" s="145" t="s">
        <v>3520</v>
      </c>
      <c r="L267" s="146" t="s">
        <v>3521</v>
      </c>
      <c r="M267" s="140"/>
      <c r="N267" s="68"/>
      <c r="O267" s="64" t="s">
        <v>2813</v>
      </c>
      <c r="P267" s="147" t="s">
        <v>2761</v>
      </c>
      <c r="Q267" s="149"/>
      <c r="R267" s="149"/>
      <c r="S267" s="149"/>
      <c r="T267" s="149"/>
      <c r="U267" s="149"/>
      <c r="V267" s="149"/>
      <c r="W267" s="149"/>
      <c r="X267" s="64" t="s">
        <v>2808</v>
      </c>
      <c r="Y267" s="64"/>
      <c r="Z267" s="68"/>
    </row>
    <row r="268" ht="15.0" customHeight="1">
      <c r="A268" s="139">
        <v>45813.0</v>
      </c>
      <c r="B268" s="148" t="s">
        <v>3522</v>
      </c>
      <c r="C268" s="64" t="s">
        <v>3523</v>
      </c>
      <c r="D268" s="140" t="str">
        <f>IFERROR(VLOOKUP(C268,Stock,3,FALSE),"")</f>
        <v>Toyota Hi-Ace 19- Premio</v>
      </c>
      <c r="E268" s="64">
        <v>1.0</v>
      </c>
      <c r="F268" s="141">
        <v>1894000.0</v>
      </c>
      <c r="G268" s="142">
        <f t="shared" si="7"/>
        <v>1894000</v>
      </c>
      <c r="H268" s="142"/>
      <c r="I268" s="143">
        <f t="shared" si="8"/>
        <v>1894000</v>
      </c>
      <c r="J268" s="144">
        <f t="shared" si="11"/>
        <v>1894000</v>
      </c>
      <c r="K268" s="145" t="s">
        <v>3524</v>
      </c>
      <c r="L268" s="146" t="s">
        <v>3525</v>
      </c>
      <c r="M268" s="140"/>
      <c r="N268" s="68"/>
      <c r="O268" s="64" t="s">
        <v>2813</v>
      </c>
      <c r="P268" s="147" t="s">
        <v>2761</v>
      </c>
      <c r="Q268" s="149"/>
      <c r="R268" s="141"/>
      <c r="S268" s="141"/>
      <c r="T268" s="141">
        <v>1894000.0</v>
      </c>
      <c r="U268" s="149"/>
      <c r="V268" s="149"/>
      <c r="W268" s="149"/>
      <c r="X268" s="64" t="s">
        <v>2891</v>
      </c>
      <c r="Y268" s="64"/>
      <c r="Z268" s="68"/>
    </row>
    <row r="269" ht="15.0" customHeight="1">
      <c r="A269" s="139">
        <v>45813.0</v>
      </c>
      <c r="B269" s="148" t="s">
        <v>3522</v>
      </c>
      <c r="C269" s="64" t="s">
        <v>2770</v>
      </c>
      <c r="D269" s="140" t="str">
        <f>IFERROR(VLOOKUP(C269,Stock,3,FALSE),"")</f>
        <v>Transport</v>
      </c>
      <c r="E269" s="64">
        <v>1.0</v>
      </c>
      <c r="F269" s="141">
        <v>120000.0</v>
      </c>
      <c r="G269" s="142">
        <f t="shared" si="7"/>
        <v>120000</v>
      </c>
      <c r="H269" s="142"/>
      <c r="I269" s="143">
        <f t="shared" si="8"/>
        <v>120000</v>
      </c>
      <c r="J269" s="144">
        <f t="shared" si="11"/>
        <v>120000</v>
      </c>
      <c r="K269" s="145" t="s">
        <v>3524</v>
      </c>
      <c r="L269" s="146" t="s">
        <v>3526</v>
      </c>
      <c r="M269" s="140"/>
      <c r="N269" s="68"/>
      <c r="O269" s="64" t="s">
        <v>2813</v>
      </c>
      <c r="P269" s="147" t="s">
        <v>2761</v>
      </c>
      <c r="Q269" s="149"/>
      <c r="R269" s="141"/>
      <c r="S269" s="141"/>
      <c r="T269" s="141">
        <v>120000.0</v>
      </c>
      <c r="U269" s="149"/>
      <c r="V269" s="149"/>
      <c r="W269" s="149"/>
      <c r="X269" s="64" t="s">
        <v>2891</v>
      </c>
      <c r="Y269" s="64"/>
      <c r="Z269" s="68"/>
    </row>
    <row r="270" ht="15.0" customHeight="1">
      <c r="A270" s="139">
        <v>45821.0</v>
      </c>
      <c r="B270" s="148" t="s">
        <v>3527</v>
      </c>
      <c r="C270" s="64" t="s">
        <v>3528</v>
      </c>
      <c r="D270" s="140" t="str">
        <f>IFERROR(VLOOKUP(C270,Stock,3,FALSE),"")</f>
        <v>Hyundai Stargazer 22-</v>
      </c>
      <c r="E270" s="64">
        <v>1.0</v>
      </c>
      <c r="F270" s="141">
        <v>1600000.0</v>
      </c>
      <c r="G270" s="142">
        <f t="shared" si="7"/>
        <v>1600000</v>
      </c>
      <c r="H270" s="142"/>
      <c r="I270" s="143">
        <f t="shared" si="8"/>
        <v>1600000</v>
      </c>
      <c r="J270" s="144">
        <f t="shared" si="11"/>
        <v>1600000</v>
      </c>
      <c r="K270" s="145" t="s">
        <v>3529</v>
      </c>
      <c r="L270" s="146" t="s">
        <v>3530</v>
      </c>
      <c r="M270" s="140"/>
      <c r="N270" s="64" t="s">
        <v>3531</v>
      </c>
      <c r="O270" s="64" t="s">
        <v>2813</v>
      </c>
      <c r="P270" s="147" t="s">
        <v>2761</v>
      </c>
      <c r="Q270" s="149"/>
      <c r="R270" s="141"/>
      <c r="S270" s="141"/>
      <c r="T270" s="141">
        <v>1600000.0</v>
      </c>
      <c r="U270" s="149"/>
      <c r="V270" s="149"/>
      <c r="W270" s="149"/>
      <c r="X270" s="64" t="s">
        <v>2808</v>
      </c>
      <c r="Y270" s="64"/>
      <c r="Z270" s="68"/>
    </row>
    <row r="271" ht="15.0" customHeight="1">
      <c r="A271" s="139">
        <v>45821.0</v>
      </c>
      <c r="B271" s="148" t="s">
        <v>3527</v>
      </c>
      <c r="C271" s="64" t="s">
        <v>2770</v>
      </c>
      <c r="D271" s="140" t="str">
        <f>IFERROR(VLOOKUP(C271,Stock,3,FALSE),"")</f>
        <v>Transport</v>
      </c>
      <c r="E271" s="64">
        <v>1.0</v>
      </c>
      <c r="F271" s="141">
        <v>100000.0</v>
      </c>
      <c r="G271" s="142">
        <f t="shared" si="7"/>
        <v>100000</v>
      </c>
      <c r="H271" s="142"/>
      <c r="I271" s="143">
        <f t="shared" si="8"/>
        <v>100000</v>
      </c>
      <c r="J271" s="144">
        <f t="shared" si="11"/>
        <v>100000</v>
      </c>
      <c r="K271" s="145" t="s">
        <v>3529</v>
      </c>
      <c r="L271" s="146" t="s">
        <v>3530</v>
      </c>
      <c r="M271" s="140"/>
      <c r="N271" s="64" t="s">
        <v>3531</v>
      </c>
      <c r="O271" s="64" t="s">
        <v>2813</v>
      </c>
      <c r="P271" s="147" t="s">
        <v>2761</v>
      </c>
      <c r="Q271" s="149"/>
      <c r="R271" s="141"/>
      <c r="S271" s="141"/>
      <c r="T271" s="141">
        <v>100000.0</v>
      </c>
      <c r="U271" s="149"/>
      <c r="V271" s="149"/>
      <c r="W271" s="149"/>
      <c r="X271" s="64" t="s">
        <v>2808</v>
      </c>
      <c r="Y271" s="64"/>
      <c r="Z271" s="68"/>
    </row>
    <row r="272" ht="15.0" customHeight="1">
      <c r="A272" s="139">
        <v>45821.0</v>
      </c>
      <c r="B272" s="148" t="s">
        <v>3532</v>
      </c>
      <c r="C272" s="64" t="s">
        <v>3193</v>
      </c>
      <c r="D272" s="140" t="str">
        <f>IFERROR(VLOOKUP(C272,Stock,3,FALSE),"")</f>
        <v>Toyota Avanza / Xenia 11-15 2nd Gen</v>
      </c>
      <c r="E272" s="64">
        <v>1.0</v>
      </c>
      <c r="F272" s="141">
        <v>1000000.0</v>
      </c>
      <c r="G272" s="142">
        <f t="shared" si="7"/>
        <v>1000000</v>
      </c>
      <c r="H272" s="142"/>
      <c r="I272" s="143">
        <f t="shared" si="8"/>
        <v>1000000</v>
      </c>
      <c r="J272" s="144">
        <f t="shared" si="11"/>
        <v>1000000</v>
      </c>
      <c r="K272" s="145" t="s">
        <v>3533</v>
      </c>
      <c r="L272" s="146" t="s">
        <v>3534</v>
      </c>
      <c r="M272" s="140"/>
      <c r="N272" s="64" t="s">
        <v>3535</v>
      </c>
      <c r="O272" s="64" t="s">
        <v>3536</v>
      </c>
      <c r="P272" s="147" t="s">
        <v>2761</v>
      </c>
      <c r="Q272" s="149"/>
      <c r="R272" s="149"/>
      <c r="S272" s="149"/>
      <c r="T272" s="149"/>
      <c r="U272" s="149"/>
      <c r="V272" s="149"/>
      <c r="W272" s="149"/>
      <c r="X272" s="64" t="s">
        <v>3191</v>
      </c>
      <c r="Y272" s="64"/>
      <c r="Z272" s="68"/>
    </row>
    <row r="273" ht="15.0" customHeight="1">
      <c r="A273" s="139">
        <v>45821.0</v>
      </c>
      <c r="B273" s="148" t="s">
        <v>3532</v>
      </c>
      <c r="C273" s="64" t="s">
        <v>2770</v>
      </c>
      <c r="D273" s="140" t="str">
        <f>IFERROR(VLOOKUP(C273,Stock,3,FALSE),"")</f>
        <v>Transport</v>
      </c>
      <c r="E273" s="64">
        <v>1.0</v>
      </c>
      <c r="F273" s="141">
        <v>120000.0</v>
      </c>
      <c r="G273" s="142">
        <f t="shared" si="7"/>
        <v>120000</v>
      </c>
      <c r="H273" s="142"/>
      <c r="I273" s="143">
        <f t="shared" si="8"/>
        <v>120000</v>
      </c>
      <c r="J273" s="144">
        <f t="shared" si="11"/>
        <v>120000</v>
      </c>
      <c r="K273" s="145" t="s">
        <v>3533</v>
      </c>
      <c r="L273" s="146" t="s">
        <v>3534</v>
      </c>
      <c r="M273" s="140"/>
      <c r="N273" s="64" t="s">
        <v>3535</v>
      </c>
      <c r="O273" s="64" t="s">
        <v>3536</v>
      </c>
      <c r="P273" s="147" t="s">
        <v>2813</v>
      </c>
      <c r="Q273" s="149"/>
      <c r="R273" s="141"/>
      <c r="S273" s="141"/>
      <c r="T273" s="141">
        <v>100000.0</v>
      </c>
      <c r="U273" s="149"/>
      <c r="V273" s="149"/>
      <c r="W273" s="149"/>
      <c r="X273" s="64" t="s">
        <v>3191</v>
      </c>
      <c r="Y273" s="64"/>
      <c r="Z273" s="68"/>
    </row>
    <row r="274" ht="15.0" customHeight="1">
      <c r="A274" s="139">
        <v>45822.0</v>
      </c>
      <c r="B274" s="148" t="s">
        <v>3537</v>
      </c>
      <c r="C274" s="64" t="s">
        <v>3538</v>
      </c>
      <c r="D274" s="140" t="str">
        <f>IFERROR(VLOOKUP(C274,Stock,3,FALSE),"")</f>
        <v>Toyota Innova 22- Zenyx 3rd Gen</v>
      </c>
      <c r="E274" s="64">
        <v>1.0</v>
      </c>
      <c r="F274" s="141">
        <v>1500000.0</v>
      </c>
      <c r="G274" s="142">
        <f t="shared" si="7"/>
        <v>1500000</v>
      </c>
      <c r="H274" s="142"/>
      <c r="I274" s="143">
        <f t="shared" si="8"/>
        <v>1500000</v>
      </c>
      <c r="J274" s="144">
        <f t="shared" si="11"/>
        <v>1500000</v>
      </c>
      <c r="K274" s="145" t="s">
        <v>3539</v>
      </c>
      <c r="L274" s="146" t="s">
        <v>3540</v>
      </c>
      <c r="M274" s="140"/>
      <c r="N274" s="64" t="s">
        <v>3541</v>
      </c>
      <c r="O274" s="64" t="s">
        <v>2813</v>
      </c>
      <c r="P274" s="147" t="s">
        <v>2761</v>
      </c>
      <c r="Q274" s="149"/>
      <c r="R274" s="141"/>
      <c r="S274" s="141"/>
      <c r="T274" s="141">
        <v>1500000.0</v>
      </c>
      <c r="U274" s="149"/>
      <c r="V274" s="149"/>
      <c r="W274" s="149"/>
      <c r="X274" s="64" t="s">
        <v>2891</v>
      </c>
      <c r="Y274" s="64"/>
      <c r="Z274" s="68"/>
    </row>
    <row r="275" ht="15.0" customHeight="1">
      <c r="A275" s="139">
        <v>45822.0</v>
      </c>
      <c r="B275" s="148" t="s">
        <v>3542</v>
      </c>
      <c r="C275" s="64" t="s">
        <v>2973</v>
      </c>
      <c r="D275" s="140" t="str">
        <f>IFERROR(VLOOKUP(C275,Stock,3,FALSE),"")</f>
        <v>Suzuki Carry New 19-</v>
      </c>
      <c r="E275" s="64">
        <v>1.0</v>
      </c>
      <c r="F275" s="141">
        <v>1000000.0</v>
      </c>
      <c r="G275" s="142">
        <f t="shared" si="7"/>
        <v>1000000</v>
      </c>
      <c r="H275" s="142"/>
      <c r="I275" s="143">
        <f t="shared" si="8"/>
        <v>1000000</v>
      </c>
      <c r="J275" s="144">
        <f t="shared" si="11"/>
        <v>1000000</v>
      </c>
      <c r="K275" s="145" t="s">
        <v>3543</v>
      </c>
      <c r="L275" s="146" t="s">
        <v>3544</v>
      </c>
      <c r="M275" s="140"/>
      <c r="N275" s="64" t="s">
        <v>3545</v>
      </c>
      <c r="O275" s="64" t="s">
        <v>2813</v>
      </c>
      <c r="P275" s="147" t="s">
        <v>2761</v>
      </c>
      <c r="Q275" s="149"/>
      <c r="R275" s="141"/>
      <c r="S275" s="141"/>
      <c r="T275" s="141">
        <v>1000000.0</v>
      </c>
      <c r="U275" s="149"/>
      <c r="V275" s="149"/>
      <c r="W275" s="149"/>
      <c r="X275" s="68"/>
      <c r="Y275" s="68"/>
      <c r="Z275" s="68"/>
    </row>
    <row r="276" ht="15.0" customHeight="1">
      <c r="A276" s="139">
        <v>45822.0</v>
      </c>
      <c r="B276" s="156" t="s">
        <v>3546</v>
      </c>
      <c r="C276" s="64" t="s">
        <v>2830</v>
      </c>
      <c r="D276" s="140"/>
      <c r="E276" s="64"/>
      <c r="F276" s="141"/>
      <c r="G276" s="142"/>
      <c r="H276" s="142"/>
      <c r="I276" s="143"/>
      <c r="J276" s="144"/>
      <c r="K276" s="145" t="s">
        <v>3547</v>
      </c>
      <c r="L276" s="146" t="s">
        <v>3548</v>
      </c>
      <c r="M276" s="140"/>
      <c r="N276" s="64" t="s">
        <v>3541</v>
      </c>
      <c r="O276" s="64" t="s">
        <v>2813</v>
      </c>
      <c r="P276" s="147" t="s">
        <v>2761</v>
      </c>
      <c r="Q276" s="149"/>
      <c r="R276" s="141"/>
      <c r="S276" s="141"/>
      <c r="T276" s="141">
        <v>1500000.0</v>
      </c>
      <c r="U276" s="149"/>
      <c r="V276" s="149"/>
      <c r="W276" s="149"/>
      <c r="X276" s="64" t="s">
        <v>2808</v>
      </c>
      <c r="Y276" s="64"/>
      <c r="Z276" s="68"/>
    </row>
    <row r="277" ht="15.0" customHeight="1">
      <c r="A277" s="139">
        <v>45822.0</v>
      </c>
      <c r="B277" s="156" t="s">
        <v>3549</v>
      </c>
      <c r="C277" s="64" t="s">
        <v>3029</v>
      </c>
      <c r="D277" s="140" t="str">
        <f>IFERROR(VLOOKUP(C277,Stock,3,FALSE),"")</f>
        <v>Mitsubishi Canter FE700 01- (PS110,125)</v>
      </c>
      <c r="E277" s="64">
        <v>1.0</v>
      </c>
      <c r="F277" s="141">
        <v>994000.0</v>
      </c>
      <c r="G277" s="142">
        <f t="shared" ref="G277:G358" si="12">E277*F277</f>
        <v>994000</v>
      </c>
      <c r="H277" s="142"/>
      <c r="I277" s="143">
        <f t="shared" ref="I277:I358" si="13">G277-H277</f>
        <v>994000</v>
      </c>
      <c r="J277" s="144">
        <f t="shared" ref="J277:J305" si="14">I277</f>
        <v>994000</v>
      </c>
      <c r="K277" s="145" t="s">
        <v>3550</v>
      </c>
      <c r="L277" s="146" t="s">
        <v>3551</v>
      </c>
      <c r="M277" s="140"/>
      <c r="N277" s="68"/>
      <c r="O277" s="64" t="s">
        <v>2813</v>
      </c>
      <c r="P277" s="147" t="s">
        <v>2761</v>
      </c>
      <c r="Q277" s="149"/>
      <c r="R277" s="141"/>
      <c r="S277" s="141"/>
      <c r="T277" s="141">
        <v>994000.0</v>
      </c>
      <c r="U277" s="149"/>
      <c r="V277" s="149"/>
      <c r="W277" s="149"/>
      <c r="X277" s="68"/>
      <c r="Y277" s="68"/>
      <c r="Z277" s="68"/>
    </row>
    <row r="278" ht="15.0" customHeight="1">
      <c r="A278" s="139">
        <v>45822.0</v>
      </c>
      <c r="B278" s="156" t="s">
        <v>3552</v>
      </c>
      <c r="C278" s="64" t="s">
        <v>2832</v>
      </c>
      <c r="D278" s="140" t="str">
        <f>IFERROR(VLOOKUP(C278,Stock,3,FALSE),"")</f>
        <v>Toyota Avanza / Xenia 21- 4th Gen</v>
      </c>
      <c r="E278" s="64">
        <v>1.0</v>
      </c>
      <c r="F278" s="141">
        <v>975000.0</v>
      </c>
      <c r="G278" s="142">
        <f t="shared" si="12"/>
        <v>975000</v>
      </c>
      <c r="H278" s="142"/>
      <c r="I278" s="143">
        <f t="shared" si="13"/>
        <v>975000</v>
      </c>
      <c r="J278" s="144">
        <f t="shared" si="14"/>
        <v>975000</v>
      </c>
      <c r="K278" s="145" t="s">
        <v>3553</v>
      </c>
      <c r="L278" s="146" t="s">
        <v>3554</v>
      </c>
      <c r="M278" s="140"/>
      <c r="N278" s="154" t="s">
        <v>3555</v>
      </c>
      <c r="O278" s="64" t="s">
        <v>2813</v>
      </c>
      <c r="P278" s="147" t="s">
        <v>2761</v>
      </c>
      <c r="Q278" s="149"/>
      <c r="R278" s="141"/>
      <c r="S278" s="141"/>
      <c r="T278" s="141">
        <v>975000.0</v>
      </c>
      <c r="U278" s="149"/>
      <c r="V278" s="149"/>
      <c r="W278" s="149"/>
      <c r="X278" s="64" t="s">
        <v>2891</v>
      </c>
      <c r="Y278" s="64"/>
      <c r="Z278" s="68"/>
    </row>
    <row r="279" ht="15.0" customHeight="1">
      <c r="A279" s="139">
        <v>45822.0</v>
      </c>
      <c r="B279" s="156" t="s">
        <v>3556</v>
      </c>
      <c r="C279" s="64" t="s">
        <v>3557</v>
      </c>
      <c r="D279" s="140" t="str">
        <f>IFERROR(VLOOKUP(C279,Stock,3,FALSE),"")</f>
        <v>Wuling Cortez</v>
      </c>
      <c r="E279" s="64">
        <v>1.0</v>
      </c>
      <c r="F279" s="141">
        <v>2138000.0</v>
      </c>
      <c r="G279" s="142">
        <f t="shared" si="12"/>
        <v>2138000</v>
      </c>
      <c r="H279" s="142"/>
      <c r="I279" s="143">
        <f t="shared" si="13"/>
        <v>2138000</v>
      </c>
      <c r="J279" s="144">
        <f t="shared" si="14"/>
        <v>2138000</v>
      </c>
      <c r="K279" s="145" t="s">
        <v>3558</v>
      </c>
      <c r="L279" s="64" t="s">
        <v>3559</v>
      </c>
      <c r="M279" s="140"/>
      <c r="N279" s="68"/>
      <c r="O279" s="64" t="s">
        <v>3007</v>
      </c>
      <c r="P279" s="147" t="s">
        <v>2761</v>
      </c>
      <c r="Q279" s="149"/>
      <c r="R279" s="149"/>
      <c r="S279" s="149"/>
      <c r="T279" s="149"/>
      <c r="U279" s="149"/>
      <c r="V279" s="149"/>
      <c r="W279" s="149"/>
      <c r="X279" s="68"/>
      <c r="Y279" s="68"/>
      <c r="Z279" s="68"/>
    </row>
    <row r="280" ht="15.0" customHeight="1">
      <c r="A280" s="139">
        <v>45824.0</v>
      </c>
      <c r="B280" s="156" t="s">
        <v>3560</v>
      </c>
      <c r="C280" s="64" t="s">
        <v>2003</v>
      </c>
      <c r="D280" s="140" t="str">
        <f>IFERROR(VLOOKUP(C280,Stock,3,FALSE),"")</f>
        <v>Toyota Agya/Ayla 13-22 1st Gen</v>
      </c>
      <c r="E280" s="64">
        <v>1.0</v>
      </c>
      <c r="F280" s="141">
        <v>1050000.0</v>
      </c>
      <c r="G280" s="142">
        <f t="shared" si="12"/>
        <v>1050000</v>
      </c>
      <c r="H280" s="142"/>
      <c r="I280" s="143">
        <f t="shared" si="13"/>
        <v>1050000</v>
      </c>
      <c r="J280" s="144">
        <f t="shared" si="14"/>
        <v>1050000</v>
      </c>
      <c r="K280" s="145" t="s">
        <v>3561</v>
      </c>
      <c r="L280" s="146" t="s">
        <v>3562</v>
      </c>
      <c r="M280" s="140"/>
      <c r="N280" s="64" t="s">
        <v>3563</v>
      </c>
      <c r="O280" s="64" t="s">
        <v>2813</v>
      </c>
      <c r="P280" s="147" t="s">
        <v>2761</v>
      </c>
      <c r="Q280" s="149"/>
      <c r="R280" s="141"/>
      <c r="S280" s="141"/>
      <c r="T280" s="141">
        <v>1050000.0</v>
      </c>
      <c r="U280" s="149"/>
      <c r="V280" s="149"/>
      <c r="W280" s="149"/>
      <c r="X280" s="64" t="s">
        <v>2808</v>
      </c>
      <c r="Y280" s="64"/>
      <c r="Z280" s="68"/>
    </row>
    <row r="281" ht="15.0" customHeight="1">
      <c r="A281" s="139">
        <v>45824.0</v>
      </c>
      <c r="B281" s="156" t="s">
        <v>3564</v>
      </c>
      <c r="C281" s="64" t="s">
        <v>2952</v>
      </c>
      <c r="D281" s="140" t="str">
        <f>IFERROR(VLOOKUP(C281,Stock,3,FALSE),"")</f>
        <v/>
      </c>
      <c r="E281" s="64">
        <v>1.0</v>
      </c>
      <c r="F281" s="141">
        <v>1050000.0</v>
      </c>
      <c r="G281" s="142">
        <f t="shared" si="12"/>
        <v>1050000</v>
      </c>
      <c r="H281" s="142"/>
      <c r="I281" s="143">
        <f t="shared" si="13"/>
        <v>1050000</v>
      </c>
      <c r="J281" s="144">
        <f t="shared" si="14"/>
        <v>1050000</v>
      </c>
      <c r="K281" s="145" t="s">
        <v>3565</v>
      </c>
      <c r="L281" s="146" t="s">
        <v>3566</v>
      </c>
      <c r="M281" s="140"/>
      <c r="N281" s="64" t="s">
        <v>3567</v>
      </c>
      <c r="O281" s="64" t="s">
        <v>2813</v>
      </c>
      <c r="P281" s="147" t="s">
        <v>2761</v>
      </c>
      <c r="Q281" s="149"/>
      <c r="R281" s="149"/>
      <c r="S281" s="149"/>
      <c r="T281" s="149"/>
      <c r="U281" s="149"/>
      <c r="V281" s="149"/>
      <c r="W281" s="149"/>
      <c r="X281" s="64" t="s">
        <v>2808</v>
      </c>
      <c r="Y281" s="64"/>
      <c r="Z281" s="68"/>
    </row>
    <row r="282" ht="15.0" customHeight="1">
      <c r="A282" s="139">
        <v>45824.0</v>
      </c>
      <c r="B282" s="156" t="s">
        <v>3564</v>
      </c>
      <c r="C282" s="64" t="s">
        <v>3456</v>
      </c>
      <c r="D282" s="140" t="str">
        <f>IFERROR(VLOOKUP(C282,Stock,3,FALSE),"")</f>
        <v>List Kaca Depan Code 11</v>
      </c>
      <c r="E282" s="64">
        <v>1.0</v>
      </c>
      <c r="F282" s="141">
        <v>275000.0</v>
      </c>
      <c r="G282" s="142">
        <f t="shared" si="12"/>
        <v>275000</v>
      </c>
      <c r="H282" s="142"/>
      <c r="I282" s="143">
        <f t="shared" si="13"/>
        <v>275000</v>
      </c>
      <c r="J282" s="144">
        <f t="shared" si="14"/>
        <v>275000</v>
      </c>
      <c r="K282" s="145" t="s">
        <v>3565</v>
      </c>
      <c r="L282" s="146" t="s">
        <v>3566</v>
      </c>
      <c r="M282" s="140"/>
      <c r="N282" s="64" t="s">
        <v>3567</v>
      </c>
      <c r="O282" s="64" t="s">
        <v>2813</v>
      </c>
      <c r="P282" s="147" t="s">
        <v>2761</v>
      </c>
      <c r="Q282" s="149"/>
      <c r="R282" s="149"/>
      <c r="S282" s="149"/>
      <c r="T282" s="149"/>
      <c r="U282" s="149"/>
      <c r="V282" s="149"/>
      <c r="W282" s="149"/>
      <c r="X282" s="64" t="s">
        <v>2808</v>
      </c>
      <c r="Y282" s="64"/>
      <c r="Z282" s="68"/>
    </row>
    <row r="283" ht="15.0" customHeight="1">
      <c r="A283" s="139">
        <v>45824.0</v>
      </c>
      <c r="B283" s="156" t="s">
        <v>3568</v>
      </c>
      <c r="C283" s="64" t="s">
        <v>3343</v>
      </c>
      <c r="D283" s="140" t="str">
        <f>IFERROR(VLOOKUP(C283,Stock,3,FALSE),"")</f>
        <v>Toyota NAV1/Noah 07-17</v>
      </c>
      <c r="E283" s="64">
        <v>1.0</v>
      </c>
      <c r="F283" s="141">
        <v>2989000.0</v>
      </c>
      <c r="G283" s="142">
        <f t="shared" si="12"/>
        <v>2989000</v>
      </c>
      <c r="H283" s="142"/>
      <c r="I283" s="143">
        <f t="shared" si="13"/>
        <v>2989000</v>
      </c>
      <c r="J283" s="144">
        <f t="shared" si="14"/>
        <v>2989000</v>
      </c>
      <c r="K283" s="145" t="s">
        <v>3569</v>
      </c>
      <c r="L283" s="146" t="s">
        <v>3570</v>
      </c>
      <c r="M283" s="140"/>
      <c r="N283" s="68"/>
      <c r="O283" s="64" t="s">
        <v>2813</v>
      </c>
      <c r="P283" s="147" t="s">
        <v>2761</v>
      </c>
      <c r="Q283" s="149"/>
      <c r="R283" s="149"/>
      <c r="S283" s="149"/>
      <c r="T283" s="149"/>
      <c r="U283" s="149"/>
      <c r="V283" s="149"/>
      <c r="W283" s="149"/>
      <c r="X283" s="64" t="s">
        <v>2808</v>
      </c>
      <c r="Y283" s="64"/>
      <c r="Z283" s="68"/>
    </row>
    <row r="284" ht="15.0" customHeight="1">
      <c r="A284" s="139">
        <v>45824.0</v>
      </c>
      <c r="B284" s="156" t="s">
        <v>3568</v>
      </c>
      <c r="C284" s="64" t="s">
        <v>2770</v>
      </c>
      <c r="D284" s="140" t="str">
        <f>IFERROR(VLOOKUP(C284,Stock,3,FALSE),"")</f>
        <v>Transport</v>
      </c>
      <c r="E284" s="64">
        <v>1.0</v>
      </c>
      <c r="F284" s="141">
        <v>30000.0</v>
      </c>
      <c r="G284" s="142">
        <f t="shared" si="12"/>
        <v>30000</v>
      </c>
      <c r="H284" s="142"/>
      <c r="I284" s="143">
        <f t="shared" si="13"/>
        <v>30000</v>
      </c>
      <c r="J284" s="144">
        <f t="shared" si="14"/>
        <v>30000</v>
      </c>
      <c r="K284" s="145" t="s">
        <v>3569</v>
      </c>
      <c r="L284" s="146" t="s">
        <v>3570</v>
      </c>
      <c r="M284" s="140"/>
      <c r="N284" s="68"/>
      <c r="O284" s="64" t="s">
        <v>2813</v>
      </c>
      <c r="P284" s="147" t="s">
        <v>2761</v>
      </c>
      <c r="Q284" s="149"/>
      <c r="R284" s="149"/>
      <c r="S284" s="149"/>
      <c r="T284" s="149"/>
      <c r="U284" s="149"/>
      <c r="V284" s="149"/>
      <c r="W284" s="149"/>
      <c r="X284" s="64" t="s">
        <v>2808</v>
      </c>
      <c r="Y284" s="64"/>
      <c r="Z284" s="68"/>
    </row>
    <row r="285" ht="15.0" customHeight="1">
      <c r="A285" s="139">
        <v>45824.0</v>
      </c>
      <c r="B285" s="156" t="s">
        <v>3571</v>
      </c>
      <c r="C285" s="64" t="s">
        <v>3572</v>
      </c>
      <c r="D285" s="140" t="str">
        <f>IFERROR(VLOOKUP(C285,Stock,3,FALSE),"")</f>
        <v>Toyota Innova 15- 2nd Gen</v>
      </c>
      <c r="E285" s="64">
        <v>1.0</v>
      </c>
      <c r="F285" s="141">
        <v>885000.0</v>
      </c>
      <c r="G285" s="142">
        <f t="shared" si="12"/>
        <v>885000</v>
      </c>
      <c r="H285" s="142"/>
      <c r="I285" s="143">
        <f t="shared" si="13"/>
        <v>885000</v>
      </c>
      <c r="J285" s="144">
        <f t="shared" si="14"/>
        <v>885000</v>
      </c>
      <c r="K285" s="151" t="s">
        <v>3573</v>
      </c>
      <c r="L285" s="146" t="s">
        <v>3574</v>
      </c>
      <c r="M285" s="140"/>
      <c r="N285" s="154" t="s">
        <v>3575</v>
      </c>
      <c r="O285" s="64" t="s">
        <v>2813</v>
      </c>
      <c r="P285" s="147" t="s">
        <v>2761</v>
      </c>
      <c r="Q285" s="149"/>
      <c r="R285" s="141"/>
      <c r="S285" s="141"/>
      <c r="T285" s="141">
        <v>885000.0</v>
      </c>
      <c r="U285" s="149"/>
      <c r="V285" s="149"/>
      <c r="W285" s="149"/>
      <c r="X285" s="64" t="s">
        <v>2891</v>
      </c>
      <c r="Y285" s="64"/>
      <c r="Z285" s="68"/>
    </row>
    <row r="286" ht="15.0" customHeight="1">
      <c r="A286" s="139">
        <v>45824.0</v>
      </c>
      <c r="B286" s="156" t="s">
        <v>3576</v>
      </c>
      <c r="C286" s="64" t="s">
        <v>3246</v>
      </c>
      <c r="D286" s="140" t="str">
        <f>IFERROR(VLOOKUP(C286,Stock,3,FALSE),"")</f>
        <v>Toyota Calya / Sigra 16-</v>
      </c>
      <c r="E286" s="64">
        <v>1.0</v>
      </c>
      <c r="F286" s="141">
        <v>1050000.0</v>
      </c>
      <c r="G286" s="142">
        <f t="shared" si="12"/>
        <v>1050000</v>
      </c>
      <c r="H286" s="142"/>
      <c r="I286" s="143">
        <f t="shared" si="13"/>
        <v>1050000</v>
      </c>
      <c r="J286" s="144">
        <f t="shared" si="14"/>
        <v>1050000</v>
      </c>
      <c r="K286" s="145" t="s">
        <v>3284</v>
      </c>
      <c r="L286" s="146" t="s">
        <v>3577</v>
      </c>
      <c r="M286" s="140"/>
      <c r="N286" s="64" t="s">
        <v>3578</v>
      </c>
      <c r="O286" s="64" t="s">
        <v>2813</v>
      </c>
      <c r="P286" s="147" t="s">
        <v>2761</v>
      </c>
      <c r="Q286" s="149"/>
      <c r="R286" s="141"/>
      <c r="S286" s="141"/>
      <c r="T286" s="141">
        <v>1050000.0</v>
      </c>
      <c r="U286" s="149"/>
      <c r="V286" s="149"/>
      <c r="W286" s="149"/>
      <c r="X286" s="64" t="s">
        <v>2808</v>
      </c>
      <c r="Y286" s="64"/>
      <c r="Z286" s="68"/>
    </row>
    <row r="287" ht="15.0" customHeight="1">
      <c r="A287" s="139">
        <v>45824.0</v>
      </c>
      <c r="B287" s="156" t="s">
        <v>3576</v>
      </c>
      <c r="C287" s="64" t="s">
        <v>2770</v>
      </c>
      <c r="D287" s="140" t="str">
        <f>IFERROR(VLOOKUP(C287,Stock,3,FALSE),"")</f>
        <v>Transport</v>
      </c>
      <c r="E287" s="64">
        <v>1.0</v>
      </c>
      <c r="F287" s="141">
        <v>100000.0</v>
      </c>
      <c r="G287" s="142">
        <f t="shared" si="12"/>
        <v>100000</v>
      </c>
      <c r="H287" s="142"/>
      <c r="I287" s="143">
        <f t="shared" si="13"/>
        <v>100000</v>
      </c>
      <c r="J287" s="144">
        <f t="shared" si="14"/>
        <v>100000</v>
      </c>
      <c r="K287" s="145" t="s">
        <v>3284</v>
      </c>
      <c r="L287" s="146" t="s">
        <v>3577</v>
      </c>
      <c r="M287" s="140"/>
      <c r="N287" s="64" t="s">
        <v>3578</v>
      </c>
      <c r="O287" s="64" t="s">
        <v>2813</v>
      </c>
      <c r="P287" s="147" t="s">
        <v>2761</v>
      </c>
      <c r="Q287" s="149"/>
      <c r="R287" s="141"/>
      <c r="S287" s="141"/>
      <c r="T287" s="141">
        <v>100000.0</v>
      </c>
      <c r="U287" s="149"/>
      <c r="V287" s="149"/>
      <c r="W287" s="149"/>
      <c r="X287" s="64" t="s">
        <v>2808</v>
      </c>
      <c r="Y287" s="64"/>
      <c r="Z287" s="68"/>
    </row>
    <row r="288" ht="15.0" customHeight="1">
      <c r="A288" s="139">
        <v>45825.0</v>
      </c>
      <c r="B288" s="156" t="s">
        <v>3579</v>
      </c>
      <c r="C288" s="64" t="s">
        <v>3580</v>
      </c>
      <c r="D288" s="140" t="str">
        <f>IFERROR(VLOOKUP(C288,Stock,3,FALSE),"")</f>
        <v>BMW X5 Series 07-13  E70 (1 Sensor / ꓳ)</v>
      </c>
      <c r="E288" s="64">
        <v>1.0</v>
      </c>
      <c r="F288" s="141">
        <v>4500000.0</v>
      </c>
      <c r="G288" s="142">
        <f t="shared" si="12"/>
        <v>4500000</v>
      </c>
      <c r="H288" s="142"/>
      <c r="I288" s="143">
        <f t="shared" si="13"/>
        <v>4500000</v>
      </c>
      <c r="J288" s="144">
        <f t="shared" si="14"/>
        <v>4500000</v>
      </c>
      <c r="K288" s="145" t="s">
        <v>3581</v>
      </c>
      <c r="L288" s="146" t="s">
        <v>3582</v>
      </c>
      <c r="M288" s="140"/>
      <c r="N288" s="68"/>
      <c r="O288" s="68"/>
      <c r="P288" s="170"/>
      <c r="Q288" s="149"/>
      <c r="R288" s="149"/>
      <c r="S288" s="149"/>
      <c r="T288" s="149"/>
      <c r="U288" s="149"/>
      <c r="V288" s="149"/>
      <c r="W288" s="149"/>
      <c r="X288" s="64" t="s">
        <v>2936</v>
      </c>
      <c r="Y288" s="64"/>
      <c r="Z288" s="68"/>
    </row>
    <row r="289" ht="15.0" customHeight="1">
      <c r="A289" s="139">
        <v>45825.0</v>
      </c>
      <c r="B289" s="156" t="s">
        <v>3583</v>
      </c>
      <c r="C289" s="64" t="s">
        <v>3584</v>
      </c>
      <c r="D289" s="140" t="str">
        <f>IFERROR(VLOOKUP(C289,Stock,3,FALSE),"")</f>
        <v>Hino Ranger Louhan 03- / Hino 500</v>
      </c>
      <c r="E289" s="64">
        <v>2.0</v>
      </c>
      <c r="F289" s="141">
        <v>1700000.0</v>
      </c>
      <c r="G289" s="142">
        <f t="shared" si="12"/>
        <v>3400000</v>
      </c>
      <c r="H289" s="142"/>
      <c r="I289" s="143">
        <f t="shared" si="13"/>
        <v>3400000</v>
      </c>
      <c r="J289" s="144">
        <f t="shared" si="14"/>
        <v>3400000</v>
      </c>
      <c r="K289" s="145" t="s">
        <v>3585</v>
      </c>
      <c r="L289" s="146" t="s">
        <v>3586</v>
      </c>
      <c r="M289" s="140"/>
      <c r="N289" s="68"/>
      <c r="O289" s="64" t="s">
        <v>2813</v>
      </c>
      <c r="P289" s="170"/>
      <c r="Q289" s="149"/>
      <c r="R289" s="149"/>
      <c r="S289" s="149"/>
      <c r="T289" s="149">
        <f>SUM(J289:J290)</f>
        <v>3600000</v>
      </c>
      <c r="U289" s="149"/>
      <c r="V289" s="149"/>
      <c r="W289" s="149"/>
      <c r="X289" s="68"/>
      <c r="Y289" s="68"/>
      <c r="Z289" s="68"/>
    </row>
    <row r="290" ht="15.0" customHeight="1">
      <c r="A290" s="139">
        <v>45825.0</v>
      </c>
      <c r="B290" s="156" t="s">
        <v>3583</v>
      </c>
      <c r="C290" s="64" t="s">
        <v>2770</v>
      </c>
      <c r="D290" s="140" t="str">
        <f>IFERROR(VLOOKUP(C290,Stock,3,FALSE),"")</f>
        <v>Transport</v>
      </c>
      <c r="E290" s="64">
        <v>1.0</v>
      </c>
      <c r="F290" s="141">
        <v>200000.0</v>
      </c>
      <c r="G290" s="142">
        <f t="shared" si="12"/>
        <v>200000</v>
      </c>
      <c r="H290" s="142"/>
      <c r="I290" s="143">
        <f t="shared" si="13"/>
        <v>200000</v>
      </c>
      <c r="J290" s="144">
        <f t="shared" si="14"/>
        <v>200000</v>
      </c>
      <c r="K290" s="155"/>
      <c r="L290" s="140"/>
      <c r="M290" s="140"/>
      <c r="N290" s="68"/>
      <c r="O290" s="68"/>
      <c r="P290" s="170"/>
      <c r="Q290" s="149"/>
      <c r="R290" s="149"/>
      <c r="S290" s="149"/>
      <c r="T290" s="149"/>
      <c r="U290" s="149"/>
      <c r="V290" s="149"/>
      <c r="W290" s="149"/>
      <c r="X290" s="68"/>
      <c r="Y290" s="68"/>
      <c r="Z290" s="68"/>
    </row>
    <row r="291" ht="15.0" customHeight="1">
      <c r="A291" s="139">
        <v>45826.0</v>
      </c>
      <c r="B291" s="156" t="s">
        <v>3587</v>
      </c>
      <c r="C291" s="64" t="s">
        <v>3588</v>
      </c>
      <c r="D291" s="140" t="str">
        <f>IFERROR(VLOOKUP(C291,Stock,3,FALSE),"")</f>
        <v>Toyota Fortuner 15- 2nd Gen</v>
      </c>
      <c r="E291" s="64">
        <v>1.0</v>
      </c>
      <c r="F291" s="141">
        <v>785000.0</v>
      </c>
      <c r="G291" s="142">
        <f t="shared" si="12"/>
        <v>785000</v>
      </c>
      <c r="H291" s="142"/>
      <c r="I291" s="143">
        <f t="shared" si="13"/>
        <v>785000</v>
      </c>
      <c r="J291" s="144">
        <f t="shared" si="14"/>
        <v>785000</v>
      </c>
      <c r="K291" s="145" t="s">
        <v>3589</v>
      </c>
      <c r="L291" s="146" t="s">
        <v>3590</v>
      </c>
      <c r="M291" s="140"/>
      <c r="N291" s="68"/>
      <c r="O291" s="64" t="s">
        <v>2813</v>
      </c>
      <c r="P291" s="147" t="s">
        <v>2761</v>
      </c>
      <c r="Q291" s="149"/>
      <c r="R291" s="141"/>
      <c r="S291" s="141"/>
      <c r="T291" s="141">
        <v>785000.0</v>
      </c>
      <c r="U291" s="149"/>
      <c r="V291" s="149"/>
      <c r="W291" s="149"/>
      <c r="X291" s="64" t="s">
        <v>2808</v>
      </c>
      <c r="Y291" s="64"/>
      <c r="Z291" s="68"/>
    </row>
    <row r="292" ht="15.0" customHeight="1">
      <c r="A292" s="139">
        <v>45826.0</v>
      </c>
      <c r="B292" s="156" t="s">
        <v>3591</v>
      </c>
      <c r="C292" s="64" t="s">
        <v>2881</v>
      </c>
      <c r="D292" s="140" t="str">
        <f>IFERROR(VLOOKUP(C292,Stock,3,FALSE),"")</f>
        <v>Mitsubishi Outlander 10-21 GA3</v>
      </c>
      <c r="E292" s="64">
        <v>1.0</v>
      </c>
      <c r="F292" s="141">
        <v>2138000.0</v>
      </c>
      <c r="G292" s="142">
        <f t="shared" si="12"/>
        <v>2138000</v>
      </c>
      <c r="H292" s="143">
        <v>100000.0</v>
      </c>
      <c r="I292" s="143">
        <f t="shared" si="13"/>
        <v>2038000</v>
      </c>
      <c r="J292" s="144">
        <f t="shared" si="14"/>
        <v>2038000</v>
      </c>
      <c r="K292" s="151" t="s">
        <v>3592</v>
      </c>
      <c r="L292" s="146" t="s">
        <v>3593</v>
      </c>
      <c r="M292" s="140"/>
      <c r="N292" s="68"/>
      <c r="O292" s="64" t="s">
        <v>2813</v>
      </c>
      <c r="P292" s="147" t="s">
        <v>2761</v>
      </c>
      <c r="Q292" s="149"/>
      <c r="R292" s="141"/>
      <c r="S292" s="141"/>
      <c r="T292" s="141">
        <v>2038000.0</v>
      </c>
      <c r="U292" s="149"/>
      <c r="V292" s="149"/>
      <c r="W292" s="149"/>
      <c r="X292" s="64" t="s">
        <v>2891</v>
      </c>
      <c r="Y292" s="64"/>
      <c r="Z292" s="68"/>
    </row>
    <row r="293" ht="15.0" customHeight="1">
      <c r="A293" s="139">
        <v>45828.0</v>
      </c>
      <c r="B293" s="156" t="s">
        <v>3594</v>
      </c>
      <c r="C293" s="64" t="s">
        <v>3595</v>
      </c>
      <c r="D293" s="140" t="str">
        <f>IFERROR(VLOOKUP(C293,Stock,3,FALSE),"")</f>
        <v>Nissan X-Trail 07-13 T31</v>
      </c>
      <c r="E293" s="64">
        <v>1.0</v>
      </c>
      <c r="F293" s="141">
        <v>1700000.0</v>
      </c>
      <c r="G293" s="142">
        <f t="shared" si="12"/>
        <v>1700000</v>
      </c>
      <c r="H293" s="142"/>
      <c r="I293" s="143">
        <f t="shared" si="13"/>
        <v>1700000</v>
      </c>
      <c r="J293" s="144">
        <f t="shared" si="14"/>
        <v>1700000</v>
      </c>
      <c r="K293" s="145" t="s">
        <v>3596</v>
      </c>
      <c r="L293" s="146" t="s">
        <v>3597</v>
      </c>
      <c r="M293" s="140"/>
      <c r="N293" s="64" t="s">
        <v>3598</v>
      </c>
      <c r="O293" s="64" t="s">
        <v>2813</v>
      </c>
      <c r="P293" s="170"/>
      <c r="Q293" s="149"/>
      <c r="R293" s="149"/>
      <c r="S293" s="149"/>
      <c r="T293" s="149"/>
      <c r="U293" s="149"/>
      <c r="V293" s="149"/>
      <c r="W293" s="149"/>
      <c r="X293" s="68"/>
      <c r="Y293" s="68"/>
      <c r="Z293" s="68"/>
    </row>
    <row r="294" ht="15.0" customHeight="1">
      <c r="A294" s="139">
        <v>45829.0</v>
      </c>
      <c r="B294" s="156" t="s">
        <v>3599</v>
      </c>
      <c r="C294" s="64" t="s">
        <v>2778</v>
      </c>
      <c r="D294" s="140" t="str">
        <f>IFERROR(VLOOKUP(C294,Stock,3,FALSE),"")</f>
        <v>Bongkar Pasang Kaca Mobil Depan</v>
      </c>
      <c r="E294" s="64">
        <v>1.0</v>
      </c>
      <c r="F294" s="141">
        <v>500000.0</v>
      </c>
      <c r="G294" s="142">
        <f t="shared" si="12"/>
        <v>500000</v>
      </c>
      <c r="H294" s="142"/>
      <c r="I294" s="143">
        <f t="shared" si="13"/>
        <v>500000</v>
      </c>
      <c r="J294" s="144">
        <f t="shared" si="14"/>
        <v>500000</v>
      </c>
      <c r="K294" s="145" t="s">
        <v>3600</v>
      </c>
      <c r="L294" s="146" t="s">
        <v>3601</v>
      </c>
      <c r="M294" s="140"/>
      <c r="N294" s="154" t="s">
        <v>3602</v>
      </c>
      <c r="O294" s="64" t="s">
        <v>2813</v>
      </c>
      <c r="P294" s="147" t="s">
        <v>3603</v>
      </c>
      <c r="Q294" s="141">
        <v>500000.0</v>
      </c>
      <c r="R294" s="149"/>
      <c r="S294" s="149"/>
      <c r="T294" s="149"/>
      <c r="U294" s="149"/>
      <c r="V294" s="149"/>
      <c r="W294" s="149"/>
      <c r="X294" s="64" t="s">
        <v>2891</v>
      </c>
      <c r="Y294" s="64"/>
      <c r="Z294" s="68"/>
    </row>
    <row r="295" ht="15.0" customHeight="1">
      <c r="A295" s="139">
        <v>45829.0</v>
      </c>
      <c r="B295" s="156" t="s">
        <v>3604</v>
      </c>
      <c r="C295" s="64" t="s">
        <v>3605</v>
      </c>
      <c r="D295" s="140" t="str">
        <f>IFERROR(VLOOKUP(C295,Stock,3,FALSE),"")</f>
        <v>Isuzu Elf  93- NKR NHR </v>
      </c>
      <c r="E295" s="64">
        <v>1.0</v>
      </c>
      <c r="F295" s="141">
        <v>648000.0</v>
      </c>
      <c r="G295" s="142">
        <f t="shared" si="12"/>
        <v>648000</v>
      </c>
      <c r="H295" s="142"/>
      <c r="I295" s="143">
        <f t="shared" si="13"/>
        <v>648000</v>
      </c>
      <c r="J295" s="144">
        <f t="shared" si="14"/>
        <v>648000</v>
      </c>
      <c r="K295" s="151" t="s">
        <v>3606</v>
      </c>
      <c r="L295" s="146" t="s">
        <v>3607</v>
      </c>
      <c r="M295" s="140"/>
      <c r="N295" s="154" t="s">
        <v>3608</v>
      </c>
      <c r="O295" s="64" t="s">
        <v>2813</v>
      </c>
      <c r="P295" s="147" t="s">
        <v>2761</v>
      </c>
      <c r="Q295" s="149"/>
      <c r="R295" s="141"/>
      <c r="S295" s="141"/>
      <c r="T295" s="141">
        <v>648000.0</v>
      </c>
      <c r="U295" s="149"/>
      <c r="V295" s="149"/>
      <c r="W295" s="149"/>
      <c r="X295" s="64" t="s">
        <v>2891</v>
      </c>
      <c r="Y295" s="64"/>
      <c r="Z295" s="68"/>
    </row>
    <row r="296" ht="15.0" customHeight="1">
      <c r="A296" s="139">
        <v>45829.0</v>
      </c>
      <c r="B296" s="156" t="s">
        <v>3609</v>
      </c>
      <c r="C296" s="64" t="s">
        <v>3610</v>
      </c>
      <c r="D296" s="140" t="str">
        <f>IFERROR(VLOOKUP(C296,Stock,3,FALSE),"")</f>
        <v>Mers-Benz Axor 98- Truck / Fuso FJ25</v>
      </c>
      <c r="E296" s="64">
        <v>1.0</v>
      </c>
      <c r="F296" s="141">
        <v>2328000.0</v>
      </c>
      <c r="G296" s="142">
        <f t="shared" si="12"/>
        <v>2328000</v>
      </c>
      <c r="H296" s="142"/>
      <c r="I296" s="143">
        <f t="shared" si="13"/>
        <v>2328000</v>
      </c>
      <c r="J296" s="144">
        <f t="shared" si="14"/>
        <v>2328000</v>
      </c>
      <c r="K296" s="151" t="s">
        <v>3611</v>
      </c>
      <c r="L296" s="146" t="s">
        <v>3612</v>
      </c>
      <c r="M296" s="140"/>
      <c r="N296" s="68"/>
      <c r="O296" s="64" t="s">
        <v>2813</v>
      </c>
      <c r="P296" s="147" t="s">
        <v>2761</v>
      </c>
      <c r="Q296" s="149"/>
      <c r="R296" s="141"/>
      <c r="S296" s="141"/>
      <c r="T296" s="141">
        <v>200000.0</v>
      </c>
      <c r="U296" s="149"/>
      <c r="V296" s="149"/>
      <c r="W296" s="149"/>
      <c r="X296" s="64" t="s">
        <v>2891</v>
      </c>
      <c r="Y296" s="64"/>
      <c r="Z296" s="68"/>
    </row>
    <row r="297" ht="15.0" customHeight="1">
      <c r="A297" s="139">
        <v>45829.0</v>
      </c>
      <c r="B297" s="156" t="s">
        <v>3613</v>
      </c>
      <c r="C297" s="64" t="s">
        <v>2778</v>
      </c>
      <c r="D297" s="140" t="str">
        <f>IFERROR(VLOOKUP(C297,Stock,3,FALSE),"")</f>
        <v>Bongkar Pasang Kaca Mobil Depan</v>
      </c>
      <c r="E297" s="64">
        <v>1.0</v>
      </c>
      <c r="F297" s="141">
        <v>500000.0</v>
      </c>
      <c r="G297" s="142">
        <f t="shared" si="12"/>
        <v>500000</v>
      </c>
      <c r="H297" s="142"/>
      <c r="I297" s="143">
        <f t="shared" si="13"/>
        <v>500000</v>
      </c>
      <c r="J297" s="144">
        <f t="shared" si="14"/>
        <v>500000</v>
      </c>
      <c r="K297" s="145" t="s">
        <v>3614</v>
      </c>
      <c r="L297" s="146" t="s">
        <v>3615</v>
      </c>
      <c r="M297" s="140"/>
      <c r="N297" s="68"/>
      <c r="O297" s="64" t="s">
        <v>2813</v>
      </c>
      <c r="P297" s="147" t="s">
        <v>2761</v>
      </c>
      <c r="Q297" s="149"/>
      <c r="R297" s="141"/>
      <c r="S297" s="141"/>
      <c r="T297" s="141">
        <v>100000.0</v>
      </c>
      <c r="U297" s="149"/>
      <c r="V297" s="149"/>
      <c r="W297" s="149"/>
      <c r="X297" s="64" t="s">
        <v>2891</v>
      </c>
      <c r="Y297" s="64"/>
      <c r="Z297" s="68"/>
    </row>
    <row r="298" ht="15.0" customHeight="1">
      <c r="A298" s="139">
        <v>45829.0</v>
      </c>
      <c r="B298" s="156" t="s">
        <v>3613</v>
      </c>
      <c r="C298" s="64" t="s">
        <v>2770</v>
      </c>
      <c r="D298" s="140" t="str">
        <f>IFERROR(VLOOKUP(C298,Stock,3,FALSE),"")</f>
        <v>Transport</v>
      </c>
      <c r="E298" s="64">
        <v>1.0</v>
      </c>
      <c r="F298" s="141">
        <v>80000.0</v>
      </c>
      <c r="G298" s="142">
        <f t="shared" si="12"/>
        <v>80000</v>
      </c>
      <c r="H298" s="142"/>
      <c r="I298" s="143">
        <f t="shared" si="13"/>
        <v>80000</v>
      </c>
      <c r="J298" s="144">
        <f t="shared" si="14"/>
        <v>80000</v>
      </c>
      <c r="K298" s="145" t="s">
        <v>3614</v>
      </c>
      <c r="L298" s="146" t="s">
        <v>3615</v>
      </c>
      <c r="M298" s="140"/>
      <c r="N298" s="68"/>
      <c r="O298" s="64" t="s">
        <v>2813</v>
      </c>
      <c r="P298" s="147" t="s">
        <v>2761</v>
      </c>
      <c r="Q298" s="149"/>
      <c r="R298" s="141"/>
      <c r="S298" s="141"/>
      <c r="T298" s="141">
        <v>580000.0</v>
      </c>
      <c r="U298" s="149"/>
      <c r="V298" s="149"/>
      <c r="W298" s="149"/>
      <c r="X298" s="64" t="s">
        <v>2891</v>
      </c>
      <c r="Y298" s="64"/>
      <c r="Z298" s="68"/>
    </row>
    <row r="299" ht="15.0" customHeight="1">
      <c r="A299" s="139">
        <v>45829.0</v>
      </c>
      <c r="B299" s="148" t="s">
        <v>3616</v>
      </c>
      <c r="C299" s="64" t="s">
        <v>3246</v>
      </c>
      <c r="D299" s="140" t="str">
        <f>IFERROR(VLOOKUP(C299,Stock,3,FALSE),"")</f>
        <v>Toyota Calya / Sigra 16-</v>
      </c>
      <c r="E299" s="64">
        <v>1.0</v>
      </c>
      <c r="F299" s="141">
        <v>1150000.0</v>
      </c>
      <c r="G299" s="142">
        <f t="shared" si="12"/>
        <v>1150000</v>
      </c>
      <c r="H299" s="143">
        <v>100000.0</v>
      </c>
      <c r="I299" s="143">
        <f t="shared" si="13"/>
        <v>1050000</v>
      </c>
      <c r="J299" s="144">
        <f t="shared" si="14"/>
        <v>1050000</v>
      </c>
      <c r="K299" s="151" t="s">
        <v>3617</v>
      </c>
      <c r="L299" s="146" t="s">
        <v>3618</v>
      </c>
      <c r="M299" s="140"/>
      <c r="N299" s="154" t="s">
        <v>3619</v>
      </c>
      <c r="O299" s="64" t="s">
        <v>2813</v>
      </c>
      <c r="P299" s="147" t="s">
        <v>2761</v>
      </c>
      <c r="Q299" s="149"/>
      <c r="R299" s="141"/>
      <c r="S299" s="141"/>
      <c r="T299" s="141">
        <v>1050000.0</v>
      </c>
      <c r="U299" s="149"/>
      <c r="V299" s="149"/>
      <c r="W299" s="149"/>
      <c r="X299" s="64" t="s">
        <v>2891</v>
      </c>
      <c r="Y299" s="64"/>
      <c r="Z299" s="68"/>
    </row>
    <row r="300" ht="15.0" customHeight="1">
      <c r="A300" s="139">
        <v>45830.0</v>
      </c>
      <c r="B300" s="148" t="s">
        <v>3620</v>
      </c>
      <c r="C300" s="64" t="s">
        <v>3621</v>
      </c>
      <c r="D300" s="140" t="str">
        <f>IFERROR(VLOOKUP(C300,Stock,3,FALSE),"")</f>
        <v>Mitsubishi Pajero 08-16</v>
      </c>
      <c r="E300" s="64">
        <v>1.0</v>
      </c>
      <c r="F300" s="141">
        <v>1720000.0</v>
      </c>
      <c r="G300" s="142">
        <f t="shared" si="12"/>
        <v>1720000</v>
      </c>
      <c r="H300" s="143">
        <v>20000.0</v>
      </c>
      <c r="I300" s="143">
        <f t="shared" si="13"/>
        <v>1700000</v>
      </c>
      <c r="J300" s="144">
        <f t="shared" si="14"/>
        <v>1700000</v>
      </c>
      <c r="K300" s="145" t="s">
        <v>3622</v>
      </c>
      <c r="L300" s="146" t="s">
        <v>3623</v>
      </c>
      <c r="M300" s="140"/>
      <c r="N300" s="64" t="s">
        <v>3624</v>
      </c>
      <c r="O300" s="64" t="s">
        <v>2813</v>
      </c>
      <c r="P300" s="147" t="s">
        <v>2761</v>
      </c>
      <c r="Q300" s="149"/>
      <c r="R300" s="141"/>
      <c r="S300" s="141"/>
      <c r="T300" s="141">
        <v>1700000.0</v>
      </c>
      <c r="U300" s="149"/>
      <c r="V300" s="149"/>
      <c r="W300" s="149"/>
      <c r="X300" s="64" t="s">
        <v>2891</v>
      </c>
      <c r="Y300" s="64"/>
      <c r="Z300" s="68"/>
    </row>
    <row r="301" ht="15.0" customHeight="1">
      <c r="A301" s="139">
        <v>45830.0</v>
      </c>
      <c r="B301" s="148" t="s">
        <v>3620</v>
      </c>
      <c r="C301" s="64" t="s">
        <v>2962</v>
      </c>
      <c r="D301" s="140" t="str">
        <f>IFERROR(VLOOKUP(C301,Stock,3,FALSE),"")</f>
        <v>Lembur</v>
      </c>
      <c r="E301" s="64">
        <v>1.0</v>
      </c>
      <c r="F301" s="141">
        <v>75000.0</v>
      </c>
      <c r="G301" s="142">
        <f t="shared" si="12"/>
        <v>75000</v>
      </c>
      <c r="H301" s="142"/>
      <c r="I301" s="143">
        <f t="shared" si="13"/>
        <v>75000</v>
      </c>
      <c r="J301" s="144">
        <f t="shared" si="14"/>
        <v>75000</v>
      </c>
      <c r="K301" s="145" t="s">
        <v>3622</v>
      </c>
      <c r="L301" s="146" t="s">
        <v>3623</v>
      </c>
      <c r="M301" s="140"/>
      <c r="N301" s="64" t="s">
        <v>3624</v>
      </c>
      <c r="O301" s="64" t="s">
        <v>2813</v>
      </c>
      <c r="P301" s="147" t="s">
        <v>2761</v>
      </c>
      <c r="Q301" s="149"/>
      <c r="R301" s="141"/>
      <c r="S301" s="141"/>
      <c r="T301" s="141">
        <v>75000.0</v>
      </c>
      <c r="U301" s="149"/>
      <c r="V301" s="149"/>
      <c r="W301" s="149"/>
      <c r="X301" s="64" t="s">
        <v>2891</v>
      </c>
      <c r="Y301" s="64"/>
      <c r="Z301" s="68"/>
    </row>
    <row r="302" ht="15.0" customHeight="1">
      <c r="A302" s="139">
        <v>45831.0</v>
      </c>
      <c r="B302" s="148" t="s">
        <v>3625</v>
      </c>
      <c r="C302" s="64" t="s">
        <v>3626</v>
      </c>
      <c r="D302" s="140" t="str">
        <f>IFERROR(VLOOKUP(C302,Stock,3,FALSE),"")</f>
        <v>BMW 3 Series 05-12 E90</v>
      </c>
      <c r="E302" s="64">
        <v>1.0</v>
      </c>
      <c r="F302" s="141">
        <v>2926000.0</v>
      </c>
      <c r="G302" s="142">
        <f t="shared" si="12"/>
        <v>2926000</v>
      </c>
      <c r="H302" s="68"/>
      <c r="I302" s="143">
        <f t="shared" si="13"/>
        <v>2926000</v>
      </c>
      <c r="J302" s="144">
        <f t="shared" si="14"/>
        <v>2926000</v>
      </c>
      <c r="K302" s="145" t="s">
        <v>3627</v>
      </c>
      <c r="L302" s="146" t="s">
        <v>3628</v>
      </c>
      <c r="M302" s="140"/>
      <c r="N302" s="68"/>
      <c r="O302" s="64" t="s">
        <v>3394</v>
      </c>
      <c r="P302" s="147" t="s">
        <v>2761</v>
      </c>
      <c r="Q302" s="141">
        <v>2926000.0</v>
      </c>
      <c r="R302" s="149"/>
      <c r="S302" s="149"/>
      <c r="T302" s="149"/>
      <c r="U302" s="149"/>
      <c r="V302" s="149"/>
      <c r="W302" s="149"/>
      <c r="X302" s="68"/>
      <c r="Y302" s="68"/>
      <c r="Z302" s="68"/>
    </row>
    <row r="303" ht="15.0" customHeight="1">
      <c r="A303" s="139">
        <v>45831.0</v>
      </c>
      <c r="B303" s="148" t="s">
        <v>3629</v>
      </c>
      <c r="C303" s="64" t="s">
        <v>2869</v>
      </c>
      <c r="D303" s="140" t="str">
        <f>IFERROR(VLOOKUP(C303,Stock,3,FALSE),"")</f>
        <v>Daihatsu Gran Max / Luxio 07-</v>
      </c>
      <c r="E303" s="64">
        <v>1.0</v>
      </c>
      <c r="F303" s="141">
        <v>1050000.0</v>
      </c>
      <c r="G303" s="142">
        <f t="shared" si="12"/>
        <v>1050000</v>
      </c>
      <c r="H303" s="142"/>
      <c r="I303" s="143">
        <f t="shared" si="13"/>
        <v>1050000</v>
      </c>
      <c r="J303" s="144">
        <f t="shared" si="14"/>
        <v>1050000</v>
      </c>
      <c r="K303" s="151" t="s">
        <v>3630</v>
      </c>
      <c r="L303" s="146" t="s">
        <v>3631</v>
      </c>
      <c r="M303" s="140"/>
      <c r="N303" s="154" t="s">
        <v>3632</v>
      </c>
      <c r="O303" s="64" t="s">
        <v>2813</v>
      </c>
      <c r="P303" s="147" t="s">
        <v>2761</v>
      </c>
      <c r="Q303" s="149"/>
      <c r="R303" s="141"/>
      <c r="S303" s="141"/>
      <c r="T303" s="141">
        <v>1050000.0</v>
      </c>
      <c r="U303" s="149"/>
      <c r="V303" s="149"/>
      <c r="W303" s="149"/>
      <c r="X303" s="68"/>
      <c r="Y303" s="68"/>
      <c r="Z303" s="68"/>
    </row>
    <row r="304" ht="15.0" customHeight="1">
      <c r="A304" s="139">
        <v>45832.0</v>
      </c>
      <c r="B304" s="148" t="s">
        <v>3633</v>
      </c>
      <c r="C304" s="64" t="s">
        <v>3634</v>
      </c>
      <c r="D304" s="140" t="str">
        <f>IFERROR(VLOOKUP(C304,Stock,3,FALSE),"")</f>
        <v>Toyota Agya/Ayla 13-22 1st Gen (Toyota/Daihatsu)</v>
      </c>
      <c r="E304" s="64">
        <v>1.0</v>
      </c>
      <c r="F304" s="141">
        <v>850000.0</v>
      </c>
      <c r="G304" s="142">
        <f t="shared" si="12"/>
        <v>850000</v>
      </c>
      <c r="H304" s="142"/>
      <c r="I304" s="143">
        <f t="shared" si="13"/>
        <v>850000</v>
      </c>
      <c r="J304" s="144">
        <f t="shared" si="14"/>
        <v>850000</v>
      </c>
      <c r="K304" s="145" t="s">
        <v>3635</v>
      </c>
      <c r="L304" s="64" t="s">
        <v>3636</v>
      </c>
      <c r="M304" s="140"/>
      <c r="N304" s="64"/>
      <c r="O304" s="64" t="s">
        <v>2813</v>
      </c>
      <c r="P304" s="147" t="s">
        <v>2761</v>
      </c>
      <c r="Q304" s="149"/>
      <c r="R304" s="141"/>
      <c r="S304" s="141"/>
      <c r="T304" s="141">
        <v>850000.0</v>
      </c>
      <c r="U304" s="149"/>
      <c r="V304" s="149"/>
      <c r="W304" s="149"/>
      <c r="X304" s="64" t="s">
        <v>2808</v>
      </c>
      <c r="Y304" s="64"/>
      <c r="Z304" s="68"/>
    </row>
    <row r="305" ht="15.0" customHeight="1">
      <c r="A305" s="139">
        <v>45832.0</v>
      </c>
      <c r="B305" s="148" t="s">
        <v>3633</v>
      </c>
      <c r="C305" s="64" t="s">
        <v>2770</v>
      </c>
      <c r="D305" s="140" t="str">
        <f>IFERROR(VLOOKUP(C305,Stock,3,FALSE),"")</f>
        <v>Transport</v>
      </c>
      <c r="E305" s="64">
        <v>1.0</v>
      </c>
      <c r="F305" s="141">
        <v>80000.0</v>
      </c>
      <c r="G305" s="142">
        <f t="shared" si="12"/>
        <v>80000</v>
      </c>
      <c r="H305" s="142"/>
      <c r="I305" s="143">
        <f t="shared" si="13"/>
        <v>80000</v>
      </c>
      <c r="J305" s="144">
        <f t="shared" si="14"/>
        <v>80000</v>
      </c>
      <c r="K305" s="145" t="s">
        <v>3635</v>
      </c>
      <c r="L305" s="64" t="s">
        <v>3636</v>
      </c>
      <c r="M305" s="140"/>
      <c r="N305" s="64"/>
      <c r="O305" s="64" t="s">
        <v>2813</v>
      </c>
      <c r="P305" s="147" t="s">
        <v>2761</v>
      </c>
      <c r="Q305" s="149"/>
      <c r="R305" s="141"/>
      <c r="S305" s="141"/>
      <c r="T305" s="141">
        <v>80000.0</v>
      </c>
      <c r="U305" s="149"/>
      <c r="V305" s="149"/>
      <c r="W305" s="149"/>
      <c r="X305" s="64" t="s">
        <v>2808</v>
      </c>
      <c r="Y305" s="64"/>
      <c r="Z305" s="68"/>
    </row>
    <row r="306" ht="15.0" customHeight="1">
      <c r="A306" s="139">
        <v>45832.0</v>
      </c>
      <c r="B306" s="148" t="s">
        <v>3637</v>
      </c>
      <c r="C306" s="64" t="s">
        <v>3638</v>
      </c>
      <c r="D306" s="140" t="str">
        <f>IFERROR(VLOOKUP(C306,Stock,3,FALSE),"")</f>
        <v>Mazda CX-5 12-17 1st Gen KE Pre - (1 Sensor/ □ )</v>
      </c>
      <c r="E306" s="64">
        <v>1.0</v>
      </c>
      <c r="F306" s="141">
        <v>3135000.0</v>
      </c>
      <c r="G306" s="142">
        <f t="shared" si="12"/>
        <v>3135000</v>
      </c>
      <c r="H306" s="142"/>
      <c r="I306" s="143">
        <f t="shared" si="13"/>
        <v>3135000</v>
      </c>
      <c r="J306" s="144">
        <f>I306+I307</f>
        <v>3235000</v>
      </c>
      <c r="K306" s="145" t="s">
        <v>3639</v>
      </c>
      <c r="L306" s="146" t="s">
        <v>3640</v>
      </c>
      <c r="M306" s="140"/>
      <c r="N306" s="64" t="s">
        <v>3641</v>
      </c>
      <c r="O306" s="68"/>
      <c r="P306" s="170"/>
      <c r="Q306" s="149"/>
      <c r="R306" s="149"/>
      <c r="S306" s="149"/>
      <c r="T306" s="149">
        <f>J306</f>
        <v>3235000</v>
      </c>
      <c r="U306" s="149"/>
      <c r="V306" s="149"/>
      <c r="W306" s="149"/>
      <c r="X306" s="64" t="s">
        <v>2936</v>
      </c>
      <c r="Y306" s="64"/>
      <c r="Z306" s="68"/>
    </row>
    <row r="307" ht="15.0" customHeight="1">
      <c r="A307" s="139">
        <v>45832.0</v>
      </c>
      <c r="B307" s="148" t="s">
        <v>3637</v>
      </c>
      <c r="C307" s="64" t="s">
        <v>2770</v>
      </c>
      <c r="D307" s="140" t="str">
        <f>IFERROR(VLOOKUP(C307,Stock,3,FALSE),"")</f>
        <v>Transport</v>
      </c>
      <c r="E307" s="64">
        <v>1.0</v>
      </c>
      <c r="F307" s="141">
        <v>100000.0</v>
      </c>
      <c r="G307" s="142">
        <f t="shared" si="12"/>
        <v>100000</v>
      </c>
      <c r="H307" s="142"/>
      <c r="I307" s="143">
        <f t="shared" si="13"/>
        <v>100000</v>
      </c>
      <c r="J307" s="144"/>
      <c r="K307" s="145" t="s">
        <v>3639</v>
      </c>
      <c r="L307" s="146" t="s">
        <v>3640</v>
      </c>
      <c r="M307" s="140"/>
      <c r="N307" s="64" t="s">
        <v>3641</v>
      </c>
      <c r="O307" s="68"/>
      <c r="P307" s="170"/>
      <c r="Q307" s="149"/>
      <c r="R307" s="149"/>
      <c r="S307" s="149"/>
      <c r="T307" s="149"/>
      <c r="U307" s="149"/>
      <c r="V307" s="149"/>
      <c r="W307" s="149"/>
      <c r="X307" s="64" t="s">
        <v>2936</v>
      </c>
      <c r="Y307" s="64"/>
      <c r="Z307" s="68"/>
    </row>
    <row r="308" ht="15.0" customHeight="1">
      <c r="A308" s="139">
        <v>45834.0</v>
      </c>
      <c r="B308" s="148" t="s">
        <v>3642</v>
      </c>
      <c r="C308" s="64" t="s">
        <v>3643</v>
      </c>
      <c r="D308" s="140" t="str">
        <f>IFERROR(VLOOKUP(C308,Stock,3,FALSE),"")</f>
        <v>Honda Jazz 01-07 1st Gen</v>
      </c>
      <c r="E308" s="64">
        <v>1.0</v>
      </c>
      <c r="F308" s="141">
        <v>1248000.0</v>
      </c>
      <c r="G308" s="142">
        <f t="shared" si="12"/>
        <v>1248000</v>
      </c>
      <c r="H308" s="142"/>
      <c r="I308" s="143">
        <f t="shared" si="13"/>
        <v>1248000</v>
      </c>
      <c r="J308" s="144">
        <f t="shared" ref="J308:J314" si="15">I308</f>
        <v>1248000</v>
      </c>
      <c r="K308" s="145" t="s">
        <v>3644</v>
      </c>
      <c r="L308" s="146" t="s">
        <v>3645</v>
      </c>
      <c r="M308" s="140"/>
      <c r="N308" s="68"/>
      <c r="O308" s="68"/>
      <c r="P308" s="147" t="s">
        <v>2752</v>
      </c>
      <c r="Q308" s="149"/>
      <c r="R308" s="149"/>
      <c r="S308" s="149"/>
      <c r="T308" s="149"/>
      <c r="U308" s="149">
        <f>J308</f>
        <v>1248000</v>
      </c>
      <c r="V308" s="149"/>
      <c r="W308" s="149"/>
      <c r="X308" s="64" t="s">
        <v>2936</v>
      </c>
      <c r="Y308" s="64"/>
      <c r="Z308" s="68"/>
    </row>
    <row r="309" ht="15.0" customHeight="1">
      <c r="A309" s="139">
        <v>45834.0</v>
      </c>
      <c r="B309" s="148" t="s">
        <v>3642</v>
      </c>
      <c r="C309" s="64" t="s">
        <v>2778</v>
      </c>
      <c r="D309" s="140" t="str">
        <f>IFERROR(VLOOKUP(C309,Stock,3,FALSE),"")</f>
        <v>Bongkar Pasang Kaca Mobil Depan</v>
      </c>
      <c r="E309" s="64">
        <v>1.0</v>
      </c>
      <c r="F309" s="141">
        <v>200000.0</v>
      </c>
      <c r="G309" s="142">
        <f t="shared" si="12"/>
        <v>200000</v>
      </c>
      <c r="H309" s="142"/>
      <c r="I309" s="143">
        <f t="shared" si="13"/>
        <v>200000</v>
      </c>
      <c r="J309" s="144">
        <f t="shared" si="15"/>
        <v>200000</v>
      </c>
      <c r="K309" s="145" t="s">
        <v>3644</v>
      </c>
      <c r="L309" s="146" t="s">
        <v>3645</v>
      </c>
      <c r="M309" s="140"/>
      <c r="N309" s="68"/>
      <c r="O309" s="68"/>
      <c r="P309" s="147" t="s">
        <v>2752</v>
      </c>
      <c r="Q309" s="149"/>
      <c r="R309" s="149"/>
      <c r="S309" s="149"/>
      <c r="T309" s="149"/>
      <c r="U309" s="149"/>
      <c r="V309" s="149"/>
      <c r="W309" s="149"/>
      <c r="X309" s="64" t="s">
        <v>2936</v>
      </c>
      <c r="Y309" s="64"/>
      <c r="Z309" s="68"/>
    </row>
    <row r="310" ht="15.0" customHeight="1">
      <c r="A310" s="139">
        <v>45834.0</v>
      </c>
      <c r="B310" s="148" t="s">
        <v>3646</v>
      </c>
      <c r="C310" s="64" t="s">
        <v>3142</v>
      </c>
      <c r="D310" s="140" t="str">
        <f>IFERROR(VLOOKUP(C310,Stock,3,FALSE),"")</f>
        <v>Mitsubishi Xpander 17-</v>
      </c>
      <c r="E310" s="64">
        <v>1.0</v>
      </c>
      <c r="F310" s="141">
        <v>1650000.0</v>
      </c>
      <c r="G310" s="142">
        <f t="shared" si="12"/>
        <v>1650000</v>
      </c>
      <c r="H310" s="142"/>
      <c r="I310" s="143">
        <f t="shared" si="13"/>
        <v>1650000</v>
      </c>
      <c r="J310" s="144">
        <f t="shared" si="15"/>
        <v>1650000</v>
      </c>
      <c r="K310" s="151" t="s">
        <v>3647</v>
      </c>
      <c r="L310" s="146" t="s">
        <v>3648</v>
      </c>
      <c r="M310" s="140"/>
      <c r="N310" s="154" t="s">
        <v>3649</v>
      </c>
      <c r="O310" s="68"/>
      <c r="P310" s="147" t="s">
        <v>2761</v>
      </c>
      <c r="Q310" s="141">
        <v>1650000.0</v>
      </c>
      <c r="R310" s="149"/>
      <c r="S310" s="149"/>
      <c r="T310" s="149"/>
      <c r="U310" s="149"/>
      <c r="V310" s="149"/>
      <c r="W310" s="149"/>
      <c r="X310" s="64" t="s">
        <v>2891</v>
      </c>
      <c r="Y310" s="64"/>
      <c r="Z310" s="68"/>
    </row>
    <row r="311" ht="15.0" customHeight="1">
      <c r="A311" s="139">
        <v>45835.0</v>
      </c>
      <c r="B311" s="148" t="s">
        <v>3650</v>
      </c>
      <c r="C311" s="64" t="s">
        <v>3354</v>
      </c>
      <c r="D311" s="140" t="str">
        <f>IFERROR(VLOOKUP(C311,Stock,3,FALSE),"")</f>
        <v>Honda Brio 10- / Mobilio 11- (Honda)</v>
      </c>
      <c r="E311" s="64">
        <v>1.0</v>
      </c>
      <c r="F311" s="141">
        <v>1672280.0</v>
      </c>
      <c r="G311" s="142">
        <f t="shared" si="12"/>
        <v>1672280</v>
      </c>
      <c r="H311" s="142"/>
      <c r="I311" s="143">
        <f t="shared" si="13"/>
        <v>1672280</v>
      </c>
      <c r="J311" s="144">
        <f t="shared" si="15"/>
        <v>1672280</v>
      </c>
      <c r="K311" s="145" t="s">
        <v>3651</v>
      </c>
      <c r="L311" s="146" t="s">
        <v>3652</v>
      </c>
      <c r="M311" s="140"/>
      <c r="N311" s="68"/>
      <c r="O311" s="64" t="s">
        <v>2813</v>
      </c>
      <c r="P311" s="147" t="s">
        <v>2761</v>
      </c>
      <c r="Q311" s="141">
        <v>1672280.0</v>
      </c>
      <c r="R311" s="149"/>
      <c r="S311" s="149"/>
      <c r="T311" s="149"/>
      <c r="U311" s="149"/>
      <c r="V311" s="149"/>
      <c r="W311" s="149"/>
      <c r="X311" s="64" t="s">
        <v>2976</v>
      </c>
      <c r="Y311" s="64"/>
      <c r="Z311" s="68"/>
    </row>
    <row r="312" ht="15.0" customHeight="1">
      <c r="A312" s="139">
        <v>45830.0</v>
      </c>
      <c r="B312" s="148" t="s">
        <v>3653</v>
      </c>
      <c r="C312" s="64" t="s">
        <v>2003</v>
      </c>
      <c r="D312" s="140" t="str">
        <f>IFERROR(VLOOKUP(C312,Stock,3,FALSE),"")</f>
        <v>Toyota Agya/Ayla 13-22 1st Gen</v>
      </c>
      <c r="E312" s="64">
        <v>1.0</v>
      </c>
      <c r="F312" s="141">
        <v>985000.0</v>
      </c>
      <c r="G312" s="142">
        <f t="shared" si="12"/>
        <v>985000</v>
      </c>
      <c r="H312" s="142"/>
      <c r="I312" s="143">
        <f t="shared" si="13"/>
        <v>985000</v>
      </c>
      <c r="J312" s="144">
        <f t="shared" si="15"/>
        <v>985000</v>
      </c>
      <c r="K312" s="145" t="s">
        <v>3654</v>
      </c>
      <c r="L312" s="146" t="s">
        <v>3655</v>
      </c>
      <c r="M312" s="140"/>
      <c r="N312" s="64" t="s">
        <v>3656</v>
      </c>
      <c r="O312" s="68"/>
      <c r="P312" s="147" t="s">
        <v>2761</v>
      </c>
      <c r="Q312" s="141">
        <v>985000.0</v>
      </c>
      <c r="R312" s="149"/>
      <c r="S312" s="149"/>
      <c r="T312" s="149"/>
      <c r="U312" s="149"/>
      <c r="V312" s="149"/>
      <c r="W312" s="149"/>
      <c r="X312" s="64" t="s">
        <v>2976</v>
      </c>
      <c r="Y312" s="64"/>
      <c r="Z312" s="68"/>
    </row>
    <row r="313" ht="15.0" customHeight="1">
      <c r="A313" s="139">
        <v>45830.0</v>
      </c>
      <c r="B313" s="148" t="s">
        <v>3653</v>
      </c>
      <c r="C313" s="64" t="s">
        <v>2962</v>
      </c>
      <c r="D313" s="140" t="str">
        <f>IFERROR(VLOOKUP(C313,Stock,3,FALSE),"")</f>
        <v>Lembur</v>
      </c>
      <c r="E313" s="64">
        <v>1.0</v>
      </c>
      <c r="F313" s="141">
        <v>100000.0</v>
      </c>
      <c r="G313" s="142">
        <f t="shared" si="12"/>
        <v>100000</v>
      </c>
      <c r="H313" s="142"/>
      <c r="I313" s="143">
        <f t="shared" si="13"/>
        <v>100000</v>
      </c>
      <c r="J313" s="144">
        <f t="shared" si="15"/>
        <v>100000</v>
      </c>
      <c r="K313" s="145" t="s">
        <v>3654</v>
      </c>
      <c r="L313" s="146" t="s">
        <v>3655</v>
      </c>
      <c r="M313" s="140"/>
      <c r="N313" s="64" t="s">
        <v>3656</v>
      </c>
      <c r="O313" s="68"/>
      <c r="P313" s="147" t="s">
        <v>2761</v>
      </c>
      <c r="Q313" s="141">
        <v>100000.0</v>
      </c>
      <c r="R313" s="149"/>
      <c r="S313" s="149"/>
      <c r="T313" s="149"/>
      <c r="U313" s="149"/>
      <c r="V313" s="149"/>
      <c r="W313" s="149"/>
      <c r="X313" s="64" t="s">
        <v>2976</v>
      </c>
      <c r="Y313" s="64"/>
      <c r="Z313" s="68"/>
    </row>
    <row r="314" ht="15.0" customHeight="1">
      <c r="A314" s="139">
        <v>45835.0</v>
      </c>
      <c r="B314" s="148" t="s">
        <v>3657</v>
      </c>
      <c r="C314" s="64" t="s">
        <v>2939</v>
      </c>
      <c r="D314" s="140" t="str">
        <f>IFERROR(VLOOKUP(C314,Stock,3,FALSE),"")</f>
        <v>Honda CR-V 17- 5th Gen</v>
      </c>
      <c r="E314" s="64">
        <v>1.0</v>
      </c>
      <c r="F314" s="141">
        <v>1287000.0</v>
      </c>
      <c r="G314" s="142">
        <f t="shared" si="12"/>
        <v>1287000</v>
      </c>
      <c r="H314" s="142"/>
      <c r="I314" s="143">
        <f t="shared" si="13"/>
        <v>1287000</v>
      </c>
      <c r="J314" s="144">
        <f t="shared" si="15"/>
        <v>1287000</v>
      </c>
      <c r="K314" s="145" t="s">
        <v>3658</v>
      </c>
      <c r="L314" s="146" t="s">
        <v>3659</v>
      </c>
      <c r="M314" s="140"/>
      <c r="N314" s="64" t="s">
        <v>3660</v>
      </c>
      <c r="O314" s="64" t="s">
        <v>2813</v>
      </c>
      <c r="P314" s="147" t="s">
        <v>2761</v>
      </c>
      <c r="Q314" s="141">
        <v>1287000.0</v>
      </c>
      <c r="R314" s="149"/>
      <c r="S314" s="149"/>
      <c r="T314" s="149"/>
      <c r="U314" s="149"/>
      <c r="V314" s="149"/>
      <c r="W314" s="149"/>
      <c r="X314" s="64" t="s">
        <v>2976</v>
      </c>
      <c r="Y314" s="64"/>
      <c r="Z314" s="68"/>
    </row>
    <row r="315" ht="15.0" customHeight="1">
      <c r="A315" s="139">
        <v>45836.0</v>
      </c>
      <c r="B315" s="148" t="s">
        <v>3661</v>
      </c>
      <c r="C315" s="64" t="s">
        <v>3662</v>
      </c>
      <c r="D315" s="140" t="str">
        <f>IFERROR(VLOOKUP(C315,Stock,3,FALSE),"")</f>
        <v>Toyota Innova 15-22 2nd Gen (Toyota)</v>
      </c>
      <c r="E315" s="64">
        <v>1.0</v>
      </c>
      <c r="F315" s="141">
        <v>2398000.0</v>
      </c>
      <c r="G315" s="142">
        <f t="shared" si="12"/>
        <v>2398000</v>
      </c>
      <c r="H315" s="142"/>
      <c r="I315" s="143">
        <f t="shared" si="13"/>
        <v>2398000</v>
      </c>
      <c r="J315" s="144">
        <f t="shared" ref="J315:J316" si="16">I315+I316</f>
        <v>2898000</v>
      </c>
      <c r="K315" s="145" t="s">
        <v>3663</v>
      </c>
      <c r="L315" s="146" t="s">
        <v>3664</v>
      </c>
      <c r="M315" s="140"/>
      <c r="N315" s="68"/>
      <c r="O315" s="64"/>
      <c r="P315" s="147" t="s">
        <v>2752</v>
      </c>
      <c r="Q315" s="149"/>
      <c r="R315" s="149"/>
      <c r="S315" s="149"/>
      <c r="T315" s="149"/>
      <c r="U315" s="149">
        <f>I315</f>
        <v>2398000</v>
      </c>
      <c r="V315" s="149"/>
      <c r="W315" s="149"/>
      <c r="X315" s="64" t="s">
        <v>3309</v>
      </c>
      <c r="Y315" s="64"/>
      <c r="Z315" s="68"/>
    </row>
    <row r="316" ht="15.0" customHeight="1">
      <c r="A316" s="139">
        <v>45836.0</v>
      </c>
      <c r="B316" s="148" t="s">
        <v>3661</v>
      </c>
      <c r="C316" s="64" t="s">
        <v>2778</v>
      </c>
      <c r="D316" s="140" t="str">
        <f>IFERROR(VLOOKUP(C316,Stock,3,FALSE),"")</f>
        <v>Bongkar Pasang Kaca Mobil Depan</v>
      </c>
      <c r="E316" s="64">
        <v>1.0</v>
      </c>
      <c r="F316" s="141">
        <v>500000.0</v>
      </c>
      <c r="G316" s="142">
        <f t="shared" si="12"/>
        <v>500000</v>
      </c>
      <c r="H316" s="142"/>
      <c r="I316" s="143">
        <f t="shared" si="13"/>
        <v>500000</v>
      </c>
      <c r="J316" s="144">
        <f t="shared" si="16"/>
        <v>1650000</v>
      </c>
      <c r="K316" s="145" t="s">
        <v>3663</v>
      </c>
      <c r="L316" s="146" t="s">
        <v>3665</v>
      </c>
      <c r="M316" s="140"/>
      <c r="N316" s="68"/>
      <c r="O316" s="64"/>
      <c r="P316" s="147" t="s">
        <v>2752</v>
      </c>
      <c r="Q316" s="149"/>
      <c r="R316" s="149"/>
      <c r="S316" s="149"/>
      <c r="T316" s="149"/>
      <c r="U316" s="149"/>
      <c r="V316" s="149"/>
      <c r="W316" s="149"/>
      <c r="X316" s="64" t="s">
        <v>3309</v>
      </c>
      <c r="Y316" s="64"/>
      <c r="Z316" s="68"/>
    </row>
    <row r="317" ht="15.0" customHeight="1">
      <c r="A317" s="139">
        <v>45836.0</v>
      </c>
      <c r="B317" s="148" t="s">
        <v>3666</v>
      </c>
      <c r="C317" s="64" t="s">
        <v>2877</v>
      </c>
      <c r="D317" s="140" t="str">
        <f>IFERROR(VLOOKUP(C317,Stock,3,FALSE),"")</f>
        <v>Toyota Dyna/Hino Dutro 00-</v>
      </c>
      <c r="E317" s="64">
        <v>1.0</v>
      </c>
      <c r="F317" s="141">
        <v>1150000.0</v>
      </c>
      <c r="G317" s="142">
        <f t="shared" si="12"/>
        <v>1150000</v>
      </c>
      <c r="H317" s="142"/>
      <c r="I317" s="143">
        <f t="shared" si="13"/>
        <v>1150000</v>
      </c>
      <c r="J317" s="144">
        <f>I317+I232</f>
        <v>2185000</v>
      </c>
      <c r="K317" s="145" t="s">
        <v>3667</v>
      </c>
      <c r="L317" s="146" t="s">
        <v>3668</v>
      </c>
      <c r="M317" s="140"/>
      <c r="N317" s="64" t="s">
        <v>3669</v>
      </c>
      <c r="O317" s="64" t="s">
        <v>2813</v>
      </c>
      <c r="P317" s="147" t="s">
        <v>2761</v>
      </c>
      <c r="Q317" s="149"/>
      <c r="R317" s="149"/>
      <c r="S317" s="149"/>
      <c r="T317" s="149"/>
      <c r="U317" s="149"/>
      <c r="V317" s="149"/>
      <c r="W317" s="149"/>
      <c r="X317" s="68"/>
      <c r="Y317" s="68"/>
      <c r="Z317" s="68"/>
    </row>
    <row r="318" ht="15.0" customHeight="1">
      <c r="A318" s="139">
        <v>45812.0</v>
      </c>
      <c r="B318" s="148" t="s">
        <v>3670</v>
      </c>
      <c r="C318" s="64" t="s">
        <v>3671</v>
      </c>
      <c r="D318" s="140" t="str">
        <f>IFERROR(VLOOKUP(C318,Stock,3,FALSE),"")</f>
        <v>Toyota Camry 06-11 XV40 4th Gen</v>
      </c>
      <c r="E318" s="64">
        <v>1.0</v>
      </c>
      <c r="F318" s="141">
        <v>2937000.0</v>
      </c>
      <c r="G318" s="142">
        <f t="shared" si="12"/>
        <v>2937000</v>
      </c>
      <c r="H318" s="142"/>
      <c r="I318" s="143">
        <f t="shared" si="13"/>
        <v>2937000</v>
      </c>
      <c r="J318" s="144">
        <f t="shared" ref="J318:J321" si="17">I318+I319</f>
        <v>4736000</v>
      </c>
      <c r="K318" s="145" t="s">
        <v>3672</v>
      </c>
      <c r="L318" s="146" t="s">
        <v>3673</v>
      </c>
      <c r="M318" s="140"/>
      <c r="N318" s="64" t="s">
        <v>3674</v>
      </c>
      <c r="O318" s="68"/>
      <c r="P318" s="147" t="s">
        <v>2761</v>
      </c>
      <c r="Q318" s="141">
        <v>2937000.0</v>
      </c>
      <c r="R318" s="149"/>
      <c r="S318" s="149"/>
      <c r="T318" s="149"/>
      <c r="U318" s="149"/>
      <c r="V318" s="149"/>
      <c r="W318" s="149"/>
      <c r="X318" s="64" t="s">
        <v>2891</v>
      </c>
      <c r="Y318" s="64"/>
      <c r="Z318" s="68"/>
    </row>
    <row r="319" ht="15.0" customHeight="1">
      <c r="A319" s="139">
        <v>45836.0</v>
      </c>
      <c r="B319" s="148" t="s">
        <v>3675</v>
      </c>
      <c r="C319" s="64" t="s">
        <v>3483</v>
      </c>
      <c r="D319" s="140" t="str">
        <f>IFERROR(VLOOKUP(C319,Stock,3,FALSE),"")</f>
        <v>Honda HR-V 14-21 5D SUV</v>
      </c>
      <c r="E319" s="64">
        <v>1.0</v>
      </c>
      <c r="F319" s="141">
        <v>1799000.0</v>
      </c>
      <c r="G319" s="142">
        <f t="shared" si="12"/>
        <v>1799000</v>
      </c>
      <c r="H319" s="142"/>
      <c r="I319" s="143">
        <f t="shared" si="13"/>
        <v>1799000</v>
      </c>
      <c r="J319" s="144">
        <f t="shared" si="17"/>
        <v>4587000</v>
      </c>
      <c r="K319" s="145" t="s">
        <v>3676</v>
      </c>
      <c r="L319" s="146" t="s">
        <v>3677</v>
      </c>
      <c r="M319" s="140"/>
      <c r="N319" s="64" t="s">
        <v>3678</v>
      </c>
      <c r="O319" s="64" t="s">
        <v>2813</v>
      </c>
      <c r="P319" s="147" t="s">
        <v>2761</v>
      </c>
      <c r="Q319" s="149"/>
      <c r="R319" s="149"/>
      <c r="S319" s="149"/>
      <c r="T319" s="149"/>
      <c r="U319" s="149"/>
      <c r="V319" s="149"/>
      <c r="W319" s="149"/>
      <c r="X319" s="64" t="s">
        <v>2808</v>
      </c>
      <c r="Y319" s="64"/>
      <c r="Z319" s="68"/>
    </row>
    <row r="320" ht="15.0" customHeight="1">
      <c r="A320" s="139">
        <v>45836.0</v>
      </c>
      <c r="B320" s="148" t="s">
        <v>3679</v>
      </c>
      <c r="C320" s="64" t="s">
        <v>3680</v>
      </c>
      <c r="D320" s="140" t="str">
        <f>IFERROR(VLOOKUP(C320,Stock,3,FALSE),"")</f>
        <v>Wuling Almaz (Orisinil)</v>
      </c>
      <c r="E320" s="64">
        <v>1.0</v>
      </c>
      <c r="F320" s="141">
        <v>2788000.0</v>
      </c>
      <c r="G320" s="142">
        <f t="shared" si="12"/>
        <v>2788000</v>
      </c>
      <c r="H320" s="142"/>
      <c r="I320" s="143">
        <f t="shared" si="13"/>
        <v>2788000</v>
      </c>
      <c r="J320" s="144">
        <f t="shared" si="17"/>
        <v>2838000</v>
      </c>
      <c r="K320" s="145" t="s">
        <v>3681</v>
      </c>
      <c r="L320" s="146" t="s">
        <v>3682</v>
      </c>
      <c r="M320" s="140"/>
      <c r="N320" s="64" t="s">
        <v>3683</v>
      </c>
      <c r="O320" s="64" t="s">
        <v>3684</v>
      </c>
      <c r="P320" s="147" t="s">
        <v>2761</v>
      </c>
      <c r="Q320" s="141">
        <v>2788000.0</v>
      </c>
      <c r="R320" s="149"/>
      <c r="S320" s="149"/>
      <c r="T320" s="149"/>
      <c r="U320" s="149"/>
      <c r="V320" s="149"/>
      <c r="W320" s="149"/>
      <c r="X320" s="64" t="s">
        <v>3191</v>
      </c>
      <c r="Y320" s="64"/>
      <c r="Z320" s="68"/>
    </row>
    <row r="321" ht="15.0" customHeight="1">
      <c r="A321" s="139">
        <v>45836.0</v>
      </c>
      <c r="B321" s="148" t="s">
        <v>3679</v>
      </c>
      <c r="C321" s="64" t="s">
        <v>2770</v>
      </c>
      <c r="D321" s="140" t="str">
        <f>IFERROR(VLOOKUP(C321,Stock,3,FALSE),"")</f>
        <v>Transport</v>
      </c>
      <c r="E321" s="64">
        <v>1.0</v>
      </c>
      <c r="F321" s="141">
        <v>50000.0</v>
      </c>
      <c r="G321" s="142">
        <f t="shared" si="12"/>
        <v>50000</v>
      </c>
      <c r="H321" s="142"/>
      <c r="I321" s="143">
        <f t="shared" si="13"/>
        <v>50000</v>
      </c>
      <c r="J321" s="144">
        <f t="shared" si="17"/>
        <v>1333000</v>
      </c>
      <c r="K321" s="145" t="s">
        <v>3681</v>
      </c>
      <c r="L321" s="146" t="s">
        <v>3682</v>
      </c>
      <c r="M321" s="140"/>
      <c r="N321" s="64" t="s">
        <v>3683</v>
      </c>
      <c r="O321" s="64" t="s">
        <v>3684</v>
      </c>
      <c r="P321" s="147" t="s">
        <v>2761</v>
      </c>
      <c r="Q321" s="141">
        <v>50000.0</v>
      </c>
      <c r="R321" s="149"/>
      <c r="S321" s="149"/>
      <c r="T321" s="149"/>
      <c r="U321" s="149"/>
      <c r="V321" s="149"/>
      <c r="W321" s="149"/>
      <c r="X321" s="64" t="s">
        <v>3191</v>
      </c>
      <c r="Y321" s="64"/>
      <c r="Z321" s="68"/>
    </row>
    <row r="322" ht="15.0" customHeight="1">
      <c r="A322" s="139">
        <v>45837.0</v>
      </c>
      <c r="B322" s="148" t="s">
        <v>3685</v>
      </c>
      <c r="C322" s="64" t="s">
        <v>3686</v>
      </c>
      <c r="D322" s="140" t="str">
        <f>IFERROR(VLOOKUP(C322,Stock,3,FALSE),"")</f>
        <v>Honda Jazz 01-07 1st Gen</v>
      </c>
      <c r="E322" s="64">
        <v>1.0</v>
      </c>
      <c r="F322" s="141">
        <v>1283000.0</v>
      </c>
      <c r="G322" s="142">
        <f t="shared" si="12"/>
        <v>1283000</v>
      </c>
      <c r="H322" s="142"/>
      <c r="I322" s="143">
        <f t="shared" si="13"/>
        <v>1283000</v>
      </c>
      <c r="J322" s="144">
        <f t="shared" ref="J322:J358" si="18">I322</f>
        <v>1283000</v>
      </c>
      <c r="K322" s="145" t="s">
        <v>3687</v>
      </c>
      <c r="L322" s="146" t="s">
        <v>3688</v>
      </c>
      <c r="M322" s="140"/>
      <c r="N322" s="64" t="s">
        <v>3689</v>
      </c>
      <c r="O322" s="64" t="s">
        <v>2942</v>
      </c>
      <c r="P322" s="147" t="s">
        <v>2752</v>
      </c>
      <c r="Q322" s="141">
        <v>1283000.0</v>
      </c>
      <c r="R322" s="149"/>
      <c r="S322" s="149"/>
      <c r="T322" s="149"/>
      <c r="U322" s="149"/>
      <c r="V322" s="149"/>
      <c r="W322" s="149"/>
      <c r="X322" s="64" t="s">
        <v>3191</v>
      </c>
      <c r="Y322" s="64"/>
      <c r="Z322" s="68"/>
    </row>
    <row r="323" ht="15.0" customHeight="1">
      <c r="A323" s="139">
        <v>45837.0</v>
      </c>
      <c r="B323" s="148" t="s">
        <v>3685</v>
      </c>
      <c r="C323" s="64" t="s">
        <v>2962</v>
      </c>
      <c r="D323" s="140" t="str">
        <f>IFERROR(VLOOKUP(C323,Stock,3,FALSE),"")</f>
        <v>Lembur</v>
      </c>
      <c r="E323" s="64">
        <v>1.0</v>
      </c>
      <c r="F323" s="141">
        <v>50000.0</v>
      </c>
      <c r="G323" s="142">
        <f t="shared" si="12"/>
        <v>50000</v>
      </c>
      <c r="H323" s="142"/>
      <c r="I323" s="143">
        <f t="shared" si="13"/>
        <v>50000</v>
      </c>
      <c r="J323" s="144">
        <f t="shared" si="18"/>
        <v>50000</v>
      </c>
      <c r="K323" s="145" t="s">
        <v>3687</v>
      </c>
      <c r="L323" s="146" t="s">
        <v>3688</v>
      </c>
      <c r="M323" s="140"/>
      <c r="N323" s="64" t="s">
        <v>3689</v>
      </c>
      <c r="O323" s="64" t="s">
        <v>2942</v>
      </c>
      <c r="P323" s="147" t="s">
        <v>2752</v>
      </c>
      <c r="Q323" s="141">
        <v>50000.0</v>
      </c>
      <c r="R323" s="149"/>
      <c r="S323" s="149"/>
      <c r="T323" s="149"/>
      <c r="U323" s="149"/>
      <c r="V323" s="149"/>
      <c r="W323" s="149"/>
      <c r="X323" s="64" t="s">
        <v>3191</v>
      </c>
      <c r="Y323" s="64"/>
      <c r="Z323" s="68"/>
    </row>
    <row r="324" ht="15.0" customHeight="1">
      <c r="A324" s="139">
        <v>45837.0</v>
      </c>
      <c r="B324" s="148" t="s">
        <v>3690</v>
      </c>
      <c r="C324" s="64" t="s">
        <v>3691</v>
      </c>
      <c r="D324" s="140" t="str">
        <f>IFERROR(VLOOKUP(C324,Stock,3,FALSE),"")</f>
        <v>Daihatsu Gran Max</v>
      </c>
      <c r="E324" s="64">
        <v>1.0</v>
      </c>
      <c r="F324" s="141">
        <v>500000.0</v>
      </c>
      <c r="G324" s="142">
        <f t="shared" si="12"/>
        <v>500000</v>
      </c>
      <c r="H324" s="142"/>
      <c r="I324" s="143">
        <f t="shared" si="13"/>
        <v>500000</v>
      </c>
      <c r="J324" s="144">
        <f t="shared" si="18"/>
        <v>500000</v>
      </c>
      <c r="K324" s="145" t="s">
        <v>3692</v>
      </c>
      <c r="L324" s="146" t="s">
        <v>3693</v>
      </c>
      <c r="M324" s="140"/>
      <c r="N324" s="64" t="s">
        <v>3694</v>
      </c>
      <c r="O324" s="64" t="s">
        <v>2813</v>
      </c>
      <c r="P324" s="147" t="s">
        <v>2761</v>
      </c>
      <c r="Q324" s="149"/>
      <c r="R324" s="149"/>
      <c r="S324" s="149"/>
      <c r="T324" s="149"/>
      <c r="U324" s="149"/>
      <c r="V324" s="149"/>
      <c r="W324" s="149"/>
      <c r="X324" s="64" t="s">
        <v>3191</v>
      </c>
      <c r="Y324" s="64"/>
      <c r="Z324" s="68"/>
    </row>
    <row r="325" ht="15.0" customHeight="1">
      <c r="A325" s="139">
        <v>45838.0</v>
      </c>
      <c r="B325" s="148" t="s">
        <v>3695</v>
      </c>
      <c r="C325" s="64" t="s">
        <v>3696</v>
      </c>
      <c r="D325" s="140" t="str">
        <f>IFERROR(VLOOKUP(C325,Stock,3,FALSE),"")</f>
        <v>Suzuki Carry New 19- (Suzuki)</v>
      </c>
      <c r="E325" s="64">
        <v>1.0</v>
      </c>
      <c r="F325" s="141">
        <v>1200000.0</v>
      </c>
      <c r="G325" s="142">
        <f t="shared" si="12"/>
        <v>1200000</v>
      </c>
      <c r="H325" s="142"/>
      <c r="I325" s="143">
        <f t="shared" si="13"/>
        <v>1200000</v>
      </c>
      <c r="J325" s="144">
        <f t="shared" si="18"/>
        <v>1200000</v>
      </c>
      <c r="K325" s="151" t="s">
        <v>3291</v>
      </c>
      <c r="L325" s="146" t="s">
        <v>3697</v>
      </c>
      <c r="M325" s="140"/>
      <c r="N325" s="154" t="s">
        <v>3698</v>
      </c>
      <c r="O325" s="64" t="s">
        <v>2813</v>
      </c>
      <c r="P325" s="147" t="s">
        <v>2761</v>
      </c>
      <c r="Q325" s="149"/>
      <c r="R325" s="141"/>
      <c r="S325" s="141"/>
      <c r="T325" s="141">
        <v>1200000.0</v>
      </c>
      <c r="U325" s="149"/>
      <c r="V325" s="149"/>
      <c r="W325" s="149"/>
      <c r="X325" s="64" t="s">
        <v>2891</v>
      </c>
      <c r="Y325" s="64"/>
      <c r="Z325" s="68"/>
    </row>
    <row r="326" ht="15.0" customHeight="1">
      <c r="A326" s="139">
        <v>45838.0</v>
      </c>
      <c r="B326" s="148" t="s">
        <v>3699</v>
      </c>
      <c r="C326" s="64" t="s">
        <v>3700</v>
      </c>
      <c r="D326" s="140" t="str">
        <f>IFERROR(VLOOKUP(C326,Stock,3,FALSE),"")</f>
        <v>Toyota Avanza / Xenia 11-15 2nd Gen / 15-21 3rd Gen</v>
      </c>
      <c r="E326" s="64">
        <v>1.0</v>
      </c>
      <c r="F326" s="141">
        <v>799000.0</v>
      </c>
      <c r="G326" s="142">
        <f t="shared" si="12"/>
        <v>799000</v>
      </c>
      <c r="H326" s="142"/>
      <c r="I326" s="143">
        <f t="shared" si="13"/>
        <v>799000</v>
      </c>
      <c r="J326" s="144">
        <f t="shared" si="18"/>
        <v>799000</v>
      </c>
      <c r="K326" s="145" t="s">
        <v>3701</v>
      </c>
      <c r="L326" s="146" t="s">
        <v>3702</v>
      </c>
      <c r="M326" s="140"/>
      <c r="N326" s="68"/>
      <c r="O326" s="64" t="s">
        <v>2813</v>
      </c>
      <c r="P326" s="147" t="s">
        <v>2761</v>
      </c>
      <c r="Q326" s="149"/>
      <c r="R326" s="149"/>
      <c r="S326" s="149"/>
      <c r="T326" s="149"/>
      <c r="U326" s="149"/>
      <c r="V326" s="149"/>
      <c r="W326" s="149"/>
      <c r="X326" s="64" t="s">
        <v>2808</v>
      </c>
      <c r="Y326" s="64"/>
      <c r="Z326" s="68"/>
    </row>
    <row r="327" ht="15.0" customHeight="1">
      <c r="A327" s="139">
        <v>45838.0</v>
      </c>
      <c r="B327" s="148" t="s">
        <v>3703</v>
      </c>
      <c r="C327" s="64" t="s">
        <v>3704</v>
      </c>
      <c r="D327" s="140" t="str">
        <f>IFERROR(VLOOKUP(C327,Stock,3,FALSE),"")</f>
        <v>Honda BR-V 16-21 (Honda)</v>
      </c>
      <c r="E327" s="64">
        <v>1.0</v>
      </c>
      <c r="F327" s="141">
        <v>2600100.0</v>
      </c>
      <c r="G327" s="142">
        <f t="shared" si="12"/>
        <v>2600100</v>
      </c>
      <c r="H327" s="142"/>
      <c r="I327" s="143">
        <f t="shared" si="13"/>
        <v>2600100</v>
      </c>
      <c r="J327" s="144">
        <f t="shared" si="18"/>
        <v>2600100</v>
      </c>
      <c r="K327" s="152" t="s">
        <v>3705</v>
      </c>
      <c r="L327" s="146" t="s">
        <v>3706</v>
      </c>
      <c r="M327" s="140"/>
      <c r="N327" s="64" t="s">
        <v>3707</v>
      </c>
      <c r="O327" s="64" t="s">
        <v>2813</v>
      </c>
      <c r="P327" s="147" t="s">
        <v>2761</v>
      </c>
      <c r="Q327" s="149"/>
      <c r="R327" s="141"/>
      <c r="S327" s="141"/>
      <c r="T327" s="141">
        <v>2600100.0</v>
      </c>
      <c r="U327" s="149"/>
      <c r="V327" s="149"/>
      <c r="W327" s="149"/>
      <c r="X327" s="68"/>
      <c r="Y327" s="68"/>
      <c r="Z327" s="175"/>
    </row>
    <row r="328" ht="15.0" customHeight="1">
      <c r="A328" s="139">
        <v>45810.0</v>
      </c>
      <c r="B328" s="148" t="s">
        <v>3708</v>
      </c>
      <c r="C328" s="64" t="s">
        <v>3709</v>
      </c>
      <c r="D328" s="140" t="str">
        <f>IFERROR(VLOOKUP(C328,Stock,3,FALSE),"")</f>
        <v>Nissan Frontier Navara  97-04 D22 1st Gen</v>
      </c>
      <c r="E328" s="64">
        <v>1.0</v>
      </c>
      <c r="F328" s="141">
        <v>1787000.0</v>
      </c>
      <c r="G328" s="142">
        <f t="shared" si="12"/>
        <v>1787000</v>
      </c>
      <c r="H328" s="142"/>
      <c r="I328" s="143">
        <f t="shared" si="13"/>
        <v>1787000</v>
      </c>
      <c r="J328" s="144">
        <f t="shared" si="18"/>
        <v>1787000</v>
      </c>
      <c r="K328" s="145" t="s">
        <v>3710</v>
      </c>
      <c r="L328" s="146" t="s">
        <v>3711</v>
      </c>
      <c r="M328" s="140"/>
      <c r="N328" s="68"/>
      <c r="O328" s="64" t="s">
        <v>3712</v>
      </c>
      <c r="P328" s="147" t="s">
        <v>3713</v>
      </c>
      <c r="Q328" s="149"/>
      <c r="R328" s="141"/>
      <c r="S328" s="141"/>
      <c r="T328" s="141">
        <v>1787000.0</v>
      </c>
      <c r="U328" s="149"/>
      <c r="V328" s="149"/>
      <c r="W328" s="149"/>
      <c r="X328" s="64" t="s">
        <v>3191</v>
      </c>
      <c r="Y328" s="64"/>
      <c r="Z328" s="68"/>
    </row>
    <row r="329" ht="15.0" customHeight="1">
      <c r="A329" s="139">
        <v>45810.0</v>
      </c>
      <c r="B329" s="148" t="s">
        <v>3708</v>
      </c>
      <c r="C329" s="64" t="s">
        <v>2835</v>
      </c>
      <c r="D329" s="140" t="str">
        <f>IFERROR(VLOOKUP(C329,Stock,3,FALSE),"")</f>
        <v>Peti Kayu</v>
      </c>
      <c r="E329" s="64">
        <v>1.0</v>
      </c>
      <c r="F329" s="141">
        <v>200000.0</v>
      </c>
      <c r="G329" s="142">
        <f t="shared" si="12"/>
        <v>200000</v>
      </c>
      <c r="H329" s="142"/>
      <c r="I329" s="143">
        <f t="shared" si="13"/>
        <v>200000</v>
      </c>
      <c r="J329" s="144">
        <f t="shared" si="18"/>
        <v>200000</v>
      </c>
      <c r="K329" s="145" t="s">
        <v>3710</v>
      </c>
      <c r="L329" s="146" t="s">
        <v>3711</v>
      </c>
      <c r="M329" s="140"/>
      <c r="N329" s="68"/>
      <c r="O329" s="64" t="s">
        <v>3712</v>
      </c>
      <c r="P329" s="147" t="s">
        <v>3713</v>
      </c>
      <c r="Q329" s="149"/>
      <c r="R329" s="141"/>
      <c r="S329" s="141"/>
      <c r="T329" s="141">
        <v>200000.0</v>
      </c>
      <c r="U329" s="149"/>
      <c r="V329" s="149"/>
      <c r="W329" s="149"/>
      <c r="X329" s="64" t="s">
        <v>3191</v>
      </c>
      <c r="Y329" s="64"/>
      <c r="Z329" s="68"/>
    </row>
    <row r="330" ht="15.0" customHeight="1">
      <c r="A330" s="139">
        <v>45839.0</v>
      </c>
      <c r="B330" s="148" t="s">
        <v>3714</v>
      </c>
      <c r="C330" s="64" t="s">
        <v>3715</v>
      </c>
      <c r="D330" s="140" t="str">
        <f>IFERROR(VLOOKUP(C330,Stock,3,FALSE),"")</f>
        <v>Suzuki Grand Escudo 00-05</v>
      </c>
      <c r="E330" s="64">
        <v>1.0</v>
      </c>
      <c r="F330" s="141">
        <v>1529000.0</v>
      </c>
      <c r="G330" s="142">
        <f t="shared" si="12"/>
        <v>1529000</v>
      </c>
      <c r="H330" s="142"/>
      <c r="I330" s="143">
        <f t="shared" si="13"/>
        <v>1529000</v>
      </c>
      <c r="J330" s="144">
        <f t="shared" si="18"/>
        <v>1529000</v>
      </c>
      <c r="K330" s="145" t="s">
        <v>3716</v>
      </c>
      <c r="L330" s="146" t="s">
        <v>3717</v>
      </c>
      <c r="M330" s="140"/>
      <c r="N330" s="68"/>
      <c r="O330" s="64" t="s">
        <v>2813</v>
      </c>
      <c r="P330" s="147" t="s">
        <v>2761</v>
      </c>
      <c r="Q330" s="149"/>
      <c r="R330" s="149"/>
      <c r="S330" s="149"/>
      <c r="T330" s="149"/>
      <c r="U330" s="149"/>
      <c r="V330" s="149"/>
      <c r="W330" s="149"/>
      <c r="X330" s="64" t="s">
        <v>3191</v>
      </c>
      <c r="Y330" s="64"/>
      <c r="Z330" s="68"/>
    </row>
    <row r="331" ht="15.0" customHeight="1">
      <c r="A331" s="139">
        <v>45839.0</v>
      </c>
      <c r="B331" s="148" t="s">
        <v>3718</v>
      </c>
      <c r="C331" s="64" t="s">
        <v>3621</v>
      </c>
      <c r="D331" s="140" t="str">
        <f>IFERROR(VLOOKUP(C331,Stock,3,FALSE),"")</f>
        <v>Mitsubishi Pajero 08-16</v>
      </c>
      <c r="E331" s="64">
        <v>1.0</v>
      </c>
      <c r="F331" s="141">
        <v>1649000.0</v>
      </c>
      <c r="G331" s="142">
        <f t="shared" si="12"/>
        <v>1649000</v>
      </c>
      <c r="H331" s="142"/>
      <c r="I331" s="143">
        <f t="shared" si="13"/>
        <v>1649000</v>
      </c>
      <c r="J331" s="144">
        <f t="shared" si="18"/>
        <v>1649000</v>
      </c>
      <c r="K331" s="145" t="s">
        <v>3719</v>
      </c>
      <c r="L331" s="146" t="s">
        <v>3720</v>
      </c>
      <c r="M331" s="140"/>
      <c r="N331" s="68"/>
      <c r="O331" s="64" t="s">
        <v>2813</v>
      </c>
      <c r="P331" s="147" t="s">
        <v>2761</v>
      </c>
      <c r="Q331" s="149"/>
      <c r="R331" s="149"/>
      <c r="S331" s="149"/>
      <c r="T331" s="149"/>
      <c r="U331" s="149"/>
      <c r="V331" s="149"/>
      <c r="W331" s="149"/>
      <c r="X331" s="64" t="s">
        <v>3191</v>
      </c>
      <c r="Y331" s="64"/>
      <c r="Z331" s="68"/>
    </row>
    <row r="332" ht="15.0" customHeight="1">
      <c r="A332" s="139">
        <v>45839.0</v>
      </c>
      <c r="B332" s="148" t="s">
        <v>3721</v>
      </c>
      <c r="C332" s="64" t="s">
        <v>3722</v>
      </c>
      <c r="D332" s="140" t="str">
        <f>IFERROR(VLOOKUP(C332,Stock,3,FALSE),"")</f>
        <v>Hyundai Santa Fe 12-18</v>
      </c>
      <c r="E332" s="64">
        <v>1.0</v>
      </c>
      <c r="F332" s="141">
        <v>2368000.0</v>
      </c>
      <c r="G332" s="142">
        <f t="shared" si="12"/>
        <v>2368000</v>
      </c>
      <c r="H332" s="142"/>
      <c r="I332" s="143">
        <f t="shared" si="13"/>
        <v>2368000</v>
      </c>
      <c r="J332" s="144">
        <f t="shared" si="18"/>
        <v>2368000</v>
      </c>
      <c r="K332" s="145" t="s">
        <v>3723</v>
      </c>
      <c r="L332" s="146" t="s">
        <v>3724</v>
      </c>
      <c r="M332" s="140"/>
      <c r="N332" s="64" t="s">
        <v>3725</v>
      </c>
      <c r="O332" s="64" t="s">
        <v>2813</v>
      </c>
      <c r="P332" s="147" t="s">
        <v>2761</v>
      </c>
      <c r="Q332" s="149"/>
      <c r="R332" s="141"/>
      <c r="S332" s="141"/>
      <c r="T332" s="141">
        <v>500000.0</v>
      </c>
      <c r="U332" s="149"/>
      <c r="V332" s="149"/>
      <c r="W332" s="141"/>
      <c r="X332" s="64" t="s">
        <v>2936</v>
      </c>
      <c r="Y332" s="64"/>
      <c r="Z332" s="68"/>
    </row>
    <row r="333" ht="15.0" customHeight="1">
      <c r="A333" s="139">
        <v>45839.0</v>
      </c>
      <c r="B333" s="148" t="s">
        <v>3721</v>
      </c>
      <c r="C333" s="64" t="s">
        <v>2770</v>
      </c>
      <c r="D333" s="140" t="str">
        <f>IFERROR(VLOOKUP(C333,Stock,3,FALSE),"")</f>
        <v>Transport</v>
      </c>
      <c r="E333" s="64">
        <v>1.0</v>
      </c>
      <c r="F333" s="141">
        <v>200000.0</v>
      </c>
      <c r="G333" s="142">
        <f t="shared" si="12"/>
        <v>200000</v>
      </c>
      <c r="H333" s="142"/>
      <c r="I333" s="143">
        <f t="shared" si="13"/>
        <v>200000</v>
      </c>
      <c r="J333" s="144">
        <f t="shared" si="18"/>
        <v>200000</v>
      </c>
      <c r="K333" s="145" t="s">
        <v>3723</v>
      </c>
      <c r="L333" s="146" t="s">
        <v>3724</v>
      </c>
      <c r="M333" s="140"/>
      <c r="N333" s="64" t="s">
        <v>3725</v>
      </c>
      <c r="O333" s="64" t="s">
        <v>2813</v>
      </c>
      <c r="P333" s="147" t="s">
        <v>2761</v>
      </c>
      <c r="Q333" s="149"/>
      <c r="R333" s="141"/>
      <c r="S333" s="141"/>
      <c r="T333" s="141">
        <v>2068000.0</v>
      </c>
      <c r="U333" s="149"/>
      <c r="V333" s="149"/>
      <c r="W333" s="149"/>
      <c r="X333" s="64" t="s">
        <v>2936</v>
      </c>
      <c r="Y333" s="64"/>
      <c r="Z333" s="68"/>
    </row>
    <row r="334" ht="15.0" customHeight="1">
      <c r="A334" s="139">
        <v>45839.0</v>
      </c>
      <c r="B334" s="148" t="s">
        <v>3726</v>
      </c>
      <c r="C334" s="64" t="s">
        <v>3727</v>
      </c>
      <c r="D334" s="140" t="str">
        <f>IFERROR(VLOOKUP(C334,Stock,3,FALSE),"")</f>
        <v>Toyota Innova 15- 2nd Gen</v>
      </c>
      <c r="E334" s="64">
        <v>1.0</v>
      </c>
      <c r="F334" s="141">
        <v>1599000.0</v>
      </c>
      <c r="G334" s="142">
        <f t="shared" si="12"/>
        <v>1599000</v>
      </c>
      <c r="H334" s="142"/>
      <c r="I334" s="143">
        <f t="shared" si="13"/>
        <v>1599000</v>
      </c>
      <c r="J334" s="144">
        <f t="shared" si="18"/>
        <v>1599000</v>
      </c>
      <c r="K334" s="145" t="s">
        <v>3728</v>
      </c>
      <c r="L334" s="146" t="s">
        <v>3729</v>
      </c>
      <c r="M334" s="140"/>
      <c r="N334" s="148" t="s">
        <v>3730</v>
      </c>
      <c r="O334" s="64" t="s">
        <v>2813</v>
      </c>
      <c r="P334" s="147" t="s">
        <v>2761</v>
      </c>
      <c r="Q334" s="149"/>
      <c r="R334" s="149"/>
      <c r="S334" s="149"/>
      <c r="T334" s="149"/>
      <c r="U334" s="149"/>
      <c r="V334" s="149"/>
      <c r="W334" s="149"/>
      <c r="X334" s="64" t="s">
        <v>2914</v>
      </c>
      <c r="Y334" s="64"/>
      <c r="Z334" s="68"/>
    </row>
    <row r="335" ht="15.0" customHeight="1">
      <c r="A335" s="139">
        <v>45839.0</v>
      </c>
      <c r="B335" s="148" t="s">
        <v>3731</v>
      </c>
      <c r="C335" s="64" t="s">
        <v>3732</v>
      </c>
      <c r="D335" s="140" t="str">
        <f>IFERROR(VLOOKUP(C335,Stock,3,FALSE),"")</f>
        <v>Honda Jazz 01-07 1st Gen</v>
      </c>
      <c r="E335" s="64">
        <v>1.0</v>
      </c>
      <c r="F335" s="141">
        <v>712000.0</v>
      </c>
      <c r="G335" s="142">
        <f t="shared" si="12"/>
        <v>712000</v>
      </c>
      <c r="H335" s="142"/>
      <c r="I335" s="143">
        <f t="shared" si="13"/>
        <v>712000</v>
      </c>
      <c r="J335" s="144">
        <f t="shared" si="18"/>
        <v>712000</v>
      </c>
      <c r="K335" s="145" t="s">
        <v>3733</v>
      </c>
      <c r="L335" s="146" t="s">
        <v>3734</v>
      </c>
      <c r="M335" s="140"/>
      <c r="N335" s="64" t="s">
        <v>3735</v>
      </c>
      <c r="O335" s="64" t="s">
        <v>2813</v>
      </c>
      <c r="P335" s="147" t="s">
        <v>3409</v>
      </c>
      <c r="Q335" s="149"/>
      <c r="R335" s="141"/>
      <c r="S335" s="141"/>
      <c r="T335" s="141">
        <v>712000.0</v>
      </c>
      <c r="U335" s="149"/>
      <c r="V335" s="149"/>
      <c r="W335" s="149"/>
      <c r="X335" s="64" t="s">
        <v>2936</v>
      </c>
      <c r="Y335" s="64"/>
      <c r="Z335" s="68"/>
    </row>
    <row r="336" ht="15.0" customHeight="1">
      <c r="A336" s="139">
        <v>45840.0</v>
      </c>
      <c r="B336" s="148" t="s">
        <v>3736</v>
      </c>
      <c r="C336" s="64" t="s">
        <v>3737</v>
      </c>
      <c r="D336" s="140" t="str">
        <f>IFERROR(VLOOKUP(C336,Stock,3,FALSE),"")</f>
        <v>DFSK Supercab 20-</v>
      </c>
      <c r="E336" s="64">
        <v>1.0</v>
      </c>
      <c r="F336" s="141">
        <v>1750000.0</v>
      </c>
      <c r="G336" s="142">
        <f t="shared" si="12"/>
        <v>1750000</v>
      </c>
      <c r="H336" s="142"/>
      <c r="I336" s="143">
        <f t="shared" si="13"/>
        <v>1750000</v>
      </c>
      <c r="J336" s="144">
        <f t="shared" si="18"/>
        <v>1750000</v>
      </c>
      <c r="K336" s="145" t="s">
        <v>3738</v>
      </c>
      <c r="L336" s="146" t="s">
        <v>3739</v>
      </c>
      <c r="M336" s="140"/>
      <c r="N336" s="64" t="s">
        <v>3740</v>
      </c>
      <c r="O336" s="64" t="s">
        <v>2813</v>
      </c>
      <c r="P336" s="170"/>
      <c r="Q336" s="149"/>
      <c r="R336" s="141"/>
      <c r="S336" s="141"/>
      <c r="T336" s="141">
        <v>1750000.0</v>
      </c>
      <c r="U336" s="149"/>
      <c r="V336" s="149"/>
      <c r="W336" s="149"/>
      <c r="X336" s="68"/>
      <c r="Y336" s="68"/>
      <c r="Z336" s="68"/>
    </row>
    <row r="337" ht="15.0" customHeight="1">
      <c r="A337" s="139">
        <v>45840.0</v>
      </c>
      <c r="B337" s="148" t="s">
        <v>3741</v>
      </c>
      <c r="C337" s="64" t="s">
        <v>3029</v>
      </c>
      <c r="D337" s="140" t="str">
        <f>IFERROR(VLOOKUP(C337,Stock,3,FALSE),"")</f>
        <v>Mitsubishi Canter FE700 01- (PS110,125)</v>
      </c>
      <c r="E337" s="64">
        <v>1.0</v>
      </c>
      <c r="F337" s="141">
        <v>1150000.0</v>
      </c>
      <c r="G337" s="142">
        <f t="shared" si="12"/>
        <v>1150000</v>
      </c>
      <c r="H337" s="142"/>
      <c r="I337" s="143">
        <f t="shared" si="13"/>
        <v>1150000</v>
      </c>
      <c r="J337" s="144">
        <f t="shared" si="18"/>
        <v>1150000</v>
      </c>
      <c r="K337" s="145" t="s">
        <v>3742</v>
      </c>
      <c r="L337" s="146" t="s">
        <v>3743</v>
      </c>
      <c r="M337" s="140"/>
      <c r="N337" s="64" t="s">
        <v>3744</v>
      </c>
      <c r="O337" s="68"/>
      <c r="P337" s="170"/>
      <c r="Q337" s="141">
        <v>1150000.0</v>
      </c>
      <c r="R337" s="149"/>
      <c r="S337" s="149"/>
      <c r="T337" s="149"/>
      <c r="U337" s="149"/>
      <c r="V337" s="149"/>
      <c r="W337" s="149"/>
      <c r="X337" s="68"/>
      <c r="Y337" s="68"/>
      <c r="Z337" s="68"/>
    </row>
    <row r="338" ht="15.0" customHeight="1">
      <c r="A338" s="139">
        <v>45840.0</v>
      </c>
      <c r="B338" s="148" t="s">
        <v>3741</v>
      </c>
      <c r="C338" s="64" t="s">
        <v>2770</v>
      </c>
      <c r="D338" s="140" t="str">
        <f>IFERROR(VLOOKUP(C338,Stock,3,FALSE),"")</f>
        <v>Transport</v>
      </c>
      <c r="E338" s="64">
        <v>1.0</v>
      </c>
      <c r="F338" s="141">
        <v>120000.0</v>
      </c>
      <c r="G338" s="142">
        <f t="shared" si="12"/>
        <v>120000</v>
      </c>
      <c r="H338" s="142"/>
      <c r="I338" s="143">
        <f t="shared" si="13"/>
        <v>120000</v>
      </c>
      <c r="J338" s="144">
        <f t="shared" si="18"/>
        <v>120000</v>
      </c>
      <c r="K338" s="145" t="s">
        <v>3745</v>
      </c>
      <c r="L338" s="146" t="s">
        <v>3743</v>
      </c>
      <c r="M338" s="140"/>
      <c r="N338" s="64" t="s">
        <v>3744</v>
      </c>
      <c r="O338" s="68"/>
      <c r="P338" s="170"/>
      <c r="Q338" s="141">
        <v>120000.0</v>
      </c>
      <c r="R338" s="149"/>
      <c r="S338" s="149"/>
      <c r="T338" s="149"/>
      <c r="U338" s="149"/>
      <c r="V338" s="149"/>
      <c r="W338" s="149"/>
      <c r="X338" s="68"/>
      <c r="Y338" s="68"/>
      <c r="Z338" s="68"/>
    </row>
    <row r="339" ht="15.0" customHeight="1">
      <c r="A339" s="139">
        <v>45840.0</v>
      </c>
      <c r="B339" s="148" t="s">
        <v>3746</v>
      </c>
      <c r="C339" s="64" t="s">
        <v>3747</v>
      </c>
      <c r="D339" s="140" t="str">
        <f>IFERROR(VLOOKUP(C339,Stock,3,FALSE),"")</f>
        <v>Honda Civic 16- 10th Gen Hatchback (Hitam)</v>
      </c>
      <c r="E339" s="64">
        <v>1.0</v>
      </c>
      <c r="F339" s="141">
        <v>2598000.0</v>
      </c>
      <c r="G339" s="142">
        <f t="shared" si="12"/>
        <v>2598000</v>
      </c>
      <c r="H339" s="142"/>
      <c r="I339" s="143">
        <f t="shared" si="13"/>
        <v>2598000</v>
      </c>
      <c r="J339" s="144">
        <f t="shared" si="18"/>
        <v>2598000</v>
      </c>
      <c r="K339" s="145" t="s">
        <v>3748</v>
      </c>
      <c r="L339" s="146" t="s">
        <v>3749</v>
      </c>
      <c r="M339" s="140"/>
      <c r="N339" s="64" t="s">
        <v>3750</v>
      </c>
      <c r="O339" s="68"/>
      <c r="P339" s="170"/>
      <c r="Q339" s="149"/>
      <c r="R339" s="141"/>
      <c r="S339" s="141"/>
      <c r="T339" s="141">
        <v>2598000.0</v>
      </c>
      <c r="U339" s="149"/>
      <c r="V339" s="149"/>
      <c r="W339" s="149"/>
      <c r="X339" s="68"/>
      <c r="Y339" s="68"/>
      <c r="Z339" s="68"/>
    </row>
    <row r="340" ht="15.0" customHeight="1">
      <c r="A340" s="139">
        <v>45841.0</v>
      </c>
      <c r="B340" s="148" t="s">
        <v>3751</v>
      </c>
      <c r="C340" s="64" t="s">
        <v>3499</v>
      </c>
      <c r="D340" s="140" t="str">
        <f>IFERROR(VLOOKUP(C340,Stock,3,FALSE),"")</f>
        <v>Honda Brio 10- / Mobilio 11-</v>
      </c>
      <c r="E340" s="64">
        <v>1.0</v>
      </c>
      <c r="F340" s="141">
        <v>1300000.0</v>
      </c>
      <c r="G340" s="142">
        <f t="shared" si="12"/>
        <v>1300000</v>
      </c>
      <c r="H340" s="142"/>
      <c r="I340" s="143">
        <f t="shared" si="13"/>
        <v>1300000</v>
      </c>
      <c r="J340" s="144">
        <f t="shared" si="18"/>
        <v>1300000</v>
      </c>
      <c r="K340" s="145" t="s">
        <v>3752</v>
      </c>
      <c r="L340" s="176" t="s">
        <v>3753</v>
      </c>
      <c r="M340" s="140"/>
      <c r="N340" s="64" t="s">
        <v>3754</v>
      </c>
      <c r="O340" s="64" t="s">
        <v>2813</v>
      </c>
      <c r="P340" s="147" t="s">
        <v>2761</v>
      </c>
      <c r="Q340" s="149"/>
      <c r="R340" s="149"/>
      <c r="S340" s="149"/>
      <c r="T340" s="149"/>
      <c r="U340" s="149"/>
      <c r="V340" s="149"/>
      <c r="W340" s="149"/>
      <c r="X340" s="68"/>
      <c r="Y340" s="68"/>
      <c r="Z340" s="68"/>
    </row>
    <row r="341" ht="15.0" customHeight="1">
      <c r="A341" s="139">
        <v>45841.0</v>
      </c>
      <c r="B341" s="148" t="s">
        <v>3755</v>
      </c>
      <c r="C341" s="64" t="s">
        <v>3756</v>
      </c>
      <c r="D341" s="140" t="str">
        <f>IFERROR(VLOOKUP(C341,Stock,3,FALSE),"")</f>
        <v>Daihatsu Gran Max / Luxio 07-</v>
      </c>
      <c r="E341" s="64">
        <v>1.0</v>
      </c>
      <c r="F341" s="141">
        <v>450000.0</v>
      </c>
      <c r="G341" s="142">
        <f t="shared" si="12"/>
        <v>450000</v>
      </c>
      <c r="H341" s="142"/>
      <c r="I341" s="143">
        <f t="shared" si="13"/>
        <v>450000</v>
      </c>
      <c r="J341" s="144">
        <f t="shared" si="18"/>
        <v>450000</v>
      </c>
      <c r="K341" s="155"/>
      <c r="L341" s="140"/>
      <c r="M341" s="140"/>
      <c r="N341" s="68"/>
      <c r="O341" s="68"/>
      <c r="P341" s="170"/>
      <c r="Q341" s="149"/>
      <c r="R341" s="149"/>
      <c r="S341" s="149"/>
      <c r="T341" s="149"/>
      <c r="U341" s="149"/>
      <c r="V341" s="149"/>
      <c r="W341" s="149"/>
      <c r="X341" s="68"/>
      <c r="Y341" s="68"/>
      <c r="Z341" s="68"/>
    </row>
    <row r="342" ht="15.0" customHeight="1">
      <c r="A342" s="139">
        <v>45841.0</v>
      </c>
      <c r="B342" s="148" t="s">
        <v>3757</v>
      </c>
      <c r="C342" s="64" t="s">
        <v>3758</v>
      </c>
      <c r="D342" s="140" t="str">
        <f>IFERROR(VLOOKUP(C342,Stock,3,FALSE),"")</f>
        <v>Honda HR-V 14-21 5D SUV</v>
      </c>
      <c r="E342" s="64">
        <v>1.0</v>
      </c>
      <c r="F342" s="141">
        <v>802000.0</v>
      </c>
      <c r="G342" s="142">
        <f t="shared" si="12"/>
        <v>802000</v>
      </c>
      <c r="H342" s="142"/>
      <c r="I342" s="143">
        <f t="shared" si="13"/>
        <v>802000</v>
      </c>
      <c r="J342" s="144">
        <f t="shared" si="18"/>
        <v>802000</v>
      </c>
      <c r="K342" s="145" t="s">
        <v>3759</v>
      </c>
      <c r="L342" s="146" t="s">
        <v>3760</v>
      </c>
      <c r="M342" s="140"/>
      <c r="N342" s="68"/>
      <c r="O342" s="68"/>
      <c r="P342" s="170"/>
      <c r="Q342" s="149"/>
      <c r="R342" s="149"/>
      <c r="S342" s="149"/>
      <c r="T342" s="149"/>
      <c r="U342" s="149"/>
      <c r="V342" s="149"/>
      <c r="W342" s="141" t="s">
        <v>3761</v>
      </c>
      <c r="X342" s="68"/>
      <c r="Y342" s="68"/>
      <c r="Z342" s="68"/>
    </row>
    <row r="343" ht="15.0" customHeight="1">
      <c r="A343" s="139">
        <v>45841.0</v>
      </c>
      <c r="B343" s="148" t="s">
        <v>3757</v>
      </c>
      <c r="C343" s="64" t="s">
        <v>2770</v>
      </c>
      <c r="D343" s="140" t="str">
        <f>IFERROR(VLOOKUP(C343,Stock,3,FALSE),"")</f>
        <v>Transport</v>
      </c>
      <c r="E343" s="64">
        <v>1.0</v>
      </c>
      <c r="F343" s="141">
        <v>200000.0</v>
      </c>
      <c r="G343" s="142">
        <f t="shared" si="12"/>
        <v>200000</v>
      </c>
      <c r="H343" s="142"/>
      <c r="I343" s="143">
        <f t="shared" si="13"/>
        <v>200000</v>
      </c>
      <c r="J343" s="144">
        <f t="shared" si="18"/>
        <v>200000</v>
      </c>
      <c r="K343" s="155"/>
      <c r="L343" s="140"/>
      <c r="M343" s="140"/>
      <c r="N343" s="68"/>
      <c r="O343" s="68"/>
      <c r="P343" s="170"/>
      <c r="Q343" s="149"/>
      <c r="R343" s="149"/>
      <c r="S343" s="149"/>
      <c r="T343" s="149"/>
      <c r="U343" s="149"/>
      <c r="V343" s="149"/>
      <c r="W343" s="149"/>
      <c r="X343" s="68"/>
      <c r="Y343" s="68"/>
      <c r="Z343" s="68"/>
    </row>
    <row r="344" ht="15.0" customHeight="1">
      <c r="A344" s="139">
        <v>45841.0</v>
      </c>
      <c r="B344" s="148" t="s">
        <v>3762</v>
      </c>
      <c r="C344" s="64" t="s">
        <v>2869</v>
      </c>
      <c r="D344" s="140" t="str">
        <f>IFERROR(VLOOKUP(C344,Stock,3,FALSE),"")</f>
        <v>Daihatsu Gran Max / Luxio 07-</v>
      </c>
      <c r="E344" s="64">
        <v>1.0</v>
      </c>
      <c r="F344" s="141">
        <v>1000000.0</v>
      </c>
      <c r="G344" s="142">
        <f t="shared" si="12"/>
        <v>1000000</v>
      </c>
      <c r="H344" s="142"/>
      <c r="I344" s="143">
        <f t="shared" si="13"/>
        <v>1000000</v>
      </c>
      <c r="J344" s="144">
        <f t="shared" si="18"/>
        <v>1000000</v>
      </c>
      <c r="K344" s="145" t="s">
        <v>3763</v>
      </c>
      <c r="L344" s="146" t="s">
        <v>3764</v>
      </c>
      <c r="M344" s="140"/>
      <c r="N344" s="68"/>
      <c r="O344" s="68"/>
      <c r="P344" s="170"/>
      <c r="Q344" s="149"/>
      <c r="R344" s="149"/>
      <c r="S344" s="149"/>
      <c r="T344" s="149"/>
      <c r="U344" s="149"/>
      <c r="V344" s="149"/>
      <c r="W344" s="149"/>
      <c r="X344" s="68"/>
      <c r="Y344" s="68"/>
      <c r="Z344" s="68"/>
    </row>
    <row r="345" ht="15.0" customHeight="1">
      <c r="A345" s="139">
        <v>45841.0</v>
      </c>
      <c r="B345" s="148" t="s">
        <v>3765</v>
      </c>
      <c r="C345" s="64" t="s">
        <v>3766</v>
      </c>
      <c r="D345" s="140" t="str">
        <f>IFERROR(VLOOKUP(C345,Stock,3,FALSE),"")</f>
        <v>Toyota Avanza / Xenia 21- 4th Gen</v>
      </c>
      <c r="E345" s="64">
        <v>1.0</v>
      </c>
      <c r="F345" s="141">
        <v>500000.0</v>
      </c>
      <c r="G345" s="142">
        <f t="shared" si="12"/>
        <v>500000</v>
      </c>
      <c r="H345" s="142"/>
      <c r="I345" s="143">
        <f t="shared" si="13"/>
        <v>500000</v>
      </c>
      <c r="J345" s="144">
        <f t="shared" si="18"/>
        <v>500000</v>
      </c>
      <c r="K345" s="145" t="s">
        <v>3767</v>
      </c>
      <c r="L345" s="146" t="s">
        <v>3768</v>
      </c>
      <c r="M345" s="140"/>
      <c r="N345" s="68"/>
      <c r="O345" s="68"/>
      <c r="P345" s="170"/>
      <c r="Q345" s="149"/>
      <c r="R345" s="141"/>
      <c r="S345" s="141"/>
      <c r="T345" s="141">
        <v>500000.0</v>
      </c>
      <c r="U345" s="149"/>
      <c r="V345" s="149"/>
      <c r="W345" s="149"/>
      <c r="X345" s="68"/>
      <c r="Y345" s="68"/>
      <c r="Z345" s="68"/>
    </row>
    <row r="346" ht="15.0" customHeight="1">
      <c r="A346" s="139">
        <v>45842.0</v>
      </c>
      <c r="B346" s="148" t="s">
        <v>3769</v>
      </c>
      <c r="C346" s="64" t="s">
        <v>3770</v>
      </c>
      <c r="D346" s="140" t="str">
        <f>IFERROR(VLOOKUP(C346,Stock,3,FALSE),"")</f>
        <v>Nissan Serena 99-10 MKII C24</v>
      </c>
      <c r="E346" s="64">
        <v>1.0</v>
      </c>
      <c r="F346" s="141">
        <v>2900000.0</v>
      </c>
      <c r="G346" s="142">
        <f t="shared" si="12"/>
        <v>2900000</v>
      </c>
      <c r="H346" s="142"/>
      <c r="I346" s="143">
        <f t="shared" si="13"/>
        <v>2900000</v>
      </c>
      <c r="J346" s="144">
        <f t="shared" si="18"/>
        <v>2900000</v>
      </c>
      <c r="K346" s="145" t="s">
        <v>3771</v>
      </c>
      <c r="L346" s="146" t="s">
        <v>3772</v>
      </c>
      <c r="M346" s="140"/>
      <c r="N346" s="68"/>
      <c r="O346" s="68"/>
      <c r="P346" s="147" t="s">
        <v>3773</v>
      </c>
      <c r="Q346" s="149"/>
      <c r="R346" s="149"/>
      <c r="S346" s="149"/>
      <c r="T346" s="149"/>
      <c r="U346" s="149"/>
      <c r="V346" s="149"/>
      <c r="W346" s="149"/>
      <c r="X346" s="68"/>
      <c r="Y346" s="68"/>
      <c r="Z346" s="68"/>
    </row>
    <row r="347" ht="15.0" customHeight="1">
      <c r="A347" s="139">
        <v>45842.0</v>
      </c>
      <c r="B347" s="148" t="s">
        <v>3774</v>
      </c>
      <c r="C347" s="64" t="s">
        <v>3775</v>
      </c>
      <c r="D347" s="140" t="str">
        <f>IFERROR(VLOOKUP(C347,Stock,3,FALSE),"")</f>
        <v>Toyota Fortuner 15-  2nd Gen / Toyota Hilux Pickup 15- (Revo)</v>
      </c>
      <c r="E347" s="64">
        <v>1.0</v>
      </c>
      <c r="F347" s="141">
        <v>812000.0</v>
      </c>
      <c r="G347" s="142">
        <f t="shared" si="12"/>
        <v>812000</v>
      </c>
      <c r="H347" s="142"/>
      <c r="I347" s="143">
        <f t="shared" si="13"/>
        <v>812000</v>
      </c>
      <c r="J347" s="144">
        <f t="shared" si="18"/>
        <v>812000</v>
      </c>
      <c r="K347" s="145" t="s">
        <v>3776</v>
      </c>
      <c r="L347" s="146" t="s">
        <v>3777</v>
      </c>
      <c r="M347" s="140"/>
      <c r="N347" s="68"/>
      <c r="O347" s="68"/>
      <c r="P347" s="170"/>
      <c r="Q347" s="149"/>
      <c r="R347" s="149"/>
      <c r="S347" s="149"/>
      <c r="T347" s="149"/>
      <c r="U347" s="149"/>
      <c r="V347" s="149"/>
      <c r="W347" s="141"/>
      <c r="X347" s="64" t="s">
        <v>2936</v>
      </c>
      <c r="Y347" s="64"/>
      <c r="Z347" s="68"/>
    </row>
    <row r="348" ht="15.0" customHeight="1">
      <c r="A348" s="139">
        <v>45842.0</v>
      </c>
      <c r="B348" s="148" t="s">
        <v>3774</v>
      </c>
      <c r="C348" s="64" t="s">
        <v>2770</v>
      </c>
      <c r="D348" s="140" t="str">
        <f>IFERROR(VLOOKUP(C348,Stock,3,FALSE),"")</f>
        <v>Transport</v>
      </c>
      <c r="E348" s="64">
        <v>1.0</v>
      </c>
      <c r="F348" s="141">
        <v>30000.0</v>
      </c>
      <c r="G348" s="142">
        <f t="shared" si="12"/>
        <v>30000</v>
      </c>
      <c r="H348" s="142"/>
      <c r="I348" s="143">
        <f t="shared" si="13"/>
        <v>30000</v>
      </c>
      <c r="J348" s="144">
        <f t="shared" si="18"/>
        <v>30000</v>
      </c>
      <c r="K348" s="145" t="s">
        <v>3776</v>
      </c>
      <c r="L348" s="146" t="s">
        <v>3777</v>
      </c>
      <c r="M348" s="140"/>
      <c r="N348" s="68"/>
      <c r="O348" s="68"/>
      <c r="P348" s="170"/>
      <c r="Q348" s="149"/>
      <c r="R348" s="149"/>
      <c r="S348" s="149"/>
      <c r="T348" s="149"/>
      <c r="U348" s="149"/>
      <c r="V348" s="149"/>
      <c r="W348" s="149"/>
      <c r="X348" s="64" t="s">
        <v>2936</v>
      </c>
      <c r="Y348" s="64"/>
      <c r="Z348" s="68"/>
    </row>
    <row r="349" ht="15.0" customHeight="1">
      <c r="A349" s="139">
        <v>45842.0</v>
      </c>
      <c r="B349" s="148" t="s">
        <v>3778</v>
      </c>
      <c r="C349" s="64" t="s">
        <v>3727</v>
      </c>
      <c r="D349" s="140" t="str">
        <f>IFERROR(VLOOKUP(C349,Stock,3,FALSE),"")</f>
        <v>Toyota Innova 15- 2nd Gen</v>
      </c>
      <c r="E349" s="64">
        <v>1.0</v>
      </c>
      <c r="F349" s="141">
        <v>1750000.0</v>
      </c>
      <c r="G349" s="142">
        <f t="shared" si="12"/>
        <v>1750000</v>
      </c>
      <c r="H349" s="142"/>
      <c r="I349" s="143">
        <f t="shared" si="13"/>
        <v>1750000</v>
      </c>
      <c r="J349" s="144">
        <f t="shared" si="18"/>
        <v>1750000</v>
      </c>
      <c r="K349" s="145" t="s">
        <v>3779</v>
      </c>
      <c r="L349" s="146" t="s">
        <v>3780</v>
      </c>
      <c r="M349" s="140"/>
      <c r="N349" s="64" t="s">
        <v>3781</v>
      </c>
      <c r="O349" s="68"/>
      <c r="P349" s="170"/>
      <c r="Q349" s="149"/>
      <c r="R349" s="149"/>
      <c r="S349" s="149"/>
      <c r="T349" s="149"/>
      <c r="U349" s="149"/>
      <c r="V349" s="149"/>
      <c r="W349" s="149"/>
      <c r="X349" s="64" t="s">
        <v>2936</v>
      </c>
      <c r="Y349" s="64"/>
      <c r="Z349" s="68"/>
    </row>
    <row r="350" ht="15.0" customHeight="1">
      <c r="A350" s="139">
        <v>45842.0</v>
      </c>
      <c r="B350" s="148" t="s">
        <v>3782</v>
      </c>
      <c r="C350" s="64" t="s">
        <v>3025</v>
      </c>
      <c r="D350" s="140" t="str">
        <f>IFERROR(VLOOKUP(C350,Stock,3,FALSE),"")</f>
        <v>Toyota Innova 15- 2nd Gen</v>
      </c>
      <c r="E350" s="64">
        <v>1.0</v>
      </c>
      <c r="F350" s="141">
        <v>650000.0</v>
      </c>
      <c r="G350" s="142">
        <f t="shared" si="12"/>
        <v>650000</v>
      </c>
      <c r="H350" s="142"/>
      <c r="I350" s="143">
        <f t="shared" si="13"/>
        <v>650000</v>
      </c>
      <c r="J350" s="144">
        <f t="shared" si="18"/>
        <v>650000</v>
      </c>
      <c r="K350" s="145" t="s">
        <v>3783</v>
      </c>
      <c r="L350" s="146" t="s">
        <v>3784</v>
      </c>
      <c r="M350" s="140"/>
      <c r="N350" s="68"/>
      <c r="O350" s="68"/>
      <c r="P350" s="170"/>
      <c r="Q350" s="149"/>
      <c r="R350" s="149"/>
      <c r="S350" s="149"/>
      <c r="T350" s="149"/>
      <c r="U350" s="149"/>
      <c r="V350" s="149"/>
      <c r="W350" s="149"/>
      <c r="X350" s="64" t="s">
        <v>2936</v>
      </c>
      <c r="Y350" s="64"/>
      <c r="Z350" s="68"/>
    </row>
    <row r="351" ht="15.0" customHeight="1">
      <c r="A351" s="139">
        <v>45842.0</v>
      </c>
      <c r="B351" s="148" t="s">
        <v>3782</v>
      </c>
      <c r="C351" s="64" t="s">
        <v>2770</v>
      </c>
      <c r="D351" s="140" t="str">
        <f>IFERROR(VLOOKUP(C351,Stock,3,FALSE),"")</f>
        <v>Transport</v>
      </c>
      <c r="E351" s="64">
        <v>1.0</v>
      </c>
      <c r="F351" s="141">
        <v>50000.0</v>
      </c>
      <c r="G351" s="142">
        <f t="shared" si="12"/>
        <v>50000</v>
      </c>
      <c r="H351" s="142"/>
      <c r="I351" s="143">
        <f t="shared" si="13"/>
        <v>50000</v>
      </c>
      <c r="J351" s="144">
        <f t="shared" si="18"/>
        <v>50000</v>
      </c>
      <c r="K351" s="145" t="s">
        <v>3783</v>
      </c>
      <c r="L351" s="146" t="s">
        <v>3784</v>
      </c>
      <c r="M351" s="140"/>
      <c r="N351" s="68"/>
      <c r="O351" s="68"/>
      <c r="P351" s="170"/>
      <c r="Q351" s="149"/>
      <c r="R351" s="149"/>
      <c r="S351" s="149"/>
      <c r="T351" s="149"/>
      <c r="U351" s="149"/>
      <c r="V351" s="149"/>
      <c r="W351" s="149"/>
      <c r="X351" s="64" t="s">
        <v>2936</v>
      </c>
      <c r="Y351" s="64"/>
      <c r="Z351" s="68"/>
    </row>
    <row r="352" ht="15.0" customHeight="1">
      <c r="A352" s="139">
        <v>45842.0</v>
      </c>
      <c r="B352" s="148" t="s">
        <v>3785</v>
      </c>
      <c r="C352" s="64" t="s">
        <v>3727</v>
      </c>
      <c r="D352" s="140" t="str">
        <f>IFERROR(VLOOKUP(C352,Stock,3,FALSE),"")</f>
        <v>Toyota Innova 15- 2nd Gen</v>
      </c>
      <c r="E352" s="64">
        <v>1.0</v>
      </c>
      <c r="F352" s="141">
        <v>1750000.0</v>
      </c>
      <c r="G352" s="142">
        <f t="shared" si="12"/>
        <v>1750000</v>
      </c>
      <c r="H352" s="142"/>
      <c r="I352" s="143">
        <f t="shared" si="13"/>
        <v>1750000</v>
      </c>
      <c r="J352" s="144">
        <f t="shared" si="18"/>
        <v>1750000</v>
      </c>
      <c r="K352" s="145" t="s">
        <v>3786</v>
      </c>
      <c r="L352" s="146" t="s">
        <v>3787</v>
      </c>
      <c r="M352" s="140"/>
      <c r="N352" s="64" t="s">
        <v>3788</v>
      </c>
      <c r="O352" s="68"/>
      <c r="P352" s="170"/>
      <c r="Q352" s="149"/>
      <c r="R352" s="149"/>
      <c r="S352" s="149"/>
      <c r="T352" s="149"/>
      <c r="U352" s="149"/>
      <c r="V352" s="149"/>
      <c r="W352" s="149"/>
      <c r="X352" s="68"/>
      <c r="Y352" s="68"/>
      <c r="Z352" s="68"/>
    </row>
    <row r="353" ht="15.0" customHeight="1">
      <c r="A353" s="139">
        <v>45842.0</v>
      </c>
      <c r="B353" s="148" t="s">
        <v>3789</v>
      </c>
      <c r="C353" s="64" t="s">
        <v>3790</v>
      </c>
      <c r="D353" s="140" t="str">
        <f>IFERROR(VLOOKUP(C353,Stock,3,FALSE),"")</f>
        <v>Nissan Serena 99-10 MKII C24</v>
      </c>
      <c r="E353" s="64">
        <v>1.0</v>
      </c>
      <c r="F353" s="141">
        <v>1999000.0</v>
      </c>
      <c r="G353" s="142">
        <f t="shared" si="12"/>
        <v>1999000</v>
      </c>
      <c r="H353" s="142"/>
      <c r="I353" s="143">
        <f t="shared" si="13"/>
        <v>1999000</v>
      </c>
      <c r="J353" s="144">
        <f t="shared" si="18"/>
        <v>1999000</v>
      </c>
      <c r="K353" s="145" t="s">
        <v>3791</v>
      </c>
      <c r="L353" s="146" t="s">
        <v>3792</v>
      </c>
      <c r="M353" s="140"/>
      <c r="N353" s="64" t="s">
        <v>3793</v>
      </c>
      <c r="O353" s="68"/>
      <c r="P353" s="170"/>
      <c r="Q353" s="149"/>
      <c r="R353" s="149"/>
      <c r="S353" s="149"/>
      <c r="T353" s="149"/>
      <c r="U353" s="149"/>
      <c r="V353" s="149"/>
      <c r="W353" s="149"/>
      <c r="X353" s="68"/>
      <c r="Y353" s="68"/>
      <c r="Z353" s="68"/>
    </row>
    <row r="354" ht="15.0" customHeight="1">
      <c r="A354" s="139">
        <v>45842.0</v>
      </c>
      <c r="B354" s="148" t="s">
        <v>3794</v>
      </c>
      <c r="C354" s="64" t="s">
        <v>3795</v>
      </c>
      <c r="D354" s="140" t="str">
        <f>IFERROR(VLOOKUP(C354,Stock,3,FALSE),"")</f>
        <v>Toyota Agya/Ayla 23- 2nd Gen</v>
      </c>
      <c r="E354" s="64">
        <v>1.0</v>
      </c>
      <c r="F354" s="141">
        <v>1217000.0</v>
      </c>
      <c r="G354" s="142">
        <f t="shared" si="12"/>
        <v>1217000</v>
      </c>
      <c r="H354" s="142"/>
      <c r="I354" s="143">
        <f t="shared" si="13"/>
        <v>1217000</v>
      </c>
      <c r="J354" s="144">
        <f t="shared" si="18"/>
        <v>1217000</v>
      </c>
      <c r="K354" s="145" t="s">
        <v>3796</v>
      </c>
      <c r="L354" s="140"/>
      <c r="M354" s="140"/>
      <c r="N354" s="68"/>
      <c r="O354" s="68"/>
      <c r="P354" s="170"/>
      <c r="Q354" s="149"/>
      <c r="R354" s="149"/>
      <c r="S354" s="149"/>
      <c r="T354" s="149"/>
      <c r="U354" s="149"/>
      <c r="V354" s="149"/>
      <c r="W354" s="149"/>
      <c r="X354" s="68"/>
      <c r="Y354" s="68"/>
      <c r="Z354" s="68"/>
    </row>
    <row r="355" ht="15.0" customHeight="1">
      <c r="A355" s="139">
        <v>45842.0</v>
      </c>
      <c r="B355" s="148" t="s">
        <v>3797</v>
      </c>
      <c r="C355" s="64" t="s">
        <v>3798</v>
      </c>
      <c r="D355" s="140" t="str">
        <f>IFERROR(VLOOKUP(C355,Stock,3,FALSE),"")</f>
        <v>Daihatsu Taruna</v>
      </c>
      <c r="E355" s="64">
        <v>1.0</v>
      </c>
      <c r="F355" s="141">
        <v>485000.0</v>
      </c>
      <c r="G355" s="142">
        <f t="shared" si="12"/>
        <v>485000</v>
      </c>
      <c r="H355" s="142"/>
      <c r="I355" s="143">
        <f t="shared" si="13"/>
        <v>485000</v>
      </c>
      <c r="J355" s="144">
        <f t="shared" si="18"/>
        <v>485000</v>
      </c>
      <c r="K355" s="155"/>
      <c r="L355" s="146" t="s">
        <v>3799</v>
      </c>
      <c r="M355" s="140"/>
      <c r="N355" s="68"/>
      <c r="O355" s="68"/>
      <c r="P355" s="170"/>
      <c r="Q355" s="149"/>
      <c r="R355" s="149"/>
      <c r="S355" s="149"/>
      <c r="T355" s="149"/>
      <c r="U355" s="149"/>
      <c r="V355" s="149"/>
      <c r="W355" s="149"/>
      <c r="X355" s="68"/>
      <c r="Y355" s="68"/>
      <c r="Z355" s="68"/>
    </row>
    <row r="356" ht="15.0" customHeight="1">
      <c r="A356" s="139">
        <v>45842.0</v>
      </c>
      <c r="B356" s="148" t="s">
        <v>3800</v>
      </c>
      <c r="C356" s="64" t="s">
        <v>2778</v>
      </c>
      <c r="D356" s="140" t="str">
        <f>IFERROR(VLOOKUP(C356,Stock,3,FALSE),"")</f>
        <v>Bongkar Pasang Kaca Mobil Depan</v>
      </c>
      <c r="E356" s="64">
        <v>1.0</v>
      </c>
      <c r="F356" s="141">
        <v>400000.0</v>
      </c>
      <c r="G356" s="142">
        <f t="shared" si="12"/>
        <v>400000</v>
      </c>
      <c r="H356" s="142"/>
      <c r="I356" s="143">
        <f t="shared" si="13"/>
        <v>400000</v>
      </c>
      <c r="J356" s="144">
        <f t="shared" si="18"/>
        <v>400000</v>
      </c>
      <c r="K356" s="145" t="s">
        <v>3801</v>
      </c>
      <c r="L356" s="146" t="s">
        <v>3802</v>
      </c>
      <c r="M356" s="140"/>
      <c r="N356" s="64" t="s">
        <v>3803</v>
      </c>
      <c r="O356" s="64" t="s">
        <v>2813</v>
      </c>
      <c r="P356" s="147" t="s">
        <v>3804</v>
      </c>
      <c r="Q356" s="149"/>
      <c r="R356" s="149"/>
      <c r="S356" s="149"/>
      <c r="T356" s="149"/>
      <c r="U356" s="149"/>
      <c r="V356" s="149"/>
      <c r="W356" s="149"/>
      <c r="X356" s="68"/>
      <c r="Y356" s="68"/>
      <c r="Z356" s="68"/>
    </row>
    <row r="357" ht="15.0" customHeight="1">
      <c r="A357" s="139">
        <v>45842.0</v>
      </c>
      <c r="B357" s="148" t="s">
        <v>3805</v>
      </c>
      <c r="C357" s="64" t="s">
        <v>3806</v>
      </c>
      <c r="D357" s="140" t="str">
        <f>IFERROR(VLOOKUP(C357,Stock,3,FALSE),"")</f>
        <v>Honda CR-V 12-16 4th Gen [Lengkung]</v>
      </c>
      <c r="E357" s="64">
        <v>1.0</v>
      </c>
      <c r="F357" s="141">
        <v>1439000.0</v>
      </c>
      <c r="G357" s="142">
        <f t="shared" si="12"/>
        <v>1439000</v>
      </c>
      <c r="H357" s="142"/>
      <c r="I357" s="143">
        <f t="shared" si="13"/>
        <v>1439000</v>
      </c>
      <c r="J357" s="144">
        <f t="shared" si="18"/>
        <v>1439000</v>
      </c>
      <c r="K357" s="145" t="s">
        <v>3807</v>
      </c>
      <c r="L357" s="146" t="s">
        <v>3808</v>
      </c>
      <c r="M357" s="140"/>
      <c r="N357" s="64" t="s">
        <v>3809</v>
      </c>
      <c r="O357" s="64" t="s">
        <v>2813</v>
      </c>
      <c r="P357" s="170"/>
      <c r="Q357" s="149"/>
      <c r="R357" s="141"/>
      <c r="S357" s="141"/>
      <c r="T357" s="141">
        <v>30000.0</v>
      </c>
      <c r="U357" s="149"/>
      <c r="V357" s="149"/>
      <c r="W357" s="149"/>
      <c r="X357" s="64" t="s">
        <v>3810</v>
      </c>
      <c r="Y357" s="64"/>
      <c r="Z357" s="68"/>
    </row>
    <row r="358" ht="15.0" customHeight="1">
      <c r="A358" s="139">
        <v>45842.0</v>
      </c>
      <c r="B358" s="148" t="s">
        <v>3805</v>
      </c>
      <c r="C358" s="64" t="s">
        <v>2770</v>
      </c>
      <c r="D358" s="140" t="str">
        <f>IFERROR(VLOOKUP(C358,Stock,3,FALSE),"")</f>
        <v>Transport</v>
      </c>
      <c r="E358" s="64">
        <v>1.0</v>
      </c>
      <c r="F358" s="141">
        <v>80000.0</v>
      </c>
      <c r="G358" s="142">
        <f t="shared" si="12"/>
        <v>80000</v>
      </c>
      <c r="H358" s="142"/>
      <c r="I358" s="143">
        <f t="shared" si="13"/>
        <v>80000</v>
      </c>
      <c r="J358" s="144">
        <f t="shared" si="18"/>
        <v>80000</v>
      </c>
      <c r="K358" s="145" t="s">
        <v>3807</v>
      </c>
      <c r="L358" s="146" t="s">
        <v>3808</v>
      </c>
      <c r="M358" s="140"/>
      <c r="N358" s="64" t="s">
        <v>3809</v>
      </c>
      <c r="O358" s="64" t="s">
        <v>2813</v>
      </c>
      <c r="P358" s="170"/>
      <c r="Q358" s="149"/>
      <c r="R358" s="141"/>
      <c r="S358" s="141"/>
      <c r="T358" s="141">
        <v>1489000.0</v>
      </c>
      <c r="U358" s="149"/>
      <c r="V358" s="149"/>
      <c r="W358" s="149"/>
      <c r="X358" s="64" t="s">
        <v>3810</v>
      </c>
      <c r="Y358" s="64"/>
      <c r="Z358" s="68"/>
    </row>
    <row r="359" ht="15.0" customHeight="1">
      <c r="A359" s="139">
        <v>45842.0</v>
      </c>
      <c r="B359" s="148" t="s">
        <v>3811</v>
      </c>
      <c r="C359" s="177" t="s">
        <v>2830</v>
      </c>
      <c r="D359" s="140"/>
      <c r="E359" s="64"/>
      <c r="F359" s="141"/>
      <c r="G359" s="142"/>
      <c r="H359" s="142"/>
      <c r="I359" s="143"/>
      <c r="J359" s="144"/>
      <c r="K359" s="145"/>
      <c r="L359" s="64"/>
      <c r="M359" s="140"/>
      <c r="N359" s="64"/>
      <c r="O359" s="64"/>
      <c r="P359" s="170"/>
      <c r="Q359" s="149"/>
      <c r="R359" s="141"/>
      <c r="S359" s="141"/>
      <c r="T359" s="141"/>
      <c r="U359" s="149"/>
      <c r="V359" s="149"/>
      <c r="W359" s="149"/>
      <c r="X359" s="64"/>
      <c r="Y359" s="64"/>
      <c r="Z359" s="68"/>
    </row>
    <row r="360" ht="15.0" customHeight="1">
      <c r="A360" s="139">
        <v>45843.0</v>
      </c>
      <c r="B360" s="148" t="s">
        <v>3812</v>
      </c>
      <c r="C360" s="64" t="s">
        <v>2952</v>
      </c>
      <c r="D360" s="140" t="str">
        <f>IFERROR(VLOOKUP(C360,Stock,3,FALSE),"")</f>
        <v/>
      </c>
      <c r="E360" s="64">
        <v>1.0</v>
      </c>
      <c r="F360" s="141">
        <v>999000.0</v>
      </c>
      <c r="G360" s="142">
        <f t="shared" ref="G360:G376" si="19">E360*F360</f>
        <v>999000</v>
      </c>
      <c r="H360" s="142"/>
      <c r="I360" s="143">
        <f t="shared" ref="I360:I376" si="20">G360-H360</f>
        <v>999000</v>
      </c>
      <c r="J360" s="144">
        <f t="shared" ref="J360:J376" si="21">I360</f>
        <v>999000</v>
      </c>
      <c r="K360" s="145" t="s">
        <v>3813</v>
      </c>
      <c r="L360" s="146" t="s">
        <v>3814</v>
      </c>
      <c r="M360" s="140"/>
      <c r="N360" s="64" t="s">
        <v>3815</v>
      </c>
      <c r="O360" s="64" t="s">
        <v>2813</v>
      </c>
      <c r="P360" s="170"/>
      <c r="Q360" s="141">
        <v>999000.0</v>
      </c>
      <c r="R360" s="149"/>
      <c r="S360" s="149"/>
      <c r="T360" s="149"/>
      <c r="U360" s="149"/>
      <c r="V360" s="149"/>
      <c r="W360" s="149"/>
      <c r="X360" s="64" t="s">
        <v>3810</v>
      </c>
      <c r="Y360" s="64"/>
      <c r="Z360" s="68"/>
    </row>
    <row r="361" ht="15.0" customHeight="1">
      <c r="A361" s="139">
        <v>45843.0</v>
      </c>
      <c r="B361" s="148" t="s">
        <v>3816</v>
      </c>
      <c r="C361" s="64" t="s">
        <v>2869</v>
      </c>
      <c r="D361" s="140" t="str">
        <f>IFERROR(VLOOKUP(C361,Stock,3,FALSE),"")</f>
        <v>Daihatsu Gran Max / Luxio 07-</v>
      </c>
      <c r="E361" s="64">
        <v>1.0</v>
      </c>
      <c r="F361" s="141">
        <v>1000000.0</v>
      </c>
      <c r="G361" s="142">
        <f t="shared" si="19"/>
        <v>1000000</v>
      </c>
      <c r="H361" s="142"/>
      <c r="I361" s="143">
        <f t="shared" si="20"/>
        <v>1000000</v>
      </c>
      <c r="J361" s="144">
        <f t="shared" si="21"/>
        <v>1000000</v>
      </c>
      <c r="K361" s="145" t="s">
        <v>3817</v>
      </c>
      <c r="L361" s="146" t="s">
        <v>3818</v>
      </c>
      <c r="M361" s="140"/>
      <c r="N361" s="64" t="s">
        <v>3819</v>
      </c>
      <c r="O361" s="64" t="s">
        <v>2813</v>
      </c>
      <c r="P361" s="170"/>
      <c r="Q361" s="141">
        <v>1000000.0</v>
      </c>
      <c r="R361" s="149"/>
      <c r="S361" s="149"/>
      <c r="T361" s="149"/>
      <c r="U361" s="149"/>
      <c r="V361" s="149"/>
      <c r="W361" s="149"/>
      <c r="X361" s="64" t="s">
        <v>3810</v>
      </c>
      <c r="Y361" s="64"/>
      <c r="Z361" s="68"/>
    </row>
    <row r="362" ht="15.0" customHeight="1">
      <c r="A362" s="139">
        <v>45843.0</v>
      </c>
      <c r="B362" s="148" t="s">
        <v>3820</v>
      </c>
      <c r="C362" s="64" t="s">
        <v>3234</v>
      </c>
      <c r="D362" s="140" t="str">
        <f>IFERROR(VLOOKUP(C362,Stock,3,FALSE),"")</f>
        <v>Toyota Avanza / Xenia 21- 4th Gen (Non sensor)</v>
      </c>
      <c r="E362" s="64">
        <v>1.0</v>
      </c>
      <c r="F362" s="141">
        <v>1449000.0</v>
      </c>
      <c r="G362" s="142">
        <f t="shared" si="19"/>
        <v>1449000</v>
      </c>
      <c r="H362" s="142"/>
      <c r="I362" s="143">
        <f t="shared" si="20"/>
        <v>1449000</v>
      </c>
      <c r="J362" s="144">
        <f t="shared" si="21"/>
        <v>1449000</v>
      </c>
      <c r="K362" s="145" t="s">
        <v>3821</v>
      </c>
      <c r="L362" s="146" t="s">
        <v>3822</v>
      </c>
      <c r="M362" s="140"/>
      <c r="N362" s="64" t="s">
        <v>3823</v>
      </c>
      <c r="O362" s="64" t="s">
        <v>2813</v>
      </c>
      <c r="P362" s="170"/>
      <c r="Q362" s="141">
        <v>1449000.0</v>
      </c>
      <c r="R362" s="149"/>
      <c r="S362" s="149"/>
      <c r="T362" s="149"/>
      <c r="U362" s="149"/>
      <c r="V362" s="149"/>
      <c r="W362" s="149"/>
      <c r="X362" s="64" t="s">
        <v>3810</v>
      </c>
      <c r="Y362" s="64"/>
      <c r="Z362" s="68"/>
    </row>
    <row r="363" ht="15.0" customHeight="1">
      <c r="A363" s="139">
        <v>45843.0</v>
      </c>
      <c r="B363" s="148" t="s">
        <v>3824</v>
      </c>
      <c r="C363" s="64" t="s">
        <v>3302</v>
      </c>
      <c r="D363" s="140" t="str">
        <f>IFERROR(VLOOKUP(C363,Stock,3,FALSE),"")</f>
        <v>Nissan Livina 07-18 L10/L11</v>
      </c>
      <c r="E363" s="64">
        <v>1.0</v>
      </c>
      <c r="F363" s="141">
        <v>1370000.0</v>
      </c>
      <c r="G363" s="142">
        <f t="shared" si="19"/>
        <v>1370000</v>
      </c>
      <c r="H363" s="142"/>
      <c r="I363" s="143">
        <f t="shared" si="20"/>
        <v>1370000</v>
      </c>
      <c r="J363" s="144">
        <f t="shared" si="21"/>
        <v>1370000</v>
      </c>
      <c r="K363" s="145" t="s">
        <v>3825</v>
      </c>
      <c r="L363" s="146" t="s">
        <v>3826</v>
      </c>
      <c r="M363" s="140"/>
      <c r="N363" s="64" t="s">
        <v>3827</v>
      </c>
      <c r="O363" s="64" t="s">
        <v>2813</v>
      </c>
      <c r="P363" s="170"/>
      <c r="Q363" s="149"/>
      <c r="R363" s="141"/>
      <c r="S363" s="141"/>
      <c r="T363" s="141">
        <v>1370000.0</v>
      </c>
      <c r="U363" s="149"/>
      <c r="V363" s="149"/>
      <c r="W363" s="149"/>
      <c r="X363" s="64" t="s">
        <v>3810</v>
      </c>
      <c r="Y363" s="64"/>
      <c r="Z363" s="68"/>
    </row>
    <row r="364" ht="15.0" customHeight="1">
      <c r="A364" s="139">
        <v>45843.0</v>
      </c>
      <c r="B364" s="148" t="s">
        <v>3828</v>
      </c>
      <c r="C364" s="178" t="s">
        <v>3829</v>
      </c>
      <c r="D364" s="140" t="str">
        <f>IFERROR(VLOOKUP(C364,Stock,3,FALSE),"")</f>
        <v>Hyundai Accent Verna / Avega 01-12 Sedan</v>
      </c>
      <c r="E364" s="64">
        <v>1.0</v>
      </c>
      <c r="F364" s="141">
        <v>1713000.0</v>
      </c>
      <c r="G364" s="142">
        <f t="shared" si="19"/>
        <v>1713000</v>
      </c>
      <c r="H364" s="142"/>
      <c r="I364" s="143">
        <f t="shared" si="20"/>
        <v>1713000</v>
      </c>
      <c r="J364" s="144">
        <f t="shared" si="21"/>
        <v>1713000</v>
      </c>
      <c r="K364" s="145" t="s">
        <v>3830</v>
      </c>
      <c r="L364" s="146" t="s">
        <v>3831</v>
      </c>
      <c r="M364" s="140"/>
      <c r="N364" s="64" t="s">
        <v>3832</v>
      </c>
      <c r="O364" s="64" t="s">
        <v>2813</v>
      </c>
      <c r="P364" s="170"/>
      <c r="Q364" s="149"/>
      <c r="R364" s="141"/>
      <c r="S364" s="141"/>
      <c r="T364" s="141">
        <v>1713000.0</v>
      </c>
      <c r="U364" s="149"/>
      <c r="V364" s="149"/>
      <c r="W364" s="149"/>
      <c r="X364" s="64" t="s">
        <v>3810</v>
      </c>
      <c r="Y364" s="64"/>
      <c r="Z364" s="68"/>
    </row>
    <row r="365" ht="15.0" customHeight="1">
      <c r="A365" s="139">
        <v>45845.0</v>
      </c>
      <c r="B365" s="148" t="s">
        <v>3833</v>
      </c>
      <c r="C365" s="64" t="s">
        <v>2869</v>
      </c>
      <c r="D365" s="140" t="str">
        <f>IFERROR(VLOOKUP(C365,Stock,3,FALSE),"")</f>
        <v>Daihatsu Gran Max / Luxio 07-</v>
      </c>
      <c r="E365" s="64">
        <v>1.0</v>
      </c>
      <c r="F365" s="141">
        <v>1000000.0</v>
      </c>
      <c r="G365" s="142">
        <f t="shared" si="19"/>
        <v>1000000</v>
      </c>
      <c r="H365" s="142"/>
      <c r="I365" s="143">
        <f t="shared" si="20"/>
        <v>1000000</v>
      </c>
      <c r="J365" s="144">
        <f t="shared" si="21"/>
        <v>1000000</v>
      </c>
      <c r="K365" s="145" t="s">
        <v>3834</v>
      </c>
      <c r="L365" s="146" t="s">
        <v>3835</v>
      </c>
      <c r="M365" s="140"/>
      <c r="N365" s="64" t="s">
        <v>3836</v>
      </c>
      <c r="O365" s="64" t="s">
        <v>2813</v>
      </c>
      <c r="P365" s="170"/>
      <c r="Q365" s="141">
        <v>1000000.0</v>
      </c>
      <c r="R365" s="149"/>
      <c r="S365" s="149"/>
      <c r="T365" s="149"/>
      <c r="U365" s="149"/>
      <c r="V365" s="149"/>
      <c r="W365" s="149"/>
      <c r="X365" s="64" t="s">
        <v>3810</v>
      </c>
      <c r="Y365" s="64"/>
      <c r="Z365" s="68"/>
    </row>
    <row r="366" ht="15.0" customHeight="1">
      <c r="A366" s="139">
        <v>45845.0</v>
      </c>
      <c r="B366" s="148" t="s">
        <v>3837</v>
      </c>
      <c r="C366" s="64" t="s">
        <v>3838</v>
      </c>
      <c r="D366" s="140" t="str">
        <f>IFERROR(VLOOKUP(C366,Stock,3,FALSE),"")</f>
        <v>Mers-Benz C-Class 07-14 W204 (2 Sensor/ □Δ)</v>
      </c>
      <c r="E366" s="64">
        <v>1.0</v>
      </c>
      <c r="F366" s="141">
        <v>3822000.0</v>
      </c>
      <c r="G366" s="142">
        <f t="shared" si="19"/>
        <v>3822000</v>
      </c>
      <c r="H366" s="142"/>
      <c r="I366" s="143">
        <f t="shared" si="20"/>
        <v>3822000</v>
      </c>
      <c r="J366" s="144">
        <f t="shared" si="21"/>
        <v>3822000</v>
      </c>
      <c r="K366" s="145" t="s">
        <v>3839</v>
      </c>
      <c r="L366" s="146" t="s">
        <v>3840</v>
      </c>
      <c r="M366" s="140"/>
      <c r="N366" s="64" t="s">
        <v>3841</v>
      </c>
      <c r="O366" s="64" t="s">
        <v>2813</v>
      </c>
      <c r="P366" s="170"/>
      <c r="Q366" s="149"/>
      <c r="R366" s="141"/>
      <c r="S366" s="141"/>
      <c r="T366" s="141">
        <v>3822000.0</v>
      </c>
      <c r="U366" s="149"/>
      <c r="V366" s="149"/>
      <c r="W366" s="149"/>
      <c r="X366" s="64" t="s">
        <v>3810</v>
      </c>
      <c r="Y366" s="64"/>
      <c r="Z366" s="68"/>
    </row>
    <row r="367" ht="15.0" customHeight="1">
      <c r="A367" s="139">
        <v>45846.0</v>
      </c>
      <c r="B367" s="148" t="s">
        <v>3842</v>
      </c>
      <c r="C367" s="64" t="s">
        <v>3197</v>
      </c>
      <c r="D367" s="140" t="str">
        <f>IFERROR(VLOOKUP(C367,Stock,3,FALSE),"")</f>
        <v>Mitsubishi Strada Triton 16-</v>
      </c>
      <c r="E367" s="64">
        <v>1.0</v>
      </c>
      <c r="F367" s="141">
        <v>1399000.0</v>
      </c>
      <c r="G367" s="142">
        <f t="shared" si="19"/>
        <v>1399000</v>
      </c>
      <c r="H367" s="142"/>
      <c r="I367" s="143">
        <f t="shared" si="20"/>
        <v>1399000</v>
      </c>
      <c r="J367" s="144">
        <f t="shared" si="21"/>
        <v>1399000</v>
      </c>
      <c r="K367" s="145" t="s">
        <v>3843</v>
      </c>
      <c r="L367" s="146" t="s">
        <v>3844</v>
      </c>
      <c r="M367" s="140"/>
      <c r="N367" s="64" t="s">
        <v>3845</v>
      </c>
      <c r="O367" s="64" t="s">
        <v>2813</v>
      </c>
      <c r="P367" s="170"/>
      <c r="Q367" s="149"/>
      <c r="R367" s="141"/>
      <c r="S367" s="141"/>
      <c r="T367" s="141">
        <v>1449000.0</v>
      </c>
      <c r="U367" s="149"/>
      <c r="V367" s="149"/>
      <c r="W367" s="149"/>
      <c r="X367" s="64" t="s">
        <v>3810</v>
      </c>
      <c r="Y367" s="64"/>
      <c r="Z367" s="68"/>
    </row>
    <row r="368" ht="15.0" customHeight="1">
      <c r="A368" s="139">
        <v>45846.0</v>
      </c>
      <c r="B368" s="148" t="s">
        <v>3846</v>
      </c>
      <c r="C368" s="64" t="s">
        <v>2952</v>
      </c>
      <c r="D368" s="140" t="str">
        <f>IFERROR(VLOOKUP(C368,Stock,3,FALSE),"")</f>
        <v/>
      </c>
      <c r="E368" s="64">
        <v>1.0</v>
      </c>
      <c r="F368" s="141">
        <v>0.0</v>
      </c>
      <c r="G368" s="142">
        <f t="shared" si="19"/>
        <v>0</v>
      </c>
      <c r="H368" s="142"/>
      <c r="I368" s="143">
        <f t="shared" si="20"/>
        <v>0</v>
      </c>
      <c r="J368" s="144">
        <f t="shared" si="21"/>
        <v>0</v>
      </c>
      <c r="K368" s="145" t="s">
        <v>3847</v>
      </c>
      <c r="L368" s="140"/>
      <c r="M368" s="140"/>
      <c r="N368" s="68"/>
      <c r="O368" s="68"/>
      <c r="P368" s="170"/>
      <c r="Q368" s="149"/>
      <c r="R368" s="149"/>
      <c r="S368" s="149"/>
      <c r="T368" s="149"/>
      <c r="U368" s="149"/>
      <c r="V368" s="149"/>
      <c r="W368" s="149"/>
      <c r="X368" s="68"/>
      <c r="Y368" s="68"/>
      <c r="Z368" s="68"/>
    </row>
    <row r="369" ht="15.0" customHeight="1">
      <c r="A369" s="139">
        <v>45846.0</v>
      </c>
      <c r="B369" s="148" t="s">
        <v>3848</v>
      </c>
      <c r="C369" s="64" t="s">
        <v>3849</v>
      </c>
      <c r="D369" s="140" t="str">
        <f>IFERROR(VLOOKUP(C369,Stock,3,FALSE),"")</f>
        <v>Toyota Yaris 13- 2nd Gen / Vios 14- 3rd Gen</v>
      </c>
      <c r="E369" s="64">
        <v>1.0</v>
      </c>
      <c r="F369" s="141">
        <v>1599000.0</v>
      </c>
      <c r="G369" s="142">
        <f t="shared" si="19"/>
        <v>1599000</v>
      </c>
      <c r="H369" s="142"/>
      <c r="I369" s="143">
        <f t="shared" si="20"/>
        <v>1599000</v>
      </c>
      <c r="J369" s="144">
        <f t="shared" si="21"/>
        <v>1599000</v>
      </c>
      <c r="K369" s="145" t="s">
        <v>3850</v>
      </c>
      <c r="L369" s="146" t="s">
        <v>3851</v>
      </c>
      <c r="M369" s="140"/>
      <c r="N369" s="64" t="s">
        <v>3852</v>
      </c>
      <c r="O369" s="64" t="s">
        <v>2813</v>
      </c>
      <c r="P369" s="170"/>
      <c r="Q369" s="149"/>
      <c r="R369" s="149"/>
      <c r="S369" s="149"/>
      <c r="T369" s="149"/>
      <c r="U369" s="149"/>
      <c r="V369" s="149"/>
      <c r="W369" s="149"/>
      <c r="X369" s="64" t="s">
        <v>2914</v>
      </c>
      <c r="Y369" s="64"/>
      <c r="Z369" s="68"/>
    </row>
    <row r="370" ht="15.0" customHeight="1">
      <c r="A370" s="139">
        <v>45846.0</v>
      </c>
      <c r="B370" s="148" t="s">
        <v>3853</v>
      </c>
      <c r="C370" s="64" t="s">
        <v>2973</v>
      </c>
      <c r="D370" s="140" t="str">
        <f>IFERROR(VLOOKUP(C370,Stock,3,FALSE),"")</f>
        <v>Suzuki Carry New 19-</v>
      </c>
      <c r="E370" s="64">
        <v>1.0</v>
      </c>
      <c r="F370" s="141">
        <v>1150000.0</v>
      </c>
      <c r="G370" s="142">
        <f t="shared" si="19"/>
        <v>1150000</v>
      </c>
      <c r="H370" s="142"/>
      <c r="I370" s="143">
        <f t="shared" si="20"/>
        <v>1150000</v>
      </c>
      <c r="J370" s="144">
        <f t="shared" si="21"/>
        <v>1150000</v>
      </c>
      <c r="K370" s="145" t="s">
        <v>3854</v>
      </c>
      <c r="L370" s="146" t="s">
        <v>3855</v>
      </c>
      <c r="M370" s="140"/>
      <c r="N370" s="64" t="s">
        <v>3856</v>
      </c>
      <c r="O370" s="64" t="s">
        <v>2813</v>
      </c>
      <c r="P370" s="170"/>
      <c r="Q370" s="149"/>
      <c r="R370" s="141"/>
      <c r="S370" s="141"/>
      <c r="T370" s="141">
        <v>1150000.0</v>
      </c>
      <c r="U370" s="149"/>
      <c r="V370" s="149"/>
      <c r="W370" s="149"/>
      <c r="X370" s="64" t="s">
        <v>3810</v>
      </c>
      <c r="Y370" s="64"/>
      <c r="Z370" s="68"/>
    </row>
    <row r="371" ht="15.0" customHeight="1">
      <c r="A371" s="139">
        <v>45846.0</v>
      </c>
      <c r="B371" s="148" t="s">
        <v>3857</v>
      </c>
      <c r="C371" s="64" t="s">
        <v>3858</v>
      </c>
      <c r="D371" s="140" t="str">
        <f>IFERROR(VLOOKUP(C371,Stock,3,FALSE),"")</f>
        <v>Daihatsu Luxio 07-</v>
      </c>
      <c r="E371" s="64">
        <v>1.0</v>
      </c>
      <c r="F371" s="141">
        <v>900000.0</v>
      </c>
      <c r="G371" s="142">
        <f t="shared" si="19"/>
        <v>900000</v>
      </c>
      <c r="H371" s="142"/>
      <c r="I371" s="143">
        <f t="shared" si="20"/>
        <v>900000</v>
      </c>
      <c r="J371" s="144">
        <f t="shared" si="21"/>
        <v>900000</v>
      </c>
      <c r="K371" s="145" t="s">
        <v>3859</v>
      </c>
      <c r="L371" s="146" t="s">
        <v>3860</v>
      </c>
      <c r="M371" s="140"/>
      <c r="N371" s="64" t="s">
        <v>3861</v>
      </c>
      <c r="O371" s="64" t="s">
        <v>2813</v>
      </c>
      <c r="P371" s="170"/>
      <c r="Q371" s="149"/>
      <c r="R371" s="141"/>
      <c r="S371" s="141"/>
      <c r="T371" s="141">
        <v>900000.0</v>
      </c>
      <c r="U371" s="149"/>
      <c r="V371" s="149"/>
      <c r="W371" s="149"/>
      <c r="X371" s="64" t="s">
        <v>3810</v>
      </c>
      <c r="Y371" s="64"/>
      <c r="Z371" s="68"/>
    </row>
    <row r="372" ht="15.0" customHeight="1">
      <c r="A372" s="139">
        <v>45846.0</v>
      </c>
      <c r="B372" s="148" t="s">
        <v>3862</v>
      </c>
      <c r="C372" s="64" t="s">
        <v>3197</v>
      </c>
      <c r="D372" s="140" t="str">
        <f>IFERROR(VLOOKUP(C372,Stock,3,FALSE),"")</f>
        <v>Mitsubishi Strada Triton 16-</v>
      </c>
      <c r="E372" s="64">
        <v>1.0</v>
      </c>
      <c r="F372" s="141">
        <v>1459000.0</v>
      </c>
      <c r="G372" s="142">
        <f t="shared" si="19"/>
        <v>1459000</v>
      </c>
      <c r="H372" s="142"/>
      <c r="I372" s="143">
        <f t="shared" si="20"/>
        <v>1459000</v>
      </c>
      <c r="J372" s="144">
        <f t="shared" si="21"/>
        <v>1459000</v>
      </c>
      <c r="K372" s="145" t="s">
        <v>3863</v>
      </c>
      <c r="L372" s="146" t="s">
        <v>3864</v>
      </c>
      <c r="M372" s="140"/>
      <c r="N372" s="64" t="s">
        <v>3865</v>
      </c>
      <c r="O372" s="64" t="s">
        <v>2813</v>
      </c>
      <c r="P372" s="170"/>
      <c r="Q372" s="149"/>
      <c r="R372" s="141"/>
      <c r="S372" s="141"/>
      <c r="T372" s="141">
        <v>1459000.0</v>
      </c>
      <c r="U372" s="149"/>
      <c r="V372" s="149"/>
      <c r="W372" s="149"/>
      <c r="X372" s="64" t="s">
        <v>3810</v>
      </c>
      <c r="Y372" s="64"/>
      <c r="Z372" s="68"/>
    </row>
    <row r="373" ht="15.0" customHeight="1">
      <c r="A373" s="139">
        <v>45846.0</v>
      </c>
      <c r="B373" s="148" t="s">
        <v>3866</v>
      </c>
      <c r="C373" s="64" t="s">
        <v>3867</v>
      </c>
      <c r="D373" s="140" t="str">
        <f>IFERROR(VLOOKUP(C373,Stock,3,FALSE),"")</f>
        <v>Mazda 2 14- Skyactiv 4th Gen (3 Sensor/ /\8 )</v>
      </c>
      <c r="E373" s="64">
        <v>1.0</v>
      </c>
      <c r="F373" s="141">
        <v>3749000.0</v>
      </c>
      <c r="G373" s="142">
        <f t="shared" si="19"/>
        <v>3749000</v>
      </c>
      <c r="H373" s="142"/>
      <c r="I373" s="143">
        <f t="shared" si="20"/>
        <v>3749000</v>
      </c>
      <c r="J373" s="144">
        <f t="shared" si="21"/>
        <v>3749000</v>
      </c>
      <c r="K373" s="145" t="s">
        <v>3868</v>
      </c>
      <c r="L373" s="146" t="s">
        <v>3869</v>
      </c>
      <c r="M373" s="140"/>
      <c r="N373" s="64" t="s">
        <v>3870</v>
      </c>
      <c r="O373" s="64" t="s">
        <v>2813</v>
      </c>
      <c r="P373" s="170"/>
      <c r="Q373" s="149"/>
      <c r="R373" s="141"/>
      <c r="S373" s="141"/>
      <c r="T373" s="141">
        <v>100000.0</v>
      </c>
      <c r="U373" s="149"/>
      <c r="V373" s="149"/>
      <c r="W373" s="149"/>
      <c r="X373" s="64" t="s">
        <v>3810</v>
      </c>
      <c r="Y373" s="64"/>
      <c r="Z373" s="68"/>
    </row>
    <row r="374" ht="15.0" customHeight="1">
      <c r="A374" s="139">
        <v>45846.0</v>
      </c>
      <c r="B374" s="148" t="s">
        <v>3866</v>
      </c>
      <c r="C374" s="64" t="s">
        <v>2770</v>
      </c>
      <c r="D374" s="140" t="str">
        <f>IFERROR(VLOOKUP(C374,Stock,3,FALSE),"")</f>
        <v>Transport</v>
      </c>
      <c r="E374" s="64">
        <v>1.0</v>
      </c>
      <c r="F374" s="141">
        <v>150000.0</v>
      </c>
      <c r="G374" s="142">
        <f t="shared" si="19"/>
        <v>150000</v>
      </c>
      <c r="H374" s="142"/>
      <c r="I374" s="143">
        <f t="shared" si="20"/>
        <v>150000</v>
      </c>
      <c r="J374" s="144">
        <f t="shared" si="21"/>
        <v>150000</v>
      </c>
      <c r="K374" s="145" t="s">
        <v>3868</v>
      </c>
      <c r="L374" s="146" t="s">
        <v>3869</v>
      </c>
      <c r="M374" s="140"/>
      <c r="N374" s="64" t="s">
        <v>3871</v>
      </c>
      <c r="O374" s="64"/>
      <c r="P374" s="170"/>
      <c r="Q374" s="149"/>
      <c r="R374" s="141"/>
      <c r="S374" s="141"/>
      <c r="T374" s="141">
        <v>3649000.0</v>
      </c>
      <c r="U374" s="149"/>
      <c r="V374" s="149"/>
      <c r="W374" s="149"/>
      <c r="X374" s="64"/>
      <c r="Y374" s="64"/>
      <c r="Z374" s="68"/>
    </row>
    <row r="375" ht="15.0" customHeight="1">
      <c r="A375" s="139">
        <v>45846.0</v>
      </c>
      <c r="B375" s="148" t="s">
        <v>3872</v>
      </c>
      <c r="C375" s="64" t="s">
        <v>3873</v>
      </c>
      <c r="D375" s="140" t="str">
        <f>IFERROR(VLOOKUP(C375,Stock,3,FALSE),"")</f>
        <v>Nissan X-Trail 13- T32 (1 Sensor / O )</v>
      </c>
      <c r="E375" s="64">
        <v>1.0</v>
      </c>
      <c r="F375" s="141">
        <v>3389000.0</v>
      </c>
      <c r="G375" s="142">
        <f t="shared" si="19"/>
        <v>3389000</v>
      </c>
      <c r="H375" s="142"/>
      <c r="I375" s="143">
        <f t="shared" si="20"/>
        <v>3389000</v>
      </c>
      <c r="J375" s="144">
        <f t="shared" si="21"/>
        <v>3389000</v>
      </c>
      <c r="K375" s="145" t="s">
        <v>3874</v>
      </c>
      <c r="L375" s="146" t="s">
        <v>3875</v>
      </c>
      <c r="M375" s="140"/>
      <c r="N375" s="68"/>
      <c r="O375" s="64" t="s">
        <v>2813</v>
      </c>
      <c r="P375" s="170"/>
      <c r="Q375" s="149"/>
      <c r="R375" s="141"/>
      <c r="S375" s="141"/>
      <c r="T375" s="141">
        <v>3489000.0</v>
      </c>
      <c r="U375" s="149"/>
      <c r="V375" s="149"/>
      <c r="W375" s="149"/>
      <c r="X375" s="64" t="s">
        <v>3810</v>
      </c>
      <c r="Y375" s="64"/>
      <c r="Z375" s="68"/>
    </row>
    <row r="376" ht="15.0" customHeight="1">
      <c r="A376" s="139">
        <v>45846.0</v>
      </c>
      <c r="B376" s="148" t="s">
        <v>3872</v>
      </c>
      <c r="C376" s="64" t="s">
        <v>2962</v>
      </c>
      <c r="D376" s="140" t="str">
        <f>IFERROR(VLOOKUP(C376,Stock,3,FALSE),"")</f>
        <v>Lembur</v>
      </c>
      <c r="E376" s="64">
        <v>1.0</v>
      </c>
      <c r="F376" s="141">
        <v>100000.0</v>
      </c>
      <c r="G376" s="142">
        <f t="shared" si="19"/>
        <v>100000</v>
      </c>
      <c r="H376" s="142"/>
      <c r="I376" s="143">
        <f t="shared" si="20"/>
        <v>100000</v>
      </c>
      <c r="J376" s="144">
        <f t="shared" si="21"/>
        <v>100000</v>
      </c>
      <c r="K376" s="145" t="s">
        <v>3874</v>
      </c>
      <c r="L376" s="146" t="s">
        <v>3875</v>
      </c>
      <c r="M376" s="140"/>
      <c r="N376" s="68"/>
      <c r="O376" s="64" t="s">
        <v>2813</v>
      </c>
      <c r="P376" s="170"/>
      <c r="Q376" s="149"/>
      <c r="R376" s="149"/>
      <c r="S376" s="149"/>
      <c r="T376" s="149"/>
      <c r="U376" s="149"/>
      <c r="V376" s="149"/>
      <c r="W376" s="149"/>
      <c r="X376" s="64" t="s">
        <v>3810</v>
      </c>
      <c r="Y376" s="64"/>
      <c r="Z376" s="68"/>
    </row>
    <row r="377" ht="15.0" customHeight="1">
      <c r="A377" s="139">
        <v>45847.0</v>
      </c>
      <c r="B377" s="148" t="s">
        <v>3876</v>
      </c>
      <c r="C377" s="177" t="s">
        <v>2830</v>
      </c>
      <c r="D377" s="140" t="str">
        <f>IFERROR(VLOOKUP(C377,Stock,3,FALSE),"")</f>
        <v/>
      </c>
      <c r="E377" s="64"/>
      <c r="F377" s="141"/>
      <c r="G377" s="142"/>
      <c r="H377" s="142"/>
      <c r="I377" s="143"/>
      <c r="J377" s="144"/>
      <c r="K377" s="145"/>
      <c r="L377" s="64"/>
      <c r="M377" s="140"/>
      <c r="N377" s="64"/>
      <c r="O377" s="64"/>
      <c r="P377" s="170"/>
      <c r="Q377" s="149"/>
      <c r="R377" s="149"/>
      <c r="S377" s="149"/>
      <c r="T377" s="149"/>
      <c r="U377" s="149"/>
      <c r="V377" s="149"/>
      <c r="W377" s="149"/>
      <c r="X377" s="64"/>
      <c r="Y377" s="64"/>
      <c r="Z377" s="68"/>
    </row>
    <row r="378" ht="15.0" customHeight="1">
      <c r="A378" s="139">
        <v>45847.0</v>
      </c>
      <c r="B378" s="148" t="s">
        <v>3877</v>
      </c>
      <c r="C378" s="178" t="s">
        <v>3878</v>
      </c>
      <c r="D378" s="140" t="str">
        <f>IFERROR(VLOOKUP(C378,Stock,3,FALSE),"")</f>
        <v>Honda CR-V 12-16 4th Gen [Rata]</v>
      </c>
      <c r="E378" s="64">
        <v>1.0</v>
      </c>
      <c r="F378" s="141">
        <v>1346000.0</v>
      </c>
      <c r="G378" s="142">
        <f t="shared" ref="G378:G482" si="22">E378*F378</f>
        <v>1346000</v>
      </c>
      <c r="H378" s="142"/>
      <c r="I378" s="143">
        <f t="shared" ref="I378:I482" si="23">G378-H378</f>
        <v>1346000</v>
      </c>
      <c r="J378" s="144">
        <f t="shared" ref="J378:J482" si="24">I378</f>
        <v>1346000</v>
      </c>
      <c r="K378" s="145" t="s">
        <v>3879</v>
      </c>
      <c r="L378" s="146" t="s">
        <v>3880</v>
      </c>
      <c r="M378" s="140"/>
      <c r="N378" s="64" t="s">
        <v>3881</v>
      </c>
      <c r="O378" s="64" t="s">
        <v>2813</v>
      </c>
      <c r="P378" s="170"/>
      <c r="Q378" s="149"/>
      <c r="R378" s="141"/>
      <c r="S378" s="141"/>
      <c r="T378" s="141">
        <v>1346000.0</v>
      </c>
      <c r="U378" s="149"/>
      <c r="V378" s="149"/>
      <c r="W378" s="149"/>
      <c r="X378" s="64" t="s">
        <v>3810</v>
      </c>
      <c r="Y378" s="64"/>
      <c r="Z378" s="68"/>
    </row>
    <row r="379" ht="15.0" customHeight="1">
      <c r="A379" s="139">
        <v>45847.0</v>
      </c>
      <c r="B379" s="148" t="s">
        <v>3882</v>
      </c>
      <c r="C379" s="64" t="s">
        <v>3193</v>
      </c>
      <c r="D379" s="140" t="str">
        <f>IFERROR(VLOOKUP(C379,Stock,3,FALSE),"")</f>
        <v>Toyota Avanza / Xenia 11-15 2nd Gen</v>
      </c>
      <c r="E379" s="64">
        <v>1.0</v>
      </c>
      <c r="F379" s="141">
        <v>1000000.0</v>
      </c>
      <c r="G379" s="142">
        <f t="shared" si="22"/>
        <v>1000000</v>
      </c>
      <c r="H379" s="142"/>
      <c r="I379" s="143">
        <f t="shared" si="23"/>
        <v>1000000</v>
      </c>
      <c r="J379" s="144">
        <f t="shared" si="24"/>
        <v>1000000</v>
      </c>
      <c r="K379" s="145" t="s">
        <v>3883</v>
      </c>
      <c r="L379" s="146" t="s">
        <v>3884</v>
      </c>
      <c r="M379" s="140"/>
      <c r="N379" s="64" t="s">
        <v>3885</v>
      </c>
      <c r="O379" s="64" t="s">
        <v>2813</v>
      </c>
      <c r="P379" s="170"/>
      <c r="Q379" s="149"/>
      <c r="R379" s="141"/>
      <c r="S379" s="141"/>
      <c r="T379" s="141">
        <v>50000.0</v>
      </c>
      <c r="U379" s="149"/>
      <c r="V379" s="149"/>
      <c r="W379" s="149"/>
      <c r="X379" s="64" t="s">
        <v>3810</v>
      </c>
      <c r="Y379" s="64"/>
      <c r="Z379" s="68"/>
    </row>
    <row r="380" ht="15.0" customHeight="1">
      <c r="A380" s="139">
        <v>45847.0</v>
      </c>
      <c r="B380" s="148" t="s">
        <v>3882</v>
      </c>
      <c r="C380" s="64" t="s">
        <v>2770</v>
      </c>
      <c r="D380" s="140" t="str">
        <f>IFERROR(VLOOKUP(C380,Stock,3,FALSE),"")</f>
        <v>Transport</v>
      </c>
      <c r="E380" s="64">
        <v>1.0</v>
      </c>
      <c r="F380" s="141">
        <v>150000.0</v>
      </c>
      <c r="G380" s="142">
        <f t="shared" si="22"/>
        <v>150000</v>
      </c>
      <c r="H380" s="142"/>
      <c r="I380" s="143">
        <f t="shared" si="23"/>
        <v>150000</v>
      </c>
      <c r="J380" s="144">
        <f t="shared" si="24"/>
        <v>150000</v>
      </c>
      <c r="K380" s="145" t="s">
        <v>3883</v>
      </c>
      <c r="L380" s="146" t="s">
        <v>3884</v>
      </c>
      <c r="M380" s="140"/>
      <c r="N380" s="64" t="s">
        <v>3885</v>
      </c>
      <c r="O380" s="64" t="s">
        <v>2813</v>
      </c>
      <c r="P380" s="170"/>
      <c r="Q380" s="149"/>
      <c r="R380" s="141"/>
      <c r="S380" s="141"/>
      <c r="T380" s="141">
        <v>1100000.0</v>
      </c>
      <c r="U380" s="149"/>
      <c r="V380" s="149"/>
      <c r="W380" s="149"/>
      <c r="X380" s="64" t="s">
        <v>3810</v>
      </c>
      <c r="Y380" s="64"/>
      <c r="Z380" s="68"/>
    </row>
    <row r="381" ht="15.0" customHeight="1">
      <c r="A381" s="139">
        <v>45847.0</v>
      </c>
      <c r="B381" s="148" t="s">
        <v>3886</v>
      </c>
      <c r="C381" s="64" t="s">
        <v>3225</v>
      </c>
      <c r="D381" s="140" t="str">
        <f>IFERROR(VLOOKUP(C381,Stock,3,FALSE),"")</f>
        <v>Toyota Rush / Terios 18-</v>
      </c>
      <c r="E381" s="64">
        <v>1.0</v>
      </c>
      <c r="F381" s="141">
        <v>1269000.0</v>
      </c>
      <c r="G381" s="142">
        <f t="shared" si="22"/>
        <v>1269000</v>
      </c>
      <c r="H381" s="142"/>
      <c r="I381" s="143">
        <f t="shared" si="23"/>
        <v>1269000</v>
      </c>
      <c r="J381" s="144">
        <f t="shared" si="24"/>
        <v>1269000</v>
      </c>
      <c r="K381" s="145" t="s">
        <v>3887</v>
      </c>
      <c r="L381" s="146" t="s">
        <v>3888</v>
      </c>
      <c r="M381" s="140"/>
      <c r="N381" s="64" t="s">
        <v>3889</v>
      </c>
      <c r="O381" s="64" t="s">
        <v>2813</v>
      </c>
      <c r="P381" s="170"/>
      <c r="Q381" s="149"/>
      <c r="R381" s="141"/>
      <c r="S381" s="141"/>
      <c r="T381" s="141">
        <v>50000.0</v>
      </c>
      <c r="U381" s="149"/>
      <c r="V381" s="149"/>
      <c r="W381" s="149"/>
      <c r="X381" s="64" t="s">
        <v>3810</v>
      </c>
      <c r="Y381" s="64"/>
      <c r="Z381" s="68"/>
    </row>
    <row r="382" ht="15.0" customHeight="1">
      <c r="A382" s="139">
        <v>45847.0</v>
      </c>
      <c r="B382" s="148" t="s">
        <v>3886</v>
      </c>
      <c r="C382" s="64" t="s">
        <v>2770</v>
      </c>
      <c r="D382" s="140" t="str">
        <f>IFERROR(VLOOKUP(C382,Stock,3,FALSE),"")</f>
        <v>Transport</v>
      </c>
      <c r="E382" s="64">
        <v>1.0</v>
      </c>
      <c r="F382" s="141">
        <v>80000.0</v>
      </c>
      <c r="G382" s="142">
        <f t="shared" si="22"/>
        <v>80000</v>
      </c>
      <c r="H382" s="142"/>
      <c r="I382" s="143">
        <f t="shared" si="23"/>
        <v>80000</v>
      </c>
      <c r="J382" s="144">
        <f t="shared" si="24"/>
        <v>80000</v>
      </c>
      <c r="K382" s="145" t="s">
        <v>3887</v>
      </c>
      <c r="L382" s="146" t="s">
        <v>3888</v>
      </c>
      <c r="M382" s="140"/>
      <c r="N382" s="64" t="s">
        <v>3889</v>
      </c>
      <c r="O382" s="64" t="s">
        <v>2813</v>
      </c>
      <c r="P382" s="170"/>
      <c r="Q382" s="68"/>
      <c r="R382" s="149"/>
      <c r="S382" s="149"/>
      <c r="T382" s="149"/>
      <c r="U382" s="149"/>
      <c r="V382" s="149"/>
      <c r="W382" s="149"/>
      <c r="X382" s="64" t="s">
        <v>3810</v>
      </c>
      <c r="Y382" s="64"/>
      <c r="Z382" s="68"/>
    </row>
    <row r="383" ht="15.0" customHeight="1">
      <c r="A383" s="139">
        <v>45847.0</v>
      </c>
      <c r="B383" s="148" t="s">
        <v>3886</v>
      </c>
      <c r="C383" s="64" t="s">
        <v>2962</v>
      </c>
      <c r="D383" s="140" t="str">
        <f>IFERROR(VLOOKUP(C383,Stock,3,FALSE),"")</f>
        <v>Lembur</v>
      </c>
      <c r="E383" s="64">
        <v>1.0</v>
      </c>
      <c r="F383" s="141">
        <v>150000.0</v>
      </c>
      <c r="G383" s="142">
        <f t="shared" si="22"/>
        <v>150000</v>
      </c>
      <c r="H383" s="142"/>
      <c r="I383" s="143">
        <f t="shared" si="23"/>
        <v>150000</v>
      </c>
      <c r="J383" s="144">
        <f t="shared" si="24"/>
        <v>150000</v>
      </c>
      <c r="K383" s="145" t="s">
        <v>3887</v>
      </c>
      <c r="L383" s="146" t="s">
        <v>3888</v>
      </c>
      <c r="M383" s="140"/>
      <c r="N383" s="64" t="s">
        <v>3889</v>
      </c>
      <c r="O383" s="64" t="s">
        <v>2813</v>
      </c>
      <c r="P383" s="170"/>
      <c r="Q383" s="141">
        <v>1450000.0</v>
      </c>
      <c r="R383" s="149"/>
      <c r="S383" s="149"/>
      <c r="T383" s="149"/>
      <c r="U383" s="149"/>
      <c r="V383" s="149"/>
      <c r="W383" s="149"/>
      <c r="X383" s="64" t="s">
        <v>3810</v>
      </c>
      <c r="Y383" s="64"/>
      <c r="Z383" s="68"/>
    </row>
    <row r="384" ht="15.0" customHeight="1">
      <c r="A384" s="139">
        <v>45848.0</v>
      </c>
      <c r="B384" s="148" t="s">
        <v>3890</v>
      </c>
      <c r="C384" s="64" t="s">
        <v>3891</v>
      </c>
      <c r="D384" s="140" t="str">
        <f>IFERROR(VLOOKUP(C384,Stock,3,FALSE),"")</f>
        <v>Toyota Rush / Terios 06-17</v>
      </c>
      <c r="E384" s="64">
        <v>1.0</v>
      </c>
      <c r="F384" s="141">
        <v>969000.0</v>
      </c>
      <c r="G384" s="142">
        <f t="shared" si="22"/>
        <v>969000</v>
      </c>
      <c r="H384" s="142"/>
      <c r="I384" s="143">
        <f t="shared" si="23"/>
        <v>969000</v>
      </c>
      <c r="J384" s="144">
        <f t="shared" si="24"/>
        <v>969000</v>
      </c>
      <c r="K384" s="145" t="s">
        <v>3892</v>
      </c>
      <c r="L384" s="146" t="s">
        <v>3893</v>
      </c>
      <c r="M384" s="140"/>
      <c r="N384" s="64" t="s">
        <v>3894</v>
      </c>
      <c r="O384" s="64" t="s">
        <v>2813</v>
      </c>
      <c r="P384" s="170"/>
      <c r="Q384" s="149"/>
      <c r="R384" s="141"/>
      <c r="S384" s="141"/>
      <c r="T384" s="141">
        <v>969000.0</v>
      </c>
      <c r="U384" s="149"/>
      <c r="V384" s="149"/>
      <c r="W384" s="149"/>
      <c r="X384" s="64" t="s">
        <v>3810</v>
      </c>
      <c r="Y384" s="64"/>
      <c r="Z384" s="68"/>
    </row>
    <row r="385" ht="15.0" customHeight="1">
      <c r="A385" s="139">
        <v>45848.0</v>
      </c>
      <c r="B385" s="148" t="s">
        <v>3895</v>
      </c>
      <c r="C385" s="64" t="s">
        <v>3246</v>
      </c>
      <c r="D385" s="140" t="str">
        <f>IFERROR(VLOOKUP(C385,Stock,3,FALSE),"")</f>
        <v>Toyota Calya / Sigra 16-</v>
      </c>
      <c r="E385" s="64">
        <v>1.0</v>
      </c>
      <c r="F385" s="141">
        <v>1149000.0</v>
      </c>
      <c r="G385" s="142">
        <f t="shared" si="22"/>
        <v>1149000</v>
      </c>
      <c r="H385" s="142"/>
      <c r="I385" s="143">
        <f t="shared" si="23"/>
        <v>1149000</v>
      </c>
      <c r="J385" s="144">
        <f t="shared" si="24"/>
        <v>1149000</v>
      </c>
      <c r="K385" s="145" t="s">
        <v>3896</v>
      </c>
      <c r="L385" s="146" t="s">
        <v>3897</v>
      </c>
      <c r="M385" s="140"/>
      <c r="N385" s="64" t="s">
        <v>3898</v>
      </c>
      <c r="O385" s="64" t="s">
        <v>2813</v>
      </c>
      <c r="P385" s="170"/>
      <c r="Q385" s="149"/>
      <c r="R385" s="141"/>
      <c r="S385" s="141"/>
      <c r="T385" s="141">
        <v>1149000.0</v>
      </c>
      <c r="U385" s="149"/>
      <c r="V385" s="149"/>
      <c r="W385" s="149"/>
      <c r="X385" s="64" t="s">
        <v>3810</v>
      </c>
      <c r="Y385" s="64"/>
      <c r="Z385" s="68"/>
    </row>
    <row r="386" ht="15.0" customHeight="1">
      <c r="A386" s="139">
        <v>45848.0</v>
      </c>
      <c r="B386" s="148" t="s">
        <v>3899</v>
      </c>
      <c r="C386" s="64" t="s">
        <v>3858</v>
      </c>
      <c r="D386" s="140" t="str">
        <f>IFERROR(VLOOKUP(C386,Stock,3,FALSE),"")</f>
        <v>Daihatsu Luxio 07-</v>
      </c>
      <c r="E386" s="64">
        <v>1.0</v>
      </c>
      <c r="F386" s="141">
        <v>985000.0</v>
      </c>
      <c r="G386" s="142">
        <f t="shared" si="22"/>
        <v>985000</v>
      </c>
      <c r="H386" s="142"/>
      <c r="I386" s="143">
        <f t="shared" si="23"/>
        <v>985000</v>
      </c>
      <c r="J386" s="144">
        <f t="shared" si="24"/>
        <v>985000</v>
      </c>
      <c r="K386" s="145" t="s">
        <v>3900</v>
      </c>
      <c r="L386" s="146" t="s">
        <v>3901</v>
      </c>
      <c r="M386" s="140"/>
      <c r="N386" s="64" t="s">
        <v>3902</v>
      </c>
      <c r="O386" s="64" t="s">
        <v>2813</v>
      </c>
      <c r="P386" s="170"/>
      <c r="Q386" s="149"/>
      <c r="R386" s="141"/>
      <c r="S386" s="141"/>
      <c r="T386" s="141">
        <v>1149000.0</v>
      </c>
      <c r="U386" s="149"/>
      <c r="V386" s="149"/>
      <c r="W386" s="149"/>
      <c r="X386" s="64" t="s">
        <v>3810</v>
      </c>
      <c r="Y386" s="64"/>
      <c r="Z386" s="68"/>
    </row>
    <row r="387" ht="15.0" customHeight="1">
      <c r="A387" s="139">
        <v>45848.0</v>
      </c>
      <c r="B387" s="148" t="s">
        <v>3903</v>
      </c>
      <c r="C387" s="64" t="s">
        <v>3904</v>
      </c>
      <c r="D387" s="140" t="str">
        <f>IFERROR(VLOOKUP(C387,Stock,3,FALSE),"")</f>
        <v>Lexus RX (Harrier) 13- CU6 [2 Sensor / /\ [] ]</v>
      </c>
      <c r="E387" s="64">
        <v>1.0</v>
      </c>
      <c r="F387" s="141">
        <v>4600000.0</v>
      </c>
      <c r="G387" s="142">
        <f t="shared" si="22"/>
        <v>4600000</v>
      </c>
      <c r="H387" s="142"/>
      <c r="I387" s="143">
        <f t="shared" si="23"/>
        <v>4600000</v>
      </c>
      <c r="J387" s="144">
        <f t="shared" si="24"/>
        <v>4600000</v>
      </c>
      <c r="K387" s="145" t="s">
        <v>3905</v>
      </c>
      <c r="L387" s="146" t="s">
        <v>3906</v>
      </c>
      <c r="M387" s="140"/>
      <c r="N387" s="64" t="s">
        <v>3907</v>
      </c>
      <c r="O387" s="64" t="s">
        <v>2813</v>
      </c>
      <c r="P387" s="170"/>
      <c r="Q387" s="149"/>
      <c r="R387" s="141"/>
      <c r="S387" s="141"/>
      <c r="T387" s="141">
        <v>4600000.0</v>
      </c>
      <c r="U387" s="149"/>
      <c r="V387" s="149"/>
      <c r="W387" s="149"/>
      <c r="X387" s="64" t="s">
        <v>3810</v>
      </c>
      <c r="Y387" s="64"/>
      <c r="Z387" s="68"/>
    </row>
    <row r="388" ht="15.0" customHeight="1">
      <c r="A388" s="139">
        <v>45848.0</v>
      </c>
      <c r="B388" s="148" t="s">
        <v>3908</v>
      </c>
      <c r="C388" s="64" t="s">
        <v>3302</v>
      </c>
      <c r="D388" s="140" t="str">
        <f>IFERROR(VLOOKUP(C388,Stock,3,FALSE),"")</f>
        <v>Nissan Livina 07-18 L10/L11</v>
      </c>
      <c r="E388" s="64">
        <v>1.0</v>
      </c>
      <c r="F388" s="141">
        <v>1299000.0</v>
      </c>
      <c r="G388" s="142">
        <f t="shared" si="22"/>
        <v>1299000</v>
      </c>
      <c r="H388" s="142"/>
      <c r="I388" s="143">
        <f t="shared" si="23"/>
        <v>1299000</v>
      </c>
      <c r="J388" s="144">
        <f t="shared" si="24"/>
        <v>1299000</v>
      </c>
      <c r="K388" s="145" t="s">
        <v>3909</v>
      </c>
      <c r="L388" s="146" t="s">
        <v>3910</v>
      </c>
      <c r="M388" s="140"/>
      <c r="N388" s="64" t="s">
        <v>3911</v>
      </c>
      <c r="O388" s="64" t="s">
        <v>2813</v>
      </c>
      <c r="P388" s="170"/>
      <c r="Q388" s="149"/>
      <c r="R388" s="141"/>
      <c r="S388" s="141"/>
      <c r="T388" s="141">
        <v>1574000.0</v>
      </c>
      <c r="U388" s="149"/>
      <c r="V388" s="149"/>
      <c r="W388" s="149"/>
      <c r="X388" s="64" t="s">
        <v>3810</v>
      </c>
      <c r="Y388" s="64"/>
      <c r="Z388" s="68"/>
    </row>
    <row r="389" ht="15.0" customHeight="1">
      <c r="A389" s="139">
        <v>45848.0</v>
      </c>
      <c r="B389" s="148" t="s">
        <v>3908</v>
      </c>
      <c r="C389" s="64" t="s">
        <v>3434</v>
      </c>
      <c r="D389" s="140" t="str">
        <f>IFERROR(VLOOKUP(C389,Stock,3,FALSE),"")</f>
        <v>List Kaca Depan Code 04</v>
      </c>
      <c r="E389" s="64">
        <v>1.0</v>
      </c>
      <c r="F389" s="141">
        <v>275000.0</v>
      </c>
      <c r="G389" s="142">
        <f t="shared" si="22"/>
        <v>275000</v>
      </c>
      <c r="H389" s="142"/>
      <c r="I389" s="143">
        <f t="shared" si="23"/>
        <v>275000</v>
      </c>
      <c r="J389" s="144">
        <f t="shared" si="24"/>
        <v>275000</v>
      </c>
      <c r="K389" s="145" t="s">
        <v>3909</v>
      </c>
      <c r="L389" s="146" t="s">
        <v>3910</v>
      </c>
      <c r="M389" s="68"/>
      <c r="N389" s="64" t="s">
        <v>3911</v>
      </c>
      <c r="O389" s="64" t="s">
        <v>2813</v>
      </c>
      <c r="P389" s="170"/>
      <c r="Q389" s="149"/>
      <c r="R389" s="149"/>
      <c r="S389" s="149"/>
      <c r="T389" s="149"/>
      <c r="U389" s="149"/>
      <c r="V389" s="149"/>
      <c r="W389" s="149"/>
      <c r="X389" s="64" t="s">
        <v>3810</v>
      </c>
      <c r="Y389" s="64"/>
      <c r="Z389" s="68"/>
    </row>
    <row r="390" ht="15.0" customHeight="1">
      <c r="A390" s="139">
        <v>45848.0</v>
      </c>
      <c r="B390" s="148" t="s">
        <v>3912</v>
      </c>
      <c r="C390" s="64" t="s">
        <v>3913</v>
      </c>
      <c r="D390" s="140" t="str">
        <f>IFERROR(VLOOKUP(C390,Stock,3,FALSE),"")</f>
        <v>BYD Seal 23- (2 Sensor / /\ O )</v>
      </c>
      <c r="E390" s="64">
        <v>1.0</v>
      </c>
      <c r="F390" s="141">
        <v>4149000.0</v>
      </c>
      <c r="G390" s="142">
        <f t="shared" si="22"/>
        <v>4149000</v>
      </c>
      <c r="H390" s="142"/>
      <c r="I390" s="143">
        <f t="shared" si="23"/>
        <v>4149000</v>
      </c>
      <c r="J390" s="144">
        <f t="shared" si="24"/>
        <v>4149000</v>
      </c>
      <c r="K390" s="145" t="s">
        <v>3914</v>
      </c>
      <c r="L390" s="146" t="s">
        <v>3915</v>
      </c>
      <c r="M390" s="140"/>
      <c r="N390" s="64" t="s">
        <v>3916</v>
      </c>
      <c r="O390" s="64" t="s">
        <v>2813</v>
      </c>
      <c r="P390" s="170"/>
      <c r="Q390" s="149"/>
      <c r="R390" s="141"/>
      <c r="S390" s="141"/>
      <c r="T390" s="141">
        <v>50000.0</v>
      </c>
      <c r="U390" s="149"/>
      <c r="V390" s="149"/>
      <c r="W390" s="149"/>
      <c r="X390" s="64" t="s">
        <v>3810</v>
      </c>
      <c r="Y390" s="64"/>
      <c r="Z390" s="68"/>
    </row>
    <row r="391" ht="15.0" customHeight="1">
      <c r="A391" s="139">
        <v>45848.0</v>
      </c>
      <c r="B391" s="148" t="s">
        <v>3912</v>
      </c>
      <c r="C391" s="64" t="s">
        <v>2770</v>
      </c>
      <c r="D391" s="140" t="str">
        <f>IFERROR(VLOOKUP(C391,Stock,3,FALSE),"")</f>
        <v>Transport</v>
      </c>
      <c r="E391" s="64">
        <v>1.0</v>
      </c>
      <c r="F391" s="141">
        <v>250000.0</v>
      </c>
      <c r="G391" s="142">
        <f t="shared" si="22"/>
        <v>250000</v>
      </c>
      <c r="H391" s="142"/>
      <c r="I391" s="143">
        <f t="shared" si="23"/>
        <v>250000</v>
      </c>
      <c r="J391" s="144">
        <f t="shared" si="24"/>
        <v>250000</v>
      </c>
      <c r="K391" s="145" t="s">
        <v>3914</v>
      </c>
      <c r="L391" s="146" t="s">
        <v>3915</v>
      </c>
      <c r="M391" s="140"/>
      <c r="N391" s="64" t="s">
        <v>3916</v>
      </c>
      <c r="O391" s="64" t="s">
        <v>2813</v>
      </c>
      <c r="P391" s="170"/>
      <c r="Q391" s="149"/>
      <c r="R391" s="141"/>
      <c r="S391" s="141"/>
      <c r="T391" s="141">
        <v>4349000.0</v>
      </c>
      <c r="U391" s="149"/>
      <c r="V391" s="149"/>
      <c r="W391" s="149"/>
      <c r="X391" s="64" t="s">
        <v>3810</v>
      </c>
      <c r="Y391" s="64"/>
      <c r="Z391" s="68"/>
    </row>
    <row r="392" ht="15.0" customHeight="1">
      <c r="A392" s="139">
        <v>45848.0</v>
      </c>
      <c r="B392" s="148" t="s">
        <v>3917</v>
      </c>
      <c r="C392" s="64" t="s">
        <v>3515</v>
      </c>
      <c r="D392" s="140" t="str">
        <f>IFERROR(VLOOKUP(C392,Stock,3,FALSE),"")</f>
        <v>Suzuki Ertiga 18- 2nd Gen / XL7 (Suzuki)</v>
      </c>
      <c r="E392" s="64">
        <v>1.0</v>
      </c>
      <c r="F392" s="141">
        <v>1327000.0</v>
      </c>
      <c r="G392" s="142">
        <f t="shared" si="22"/>
        <v>1327000</v>
      </c>
      <c r="H392" s="142"/>
      <c r="I392" s="143">
        <f t="shared" si="23"/>
        <v>1327000</v>
      </c>
      <c r="J392" s="144">
        <f t="shared" si="24"/>
        <v>1327000</v>
      </c>
      <c r="K392" s="145" t="s">
        <v>3918</v>
      </c>
      <c r="L392" s="146" t="s">
        <v>3919</v>
      </c>
      <c r="M392" s="140"/>
      <c r="N392" s="64" t="s">
        <v>3920</v>
      </c>
      <c r="O392" s="64" t="s">
        <v>2813</v>
      </c>
      <c r="P392" s="170"/>
      <c r="Q392" s="149"/>
      <c r="R392" s="141"/>
      <c r="S392" s="141"/>
      <c r="T392" s="141">
        <v>50000.0</v>
      </c>
      <c r="U392" s="149"/>
      <c r="V392" s="149"/>
      <c r="W392" s="149"/>
      <c r="X392" s="64" t="s">
        <v>3810</v>
      </c>
      <c r="Y392" s="64"/>
      <c r="Z392" s="68"/>
    </row>
    <row r="393" ht="15.0" customHeight="1">
      <c r="A393" s="139">
        <v>45848.0</v>
      </c>
      <c r="B393" s="148" t="s">
        <v>3917</v>
      </c>
      <c r="C393" s="64" t="s">
        <v>2770</v>
      </c>
      <c r="D393" s="140" t="str">
        <f>IFERROR(VLOOKUP(C393,Stock,3,FALSE),"")</f>
        <v>Transport</v>
      </c>
      <c r="E393" s="64">
        <v>1.0</v>
      </c>
      <c r="F393" s="141">
        <v>150000.0</v>
      </c>
      <c r="G393" s="142">
        <f t="shared" si="22"/>
        <v>150000</v>
      </c>
      <c r="H393" s="142"/>
      <c r="I393" s="143">
        <f t="shared" si="23"/>
        <v>150000</v>
      </c>
      <c r="J393" s="144">
        <f t="shared" si="24"/>
        <v>150000</v>
      </c>
      <c r="K393" s="145" t="s">
        <v>3918</v>
      </c>
      <c r="L393" s="146" t="s">
        <v>3919</v>
      </c>
      <c r="M393" s="140"/>
      <c r="N393" s="64" t="s">
        <v>3920</v>
      </c>
      <c r="O393" s="64" t="s">
        <v>2813</v>
      </c>
      <c r="P393" s="170"/>
      <c r="Q393" s="149"/>
      <c r="R393" s="141"/>
      <c r="S393" s="141"/>
      <c r="T393" s="141">
        <v>1427000.0</v>
      </c>
      <c r="U393" s="149"/>
      <c r="V393" s="149"/>
      <c r="W393" s="149"/>
      <c r="X393" s="64" t="s">
        <v>3810</v>
      </c>
      <c r="Y393" s="64"/>
      <c r="Z393" s="68"/>
    </row>
    <row r="394" ht="15.0" customHeight="1">
      <c r="A394" s="139">
        <v>45849.0</v>
      </c>
      <c r="B394" s="148" t="s">
        <v>3921</v>
      </c>
      <c r="C394" s="148" t="s">
        <v>2778</v>
      </c>
      <c r="D394" s="140" t="str">
        <f>IFERROR(VLOOKUP(C394,Stock,3,FALSE),"")</f>
        <v>Bongkar Pasang Kaca Mobil Depan</v>
      </c>
      <c r="E394" s="64">
        <v>1.0</v>
      </c>
      <c r="F394" s="141">
        <v>650000.0</v>
      </c>
      <c r="G394" s="142">
        <f t="shared" si="22"/>
        <v>650000</v>
      </c>
      <c r="H394" s="142"/>
      <c r="I394" s="143">
        <f t="shared" si="23"/>
        <v>650000</v>
      </c>
      <c r="J394" s="144">
        <f t="shared" si="24"/>
        <v>650000</v>
      </c>
      <c r="K394" s="145" t="s">
        <v>3922</v>
      </c>
      <c r="L394" s="146" t="s">
        <v>3923</v>
      </c>
      <c r="M394" s="140"/>
      <c r="N394" s="64" t="s">
        <v>3924</v>
      </c>
      <c r="O394" s="64" t="s">
        <v>2813</v>
      </c>
      <c r="P394" s="170"/>
      <c r="Q394" s="149"/>
      <c r="R394" s="141"/>
      <c r="S394" s="141"/>
      <c r="T394" s="141">
        <v>100000.0</v>
      </c>
      <c r="U394" s="149"/>
      <c r="V394" s="149"/>
      <c r="W394" s="149"/>
      <c r="X394" s="64" t="s">
        <v>3810</v>
      </c>
      <c r="Y394" s="64"/>
      <c r="Z394" s="68"/>
    </row>
    <row r="395" ht="15.0" customHeight="1">
      <c r="A395" s="139">
        <v>45849.0</v>
      </c>
      <c r="B395" s="148" t="s">
        <v>3921</v>
      </c>
      <c r="C395" s="64" t="s">
        <v>2770</v>
      </c>
      <c r="D395" s="140" t="str">
        <f>IFERROR(VLOOKUP(C395,Stock,3,FALSE),"")</f>
        <v>Transport</v>
      </c>
      <c r="E395" s="64">
        <v>1.0</v>
      </c>
      <c r="F395" s="141">
        <v>100000.0</v>
      </c>
      <c r="G395" s="142">
        <f t="shared" si="22"/>
        <v>100000</v>
      </c>
      <c r="H395" s="142"/>
      <c r="I395" s="143">
        <f t="shared" si="23"/>
        <v>100000</v>
      </c>
      <c r="J395" s="144">
        <f t="shared" si="24"/>
        <v>100000</v>
      </c>
      <c r="K395" s="145" t="s">
        <v>3922</v>
      </c>
      <c r="L395" s="146" t="s">
        <v>3923</v>
      </c>
      <c r="M395" s="140"/>
      <c r="N395" s="64" t="s">
        <v>3924</v>
      </c>
      <c r="O395" s="64" t="s">
        <v>2813</v>
      </c>
      <c r="P395" s="170"/>
      <c r="Q395" s="149"/>
      <c r="R395" s="141"/>
      <c r="S395" s="141"/>
      <c r="T395" s="141">
        <v>650000.0</v>
      </c>
      <c r="U395" s="149"/>
      <c r="V395" s="149"/>
      <c r="W395" s="149"/>
      <c r="X395" s="64" t="s">
        <v>3810</v>
      </c>
      <c r="Y395" s="64"/>
      <c r="Z395" s="68"/>
    </row>
    <row r="396" ht="15.0" customHeight="1">
      <c r="A396" s="139">
        <v>45849.0</v>
      </c>
      <c r="B396" s="148" t="s">
        <v>3925</v>
      </c>
      <c r="C396" s="64" t="s">
        <v>2952</v>
      </c>
      <c r="D396" s="140" t="str">
        <f>IFERROR(VLOOKUP(C396,Stock,3,FALSE),"")</f>
        <v/>
      </c>
      <c r="E396" s="64">
        <v>1.0</v>
      </c>
      <c r="F396" s="141">
        <v>1000000.0</v>
      </c>
      <c r="G396" s="142">
        <f t="shared" si="22"/>
        <v>1000000</v>
      </c>
      <c r="H396" s="142"/>
      <c r="I396" s="143">
        <f t="shared" si="23"/>
        <v>1000000</v>
      </c>
      <c r="J396" s="144">
        <f t="shared" si="24"/>
        <v>1000000</v>
      </c>
      <c r="K396" s="145" t="s">
        <v>3926</v>
      </c>
      <c r="L396" s="146" t="s">
        <v>3927</v>
      </c>
      <c r="M396" s="140"/>
      <c r="N396" s="64" t="s">
        <v>3928</v>
      </c>
      <c r="O396" s="64" t="s">
        <v>2813</v>
      </c>
      <c r="P396" s="170"/>
      <c r="Q396" s="149"/>
      <c r="R396" s="141"/>
      <c r="S396" s="141"/>
      <c r="T396" s="141">
        <v>30000.0</v>
      </c>
      <c r="U396" s="149"/>
      <c r="V396" s="149"/>
      <c r="W396" s="149"/>
      <c r="X396" s="64" t="s">
        <v>3810</v>
      </c>
      <c r="Y396" s="64"/>
      <c r="Z396" s="68"/>
    </row>
    <row r="397" ht="15.0" customHeight="1">
      <c r="A397" s="139">
        <v>45849.0</v>
      </c>
      <c r="B397" s="148" t="s">
        <v>3925</v>
      </c>
      <c r="C397" s="64" t="s">
        <v>2770</v>
      </c>
      <c r="D397" s="140" t="str">
        <f>IFERROR(VLOOKUP(C397,Stock,3,FALSE),"")</f>
        <v>Transport</v>
      </c>
      <c r="E397" s="64">
        <v>1.0</v>
      </c>
      <c r="F397" s="141">
        <v>100000.0</v>
      </c>
      <c r="G397" s="142">
        <f t="shared" si="22"/>
        <v>100000</v>
      </c>
      <c r="H397" s="142"/>
      <c r="I397" s="143">
        <f t="shared" si="23"/>
        <v>100000</v>
      </c>
      <c r="J397" s="144">
        <f t="shared" si="24"/>
        <v>100000</v>
      </c>
      <c r="K397" s="145" t="s">
        <v>3926</v>
      </c>
      <c r="L397" s="146" t="s">
        <v>3927</v>
      </c>
      <c r="M397" s="140"/>
      <c r="N397" s="64" t="s">
        <v>3928</v>
      </c>
      <c r="O397" s="64" t="s">
        <v>2813</v>
      </c>
      <c r="P397" s="170"/>
      <c r="Q397" s="149"/>
      <c r="R397" s="141"/>
      <c r="S397" s="141"/>
      <c r="T397" s="141">
        <v>1404000.0</v>
      </c>
      <c r="U397" s="149"/>
      <c r="V397" s="149"/>
      <c r="W397" s="149"/>
      <c r="X397" s="64" t="s">
        <v>3810</v>
      </c>
      <c r="Y397" s="64"/>
      <c r="Z397" s="68"/>
    </row>
    <row r="398" ht="15.0" customHeight="1">
      <c r="A398" s="139">
        <v>45850.0</v>
      </c>
      <c r="B398" s="148" t="s">
        <v>3929</v>
      </c>
      <c r="C398" s="64" t="s">
        <v>3930</v>
      </c>
      <c r="D398" s="140" t="str">
        <f>IFERROR(VLOOKUP(C398,Stock,3,FALSE),"")</f>
        <v>Suzuki Ertiga 18- 2nd Gen / XL7</v>
      </c>
      <c r="E398" s="64">
        <v>1.0</v>
      </c>
      <c r="F398" s="141">
        <v>1404000.0</v>
      </c>
      <c r="G398" s="142">
        <f t="shared" si="22"/>
        <v>1404000</v>
      </c>
      <c r="H398" s="142"/>
      <c r="I398" s="143">
        <f t="shared" si="23"/>
        <v>1404000</v>
      </c>
      <c r="J398" s="144">
        <f t="shared" si="24"/>
        <v>1404000</v>
      </c>
      <c r="K398" s="145" t="s">
        <v>3931</v>
      </c>
      <c r="L398" s="146" t="s">
        <v>3932</v>
      </c>
      <c r="M398" s="140"/>
      <c r="N398" s="64" t="s">
        <v>3933</v>
      </c>
      <c r="O398" s="64" t="s">
        <v>2813</v>
      </c>
      <c r="P398" s="170"/>
      <c r="Q398" s="149"/>
      <c r="R398" s="141"/>
      <c r="S398" s="141"/>
      <c r="T398" s="141">
        <v>2199000.0</v>
      </c>
      <c r="U398" s="149"/>
      <c r="V398" s="149"/>
      <c r="W398" s="149"/>
      <c r="X398" s="64" t="s">
        <v>3810</v>
      </c>
      <c r="Y398" s="64"/>
      <c r="Z398" s="68"/>
    </row>
    <row r="399" ht="15.0" customHeight="1">
      <c r="A399" s="139">
        <v>45850.0</v>
      </c>
      <c r="B399" s="148" t="s">
        <v>3934</v>
      </c>
      <c r="C399" s="64" t="s">
        <v>3935</v>
      </c>
      <c r="D399" s="140" t="str">
        <f>IFERROR(VLOOKUP(C399,Stock,3,FALSE),"")</f>
        <v>Hyundai Creta 22- </v>
      </c>
      <c r="E399" s="64">
        <v>1.0</v>
      </c>
      <c r="F399" s="141">
        <v>2199000.0</v>
      </c>
      <c r="G399" s="142">
        <f t="shared" si="22"/>
        <v>2199000</v>
      </c>
      <c r="H399" s="142"/>
      <c r="I399" s="143">
        <f t="shared" si="23"/>
        <v>2199000</v>
      </c>
      <c r="J399" s="144">
        <f t="shared" si="24"/>
        <v>2199000</v>
      </c>
      <c r="K399" s="145" t="s">
        <v>3936</v>
      </c>
      <c r="L399" s="146" t="s">
        <v>3937</v>
      </c>
      <c r="M399" s="140"/>
      <c r="N399" s="64" t="s">
        <v>3938</v>
      </c>
      <c r="O399" s="64" t="s">
        <v>2813</v>
      </c>
      <c r="P399" s="170"/>
      <c r="Q399" s="149"/>
      <c r="R399" s="141"/>
      <c r="S399" s="141"/>
      <c r="T399" s="141">
        <v>2199000.0</v>
      </c>
      <c r="U399" s="149"/>
      <c r="V399" s="149"/>
      <c r="W399" s="149"/>
      <c r="X399" s="64" t="s">
        <v>3810</v>
      </c>
      <c r="Y399" s="64"/>
      <c r="Z399" s="68"/>
    </row>
    <row r="400" ht="15.0" customHeight="1">
      <c r="A400" s="139">
        <v>45850.0</v>
      </c>
      <c r="B400" s="148" t="s">
        <v>3939</v>
      </c>
      <c r="C400" s="64" t="s">
        <v>3483</v>
      </c>
      <c r="D400" s="140" t="str">
        <f>IFERROR(VLOOKUP(C400,Stock,3,FALSE),"")</f>
        <v>Honda HR-V 14-21 5D SUV</v>
      </c>
      <c r="E400" s="64">
        <v>1.0</v>
      </c>
      <c r="F400" s="141">
        <v>1850000.0</v>
      </c>
      <c r="G400" s="142">
        <f t="shared" si="22"/>
        <v>1850000</v>
      </c>
      <c r="H400" s="142"/>
      <c r="I400" s="143">
        <f t="shared" si="23"/>
        <v>1850000</v>
      </c>
      <c r="J400" s="144">
        <f t="shared" si="24"/>
        <v>1850000</v>
      </c>
      <c r="K400" s="145" t="s">
        <v>3940</v>
      </c>
      <c r="L400" s="146" t="s">
        <v>3941</v>
      </c>
      <c r="M400" s="140"/>
      <c r="N400" s="64" t="s">
        <v>3942</v>
      </c>
      <c r="O400" s="64" t="s">
        <v>2813</v>
      </c>
      <c r="P400" s="170"/>
      <c r="Q400" s="149"/>
      <c r="R400" s="141"/>
      <c r="S400" s="141"/>
      <c r="T400" s="141">
        <v>1850000.0</v>
      </c>
      <c r="U400" s="149"/>
      <c r="V400" s="149"/>
      <c r="W400" s="149"/>
      <c r="X400" s="64" t="s">
        <v>3810</v>
      </c>
      <c r="Y400" s="64"/>
      <c r="Z400" s="68"/>
    </row>
    <row r="401" ht="15.0" customHeight="1">
      <c r="A401" s="139">
        <v>45850.0</v>
      </c>
      <c r="B401" s="148" t="s">
        <v>3943</v>
      </c>
      <c r="C401" s="64" t="s">
        <v>3944</v>
      </c>
      <c r="D401" s="179" t="s">
        <v>1434</v>
      </c>
      <c r="E401" s="64">
        <v>1.0</v>
      </c>
      <c r="F401" s="141">
        <v>2569000.0</v>
      </c>
      <c r="G401" s="142">
        <f t="shared" si="22"/>
        <v>2569000</v>
      </c>
      <c r="H401" s="142"/>
      <c r="I401" s="143">
        <f t="shared" si="23"/>
        <v>2569000</v>
      </c>
      <c r="J401" s="144">
        <f t="shared" si="24"/>
        <v>2569000</v>
      </c>
      <c r="K401" s="145" t="s">
        <v>3945</v>
      </c>
      <c r="L401" s="146" t="s">
        <v>3946</v>
      </c>
      <c r="M401" s="140"/>
      <c r="N401" s="64" t="s">
        <v>3947</v>
      </c>
      <c r="O401" s="64" t="s">
        <v>2813</v>
      </c>
      <c r="P401" s="170"/>
      <c r="Q401" s="149"/>
      <c r="R401" s="141"/>
      <c r="S401" s="141"/>
      <c r="T401" s="141">
        <v>770700.0</v>
      </c>
      <c r="U401" s="149"/>
      <c r="V401" s="149"/>
      <c r="W401" s="149"/>
      <c r="X401" s="64" t="s">
        <v>3810</v>
      </c>
      <c r="Y401" s="64"/>
      <c r="Z401" s="68"/>
    </row>
    <row r="402" ht="15.0" customHeight="1">
      <c r="A402" s="139">
        <v>45850.0</v>
      </c>
      <c r="B402" s="148" t="s">
        <v>3943</v>
      </c>
      <c r="C402" s="64" t="s">
        <v>2770</v>
      </c>
      <c r="D402" s="140" t="str">
        <f>IFERROR(VLOOKUP(C402,Stock,3,FALSE),"")</f>
        <v>Transport</v>
      </c>
      <c r="E402" s="64">
        <v>1.0</v>
      </c>
      <c r="F402" s="141">
        <v>150000.0</v>
      </c>
      <c r="G402" s="142">
        <f t="shared" si="22"/>
        <v>150000</v>
      </c>
      <c r="H402" s="142"/>
      <c r="I402" s="143">
        <f t="shared" si="23"/>
        <v>150000</v>
      </c>
      <c r="J402" s="144">
        <f t="shared" si="24"/>
        <v>150000</v>
      </c>
      <c r="K402" s="145" t="s">
        <v>3945</v>
      </c>
      <c r="L402" s="146" t="s">
        <v>3946</v>
      </c>
      <c r="M402" s="140"/>
      <c r="N402" s="64" t="s">
        <v>3947</v>
      </c>
      <c r="O402" s="64" t="s">
        <v>2813</v>
      </c>
      <c r="P402" s="170"/>
      <c r="Q402" s="149"/>
      <c r="R402" s="141"/>
      <c r="S402" s="141"/>
      <c r="T402" s="141">
        <v>1948300.0</v>
      </c>
      <c r="U402" s="149"/>
      <c r="V402" s="149"/>
      <c r="W402" s="149"/>
      <c r="X402" s="64" t="s">
        <v>3810</v>
      </c>
      <c r="Y402" s="64"/>
      <c r="Z402" s="68"/>
    </row>
    <row r="403" ht="15.0" customHeight="1">
      <c r="A403" s="139">
        <v>45850.0</v>
      </c>
      <c r="B403" s="148" t="s">
        <v>3948</v>
      </c>
      <c r="C403" s="64" t="s">
        <v>2973</v>
      </c>
      <c r="D403" s="140" t="str">
        <f>IFERROR(VLOOKUP(C403,Stock,3,FALSE),"")</f>
        <v>Suzuki Carry New 19-</v>
      </c>
      <c r="E403" s="64">
        <v>1.0</v>
      </c>
      <c r="F403" s="141">
        <v>1250000.0</v>
      </c>
      <c r="G403" s="142">
        <f t="shared" si="22"/>
        <v>1250000</v>
      </c>
      <c r="H403" s="142"/>
      <c r="I403" s="143">
        <f t="shared" si="23"/>
        <v>1250000</v>
      </c>
      <c r="J403" s="144">
        <f t="shared" si="24"/>
        <v>1250000</v>
      </c>
      <c r="K403" s="145" t="s">
        <v>3949</v>
      </c>
      <c r="L403" s="146" t="s">
        <v>3950</v>
      </c>
      <c r="M403" s="140"/>
      <c r="N403" s="64" t="s">
        <v>3951</v>
      </c>
      <c r="O403" s="64" t="s">
        <v>2813</v>
      </c>
      <c r="P403" s="170"/>
      <c r="Q403" s="149"/>
      <c r="R403" s="141"/>
      <c r="S403" s="141"/>
      <c r="T403" s="141">
        <v>1250000.0</v>
      </c>
      <c r="U403" s="149"/>
      <c r="V403" s="149"/>
      <c r="W403" s="149"/>
      <c r="X403" s="64" t="s">
        <v>3810</v>
      </c>
      <c r="Y403" s="64"/>
      <c r="Z403" s="68"/>
    </row>
    <row r="404" ht="15.0" customHeight="1">
      <c r="A404" s="139">
        <v>45852.0</v>
      </c>
      <c r="B404" s="148" t="s">
        <v>3952</v>
      </c>
      <c r="C404" s="64" t="s">
        <v>3953</v>
      </c>
      <c r="D404" s="140" t="str">
        <f>IFERROR(VLOOKUP(C404,Stock,3,FALSE),"")</f>
        <v>Honda Brio 18-</v>
      </c>
      <c r="E404" s="64">
        <v>1.0</v>
      </c>
      <c r="F404" s="141">
        <v>1090000.0</v>
      </c>
      <c r="G404" s="142">
        <f t="shared" si="22"/>
        <v>1090000</v>
      </c>
      <c r="H404" s="142"/>
      <c r="I404" s="143">
        <f t="shared" si="23"/>
        <v>1090000</v>
      </c>
      <c r="J404" s="144">
        <f t="shared" si="24"/>
        <v>1090000</v>
      </c>
      <c r="K404" s="145" t="s">
        <v>3954</v>
      </c>
      <c r="L404" s="146" t="s">
        <v>3955</v>
      </c>
      <c r="M404" s="140"/>
      <c r="N404" s="64" t="s">
        <v>3956</v>
      </c>
      <c r="O404" s="64" t="s">
        <v>2813</v>
      </c>
      <c r="P404" s="170"/>
      <c r="Q404" s="149"/>
      <c r="R404" s="141"/>
      <c r="S404" s="141"/>
      <c r="T404" s="141">
        <v>1090000.0</v>
      </c>
      <c r="U404" s="149"/>
      <c r="V404" s="149"/>
      <c r="W404" s="149"/>
      <c r="X404" s="64" t="s">
        <v>3810</v>
      </c>
      <c r="Y404" s="64"/>
      <c r="Z404" s="68"/>
    </row>
    <row r="405" ht="15.0" customHeight="1">
      <c r="A405" s="139">
        <v>45852.0</v>
      </c>
      <c r="B405" s="148" t="s">
        <v>3957</v>
      </c>
      <c r="C405" s="64" t="s">
        <v>3958</v>
      </c>
      <c r="D405" s="140" t="str">
        <f>IFERROR(VLOOKUP(C405,Stock,3,FALSE),"")</f>
        <v>Wuling Almaz</v>
      </c>
      <c r="E405" s="64">
        <v>1.0</v>
      </c>
      <c r="F405" s="141">
        <v>2148000.0</v>
      </c>
      <c r="G405" s="142">
        <f t="shared" si="22"/>
        <v>2148000</v>
      </c>
      <c r="H405" s="142"/>
      <c r="I405" s="143">
        <f t="shared" si="23"/>
        <v>2148000</v>
      </c>
      <c r="J405" s="144">
        <f t="shared" si="24"/>
        <v>2148000</v>
      </c>
      <c r="K405" s="145" t="s">
        <v>3959</v>
      </c>
      <c r="L405" s="146" t="s">
        <v>3960</v>
      </c>
      <c r="M405" s="140"/>
      <c r="N405" s="64" t="s">
        <v>3961</v>
      </c>
      <c r="O405" s="64" t="s">
        <v>2813</v>
      </c>
      <c r="P405" s="170"/>
      <c r="Q405" s="149"/>
      <c r="R405" s="141"/>
      <c r="S405" s="141"/>
      <c r="T405" s="141">
        <v>100000.0</v>
      </c>
      <c r="U405" s="149"/>
      <c r="V405" s="149"/>
      <c r="W405" s="149"/>
      <c r="X405" s="64" t="s">
        <v>3810</v>
      </c>
      <c r="Y405" s="64"/>
      <c r="Z405" s="68"/>
    </row>
    <row r="406" ht="15.0" customHeight="1">
      <c r="A406" s="139">
        <v>45852.0</v>
      </c>
      <c r="B406" s="148" t="s">
        <v>3957</v>
      </c>
      <c r="C406" s="64" t="s">
        <v>2770</v>
      </c>
      <c r="D406" s="140" t="str">
        <f>IFERROR(VLOOKUP(C406,Stock,3,FALSE),"")</f>
        <v>Transport</v>
      </c>
      <c r="E406" s="64">
        <v>1.0</v>
      </c>
      <c r="F406" s="141">
        <v>150000.0</v>
      </c>
      <c r="G406" s="142">
        <f t="shared" si="22"/>
        <v>150000</v>
      </c>
      <c r="H406" s="142"/>
      <c r="I406" s="143">
        <f t="shared" si="23"/>
        <v>150000</v>
      </c>
      <c r="J406" s="144">
        <f t="shared" si="24"/>
        <v>150000</v>
      </c>
      <c r="K406" s="145" t="s">
        <v>3959</v>
      </c>
      <c r="L406" s="146" t="s">
        <v>3960</v>
      </c>
      <c r="M406" s="140"/>
      <c r="N406" s="64" t="s">
        <v>3961</v>
      </c>
      <c r="O406" s="64" t="s">
        <v>2813</v>
      </c>
      <c r="P406" s="170"/>
      <c r="Q406" s="149"/>
      <c r="R406" s="141"/>
      <c r="S406" s="141"/>
      <c r="T406" s="141">
        <v>2198000.0</v>
      </c>
      <c r="U406" s="149"/>
      <c r="V406" s="149"/>
      <c r="W406" s="149"/>
      <c r="X406" s="64" t="s">
        <v>3810</v>
      </c>
      <c r="Y406" s="64"/>
      <c r="Z406" s="68"/>
    </row>
    <row r="407" ht="15.0" customHeight="1">
      <c r="A407" s="139">
        <v>45852.0</v>
      </c>
      <c r="B407" s="148" t="s">
        <v>3962</v>
      </c>
      <c r="C407" s="64" t="s">
        <v>3963</v>
      </c>
      <c r="D407" s="140" t="str">
        <f>IFERROR(VLOOKUP(C407,Stock,3,FALSE),"")</f>
        <v>Suzuki Carry New 19-</v>
      </c>
      <c r="E407" s="64">
        <v>1.0</v>
      </c>
      <c r="F407" s="141">
        <v>515000.0</v>
      </c>
      <c r="G407" s="142">
        <f t="shared" si="22"/>
        <v>515000</v>
      </c>
      <c r="H407" s="142"/>
      <c r="I407" s="143">
        <f t="shared" si="23"/>
        <v>515000</v>
      </c>
      <c r="J407" s="144">
        <f t="shared" si="24"/>
        <v>515000</v>
      </c>
      <c r="K407" s="145" t="s">
        <v>3964</v>
      </c>
      <c r="L407" s="146" t="s">
        <v>3965</v>
      </c>
      <c r="M407" s="140"/>
      <c r="N407" s="64" t="s">
        <v>3966</v>
      </c>
      <c r="O407" s="64" t="s">
        <v>2813</v>
      </c>
      <c r="P407" s="170"/>
      <c r="Q407" s="149"/>
      <c r="R407" s="149"/>
      <c r="S407" s="149"/>
      <c r="T407" s="149"/>
      <c r="U407" s="149"/>
      <c r="V407" s="149"/>
      <c r="W407" s="149"/>
      <c r="X407" s="64" t="s">
        <v>3810</v>
      </c>
      <c r="Y407" s="64"/>
      <c r="Z407" s="68"/>
    </row>
    <row r="408" ht="15.0" customHeight="1">
      <c r="A408" s="139">
        <v>45852.0</v>
      </c>
      <c r="B408" s="148" t="s">
        <v>3967</v>
      </c>
      <c r="C408" s="64" t="s">
        <v>3269</v>
      </c>
      <c r="D408" s="140" t="str">
        <f>IFERROR(VLOOKUP(C408,Stock,3,FALSE),"")</f>
        <v>Mitsubishi Pajero 16-</v>
      </c>
      <c r="E408" s="64">
        <v>1.0</v>
      </c>
      <c r="F408" s="141">
        <v>755000.0</v>
      </c>
      <c r="G408" s="142">
        <f t="shared" si="22"/>
        <v>755000</v>
      </c>
      <c r="H408" s="142"/>
      <c r="I408" s="143">
        <f t="shared" si="23"/>
        <v>755000</v>
      </c>
      <c r="J408" s="144">
        <f t="shared" si="24"/>
        <v>755000</v>
      </c>
      <c r="K408" s="145" t="s">
        <v>3968</v>
      </c>
      <c r="L408" s="146" t="s">
        <v>3969</v>
      </c>
      <c r="M408" s="140"/>
      <c r="N408" s="64" t="s">
        <v>3970</v>
      </c>
      <c r="O408" s="64" t="s">
        <v>2813</v>
      </c>
      <c r="P408" s="170"/>
      <c r="Q408" s="149"/>
      <c r="R408" s="149"/>
      <c r="S408" s="149"/>
      <c r="T408" s="149"/>
      <c r="U408" s="149"/>
      <c r="V408" s="149"/>
      <c r="W408" s="149"/>
      <c r="X408" s="64" t="s">
        <v>3810</v>
      </c>
      <c r="Y408" s="64"/>
      <c r="Z408" s="68"/>
    </row>
    <row r="409" ht="15.0" customHeight="1">
      <c r="A409" s="139">
        <v>45852.0</v>
      </c>
      <c r="B409" s="148" t="s">
        <v>3971</v>
      </c>
      <c r="C409" s="64" t="s">
        <v>3048</v>
      </c>
      <c r="D409" s="140" t="str">
        <f>IFERROR(VLOOKUP(C409,Stock,3,FALSE),"")</f>
        <v>Biaya Pengecekan</v>
      </c>
      <c r="E409" s="64">
        <v>1.0</v>
      </c>
      <c r="F409" s="141">
        <v>150000.0</v>
      </c>
      <c r="G409" s="142">
        <f t="shared" si="22"/>
        <v>150000</v>
      </c>
      <c r="H409" s="142"/>
      <c r="I409" s="143">
        <f t="shared" si="23"/>
        <v>150000</v>
      </c>
      <c r="J409" s="144">
        <f t="shared" si="24"/>
        <v>150000</v>
      </c>
      <c r="K409" s="145" t="s">
        <v>3972</v>
      </c>
      <c r="L409" s="64" t="s">
        <v>3973</v>
      </c>
      <c r="M409" s="140"/>
      <c r="N409" s="68"/>
      <c r="O409" s="64" t="s">
        <v>2813</v>
      </c>
      <c r="P409" s="170"/>
      <c r="Q409" s="141">
        <v>150000.0</v>
      </c>
      <c r="R409" s="149"/>
      <c r="S409" s="149"/>
      <c r="T409" s="149"/>
      <c r="U409" s="149"/>
      <c r="V409" s="149"/>
      <c r="W409" s="149"/>
      <c r="X409" s="64" t="s">
        <v>2976</v>
      </c>
      <c r="Y409" s="64"/>
      <c r="Z409" s="68"/>
    </row>
    <row r="410" ht="15.0" customHeight="1">
      <c r="A410" s="139">
        <v>45853.0</v>
      </c>
      <c r="B410" s="148" t="s">
        <v>3974</v>
      </c>
      <c r="C410" s="64" t="s">
        <v>3975</v>
      </c>
      <c r="D410" s="140" t="str">
        <f>IFERROR(VLOOKUP(C410,Stock,3,FALSE),"")</f>
        <v>Nissan Terrano 95-06</v>
      </c>
      <c r="E410" s="64">
        <v>1.0</v>
      </c>
      <c r="F410" s="141">
        <v>1449000.0</v>
      </c>
      <c r="G410" s="142">
        <f t="shared" si="22"/>
        <v>1449000</v>
      </c>
      <c r="H410" s="142"/>
      <c r="I410" s="143">
        <f t="shared" si="23"/>
        <v>1449000</v>
      </c>
      <c r="J410" s="144">
        <f t="shared" si="24"/>
        <v>1449000</v>
      </c>
      <c r="K410" s="145" t="s">
        <v>3976</v>
      </c>
      <c r="L410" s="146" t="s">
        <v>3977</v>
      </c>
      <c r="M410" s="140"/>
      <c r="N410" s="64" t="s">
        <v>3978</v>
      </c>
      <c r="O410" s="64" t="s">
        <v>2813</v>
      </c>
      <c r="P410" s="170"/>
      <c r="Q410" s="149"/>
      <c r="R410" s="141"/>
      <c r="S410" s="141"/>
      <c r="T410" s="141">
        <v>30000.0</v>
      </c>
      <c r="U410" s="149"/>
      <c r="V410" s="149"/>
      <c r="W410" s="149"/>
      <c r="X410" s="64" t="s">
        <v>3810</v>
      </c>
      <c r="Y410" s="64"/>
      <c r="Z410" s="68"/>
    </row>
    <row r="411" ht="15.0" customHeight="1">
      <c r="A411" s="139">
        <v>45853.0</v>
      </c>
      <c r="B411" s="148" t="s">
        <v>3974</v>
      </c>
      <c r="C411" s="64" t="s">
        <v>2770</v>
      </c>
      <c r="D411" s="140" t="str">
        <f>IFERROR(VLOOKUP(C411,Stock,3,FALSE),"")</f>
        <v>Transport</v>
      </c>
      <c r="E411" s="64">
        <v>1.0</v>
      </c>
      <c r="F411" s="141">
        <v>150000.0</v>
      </c>
      <c r="G411" s="142">
        <f t="shared" si="22"/>
        <v>150000</v>
      </c>
      <c r="H411" s="142"/>
      <c r="I411" s="143">
        <f t="shared" si="23"/>
        <v>150000</v>
      </c>
      <c r="J411" s="144">
        <f t="shared" si="24"/>
        <v>150000</v>
      </c>
      <c r="K411" s="145" t="s">
        <v>3976</v>
      </c>
      <c r="L411" s="146" t="s">
        <v>3977</v>
      </c>
      <c r="M411" s="140"/>
      <c r="N411" s="64" t="s">
        <v>3978</v>
      </c>
      <c r="O411" s="64" t="s">
        <v>2813</v>
      </c>
      <c r="P411" s="170"/>
      <c r="Q411" s="149"/>
      <c r="R411" s="141"/>
      <c r="S411" s="141"/>
      <c r="T411" s="141">
        <v>1569000.0</v>
      </c>
      <c r="U411" s="149"/>
      <c r="V411" s="149"/>
      <c r="W411" s="149"/>
      <c r="X411" s="64" t="s">
        <v>3810</v>
      </c>
      <c r="Y411" s="64"/>
      <c r="Z411" s="68"/>
    </row>
    <row r="412" ht="15.0" customHeight="1">
      <c r="A412" s="139">
        <v>45853.0</v>
      </c>
      <c r="B412" s="148" t="s">
        <v>3979</v>
      </c>
      <c r="C412" s="64" t="s">
        <v>3043</v>
      </c>
      <c r="D412" s="140" t="str">
        <f>IFERROR(VLOOKUP(C412,Stock,3,FALSE),"")</f>
        <v>Honda CR-V 17- 5th Gen</v>
      </c>
      <c r="E412" s="64">
        <v>1.0</v>
      </c>
      <c r="F412" s="141">
        <v>1839000.0</v>
      </c>
      <c r="G412" s="142">
        <f t="shared" si="22"/>
        <v>1839000</v>
      </c>
      <c r="H412" s="142"/>
      <c r="I412" s="143">
        <f t="shared" si="23"/>
        <v>1839000</v>
      </c>
      <c r="J412" s="144">
        <f t="shared" si="24"/>
        <v>1839000</v>
      </c>
      <c r="K412" s="145" t="s">
        <v>3980</v>
      </c>
      <c r="L412" s="146" t="s">
        <v>3981</v>
      </c>
      <c r="M412" s="140"/>
      <c r="N412" s="64" t="s">
        <v>3982</v>
      </c>
      <c r="O412" s="64" t="s">
        <v>2813</v>
      </c>
      <c r="P412" s="170"/>
      <c r="Q412" s="149"/>
      <c r="R412" s="141"/>
      <c r="S412" s="141"/>
      <c r="T412" s="141">
        <v>1839000.0</v>
      </c>
      <c r="U412" s="149"/>
      <c r="V412" s="149"/>
      <c r="W412" s="149"/>
      <c r="X412" s="64" t="s">
        <v>3810</v>
      </c>
      <c r="Y412" s="64"/>
      <c r="Z412" s="68"/>
    </row>
    <row r="413" ht="15.0" customHeight="1">
      <c r="A413" s="139">
        <v>45853.0</v>
      </c>
      <c r="B413" s="148" t="s">
        <v>3983</v>
      </c>
      <c r="C413" s="64" t="s">
        <v>3829</v>
      </c>
      <c r="D413" s="140" t="str">
        <f>IFERROR(VLOOKUP(C413,Stock,3,FALSE),"")</f>
        <v>Hyundai Accent Verna / Avega 01-12 Sedan</v>
      </c>
      <c r="E413" s="64">
        <v>1.0</v>
      </c>
      <c r="F413" s="141">
        <v>1755000.0</v>
      </c>
      <c r="G413" s="142">
        <f t="shared" si="22"/>
        <v>1755000</v>
      </c>
      <c r="H413" s="142"/>
      <c r="I413" s="143">
        <f t="shared" si="23"/>
        <v>1755000</v>
      </c>
      <c r="J413" s="144">
        <f t="shared" si="24"/>
        <v>1755000</v>
      </c>
      <c r="K413" s="145" t="s">
        <v>3984</v>
      </c>
      <c r="L413" s="146" t="s">
        <v>3985</v>
      </c>
      <c r="M413" s="140"/>
      <c r="N413" s="64" t="s">
        <v>3986</v>
      </c>
      <c r="O413" s="64" t="s">
        <v>2813</v>
      </c>
      <c r="P413" s="170"/>
      <c r="Q413" s="149"/>
      <c r="R413" s="141"/>
      <c r="S413" s="141"/>
      <c r="T413" s="141">
        <v>1755000.0</v>
      </c>
      <c r="U413" s="149"/>
      <c r="V413" s="149"/>
      <c r="W413" s="149"/>
      <c r="X413" s="64" t="s">
        <v>3810</v>
      </c>
      <c r="Y413" s="64"/>
      <c r="Z413" s="68"/>
    </row>
    <row r="414" ht="15.0" customHeight="1">
      <c r="A414" s="139">
        <v>45854.0</v>
      </c>
      <c r="B414" s="148" t="s">
        <v>3987</v>
      </c>
      <c r="C414" s="64" t="s">
        <v>2968</v>
      </c>
      <c r="D414" s="140" t="str">
        <f>IFERROR(VLOOKUP(C414,Stock,3,FALSE),"")</f>
        <v>Toyota Rush / Terios 18-</v>
      </c>
      <c r="E414" s="64">
        <v>1.0</v>
      </c>
      <c r="F414" s="141">
        <v>998000.0</v>
      </c>
      <c r="G414" s="142">
        <f t="shared" si="22"/>
        <v>998000</v>
      </c>
      <c r="H414" s="142"/>
      <c r="I414" s="143">
        <f t="shared" si="23"/>
        <v>998000</v>
      </c>
      <c r="J414" s="144">
        <f t="shared" si="24"/>
        <v>998000</v>
      </c>
      <c r="K414" s="145" t="s">
        <v>3988</v>
      </c>
      <c r="L414" s="146" t="s">
        <v>3989</v>
      </c>
      <c r="M414" s="140"/>
      <c r="N414" s="64" t="s">
        <v>3990</v>
      </c>
      <c r="O414" s="64" t="s">
        <v>2813</v>
      </c>
      <c r="P414" s="170"/>
      <c r="Q414" s="149"/>
      <c r="R414" s="141"/>
      <c r="S414" s="141"/>
      <c r="T414" s="141">
        <v>30000.0</v>
      </c>
      <c r="U414" s="149"/>
      <c r="V414" s="149"/>
      <c r="W414" s="149"/>
      <c r="X414" s="64" t="s">
        <v>3810</v>
      </c>
      <c r="Y414" s="64"/>
      <c r="Z414" s="68"/>
    </row>
    <row r="415" ht="15.0" customHeight="1">
      <c r="A415" s="139">
        <v>45854.0</v>
      </c>
      <c r="B415" s="148" t="s">
        <v>3987</v>
      </c>
      <c r="C415" s="64" t="s">
        <v>2770</v>
      </c>
      <c r="D415" s="140" t="str">
        <f>IFERROR(VLOOKUP(C415,Stock,3,FALSE),"")</f>
        <v>Transport</v>
      </c>
      <c r="E415" s="64">
        <v>1.0</v>
      </c>
      <c r="F415" s="141">
        <v>100000.0</v>
      </c>
      <c r="G415" s="142">
        <f t="shared" si="22"/>
        <v>100000</v>
      </c>
      <c r="H415" s="142"/>
      <c r="I415" s="143">
        <f t="shared" si="23"/>
        <v>100000</v>
      </c>
      <c r="J415" s="144">
        <f t="shared" si="24"/>
        <v>100000</v>
      </c>
      <c r="K415" s="145" t="s">
        <v>3988</v>
      </c>
      <c r="L415" s="146" t="s">
        <v>3989</v>
      </c>
      <c r="M415" s="140"/>
      <c r="N415" s="64" t="s">
        <v>3990</v>
      </c>
      <c r="O415" s="64" t="s">
        <v>2813</v>
      </c>
      <c r="P415" s="170"/>
      <c r="Q415" s="149"/>
      <c r="R415" s="141"/>
      <c r="S415" s="141"/>
      <c r="T415" s="141">
        <v>1068000.0</v>
      </c>
      <c r="U415" s="149"/>
      <c r="V415" s="149"/>
      <c r="W415" s="149"/>
      <c r="X415" s="64" t="s">
        <v>3810</v>
      </c>
      <c r="Y415" s="64"/>
      <c r="Z415" s="68"/>
    </row>
    <row r="416" ht="15.0" customHeight="1">
      <c r="A416" s="139">
        <v>45854.0</v>
      </c>
      <c r="B416" s="148" t="s">
        <v>3991</v>
      </c>
      <c r="C416" s="64" t="s">
        <v>3849</v>
      </c>
      <c r="D416" s="140" t="str">
        <f>IFERROR(VLOOKUP(C416,Stock,3,FALSE),"")</f>
        <v>Toyota Yaris 13- 2nd Gen / Vios 14- 3rd Gen</v>
      </c>
      <c r="E416" s="64">
        <v>1.0</v>
      </c>
      <c r="F416" s="141">
        <v>1619000.0</v>
      </c>
      <c r="G416" s="142">
        <f t="shared" si="22"/>
        <v>1619000</v>
      </c>
      <c r="H416" s="142"/>
      <c r="I416" s="143">
        <f t="shared" si="23"/>
        <v>1619000</v>
      </c>
      <c r="J416" s="144">
        <f t="shared" si="24"/>
        <v>1619000</v>
      </c>
      <c r="K416" s="145" t="s">
        <v>3992</v>
      </c>
      <c r="L416" s="146" t="s">
        <v>3993</v>
      </c>
      <c r="M416" s="140"/>
      <c r="N416" s="64" t="s">
        <v>3994</v>
      </c>
      <c r="O416" s="64" t="s">
        <v>2813</v>
      </c>
      <c r="P416" s="170"/>
      <c r="Q416" s="149"/>
      <c r="R416" s="141"/>
      <c r="S416" s="141"/>
      <c r="T416" s="141">
        <v>1619000.0</v>
      </c>
      <c r="U416" s="149"/>
      <c r="V416" s="149"/>
      <c r="W416" s="149"/>
      <c r="X416" s="64" t="s">
        <v>3810</v>
      </c>
      <c r="Y416" s="64"/>
      <c r="Z416" s="68"/>
    </row>
    <row r="417" ht="15.0" customHeight="1">
      <c r="A417" s="139">
        <v>45854.0</v>
      </c>
      <c r="B417" s="148" t="s">
        <v>3995</v>
      </c>
      <c r="C417" s="64" t="s">
        <v>3996</v>
      </c>
      <c r="D417" s="140" t="str">
        <f>IFERROR(VLOOKUP(C417,Stock,3,FALSE),"")</f>
        <v>Mazda 2 09-14 3rd Gen</v>
      </c>
      <c r="E417" s="64">
        <v>1.0</v>
      </c>
      <c r="F417" s="141">
        <v>1849000.0</v>
      </c>
      <c r="G417" s="142">
        <f t="shared" si="22"/>
        <v>1849000</v>
      </c>
      <c r="H417" s="142"/>
      <c r="I417" s="143">
        <f t="shared" si="23"/>
        <v>1849000</v>
      </c>
      <c r="J417" s="144">
        <f t="shared" si="24"/>
        <v>1849000</v>
      </c>
      <c r="K417" s="145" t="s">
        <v>3997</v>
      </c>
      <c r="L417" s="146" t="s">
        <v>3998</v>
      </c>
      <c r="M417" s="140"/>
      <c r="N417" s="64" t="s">
        <v>3999</v>
      </c>
      <c r="O417" s="64" t="s">
        <v>2813</v>
      </c>
      <c r="P417" s="170"/>
      <c r="Q417" s="149"/>
      <c r="R417" s="141"/>
      <c r="S417" s="141"/>
      <c r="T417" s="141">
        <v>50000.0</v>
      </c>
      <c r="U417" s="149"/>
      <c r="V417" s="149"/>
      <c r="W417" s="149"/>
      <c r="X417" s="64" t="s">
        <v>3810</v>
      </c>
      <c r="Y417" s="64"/>
      <c r="Z417" s="68"/>
    </row>
    <row r="418" ht="15.0" customHeight="1">
      <c r="A418" s="139">
        <v>45854.0</v>
      </c>
      <c r="B418" s="148" t="s">
        <v>3995</v>
      </c>
      <c r="C418" s="64" t="s">
        <v>2770</v>
      </c>
      <c r="D418" s="140" t="str">
        <f>IFERROR(VLOOKUP(C418,Stock,3,FALSE),"")</f>
        <v>Transport</v>
      </c>
      <c r="E418" s="64">
        <v>1.0</v>
      </c>
      <c r="F418" s="141">
        <v>200000.0</v>
      </c>
      <c r="G418" s="142">
        <f t="shared" si="22"/>
        <v>200000</v>
      </c>
      <c r="H418" s="142"/>
      <c r="I418" s="143">
        <f t="shared" si="23"/>
        <v>200000</v>
      </c>
      <c r="J418" s="144">
        <f t="shared" si="24"/>
        <v>200000</v>
      </c>
      <c r="K418" s="145" t="s">
        <v>3997</v>
      </c>
      <c r="L418" s="146" t="s">
        <v>3998</v>
      </c>
      <c r="M418" s="140"/>
      <c r="N418" s="64" t="s">
        <v>3999</v>
      </c>
      <c r="O418" s="64" t="s">
        <v>2813</v>
      </c>
      <c r="P418" s="170"/>
      <c r="Q418" s="149"/>
      <c r="R418" s="149"/>
      <c r="S418" s="149"/>
      <c r="T418" s="149"/>
      <c r="U418" s="149"/>
      <c r="V418" s="149"/>
      <c r="W418" s="149"/>
      <c r="X418" s="64" t="s">
        <v>3810</v>
      </c>
      <c r="Y418" s="64"/>
      <c r="Z418" s="68"/>
    </row>
    <row r="419" ht="15.0" customHeight="1">
      <c r="A419" s="139">
        <v>45854.0</v>
      </c>
      <c r="B419" s="148" t="s">
        <v>4000</v>
      </c>
      <c r="C419" s="64" t="s">
        <v>4001</v>
      </c>
      <c r="D419" s="140" t="str">
        <f>IFERROR(VLOOKUP(C419,Stock,3,FALSE),"")</f>
        <v>Daihatsu Gran Max Minibus/Van</v>
      </c>
      <c r="E419" s="64">
        <v>1.0</v>
      </c>
      <c r="F419" s="141">
        <v>799000.0</v>
      </c>
      <c r="G419" s="142">
        <f t="shared" si="22"/>
        <v>799000</v>
      </c>
      <c r="H419" s="142"/>
      <c r="I419" s="143">
        <f t="shared" si="23"/>
        <v>799000</v>
      </c>
      <c r="J419" s="144">
        <f t="shared" si="24"/>
        <v>799000</v>
      </c>
      <c r="K419" s="145" t="s">
        <v>4002</v>
      </c>
      <c r="L419" s="146" t="s">
        <v>4003</v>
      </c>
      <c r="M419" s="140"/>
      <c r="N419" s="64" t="s">
        <v>4004</v>
      </c>
      <c r="O419" s="64" t="s">
        <v>2813</v>
      </c>
      <c r="P419" s="170"/>
      <c r="Q419" s="149"/>
      <c r="R419" s="149"/>
      <c r="S419" s="149"/>
      <c r="T419" s="149"/>
      <c r="U419" s="149"/>
      <c r="V419" s="149"/>
      <c r="W419" s="149"/>
      <c r="X419" s="64" t="s">
        <v>3810</v>
      </c>
      <c r="Y419" s="64"/>
      <c r="Z419" s="68"/>
    </row>
    <row r="420" ht="15.0" customHeight="1">
      <c r="A420" s="139">
        <v>45848.0</v>
      </c>
      <c r="B420" s="148" t="s">
        <v>4005</v>
      </c>
      <c r="C420" s="64" t="s">
        <v>2803</v>
      </c>
      <c r="D420" s="140" t="str">
        <f>IFERROR(VLOOKUP(C420,Stock,3,FALSE),"")</f>
        <v>Audi A4 08-15 B8 [11-15] (1 Sensor / O Sempurna)</v>
      </c>
      <c r="E420" s="64">
        <v>1.0</v>
      </c>
      <c r="F420" s="141">
        <v>4748000.0</v>
      </c>
      <c r="G420" s="142">
        <f t="shared" si="22"/>
        <v>4748000</v>
      </c>
      <c r="H420" s="142"/>
      <c r="I420" s="143">
        <f t="shared" si="23"/>
        <v>4748000</v>
      </c>
      <c r="J420" s="144">
        <f t="shared" si="24"/>
        <v>4748000</v>
      </c>
      <c r="K420" s="145" t="s">
        <v>4006</v>
      </c>
      <c r="L420" s="146" t="s">
        <v>4007</v>
      </c>
      <c r="M420" s="140"/>
      <c r="N420" s="68"/>
      <c r="O420" s="64" t="s">
        <v>2813</v>
      </c>
      <c r="P420" s="170"/>
      <c r="Q420" s="149"/>
      <c r="R420" s="141"/>
      <c r="S420" s="141"/>
      <c r="T420" s="141">
        <v>4898000.0</v>
      </c>
      <c r="U420" s="149"/>
      <c r="V420" s="149"/>
      <c r="W420" s="149"/>
      <c r="X420" s="64" t="s">
        <v>3810</v>
      </c>
      <c r="Y420" s="64"/>
      <c r="Z420" s="68"/>
    </row>
    <row r="421" ht="15.0" customHeight="1">
      <c r="A421" s="139">
        <v>45848.0</v>
      </c>
      <c r="B421" s="148" t="s">
        <v>4005</v>
      </c>
      <c r="C421" s="64" t="s">
        <v>2770</v>
      </c>
      <c r="D421" s="140" t="str">
        <f>IFERROR(VLOOKUP(C421,Stock,3,FALSE),"")</f>
        <v>Transport</v>
      </c>
      <c r="E421" s="64">
        <v>1.0</v>
      </c>
      <c r="F421" s="141">
        <v>150000.0</v>
      </c>
      <c r="G421" s="142">
        <f t="shared" si="22"/>
        <v>150000</v>
      </c>
      <c r="H421" s="142"/>
      <c r="I421" s="143">
        <f t="shared" si="23"/>
        <v>150000</v>
      </c>
      <c r="J421" s="144">
        <f t="shared" si="24"/>
        <v>150000</v>
      </c>
      <c r="K421" s="145" t="s">
        <v>4006</v>
      </c>
      <c r="L421" s="146" t="s">
        <v>4007</v>
      </c>
      <c r="M421" s="140"/>
      <c r="N421" s="68"/>
      <c r="O421" s="64" t="s">
        <v>2813</v>
      </c>
      <c r="P421" s="170"/>
      <c r="Q421" s="149"/>
      <c r="R421" s="149"/>
      <c r="S421" s="149"/>
      <c r="T421" s="149"/>
      <c r="U421" s="149"/>
      <c r="V421" s="149"/>
      <c r="W421" s="149"/>
      <c r="X421" s="64" t="s">
        <v>3810</v>
      </c>
      <c r="Y421" s="64"/>
      <c r="Z421" s="68"/>
    </row>
    <row r="422" ht="15.0" customHeight="1">
      <c r="A422" s="139">
        <v>45854.0</v>
      </c>
      <c r="B422" s="148" t="s">
        <v>4008</v>
      </c>
      <c r="C422" s="64" t="s">
        <v>3499</v>
      </c>
      <c r="D422" s="140" t="str">
        <f>IFERROR(VLOOKUP(C422,Stock,3,FALSE),"")</f>
        <v>Honda Brio 10- / Mobilio 11-</v>
      </c>
      <c r="E422" s="64">
        <v>1.0</v>
      </c>
      <c r="F422" s="141">
        <v>1300000.0</v>
      </c>
      <c r="G422" s="142">
        <f t="shared" si="22"/>
        <v>1300000</v>
      </c>
      <c r="H422" s="142"/>
      <c r="I422" s="143">
        <f t="shared" si="23"/>
        <v>1300000</v>
      </c>
      <c r="J422" s="144">
        <f t="shared" si="24"/>
        <v>1300000</v>
      </c>
      <c r="K422" s="145" t="s">
        <v>4009</v>
      </c>
      <c r="L422" s="146" t="s">
        <v>4010</v>
      </c>
      <c r="M422" s="140"/>
      <c r="N422" s="64" t="s">
        <v>4011</v>
      </c>
      <c r="O422" s="64" t="s">
        <v>2813</v>
      </c>
      <c r="P422" s="170"/>
      <c r="Q422" s="149"/>
      <c r="R422" s="141"/>
      <c r="S422" s="141"/>
      <c r="T422" s="141">
        <v>1300000.0</v>
      </c>
      <c r="U422" s="149"/>
      <c r="V422" s="149"/>
      <c r="W422" s="149"/>
      <c r="X422" s="64" t="s">
        <v>3810</v>
      </c>
      <c r="Y422" s="64"/>
      <c r="Z422" s="68"/>
    </row>
    <row r="423" ht="15.0" customHeight="1">
      <c r="A423" s="139">
        <v>45855.0</v>
      </c>
      <c r="B423" s="148" t="s">
        <v>4012</v>
      </c>
      <c r="C423" s="64" t="s">
        <v>4013</v>
      </c>
      <c r="D423" s="140" t="str">
        <f>IFERROR(VLOOKUP(C423,Stock,3,FALSE),"")</f>
        <v>Toyota Sienta 15-</v>
      </c>
      <c r="E423" s="64">
        <v>1.0</v>
      </c>
      <c r="F423" s="141">
        <v>1283000.0</v>
      </c>
      <c r="G423" s="142">
        <f t="shared" si="22"/>
        <v>1283000</v>
      </c>
      <c r="H423" s="142"/>
      <c r="I423" s="143">
        <f t="shared" si="23"/>
        <v>1283000</v>
      </c>
      <c r="J423" s="144">
        <f t="shared" si="24"/>
        <v>1283000</v>
      </c>
      <c r="K423" s="145" t="s">
        <v>4014</v>
      </c>
      <c r="L423" s="146" t="s">
        <v>4015</v>
      </c>
      <c r="M423" s="140"/>
      <c r="N423" s="64" t="s">
        <v>4016</v>
      </c>
      <c r="O423" s="64" t="s">
        <v>2813</v>
      </c>
      <c r="P423" s="170"/>
      <c r="Q423" s="149"/>
      <c r="R423" s="141"/>
      <c r="S423" s="141"/>
      <c r="T423" s="141">
        <v>30000.0</v>
      </c>
      <c r="U423" s="149"/>
      <c r="V423" s="149"/>
      <c r="W423" s="149"/>
      <c r="X423" s="64" t="s">
        <v>3810</v>
      </c>
      <c r="Y423" s="64"/>
      <c r="Z423" s="68"/>
    </row>
    <row r="424" ht="15.0" customHeight="1">
      <c r="A424" s="139">
        <v>45855.0</v>
      </c>
      <c r="B424" s="148" t="s">
        <v>4012</v>
      </c>
      <c r="C424" s="64" t="s">
        <v>2770</v>
      </c>
      <c r="D424" s="140" t="str">
        <f>IFERROR(VLOOKUP(C424,Stock,3,FALSE),"")</f>
        <v>Transport</v>
      </c>
      <c r="E424" s="64">
        <v>1.0</v>
      </c>
      <c r="F424" s="141">
        <v>200000.0</v>
      </c>
      <c r="G424" s="142">
        <f t="shared" si="22"/>
        <v>200000</v>
      </c>
      <c r="H424" s="142"/>
      <c r="I424" s="143">
        <f t="shared" si="23"/>
        <v>200000</v>
      </c>
      <c r="J424" s="144">
        <f t="shared" si="24"/>
        <v>200000</v>
      </c>
      <c r="K424" s="145" t="s">
        <v>4014</v>
      </c>
      <c r="L424" s="146" t="s">
        <v>4015</v>
      </c>
      <c r="M424" s="140"/>
      <c r="N424" s="64" t="s">
        <v>4016</v>
      </c>
      <c r="O424" s="64" t="s">
        <v>2813</v>
      </c>
      <c r="P424" s="170"/>
      <c r="Q424" s="149"/>
      <c r="R424" s="141"/>
      <c r="S424" s="141"/>
      <c r="T424" s="141">
        <v>2678000.0</v>
      </c>
      <c r="U424" s="149"/>
      <c r="V424" s="149"/>
      <c r="W424" s="149"/>
      <c r="X424" s="64" t="s">
        <v>3810</v>
      </c>
      <c r="Y424" s="64"/>
      <c r="Z424" s="68"/>
    </row>
    <row r="425" ht="15.0" customHeight="1">
      <c r="A425" s="139">
        <v>45855.0</v>
      </c>
      <c r="B425" s="148" t="s">
        <v>4012</v>
      </c>
      <c r="C425" s="153" t="s">
        <v>4017</v>
      </c>
      <c r="D425" s="140" t="str">
        <f>IFERROR(VLOOKUP(C425,Stock,3,FALSE),"")</f>
        <v>Black Phantom Solar Gard</v>
      </c>
      <c r="E425" s="64">
        <v>1.0</v>
      </c>
      <c r="F425" s="141">
        <v>1125000.0</v>
      </c>
      <c r="G425" s="142">
        <f t="shared" si="22"/>
        <v>1125000</v>
      </c>
      <c r="H425" s="142"/>
      <c r="I425" s="143">
        <f t="shared" si="23"/>
        <v>1125000</v>
      </c>
      <c r="J425" s="144">
        <f t="shared" si="24"/>
        <v>1125000</v>
      </c>
      <c r="K425" s="145" t="s">
        <v>4014</v>
      </c>
      <c r="L425" s="146" t="s">
        <v>4015</v>
      </c>
      <c r="M425" s="140"/>
      <c r="N425" s="64" t="s">
        <v>4016</v>
      </c>
      <c r="O425" s="64" t="s">
        <v>2813</v>
      </c>
      <c r="P425" s="170"/>
      <c r="Q425" s="149"/>
      <c r="R425" s="149"/>
      <c r="S425" s="149"/>
      <c r="T425" s="149"/>
      <c r="U425" s="149"/>
      <c r="V425" s="149"/>
      <c r="W425" s="149"/>
      <c r="X425" s="64" t="s">
        <v>3810</v>
      </c>
      <c r="Y425" s="64"/>
      <c r="Z425" s="68"/>
    </row>
    <row r="426" ht="15.0" customHeight="1">
      <c r="A426" s="139">
        <v>45855.0</v>
      </c>
      <c r="B426" s="148" t="s">
        <v>4012</v>
      </c>
      <c r="C426" s="64" t="s">
        <v>2770</v>
      </c>
      <c r="D426" s="140" t="str">
        <f>IFERROR(VLOOKUP(C426,Stock,3,FALSE),"")</f>
        <v>Transport</v>
      </c>
      <c r="E426" s="64">
        <v>1.0</v>
      </c>
      <c r="F426" s="141">
        <v>100000.0</v>
      </c>
      <c r="G426" s="142">
        <f t="shared" si="22"/>
        <v>100000</v>
      </c>
      <c r="H426" s="142"/>
      <c r="I426" s="143">
        <f t="shared" si="23"/>
        <v>100000</v>
      </c>
      <c r="J426" s="144">
        <f t="shared" si="24"/>
        <v>100000</v>
      </c>
      <c r="K426" s="145" t="s">
        <v>4014</v>
      </c>
      <c r="L426" s="146" t="s">
        <v>4015</v>
      </c>
      <c r="M426" s="140"/>
      <c r="N426" s="64" t="s">
        <v>4016</v>
      </c>
      <c r="O426" s="64" t="s">
        <v>2813</v>
      </c>
      <c r="P426" s="170"/>
      <c r="Q426" s="149"/>
      <c r="R426" s="149"/>
      <c r="S426" s="149"/>
      <c r="T426" s="149"/>
      <c r="U426" s="149"/>
      <c r="V426" s="149"/>
      <c r="W426" s="149"/>
      <c r="X426" s="64" t="s">
        <v>3810</v>
      </c>
      <c r="Y426" s="64"/>
      <c r="Z426" s="68"/>
    </row>
    <row r="427" ht="15.0" customHeight="1">
      <c r="A427" s="139">
        <v>45856.0</v>
      </c>
      <c r="B427" s="148" t="s">
        <v>4018</v>
      </c>
      <c r="C427" s="64" t="s">
        <v>4019</v>
      </c>
      <c r="D427" s="140" t="str">
        <f>IFERROR(VLOOKUP(C427,Stock,3,FALSE),"")</f>
        <v>Mers-Benz E-Class 09-16 W212</v>
      </c>
      <c r="E427" s="64">
        <v>1.0</v>
      </c>
      <c r="F427" s="141">
        <v>3297000.0</v>
      </c>
      <c r="G427" s="142">
        <f t="shared" si="22"/>
        <v>3297000</v>
      </c>
      <c r="H427" s="142"/>
      <c r="I427" s="143">
        <f t="shared" si="23"/>
        <v>3297000</v>
      </c>
      <c r="J427" s="144">
        <f t="shared" si="24"/>
        <v>3297000</v>
      </c>
      <c r="K427" s="145" t="s">
        <v>4020</v>
      </c>
      <c r="L427" s="146" t="s">
        <v>4021</v>
      </c>
      <c r="M427" s="140"/>
      <c r="N427" s="64" t="s">
        <v>4022</v>
      </c>
      <c r="O427" s="64" t="s">
        <v>2813</v>
      </c>
      <c r="P427" s="170"/>
      <c r="Q427" s="149"/>
      <c r="R427" s="141"/>
      <c r="S427" s="141"/>
      <c r="T427" s="141">
        <v>4672000.0</v>
      </c>
      <c r="U427" s="149"/>
      <c r="V427" s="149"/>
      <c r="W427" s="149"/>
      <c r="X427" s="64" t="s">
        <v>3810</v>
      </c>
      <c r="Y427" s="64"/>
      <c r="Z427" s="68"/>
    </row>
    <row r="428" ht="15.0" customHeight="1">
      <c r="A428" s="139">
        <v>45856.0</v>
      </c>
      <c r="B428" s="148" t="s">
        <v>4018</v>
      </c>
      <c r="C428" s="153" t="s">
        <v>4017</v>
      </c>
      <c r="D428" s="140" t="str">
        <f>IFERROR(VLOOKUP(C428,Stock,3,FALSE),"")</f>
        <v>Black Phantom Solar Gard</v>
      </c>
      <c r="E428" s="64">
        <v>1.0</v>
      </c>
      <c r="F428" s="141">
        <v>1375000.0</v>
      </c>
      <c r="G428" s="142">
        <f t="shared" si="22"/>
        <v>1375000</v>
      </c>
      <c r="H428" s="142"/>
      <c r="I428" s="143">
        <f t="shared" si="23"/>
        <v>1375000</v>
      </c>
      <c r="J428" s="144">
        <f t="shared" si="24"/>
        <v>1375000</v>
      </c>
      <c r="K428" s="145" t="s">
        <v>4020</v>
      </c>
      <c r="L428" s="146" t="s">
        <v>4021</v>
      </c>
      <c r="M428" s="140"/>
      <c r="N428" s="64" t="s">
        <v>4022</v>
      </c>
      <c r="O428" s="64" t="s">
        <v>2813</v>
      </c>
      <c r="P428" s="170"/>
      <c r="Q428" s="149"/>
      <c r="R428" s="149"/>
      <c r="S428" s="149"/>
      <c r="T428" s="149"/>
      <c r="U428" s="149"/>
      <c r="V428" s="149"/>
      <c r="W428" s="149"/>
      <c r="X428" s="64" t="s">
        <v>3810</v>
      </c>
      <c r="Y428" s="64"/>
      <c r="Z428" s="68"/>
    </row>
    <row r="429" ht="15.0" customHeight="1">
      <c r="A429" s="139">
        <v>45856.0</v>
      </c>
      <c r="B429" s="148" t="s">
        <v>4023</v>
      </c>
      <c r="C429" s="64" t="s">
        <v>4024</v>
      </c>
      <c r="D429" s="140" t="str">
        <f>IFERROR(VLOOKUP(C429,Stock,3,FALSE),"")</f>
        <v>Mazda CX-5 12-17 1st Gen KE Facelift - (2 Sensor / [] /\  )</v>
      </c>
      <c r="E429" s="64">
        <v>1.0</v>
      </c>
      <c r="F429" s="141">
        <v>3719000.0</v>
      </c>
      <c r="G429" s="142">
        <f t="shared" si="22"/>
        <v>3719000</v>
      </c>
      <c r="H429" s="142"/>
      <c r="I429" s="143">
        <f t="shared" si="23"/>
        <v>3719000</v>
      </c>
      <c r="J429" s="144">
        <f t="shared" si="24"/>
        <v>3719000</v>
      </c>
      <c r="K429" s="145" t="s">
        <v>4025</v>
      </c>
      <c r="L429" s="146" t="s">
        <v>4026</v>
      </c>
      <c r="M429" s="140"/>
      <c r="N429" s="64" t="s">
        <v>4027</v>
      </c>
      <c r="O429" s="64" t="s">
        <v>2813</v>
      </c>
      <c r="P429" s="170"/>
      <c r="Q429" s="149"/>
      <c r="R429" s="141"/>
      <c r="S429" s="141"/>
      <c r="T429" s="141">
        <v>3719000.0</v>
      </c>
      <c r="U429" s="149"/>
      <c r="V429" s="149"/>
      <c r="W429" s="149"/>
      <c r="X429" s="64" t="s">
        <v>3810</v>
      </c>
      <c r="Y429" s="64"/>
      <c r="Z429" s="68"/>
    </row>
    <row r="430" ht="15.0" customHeight="1">
      <c r="A430" s="139">
        <v>45857.0</v>
      </c>
      <c r="B430" s="148" t="s">
        <v>4028</v>
      </c>
      <c r="C430" s="64" t="s">
        <v>3638</v>
      </c>
      <c r="D430" s="140" t="str">
        <f>IFERROR(VLOOKUP(C430,Stock,3,FALSE),"")</f>
        <v>Mazda CX-5 12-17 1st Gen KE Pre - (1 Sensor/ □ )</v>
      </c>
      <c r="E430" s="64">
        <v>1.0</v>
      </c>
      <c r="F430" s="141">
        <v>3326000.0</v>
      </c>
      <c r="G430" s="142">
        <f t="shared" si="22"/>
        <v>3326000</v>
      </c>
      <c r="H430" s="142"/>
      <c r="I430" s="143">
        <f t="shared" si="23"/>
        <v>3326000</v>
      </c>
      <c r="J430" s="144">
        <f t="shared" si="24"/>
        <v>3326000</v>
      </c>
      <c r="K430" s="145" t="s">
        <v>4029</v>
      </c>
      <c r="L430" s="146" t="s">
        <v>4030</v>
      </c>
      <c r="M430" s="140"/>
      <c r="N430" s="64" t="s">
        <v>4031</v>
      </c>
      <c r="O430" s="64" t="s">
        <v>2813</v>
      </c>
      <c r="P430" s="170"/>
      <c r="Q430" s="149"/>
      <c r="R430" s="141"/>
      <c r="S430" s="141"/>
      <c r="T430" s="141">
        <v>3326000.0</v>
      </c>
      <c r="U430" s="149"/>
      <c r="V430" s="149"/>
      <c r="W430" s="149"/>
      <c r="X430" s="64" t="s">
        <v>3810</v>
      </c>
      <c r="Y430" s="64"/>
      <c r="Z430" s="68"/>
    </row>
    <row r="431" ht="15.0" customHeight="1">
      <c r="A431" s="139">
        <v>45857.0</v>
      </c>
      <c r="B431" s="148" t="s">
        <v>4032</v>
      </c>
      <c r="C431" s="64" t="s">
        <v>3246</v>
      </c>
      <c r="D431" s="140" t="str">
        <f>IFERROR(VLOOKUP(C431,Stock,3,FALSE),"")</f>
        <v>Toyota Calya / Sigra 16-</v>
      </c>
      <c r="E431" s="64">
        <v>1.0</v>
      </c>
      <c r="F431" s="141">
        <v>1170000.0</v>
      </c>
      <c r="G431" s="142">
        <f t="shared" si="22"/>
        <v>1170000</v>
      </c>
      <c r="H431" s="142"/>
      <c r="I431" s="143">
        <f t="shared" si="23"/>
        <v>1170000</v>
      </c>
      <c r="J431" s="144">
        <f t="shared" si="24"/>
        <v>1170000</v>
      </c>
      <c r="K431" s="145" t="s">
        <v>4033</v>
      </c>
      <c r="L431" s="146" t="s">
        <v>4034</v>
      </c>
      <c r="M431" s="140"/>
      <c r="N431" s="64" t="s">
        <v>4035</v>
      </c>
      <c r="O431" s="64" t="s">
        <v>2813</v>
      </c>
      <c r="P431" s="170"/>
      <c r="Q431" s="141">
        <v>1170000.0</v>
      </c>
      <c r="R431" s="149"/>
      <c r="S431" s="149"/>
      <c r="T431" s="149"/>
      <c r="U431" s="149"/>
      <c r="V431" s="149"/>
      <c r="W431" s="149"/>
      <c r="X431" s="64" t="s">
        <v>3810</v>
      </c>
      <c r="Y431" s="64"/>
      <c r="Z431" s="68"/>
    </row>
    <row r="432" ht="15.0" customHeight="1">
      <c r="A432" s="139">
        <v>45857.0</v>
      </c>
      <c r="B432" s="148" t="s">
        <v>4036</v>
      </c>
      <c r="C432" s="64" t="s">
        <v>4037</v>
      </c>
      <c r="D432" s="140" t="str">
        <f>IFERROR(VLOOKUP(C432,Stock,3,FALSE),"")</f>
        <v>Lexus RX (Harrier) 13- CU6 [2 Sensor / /\ [] ]</v>
      </c>
      <c r="E432" s="64">
        <v>1.0</v>
      </c>
      <c r="F432" s="141">
        <v>5450000.0</v>
      </c>
      <c r="G432" s="142">
        <f t="shared" si="22"/>
        <v>5450000</v>
      </c>
      <c r="H432" s="142"/>
      <c r="I432" s="143">
        <f t="shared" si="23"/>
        <v>5450000</v>
      </c>
      <c r="J432" s="144">
        <f t="shared" si="24"/>
        <v>5450000</v>
      </c>
      <c r="K432" s="145" t="s">
        <v>4038</v>
      </c>
      <c r="L432" s="146" t="s">
        <v>4039</v>
      </c>
      <c r="M432" s="140"/>
      <c r="N432" s="64" t="s">
        <v>4040</v>
      </c>
      <c r="O432" s="64" t="s">
        <v>2813</v>
      </c>
      <c r="P432" s="170"/>
      <c r="Q432" s="149"/>
      <c r="R432" s="141"/>
      <c r="S432" s="141"/>
      <c r="T432" s="141">
        <v>50000.0</v>
      </c>
      <c r="U432" s="149"/>
      <c r="V432" s="149"/>
      <c r="W432" s="149"/>
      <c r="X432" s="64" t="s">
        <v>3810</v>
      </c>
      <c r="Y432" s="64"/>
      <c r="Z432" s="68"/>
    </row>
    <row r="433" ht="15.0" customHeight="1">
      <c r="A433" s="139">
        <v>45857.0</v>
      </c>
      <c r="B433" s="148" t="s">
        <v>4036</v>
      </c>
      <c r="C433" s="64" t="s">
        <v>2770</v>
      </c>
      <c r="D433" s="140" t="str">
        <f>IFERROR(VLOOKUP(C433,Stock,3,FALSE),"")</f>
        <v>Transport</v>
      </c>
      <c r="E433" s="64">
        <v>1.0</v>
      </c>
      <c r="F433" s="141">
        <v>200000.0</v>
      </c>
      <c r="G433" s="142">
        <f t="shared" si="22"/>
        <v>200000</v>
      </c>
      <c r="H433" s="142"/>
      <c r="I433" s="143">
        <f t="shared" si="23"/>
        <v>200000</v>
      </c>
      <c r="J433" s="144">
        <f t="shared" si="24"/>
        <v>200000</v>
      </c>
      <c r="K433" s="145" t="s">
        <v>4038</v>
      </c>
      <c r="L433" s="146" t="s">
        <v>4039</v>
      </c>
      <c r="M433" s="140"/>
      <c r="N433" s="64" t="s">
        <v>4040</v>
      </c>
      <c r="O433" s="64" t="s">
        <v>2813</v>
      </c>
      <c r="P433" s="170"/>
      <c r="Q433" s="149"/>
      <c r="R433" s="141"/>
      <c r="S433" s="141"/>
      <c r="T433" s="141">
        <v>5600000.0</v>
      </c>
      <c r="U433" s="149"/>
      <c r="V433" s="149"/>
      <c r="W433" s="149"/>
      <c r="X433" s="64" t="s">
        <v>3810</v>
      </c>
      <c r="Y433" s="64"/>
      <c r="Z433" s="68"/>
    </row>
    <row r="434" ht="15.0" customHeight="1">
      <c r="A434" s="139">
        <v>45857.0</v>
      </c>
      <c r="B434" s="148" t="s">
        <v>4041</v>
      </c>
      <c r="C434" s="64" t="s">
        <v>2952</v>
      </c>
      <c r="D434" s="140" t="str">
        <f>IFERROR(VLOOKUP(C434,Stock,3,FALSE),"")</f>
        <v/>
      </c>
      <c r="E434" s="64">
        <v>1.0</v>
      </c>
      <c r="F434" s="141">
        <v>1000000.0</v>
      </c>
      <c r="G434" s="142">
        <f t="shared" si="22"/>
        <v>1000000</v>
      </c>
      <c r="H434" s="142"/>
      <c r="I434" s="143">
        <f t="shared" si="23"/>
        <v>1000000</v>
      </c>
      <c r="J434" s="144">
        <f t="shared" si="24"/>
        <v>1000000</v>
      </c>
      <c r="K434" s="145" t="s">
        <v>4042</v>
      </c>
      <c r="L434" s="146" t="s">
        <v>4043</v>
      </c>
      <c r="M434" s="140"/>
      <c r="N434" s="64" t="s">
        <v>4044</v>
      </c>
      <c r="O434" s="64" t="s">
        <v>2813</v>
      </c>
      <c r="P434" s="170"/>
      <c r="Q434" s="149"/>
      <c r="R434" s="141"/>
      <c r="S434" s="141"/>
      <c r="T434" s="141">
        <v>1000000.0</v>
      </c>
      <c r="U434" s="149"/>
      <c r="V434" s="149"/>
      <c r="W434" s="149"/>
      <c r="X434" s="64" t="s">
        <v>3810</v>
      </c>
      <c r="Y434" s="64"/>
      <c r="Z434" s="68"/>
    </row>
    <row r="435" ht="15.0" customHeight="1">
      <c r="A435" s="139">
        <v>45857.0</v>
      </c>
      <c r="B435" s="148" t="s">
        <v>4045</v>
      </c>
      <c r="C435" s="64" t="s">
        <v>4046</v>
      </c>
      <c r="D435" s="140" t="str">
        <f>IFERROR(VLOOKUP(C435,Stock,3,FALSE),"")</f>
        <v>Mitsubishi L300</v>
      </c>
      <c r="E435" s="64">
        <v>1.0</v>
      </c>
      <c r="F435" s="141">
        <v>350000.0</v>
      </c>
      <c r="G435" s="142">
        <f t="shared" si="22"/>
        <v>350000</v>
      </c>
      <c r="H435" s="142"/>
      <c r="I435" s="143">
        <f t="shared" si="23"/>
        <v>350000</v>
      </c>
      <c r="J435" s="144">
        <f t="shared" si="24"/>
        <v>350000</v>
      </c>
      <c r="K435" s="145" t="s">
        <v>4006</v>
      </c>
      <c r="L435" s="146" t="s">
        <v>4047</v>
      </c>
      <c r="M435" s="140"/>
      <c r="N435" s="68"/>
      <c r="O435" s="64" t="s">
        <v>2813</v>
      </c>
      <c r="P435" s="170"/>
      <c r="Q435" s="149"/>
      <c r="R435" s="141"/>
      <c r="S435" s="141"/>
      <c r="T435" s="141">
        <v>350000.0</v>
      </c>
      <c r="U435" s="149"/>
      <c r="V435" s="149"/>
      <c r="W435" s="149"/>
      <c r="X435" s="64" t="s">
        <v>3810</v>
      </c>
      <c r="Y435" s="64"/>
      <c r="Z435" s="68"/>
    </row>
    <row r="436" ht="15.0" customHeight="1">
      <c r="A436" s="139">
        <v>45857.0</v>
      </c>
      <c r="B436" s="148" t="s">
        <v>4048</v>
      </c>
      <c r="C436" s="64" t="s">
        <v>3634</v>
      </c>
      <c r="D436" s="140" t="str">
        <f>IFERROR(VLOOKUP(C436,Stock,3,FALSE),"")</f>
        <v>Toyota Agya/Ayla 13-22 1st Gen (Toyota/Daihatsu)</v>
      </c>
      <c r="E436" s="64">
        <v>1.0</v>
      </c>
      <c r="F436" s="141">
        <v>839000.0</v>
      </c>
      <c r="G436" s="142">
        <f t="shared" si="22"/>
        <v>839000</v>
      </c>
      <c r="H436" s="142"/>
      <c r="I436" s="143">
        <f t="shared" si="23"/>
        <v>839000</v>
      </c>
      <c r="J436" s="144">
        <f t="shared" si="24"/>
        <v>839000</v>
      </c>
      <c r="K436" s="145" t="s">
        <v>4049</v>
      </c>
      <c r="L436" s="146" t="s">
        <v>4050</v>
      </c>
      <c r="M436" s="140"/>
      <c r="N436" s="64" t="s">
        <v>4051</v>
      </c>
      <c r="O436" s="64" t="s">
        <v>2813</v>
      </c>
      <c r="P436" s="170"/>
      <c r="Q436" s="149"/>
      <c r="R436" s="141"/>
      <c r="S436" s="141"/>
      <c r="T436" s="141">
        <v>839000.0</v>
      </c>
      <c r="U436" s="149"/>
      <c r="V436" s="149"/>
      <c r="W436" s="149"/>
      <c r="X436" s="64" t="s">
        <v>3810</v>
      </c>
      <c r="Y436" s="64"/>
      <c r="Z436" s="68"/>
    </row>
    <row r="437" ht="15.0" customHeight="1">
      <c r="A437" s="139">
        <v>45857.0</v>
      </c>
      <c r="B437" s="148" t="s">
        <v>4052</v>
      </c>
      <c r="C437" s="64" t="s">
        <v>2901</v>
      </c>
      <c r="D437" s="140" t="str">
        <f>IFERROR(VLOOKUP(C437,Stock,3,FALSE),"")</f>
        <v>Honda CR-V 12-16 4th Gen</v>
      </c>
      <c r="E437" s="64">
        <v>1.0</v>
      </c>
      <c r="F437" s="141">
        <v>1849000.0</v>
      </c>
      <c r="G437" s="142">
        <f t="shared" si="22"/>
        <v>1849000</v>
      </c>
      <c r="H437" s="142"/>
      <c r="I437" s="143">
        <f t="shared" si="23"/>
        <v>1849000</v>
      </c>
      <c r="J437" s="144">
        <f t="shared" si="24"/>
        <v>1849000</v>
      </c>
      <c r="K437" s="145" t="s">
        <v>4053</v>
      </c>
      <c r="L437" s="146" t="s">
        <v>4054</v>
      </c>
      <c r="M437" s="140"/>
      <c r="N437" s="64" t="s">
        <v>4055</v>
      </c>
      <c r="O437" s="64" t="s">
        <v>2813</v>
      </c>
      <c r="P437" s="170"/>
      <c r="Q437" s="149"/>
      <c r="R437" s="141"/>
      <c r="S437" s="141"/>
      <c r="T437" s="141">
        <v>1800000.0</v>
      </c>
      <c r="U437" s="149"/>
      <c r="V437" s="149"/>
      <c r="W437" s="149"/>
      <c r="X437" s="64" t="s">
        <v>3810</v>
      </c>
      <c r="Y437" s="64"/>
      <c r="Z437" s="68"/>
    </row>
    <row r="438" ht="15.0" customHeight="1">
      <c r="A438" s="139">
        <v>45858.0</v>
      </c>
      <c r="B438" s="148" t="s">
        <v>4056</v>
      </c>
      <c r="C438" s="64" t="s">
        <v>3354</v>
      </c>
      <c r="D438" s="140" t="str">
        <f>IFERROR(VLOOKUP(C438,Stock,3,FALSE),"")</f>
        <v>Honda Brio 10- / Mobilio 11- (Honda)</v>
      </c>
      <c r="E438" s="64">
        <v>1.0</v>
      </c>
      <c r="F438" s="141">
        <v>1722000.0</v>
      </c>
      <c r="G438" s="142">
        <f t="shared" si="22"/>
        <v>1722000</v>
      </c>
      <c r="H438" s="142"/>
      <c r="I438" s="143">
        <f t="shared" si="23"/>
        <v>1722000</v>
      </c>
      <c r="J438" s="144">
        <f t="shared" si="24"/>
        <v>1722000</v>
      </c>
      <c r="K438" s="145" t="s">
        <v>4057</v>
      </c>
      <c r="L438" s="146" t="s">
        <v>4058</v>
      </c>
      <c r="M438" s="140"/>
      <c r="N438" s="64" t="s">
        <v>4059</v>
      </c>
      <c r="O438" s="64" t="s">
        <v>2813</v>
      </c>
      <c r="P438" s="147" t="s">
        <v>2761</v>
      </c>
      <c r="Q438" s="149"/>
      <c r="R438" s="141"/>
      <c r="S438" s="141"/>
      <c r="T438" s="141">
        <v>1722000.0</v>
      </c>
      <c r="U438" s="149"/>
      <c r="V438" s="149"/>
      <c r="W438" s="149"/>
      <c r="X438" s="64" t="s">
        <v>3191</v>
      </c>
      <c r="Y438" s="64"/>
      <c r="Z438" s="68"/>
    </row>
    <row r="439" ht="15.0" customHeight="1">
      <c r="A439" s="139">
        <v>45859.0</v>
      </c>
      <c r="B439" s="148" t="s">
        <v>4060</v>
      </c>
      <c r="C439" s="153" t="s">
        <v>4017</v>
      </c>
      <c r="D439" s="140" t="str">
        <f>IFERROR(VLOOKUP(C439,Stock,3,FALSE),"")</f>
        <v>Black Phantom Solar Gard</v>
      </c>
      <c r="E439" s="64">
        <v>1.0</v>
      </c>
      <c r="F439" s="141">
        <v>4549000.0</v>
      </c>
      <c r="G439" s="142">
        <f t="shared" si="22"/>
        <v>4549000</v>
      </c>
      <c r="H439" s="142"/>
      <c r="I439" s="143">
        <f t="shared" si="23"/>
        <v>4549000</v>
      </c>
      <c r="J439" s="144">
        <f t="shared" si="24"/>
        <v>4549000</v>
      </c>
      <c r="K439" s="145" t="s">
        <v>3959</v>
      </c>
      <c r="L439" s="146" t="s">
        <v>4061</v>
      </c>
      <c r="M439" s="140"/>
      <c r="N439" s="64" t="s">
        <v>3961</v>
      </c>
      <c r="O439" s="64" t="s">
        <v>2813</v>
      </c>
      <c r="P439" s="170"/>
      <c r="Q439" s="149"/>
      <c r="R439" s="141"/>
      <c r="S439" s="141"/>
      <c r="T439" s="141">
        <v>4549000.0</v>
      </c>
      <c r="U439" s="149"/>
      <c r="V439" s="149"/>
      <c r="W439" s="149"/>
      <c r="X439" s="64" t="s">
        <v>3810</v>
      </c>
      <c r="Y439" s="64"/>
      <c r="Z439" s="68"/>
    </row>
    <row r="440" ht="15.0" customHeight="1">
      <c r="A440" s="139">
        <v>45859.0</v>
      </c>
      <c r="B440" s="148" t="s">
        <v>4062</v>
      </c>
      <c r="C440" s="64" t="s">
        <v>3121</v>
      </c>
      <c r="D440" s="140" t="str">
        <f>IFERROR(VLOOKUP(C440,Stock,3,FALSE),"")</f>
        <v>Toyota Camry 02-06 ACV30 3rd Gen</v>
      </c>
      <c r="E440" s="64">
        <v>1.0</v>
      </c>
      <c r="F440" s="141">
        <v>2268000.0</v>
      </c>
      <c r="G440" s="142">
        <f t="shared" si="22"/>
        <v>2268000</v>
      </c>
      <c r="H440" s="142"/>
      <c r="I440" s="143">
        <f t="shared" si="23"/>
        <v>2268000</v>
      </c>
      <c r="J440" s="144">
        <f t="shared" si="24"/>
        <v>2268000</v>
      </c>
      <c r="K440" s="145" t="s">
        <v>4063</v>
      </c>
      <c r="L440" s="146" t="s">
        <v>4064</v>
      </c>
      <c r="M440" s="140"/>
      <c r="N440" s="68"/>
      <c r="O440" s="64" t="s">
        <v>2813</v>
      </c>
      <c r="P440" s="170"/>
      <c r="Q440" s="149"/>
      <c r="R440" s="149"/>
      <c r="S440" s="149"/>
      <c r="T440" s="149"/>
      <c r="U440" s="149"/>
      <c r="V440" s="149"/>
      <c r="W440" s="149"/>
      <c r="X440" s="64" t="s">
        <v>3810</v>
      </c>
      <c r="Y440" s="64"/>
      <c r="Z440" s="180"/>
    </row>
    <row r="441" ht="15.0" customHeight="1">
      <c r="A441" s="139">
        <v>45859.0</v>
      </c>
      <c r="B441" s="148" t="s">
        <v>4062</v>
      </c>
      <c r="C441" s="64" t="s">
        <v>2835</v>
      </c>
      <c r="D441" s="140" t="str">
        <f>IFERROR(VLOOKUP(C441,Stock,3,FALSE),"")</f>
        <v>Peti Kayu</v>
      </c>
      <c r="E441" s="64">
        <v>1.0</v>
      </c>
      <c r="F441" s="141">
        <v>200000.0</v>
      </c>
      <c r="G441" s="142">
        <f t="shared" si="22"/>
        <v>200000</v>
      </c>
      <c r="H441" s="142"/>
      <c r="I441" s="143">
        <f t="shared" si="23"/>
        <v>200000</v>
      </c>
      <c r="J441" s="144">
        <f t="shared" si="24"/>
        <v>200000</v>
      </c>
      <c r="K441" s="145" t="s">
        <v>4063</v>
      </c>
      <c r="L441" s="146" t="s">
        <v>4064</v>
      </c>
      <c r="M441" s="140"/>
      <c r="N441" s="68"/>
      <c r="O441" s="64" t="s">
        <v>2813</v>
      </c>
      <c r="P441" s="170"/>
      <c r="Q441" s="149"/>
      <c r="R441" s="149"/>
      <c r="S441" s="149"/>
      <c r="T441" s="149"/>
      <c r="U441" s="149"/>
      <c r="V441" s="149"/>
      <c r="W441" s="149"/>
      <c r="X441" s="64" t="s">
        <v>3810</v>
      </c>
      <c r="Y441" s="64"/>
      <c r="Z441" s="180"/>
    </row>
    <row r="442" ht="15.0" customHeight="1">
      <c r="A442" s="139">
        <v>45859.0</v>
      </c>
      <c r="B442" s="148" t="s">
        <v>4062</v>
      </c>
      <c r="C442" s="64" t="s">
        <v>4065</v>
      </c>
      <c r="D442" s="64" t="s">
        <v>4066</v>
      </c>
      <c r="E442" s="64">
        <v>1.0</v>
      </c>
      <c r="F442" s="141">
        <v>750000.0</v>
      </c>
      <c r="G442" s="142">
        <f t="shared" si="22"/>
        <v>750000</v>
      </c>
      <c r="H442" s="142"/>
      <c r="I442" s="143">
        <f t="shared" si="23"/>
        <v>750000</v>
      </c>
      <c r="J442" s="144">
        <f t="shared" si="24"/>
        <v>750000</v>
      </c>
      <c r="K442" s="145" t="s">
        <v>4063</v>
      </c>
      <c r="L442" s="146" t="s">
        <v>4064</v>
      </c>
      <c r="M442" s="140"/>
      <c r="N442" s="68"/>
      <c r="O442" s="64" t="s">
        <v>2813</v>
      </c>
      <c r="P442" s="170"/>
      <c r="Q442" s="149"/>
      <c r="R442" s="141"/>
      <c r="S442" s="141"/>
      <c r="T442" s="141">
        <v>3218000.0</v>
      </c>
      <c r="U442" s="149"/>
      <c r="V442" s="149"/>
      <c r="W442" s="149"/>
      <c r="X442" s="64" t="s">
        <v>3810</v>
      </c>
      <c r="Y442" s="64"/>
      <c r="Z442" s="180"/>
    </row>
    <row r="443" ht="15.0" customHeight="1">
      <c r="A443" s="139">
        <v>45859.0</v>
      </c>
      <c r="B443" s="148" t="s">
        <v>4067</v>
      </c>
      <c r="C443" s="64" t="s">
        <v>3858</v>
      </c>
      <c r="D443" s="140" t="str">
        <f>IFERROR(VLOOKUP(C443,Stock,3,FALSE),"")</f>
        <v>Daihatsu Luxio 07-</v>
      </c>
      <c r="E443" s="64">
        <v>1.0</v>
      </c>
      <c r="F443" s="141">
        <v>985000.0</v>
      </c>
      <c r="G443" s="142">
        <f t="shared" si="22"/>
        <v>985000</v>
      </c>
      <c r="H443" s="142"/>
      <c r="I443" s="143">
        <f t="shared" si="23"/>
        <v>985000</v>
      </c>
      <c r="J443" s="144">
        <f t="shared" si="24"/>
        <v>985000</v>
      </c>
      <c r="K443" s="145" t="s">
        <v>4068</v>
      </c>
      <c r="L443" s="146" t="s">
        <v>4069</v>
      </c>
      <c r="M443" s="140"/>
      <c r="N443" s="64" t="s">
        <v>4070</v>
      </c>
      <c r="O443" s="64" t="s">
        <v>2813</v>
      </c>
      <c r="P443" s="170"/>
      <c r="Q443" s="141"/>
      <c r="R443" s="149"/>
      <c r="S443" s="149"/>
      <c r="T443" s="149"/>
      <c r="U443" s="149"/>
      <c r="V443" s="149"/>
      <c r="W443" s="149"/>
      <c r="X443" s="64" t="s">
        <v>3810</v>
      </c>
      <c r="Y443" s="64"/>
      <c r="Z443" s="68"/>
    </row>
    <row r="444" ht="15.0" customHeight="1">
      <c r="A444" s="139">
        <v>45859.0</v>
      </c>
      <c r="B444" s="148" t="s">
        <v>4067</v>
      </c>
      <c r="C444" s="64" t="s">
        <v>2770</v>
      </c>
      <c r="D444" s="140" t="str">
        <f>IFERROR(VLOOKUP(C444,Stock,3,FALSE),"")</f>
        <v>Transport</v>
      </c>
      <c r="E444" s="64">
        <v>1.0</v>
      </c>
      <c r="F444" s="141">
        <v>115000.0</v>
      </c>
      <c r="G444" s="142">
        <f t="shared" si="22"/>
        <v>115000</v>
      </c>
      <c r="H444" s="142"/>
      <c r="I444" s="143">
        <f t="shared" si="23"/>
        <v>115000</v>
      </c>
      <c r="J444" s="144">
        <f t="shared" si="24"/>
        <v>115000</v>
      </c>
      <c r="K444" s="145" t="s">
        <v>4068</v>
      </c>
      <c r="L444" s="146" t="s">
        <v>4069</v>
      </c>
      <c r="M444" s="140"/>
      <c r="N444" s="64" t="s">
        <v>4070</v>
      </c>
      <c r="O444" s="64" t="s">
        <v>2813</v>
      </c>
      <c r="P444" s="170"/>
      <c r="Q444" s="141">
        <v>1100000.0</v>
      </c>
      <c r="R444" s="149"/>
      <c r="S444" s="149"/>
      <c r="T444" s="149"/>
      <c r="U444" s="149"/>
      <c r="V444" s="149"/>
      <c r="W444" s="149"/>
      <c r="X444" s="64" t="s">
        <v>3810</v>
      </c>
      <c r="Y444" s="64"/>
      <c r="Z444" s="68"/>
    </row>
    <row r="445" ht="15.0" customHeight="1">
      <c r="A445" s="139">
        <v>45860.0</v>
      </c>
      <c r="B445" s="148" t="s">
        <v>4071</v>
      </c>
      <c r="C445" s="64" t="s">
        <v>3246</v>
      </c>
      <c r="D445" s="140" t="str">
        <f>IFERROR(VLOOKUP(C445,Stock,3,FALSE),"")</f>
        <v>Toyota Calya / Sigra 16-</v>
      </c>
      <c r="E445" s="64">
        <v>1.0</v>
      </c>
      <c r="F445" s="141">
        <v>1150000.0</v>
      </c>
      <c r="G445" s="142">
        <f t="shared" si="22"/>
        <v>1150000</v>
      </c>
      <c r="H445" s="142"/>
      <c r="I445" s="143">
        <f t="shared" si="23"/>
        <v>1150000</v>
      </c>
      <c r="J445" s="144">
        <f t="shared" si="24"/>
        <v>1150000</v>
      </c>
      <c r="K445" s="145" t="s">
        <v>4072</v>
      </c>
      <c r="L445" s="146" t="s">
        <v>4073</v>
      </c>
      <c r="M445" s="140"/>
      <c r="N445" s="64" t="s">
        <v>4074</v>
      </c>
      <c r="O445" s="64" t="s">
        <v>2813</v>
      </c>
      <c r="P445" s="170"/>
      <c r="Q445" s="141">
        <v>1150000.0</v>
      </c>
      <c r="R445" s="149"/>
      <c r="S445" s="149"/>
      <c r="T445" s="149"/>
      <c r="U445" s="149"/>
      <c r="V445" s="149"/>
      <c r="W445" s="149"/>
      <c r="X445" s="64" t="s">
        <v>3810</v>
      </c>
      <c r="Y445" s="64"/>
      <c r="Z445" s="68"/>
    </row>
    <row r="446" ht="15.0" customHeight="1">
      <c r="A446" s="139">
        <v>45860.0</v>
      </c>
      <c r="B446" s="148" t="s">
        <v>4075</v>
      </c>
      <c r="C446" s="64" t="s">
        <v>2869</v>
      </c>
      <c r="D446" s="140" t="str">
        <f>IFERROR(VLOOKUP(C446,Stock,3,FALSE),"")</f>
        <v>Daihatsu Gran Max / Luxio 07-</v>
      </c>
      <c r="E446" s="64">
        <v>1.0</v>
      </c>
      <c r="F446" s="141">
        <v>985000.0</v>
      </c>
      <c r="G446" s="142">
        <f t="shared" si="22"/>
        <v>985000</v>
      </c>
      <c r="H446" s="142"/>
      <c r="I446" s="143">
        <f t="shared" si="23"/>
        <v>985000</v>
      </c>
      <c r="J446" s="144">
        <f t="shared" si="24"/>
        <v>985000</v>
      </c>
      <c r="K446" s="145" t="s">
        <v>4076</v>
      </c>
      <c r="L446" s="146" t="s">
        <v>4077</v>
      </c>
      <c r="M446" s="140"/>
      <c r="N446" s="64" t="s">
        <v>4078</v>
      </c>
      <c r="O446" s="64" t="s">
        <v>2813</v>
      </c>
      <c r="P446" s="170"/>
      <c r="Q446" s="141">
        <v>985000.0</v>
      </c>
      <c r="R446" s="149"/>
      <c r="S446" s="149"/>
      <c r="T446" s="149"/>
      <c r="U446" s="149"/>
      <c r="V446" s="149"/>
      <c r="W446" s="149"/>
      <c r="X446" s="64" t="s">
        <v>3810</v>
      </c>
      <c r="Y446" s="64"/>
      <c r="Z446" s="68"/>
    </row>
    <row r="447" ht="15.0" customHeight="1">
      <c r="A447" s="139">
        <v>45861.0</v>
      </c>
      <c r="B447" s="148" t="s">
        <v>4079</v>
      </c>
      <c r="C447" s="64" t="s">
        <v>4080</v>
      </c>
      <c r="D447" s="140" t="str">
        <f>IFERROR(VLOOKUP(C447,Stock,3,FALSE),"")</f>
        <v>Isuzu Panther 00- 2nd Gen</v>
      </c>
      <c r="E447" s="64">
        <v>1.0</v>
      </c>
      <c r="F447" s="141">
        <v>1638000.0</v>
      </c>
      <c r="G447" s="142">
        <f t="shared" si="22"/>
        <v>1638000</v>
      </c>
      <c r="H447" s="142"/>
      <c r="I447" s="143">
        <f t="shared" si="23"/>
        <v>1638000</v>
      </c>
      <c r="J447" s="144">
        <f t="shared" si="24"/>
        <v>1638000</v>
      </c>
      <c r="K447" s="145" t="s">
        <v>4081</v>
      </c>
      <c r="L447" s="146" t="s">
        <v>4082</v>
      </c>
      <c r="M447" s="140"/>
      <c r="N447" s="64" t="s">
        <v>4083</v>
      </c>
      <c r="O447" s="64" t="s">
        <v>2813</v>
      </c>
      <c r="P447" s="170"/>
      <c r="Q447" s="149"/>
      <c r="R447" s="141"/>
      <c r="S447" s="141"/>
      <c r="T447" s="141">
        <v>1638000.0</v>
      </c>
      <c r="U447" s="149"/>
      <c r="V447" s="149"/>
      <c r="W447" s="149"/>
      <c r="X447" s="64" t="s">
        <v>3810</v>
      </c>
      <c r="Y447" s="64"/>
      <c r="Z447" s="68"/>
    </row>
    <row r="448" ht="15.0" customHeight="1">
      <c r="A448" s="139">
        <v>45861.0</v>
      </c>
      <c r="B448" s="148" t="s">
        <v>4084</v>
      </c>
      <c r="C448" s="64" t="s">
        <v>4085</v>
      </c>
      <c r="D448" s="140" t="str">
        <f>IFERROR(VLOOKUP(C448,Stock,3,FALSE),"")</f>
        <v>Toyota Rush / Terios 06-17</v>
      </c>
      <c r="E448" s="64">
        <v>1.0</v>
      </c>
      <c r="F448" s="141">
        <v>700000.0</v>
      </c>
      <c r="G448" s="142">
        <f t="shared" si="22"/>
        <v>700000</v>
      </c>
      <c r="H448" s="142"/>
      <c r="I448" s="143">
        <f t="shared" si="23"/>
        <v>700000</v>
      </c>
      <c r="J448" s="144">
        <f t="shared" si="24"/>
        <v>700000</v>
      </c>
      <c r="K448" s="145" t="s">
        <v>4086</v>
      </c>
      <c r="L448" s="146" t="s">
        <v>4087</v>
      </c>
      <c r="M448" s="140"/>
      <c r="N448" s="68"/>
      <c r="O448" s="64" t="s">
        <v>2813</v>
      </c>
      <c r="P448" s="170"/>
      <c r="Q448" s="149"/>
      <c r="R448" s="141"/>
      <c r="S448" s="141"/>
      <c r="T448" s="141">
        <v>700000.0</v>
      </c>
      <c r="U448" s="149"/>
      <c r="V448" s="149"/>
      <c r="W448" s="149"/>
      <c r="X448" s="64" t="s">
        <v>3810</v>
      </c>
      <c r="Y448" s="64"/>
      <c r="Z448" s="68"/>
    </row>
    <row r="449" ht="15.0" customHeight="1">
      <c r="A449" s="139">
        <v>45861.0</v>
      </c>
      <c r="B449" s="148" t="s">
        <v>4088</v>
      </c>
      <c r="C449" s="64" t="s">
        <v>4089</v>
      </c>
      <c r="D449" s="140" t="str">
        <f>IFERROR(VLOOKUP(C449,Stock,3,FALSE),"")</f>
        <v>Hyundai Ioniq 5 SUV 22- (2 Sensor / O /\ )</v>
      </c>
      <c r="E449" s="64">
        <v>1.0</v>
      </c>
      <c r="F449" s="141">
        <v>4900000.0</v>
      </c>
      <c r="G449" s="142">
        <f t="shared" si="22"/>
        <v>4900000</v>
      </c>
      <c r="H449" s="142"/>
      <c r="I449" s="143">
        <f t="shared" si="23"/>
        <v>4900000</v>
      </c>
      <c r="J449" s="144">
        <f t="shared" si="24"/>
        <v>4900000</v>
      </c>
      <c r="K449" s="145" t="s">
        <v>4090</v>
      </c>
      <c r="L449" s="146" t="s">
        <v>4091</v>
      </c>
      <c r="M449" s="140"/>
      <c r="N449" s="64" t="s">
        <v>4092</v>
      </c>
      <c r="O449" s="64" t="s">
        <v>2813</v>
      </c>
      <c r="P449" s="170"/>
      <c r="Q449" s="149"/>
      <c r="R449" s="141"/>
      <c r="S449" s="141"/>
      <c r="T449" s="141">
        <v>4900000.0</v>
      </c>
      <c r="U449" s="149"/>
      <c r="V449" s="149"/>
      <c r="W449" s="149"/>
      <c r="X449" s="64" t="s">
        <v>3810</v>
      </c>
      <c r="Y449" s="64"/>
      <c r="Z449" s="68"/>
    </row>
    <row r="450" ht="15.0" customHeight="1">
      <c r="A450" s="139">
        <v>45862.0</v>
      </c>
      <c r="B450" s="148" t="s">
        <v>4093</v>
      </c>
      <c r="C450" s="64" t="s">
        <v>4094</v>
      </c>
      <c r="D450" s="140" t="str">
        <f>IFERROR(VLOOKUP(C450,Stock,3,FALSE),"")</f>
        <v>Lexus RX (Harrier) 16- AL20</v>
      </c>
      <c r="E450" s="64">
        <v>1.0</v>
      </c>
      <c r="F450" s="141">
        <v>5301000.0</v>
      </c>
      <c r="G450" s="142">
        <f t="shared" si="22"/>
        <v>5301000</v>
      </c>
      <c r="H450" s="142"/>
      <c r="I450" s="143">
        <f t="shared" si="23"/>
        <v>5301000</v>
      </c>
      <c r="J450" s="144">
        <f t="shared" si="24"/>
        <v>5301000</v>
      </c>
      <c r="K450" s="145" t="s">
        <v>4095</v>
      </c>
      <c r="L450" s="146" t="s">
        <v>4096</v>
      </c>
      <c r="M450" s="140"/>
      <c r="N450" s="64" t="s">
        <v>4097</v>
      </c>
      <c r="O450" s="64" t="s">
        <v>2813</v>
      </c>
      <c r="P450" s="170"/>
      <c r="Q450" s="149"/>
      <c r="R450" s="141"/>
      <c r="S450" s="141"/>
      <c r="T450" s="141">
        <v>2000000.0</v>
      </c>
      <c r="U450" s="149"/>
      <c r="V450" s="149"/>
      <c r="W450" s="149"/>
      <c r="X450" s="64" t="s">
        <v>3810</v>
      </c>
      <c r="Y450" s="64"/>
      <c r="Z450" s="68"/>
    </row>
    <row r="451" ht="15.0" customHeight="1">
      <c r="A451" s="139">
        <v>45862.0</v>
      </c>
      <c r="B451" s="148" t="s">
        <v>4093</v>
      </c>
      <c r="C451" s="64" t="s">
        <v>2770</v>
      </c>
      <c r="D451" s="140" t="str">
        <f>IFERROR(VLOOKUP(C451,Stock,3,FALSE),"")</f>
        <v>Transport</v>
      </c>
      <c r="E451" s="64">
        <v>1.0</v>
      </c>
      <c r="F451" s="141">
        <v>99000.0</v>
      </c>
      <c r="G451" s="142">
        <f t="shared" si="22"/>
        <v>99000</v>
      </c>
      <c r="H451" s="142"/>
      <c r="I451" s="143">
        <f t="shared" si="23"/>
        <v>99000</v>
      </c>
      <c r="J451" s="144">
        <f t="shared" si="24"/>
        <v>99000</v>
      </c>
      <c r="K451" s="145" t="s">
        <v>4095</v>
      </c>
      <c r="L451" s="146" t="s">
        <v>4096</v>
      </c>
      <c r="M451" s="140"/>
      <c r="N451" s="64" t="s">
        <v>4097</v>
      </c>
      <c r="O451" s="64" t="s">
        <v>2813</v>
      </c>
      <c r="P451" s="170"/>
      <c r="Q451" s="149"/>
      <c r="R451" s="149"/>
      <c r="S451" s="149"/>
      <c r="T451" s="149"/>
      <c r="U451" s="149"/>
      <c r="V451" s="149"/>
      <c r="W451" s="149"/>
      <c r="X451" s="64" t="s">
        <v>3810</v>
      </c>
      <c r="Y451" s="64"/>
      <c r="Z451" s="68"/>
    </row>
    <row r="452" ht="15.0" customHeight="1">
      <c r="A452" s="139">
        <v>45862.0</v>
      </c>
      <c r="B452" s="148" t="s">
        <v>4098</v>
      </c>
      <c r="C452" s="64" t="s">
        <v>3849</v>
      </c>
      <c r="D452" s="140" t="str">
        <f>IFERROR(VLOOKUP(C452,Stock,3,FALSE),"")</f>
        <v>Toyota Yaris 13- 2nd Gen / Vios 14- 3rd Gen</v>
      </c>
      <c r="E452" s="64">
        <v>1.0</v>
      </c>
      <c r="F452" s="141">
        <v>1619000.0</v>
      </c>
      <c r="G452" s="142">
        <f t="shared" si="22"/>
        <v>1619000</v>
      </c>
      <c r="H452" s="142"/>
      <c r="I452" s="143">
        <f t="shared" si="23"/>
        <v>1619000</v>
      </c>
      <c r="J452" s="144">
        <f t="shared" si="24"/>
        <v>1619000</v>
      </c>
      <c r="K452" s="145" t="s">
        <v>4099</v>
      </c>
      <c r="L452" s="146" t="s">
        <v>4100</v>
      </c>
      <c r="M452" s="140"/>
      <c r="N452" s="64" t="s">
        <v>4101</v>
      </c>
      <c r="O452" s="64" t="s">
        <v>2813</v>
      </c>
      <c r="P452" s="170"/>
      <c r="Q452" s="141">
        <v>1619000.0</v>
      </c>
      <c r="R452" s="149"/>
      <c r="S452" s="149"/>
      <c r="T452" s="149"/>
      <c r="U452" s="149"/>
      <c r="V452" s="149"/>
      <c r="W452" s="149"/>
      <c r="X452" s="64" t="s">
        <v>3810</v>
      </c>
      <c r="Y452" s="64"/>
      <c r="Z452" s="68"/>
    </row>
    <row r="453" ht="15.0" customHeight="1">
      <c r="A453" s="139">
        <v>45862.0</v>
      </c>
      <c r="B453" s="148" t="s">
        <v>4102</v>
      </c>
      <c r="C453" s="64" t="s">
        <v>4103</v>
      </c>
      <c r="D453" s="140" t="str">
        <f>IFERROR(VLOOKUP(C453,Stock,3,FALSE),"")</f>
        <v>Toyota Hi-Ace 04-20 Commuter</v>
      </c>
      <c r="E453" s="64">
        <v>1.0</v>
      </c>
      <c r="F453" s="141">
        <v>700000.0</v>
      </c>
      <c r="G453" s="142">
        <f t="shared" si="22"/>
        <v>700000</v>
      </c>
      <c r="H453" s="142"/>
      <c r="I453" s="143">
        <f t="shared" si="23"/>
        <v>700000</v>
      </c>
      <c r="J453" s="144">
        <f t="shared" si="24"/>
        <v>700000</v>
      </c>
      <c r="K453" s="145" t="s">
        <v>4104</v>
      </c>
      <c r="L453" s="146" t="s">
        <v>4105</v>
      </c>
      <c r="M453" s="140"/>
      <c r="N453" s="64" t="s">
        <v>4106</v>
      </c>
      <c r="O453" s="64" t="s">
        <v>2813</v>
      </c>
      <c r="P453" s="170"/>
      <c r="Q453" s="141">
        <v>700000.0</v>
      </c>
      <c r="R453" s="149"/>
      <c r="S453" s="149"/>
      <c r="T453" s="149"/>
      <c r="U453" s="149"/>
      <c r="V453" s="149"/>
      <c r="W453" s="149"/>
      <c r="X453" s="64" t="s">
        <v>3810</v>
      </c>
      <c r="Y453" s="64"/>
      <c r="Z453" s="68"/>
    </row>
    <row r="454" ht="15.0" customHeight="1">
      <c r="A454" s="139">
        <v>45863.0</v>
      </c>
      <c r="B454" s="148" t="s">
        <v>4107</v>
      </c>
      <c r="C454" s="64" t="s">
        <v>3009</v>
      </c>
      <c r="D454" s="140" t="str">
        <f>IFERROR(VLOOKUP(C454,Stock,3,FALSE),"")</f>
        <v>Honda Mobilio 14-</v>
      </c>
      <c r="E454" s="64">
        <v>1.0</v>
      </c>
      <c r="F454" s="141">
        <v>1200000.0</v>
      </c>
      <c r="G454" s="142">
        <f t="shared" si="22"/>
        <v>1200000</v>
      </c>
      <c r="H454" s="142"/>
      <c r="I454" s="143">
        <f t="shared" si="23"/>
        <v>1200000</v>
      </c>
      <c r="J454" s="144">
        <f t="shared" si="24"/>
        <v>1200000</v>
      </c>
      <c r="K454" s="145" t="s">
        <v>4108</v>
      </c>
      <c r="L454" s="146" t="s">
        <v>4109</v>
      </c>
      <c r="M454" s="140"/>
      <c r="N454" s="64" t="s">
        <v>4110</v>
      </c>
      <c r="O454" s="64" t="s">
        <v>2813</v>
      </c>
      <c r="P454" s="170"/>
      <c r="Q454" s="149"/>
      <c r="R454" s="149"/>
      <c r="S454" s="149"/>
      <c r="T454" s="149"/>
      <c r="U454" s="149"/>
      <c r="V454" s="149"/>
      <c r="W454" s="149"/>
      <c r="X454" s="64" t="s">
        <v>3810</v>
      </c>
      <c r="Y454" s="64"/>
      <c r="Z454" s="68"/>
    </row>
    <row r="455" ht="15.0" customHeight="1">
      <c r="A455" s="139">
        <v>45863.0</v>
      </c>
      <c r="B455" s="148" t="s">
        <v>4111</v>
      </c>
      <c r="C455" s="64" t="s">
        <v>4112</v>
      </c>
      <c r="D455" s="140" t="str">
        <f>IFERROR(VLOOKUP(C455,Stock,3,FALSE),"")</f>
        <v>Wuling Air EV 22-</v>
      </c>
      <c r="E455" s="64">
        <v>1.0</v>
      </c>
      <c r="F455" s="141">
        <v>1799000.0</v>
      </c>
      <c r="G455" s="142">
        <f t="shared" si="22"/>
        <v>1799000</v>
      </c>
      <c r="H455" s="142"/>
      <c r="I455" s="143">
        <f t="shared" si="23"/>
        <v>1799000</v>
      </c>
      <c r="J455" s="144">
        <f t="shared" si="24"/>
        <v>1799000</v>
      </c>
      <c r="K455" s="145" t="s">
        <v>4113</v>
      </c>
      <c r="L455" s="146" t="s">
        <v>4114</v>
      </c>
      <c r="M455" s="140"/>
      <c r="N455" s="64" t="s">
        <v>4115</v>
      </c>
      <c r="O455" s="64" t="s">
        <v>2813</v>
      </c>
      <c r="P455" s="170"/>
      <c r="Q455" s="149"/>
      <c r="R455" s="141"/>
      <c r="S455" s="141"/>
      <c r="T455" s="141">
        <v>50000.0</v>
      </c>
      <c r="U455" s="149"/>
      <c r="V455" s="149"/>
      <c r="W455" s="149"/>
      <c r="X455" s="64" t="s">
        <v>3810</v>
      </c>
      <c r="Y455" s="64"/>
      <c r="Z455" s="68"/>
    </row>
    <row r="456" ht="15.0" customHeight="1">
      <c r="A456" s="139">
        <v>45863.0</v>
      </c>
      <c r="B456" s="148" t="s">
        <v>4111</v>
      </c>
      <c r="C456" s="64" t="s">
        <v>2770</v>
      </c>
      <c r="D456" s="140" t="str">
        <f>IFERROR(VLOOKUP(C456,Stock,3,FALSE),"")</f>
        <v>Transport</v>
      </c>
      <c r="E456" s="64">
        <v>1.0</v>
      </c>
      <c r="F456" s="141">
        <v>170000.0</v>
      </c>
      <c r="G456" s="142">
        <f t="shared" si="22"/>
        <v>170000</v>
      </c>
      <c r="H456" s="142"/>
      <c r="I456" s="143">
        <f t="shared" si="23"/>
        <v>170000</v>
      </c>
      <c r="J456" s="144">
        <f t="shared" si="24"/>
        <v>170000</v>
      </c>
      <c r="K456" s="145" t="s">
        <v>4113</v>
      </c>
      <c r="L456" s="146" t="s">
        <v>4114</v>
      </c>
      <c r="M456" s="140"/>
      <c r="N456" s="64" t="s">
        <v>4115</v>
      </c>
      <c r="O456" s="64" t="s">
        <v>2813</v>
      </c>
      <c r="P456" s="170"/>
      <c r="Q456" s="149"/>
      <c r="R456" s="141"/>
      <c r="S456" s="141"/>
      <c r="T456" s="141">
        <v>1919000.0</v>
      </c>
      <c r="U456" s="149"/>
      <c r="V456" s="149"/>
      <c r="W456" s="149"/>
      <c r="X456" s="64" t="s">
        <v>3810</v>
      </c>
      <c r="Y456" s="64"/>
      <c r="Z456" s="68"/>
    </row>
    <row r="457" ht="15.0" customHeight="1">
      <c r="A457" s="139">
        <v>45863.0</v>
      </c>
      <c r="B457" s="148" t="s">
        <v>4116</v>
      </c>
      <c r="C457" s="64" t="s">
        <v>3246</v>
      </c>
      <c r="D457" s="140" t="str">
        <f>IFERROR(VLOOKUP(C457,Stock,3,FALSE),"")</f>
        <v>Toyota Calya / Sigra 16-</v>
      </c>
      <c r="E457" s="64">
        <v>1.0</v>
      </c>
      <c r="F457" s="141">
        <v>1170000.0</v>
      </c>
      <c r="G457" s="142">
        <f t="shared" si="22"/>
        <v>1170000</v>
      </c>
      <c r="H457" s="142"/>
      <c r="I457" s="143">
        <f t="shared" si="23"/>
        <v>1170000</v>
      </c>
      <c r="J457" s="144">
        <f t="shared" si="24"/>
        <v>1170000</v>
      </c>
      <c r="K457" s="145" t="s">
        <v>4117</v>
      </c>
      <c r="L457" s="146" t="s">
        <v>4118</v>
      </c>
      <c r="M457" s="140"/>
      <c r="N457" s="64" t="s">
        <v>4119</v>
      </c>
      <c r="O457" s="64" t="s">
        <v>2813</v>
      </c>
      <c r="P457" s="170"/>
      <c r="Q457" s="149"/>
      <c r="R457" s="141"/>
      <c r="S457" s="141"/>
      <c r="T457" s="141">
        <v>1170000.0</v>
      </c>
      <c r="U457" s="149"/>
      <c r="V457" s="149"/>
      <c r="W457" s="149"/>
      <c r="X457" s="64" t="s">
        <v>3810</v>
      </c>
      <c r="Y457" s="64"/>
      <c r="Z457" s="68"/>
    </row>
    <row r="458" ht="15.0" customHeight="1">
      <c r="A458" s="139">
        <v>45863.0</v>
      </c>
      <c r="B458" s="148" t="s">
        <v>4120</v>
      </c>
      <c r="C458" s="64" t="s">
        <v>4121</v>
      </c>
      <c r="D458" s="140" t="str">
        <f>IFERROR(VLOOKUP(C458,Stock,3,FALSE),"")</f>
        <v>Kia Seltos 20-</v>
      </c>
      <c r="E458" s="64">
        <v>1.0</v>
      </c>
      <c r="F458" s="141">
        <v>2199000.0</v>
      </c>
      <c r="G458" s="142">
        <f t="shared" si="22"/>
        <v>2199000</v>
      </c>
      <c r="H458" s="142"/>
      <c r="I458" s="143">
        <f t="shared" si="23"/>
        <v>2199000</v>
      </c>
      <c r="J458" s="144">
        <f t="shared" si="24"/>
        <v>2199000</v>
      </c>
      <c r="K458" s="145" t="s">
        <v>4122</v>
      </c>
      <c r="L458" s="146" t="s">
        <v>4123</v>
      </c>
      <c r="M458" s="140"/>
      <c r="N458" s="68"/>
      <c r="O458" s="64" t="s">
        <v>2813</v>
      </c>
      <c r="P458" s="170"/>
      <c r="Q458" s="149"/>
      <c r="R458" s="141"/>
      <c r="S458" s="141"/>
      <c r="T458" s="141">
        <v>30000.0</v>
      </c>
      <c r="U458" s="149"/>
      <c r="V458" s="149"/>
      <c r="W458" s="149"/>
      <c r="X458" s="64" t="s">
        <v>3810</v>
      </c>
      <c r="Y458" s="64"/>
      <c r="Z458" s="68"/>
    </row>
    <row r="459" ht="15.0" customHeight="1">
      <c r="A459" s="139">
        <v>45863.0</v>
      </c>
      <c r="B459" s="148" t="s">
        <v>4120</v>
      </c>
      <c r="C459" s="64" t="s">
        <v>2770</v>
      </c>
      <c r="D459" s="140" t="str">
        <f>IFERROR(VLOOKUP(C459,Stock,3,FALSE),"")</f>
        <v>Transport</v>
      </c>
      <c r="E459" s="64">
        <v>1.0</v>
      </c>
      <c r="F459" s="141">
        <v>101000.0</v>
      </c>
      <c r="G459" s="142">
        <f t="shared" si="22"/>
        <v>101000</v>
      </c>
      <c r="H459" s="142"/>
      <c r="I459" s="143">
        <f t="shared" si="23"/>
        <v>101000</v>
      </c>
      <c r="J459" s="144">
        <f t="shared" si="24"/>
        <v>101000</v>
      </c>
      <c r="K459" s="145" t="s">
        <v>4122</v>
      </c>
      <c r="L459" s="146" t="s">
        <v>4123</v>
      </c>
      <c r="M459" s="140"/>
      <c r="N459" s="68"/>
      <c r="O459" s="64" t="s">
        <v>2813</v>
      </c>
      <c r="P459" s="170"/>
      <c r="Q459" s="149"/>
      <c r="R459" s="141"/>
      <c r="S459" s="141"/>
      <c r="T459" s="141">
        <v>2270000.0</v>
      </c>
      <c r="U459" s="149"/>
      <c r="V459" s="149"/>
      <c r="W459" s="149"/>
      <c r="X459" s="64" t="s">
        <v>3810</v>
      </c>
      <c r="Y459" s="64"/>
      <c r="Z459" s="68"/>
    </row>
    <row r="460" ht="15.0" customHeight="1">
      <c r="A460" s="139">
        <v>45864.0</v>
      </c>
      <c r="B460" s="148" t="s">
        <v>4124</v>
      </c>
      <c r="C460" s="64" t="s">
        <v>4125</v>
      </c>
      <c r="D460" s="140" t="str">
        <f>IFERROR(VLOOKUP(C460,Stock,3,FALSE),"")</f>
        <v>Hyundai Stargazer 22-</v>
      </c>
      <c r="E460" s="64">
        <v>1.0</v>
      </c>
      <c r="F460" s="141">
        <v>2349000.0</v>
      </c>
      <c r="G460" s="142">
        <f t="shared" si="22"/>
        <v>2349000</v>
      </c>
      <c r="H460" s="142"/>
      <c r="I460" s="143">
        <f t="shared" si="23"/>
        <v>2349000</v>
      </c>
      <c r="J460" s="144">
        <f t="shared" si="24"/>
        <v>2349000</v>
      </c>
      <c r="K460" s="145" t="s">
        <v>4081</v>
      </c>
      <c r="L460" s="146" t="s">
        <v>4126</v>
      </c>
      <c r="M460" s="140"/>
      <c r="N460" s="64" t="s">
        <v>4127</v>
      </c>
      <c r="O460" s="64" t="s">
        <v>2813</v>
      </c>
      <c r="P460" s="170"/>
      <c r="Q460" s="149"/>
      <c r="R460" s="141"/>
      <c r="S460" s="141"/>
      <c r="T460" s="141">
        <v>30000.0</v>
      </c>
      <c r="U460" s="149"/>
      <c r="V460" s="149"/>
      <c r="W460" s="149"/>
      <c r="X460" s="64" t="s">
        <v>3810</v>
      </c>
      <c r="Y460" s="64"/>
      <c r="Z460" s="68"/>
    </row>
    <row r="461" ht="15.0" customHeight="1">
      <c r="A461" s="139">
        <v>45864.0</v>
      </c>
      <c r="B461" s="148" t="s">
        <v>4124</v>
      </c>
      <c r="C461" s="64" t="s">
        <v>2770</v>
      </c>
      <c r="D461" s="140" t="str">
        <f>IFERROR(VLOOKUP(C461,Stock,3,FALSE),"")</f>
        <v>Transport</v>
      </c>
      <c r="E461" s="64">
        <v>1.0</v>
      </c>
      <c r="F461" s="141">
        <v>200000.0</v>
      </c>
      <c r="G461" s="142">
        <f t="shared" si="22"/>
        <v>200000</v>
      </c>
      <c r="H461" s="142"/>
      <c r="I461" s="143">
        <f t="shared" si="23"/>
        <v>200000</v>
      </c>
      <c r="J461" s="144">
        <f t="shared" si="24"/>
        <v>200000</v>
      </c>
      <c r="K461" s="145" t="s">
        <v>4081</v>
      </c>
      <c r="L461" s="146" t="s">
        <v>4126</v>
      </c>
      <c r="M461" s="140"/>
      <c r="N461" s="64" t="s">
        <v>4127</v>
      </c>
      <c r="O461" s="64" t="s">
        <v>2813</v>
      </c>
      <c r="P461" s="170"/>
      <c r="Q461" s="149"/>
      <c r="R461" s="149"/>
      <c r="S461" s="149"/>
      <c r="T461" s="149"/>
      <c r="U461" s="149"/>
      <c r="V461" s="149"/>
      <c r="W461" s="149"/>
      <c r="X461" s="64" t="s">
        <v>3810</v>
      </c>
      <c r="Y461" s="64"/>
      <c r="Z461" s="68"/>
    </row>
    <row r="462" ht="15.0" customHeight="1">
      <c r="A462" s="139">
        <v>45865.0</v>
      </c>
      <c r="B462" s="148" t="s">
        <v>4128</v>
      </c>
      <c r="C462" s="64" t="s">
        <v>4129</v>
      </c>
      <c r="D462" s="140" t="str">
        <f>IFERROR(VLOOKUP(C462,Stock,3,FALSE),"")</f>
        <v>Honda Civic 05-11 8th Gen (Civic Batman FD)</v>
      </c>
      <c r="E462" s="64">
        <v>1.0</v>
      </c>
      <c r="F462" s="141">
        <v>2200000.0</v>
      </c>
      <c r="G462" s="142">
        <f t="shared" si="22"/>
        <v>2200000</v>
      </c>
      <c r="H462" s="142"/>
      <c r="I462" s="143">
        <f t="shared" si="23"/>
        <v>2200000</v>
      </c>
      <c r="J462" s="144">
        <f t="shared" si="24"/>
        <v>2200000</v>
      </c>
      <c r="K462" s="145" t="s">
        <v>4130</v>
      </c>
      <c r="L462" s="146" t="s">
        <v>4131</v>
      </c>
      <c r="M462" s="140"/>
      <c r="N462" s="64" t="s">
        <v>4132</v>
      </c>
      <c r="O462" s="64" t="s">
        <v>2813</v>
      </c>
      <c r="P462" s="170"/>
      <c r="Q462" s="149"/>
      <c r="R462" s="141"/>
      <c r="S462" s="141"/>
      <c r="T462" s="141">
        <v>2200000.0</v>
      </c>
      <c r="U462" s="149"/>
      <c r="V462" s="149"/>
      <c r="W462" s="149"/>
      <c r="X462" s="64" t="s">
        <v>3810</v>
      </c>
      <c r="Y462" s="64"/>
      <c r="Z462" s="68"/>
    </row>
    <row r="463" ht="15.0" customHeight="1">
      <c r="A463" s="139">
        <v>45866.0</v>
      </c>
      <c r="B463" s="148" t="s">
        <v>4133</v>
      </c>
      <c r="C463" s="64" t="s">
        <v>4134</v>
      </c>
      <c r="D463" s="140" t="str">
        <f>IFERROR(VLOOKUP(C463,Stock,3,FALSE),"")</f>
        <v>Mazda 2 14- Skyactiv 4th Gen</v>
      </c>
      <c r="E463" s="64">
        <v>1.0</v>
      </c>
      <c r="F463" s="141">
        <v>2699000.0</v>
      </c>
      <c r="G463" s="142">
        <f t="shared" si="22"/>
        <v>2699000</v>
      </c>
      <c r="H463" s="142"/>
      <c r="I463" s="143">
        <f t="shared" si="23"/>
        <v>2699000</v>
      </c>
      <c r="J463" s="144">
        <f t="shared" si="24"/>
        <v>2699000</v>
      </c>
      <c r="K463" s="145" t="s">
        <v>4135</v>
      </c>
      <c r="L463" s="146" t="s">
        <v>4136</v>
      </c>
      <c r="M463" s="140"/>
      <c r="N463" s="64" t="s">
        <v>4137</v>
      </c>
      <c r="O463" s="64" t="s">
        <v>2813</v>
      </c>
      <c r="P463" s="170"/>
      <c r="Q463" s="149"/>
      <c r="R463" s="141"/>
      <c r="S463" s="141"/>
      <c r="T463" s="141">
        <v>30000.0</v>
      </c>
      <c r="U463" s="149"/>
      <c r="V463" s="149"/>
      <c r="W463" s="149"/>
      <c r="X463" s="64" t="s">
        <v>3810</v>
      </c>
      <c r="Y463" s="64"/>
      <c r="Z463" s="68"/>
    </row>
    <row r="464" ht="15.0" customHeight="1">
      <c r="A464" s="139">
        <v>45866.0</v>
      </c>
      <c r="B464" s="148" t="s">
        <v>4133</v>
      </c>
      <c r="C464" s="64" t="s">
        <v>2770</v>
      </c>
      <c r="D464" s="140" t="str">
        <f>IFERROR(VLOOKUP(C464,Stock,3,FALSE),"")</f>
        <v>Transport</v>
      </c>
      <c r="E464" s="64">
        <v>1.0</v>
      </c>
      <c r="F464" s="141">
        <v>100000.0</v>
      </c>
      <c r="G464" s="142">
        <f t="shared" si="22"/>
        <v>100000</v>
      </c>
      <c r="H464" s="142"/>
      <c r="I464" s="143">
        <f t="shared" si="23"/>
        <v>100000</v>
      </c>
      <c r="J464" s="144">
        <f t="shared" si="24"/>
        <v>100000</v>
      </c>
      <c r="K464" s="145" t="s">
        <v>4135</v>
      </c>
      <c r="L464" s="146" t="s">
        <v>4136</v>
      </c>
      <c r="M464" s="140"/>
      <c r="N464" s="64" t="s">
        <v>4137</v>
      </c>
      <c r="O464" s="64" t="s">
        <v>2813</v>
      </c>
      <c r="P464" s="170"/>
      <c r="Q464" s="149"/>
      <c r="R464" s="141"/>
      <c r="S464" s="141"/>
      <c r="T464" s="141">
        <v>2769000.0</v>
      </c>
      <c r="U464" s="149"/>
      <c r="V464" s="149"/>
      <c r="W464" s="149"/>
      <c r="X464" s="64" t="s">
        <v>3810</v>
      </c>
      <c r="Y464" s="64"/>
      <c r="Z464" s="68"/>
    </row>
    <row r="465" ht="15.0" customHeight="1">
      <c r="A465" s="139">
        <v>45866.0</v>
      </c>
      <c r="B465" s="148" t="s">
        <v>4138</v>
      </c>
      <c r="C465" s="64" t="s">
        <v>4139</v>
      </c>
      <c r="D465" s="140" t="str">
        <f>IFERROR(VLOOKUP(C465,Stock,3,FALSE),"")</f>
        <v>Nissan Serena 10-19 C26</v>
      </c>
      <c r="E465" s="64">
        <v>1.0</v>
      </c>
      <c r="F465" s="141">
        <v>2917000.0</v>
      </c>
      <c r="G465" s="142">
        <f t="shared" si="22"/>
        <v>2917000</v>
      </c>
      <c r="H465" s="142"/>
      <c r="I465" s="143">
        <f t="shared" si="23"/>
        <v>2917000</v>
      </c>
      <c r="J465" s="144">
        <f t="shared" si="24"/>
        <v>2917000</v>
      </c>
      <c r="K465" s="145" t="s">
        <v>4140</v>
      </c>
      <c r="L465" s="146" t="s">
        <v>4141</v>
      </c>
      <c r="M465" s="140"/>
      <c r="N465" s="64" t="s">
        <v>4142</v>
      </c>
      <c r="O465" s="64" t="s">
        <v>2813</v>
      </c>
      <c r="P465" s="170"/>
      <c r="Q465" s="149"/>
      <c r="R465" s="141"/>
      <c r="S465" s="141"/>
      <c r="T465" s="141">
        <v>2917000.0</v>
      </c>
      <c r="U465" s="149"/>
      <c r="V465" s="149"/>
      <c r="W465" s="149"/>
      <c r="X465" s="64" t="s">
        <v>3810</v>
      </c>
      <c r="Y465" s="64"/>
      <c r="Z465" s="68"/>
    </row>
    <row r="466" ht="15.0" customHeight="1">
      <c r="A466" s="139">
        <v>45866.0</v>
      </c>
      <c r="B466" s="148" t="s">
        <v>4143</v>
      </c>
      <c r="C466" s="64" t="s">
        <v>4144</v>
      </c>
      <c r="D466" s="140" t="str">
        <f>IFERROR(VLOOKUP(C466,Stock,3,FALSE),"")</f>
        <v>Toyota Rush / Terios 06-17</v>
      </c>
      <c r="E466" s="64">
        <v>1.0</v>
      </c>
      <c r="F466" s="141">
        <v>1300000.0</v>
      </c>
      <c r="G466" s="142">
        <f t="shared" si="22"/>
        <v>1300000</v>
      </c>
      <c r="H466" s="142"/>
      <c r="I466" s="143">
        <f t="shared" si="23"/>
        <v>1300000</v>
      </c>
      <c r="J466" s="144">
        <f t="shared" si="24"/>
        <v>1300000</v>
      </c>
      <c r="K466" s="145" t="s">
        <v>4145</v>
      </c>
      <c r="L466" s="146" t="s">
        <v>4146</v>
      </c>
      <c r="M466" s="140"/>
      <c r="N466" s="64" t="s">
        <v>4147</v>
      </c>
      <c r="O466" s="64" t="s">
        <v>2813</v>
      </c>
      <c r="P466" s="170"/>
      <c r="Q466" s="141">
        <v>1300000.0</v>
      </c>
      <c r="R466" s="149"/>
      <c r="S466" s="149"/>
      <c r="T466" s="149"/>
      <c r="U466" s="149"/>
      <c r="V466" s="149"/>
      <c r="W466" s="149"/>
      <c r="X466" s="64" t="s">
        <v>3810</v>
      </c>
      <c r="Y466" s="64"/>
      <c r="Z466" s="68"/>
    </row>
    <row r="467" ht="15.0" customHeight="1">
      <c r="A467" s="139">
        <v>45867.0</v>
      </c>
      <c r="B467" s="148" t="s">
        <v>4148</v>
      </c>
      <c r="C467" s="178" t="s">
        <v>2778</v>
      </c>
      <c r="D467" s="140" t="str">
        <f>IFERROR(VLOOKUP(C467,Stock,3,FALSE),"")</f>
        <v>Bongkar Pasang Kaca Mobil Depan</v>
      </c>
      <c r="E467" s="64">
        <v>1.0</v>
      </c>
      <c r="F467" s="141">
        <v>500000.0</v>
      </c>
      <c r="G467" s="142">
        <f t="shared" si="22"/>
        <v>500000</v>
      </c>
      <c r="H467" s="142"/>
      <c r="I467" s="143">
        <f t="shared" si="23"/>
        <v>500000</v>
      </c>
      <c r="J467" s="144">
        <f t="shared" si="24"/>
        <v>500000</v>
      </c>
      <c r="K467" s="145" t="s">
        <v>4149</v>
      </c>
      <c r="L467" s="146" t="s">
        <v>4150</v>
      </c>
      <c r="M467" s="140"/>
      <c r="N467" s="64" t="s">
        <v>4151</v>
      </c>
      <c r="O467" s="64" t="s">
        <v>2813</v>
      </c>
      <c r="P467" s="170"/>
      <c r="Q467" s="149"/>
      <c r="R467" s="141"/>
      <c r="S467" s="141"/>
      <c r="T467" s="141">
        <v>2418000.0</v>
      </c>
      <c r="U467" s="149"/>
      <c r="V467" s="149"/>
      <c r="W467" s="149"/>
      <c r="X467" s="64" t="s">
        <v>3810</v>
      </c>
      <c r="Y467" s="64"/>
      <c r="Z467" s="68"/>
    </row>
    <row r="468" ht="15.0" customHeight="1">
      <c r="A468" s="139">
        <v>45867.0</v>
      </c>
      <c r="B468" s="148" t="s">
        <v>4152</v>
      </c>
      <c r="C468" s="64" t="s">
        <v>3142</v>
      </c>
      <c r="D468" s="140" t="str">
        <f>IFERROR(VLOOKUP(C468,Stock,3,FALSE),"")</f>
        <v>Mitsubishi Xpander 17-</v>
      </c>
      <c r="E468" s="64">
        <v>1.0</v>
      </c>
      <c r="F468" s="141">
        <v>1638000.0</v>
      </c>
      <c r="G468" s="142">
        <f t="shared" si="22"/>
        <v>1638000</v>
      </c>
      <c r="H468" s="142"/>
      <c r="I468" s="143">
        <f t="shared" si="23"/>
        <v>1638000</v>
      </c>
      <c r="J468" s="144">
        <f t="shared" si="24"/>
        <v>1638000</v>
      </c>
      <c r="K468" s="145" t="s">
        <v>4153</v>
      </c>
      <c r="L468" s="146" t="s">
        <v>4154</v>
      </c>
      <c r="M468" s="140"/>
      <c r="N468" s="64" t="s">
        <v>4155</v>
      </c>
      <c r="O468" s="64" t="s">
        <v>2813</v>
      </c>
      <c r="P468" s="170"/>
      <c r="Q468" s="149"/>
      <c r="R468" s="141"/>
      <c r="S468" s="141"/>
      <c r="T468" s="141">
        <v>1638000.0</v>
      </c>
      <c r="U468" s="149"/>
      <c r="V468" s="149"/>
      <c r="W468" s="149"/>
      <c r="X468" s="64" t="s">
        <v>3810</v>
      </c>
      <c r="Y468" s="64"/>
      <c r="Z468" s="68"/>
    </row>
    <row r="469" ht="15.0" customHeight="1">
      <c r="A469" s="139">
        <v>45867.0</v>
      </c>
      <c r="B469" s="148" t="s">
        <v>4156</v>
      </c>
      <c r="C469" s="64" t="s">
        <v>4157</v>
      </c>
      <c r="D469" s="140" t="str">
        <f>IFERROR(VLOOKUP(C469,Stock,3,FALSE),"")</f>
        <v>Toyota Yaris 05-13 XP90 1st Gen</v>
      </c>
      <c r="E469" s="64">
        <v>1.0</v>
      </c>
      <c r="F469" s="141">
        <v>1188000.0</v>
      </c>
      <c r="G469" s="142">
        <f t="shared" si="22"/>
        <v>1188000</v>
      </c>
      <c r="H469" s="142"/>
      <c r="I469" s="143">
        <f t="shared" si="23"/>
        <v>1188000</v>
      </c>
      <c r="J469" s="144">
        <f t="shared" si="24"/>
        <v>1188000</v>
      </c>
      <c r="K469" s="145" t="s">
        <v>4158</v>
      </c>
      <c r="L469" s="146" t="s">
        <v>4159</v>
      </c>
      <c r="M469" s="140"/>
      <c r="N469" s="68"/>
      <c r="O469" s="64" t="s">
        <v>2813</v>
      </c>
      <c r="P469" s="170"/>
      <c r="Q469" s="149"/>
      <c r="R469" s="141"/>
      <c r="S469" s="141"/>
      <c r="T469" s="141">
        <v>1188000.0</v>
      </c>
      <c r="U469" s="149"/>
      <c r="V469" s="149"/>
      <c r="W469" s="149"/>
      <c r="X469" s="64" t="s">
        <v>3810</v>
      </c>
      <c r="Y469" s="64"/>
      <c r="Z469" s="68"/>
    </row>
    <row r="470" ht="15.0" customHeight="1">
      <c r="A470" s="139">
        <v>45867.0</v>
      </c>
      <c r="B470" s="148" t="s">
        <v>4156</v>
      </c>
      <c r="C470" s="64" t="s">
        <v>3446</v>
      </c>
      <c r="D470" s="140" t="str">
        <f>IFERROR(VLOOKUP(C470,Stock,3,FALSE),"")</f>
        <v>501 Sealant Application</v>
      </c>
      <c r="E470" s="64">
        <v>1.0</v>
      </c>
      <c r="F470" s="141">
        <v>80000.0</v>
      </c>
      <c r="G470" s="142">
        <f t="shared" si="22"/>
        <v>80000</v>
      </c>
      <c r="H470" s="142"/>
      <c r="I470" s="143">
        <f t="shared" si="23"/>
        <v>80000</v>
      </c>
      <c r="J470" s="144">
        <f t="shared" si="24"/>
        <v>80000</v>
      </c>
      <c r="K470" s="145" t="s">
        <v>4158</v>
      </c>
      <c r="L470" s="146" t="s">
        <v>4159</v>
      </c>
      <c r="M470" s="140"/>
      <c r="N470" s="68"/>
      <c r="O470" s="64" t="s">
        <v>2813</v>
      </c>
      <c r="P470" s="170"/>
      <c r="Q470" s="149"/>
      <c r="R470" s="141"/>
      <c r="S470" s="141"/>
      <c r="T470" s="141">
        <v>80000.0</v>
      </c>
      <c r="U470" s="149"/>
      <c r="V470" s="149"/>
      <c r="W470" s="149"/>
      <c r="X470" s="64" t="s">
        <v>3810</v>
      </c>
      <c r="Y470" s="64"/>
      <c r="Z470" s="68"/>
    </row>
    <row r="471" ht="15.0" customHeight="1">
      <c r="A471" s="139">
        <v>45867.0</v>
      </c>
      <c r="B471" s="148" t="s">
        <v>4160</v>
      </c>
      <c r="C471" s="64" t="s">
        <v>4161</v>
      </c>
      <c r="D471" s="140" t="str">
        <f>IFERROR(VLOOKUP(C471,Stock,3,FALSE),"")</f>
        <v>Toyota Altis 06-13 E140 10th Gen (DZ055)</v>
      </c>
      <c r="E471" s="64">
        <v>1.0</v>
      </c>
      <c r="F471" s="141">
        <v>2130000.0</v>
      </c>
      <c r="G471" s="142">
        <f t="shared" si="22"/>
        <v>2130000</v>
      </c>
      <c r="H471" s="142"/>
      <c r="I471" s="143">
        <f t="shared" si="23"/>
        <v>2130000</v>
      </c>
      <c r="J471" s="144">
        <f t="shared" si="24"/>
        <v>2130000</v>
      </c>
      <c r="K471" s="145" t="s">
        <v>4162</v>
      </c>
      <c r="L471" s="146" t="s">
        <v>4163</v>
      </c>
      <c r="M471" s="140"/>
      <c r="N471" s="64" t="s">
        <v>4164</v>
      </c>
      <c r="O471" s="64" t="s">
        <v>2813</v>
      </c>
      <c r="P471" s="170"/>
      <c r="Q471" s="149"/>
      <c r="R471" s="141"/>
      <c r="S471" s="141"/>
      <c r="T471" s="141">
        <v>30000.0</v>
      </c>
      <c r="U471" s="149"/>
      <c r="V471" s="149"/>
      <c r="W471" s="149"/>
      <c r="X471" s="64" t="s">
        <v>3810</v>
      </c>
      <c r="Y471" s="64"/>
      <c r="Z471" s="68"/>
    </row>
    <row r="472" ht="15.0" customHeight="1">
      <c r="A472" s="139">
        <v>45867.0</v>
      </c>
      <c r="B472" s="148" t="s">
        <v>4160</v>
      </c>
      <c r="C472" s="64" t="s">
        <v>2770</v>
      </c>
      <c r="D472" s="140" t="str">
        <f>IFERROR(VLOOKUP(C472,Stock,3,FALSE),"")</f>
        <v>Transport</v>
      </c>
      <c r="E472" s="64">
        <v>1.0</v>
      </c>
      <c r="F472" s="141">
        <v>180000.0</v>
      </c>
      <c r="G472" s="142">
        <f t="shared" si="22"/>
        <v>180000</v>
      </c>
      <c r="H472" s="142"/>
      <c r="I472" s="143">
        <f t="shared" si="23"/>
        <v>180000</v>
      </c>
      <c r="J472" s="144">
        <f t="shared" si="24"/>
        <v>180000</v>
      </c>
      <c r="K472" s="145" t="s">
        <v>4162</v>
      </c>
      <c r="L472" s="146" t="s">
        <v>4163</v>
      </c>
      <c r="M472" s="140"/>
      <c r="N472" s="64" t="s">
        <v>4164</v>
      </c>
      <c r="O472" s="64" t="s">
        <v>2813</v>
      </c>
      <c r="P472" s="170"/>
      <c r="Q472" s="149"/>
      <c r="R472" s="141"/>
      <c r="S472" s="141"/>
      <c r="T472" s="141">
        <v>2280000.0</v>
      </c>
      <c r="U472" s="149"/>
      <c r="V472" s="149"/>
      <c r="W472" s="149"/>
      <c r="X472" s="64" t="s">
        <v>3810</v>
      </c>
      <c r="Y472" s="64"/>
      <c r="Z472" s="68"/>
    </row>
    <row r="473" ht="15.0" customHeight="1">
      <c r="A473" s="139">
        <v>45867.0</v>
      </c>
      <c r="B473" s="148" t="s">
        <v>4165</v>
      </c>
      <c r="C473" s="64" t="s">
        <v>4166</v>
      </c>
      <c r="D473" s="140" t="str">
        <f>IFERROR(VLOOKUP(C473,Stock,3,FALSE),"")</f>
        <v>Wuling Confero</v>
      </c>
      <c r="E473" s="64">
        <v>1.0</v>
      </c>
      <c r="F473" s="141">
        <v>1252000.0</v>
      </c>
      <c r="G473" s="142">
        <f t="shared" si="22"/>
        <v>1252000</v>
      </c>
      <c r="H473" s="142"/>
      <c r="I473" s="143">
        <f t="shared" si="23"/>
        <v>1252000</v>
      </c>
      <c r="J473" s="144">
        <f t="shared" si="24"/>
        <v>1252000</v>
      </c>
      <c r="K473" s="145" t="s">
        <v>4167</v>
      </c>
      <c r="L473" s="146" t="s">
        <v>4168</v>
      </c>
      <c r="M473" s="140"/>
      <c r="N473" s="64" t="s">
        <v>4169</v>
      </c>
      <c r="O473" s="64" t="s">
        <v>2813</v>
      </c>
      <c r="P473" s="170"/>
      <c r="Q473" s="149"/>
      <c r="R473" s="141"/>
      <c r="S473" s="141"/>
      <c r="T473" s="141">
        <v>1252000.0</v>
      </c>
      <c r="U473" s="149"/>
      <c r="V473" s="149"/>
      <c r="W473" s="149"/>
      <c r="X473" s="64" t="s">
        <v>3810</v>
      </c>
      <c r="Y473" s="64"/>
      <c r="Z473" s="68"/>
    </row>
    <row r="474" ht="15.0" customHeight="1">
      <c r="A474" s="139">
        <v>45841.0</v>
      </c>
      <c r="B474" s="148" t="s">
        <v>4170</v>
      </c>
      <c r="C474" s="64" t="s">
        <v>3078</v>
      </c>
      <c r="D474" s="140" t="str">
        <f>IFERROR(VLOOKUP(C474,Stock,3,FALSE),"")</f>
        <v>Suzuki Ertiga 12-18 1st Gen MPV</v>
      </c>
      <c r="E474" s="64">
        <v>1.0</v>
      </c>
      <c r="F474" s="141">
        <v>799000.0</v>
      </c>
      <c r="G474" s="142">
        <f t="shared" si="22"/>
        <v>799000</v>
      </c>
      <c r="H474" s="142"/>
      <c r="I474" s="143">
        <f t="shared" si="23"/>
        <v>799000</v>
      </c>
      <c r="J474" s="144">
        <f t="shared" si="24"/>
        <v>799000</v>
      </c>
      <c r="K474" s="145" t="s">
        <v>4171</v>
      </c>
      <c r="L474" s="146" t="s">
        <v>4172</v>
      </c>
      <c r="M474" s="140"/>
      <c r="N474" s="64" t="s">
        <v>4173</v>
      </c>
      <c r="O474" s="64" t="s">
        <v>2813</v>
      </c>
      <c r="P474" s="170"/>
      <c r="Q474" s="149"/>
      <c r="R474" s="141"/>
      <c r="S474" s="141"/>
      <c r="T474" s="141">
        <v>799000.0</v>
      </c>
      <c r="U474" s="149"/>
      <c r="V474" s="149"/>
      <c r="W474" s="149"/>
      <c r="X474" s="64" t="s">
        <v>3810</v>
      </c>
      <c r="Y474" s="64"/>
      <c r="Z474" s="64" t="s">
        <v>4174</v>
      </c>
    </row>
    <row r="475" ht="15.0" customHeight="1">
      <c r="A475" s="139">
        <v>45868.0</v>
      </c>
      <c r="B475" s="181" t="s">
        <v>3846</v>
      </c>
      <c r="C475" s="64" t="s">
        <v>2869</v>
      </c>
      <c r="D475" s="140" t="str">
        <f>IFERROR(VLOOKUP(C475,Stock,3,FALSE),"")</f>
        <v>Daihatsu Gran Max / Luxio 07-</v>
      </c>
      <c r="E475" s="64">
        <v>5.0</v>
      </c>
      <c r="F475" s="149"/>
      <c r="G475" s="142">
        <f t="shared" si="22"/>
        <v>0</v>
      </c>
      <c r="H475" s="142"/>
      <c r="I475" s="143">
        <f t="shared" si="23"/>
        <v>0</v>
      </c>
      <c r="J475" s="144">
        <f t="shared" si="24"/>
        <v>0</v>
      </c>
      <c r="K475" s="145" t="s">
        <v>4175</v>
      </c>
      <c r="L475" s="64"/>
      <c r="M475" s="140"/>
      <c r="N475" s="68"/>
      <c r="O475" s="64" t="s">
        <v>2813</v>
      </c>
      <c r="P475" s="170"/>
      <c r="Q475" s="149"/>
      <c r="R475" s="149"/>
      <c r="S475" s="149"/>
      <c r="T475" s="149"/>
      <c r="U475" s="149"/>
      <c r="V475" s="149"/>
      <c r="W475" s="149"/>
      <c r="X475" s="64" t="s">
        <v>3810</v>
      </c>
      <c r="Y475" s="64"/>
      <c r="Z475" s="68"/>
    </row>
    <row r="476" ht="15.0" customHeight="1">
      <c r="A476" s="139">
        <v>45868.0</v>
      </c>
      <c r="B476" s="181" t="s">
        <v>3846</v>
      </c>
      <c r="C476" s="64" t="s">
        <v>2865</v>
      </c>
      <c r="D476" s="140" t="str">
        <f>IFERROR(VLOOKUP(C476,Stock,3,FALSE),"")</f>
        <v>Toyota Fortuner 15- 2nd Gen</v>
      </c>
      <c r="E476" s="64">
        <v>5.0</v>
      </c>
      <c r="F476" s="149"/>
      <c r="G476" s="142">
        <f t="shared" si="22"/>
        <v>0</v>
      </c>
      <c r="H476" s="142"/>
      <c r="I476" s="143">
        <f t="shared" si="23"/>
        <v>0</v>
      </c>
      <c r="J476" s="144">
        <f t="shared" si="24"/>
        <v>0</v>
      </c>
      <c r="K476" s="145" t="s">
        <v>4175</v>
      </c>
      <c r="L476" s="140"/>
      <c r="M476" s="140"/>
      <c r="N476" s="68"/>
      <c r="O476" s="64" t="s">
        <v>2813</v>
      </c>
      <c r="P476" s="170"/>
      <c r="Q476" s="149"/>
      <c r="R476" s="149"/>
      <c r="S476" s="149"/>
      <c r="T476" s="149"/>
      <c r="U476" s="149"/>
      <c r="V476" s="149"/>
      <c r="W476" s="149"/>
      <c r="X476" s="64" t="s">
        <v>3810</v>
      </c>
      <c r="Y476" s="64"/>
      <c r="Z476" s="68"/>
    </row>
    <row r="477" ht="15.0" customHeight="1">
      <c r="A477" s="139">
        <v>45868.0</v>
      </c>
      <c r="B477" s="181" t="s">
        <v>3846</v>
      </c>
      <c r="C477" s="64" t="s">
        <v>4176</v>
      </c>
      <c r="D477" s="140" t="str">
        <f>IFERROR(VLOOKUP(C477,Stock,3,FALSE),"")</f>
        <v>Honda HR-V 22- 5D SUV (Honda)</v>
      </c>
      <c r="E477" s="64">
        <v>1.0</v>
      </c>
      <c r="F477" s="149"/>
      <c r="G477" s="142">
        <f t="shared" si="22"/>
        <v>0</v>
      </c>
      <c r="H477" s="142"/>
      <c r="I477" s="143">
        <f t="shared" si="23"/>
        <v>0</v>
      </c>
      <c r="J477" s="144">
        <f t="shared" si="24"/>
        <v>0</v>
      </c>
      <c r="K477" s="145" t="s">
        <v>4175</v>
      </c>
      <c r="L477" s="140"/>
      <c r="M477" s="140"/>
      <c r="N477" s="68"/>
      <c r="O477" s="64" t="s">
        <v>2813</v>
      </c>
      <c r="P477" s="170"/>
      <c r="Q477" s="149"/>
      <c r="R477" s="149"/>
      <c r="S477" s="149"/>
      <c r="T477" s="149"/>
      <c r="U477" s="149"/>
      <c r="V477" s="149"/>
      <c r="W477" s="149"/>
      <c r="X477" s="64" t="s">
        <v>3810</v>
      </c>
      <c r="Y477" s="64"/>
      <c r="Z477" s="68"/>
    </row>
    <row r="478" ht="15.0" customHeight="1">
      <c r="A478" s="139">
        <v>45868.0</v>
      </c>
      <c r="B478" s="181" t="s">
        <v>3846</v>
      </c>
      <c r="C478" s="64" t="s">
        <v>3246</v>
      </c>
      <c r="D478" s="140" t="str">
        <f>IFERROR(VLOOKUP(C478,Stock,3,FALSE),"")</f>
        <v>Toyota Calya / Sigra 16-</v>
      </c>
      <c r="E478" s="64">
        <v>5.0</v>
      </c>
      <c r="F478" s="149"/>
      <c r="G478" s="142">
        <f t="shared" si="22"/>
        <v>0</v>
      </c>
      <c r="H478" s="142"/>
      <c r="I478" s="143">
        <f t="shared" si="23"/>
        <v>0</v>
      </c>
      <c r="J478" s="144">
        <f t="shared" si="24"/>
        <v>0</v>
      </c>
      <c r="K478" s="145" t="s">
        <v>4175</v>
      </c>
      <c r="L478" s="140"/>
      <c r="M478" s="140"/>
      <c r="N478" s="68"/>
      <c r="O478" s="64" t="s">
        <v>2813</v>
      </c>
      <c r="P478" s="170"/>
      <c r="Q478" s="149"/>
      <c r="R478" s="149"/>
      <c r="S478" s="149"/>
      <c r="T478" s="149"/>
      <c r="U478" s="149"/>
      <c r="V478" s="149"/>
      <c r="W478" s="149"/>
      <c r="X478" s="64" t="s">
        <v>3810</v>
      </c>
      <c r="Y478" s="64"/>
      <c r="Z478" s="68"/>
    </row>
    <row r="479" ht="15.0" customHeight="1">
      <c r="A479" s="139">
        <v>45868.0</v>
      </c>
      <c r="B479" s="181" t="s">
        <v>3846</v>
      </c>
      <c r="C479" s="64" t="s">
        <v>3446</v>
      </c>
      <c r="D479" s="140" t="str">
        <f>IFERROR(VLOOKUP(C479,Stock,3,FALSE),"")</f>
        <v>501 Sealant Application</v>
      </c>
      <c r="E479" s="64">
        <v>100.0</v>
      </c>
      <c r="F479" s="149"/>
      <c r="G479" s="142">
        <f t="shared" si="22"/>
        <v>0</v>
      </c>
      <c r="H479" s="142"/>
      <c r="I479" s="143">
        <f t="shared" si="23"/>
        <v>0</v>
      </c>
      <c r="J479" s="144">
        <f t="shared" si="24"/>
        <v>0</v>
      </c>
      <c r="K479" s="145" t="s">
        <v>4175</v>
      </c>
      <c r="L479" s="140"/>
      <c r="M479" s="140"/>
      <c r="N479" s="68"/>
      <c r="O479" s="64" t="s">
        <v>2813</v>
      </c>
      <c r="P479" s="170"/>
      <c r="Q479" s="149"/>
      <c r="R479" s="149"/>
      <c r="S479" s="149"/>
      <c r="T479" s="149"/>
      <c r="U479" s="149"/>
      <c r="V479" s="149"/>
      <c r="W479" s="149"/>
      <c r="X479" s="64" t="s">
        <v>3810</v>
      </c>
      <c r="Y479" s="64"/>
      <c r="Z479" s="68"/>
    </row>
    <row r="480" ht="15.0" customHeight="1">
      <c r="A480" s="139">
        <v>45868.0</v>
      </c>
      <c r="B480" s="181" t="s">
        <v>4177</v>
      </c>
      <c r="C480" s="64" t="s">
        <v>3662</v>
      </c>
      <c r="D480" s="140" t="str">
        <f>IFERROR(VLOOKUP(C480,Stock,3,FALSE),"")</f>
        <v>Toyota Innova 15-22 2nd Gen (Toyota)</v>
      </c>
      <c r="E480" s="64">
        <v>1.0</v>
      </c>
      <c r="F480" s="149"/>
      <c r="G480" s="142">
        <f t="shared" si="22"/>
        <v>0</v>
      </c>
      <c r="H480" s="142"/>
      <c r="I480" s="143">
        <f t="shared" si="23"/>
        <v>0</v>
      </c>
      <c r="J480" s="144">
        <f t="shared" si="24"/>
        <v>0</v>
      </c>
      <c r="K480" s="145" t="s">
        <v>4175</v>
      </c>
      <c r="L480" s="140"/>
      <c r="M480" s="140"/>
      <c r="N480" s="68"/>
      <c r="O480" s="64" t="s">
        <v>2813</v>
      </c>
      <c r="P480" s="170"/>
      <c r="Q480" s="149"/>
      <c r="R480" s="149"/>
      <c r="S480" s="149"/>
      <c r="T480" s="149"/>
      <c r="U480" s="149"/>
      <c r="V480" s="149"/>
      <c r="W480" s="149"/>
      <c r="X480" s="64" t="s">
        <v>3810</v>
      </c>
      <c r="Y480" s="64"/>
      <c r="Z480" s="68"/>
    </row>
    <row r="481" ht="15.0" customHeight="1">
      <c r="A481" s="139">
        <v>45868.0</v>
      </c>
      <c r="B481" s="181" t="s">
        <v>4177</v>
      </c>
      <c r="C481" s="64" t="s">
        <v>3494</v>
      </c>
      <c r="D481" s="140" t="str">
        <f>IFERROR(VLOOKUP(C481,Stock,3,FALSE),"")</f>
        <v>Wuling Almaz</v>
      </c>
      <c r="E481" s="64">
        <v>1.0</v>
      </c>
      <c r="F481" s="149"/>
      <c r="G481" s="142">
        <f t="shared" si="22"/>
        <v>0</v>
      </c>
      <c r="H481" s="142"/>
      <c r="I481" s="143">
        <f t="shared" si="23"/>
        <v>0</v>
      </c>
      <c r="J481" s="144">
        <f t="shared" si="24"/>
        <v>0</v>
      </c>
      <c r="K481" s="145" t="s">
        <v>4175</v>
      </c>
      <c r="L481" s="140"/>
      <c r="M481" s="140"/>
      <c r="N481" s="68"/>
      <c r="O481" s="64" t="s">
        <v>2813</v>
      </c>
      <c r="P481" s="170"/>
      <c r="Q481" s="149"/>
      <c r="R481" s="149"/>
      <c r="S481" s="149"/>
      <c r="T481" s="149"/>
      <c r="U481" s="149"/>
      <c r="V481" s="149"/>
      <c r="W481" s="149"/>
      <c r="X481" s="64" t="s">
        <v>3810</v>
      </c>
      <c r="Y481" s="64"/>
      <c r="Z481" s="68"/>
    </row>
    <row r="482" ht="15.0" customHeight="1">
      <c r="A482" s="139">
        <v>45868.0</v>
      </c>
      <c r="B482" s="181" t="s">
        <v>4177</v>
      </c>
      <c r="C482" s="64" t="s">
        <v>4178</v>
      </c>
      <c r="D482" s="140" t="str">
        <f>IFERROR(VLOOKUP(C482,Stock,3,FALSE),"")</f>
        <v>Toyota Alphard 15-17 ANH30 3rd Gen (Sensor atas keramik)</v>
      </c>
      <c r="E482" s="64">
        <v>1.0</v>
      </c>
      <c r="F482" s="149"/>
      <c r="G482" s="142">
        <f t="shared" si="22"/>
        <v>0</v>
      </c>
      <c r="H482" s="142"/>
      <c r="I482" s="143">
        <f t="shared" si="23"/>
        <v>0</v>
      </c>
      <c r="J482" s="144">
        <f t="shared" si="24"/>
        <v>0</v>
      </c>
      <c r="K482" s="145" t="s">
        <v>4175</v>
      </c>
      <c r="L482" s="140"/>
      <c r="M482" s="140"/>
      <c r="N482" s="68"/>
      <c r="O482" s="64" t="s">
        <v>2813</v>
      </c>
      <c r="P482" s="170"/>
      <c r="Q482" s="149"/>
      <c r="R482" s="149"/>
      <c r="S482" s="149"/>
      <c r="T482" s="149"/>
      <c r="U482" s="149"/>
      <c r="V482" s="149"/>
      <c r="W482" s="149"/>
      <c r="X482" s="64" t="s">
        <v>3810</v>
      </c>
      <c r="Y482" s="64"/>
      <c r="Z482" s="68"/>
    </row>
    <row r="483" ht="15.0" customHeight="1">
      <c r="A483" s="139">
        <v>45868.0</v>
      </c>
      <c r="B483" s="148" t="s">
        <v>4179</v>
      </c>
      <c r="C483" s="177" t="s">
        <v>2830</v>
      </c>
      <c r="D483" s="140" t="str">
        <f>IFERROR(VLOOKUP(C483,Stock,3,FALSE),"")</f>
        <v/>
      </c>
      <c r="E483" s="64"/>
      <c r="F483" s="141"/>
      <c r="G483" s="142"/>
      <c r="H483" s="142"/>
      <c r="I483" s="143"/>
      <c r="J483" s="144"/>
      <c r="K483" s="145" t="s">
        <v>4180</v>
      </c>
      <c r="L483" s="146" t="s">
        <v>4181</v>
      </c>
      <c r="M483" s="140"/>
      <c r="N483" s="68"/>
      <c r="O483" s="64" t="s">
        <v>2813</v>
      </c>
      <c r="P483" s="170"/>
      <c r="Q483" s="149"/>
      <c r="R483" s="141"/>
      <c r="S483" s="141"/>
      <c r="T483" s="141">
        <v>30000.0</v>
      </c>
      <c r="U483" s="149"/>
      <c r="V483" s="149"/>
      <c r="W483" s="149"/>
      <c r="X483" s="64" t="s">
        <v>3810</v>
      </c>
      <c r="Y483" s="64"/>
      <c r="Z483" s="68"/>
    </row>
    <row r="484" ht="15.0" customHeight="1">
      <c r="A484" s="157">
        <v>45868.0</v>
      </c>
      <c r="B484" s="158" t="s">
        <v>4182</v>
      </c>
      <c r="C484" s="159" t="s">
        <v>3958</v>
      </c>
      <c r="D484" s="160" t="str">
        <f>IFERROR(VLOOKUP(C484,Stock,3,FALSE),"")</f>
        <v>Wuling Almaz</v>
      </c>
      <c r="E484" s="159">
        <v>1.0</v>
      </c>
      <c r="F484" s="161">
        <v>1017000.0</v>
      </c>
      <c r="G484" s="162">
        <f t="shared" ref="G484:G496" si="25">E484*F484</f>
        <v>1017000</v>
      </c>
      <c r="H484" s="162"/>
      <c r="I484" s="163">
        <f t="shared" ref="I484:I496" si="26">G484-H484</f>
        <v>1017000</v>
      </c>
      <c r="J484" s="164">
        <f t="shared" ref="J484:J496" si="27">I484</f>
        <v>1017000</v>
      </c>
      <c r="K484" s="165" t="s">
        <v>4183</v>
      </c>
      <c r="L484" s="160"/>
      <c r="M484" s="160"/>
      <c r="N484" s="166"/>
      <c r="O484" s="159" t="s">
        <v>2813</v>
      </c>
      <c r="P484" s="167"/>
      <c r="Q484" s="168"/>
      <c r="R484" s="168"/>
      <c r="S484" s="168"/>
      <c r="T484" s="168"/>
      <c r="U484" s="168"/>
      <c r="V484" s="168"/>
      <c r="W484" s="168"/>
      <c r="X484" s="159" t="s">
        <v>3810</v>
      </c>
      <c r="Y484" s="159"/>
      <c r="Z484" s="166"/>
    </row>
    <row r="485" ht="15.0" customHeight="1">
      <c r="A485" s="139">
        <v>45869.0</v>
      </c>
      <c r="B485" s="148" t="s">
        <v>4184</v>
      </c>
      <c r="C485" s="64" t="s">
        <v>3727</v>
      </c>
      <c r="D485" s="140" t="str">
        <f>IFERROR(VLOOKUP(C485,Stock,3,FALSE),"")</f>
        <v>Toyota Innova 15- 2nd Gen</v>
      </c>
      <c r="E485" s="64">
        <v>1.0</v>
      </c>
      <c r="F485" s="141">
        <v>1639000.0</v>
      </c>
      <c r="G485" s="142">
        <f t="shared" si="25"/>
        <v>1639000</v>
      </c>
      <c r="H485" s="142"/>
      <c r="I485" s="143">
        <f t="shared" si="26"/>
        <v>1639000</v>
      </c>
      <c r="J485" s="144">
        <f t="shared" si="27"/>
        <v>1639000</v>
      </c>
      <c r="K485" s="145" t="s">
        <v>4185</v>
      </c>
      <c r="L485" s="146" t="s">
        <v>4186</v>
      </c>
      <c r="M485" s="140"/>
      <c r="N485" s="64" t="s">
        <v>4187</v>
      </c>
      <c r="O485" s="64" t="s">
        <v>2813</v>
      </c>
      <c r="P485" s="170"/>
      <c r="Q485" s="149"/>
      <c r="R485" s="141"/>
      <c r="S485" s="141"/>
      <c r="T485" s="141">
        <v>1639000.0</v>
      </c>
      <c r="U485" s="149"/>
      <c r="V485" s="149"/>
      <c r="W485" s="149"/>
      <c r="X485" s="64" t="s">
        <v>3810</v>
      </c>
      <c r="Y485" s="64"/>
      <c r="Z485" s="68"/>
    </row>
    <row r="486" ht="15.0" customHeight="1">
      <c r="A486" s="139">
        <v>45869.0</v>
      </c>
      <c r="B486" s="148" t="s">
        <v>4188</v>
      </c>
      <c r="C486" s="64" t="s">
        <v>2944</v>
      </c>
      <c r="D486" s="140" t="str">
        <f>IFERROR(VLOOKUP(C486,Stock,3,FALSE),"")</f>
        <v>Toyota Innova 04-15 1st Gen</v>
      </c>
      <c r="E486" s="64">
        <v>1.0</v>
      </c>
      <c r="F486" s="141">
        <v>1300000.0</v>
      </c>
      <c r="G486" s="142">
        <f t="shared" si="25"/>
        <v>1300000</v>
      </c>
      <c r="H486" s="142"/>
      <c r="I486" s="143">
        <f t="shared" si="26"/>
        <v>1300000</v>
      </c>
      <c r="J486" s="144">
        <f t="shared" si="27"/>
        <v>1300000</v>
      </c>
      <c r="K486" s="145" t="s">
        <v>4189</v>
      </c>
      <c r="L486" s="146" t="s">
        <v>4190</v>
      </c>
      <c r="M486" s="140"/>
      <c r="N486" s="68"/>
      <c r="O486" s="64" t="s">
        <v>2813</v>
      </c>
      <c r="P486" s="170"/>
      <c r="Q486" s="149"/>
      <c r="R486" s="141"/>
      <c r="S486" s="141"/>
      <c r="T486" s="141">
        <v>1300000.0</v>
      </c>
      <c r="U486" s="149"/>
      <c r="V486" s="149"/>
      <c r="W486" s="149"/>
      <c r="X486" s="64" t="s">
        <v>3810</v>
      </c>
      <c r="Y486" s="64"/>
      <c r="Z486" s="68"/>
    </row>
    <row r="487" ht="15.0" customHeight="1">
      <c r="A487" s="139">
        <v>45869.0</v>
      </c>
      <c r="B487" s="148" t="s">
        <v>4191</v>
      </c>
      <c r="C487" s="64" t="s">
        <v>4192</v>
      </c>
      <c r="D487" s="140" t="str">
        <f>IFERROR(VLOOKUP(C487,Stock,3,FALSE),"")</f>
        <v>Kia Sonet 21-</v>
      </c>
      <c r="E487" s="64">
        <v>1.0</v>
      </c>
      <c r="F487" s="141">
        <v>1899000.0</v>
      </c>
      <c r="G487" s="142">
        <f t="shared" si="25"/>
        <v>1899000</v>
      </c>
      <c r="H487" s="142"/>
      <c r="I487" s="143">
        <f t="shared" si="26"/>
        <v>1899000</v>
      </c>
      <c r="J487" s="144">
        <f t="shared" si="27"/>
        <v>1899000</v>
      </c>
      <c r="K487" s="145" t="s">
        <v>3738</v>
      </c>
      <c r="L487" s="146" t="s">
        <v>4193</v>
      </c>
      <c r="M487" s="140"/>
      <c r="N487" s="64" t="s">
        <v>4194</v>
      </c>
      <c r="O487" s="64" t="s">
        <v>2813</v>
      </c>
      <c r="P487" s="170"/>
      <c r="Q487" s="149"/>
      <c r="R487" s="141"/>
      <c r="S487" s="141"/>
      <c r="T487" s="141">
        <v>1899000.0</v>
      </c>
      <c r="U487" s="149"/>
      <c r="V487" s="149"/>
      <c r="W487" s="149"/>
      <c r="X487" s="64" t="s">
        <v>3810</v>
      </c>
      <c r="Y487" s="64"/>
      <c r="Z487" s="68"/>
    </row>
    <row r="488" ht="15.0" customHeight="1">
      <c r="A488" s="139">
        <v>45869.0</v>
      </c>
      <c r="B488" s="148" t="s">
        <v>4195</v>
      </c>
      <c r="C488" s="64" t="s">
        <v>4196</v>
      </c>
      <c r="D488" s="140" t="str">
        <f>IFERROR(VLOOKUP(C488,Stock,3,FALSE),"")</f>
        <v>Hyundai Creta 22-</v>
      </c>
      <c r="E488" s="64">
        <v>1.0</v>
      </c>
      <c r="F488" s="141">
        <v>740000.0</v>
      </c>
      <c r="G488" s="142">
        <f t="shared" si="25"/>
        <v>740000</v>
      </c>
      <c r="H488" s="142"/>
      <c r="I488" s="143">
        <f t="shared" si="26"/>
        <v>740000</v>
      </c>
      <c r="J488" s="144">
        <f t="shared" si="27"/>
        <v>740000</v>
      </c>
      <c r="K488" s="145" t="s">
        <v>4197</v>
      </c>
      <c r="L488" s="146" t="s">
        <v>4198</v>
      </c>
      <c r="M488" s="140"/>
      <c r="N488" s="64" t="s">
        <v>4199</v>
      </c>
      <c r="O488" s="64" t="s">
        <v>2813</v>
      </c>
      <c r="P488" s="170"/>
      <c r="Q488" s="149"/>
      <c r="R488" s="141"/>
      <c r="S488" s="141"/>
      <c r="T488" s="141">
        <v>30000.0</v>
      </c>
      <c r="U488" s="149"/>
      <c r="V488" s="149"/>
      <c r="W488" s="149"/>
      <c r="X488" s="64" t="s">
        <v>3810</v>
      </c>
      <c r="Y488" s="64"/>
      <c r="Z488" s="68"/>
    </row>
    <row r="489" ht="15.0" customHeight="1">
      <c r="A489" s="139">
        <v>45869.0</v>
      </c>
      <c r="B489" s="148" t="s">
        <v>4195</v>
      </c>
      <c r="C489" s="64" t="s">
        <v>2770</v>
      </c>
      <c r="D489" s="140" t="str">
        <f>IFERROR(VLOOKUP(C489,Stock,3,FALSE),"")</f>
        <v>Transport</v>
      </c>
      <c r="E489" s="64">
        <v>1.0</v>
      </c>
      <c r="F489" s="141">
        <v>80000.0</v>
      </c>
      <c r="G489" s="142">
        <f t="shared" si="25"/>
        <v>80000</v>
      </c>
      <c r="H489" s="142"/>
      <c r="I489" s="143">
        <f t="shared" si="26"/>
        <v>80000</v>
      </c>
      <c r="J489" s="144">
        <f t="shared" si="27"/>
        <v>80000</v>
      </c>
      <c r="K489" s="145" t="s">
        <v>4197</v>
      </c>
      <c r="L489" s="146" t="s">
        <v>4198</v>
      </c>
      <c r="M489" s="140"/>
      <c r="N489" s="64" t="s">
        <v>4199</v>
      </c>
      <c r="O489" s="64" t="s">
        <v>2813</v>
      </c>
      <c r="P489" s="170"/>
      <c r="Q489" s="149"/>
      <c r="R489" s="141"/>
      <c r="S489" s="141"/>
      <c r="T489" s="141">
        <v>790000.0</v>
      </c>
      <c r="U489" s="149"/>
      <c r="V489" s="149"/>
      <c r="W489" s="149"/>
      <c r="X489" s="64" t="s">
        <v>3810</v>
      </c>
      <c r="Y489" s="64"/>
      <c r="Z489" s="68"/>
    </row>
    <row r="490" ht="15.0" customHeight="1">
      <c r="A490" s="139">
        <v>45870.0</v>
      </c>
      <c r="B490" s="148" t="s">
        <v>4200</v>
      </c>
      <c r="C490" s="64" t="s">
        <v>2003</v>
      </c>
      <c r="D490" s="140" t="str">
        <f>IFERROR(VLOOKUP(C490,Stock,3,FALSE),"")</f>
        <v>Toyota Agya/Ayla 13-22 1st Gen</v>
      </c>
      <c r="E490" s="64">
        <v>1.0</v>
      </c>
      <c r="F490" s="141">
        <v>1000000.0</v>
      </c>
      <c r="G490" s="142">
        <f t="shared" si="25"/>
        <v>1000000</v>
      </c>
      <c r="H490" s="142"/>
      <c r="I490" s="143">
        <f t="shared" si="26"/>
        <v>1000000</v>
      </c>
      <c r="J490" s="144">
        <f t="shared" si="27"/>
        <v>1000000</v>
      </c>
      <c r="K490" s="145" t="s">
        <v>4201</v>
      </c>
      <c r="L490" s="146" t="s">
        <v>4202</v>
      </c>
      <c r="M490" s="140"/>
      <c r="N490" s="64" t="s">
        <v>4203</v>
      </c>
      <c r="O490" s="64" t="s">
        <v>2813</v>
      </c>
      <c r="P490" s="170"/>
      <c r="Q490" s="141">
        <v>1000000.0</v>
      </c>
      <c r="R490" s="149"/>
      <c r="S490" s="149"/>
      <c r="T490" s="149"/>
      <c r="U490" s="149"/>
      <c r="V490" s="149"/>
      <c r="W490" s="149"/>
      <c r="X490" s="64" t="s">
        <v>3810</v>
      </c>
      <c r="Y490" s="64"/>
      <c r="Z490" s="68"/>
    </row>
    <row r="491" ht="15.0" customHeight="1">
      <c r="A491" s="139">
        <v>45870.0</v>
      </c>
      <c r="B491" s="148" t="s">
        <v>4204</v>
      </c>
      <c r="C491" s="64" t="s">
        <v>2003</v>
      </c>
      <c r="D491" s="140" t="str">
        <f>IFERROR(VLOOKUP(C491,Stock,3,FALSE),"")</f>
        <v>Toyota Agya/Ayla 13-22 1st Gen</v>
      </c>
      <c r="E491" s="64">
        <v>1.0</v>
      </c>
      <c r="F491" s="141">
        <v>985000.0</v>
      </c>
      <c r="G491" s="142">
        <f t="shared" si="25"/>
        <v>985000</v>
      </c>
      <c r="H491" s="142"/>
      <c r="I491" s="143">
        <f t="shared" si="26"/>
        <v>985000</v>
      </c>
      <c r="J491" s="144">
        <f t="shared" si="27"/>
        <v>985000</v>
      </c>
      <c r="K491" s="145" t="s">
        <v>4205</v>
      </c>
      <c r="L491" s="146" t="s">
        <v>4206</v>
      </c>
      <c r="M491" s="140"/>
      <c r="N491" s="64" t="s">
        <v>4207</v>
      </c>
      <c r="O491" s="64" t="s">
        <v>2813</v>
      </c>
      <c r="P491" s="170"/>
      <c r="Q491" s="141">
        <v>985000.0</v>
      </c>
      <c r="R491" s="149"/>
      <c r="S491" s="149"/>
      <c r="T491" s="149"/>
      <c r="U491" s="149"/>
      <c r="V491" s="149"/>
      <c r="W491" s="149"/>
      <c r="X491" s="64" t="s">
        <v>3810</v>
      </c>
      <c r="Y491" s="64"/>
      <c r="Z491" s="68"/>
    </row>
    <row r="492" ht="15.0" customHeight="1">
      <c r="A492" s="182">
        <v>45870.0</v>
      </c>
      <c r="B492" s="183" t="s">
        <v>4208</v>
      </c>
      <c r="C492" s="183" t="s">
        <v>4209</v>
      </c>
      <c r="D492" s="184" t="str">
        <f>IFERROR(VLOOKUP(C492,Stock,3,FALSE),"")</f>
        <v>Mitsubishi Galant 96-03 YC/EA2A 8th Gen (Hiu)</v>
      </c>
      <c r="E492" s="185">
        <v>1.0</v>
      </c>
      <c r="F492" s="186">
        <v>2176000.0</v>
      </c>
      <c r="G492" s="187">
        <f t="shared" si="25"/>
        <v>2176000</v>
      </c>
      <c r="H492" s="187"/>
      <c r="I492" s="188">
        <f t="shared" si="26"/>
        <v>2176000</v>
      </c>
      <c r="J492" s="189">
        <f t="shared" si="27"/>
        <v>2176000</v>
      </c>
      <c r="K492" s="190" t="s">
        <v>4210</v>
      </c>
      <c r="L492" s="191" t="s">
        <v>4211</v>
      </c>
      <c r="M492" s="184"/>
      <c r="N492" s="185" t="s">
        <v>4212</v>
      </c>
      <c r="O492" s="185" t="s">
        <v>2813</v>
      </c>
      <c r="P492" s="192"/>
      <c r="Q492" s="193"/>
      <c r="R492" s="186"/>
      <c r="S492" s="186"/>
      <c r="T492" s="186">
        <v>2356000.0</v>
      </c>
      <c r="U492" s="193"/>
      <c r="V492" s="193"/>
      <c r="W492" s="193"/>
      <c r="X492" s="185" t="s">
        <v>3810</v>
      </c>
      <c r="Y492" s="185"/>
      <c r="Z492" s="68"/>
    </row>
    <row r="493" ht="15.0" customHeight="1">
      <c r="A493" s="182">
        <v>45870.0</v>
      </c>
      <c r="B493" s="183" t="s">
        <v>4208</v>
      </c>
      <c r="C493" s="185" t="s">
        <v>2770</v>
      </c>
      <c r="D493" s="184" t="str">
        <f>IFERROR(VLOOKUP(C493,Stock,3,FALSE),"")</f>
        <v>Transport</v>
      </c>
      <c r="E493" s="185">
        <v>1.0</v>
      </c>
      <c r="F493" s="186">
        <v>180000.0</v>
      </c>
      <c r="G493" s="187">
        <f t="shared" si="25"/>
        <v>180000</v>
      </c>
      <c r="H493" s="187"/>
      <c r="I493" s="188">
        <f t="shared" si="26"/>
        <v>180000</v>
      </c>
      <c r="J493" s="189">
        <f t="shared" si="27"/>
        <v>180000</v>
      </c>
      <c r="K493" s="190" t="s">
        <v>4210</v>
      </c>
      <c r="L493" s="191" t="s">
        <v>4211</v>
      </c>
      <c r="M493" s="184"/>
      <c r="N493" s="185" t="s">
        <v>4212</v>
      </c>
      <c r="O493" s="185" t="s">
        <v>2813</v>
      </c>
      <c r="P493" s="192"/>
      <c r="Q493" s="193"/>
      <c r="R493" s="193"/>
      <c r="S493" s="193"/>
      <c r="T493" s="193"/>
      <c r="U493" s="193"/>
      <c r="V493" s="193"/>
      <c r="W493" s="193"/>
      <c r="X493" s="185" t="s">
        <v>3810</v>
      </c>
      <c r="Y493" s="185"/>
      <c r="Z493" s="194"/>
    </row>
    <row r="494" ht="15.0" customHeight="1">
      <c r="A494" s="139">
        <v>45870.0</v>
      </c>
      <c r="B494" s="148" t="s">
        <v>4213</v>
      </c>
      <c r="C494" s="64" t="s">
        <v>4214</v>
      </c>
      <c r="D494" s="140" t="str">
        <f>IFERROR(VLOOKUP(C494,Stock,3,FALSE),"")</f>
        <v>Hyundai Palisade 22-25 (1 Sensor /\ pendek)</v>
      </c>
      <c r="E494" s="64">
        <v>1.0</v>
      </c>
      <c r="F494" s="141">
        <v>4689000.0</v>
      </c>
      <c r="G494" s="142">
        <f t="shared" si="25"/>
        <v>4689000</v>
      </c>
      <c r="H494" s="142"/>
      <c r="I494" s="143">
        <f t="shared" si="26"/>
        <v>4689000</v>
      </c>
      <c r="J494" s="144">
        <f t="shared" si="27"/>
        <v>4689000</v>
      </c>
      <c r="K494" s="145" t="s">
        <v>4215</v>
      </c>
      <c r="L494" s="146" t="s">
        <v>4216</v>
      </c>
      <c r="M494" s="140"/>
      <c r="N494" s="64" t="s">
        <v>4217</v>
      </c>
      <c r="O494" s="64" t="s">
        <v>4218</v>
      </c>
      <c r="P494" s="170"/>
      <c r="Q494" s="149"/>
      <c r="R494" s="141"/>
      <c r="S494" s="141"/>
      <c r="T494" s="141">
        <v>937800.0</v>
      </c>
      <c r="U494" s="149"/>
      <c r="V494" s="149"/>
      <c r="W494" s="149"/>
      <c r="X494" s="64" t="s">
        <v>3810</v>
      </c>
      <c r="Y494" s="64"/>
      <c r="Z494" s="68"/>
    </row>
    <row r="495" ht="15.0" customHeight="1">
      <c r="A495" s="139">
        <v>45870.0</v>
      </c>
      <c r="B495" s="148" t="s">
        <v>4213</v>
      </c>
      <c r="C495" s="64" t="s">
        <v>2770</v>
      </c>
      <c r="D495" s="140" t="str">
        <f>IFERROR(VLOOKUP(C495,Stock,3,FALSE),"")</f>
        <v>Transport</v>
      </c>
      <c r="E495" s="64">
        <v>1.0</v>
      </c>
      <c r="F495" s="141">
        <v>150000.0</v>
      </c>
      <c r="G495" s="142">
        <f t="shared" si="25"/>
        <v>150000</v>
      </c>
      <c r="H495" s="142"/>
      <c r="I495" s="143">
        <f t="shared" si="26"/>
        <v>150000</v>
      </c>
      <c r="J495" s="144">
        <f t="shared" si="27"/>
        <v>150000</v>
      </c>
      <c r="K495" s="145" t="s">
        <v>4215</v>
      </c>
      <c r="L495" s="146" t="s">
        <v>4216</v>
      </c>
      <c r="M495" s="140"/>
      <c r="N495" s="64" t="s">
        <v>4217</v>
      </c>
      <c r="O495" s="64" t="s">
        <v>4218</v>
      </c>
      <c r="P495" s="170"/>
      <c r="Q495" s="149"/>
      <c r="R495" s="149"/>
      <c r="S495" s="149"/>
      <c r="T495" s="149"/>
      <c r="U495" s="149"/>
      <c r="V495" s="149"/>
      <c r="W495" s="149"/>
      <c r="X495" s="64" t="s">
        <v>3810</v>
      </c>
      <c r="Y495" s="64"/>
      <c r="Z495" s="68"/>
    </row>
    <row r="496" ht="15.0" customHeight="1">
      <c r="A496" s="139">
        <v>45870.0</v>
      </c>
      <c r="B496" s="148" t="s">
        <v>4219</v>
      </c>
      <c r="C496" s="64" t="s">
        <v>4220</v>
      </c>
      <c r="D496" s="140" t="str">
        <f>IFERROR(VLOOKUP(C496,Stock,3,FALSE),"")</f>
        <v>Mitsubishi Outlander 10-21</v>
      </c>
      <c r="E496" s="64">
        <v>1.0</v>
      </c>
      <c r="F496" s="141">
        <v>2892000.0</v>
      </c>
      <c r="G496" s="142">
        <f t="shared" si="25"/>
        <v>2892000</v>
      </c>
      <c r="H496" s="142"/>
      <c r="I496" s="143">
        <f t="shared" si="26"/>
        <v>2892000</v>
      </c>
      <c r="J496" s="144">
        <f t="shared" si="27"/>
        <v>2892000</v>
      </c>
      <c r="K496" s="145" t="s">
        <v>4221</v>
      </c>
      <c r="L496" s="146" t="s">
        <v>4222</v>
      </c>
      <c r="M496" s="140"/>
      <c r="N496" s="64" t="s">
        <v>4223</v>
      </c>
      <c r="O496" s="64" t="s">
        <v>2813</v>
      </c>
      <c r="P496" s="170"/>
      <c r="Q496" s="149"/>
      <c r="R496" s="141"/>
      <c r="S496" s="141"/>
      <c r="T496" s="141">
        <v>2892000.0</v>
      </c>
      <c r="U496" s="149"/>
      <c r="V496" s="149"/>
      <c r="W496" s="149"/>
      <c r="X496" s="64" t="s">
        <v>3810</v>
      </c>
      <c r="Y496" s="64"/>
      <c r="Z496" s="68"/>
    </row>
    <row r="497" ht="15.0" customHeight="1">
      <c r="A497" s="139">
        <v>45870.0</v>
      </c>
      <c r="B497" s="148" t="s">
        <v>4224</v>
      </c>
      <c r="C497" s="64" t="s">
        <v>2830</v>
      </c>
      <c r="D497" s="140"/>
      <c r="E497" s="64"/>
      <c r="F497" s="141"/>
      <c r="G497" s="142"/>
      <c r="H497" s="142"/>
      <c r="I497" s="143"/>
      <c r="J497" s="144"/>
      <c r="K497" s="145" t="s">
        <v>4210</v>
      </c>
      <c r="L497" s="146" t="s">
        <v>4211</v>
      </c>
      <c r="M497" s="140"/>
      <c r="N497" s="68"/>
      <c r="O497" s="64" t="s">
        <v>3007</v>
      </c>
      <c r="P497" s="170"/>
      <c r="Q497" s="149"/>
      <c r="R497" s="141"/>
      <c r="S497" s="141"/>
      <c r="T497" s="141">
        <v>2176000.0</v>
      </c>
      <c r="U497" s="149"/>
      <c r="V497" s="149"/>
      <c r="W497" s="149"/>
      <c r="X497" s="64" t="s">
        <v>3191</v>
      </c>
      <c r="Y497" s="64"/>
      <c r="Z497" s="68"/>
    </row>
    <row r="498" ht="15.0" customHeight="1">
      <c r="A498" s="139">
        <v>45871.0</v>
      </c>
      <c r="B498" s="148" t="s">
        <v>4225</v>
      </c>
      <c r="C498" s="64" t="s">
        <v>4226</v>
      </c>
      <c r="D498" s="140" t="str">
        <f>IFERROR(VLOOKUP(C498,Stock,3,FALSE),"")</f>
        <v>Honda HR-V 14-21 5D SUV (Honda)</v>
      </c>
      <c r="E498" s="64">
        <v>1.0</v>
      </c>
      <c r="F498" s="141">
        <v>3100000.0</v>
      </c>
      <c r="G498" s="142">
        <f t="shared" ref="G498:G530" si="28">E498*F498</f>
        <v>3100000</v>
      </c>
      <c r="H498" s="143">
        <v>100000.0</v>
      </c>
      <c r="I498" s="143">
        <f t="shared" ref="I498:I530" si="29">G498-H498</f>
        <v>3000000</v>
      </c>
      <c r="J498" s="144">
        <f t="shared" ref="J498:J530" si="30">I498</f>
        <v>3000000</v>
      </c>
      <c r="K498" s="145" t="s">
        <v>4227</v>
      </c>
      <c r="L498" s="146" t="s">
        <v>4228</v>
      </c>
      <c r="M498" s="140"/>
      <c r="N498" s="64" t="s">
        <v>4229</v>
      </c>
      <c r="O498" s="64" t="s">
        <v>2813</v>
      </c>
      <c r="P498" s="170"/>
      <c r="Q498" s="149"/>
      <c r="R498" s="141"/>
      <c r="S498" s="141"/>
      <c r="T498" s="141">
        <v>3000000.0</v>
      </c>
      <c r="U498" s="149"/>
      <c r="V498" s="149"/>
      <c r="W498" s="149"/>
      <c r="X498" s="64" t="s">
        <v>3191</v>
      </c>
      <c r="Y498" s="64"/>
      <c r="Z498" s="68"/>
    </row>
    <row r="499" ht="15.0" customHeight="1">
      <c r="A499" s="139">
        <v>45871.0</v>
      </c>
      <c r="B499" s="148" t="s">
        <v>4230</v>
      </c>
      <c r="C499" s="64" t="s">
        <v>4231</v>
      </c>
      <c r="D499" s="140" t="str">
        <f>IFERROR(VLOOKUP(C499,Stock,3,FALSE),"")</f>
        <v>Nissan X-Trail 07-13 T31</v>
      </c>
      <c r="E499" s="64">
        <v>1.0</v>
      </c>
      <c r="F499" s="141">
        <v>1678000.0</v>
      </c>
      <c r="G499" s="142">
        <f t="shared" si="28"/>
        <v>1678000</v>
      </c>
      <c r="H499" s="142"/>
      <c r="I499" s="143">
        <f t="shared" si="29"/>
        <v>1678000</v>
      </c>
      <c r="J499" s="144">
        <f t="shared" si="30"/>
        <v>1678000</v>
      </c>
      <c r="K499" s="145" t="s">
        <v>4232</v>
      </c>
      <c r="L499" s="146" t="s">
        <v>3320</v>
      </c>
      <c r="M499" s="140"/>
      <c r="N499" s="64" t="s">
        <v>4233</v>
      </c>
      <c r="O499" s="64" t="s">
        <v>2807</v>
      </c>
      <c r="P499" s="170"/>
      <c r="Q499" s="149"/>
      <c r="R499" s="141"/>
      <c r="S499" s="141"/>
      <c r="T499" s="141">
        <v>1678000.0</v>
      </c>
      <c r="U499" s="149"/>
      <c r="V499" s="149"/>
      <c r="W499" s="149"/>
      <c r="X499" s="64" t="s">
        <v>3191</v>
      </c>
      <c r="Y499" s="64"/>
      <c r="Z499" s="68"/>
    </row>
    <row r="500" ht="15.0" customHeight="1">
      <c r="A500" s="139">
        <v>45871.0</v>
      </c>
      <c r="B500" s="148" t="s">
        <v>4230</v>
      </c>
      <c r="C500" s="64" t="s">
        <v>2770</v>
      </c>
      <c r="D500" s="140" t="str">
        <f>IFERROR(VLOOKUP(C500,Stock,3,FALSE),"")</f>
        <v>Transport</v>
      </c>
      <c r="E500" s="64">
        <v>1.0</v>
      </c>
      <c r="F500" s="141">
        <v>100000.0</v>
      </c>
      <c r="G500" s="142">
        <f t="shared" si="28"/>
        <v>100000</v>
      </c>
      <c r="H500" s="142"/>
      <c r="I500" s="143">
        <f t="shared" si="29"/>
        <v>100000</v>
      </c>
      <c r="J500" s="144">
        <f t="shared" si="30"/>
        <v>100000</v>
      </c>
      <c r="K500" s="145" t="s">
        <v>4232</v>
      </c>
      <c r="L500" s="146" t="s">
        <v>3320</v>
      </c>
      <c r="M500" s="140"/>
      <c r="N500" s="64" t="s">
        <v>4233</v>
      </c>
      <c r="O500" s="64" t="s">
        <v>2807</v>
      </c>
      <c r="P500" s="170"/>
      <c r="Q500" s="149"/>
      <c r="R500" s="141"/>
      <c r="S500" s="141"/>
      <c r="T500" s="141">
        <v>100000.0</v>
      </c>
      <c r="U500" s="149"/>
      <c r="V500" s="149"/>
      <c r="W500" s="149"/>
      <c r="X500" s="64" t="s">
        <v>3191</v>
      </c>
      <c r="Y500" s="64"/>
      <c r="Z500" s="68"/>
    </row>
    <row r="501" ht="15.0" customHeight="1">
      <c r="A501" s="139">
        <v>45871.0</v>
      </c>
      <c r="B501" s="148" t="s">
        <v>4234</v>
      </c>
      <c r="C501" s="64" t="s">
        <v>3891</v>
      </c>
      <c r="D501" s="140" t="str">
        <f>IFERROR(VLOOKUP(C501,Stock,3,FALSE),"")</f>
        <v>Toyota Rush / Terios 06-17</v>
      </c>
      <c r="E501" s="64">
        <v>1.0</v>
      </c>
      <c r="F501" s="141">
        <v>950000.0</v>
      </c>
      <c r="G501" s="142">
        <f t="shared" si="28"/>
        <v>950000</v>
      </c>
      <c r="H501" s="142"/>
      <c r="I501" s="143">
        <f t="shared" si="29"/>
        <v>950000</v>
      </c>
      <c r="J501" s="144">
        <f t="shared" si="30"/>
        <v>950000</v>
      </c>
      <c r="K501" s="145" t="s">
        <v>4235</v>
      </c>
      <c r="L501" s="146" t="s">
        <v>4236</v>
      </c>
      <c r="M501" s="140"/>
      <c r="N501" s="64" t="s">
        <v>4237</v>
      </c>
      <c r="O501" s="64" t="s">
        <v>2813</v>
      </c>
      <c r="P501" s="170"/>
      <c r="Q501" s="149"/>
      <c r="R501" s="141"/>
      <c r="S501" s="141"/>
      <c r="T501" s="141">
        <v>950000.0</v>
      </c>
      <c r="U501" s="149"/>
      <c r="V501" s="149"/>
      <c r="W501" s="149"/>
      <c r="X501" s="64" t="s">
        <v>3191</v>
      </c>
      <c r="Y501" s="64"/>
      <c r="Z501" s="68"/>
    </row>
    <row r="502" ht="15.0" customHeight="1">
      <c r="A502" s="139">
        <v>45871.0</v>
      </c>
      <c r="B502" s="148" t="s">
        <v>4238</v>
      </c>
      <c r="C502" s="64" t="s">
        <v>4144</v>
      </c>
      <c r="D502" s="140" t="str">
        <f>IFERROR(VLOOKUP(C502,Stock,3,FALSE),"")</f>
        <v>Toyota Rush / Terios 06-17</v>
      </c>
      <c r="E502" s="64">
        <v>1.0</v>
      </c>
      <c r="F502" s="141">
        <v>1300000.0</v>
      </c>
      <c r="G502" s="142">
        <f t="shared" si="28"/>
        <v>1300000</v>
      </c>
      <c r="H502" s="142"/>
      <c r="I502" s="143">
        <f t="shared" si="29"/>
        <v>1300000</v>
      </c>
      <c r="J502" s="144">
        <f t="shared" si="30"/>
        <v>1300000</v>
      </c>
      <c r="K502" s="145" t="s">
        <v>4117</v>
      </c>
      <c r="L502" s="140"/>
      <c r="M502" s="140"/>
      <c r="N502" s="64" t="s">
        <v>4239</v>
      </c>
      <c r="O502" s="64" t="s">
        <v>2813</v>
      </c>
      <c r="P502" s="170"/>
      <c r="Q502" s="149"/>
      <c r="R502" s="141"/>
      <c r="S502" s="141"/>
      <c r="T502" s="141">
        <v>1300000.0</v>
      </c>
      <c r="U502" s="149"/>
      <c r="V502" s="149"/>
      <c r="W502" s="149"/>
      <c r="X502" s="64" t="s">
        <v>3191</v>
      </c>
      <c r="Y502" s="64"/>
      <c r="Z502" s="68"/>
    </row>
    <row r="503" ht="15.0" customHeight="1">
      <c r="A503" s="139">
        <v>45873.0</v>
      </c>
      <c r="B503" s="148" t="s">
        <v>4240</v>
      </c>
      <c r="C503" s="64" t="s">
        <v>3142</v>
      </c>
      <c r="D503" s="140" t="str">
        <f>IFERROR(VLOOKUP(C503,Stock,3,FALSE),"")</f>
        <v>Mitsubishi Xpander 17-</v>
      </c>
      <c r="E503" s="64">
        <v>1.0</v>
      </c>
      <c r="F503" s="141">
        <v>1595000.0</v>
      </c>
      <c r="G503" s="142">
        <f t="shared" si="28"/>
        <v>1595000</v>
      </c>
      <c r="H503" s="142"/>
      <c r="I503" s="143">
        <f t="shared" si="29"/>
        <v>1595000</v>
      </c>
      <c r="J503" s="144">
        <f t="shared" si="30"/>
        <v>1595000</v>
      </c>
      <c r="K503" s="145" t="s">
        <v>4241</v>
      </c>
      <c r="L503" s="146" t="s">
        <v>4242</v>
      </c>
      <c r="M503" s="140"/>
      <c r="N503" s="64" t="s">
        <v>4243</v>
      </c>
      <c r="O503" s="64" t="s">
        <v>2813</v>
      </c>
      <c r="P503" s="170"/>
      <c r="Q503" s="149"/>
      <c r="R503" s="141"/>
      <c r="S503" s="141"/>
      <c r="T503" s="141">
        <v>30000.0</v>
      </c>
      <c r="U503" s="149"/>
      <c r="V503" s="149"/>
      <c r="W503" s="149"/>
      <c r="X503" s="64" t="s">
        <v>3810</v>
      </c>
      <c r="Y503" s="64"/>
      <c r="Z503" s="68"/>
    </row>
    <row r="504" ht="15.0" customHeight="1">
      <c r="A504" s="139">
        <v>45873.0</v>
      </c>
      <c r="B504" s="148" t="s">
        <v>4240</v>
      </c>
      <c r="C504" s="64" t="s">
        <v>2770</v>
      </c>
      <c r="D504" s="140" t="str">
        <f>IFERROR(VLOOKUP(C504,Stock,3,FALSE),"")</f>
        <v>Transport</v>
      </c>
      <c r="E504" s="64">
        <v>1.0</v>
      </c>
      <c r="F504" s="141">
        <v>180000.0</v>
      </c>
      <c r="G504" s="142">
        <f t="shared" si="28"/>
        <v>180000</v>
      </c>
      <c r="H504" s="142"/>
      <c r="I504" s="143">
        <f t="shared" si="29"/>
        <v>180000</v>
      </c>
      <c r="J504" s="144">
        <f t="shared" si="30"/>
        <v>180000</v>
      </c>
      <c r="K504" s="145" t="s">
        <v>4241</v>
      </c>
      <c r="L504" s="146" t="s">
        <v>4242</v>
      </c>
      <c r="M504" s="140"/>
      <c r="N504" s="64" t="s">
        <v>4243</v>
      </c>
      <c r="O504" s="64" t="s">
        <v>2813</v>
      </c>
      <c r="P504" s="170"/>
      <c r="Q504" s="149"/>
      <c r="R504" s="141"/>
      <c r="S504" s="141"/>
      <c r="T504" s="141">
        <v>1745000.0</v>
      </c>
      <c r="U504" s="149"/>
      <c r="V504" s="149"/>
      <c r="W504" s="149"/>
      <c r="X504" s="64" t="s">
        <v>3810</v>
      </c>
      <c r="Y504" s="64"/>
      <c r="Z504" s="68"/>
    </row>
    <row r="505" ht="15.0" customHeight="1">
      <c r="A505" s="139">
        <v>45873.0</v>
      </c>
      <c r="B505" s="148" t="s">
        <v>4244</v>
      </c>
      <c r="C505" s="64" t="s">
        <v>3727</v>
      </c>
      <c r="D505" s="140" t="str">
        <f>IFERROR(VLOOKUP(C505,Stock,3,FALSE),"")</f>
        <v>Toyota Innova 15- 2nd Gen</v>
      </c>
      <c r="E505" s="64">
        <v>1.0</v>
      </c>
      <c r="F505" s="141">
        <v>1699000.0</v>
      </c>
      <c r="G505" s="142">
        <f t="shared" si="28"/>
        <v>1699000</v>
      </c>
      <c r="H505" s="142"/>
      <c r="I505" s="143">
        <f t="shared" si="29"/>
        <v>1699000</v>
      </c>
      <c r="J505" s="144">
        <f t="shared" si="30"/>
        <v>1699000</v>
      </c>
      <c r="K505" s="145" t="s">
        <v>4245</v>
      </c>
      <c r="L505" s="146" t="s">
        <v>4246</v>
      </c>
      <c r="M505" s="140"/>
      <c r="N505" s="64" t="s">
        <v>4247</v>
      </c>
      <c r="O505" s="64" t="s">
        <v>2813</v>
      </c>
      <c r="P505" s="170"/>
      <c r="Q505" s="149"/>
      <c r="R505" s="141"/>
      <c r="S505" s="141"/>
      <c r="T505" s="141">
        <v>1699000.0</v>
      </c>
      <c r="U505" s="149"/>
      <c r="V505" s="149"/>
      <c r="W505" s="149"/>
      <c r="X505" s="64" t="s">
        <v>3810</v>
      </c>
      <c r="Y505" s="64"/>
      <c r="Z505" s="68"/>
    </row>
    <row r="506" ht="15.0" customHeight="1">
      <c r="A506" s="139">
        <v>45873.0</v>
      </c>
      <c r="B506" s="148" t="s">
        <v>4248</v>
      </c>
      <c r="C506" s="195" t="s">
        <v>3225</v>
      </c>
      <c r="D506" s="140" t="str">
        <f>IFERROR(VLOOKUP(C506,Stock,3,FALSE),"")</f>
        <v>Toyota Rush / Terios 18-</v>
      </c>
      <c r="E506" s="64">
        <v>1.0</v>
      </c>
      <c r="F506" s="149"/>
      <c r="G506" s="142">
        <f t="shared" si="28"/>
        <v>0</v>
      </c>
      <c r="H506" s="142"/>
      <c r="I506" s="143">
        <f t="shared" si="29"/>
        <v>0</v>
      </c>
      <c r="J506" s="144">
        <f t="shared" si="30"/>
        <v>0</v>
      </c>
      <c r="K506" s="145" t="s">
        <v>4175</v>
      </c>
      <c r="L506" s="140"/>
      <c r="M506" s="140"/>
      <c r="N506" s="68"/>
      <c r="O506" s="64" t="s">
        <v>2813</v>
      </c>
      <c r="P506" s="170"/>
      <c r="Q506" s="149"/>
      <c r="R506" s="149"/>
      <c r="S506" s="149"/>
      <c r="T506" s="149"/>
      <c r="U506" s="149"/>
      <c r="V506" s="149"/>
      <c r="W506" s="149"/>
      <c r="X506" s="64" t="s">
        <v>3810</v>
      </c>
      <c r="Y506" s="64"/>
      <c r="Z506" s="68"/>
    </row>
    <row r="507" ht="15.0" customHeight="1">
      <c r="A507" s="139">
        <v>45873.0</v>
      </c>
      <c r="B507" s="148" t="s">
        <v>4248</v>
      </c>
      <c r="C507" s="148" t="s">
        <v>4249</v>
      </c>
      <c r="D507" s="140" t="str">
        <f>IFERROR(VLOOKUP(C507,Stock,3,FALSE),"")</f>
        <v/>
      </c>
      <c r="E507" s="64">
        <v>1.0</v>
      </c>
      <c r="F507" s="149"/>
      <c r="G507" s="142">
        <f t="shared" si="28"/>
        <v>0</v>
      </c>
      <c r="H507" s="142"/>
      <c r="I507" s="143">
        <f t="shared" si="29"/>
        <v>0</v>
      </c>
      <c r="J507" s="144">
        <f t="shared" si="30"/>
        <v>0</v>
      </c>
      <c r="K507" s="145" t="s">
        <v>4175</v>
      </c>
      <c r="L507" s="140"/>
      <c r="M507" s="140"/>
      <c r="N507" s="68"/>
      <c r="O507" s="64" t="s">
        <v>2813</v>
      </c>
      <c r="P507" s="170"/>
      <c r="Q507" s="149"/>
      <c r="R507" s="149"/>
      <c r="S507" s="149"/>
      <c r="T507" s="149"/>
      <c r="U507" s="149"/>
      <c r="V507" s="149"/>
      <c r="W507" s="149"/>
      <c r="X507" s="64" t="s">
        <v>3810</v>
      </c>
      <c r="Y507" s="64"/>
      <c r="Z507" s="68"/>
    </row>
    <row r="508" ht="15.0" customHeight="1">
      <c r="A508" s="139">
        <v>45873.0</v>
      </c>
      <c r="B508" s="148" t="s">
        <v>4248</v>
      </c>
      <c r="C508" s="64" t="s">
        <v>4250</v>
      </c>
      <c r="D508" s="140" t="str">
        <f>IFERROR(VLOOKUP(C508,Stock,3,FALSE),"")</f>
        <v/>
      </c>
      <c r="E508" s="64">
        <v>12.0</v>
      </c>
      <c r="F508" s="149"/>
      <c r="G508" s="142">
        <f t="shared" si="28"/>
        <v>0</v>
      </c>
      <c r="H508" s="142"/>
      <c r="I508" s="143">
        <f t="shared" si="29"/>
        <v>0</v>
      </c>
      <c r="J508" s="144">
        <f t="shared" si="30"/>
        <v>0</v>
      </c>
      <c r="K508" s="145" t="s">
        <v>4175</v>
      </c>
      <c r="L508" s="140"/>
      <c r="M508" s="140"/>
      <c r="N508" s="68"/>
      <c r="O508" s="64" t="s">
        <v>2813</v>
      </c>
      <c r="P508" s="170"/>
      <c r="Q508" s="149"/>
      <c r="R508" s="149"/>
      <c r="S508" s="149"/>
      <c r="T508" s="149"/>
      <c r="U508" s="149"/>
      <c r="V508" s="149"/>
      <c r="W508" s="149"/>
      <c r="X508" s="64" t="s">
        <v>3810</v>
      </c>
      <c r="Y508" s="64"/>
      <c r="Z508" s="68"/>
    </row>
    <row r="509" ht="15.0" customHeight="1">
      <c r="A509" s="139">
        <v>45873.0</v>
      </c>
      <c r="B509" s="148" t="s">
        <v>4248</v>
      </c>
      <c r="C509" s="64" t="s">
        <v>4251</v>
      </c>
      <c r="D509" s="140" t="str">
        <f>IFERROR(VLOOKUP(C509,Stock,3,FALSE),"")</f>
        <v/>
      </c>
      <c r="E509" s="64">
        <v>5.0</v>
      </c>
      <c r="F509" s="149"/>
      <c r="G509" s="142">
        <f t="shared" si="28"/>
        <v>0</v>
      </c>
      <c r="H509" s="142"/>
      <c r="I509" s="143">
        <f t="shared" si="29"/>
        <v>0</v>
      </c>
      <c r="J509" s="144">
        <f t="shared" si="30"/>
        <v>0</v>
      </c>
      <c r="K509" s="145" t="s">
        <v>4175</v>
      </c>
      <c r="L509" s="140"/>
      <c r="M509" s="140"/>
      <c r="N509" s="68"/>
      <c r="O509" s="64" t="s">
        <v>2813</v>
      </c>
      <c r="P509" s="170"/>
      <c r="Q509" s="149"/>
      <c r="R509" s="149"/>
      <c r="S509" s="149"/>
      <c r="T509" s="149"/>
      <c r="U509" s="149"/>
      <c r="V509" s="149"/>
      <c r="W509" s="149"/>
      <c r="X509" s="64" t="s">
        <v>3810</v>
      </c>
      <c r="Y509" s="64"/>
      <c r="Z509" s="68"/>
    </row>
    <row r="510" ht="15.0" customHeight="1">
      <c r="A510" s="139">
        <v>45874.0</v>
      </c>
      <c r="B510" s="148" t="s">
        <v>4252</v>
      </c>
      <c r="C510" s="64" t="s">
        <v>2792</v>
      </c>
      <c r="D510" s="140" t="str">
        <f>IFERROR(VLOOKUP(C510,Stock,3,FALSE),"")</f>
        <v>Toyota Calya / Sigra 16-</v>
      </c>
      <c r="E510" s="64">
        <v>1.0</v>
      </c>
      <c r="F510" s="141">
        <v>950000.0</v>
      </c>
      <c r="G510" s="142">
        <f t="shared" si="28"/>
        <v>950000</v>
      </c>
      <c r="H510" s="142"/>
      <c r="I510" s="143">
        <f t="shared" si="29"/>
        <v>950000</v>
      </c>
      <c r="J510" s="144">
        <f t="shared" si="30"/>
        <v>950000</v>
      </c>
      <c r="K510" s="145" t="s">
        <v>4253</v>
      </c>
      <c r="L510" s="146" t="s">
        <v>4254</v>
      </c>
      <c r="M510" s="140"/>
      <c r="N510" s="64" t="s">
        <v>4255</v>
      </c>
      <c r="O510" s="64" t="s">
        <v>2813</v>
      </c>
      <c r="P510" s="170"/>
      <c r="Q510" s="141">
        <v>950000.0</v>
      </c>
      <c r="R510" s="149"/>
      <c r="S510" s="149"/>
      <c r="T510" s="149"/>
      <c r="U510" s="149"/>
      <c r="V510" s="149"/>
      <c r="W510" s="149"/>
      <c r="X510" s="64" t="s">
        <v>3810</v>
      </c>
      <c r="Y510" s="64"/>
      <c r="Z510" s="68"/>
    </row>
    <row r="511" ht="15.0" customHeight="1">
      <c r="A511" s="139">
        <v>45874.0</v>
      </c>
      <c r="B511" s="148" t="s">
        <v>4256</v>
      </c>
      <c r="C511" s="64" t="s">
        <v>4257</v>
      </c>
      <c r="D511" s="140" t="str">
        <f>IFERROR(VLOOKUP(C511,Stock,3,FALSE),"")</f>
        <v>Toyota LandCruiser Prado FJ150W 09-</v>
      </c>
      <c r="E511" s="64">
        <v>1.0</v>
      </c>
      <c r="F511" s="141">
        <v>3276000.0</v>
      </c>
      <c r="G511" s="142">
        <f t="shared" si="28"/>
        <v>3276000</v>
      </c>
      <c r="H511" s="142"/>
      <c r="I511" s="143">
        <f t="shared" si="29"/>
        <v>3276000</v>
      </c>
      <c r="J511" s="144">
        <f t="shared" si="30"/>
        <v>3276000</v>
      </c>
      <c r="K511" s="145" t="s">
        <v>4258</v>
      </c>
      <c r="L511" s="146" t="s">
        <v>4259</v>
      </c>
      <c r="M511" s="140"/>
      <c r="N511" s="64" t="s">
        <v>4260</v>
      </c>
      <c r="O511" s="64" t="s">
        <v>2813</v>
      </c>
      <c r="P511" s="170"/>
      <c r="Q511" s="149"/>
      <c r="R511" s="141"/>
      <c r="S511" s="141"/>
      <c r="T511" s="141">
        <v>3276000.0</v>
      </c>
      <c r="U511" s="149"/>
      <c r="V511" s="149"/>
      <c r="W511" s="149"/>
      <c r="X511" s="64" t="s">
        <v>3810</v>
      </c>
      <c r="Y511" s="64"/>
      <c r="Z511" s="68"/>
    </row>
    <row r="512" ht="15.0" customHeight="1">
      <c r="A512" s="139">
        <v>45874.0</v>
      </c>
      <c r="B512" s="148" t="s">
        <v>4261</v>
      </c>
      <c r="C512" s="64" t="s">
        <v>4262</v>
      </c>
      <c r="D512" s="140" t="str">
        <f>IFERROR(VLOOKUP(C512,Stock,3,FALSE),"")</f>
        <v>Toyota Avanza / Xenia 11-15 2nd Gen / 15-21 3rd Gen</v>
      </c>
      <c r="E512" s="64">
        <v>1.0</v>
      </c>
      <c r="F512" s="141">
        <v>555000.0</v>
      </c>
      <c r="G512" s="142">
        <f t="shared" si="28"/>
        <v>555000</v>
      </c>
      <c r="H512" s="142"/>
      <c r="I512" s="143">
        <f t="shared" si="29"/>
        <v>555000</v>
      </c>
      <c r="J512" s="144">
        <f t="shared" si="30"/>
        <v>555000</v>
      </c>
      <c r="K512" s="145" t="s">
        <v>4263</v>
      </c>
      <c r="L512" s="146" t="s">
        <v>4264</v>
      </c>
      <c r="M512" s="140"/>
      <c r="N512" s="64" t="s">
        <v>4265</v>
      </c>
      <c r="O512" s="64" t="s">
        <v>2813</v>
      </c>
      <c r="P512" s="170"/>
      <c r="Q512" s="149"/>
      <c r="R512" s="141"/>
      <c r="S512" s="141"/>
      <c r="T512" s="141">
        <v>555000.0</v>
      </c>
      <c r="U512" s="149"/>
      <c r="V512" s="149"/>
      <c r="W512" s="149"/>
      <c r="X512" s="64" t="s">
        <v>3810</v>
      </c>
      <c r="Y512" s="64"/>
      <c r="Z512" s="68"/>
    </row>
    <row r="513" ht="15.0" customHeight="1">
      <c r="A513" s="139">
        <v>45874.0</v>
      </c>
      <c r="B513" s="148" t="s">
        <v>4266</v>
      </c>
      <c r="C513" s="64" t="s">
        <v>4267</v>
      </c>
      <c r="D513" s="140" t="str">
        <f>IFERROR(VLOOKUP(C513,Stock,3,FALSE),"")</f>
        <v>Honda Mobilio 14- / Honda BR-V 16-21</v>
      </c>
      <c r="E513" s="64">
        <v>1.0</v>
      </c>
      <c r="F513" s="141">
        <v>500000.0</v>
      </c>
      <c r="G513" s="142">
        <f t="shared" si="28"/>
        <v>500000</v>
      </c>
      <c r="H513" s="142"/>
      <c r="I513" s="143">
        <f t="shared" si="29"/>
        <v>500000</v>
      </c>
      <c r="J513" s="144">
        <f t="shared" si="30"/>
        <v>500000</v>
      </c>
      <c r="K513" s="145" t="s">
        <v>4268</v>
      </c>
      <c r="L513" s="146" t="s">
        <v>4269</v>
      </c>
      <c r="M513" s="140"/>
      <c r="N513" s="64" t="s">
        <v>4270</v>
      </c>
      <c r="O513" s="64" t="s">
        <v>2813</v>
      </c>
      <c r="P513" s="170"/>
      <c r="Q513" s="149"/>
      <c r="R513" s="141"/>
      <c r="S513" s="141"/>
      <c r="T513" s="141">
        <v>500000.0</v>
      </c>
      <c r="U513" s="149"/>
      <c r="V513" s="149"/>
      <c r="W513" s="149"/>
      <c r="X513" s="64" t="s">
        <v>3810</v>
      </c>
      <c r="Y513" s="64"/>
      <c r="Z513" s="68"/>
    </row>
    <row r="514" ht="15.0" customHeight="1">
      <c r="A514" s="139">
        <v>45874.0</v>
      </c>
      <c r="B514" s="148" t="s">
        <v>4271</v>
      </c>
      <c r="C514" s="64" t="s">
        <v>4272</v>
      </c>
      <c r="D514" s="140" t="str">
        <f>IFERROR(VLOOKUP(C514,Stock,3,FALSE),"")</f>
        <v>Kia Picanto 04-11 1st Gen</v>
      </c>
      <c r="E514" s="64">
        <v>1.0</v>
      </c>
      <c r="F514" s="141">
        <v>885000.0</v>
      </c>
      <c r="G514" s="142">
        <f t="shared" si="28"/>
        <v>885000</v>
      </c>
      <c r="H514" s="142"/>
      <c r="I514" s="143">
        <f t="shared" si="29"/>
        <v>885000</v>
      </c>
      <c r="J514" s="144">
        <f t="shared" si="30"/>
        <v>885000</v>
      </c>
      <c r="K514" s="145" t="s">
        <v>4273</v>
      </c>
      <c r="L514" s="146" t="s">
        <v>4274</v>
      </c>
      <c r="M514" s="140"/>
      <c r="N514" s="64" t="s">
        <v>4275</v>
      </c>
      <c r="O514" s="64" t="s">
        <v>2813</v>
      </c>
      <c r="P514" s="170"/>
      <c r="Q514" s="149"/>
      <c r="R514" s="141"/>
      <c r="S514" s="141"/>
      <c r="T514" s="141">
        <v>30000.0</v>
      </c>
      <c r="U514" s="149"/>
      <c r="V514" s="149"/>
      <c r="W514" s="149"/>
      <c r="X514" s="64" t="s">
        <v>3810</v>
      </c>
      <c r="Y514" s="64"/>
      <c r="Z514" s="68"/>
    </row>
    <row r="515" ht="15.0" customHeight="1">
      <c r="A515" s="139">
        <v>45874.0</v>
      </c>
      <c r="B515" s="148" t="s">
        <v>4271</v>
      </c>
      <c r="C515" s="64" t="s">
        <v>2770</v>
      </c>
      <c r="D515" s="140" t="str">
        <f>IFERROR(VLOOKUP(C515,Stock,3,FALSE),"")</f>
        <v>Transport</v>
      </c>
      <c r="E515" s="64">
        <v>1.0</v>
      </c>
      <c r="F515" s="141">
        <v>200000.0</v>
      </c>
      <c r="G515" s="142">
        <f t="shared" si="28"/>
        <v>200000</v>
      </c>
      <c r="H515" s="142"/>
      <c r="I515" s="143">
        <f t="shared" si="29"/>
        <v>200000</v>
      </c>
      <c r="J515" s="144">
        <f t="shared" si="30"/>
        <v>200000</v>
      </c>
      <c r="K515" s="145" t="s">
        <v>4273</v>
      </c>
      <c r="L515" s="146" t="s">
        <v>4274</v>
      </c>
      <c r="M515" s="140"/>
      <c r="N515" s="64" t="s">
        <v>4275</v>
      </c>
      <c r="O515" s="64" t="s">
        <v>2813</v>
      </c>
      <c r="P515" s="170"/>
      <c r="Q515" s="149"/>
      <c r="R515" s="149"/>
      <c r="S515" s="149"/>
      <c r="T515" s="149"/>
      <c r="U515" s="149"/>
      <c r="V515" s="149"/>
      <c r="W515" s="149"/>
      <c r="X515" s="64" t="s">
        <v>3810</v>
      </c>
      <c r="Y515" s="64"/>
      <c r="Z515" s="68"/>
    </row>
    <row r="516" ht="15.0" customHeight="1">
      <c r="A516" s="139">
        <v>45874.0</v>
      </c>
      <c r="B516" s="148" t="s">
        <v>4276</v>
      </c>
      <c r="C516" s="64" t="s">
        <v>4277</v>
      </c>
      <c r="D516" s="140" t="str">
        <f>IFERROR(VLOOKUP(C516,Stock,3,FALSE),"")</f>
        <v>Toyota Fortuner 15-  2nd Gen</v>
      </c>
      <c r="E516" s="64">
        <v>1.0</v>
      </c>
      <c r="F516" s="141">
        <v>785000.0</v>
      </c>
      <c r="G516" s="142">
        <f t="shared" si="28"/>
        <v>785000</v>
      </c>
      <c r="H516" s="142"/>
      <c r="I516" s="143">
        <f t="shared" si="29"/>
        <v>785000</v>
      </c>
      <c r="J516" s="144">
        <f t="shared" si="30"/>
        <v>785000</v>
      </c>
      <c r="K516" s="145" t="s">
        <v>4278</v>
      </c>
      <c r="L516" s="146" t="s">
        <v>4279</v>
      </c>
      <c r="M516" s="140"/>
      <c r="N516" s="64" t="s">
        <v>4280</v>
      </c>
      <c r="O516" s="64" t="s">
        <v>2813</v>
      </c>
      <c r="P516" s="170"/>
      <c r="Q516" s="149"/>
      <c r="R516" s="141"/>
      <c r="S516" s="141"/>
      <c r="T516" s="141">
        <v>120000.0</v>
      </c>
      <c r="U516" s="149"/>
      <c r="V516" s="149"/>
      <c r="W516" s="149"/>
      <c r="X516" s="64" t="s">
        <v>3810</v>
      </c>
      <c r="Y516" s="64"/>
      <c r="Z516" s="68"/>
    </row>
    <row r="517" ht="15.0" customHeight="1">
      <c r="A517" s="139">
        <v>45874.0</v>
      </c>
      <c r="B517" s="148" t="s">
        <v>4276</v>
      </c>
      <c r="C517" s="64" t="s">
        <v>2770</v>
      </c>
      <c r="D517" s="140" t="str">
        <f>IFERROR(VLOOKUP(C517,Stock,3,FALSE),"")</f>
        <v>Transport</v>
      </c>
      <c r="E517" s="64">
        <v>1.0</v>
      </c>
      <c r="F517" s="141">
        <v>120000.0</v>
      </c>
      <c r="G517" s="142">
        <f t="shared" si="28"/>
        <v>120000</v>
      </c>
      <c r="H517" s="142"/>
      <c r="I517" s="143">
        <f t="shared" si="29"/>
        <v>120000</v>
      </c>
      <c r="J517" s="144">
        <f t="shared" si="30"/>
        <v>120000</v>
      </c>
      <c r="K517" s="145" t="s">
        <v>4278</v>
      </c>
      <c r="L517" s="146" t="s">
        <v>4279</v>
      </c>
      <c r="M517" s="140"/>
      <c r="N517" s="64" t="s">
        <v>4280</v>
      </c>
      <c r="O517" s="64" t="s">
        <v>2813</v>
      </c>
      <c r="P517" s="170"/>
      <c r="Q517" s="149"/>
      <c r="R517" s="141"/>
      <c r="S517" s="141"/>
      <c r="T517" s="141">
        <v>785000.0</v>
      </c>
      <c r="U517" s="149"/>
      <c r="V517" s="149"/>
      <c r="W517" s="149"/>
      <c r="X517" s="64" t="s">
        <v>3810</v>
      </c>
      <c r="Y517" s="64"/>
      <c r="Z517" s="68"/>
    </row>
    <row r="518" ht="15.0" customHeight="1">
      <c r="A518" s="139">
        <v>45875.0</v>
      </c>
      <c r="B518" s="148" t="s">
        <v>4281</v>
      </c>
      <c r="C518" s="64" t="s">
        <v>4282</v>
      </c>
      <c r="D518" s="140" t="str">
        <f>IFERROR(VLOOKUP(C518,Stock,3,FALSE),"")</f>
        <v>Mazda CX-5 12-17 1st Gen KE</v>
      </c>
      <c r="E518" s="64">
        <v>1.0</v>
      </c>
      <c r="F518" s="141">
        <v>975000.0</v>
      </c>
      <c r="G518" s="142">
        <f t="shared" si="28"/>
        <v>975000</v>
      </c>
      <c r="H518" s="142"/>
      <c r="I518" s="143">
        <f t="shared" si="29"/>
        <v>975000</v>
      </c>
      <c r="J518" s="144">
        <f t="shared" si="30"/>
        <v>975000</v>
      </c>
      <c r="K518" s="145" t="s">
        <v>4283</v>
      </c>
      <c r="L518" s="146" t="s">
        <v>4284</v>
      </c>
      <c r="M518" s="140"/>
      <c r="N518" s="64" t="s">
        <v>4285</v>
      </c>
      <c r="O518" s="64" t="s">
        <v>2813</v>
      </c>
      <c r="P518" s="170"/>
      <c r="Q518" s="149"/>
      <c r="R518" s="141"/>
      <c r="S518" s="141"/>
      <c r="T518" s="141">
        <v>975000.0</v>
      </c>
      <c r="U518" s="149"/>
      <c r="V518" s="149"/>
      <c r="W518" s="149"/>
      <c r="X518" s="64" t="s">
        <v>3810</v>
      </c>
      <c r="Y518" s="64"/>
      <c r="Z518" s="68"/>
    </row>
    <row r="519" ht="15.0" customHeight="1">
      <c r="A519" s="139">
        <v>45875.0</v>
      </c>
      <c r="B519" s="148" t="s">
        <v>4286</v>
      </c>
      <c r="C519" s="64" t="s">
        <v>4287</v>
      </c>
      <c r="D519" s="140" t="str">
        <f>IFERROR(VLOOKUP(C519,Stock,3,FALSE),"")</f>
        <v>Toyota Altis 18- E210 12th Gen</v>
      </c>
      <c r="E519" s="64">
        <v>1.0</v>
      </c>
      <c r="F519" s="141">
        <v>2450000.0</v>
      </c>
      <c r="G519" s="142">
        <f t="shared" si="28"/>
        <v>2450000</v>
      </c>
      <c r="H519" s="142"/>
      <c r="I519" s="143">
        <f t="shared" si="29"/>
        <v>2450000</v>
      </c>
      <c r="J519" s="144">
        <f t="shared" si="30"/>
        <v>2450000</v>
      </c>
      <c r="K519" s="145" t="s">
        <v>4288</v>
      </c>
      <c r="L519" s="146" t="s">
        <v>4289</v>
      </c>
      <c r="M519" s="140"/>
      <c r="N519" s="64" t="s">
        <v>4290</v>
      </c>
      <c r="O519" s="64" t="s">
        <v>2813</v>
      </c>
      <c r="P519" s="170"/>
      <c r="Q519" s="149"/>
      <c r="R519" s="141"/>
      <c r="S519" s="141"/>
      <c r="T519" s="141">
        <v>30000.0</v>
      </c>
      <c r="U519" s="149"/>
      <c r="V519" s="149"/>
      <c r="W519" s="149"/>
      <c r="X519" s="64" t="s">
        <v>3810</v>
      </c>
      <c r="Y519" s="64"/>
      <c r="Z519" s="68"/>
    </row>
    <row r="520" ht="15.0" customHeight="1">
      <c r="A520" s="139">
        <v>45875.0</v>
      </c>
      <c r="B520" s="148" t="s">
        <v>4286</v>
      </c>
      <c r="C520" s="64" t="s">
        <v>2770</v>
      </c>
      <c r="D520" s="140" t="str">
        <f>IFERROR(VLOOKUP(C520,Stock,3,FALSE),"")</f>
        <v>Transport</v>
      </c>
      <c r="E520" s="64">
        <v>1.0</v>
      </c>
      <c r="F520" s="141">
        <v>80000.0</v>
      </c>
      <c r="G520" s="142">
        <f t="shared" si="28"/>
        <v>80000</v>
      </c>
      <c r="H520" s="142"/>
      <c r="I520" s="143">
        <f t="shared" si="29"/>
        <v>80000</v>
      </c>
      <c r="J520" s="144">
        <f t="shared" si="30"/>
        <v>80000</v>
      </c>
      <c r="K520" s="145" t="s">
        <v>4288</v>
      </c>
      <c r="L520" s="146" t="s">
        <v>4289</v>
      </c>
      <c r="M520" s="140"/>
      <c r="N520" s="64" t="s">
        <v>4290</v>
      </c>
      <c r="O520" s="64" t="s">
        <v>2813</v>
      </c>
      <c r="P520" s="170"/>
      <c r="Q520" s="149"/>
      <c r="R520" s="141"/>
      <c r="S520" s="141"/>
      <c r="T520" s="141">
        <v>2500000.0</v>
      </c>
      <c r="U520" s="149"/>
      <c r="V520" s="149"/>
      <c r="W520" s="149"/>
      <c r="X520" s="64" t="s">
        <v>3810</v>
      </c>
      <c r="Y520" s="64"/>
      <c r="Z520" s="68"/>
    </row>
    <row r="521" ht="15.0" customHeight="1">
      <c r="A521" s="139">
        <v>45875.0</v>
      </c>
      <c r="B521" s="148" t="s">
        <v>4291</v>
      </c>
      <c r="C521" s="64" t="s">
        <v>4292</v>
      </c>
      <c r="D521" s="140" t="str">
        <f>IFERROR(VLOOKUP(C521,Stock,3,FALSE),"")</f>
        <v>Honda BR-V 22- 2nd Gen / WRV 23- (Honda)</v>
      </c>
      <c r="E521" s="64">
        <v>1.0</v>
      </c>
      <c r="F521" s="141">
        <v>2678000.0</v>
      </c>
      <c r="G521" s="142">
        <f t="shared" si="28"/>
        <v>2678000</v>
      </c>
      <c r="H521" s="142"/>
      <c r="I521" s="143">
        <f t="shared" si="29"/>
        <v>2678000</v>
      </c>
      <c r="J521" s="144">
        <f t="shared" si="30"/>
        <v>2678000</v>
      </c>
      <c r="K521" s="145" t="s">
        <v>4293</v>
      </c>
      <c r="L521" s="146" t="s">
        <v>4294</v>
      </c>
      <c r="M521" s="140"/>
      <c r="N521" s="64" t="s">
        <v>4295</v>
      </c>
      <c r="O521" s="64" t="s">
        <v>2813</v>
      </c>
      <c r="P521" s="170"/>
      <c r="Q521" s="149"/>
      <c r="R521" s="141"/>
      <c r="S521" s="141"/>
      <c r="T521" s="141">
        <v>30000.0</v>
      </c>
      <c r="U521" s="149"/>
      <c r="V521" s="149"/>
      <c r="W521" s="149"/>
      <c r="X521" s="64" t="s">
        <v>3810</v>
      </c>
      <c r="Y521" s="64"/>
      <c r="Z521" s="68"/>
    </row>
    <row r="522" ht="15.0" customHeight="1">
      <c r="A522" s="139">
        <v>45875.0</v>
      </c>
      <c r="B522" s="148" t="s">
        <v>4291</v>
      </c>
      <c r="C522" s="64" t="s">
        <v>2770</v>
      </c>
      <c r="D522" s="140" t="str">
        <f>IFERROR(VLOOKUP(C522,Stock,3,FALSE),"")</f>
        <v>Transport</v>
      </c>
      <c r="E522" s="64">
        <v>1.0</v>
      </c>
      <c r="F522" s="141">
        <v>80000.0</v>
      </c>
      <c r="G522" s="142">
        <f t="shared" si="28"/>
        <v>80000</v>
      </c>
      <c r="H522" s="142"/>
      <c r="I522" s="143">
        <f t="shared" si="29"/>
        <v>80000</v>
      </c>
      <c r="J522" s="144">
        <f t="shared" si="30"/>
        <v>80000</v>
      </c>
      <c r="K522" s="145" t="s">
        <v>4293</v>
      </c>
      <c r="L522" s="146" t="s">
        <v>4294</v>
      </c>
      <c r="M522" s="140"/>
      <c r="N522" s="64" t="s">
        <v>4295</v>
      </c>
      <c r="O522" s="64" t="s">
        <v>2813</v>
      </c>
      <c r="P522" s="170"/>
      <c r="Q522" s="149"/>
      <c r="R522" s="141"/>
      <c r="S522" s="141"/>
      <c r="T522" s="141">
        <v>4103000.0</v>
      </c>
      <c r="U522" s="149"/>
      <c r="V522" s="149"/>
      <c r="W522" s="149"/>
      <c r="X522" s="64" t="s">
        <v>3810</v>
      </c>
      <c r="Y522" s="64"/>
      <c r="Z522" s="68"/>
    </row>
    <row r="523" ht="15.0" customHeight="1">
      <c r="A523" s="139">
        <v>45875.0</v>
      </c>
      <c r="B523" s="148" t="s">
        <v>4291</v>
      </c>
      <c r="C523" s="64" t="s">
        <v>4017</v>
      </c>
      <c r="D523" s="140" t="str">
        <f>IFERROR(VLOOKUP(C523,Stock,3,FALSE),"")</f>
        <v>Black Phantom Solar Gard</v>
      </c>
      <c r="E523" s="64">
        <v>1.0</v>
      </c>
      <c r="F523" s="141">
        <v>1375000.0</v>
      </c>
      <c r="G523" s="142">
        <f t="shared" si="28"/>
        <v>1375000</v>
      </c>
      <c r="H523" s="142"/>
      <c r="I523" s="143">
        <f t="shared" si="29"/>
        <v>1375000</v>
      </c>
      <c r="J523" s="144">
        <f t="shared" si="30"/>
        <v>1375000</v>
      </c>
      <c r="K523" s="145" t="s">
        <v>4293</v>
      </c>
      <c r="L523" s="146" t="s">
        <v>4294</v>
      </c>
      <c r="M523" s="68"/>
      <c r="N523" s="64" t="s">
        <v>4295</v>
      </c>
      <c r="O523" s="64" t="s">
        <v>2813</v>
      </c>
      <c r="P523" s="170"/>
      <c r="Q523" s="68"/>
      <c r="R523" s="68"/>
      <c r="S523" s="68"/>
      <c r="T523" s="68"/>
      <c r="U523" s="68"/>
      <c r="V523" s="68"/>
      <c r="W523" s="68"/>
      <c r="X523" s="64" t="s">
        <v>3810</v>
      </c>
      <c r="Y523" s="64"/>
      <c r="Z523" s="68"/>
    </row>
    <row r="524" ht="15.0" customHeight="1">
      <c r="A524" s="139">
        <v>45875.0</v>
      </c>
      <c r="B524" s="148" t="s">
        <v>4296</v>
      </c>
      <c r="C524" s="64" t="s">
        <v>4297</v>
      </c>
      <c r="D524" s="140" t="str">
        <f>IFERROR(VLOOKUP(C524,Stock,3,FALSE),"")</f>
        <v>Mers-Benz E-Class 09-16 W212 (1 Sensor/ □)</v>
      </c>
      <c r="E524" s="64">
        <v>1.0</v>
      </c>
      <c r="F524" s="141">
        <v>4250000.0</v>
      </c>
      <c r="G524" s="142">
        <f t="shared" si="28"/>
        <v>4250000</v>
      </c>
      <c r="H524" s="142"/>
      <c r="I524" s="143">
        <f t="shared" si="29"/>
        <v>4250000</v>
      </c>
      <c r="J524" s="144">
        <f t="shared" si="30"/>
        <v>4250000</v>
      </c>
      <c r="K524" s="145" t="s">
        <v>4298</v>
      </c>
      <c r="L524" s="146" t="s">
        <v>4299</v>
      </c>
      <c r="M524" s="140"/>
      <c r="N524" s="64" t="s">
        <v>4300</v>
      </c>
      <c r="O524" s="64" t="s">
        <v>2813</v>
      </c>
      <c r="P524" s="170"/>
      <c r="Q524" s="149"/>
      <c r="R524" s="141"/>
      <c r="S524" s="141"/>
      <c r="T524" s="141">
        <v>4250000.0</v>
      </c>
      <c r="U524" s="149"/>
      <c r="V524" s="149"/>
      <c r="W524" s="149"/>
      <c r="X524" s="64" t="s">
        <v>3810</v>
      </c>
      <c r="Y524" s="64"/>
      <c r="Z524" s="68"/>
    </row>
    <row r="525" ht="15.0" customHeight="1">
      <c r="A525" s="139">
        <v>45875.0</v>
      </c>
      <c r="B525" s="148" t="s">
        <v>4301</v>
      </c>
      <c r="C525" s="195" t="s">
        <v>4302</v>
      </c>
      <c r="D525" s="140" t="str">
        <f>IFERROR(VLOOKUP(C525,Stock,3,FALSE),"")</f>
        <v>Mitsubishi Fuso Super Great FV100 96-</v>
      </c>
      <c r="E525" s="64">
        <v>1.0</v>
      </c>
      <c r="F525" s="149"/>
      <c r="G525" s="142">
        <f t="shared" si="28"/>
        <v>0</v>
      </c>
      <c r="H525" s="142"/>
      <c r="I525" s="143">
        <f t="shared" si="29"/>
        <v>0</v>
      </c>
      <c r="J525" s="144">
        <f t="shared" si="30"/>
        <v>0</v>
      </c>
      <c r="K525" s="145" t="s">
        <v>4175</v>
      </c>
      <c r="L525" s="140"/>
      <c r="M525" s="140"/>
      <c r="N525" s="68"/>
      <c r="O525" s="64" t="s">
        <v>2813</v>
      </c>
      <c r="P525" s="170"/>
      <c r="Q525" s="149"/>
      <c r="R525" s="149"/>
      <c r="S525" s="149"/>
      <c r="T525" s="149"/>
      <c r="U525" s="149"/>
      <c r="V525" s="149"/>
      <c r="W525" s="149"/>
      <c r="X525" s="64" t="s">
        <v>3810</v>
      </c>
      <c r="Y525" s="64"/>
      <c r="Z525" s="68"/>
    </row>
    <row r="526" ht="15.0" customHeight="1">
      <c r="A526" s="139">
        <v>45875.0</v>
      </c>
      <c r="B526" s="148" t="s">
        <v>4301</v>
      </c>
      <c r="C526" s="148" t="s">
        <v>4303</v>
      </c>
      <c r="D526" s="140" t="str">
        <f>IFERROR(VLOOKUP(C526,Stock,3,FALSE),"")</f>
        <v>Mers-Benz C-Class 00-07 W203 (2 Sensor/ □ Pinggir)</v>
      </c>
      <c r="E526" s="64">
        <v>1.0</v>
      </c>
      <c r="F526" s="149"/>
      <c r="G526" s="142">
        <f t="shared" si="28"/>
        <v>0</v>
      </c>
      <c r="H526" s="142"/>
      <c r="I526" s="143">
        <f t="shared" si="29"/>
        <v>0</v>
      </c>
      <c r="J526" s="144">
        <f t="shared" si="30"/>
        <v>0</v>
      </c>
      <c r="K526" s="145" t="s">
        <v>4175</v>
      </c>
      <c r="L526" s="140"/>
      <c r="M526" s="140"/>
      <c r="N526" s="68"/>
      <c r="O526" s="64" t="s">
        <v>2813</v>
      </c>
      <c r="P526" s="170"/>
      <c r="Q526" s="149"/>
      <c r="R526" s="149"/>
      <c r="S526" s="149"/>
      <c r="T526" s="149"/>
      <c r="U526" s="149"/>
      <c r="V526" s="149"/>
      <c r="W526" s="149"/>
      <c r="X526" s="64" t="s">
        <v>3810</v>
      </c>
      <c r="Y526" s="64"/>
      <c r="Z526" s="68"/>
    </row>
    <row r="527" ht="15.0" customHeight="1">
      <c r="A527" s="139">
        <v>45875.0</v>
      </c>
      <c r="B527" s="148" t="s">
        <v>4301</v>
      </c>
      <c r="C527" s="64" t="s">
        <v>3126</v>
      </c>
      <c r="D527" s="140" t="str">
        <f>IFERROR(VLOOKUP(C527,Stock,3,FALSE),"")</f>
        <v>Suzuki Carry New 19-</v>
      </c>
      <c r="E527" s="64">
        <v>1.0</v>
      </c>
      <c r="F527" s="149"/>
      <c r="G527" s="142">
        <f t="shared" si="28"/>
        <v>0</v>
      </c>
      <c r="H527" s="142"/>
      <c r="I527" s="143">
        <f t="shared" si="29"/>
        <v>0</v>
      </c>
      <c r="J527" s="144">
        <f t="shared" si="30"/>
        <v>0</v>
      </c>
      <c r="K527" s="145" t="s">
        <v>4175</v>
      </c>
      <c r="L527" s="140"/>
      <c r="M527" s="140"/>
      <c r="N527" s="68"/>
      <c r="O527" s="64" t="s">
        <v>2813</v>
      </c>
      <c r="P527" s="170"/>
      <c r="Q527" s="149"/>
      <c r="R527" s="149"/>
      <c r="S527" s="149"/>
      <c r="T527" s="149"/>
      <c r="U527" s="149"/>
      <c r="V527" s="149"/>
      <c r="W527" s="149"/>
      <c r="X527" s="64" t="s">
        <v>3810</v>
      </c>
      <c r="Y527" s="64"/>
      <c r="Z527" s="68"/>
    </row>
    <row r="528" ht="15.0" customHeight="1">
      <c r="A528" s="139">
        <v>45875.0</v>
      </c>
      <c r="B528" s="148" t="s">
        <v>4301</v>
      </c>
      <c r="C528" s="64" t="s">
        <v>4304</v>
      </c>
      <c r="D528" s="140" t="str">
        <f>IFERROR(VLOOKUP(C528,Stock,3,FALSE),"")</f>
        <v>Honda Mobilio 14- (Honda)</v>
      </c>
      <c r="E528" s="64">
        <v>1.0</v>
      </c>
      <c r="F528" s="149"/>
      <c r="G528" s="142">
        <f t="shared" si="28"/>
        <v>0</v>
      </c>
      <c r="H528" s="142"/>
      <c r="I528" s="143">
        <f t="shared" si="29"/>
        <v>0</v>
      </c>
      <c r="J528" s="144">
        <f t="shared" si="30"/>
        <v>0</v>
      </c>
      <c r="K528" s="145" t="s">
        <v>4175</v>
      </c>
      <c r="L528" s="140"/>
      <c r="M528" s="140"/>
      <c r="N528" s="68"/>
      <c r="O528" s="64" t="s">
        <v>2813</v>
      </c>
      <c r="P528" s="170"/>
      <c r="Q528" s="149"/>
      <c r="R528" s="149"/>
      <c r="S528" s="149"/>
      <c r="T528" s="149"/>
      <c r="U528" s="149"/>
      <c r="V528" s="149"/>
      <c r="W528" s="149"/>
      <c r="X528" s="64" t="s">
        <v>3810</v>
      </c>
      <c r="Y528" s="64"/>
      <c r="Z528" s="68"/>
    </row>
    <row r="529" ht="15.0" customHeight="1">
      <c r="A529" s="139">
        <v>45875.0</v>
      </c>
      <c r="B529" s="148" t="s">
        <v>4301</v>
      </c>
      <c r="C529" s="196" t="s">
        <v>2916</v>
      </c>
      <c r="D529" s="140" t="str">
        <f>IFERROR(VLOOKUP(C529,Stock,3,FALSE),"")</f>
        <v>Toyota Alphard 08-15 ANH20 2nd Gen (Hitam)</v>
      </c>
      <c r="E529" s="64">
        <v>2.0</v>
      </c>
      <c r="F529" s="149"/>
      <c r="G529" s="142">
        <f t="shared" si="28"/>
        <v>0</v>
      </c>
      <c r="H529" s="142"/>
      <c r="I529" s="143">
        <f t="shared" si="29"/>
        <v>0</v>
      </c>
      <c r="J529" s="144">
        <f t="shared" si="30"/>
        <v>0</v>
      </c>
      <c r="K529" s="145" t="s">
        <v>4175</v>
      </c>
      <c r="L529" s="140"/>
      <c r="M529" s="140"/>
      <c r="N529" s="68"/>
      <c r="O529" s="64" t="s">
        <v>2813</v>
      </c>
      <c r="P529" s="170"/>
      <c r="Q529" s="149"/>
      <c r="R529" s="149"/>
      <c r="S529" s="149"/>
      <c r="T529" s="149"/>
      <c r="U529" s="149"/>
      <c r="V529" s="149"/>
      <c r="W529" s="149"/>
      <c r="X529" s="64" t="s">
        <v>3810</v>
      </c>
      <c r="Y529" s="64"/>
      <c r="Z529" s="68"/>
    </row>
    <row r="530" ht="15.0" customHeight="1">
      <c r="A530" s="139">
        <v>45875.0</v>
      </c>
      <c r="B530" s="148" t="s">
        <v>4301</v>
      </c>
      <c r="C530" s="197" t="s">
        <v>3662</v>
      </c>
      <c r="D530" s="140" t="str">
        <f>IFERROR(VLOOKUP(C530,Stock,3,FALSE),"")</f>
        <v>Toyota Innova 15-22 2nd Gen (Toyota)</v>
      </c>
      <c r="E530" s="64">
        <v>1.0</v>
      </c>
      <c r="F530" s="149"/>
      <c r="G530" s="142">
        <f t="shared" si="28"/>
        <v>0</v>
      </c>
      <c r="H530" s="142"/>
      <c r="I530" s="143">
        <f t="shared" si="29"/>
        <v>0</v>
      </c>
      <c r="J530" s="144">
        <f t="shared" si="30"/>
        <v>0</v>
      </c>
      <c r="K530" s="145" t="s">
        <v>4175</v>
      </c>
      <c r="L530" s="140"/>
      <c r="M530" s="140"/>
      <c r="N530" s="68"/>
      <c r="O530" s="64" t="s">
        <v>2813</v>
      </c>
      <c r="P530" s="170"/>
      <c r="Q530" s="149"/>
      <c r="R530" s="149"/>
      <c r="S530" s="149"/>
      <c r="T530" s="149"/>
      <c r="U530" s="149"/>
      <c r="V530" s="149"/>
      <c r="W530" s="149"/>
      <c r="X530" s="64" t="s">
        <v>3810</v>
      </c>
      <c r="Y530" s="64"/>
      <c r="Z530" s="68"/>
    </row>
    <row r="531" ht="15.0" customHeight="1">
      <c r="A531" s="139">
        <v>45875.0</v>
      </c>
      <c r="B531" s="148" t="s">
        <v>4301</v>
      </c>
      <c r="C531" s="197" t="s">
        <v>4305</v>
      </c>
      <c r="D531" s="140" t="str">
        <f>IFERROR(VLOOKUP(C531,Stock,3,FALSE),"")</f>
        <v>Honda City 96-02 3rdGen (City Z)</v>
      </c>
      <c r="E531" s="64">
        <v>1.0</v>
      </c>
      <c r="F531" s="149"/>
      <c r="G531" s="143">
        <v>0.0</v>
      </c>
      <c r="H531" s="142"/>
      <c r="I531" s="143"/>
      <c r="J531" s="144"/>
      <c r="K531" s="145" t="s">
        <v>4175</v>
      </c>
      <c r="L531" s="140"/>
      <c r="M531" s="140"/>
      <c r="N531" s="68"/>
      <c r="O531" s="64" t="s">
        <v>2813</v>
      </c>
      <c r="P531" s="170"/>
      <c r="Q531" s="149"/>
      <c r="R531" s="149"/>
      <c r="S531" s="149"/>
      <c r="T531" s="149"/>
      <c r="U531" s="149"/>
      <c r="V531" s="149"/>
      <c r="W531" s="149"/>
      <c r="X531" s="64" t="s">
        <v>3191</v>
      </c>
      <c r="Y531" s="64"/>
      <c r="Z531" s="68"/>
    </row>
    <row r="532" ht="15.0" customHeight="1">
      <c r="A532" s="139">
        <v>45876.0</v>
      </c>
      <c r="B532" s="148" t="s">
        <v>4306</v>
      </c>
      <c r="C532" s="64" t="s">
        <v>4307</v>
      </c>
      <c r="D532" s="140" t="str">
        <f>IFERROR(VLOOKUP(C532,Stock,3,FALSE),"")</f>
        <v>Honda City 02-08 4th Gen Idsi GD8 (4 Colokan)</v>
      </c>
      <c r="E532" s="64">
        <v>1.0</v>
      </c>
      <c r="F532" s="141">
        <v>1793000.0</v>
      </c>
      <c r="G532" s="142">
        <f t="shared" ref="G532:G573" si="31">E532*F532</f>
        <v>1793000</v>
      </c>
      <c r="H532" s="142"/>
      <c r="I532" s="143">
        <f t="shared" ref="I532:I573" si="32">G532-H532</f>
        <v>1793000</v>
      </c>
      <c r="J532" s="144">
        <f t="shared" ref="J532:J573" si="33">I532</f>
        <v>1793000</v>
      </c>
      <c r="K532" s="145" t="s">
        <v>4308</v>
      </c>
      <c r="L532" s="146" t="s">
        <v>4309</v>
      </c>
      <c r="M532" s="140"/>
      <c r="N532" s="64" t="s">
        <v>4310</v>
      </c>
      <c r="O532" s="64" t="s">
        <v>2813</v>
      </c>
      <c r="P532" s="170"/>
      <c r="Q532" s="149"/>
      <c r="R532" s="141"/>
      <c r="S532" s="141"/>
      <c r="T532" s="141">
        <v>30000.0</v>
      </c>
      <c r="U532" s="149"/>
      <c r="V532" s="149"/>
      <c r="W532" s="149"/>
      <c r="X532" s="64" t="s">
        <v>3810</v>
      </c>
      <c r="Y532" s="64"/>
      <c r="Z532" s="68"/>
    </row>
    <row r="533" ht="15.0" customHeight="1">
      <c r="A533" s="139">
        <v>45876.0</v>
      </c>
      <c r="B533" s="148" t="s">
        <v>4306</v>
      </c>
      <c r="C533" s="64" t="s">
        <v>2770</v>
      </c>
      <c r="D533" s="140" t="str">
        <f>IFERROR(VLOOKUP(C533,Stock,3,FALSE),"")</f>
        <v>Transport</v>
      </c>
      <c r="E533" s="64">
        <v>1.0</v>
      </c>
      <c r="F533" s="141">
        <v>150000.0</v>
      </c>
      <c r="G533" s="142">
        <f t="shared" si="31"/>
        <v>150000</v>
      </c>
      <c r="H533" s="142"/>
      <c r="I533" s="143">
        <f t="shared" si="32"/>
        <v>150000</v>
      </c>
      <c r="J533" s="144">
        <f t="shared" si="33"/>
        <v>150000</v>
      </c>
      <c r="K533" s="145" t="s">
        <v>4308</v>
      </c>
      <c r="L533" s="146" t="s">
        <v>4309</v>
      </c>
      <c r="M533" s="140"/>
      <c r="N533" s="64" t="s">
        <v>4310</v>
      </c>
      <c r="O533" s="64" t="s">
        <v>2813</v>
      </c>
      <c r="P533" s="170"/>
      <c r="Q533" s="149"/>
      <c r="R533" s="141"/>
      <c r="S533" s="141"/>
      <c r="T533" s="141">
        <v>1913000.0</v>
      </c>
      <c r="U533" s="149"/>
      <c r="V533" s="149"/>
      <c r="W533" s="149"/>
      <c r="X533" s="64" t="s">
        <v>3810</v>
      </c>
      <c r="Y533" s="64"/>
      <c r="Z533" s="68"/>
    </row>
    <row r="534" ht="15.0" customHeight="1">
      <c r="A534" s="139">
        <v>45876.0</v>
      </c>
      <c r="B534" s="148" t="s">
        <v>4311</v>
      </c>
      <c r="C534" s="64" t="s">
        <v>4312</v>
      </c>
      <c r="D534" s="140" t="str">
        <f>IFERROR(VLOOKUP(C534,Stock,3,FALSE),"")</f>
        <v>Toyota Rush / Terios 06-17</v>
      </c>
      <c r="E534" s="64">
        <v>1.0</v>
      </c>
      <c r="F534" s="141">
        <v>570000.0</v>
      </c>
      <c r="G534" s="142">
        <f t="shared" si="31"/>
        <v>570000</v>
      </c>
      <c r="H534" s="142"/>
      <c r="I534" s="143">
        <f t="shared" si="32"/>
        <v>570000</v>
      </c>
      <c r="J534" s="144">
        <f t="shared" si="33"/>
        <v>570000</v>
      </c>
      <c r="K534" s="145" t="s">
        <v>4313</v>
      </c>
      <c r="L534" s="146" t="s">
        <v>4314</v>
      </c>
      <c r="M534" s="140"/>
      <c r="N534" s="64" t="s">
        <v>4315</v>
      </c>
      <c r="O534" s="64" t="s">
        <v>2813</v>
      </c>
      <c r="P534" s="170"/>
      <c r="Q534" s="149"/>
      <c r="R534" s="141"/>
      <c r="S534" s="141"/>
      <c r="T534" s="141">
        <v>50000.0</v>
      </c>
      <c r="U534" s="149"/>
      <c r="V534" s="149"/>
      <c r="W534" s="149"/>
      <c r="X534" s="64" t="s">
        <v>3810</v>
      </c>
      <c r="Y534" s="64"/>
      <c r="Z534" s="68"/>
    </row>
    <row r="535" ht="15.0" customHeight="1">
      <c r="A535" s="139">
        <v>45876.0</v>
      </c>
      <c r="B535" s="148" t="s">
        <v>4311</v>
      </c>
      <c r="C535" s="64" t="s">
        <v>2770</v>
      </c>
      <c r="D535" s="140" t="str">
        <f>IFERROR(VLOOKUP(C535,Stock,3,FALSE),"")</f>
        <v>Transport</v>
      </c>
      <c r="E535" s="64">
        <v>1.0</v>
      </c>
      <c r="F535" s="141">
        <v>50000.0</v>
      </c>
      <c r="G535" s="142">
        <f t="shared" si="31"/>
        <v>50000</v>
      </c>
      <c r="H535" s="142"/>
      <c r="I535" s="143">
        <f t="shared" si="32"/>
        <v>50000</v>
      </c>
      <c r="J535" s="144">
        <f t="shared" si="33"/>
        <v>50000</v>
      </c>
      <c r="K535" s="145" t="s">
        <v>4313</v>
      </c>
      <c r="L535" s="146" t="s">
        <v>4314</v>
      </c>
      <c r="M535" s="140"/>
      <c r="N535" s="64" t="s">
        <v>4315</v>
      </c>
      <c r="O535" s="64" t="s">
        <v>2813</v>
      </c>
      <c r="P535" s="170"/>
      <c r="Q535" s="141">
        <v>570000.0</v>
      </c>
      <c r="R535" s="149"/>
      <c r="S535" s="149"/>
      <c r="T535" s="149"/>
      <c r="U535" s="149"/>
      <c r="V535" s="149"/>
      <c r="W535" s="149"/>
      <c r="X535" s="64" t="s">
        <v>3810</v>
      </c>
      <c r="Y535" s="64"/>
      <c r="Z535" s="68"/>
    </row>
    <row r="536" ht="15.0" customHeight="1">
      <c r="A536" s="139">
        <v>45876.0</v>
      </c>
      <c r="B536" s="148" t="s">
        <v>4316</v>
      </c>
      <c r="C536" s="64" t="s">
        <v>4317</v>
      </c>
      <c r="D536" s="140" t="str">
        <f>IFERROR(VLOOKUP(C536,Stock,3,FALSE),"")</f>
        <v>Wuling Confero (Tanpa Spionnya)</v>
      </c>
      <c r="E536" s="64">
        <v>1.0</v>
      </c>
      <c r="F536" s="141">
        <v>1150000.0</v>
      </c>
      <c r="G536" s="142">
        <f t="shared" si="31"/>
        <v>1150000</v>
      </c>
      <c r="H536" s="142"/>
      <c r="I536" s="143">
        <f t="shared" si="32"/>
        <v>1150000</v>
      </c>
      <c r="J536" s="144">
        <f t="shared" si="33"/>
        <v>1150000</v>
      </c>
      <c r="K536" s="145" t="s">
        <v>4318</v>
      </c>
      <c r="L536" s="146" t="s">
        <v>4319</v>
      </c>
      <c r="M536" s="140"/>
      <c r="N536" s="64" t="s">
        <v>4270</v>
      </c>
      <c r="O536" s="64" t="s">
        <v>4320</v>
      </c>
      <c r="P536" s="170"/>
      <c r="Q536" s="149"/>
      <c r="R536" s="141"/>
      <c r="S536" s="141"/>
      <c r="T536" s="141">
        <v>1550000.0</v>
      </c>
      <c r="U536" s="149"/>
      <c r="V536" s="149"/>
      <c r="W536" s="149"/>
      <c r="X536" s="64" t="s">
        <v>3810</v>
      </c>
      <c r="Y536" s="64"/>
      <c r="Z536" s="68"/>
    </row>
    <row r="537" ht="15.0" customHeight="1">
      <c r="A537" s="139">
        <v>45876.0</v>
      </c>
      <c r="B537" s="148" t="s">
        <v>4316</v>
      </c>
      <c r="C537" s="64" t="s">
        <v>2835</v>
      </c>
      <c r="D537" s="140" t="str">
        <f>IFERROR(VLOOKUP(C537,Stock,3,FALSE),"")</f>
        <v>Peti Kayu</v>
      </c>
      <c r="E537" s="64">
        <v>1.0</v>
      </c>
      <c r="F537" s="141">
        <v>200000.0</v>
      </c>
      <c r="G537" s="142">
        <f t="shared" si="31"/>
        <v>200000</v>
      </c>
      <c r="H537" s="142"/>
      <c r="I537" s="143">
        <f t="shared" si="32"/>
        <v>200000</v>
      </c>
      <c r="J537" s="144">
        <f t="shared" si="33"/>
        <v>200000</v>
      </c>
      <c r="K537" s="145" t="s">
        <v>4318</v>
      </c>
      <c r="L537" s="146" t="s">
        <v>4319</v>
      </c>
      <c r="M537" s="140"/>
      <c r="N537" s="64" t="s">
        <v>4270</v>
      </c>
      <c r="O537" s="64" t="s">
        <v>4320</v>
      </c>
      <c r="P537" s="170"/>
      <c r="Q537" s="149"/>
      <c r="R537" s="149"/>
      <c r="S537" s="149"/>
      <c r="T537" s="149"/>
      <c r="U537" s="149"/>
      <c r="V537" s="149"/>
      <c r="W537" s="149"/>
      <c r="X537" s="64" t="s">
        <v>3810</v>
      </c>
      <c r="Y537" s="64"/>
      <c r="Z537" s="68"/>
    </row>
    <row r="538" ht="15.0" customHeight="1">
      <c r="A538" s="139">
        <v>45876.0</v>
      </c>
      <c r="B538" s="148" t="s">
        <v>4316</v>
      </c>
      <c r="C538" s="64" t="s">
        <v>2770</v>
      </c>
      <c r="D538" s="140" t="str">
        <f>IFERROR(VLOOKUP(C538,Stock,3,FALSE),"")</f>
        <v>Transport</v>
      </c>
      <c r="E538" s="64">
        <v>1.0</v>
      </c>
      <c r="F538" s="141">
        <v>200000.0</v>
      </c>
      <c r="G538" s="142">
        <f t="shared" si="31"/>
        <v>200000</v>
      </c>
      <c r="H538" s="142"/>
      <c r="I538" s="143">
        <f t="shared" si="32"/>
        <v>200000</v>
      </c>
      <c r="J538" s="144">
        <f t="shared" si="33"/>
        <v>200000</v>
      </c>
      <c r="K538" s="145" t="s">
        <v>4318</v>
      </c>
      <c r="L538" s="146" t="s">
        <v>4319</v>
      </c>
      <c r="M538" s="140"/>
      <c r="N538" s="64" t="s">
        <v>4270</v>
      </c>
      <c r="O538" s="64" t="s">
        <v>4320</v>
      </c>
      <c r="P538" s="170"/>
      <c r="Q538" s="149"/>
      <c r="R538" s="149"/>
      <c r="S538" s="149"/>
      <c r="T538" s="149"/>
      <c r="U538" s="149"/>
      <c r="V538" s="149"/>
      <c r="W538" s="149"/>
      <c r="X538" s="64" t="s">
        <v>3810</v>
      </c>
      <c r="Y538" s="64"/>
      <c r="Z538" s="68"/>
    </row>
    <row r="539" ht="15.0" customHeight="1">
      <c r="A539" s="139">
        <v>45877.0</v>
      </c>
      <c r="B539" s="148" t="s">
        <v>4321</v>
      </c>
      <c r="C539" s="64" t="s">
        <v>4322</v>
      </c>
      <c r="D539" s="140" t="str">
        <f>IFERROR(VLOOKUP(C539,Stock,3,FALSE),"")</f>
        <v>Nissan Livina 13-18 L11 (Lubang)</v>
      </c>
      <c r="E539" s="64">
        <v>1.0</v>
      </c>
      <c r="F539" s="141">
        <v>1200000.0</v>
      </c>
      <c r="G539" s="142">
        <f t="shared" si="31"/>
        <v>1200000</v>
      </c>
      <c r="H539" s="142"/>
      <c r="I539" s="143">
        <f t="shared" si="32"/>
        <v>1200000</v>
      </c>
      <c r="J539" s="144">
        <f t="shared" si="33"/>
        <v>1200000</v>
      </c>
      <c r="K539" s="145" t="s">
        <v>4323</v>
      </c>
      <c r="L539" s="146" t="s">
        <v>4324</v>
      </c>
      <c r="M539" s="140"/>
      <c r="N539" s="64" t="s">
        <v>4325</v>
      </c>
      <c r="O539" s="64" t="s">
        <v>2813</v>
      </c>
      <c r="P539" s="170"/>
      <c r="Q539" s="149"/>
      <c r="R539" s="141"/>
      <c r="S539" s="141"/>
      <c r="T539" s="141">
        <v>1200000.0</v>
      </c>
      <c r="U539" s="149"/>
      <c r="V539" s="149"/>
      <c r="W539" s="149"/>
      <c r="X539" s="64" t="s">
        <v>3810</v>
      </c>
      <c r="Y539" s="64"/>
      <c r="Z539" s="68"/>
    </row>
    <row r="540" ht="15.0" customHeight="1">
      <c r="A540" s="139">
        <v>45877.0</v>
      </c>
      <c r="B540" s="148" t="s">
        <v>4326</v>
      </c>
      <c r="C540" s="64" t="s">
        <v>4327</v>
      </c>
      <c r="D540" s="140" t="str">
        <f>IFERROR(VLOOKUP(C540,Stock,3,FALSE),"")</f>
        <v>Isuzu Giga Long (PS240,285) FVR34 (Lebar 215cm)</v>
      </c>
      <c r="E540" s="64">
        <v>1.0</v>
      </c>
      <c r="F540" s="141">
        <v>2198000.0</v>
      </c>
      <c r="G540" s="142">
        <f t="shared" si="31"/>
        <v>2198000</v>
      </c>
      <c r="H540" s="142"/>
      <c r="I540" s="143">
        <f t="shared" si="32"/>
        <v>2198000</v>
      </c>
      <c r="J540" s="144">
        <f t="shared" si="33"/>
        <v>2198000</v>
      </c>
      <c r="K540" s="145" t="s">
        <v>4328</v>
      </c>
      <c r="L540" s="146" t="s">
        <v>4329</v>
      </c>
      <c r="M540" s="140"/>
      <c r="N540" s="68"/>
      <c r="O540" s="64" t="s">
        <v>4330</v>
      </c>
      <c r="P540" s="170"/>
      <c r="Q540" s="149"/>
      <c r="R540" s="141"/>
      <c r="S540" s="141"/>
      <c r="T540" s="141">
        <v>30000.0</v>
      </c>
      <c r="U540" s="149"/>
      <c r="V540" s="149"/>
      <c r="W540" s="149"/>
      <c r="X540" s="64" t="s">
        <v>3810</v>
      </c>
      <c r="Y540" s="64"/>
      <c r="Z540" s="68"/>
    </row>
    <row r="541" ht="15.0" customHeight="1">
      <c r="A541" s="139">
        <v>45877.0</v>
      </c>
      <c r="B541" s="148" t="s">
        <v>4326</v>
      </c>
      <c r="C541" s="64" t="s">
        <v>2770</v>
      </c>
      <c r="D541" s="140" t="str">
        <f>IFERROR(VLOOKUP(C541,Stock,3,FALSE),"")</f>
        <v>Transport</v>
      </c>
      <c r="E541" s="64">
        <v>1.0</v>
      </c>
      <c r="F541" s="141">
        <v>152000.0</v>
      </c>
      <c r="G541" s="142">
        <f t="shared" si="31"/>
        <v>152000</v>
      </c>
      <c r="H541" s="142"/>
      <c r="I541" s="143">
        <f t="shared" si="32"/>
        <v>152000</v>
      </c>
      <c r="J541" s="144">
        <f t="shared" si="33"/>
        <v>152000</v>
      </c>
      <c r="K541" s="145" t="s">
        <v>4328</v>
      </c>
      <c r="L541" s="146" t="s">
        <v>4329</v>
      </c>
      <c r="M541" s="140"/>
      <c r="N541" s="68"/>
      <c r="O541" s="64" t="s">
        <v>4330</v>
      </c>
      <c r="P541" s="170"/>
      <c r="Q541" s="149"/>
      <c r="R541" s="141"/>
      <c r="S541" s="141"/>
      <c r="T541" s="141">
        <v>2320000.0</v>
      </c>
      <c r="U541" s="149"/>
      <c r="V541" s="149"/>
      <c r="W541" s="149"/>
      <c r="X541" s="64" t="s">
        <v>3810</v>
      </c>
      <c r="Y541" s="64"/>
      <c r="Z541" s="68"/>
    </row>
    <row r="542" ht="15.0" customHeight="1">
      <c r="A542" s="139">
        <v>45877.0</v>
      </c>
      <c r="B542" s="148" t="s">
        <v>4331</v>
      </c>
      <c r="C542" s="64" t="s">
        <v>4226</v>
      </c>
      <c r="D542" s="140" t="str">
        <f>IFERROR(VLOOKUP(C542,Stock,3,FALSE),"")</f>
        <v>Honda HR-V 14-21 5D SUV (Honda)</v>
      </c>
      <c r="E542" s="64">
        <v>1.0</v>
      </c>
      <c r="F542" s="141">
        <v>2100000.0</v>
      </c>
      <c r="G542" s="142">
        <f t="shared" si="31"/>
        <v>2100000</v>
      </c>
      <c r="H542" s="142"/>
      <c r="I542" s="143">
        <f t="shared" si="32"/>
        <v>2100000</v>
      </c>
      <c r="J542" s="144">
        <f t="shared" si="33"/>
        <v>2100000</v>
      </c>
      <c r="K542" s="145" t="s">
        <v>4227</v>
      </c>
      <c r="L542" s="146" t="s">
        <v>4228</v>
      </c>
      <c r="M542" s="140"/>
      <c r="N542" s="64" t="s">
        <v>4229</v>
      </c>
      <c r="O542" s="64" t="s">
        <v>2813</v>
      </c>
      <c r="P542" s="170"/>
      <c r="Q542" s="149"/>
      <c r="R542" s="141"/>
      <c r="S542" s="141"/>
      <c r="T542" s="141">
        <v>2100000.0</v>
      </c>
      <c r="U542" s="149"/>
      <c r="V542" s="149"/>
      <c r="W542" s="149"/>
      <c r="X542" s="64" t="s">
        <v>3810</v>
      </c>
      <c r="Y542" s="64"/>
      <c r="Z542" s="68"/>
    </row>
    <row r="543" ht="15.0" customHeight="1">
      <c r="A543" s="139">
        <v>45878.0</v>
      </c>
      <c r="B543" s="148" t="s">
        <v>4332</v>
      </c>
      <c r="C543" s="64" t="s">
        <v>2952</v>
      </c>
      <c r="D543" s="140" t="str">
        <f>IFERROR(VLOOKUP(C543,Stock,3,FALSE),"")</f>
        <v/>
      </c>
      <c r="E543" s="64">
        <v>1.0</v>
      </c>
      <c r="F543" s="141">
        <v>1000000.0</v>
      </c>
      <c r="G543" s="142">
        <f t="shared" si="31"/>
        <v>1000000</v>
      </c>
      <c r="H543" s="142"/>
      <c r="I543" s="143">
        <f t="shared" si="32"/>
        <v>1000000</v>
      </c>
      <c r="J543" s="144">
        <f t="shared" si="33"/>
        <v>1000000</v>
      </c>
      <c r="K543" s="145" t="s">
        <v>4333</v>
      </c>
      <c r="L543" s="146" t="s">
        <v>4334</v>
      </c>
      <c r="M543" s="140"/>
      <c r="N543" s="64" t="s">
        <v>4335</v>
      </c>
      <c r="O543" s="64" t="s">
        <v>2813</v>
      </c>
      <c r="P543" s="170"/>
      <c r="Q543" s="149"/>
      <c r="R543" s="141"/>
      <c r="S543" s="141"/>
      <c r="T543" s="141">
        <v>1000000.0</v>
      </c>
      <c r="U543" s="149"/>
      <c r="V543" s="149"/>
      <c r="W543" s="149"/>
      <c r="X543" s="64" t="s">
        <v>3810</v>
      </c>
      <c r="Y543" s="64"/>
      <c r="Z543" s="68"/>
    </row>
    <row r="544" ht="15.0" customHeight="1">
      <c r="A544" s="139">
        <v>45878.0</v>
      </c>
      <c r="B544" s="148" t="s">
        <v>4336</v>
      </c>
      <c r="C544" s="45" t="s">
        <v>4337</v>
      </c>
      <c r="D544" s="140" t="str">
        <f>IFERROR(VLOOKUP(C544,Stock,3,FALSE),"")</f>
        <v>Mitsubishi Pajero 16- (Mitsubishi)</v>
      </c>
      <c r="E544" s="45">
        <v>1.0</v>
      </c>
      <c r="F544" s="198">
        <v>1720000.0</v>
      </c>
      <c r="G544" s="142">
        <f t="shared" si="31"/>
        <v>1720000</v>
      </c>
      <c r="H544" s="142"/>
      <c r="I544" s="143">
        <f t="shared" si="32"/>
        <v>1720000</v>
      </c>
      <c r="J544" s="144">
        <f t="shared" si="33"/>
        <v>1720000</v>
      </c>
      <c r="K544" s="108" t="s">
        <v>4338</v>
      </c>
      <c r="L544" s="199" t="s">
        <v>4339</v>
      </c>
      <c r="M544" s="17"/>
      <c r="N544" s="64" t="s">
        <v>4340</v>
      </c>
      <c r="O544" s="64" t="s">
        <v>3007</v>
      </c>
      <c r="P544" s="170"/>
      <c r="Q544" s="149"/>
      <c r="R544" s="149"/>
      <c r="S544" s="149"/>
      <c r="T544" s="149"/>
      <c r="U544" s="149"/>
      <c r="V544" s="149"/>
      <c r="W544" s="149"/>
      <c r="X544" s="64" t="s">
        <v>3810</v>
      </c>
      <c r="Y544" s="64"/>
      <c r="Z544" s="68"/>
    </row>
    <row r="545" ht="15.0" customHeight="1">
      <c r="A545" s="139">
        <v>45878.0</v>
      </c>
      <c r="B545" s="148" t="s">
        <v>4341</v>
      </c>
      <c r="C545" s="45" t="s">
        <v>4342</v>
      </c>
      <c r="D545" s="140" t="str">
        <f>IFERROR(VLOOKUP(C545,Stock,3,FALSE),"")</f>
        <v>Toyota Voxy 17- (Hitam)</v>
      </c>
      <c r="E545" s="45">
        <v>1.0</v>
      </c>
      <c r="F545" s="198">
        <v>3059000.0</v>
      </c>
      <c r="G545" s="142">
        <f t="shared" si="31"/>
        <v>3059000</v>
      </c>
      <c r="H545" s="142"/>
      <c r="I545" s="143">
        <f t="shared" si="32"/>
        <v>3059000</v>
      </c>
      <c r="J545" s="144">
        <f t="shared" si="33"/>
        <v>3059000</v>
      </c>
      <c r="K545" s="108" t="s">
        <v>4343</v>
      </c>
      <c r="L545" s="199" t="s">
        <v>4344</v>
      </c>
      <c r="M545" s="17"/>
      <c r="N545" s="64" t="s">
        <v>4345</v>
      </c>
      <c r="O545" s="64" t="s">
        <v>3033</v>
      </c>
      <c r="P545" s="170"/>
      <c r="Q545" s="149"/>
      <c r="R545" s="149"/>
      <c r="S545" s="149"/>
      <c r="T545" s="149"/>
      <c r="U545" s="149"/>
      <c r="V545" s="149"/>
      <c r="W545" s="149"/>
      <c r="X545" s="64" t="s">
        <v>3810</v>
      </c>
      <c r="Y545" s="64"/>
      <c r="Z545" s="68"/>
    </row>
    <row r="546" ht="15.0" customHeight="1">
      <c r="A546" s="139">
        <v>45878.0</v>
      </c>
      <c r="B546" s="148" t="s">
        <v>4346</v>
      </c>
      <c r="C546" s="45" t="s">
        <v>4347</v>
      </c>
      <c r="D546" s="140" t="str">
        <f>IFERROR(VLOOKUP(C546,Stock,3,FALSE),"")</f>
        <v/>
      </c>
      <c r="E546" s="17"/>
      <c r="F546" s="198"/>
      <c r="G546" s="142">
        <f t="shared" si="31"/>
        <v>0</v>
      </c>
      <c r="H546" s="142"/>
      <c r="I546" s="143">
        <f t="shared" si="32"/>
        <v>0</v>
      </c>
      <c r="J546" s="144">
        <f t="shared" si="33"/>
        <v>0</v>
      </c>
      <c r="K546" s="200"/>
      <c r="L546" s="17"/>
      <c r="M546" s="17"/>
      <c r="N546" s="68"/>
      <c r="O546" s="68"/>
      <c r="P546" s="170"/>
      <c r="Q546" s="149"/>
      <c r="R546" s="149"/>
      <c r="S546" s="149"/>
      <c r="T546" s="149"/>
      <c r="U546" s="149"/>
      <c r="V546" s="149"/>
      <c r="W546" s="149"/>
      <c r="X546" s="68"/>
      <c r="Y546" s="68"/>
      <c r="Z546" s="68"/>
    </row>
    <row r="547" ht="15.0" customHeight="1">
      <c r="A547" s="139">
        <v>45879.0</v>
      </c>
      <c r="B547" s="148" t="s">
        <v>4348</v>
      </c>
      <c r="C547" s="45" t="s">
        <v>3052</v>
      </c>
      <c r="D547" s="140" t="str">
        <f>IFERROR(VLOOKUP(C547,Stock,3,FALSE),"")</f>
        <v>Honda City 19- GN</v>
      </c>
      <c r="E547" s="45">
        <v>1.0</v>
      </c>
      <c r="F547" s="198">
        <v>2650000.0</v>
      </c>
      <c r="G547" s="142">
        <f t="shared" si="31"/>
        <v>2650000</v>
      </c>
      <c r="H547" s="142"/>
      <c r="I547" s="143">
        <f t="shared" si="32"/>
        <v>2650000</v>
      </c>
      <c r="J547" s="144">
        <f t="shared" si="33"/>
        <v>2650000</v>
      </c>
      <c r="K547" s="108" t="s">
        <v>3573</v>
      </c>
      <c r="L547" s="199" t="s">
        <v>4349</v>
      </c>
      <c r="M547" s="17"/>
      <c r="N547" s="64" t="s">
        <v>4350</v>
      </c>
      <c r="O547" s="64" t="s">
        <v>2813</v>
      </c>
      <c r="P547" s="170"/>
      <c r="Q547" s="149"/>
      <c r="R547" s="141"/>
      <c r="S547" s="141"/>
      <c r="T547" s="141">
        <v>30000.0</v>
      </c>
      <c r="U547" s="149"/>
      <c r="V547" s="149"/>
      <c r="W547" s="149"/>
      <c r="X547" s="64" t="s">
        <v>3810</v>
      </c>
      <c r="Y547" s="64"/>
      <c r="Z547" s="68"/>
    </row>
    <row r="548" ht="15.0" customHeight="1">
      <c r="A548" s="139">
        <v>45879.0</v>
      </c>
      <c r="B548" s="148" t="s">
        <v>4348</v>
      </c>
      <c r="C548" s="45" t="s">
        <v>2962</v>
      </c>
      <c r="D548" s="140" t="str">
        <f>IFERROR(VLOOKUP(C548,Stock,3,FALSE),"")</f>
        <v>Lembur</v>
      </c>
      <c r="E548" s="45">
        <v>1.0</v>
      </c>
      <c r="F548" s="198">
        <v>150000.0</v>
      </c>
      <c r="G548" s="142">
        <f t="shared" si="31"/>
        <v>150000</v>
      </c>
      <c r="H548" s="142"/>
      <c r="I548" s="143">
        <f t="shared" si="32"/>
        <v>150000</v>
      </c>
      <c r="J548" s="144">
        <f t="shared" si="33"/>
        <v>150000</v>
      </c>
      <c r="K548" s="108" t="s">
        <v>3573</v>
      </c>
      <c r="L548" s="199" t="s">
        <v>4349</v>
      </c>
      <c r="M548" s="17"/>
      <c r="N548" s="64" t="s">
        <v>4350</v>
      </c>
      <c r="O548" s="64" t="s">
        <v>2813</v>
      </c>
      <c r="P548" s="170"/>
      <c r="Q548" s="149"/>
      <c r="R548" s="141"/>
      <c r="S548" s="141"/>
      <c r="T548" s="141">
        <v>2770000.0</v>
      </c>
      <c r="U548" s="149"/>
      <c r="V548" s="149"/>
      <c r="W548" s="149"/>
      <c r="X548" s="64" t="s">
        <v>3810</v>
      </c>
      <c r="Y548" s="64"/>
      <c r="Z548" s="68"/>
    </row>
    <row r="549" ht="15.0" customHeight="1">
      <c r="A549" s="139">
        <v>45879.0</v>
      </c>
      <c r="B549" s="148" t="s">
        <v>4351</v>
      </c>
      <c r="C549" s="45" t="s">
        <v>3246</v>
      </c>
      <c r="D549" s="140" t="str">
        <f>IFERROR(VLOOKUP(C549,Stock,3,FALSE),"")</f>
        <v>Toyota Calya / Sigra 16-</v>
      </c>
      <c r="E549" s="45">
        <v>1.0</v>
      </c>
      <c r="F549" s="198">
        <v>1170000.0</v>
      </c>
      <c r="G549" s="142">
        <f t="shared" si="31"/>
        <v>1170000</v>
      </c>
      <c r="H549" s="142"/>
      <c r="I549" s="143">
        <f t="shared" si="32"/>
        <v>1170000</v>
      </c>
      <c r="J549" s="144">
        <f t="shared" si="33"/>
        <v>1170000</v>
      </c>
      <c r="K549" s="108" t="s">
        <v>4352</v>
      </c>
      <c r="L549" s="199" t="s">
        <v>4353</v>
      </c>
      <c r="M549" s="17"/>
      <c r="N549" s="64" t="s">
        <v>4354</v>
      </c>
      <c r="O549" s="64" t="s">
        <v>2813</v>
      </c>
      <c r="P549" s="170"/>
      <c r="Q549" s="149"/>
      <c r="R549" s="141"/>
      <c r="S549" s="141"/>
      <c r="T549" s="141">
        <v>1170000.0</v>
      </c>
      <c r="U549" s="149"/>
      <c r="V549" s="149"/>
      <c r="W549" s="149"/>
      <c r="X549" s="64" t="s">
        <v>3810</v>
      </c>
      <c r="Y549" s="64"/>
      <c r="Z549" s="68"/>
    </row>
    <row r="550" ht="15.0" customHeight="1">
      <c r="A550" s="139">
        <v>45880.0</v>
      </c>
      <c r="B550" s="148" t="s">
        <v>4355</v>
      </c>
      <c r="C550" s="45" t="s">
        <v>3858</v>
      </c>
      <c r="D550" s="140" t="str">
        <f>IFERROR(VLOOKUP(C550,Stock,3,FALSE),"")</f>
        <v>Daihatsu Luxio 07-</v>
      </c>
      <c r="E550" s="45">
        <v>1.0</v>
      </c>
      <c r="F550" s="198">
        <v>785000.0</v>
      </c>
      <c r="G550" s="142">
        <f t="shared" si="31"/>
        <v>785000</v>
      </c>
      <c r="H550" s="142"/>
      <c r="I550" s="143">
        <f t="shared" si="32"/>
        <v>785000</v>
      </c>
      <c r="J550" s="144">
        <f t="shared" si="33"/>
        <v>785000</v>
      </c>
      <c r="K550" s="108" t="s">
        <v>4356</v>
      </c>
      <c r="L550" s="199" t="s">
        <v>4357</v>
      </c>
      <c r="M550" s="17"/>
      <c r="N550" s="64" t="s">
        <v>4270</v>
      </c>
      <c r="O550" s="64" t="s">
        <v>2813</v>
      </c>
      <c r="P550" s="170"/>
      <c r="Q550" s="149"/>
      <c r="R550" s="141"/>
      <c r="S550" s="141"/>
      <c r="T550" s="141">
        <v>785000.0</v>
      </c>
      <c r="U550" s="149"/>
      <c r="V550" s="149"/>
      <c r="W550" s="149"/>
      <c r="X550" s="64" t="s">
        <v>3810</v>
      </c>
      <c r="Y550" s="64"/>
      <c r="Z550" s="68"/>
    </row>
    <row r="551" ht="15.0" customHeight="1">
      <c r="A551" s="139">
        <v>45881.0</v>
      </c>
      <c r="B551" s="148" t="s">
        <v>4358</v>
      </c>
      <c r="C551" s="64" t="s">
        <v>2924</v>
      </c>
      <c r="D551" s="140" t="str">
        <f>IFERROR(VLOOKUP(C551,Stock,3,FALSE),"")</f>
        <v>Suzuki Ertiga 12-18 1st Gen MPV</v>
      </c>
      <c r="E551" s="45">
        <v>1.0</v>
      </c>
      <c r="F551" s="198">
        <v>1300000.0</v>
      </c>
      <c r="G551" s="142">
        <f t="shared" si="31"/>
        <v>1300000</v>
      </c>
      <c r="H551" s="142"/>
      <c r="I551" s="143">
        <f t="shared" si="32"/>
        <v>1300000</v>
      </c>
      <c r="J551" s="144">
        <f t="shared" si="33"/>
        <v>1300000</v>
      </c>
      <c r="K551" s="108" t="s">
        <v>4359</v>
      </c>
      <c r="L551" s="199" t="s">
        <v>4360</v>
      </c>
      <c r="M551" s="17"/>
      <c r="N551" s="64" t="s">
        <v>4361</v>
      </c>
      <c r="O551" s="64" t="s">
        <v>2813</v>
      </c>
      <c r="P551" s="170"/>
      <c r="Q551" s="149"/>
      <c r="R551" s="141"/>
      <c r="S551" s="141"/>
      <c r="T551" s="141">
        <v>1300000.0</v>
      </c>
      <c r="U551" s="149"/>
      <c r="V551" s="149"/>
      <c r="W551" s="149"/>
      <c r="X551" s="64" t="s">
        <v>3810</v>
      </c>
      <c r="Y551" s="64"/>
      <c r="Z551" s="68"/>
    </row>
    <row r="552" ht="15.0" customHeight="1">
      <c r="A552" s="139">
        <v>45881.0</v>
      </c>
      <c r="B552" s="148" t="s">
        <v>4362</v>
      </c>
      <c r="C552" s="64" t="s">
        <v>3029</v>
      </c>
      <c r="D552" s="140" t="str">
        <f>IFERROR(VLOOKUP(C552,Stock,3,FALSE),"")</f>
        <v>Mitsubishi Canter FE700 01- (PS110,125)</v>
      </c>
      <c r="E552" s="45">
        <v>1.0</v>
      </c>
      <c r="F552" s="198">
        <v>1100000.0</v>
      </c>
      <c r="G552" s="142">
        <f t="shared" si="31"/>
        <v>1100000</v>
      </c>
      <c r="H552" s="142"/>
      <c r="I552" s="143">
        <f t="shared" si="32"/>
        <v>1100000</v>
      </c>
      <c r="J552" s="144">
        <f t="shared" si="33"/>
        <v>1100000</v>
      </c>
      <c r="K552" s="145" t="s">
        <v>4363</v>
      </c>
      <c r="L552" s="199" t="s">
        <v>4364</v>
      </c>
      <c r="M552" s="17"/>
      <c r="N552" s="64" t="s">
        <v>4365</v>
      </c>
      <c r="O552" s="64" t="s">
        <v>2813</v>
      </c>
      <c r="P552" s="170"/>
      <c r="Q552" s="149"/>
      <c r="R552" s="141"/>
      <c r="S552" s="141"/>
      <c r="T552" s="141">
        <v>1100000.0</v>
      </c>
      <c r="U552" s="149"/>
      <c r="V552" s="149"/>
      <c r="W552" s="149"/>
      <c r="X552" s="64" t="s">
        <v>3810</v>
      </c>
      <c r="Y552" s="64"/>
      <c r="Z552" s="68"/>
    </row>
    <row r="553" ht="15.0" customHeight="1">
      <c r="A553" s="139">
        <v>45881.0</v>
      </c>
      <c r="B553" s="64" t="s">
        <v>4366</v>
      </c>
      <c r="C553" s="64" t="s">
        <v>4367</v>
      </c>
      <c r="D553" s="140" t="str">
        <f>IFERROR(VLOOKUP(C553,Stock,3,FALSE),"")</f>
        <v>Isuzu Panther 00- 2nd Gen</v>
      </c>
      <c r="E553" s="64">
        <v>1.0</v>
      </c>
      <c r="F553" s="198">
        <v>585000.0</v>
      </c>
      <c r="G553" s="142">
        <f t="shared" si="31"/>
        <v>585000</v>
      </c>
      <c r="H553" s="142"/>
      <c r="I553" s="143">
        <f t="shared" si="32"/>
        <v>585000</v>
      </c>
      <c r="J553" s="144">
        <f t="shared" si="33"/>
        <v>585000</v>
      </c>
      <c r="K553" s="145" t="s">
        <v>4368</v>
      </c>
      <c r="L553" s="146" t="s">
        <v>4369</v>
      </c>
      <c r="M553" s="68"/>
      <c r="N553" s="64" t="s">
        <v>4270</v>
      </c>
      <c r="O553" s="64" t="s">
        <v>2813</v>
      </c>
      <c r="P553" s="170"/>
      <c r="Q553" s="68"/>
      <c r="R553" s="141"/>
      <c r="S553" s="141"/>
      <c r="T553" s="141">
        <v>585000.0</v>
      </c>
      <c r="U553" s="68"/>
      <c r="V553" s="68"/>
      <c r="W553" s="68"/>
      <c r="X553" s="64" t="s">
        <v>3810</v>
      </c>
      <c r="Y553" s="64"/>
      <c r="Z553" s="68"/>
    </row>
    <row r="554" ht="15.0" customHeight="1">
      <c r="A554" s="139">
        <v>45881.0</v>
      </c>
      <c r="B554" s="64" t="s">
        <v>4370</v>
      </c>
      <c r="C554" s="45" t="s">
        <v>3662</v>
      </c>
      <c r="D554" s="140" t="str">
        <f>IFERROR(VLOOKUP(C554,Stock,3,FALSE),"")</f>
        <v>Toyota Innova 15-22 2nd Gen (Toyota)</v>
      </c>
      <c r="E554" s="45">
        <v>1.0</v>
      </c>
      <c r="F554" s="198">
        <v>2880000.0</v>
      </c>
      <c r="G554" s="142">
        <f t="shared" si="31"/>
        <v>2880000</v>
      </c>
      <c r="H554" s="142"/>
      <c r="I554" s="143">
        <f t="shared" si="32"/>
        <v>2880000</v>
      </c>
      <c r="J554" s="144">
        <f t="shared" si="33"/>
        <v>2880000</v>
      </c>
      <c r="K554" s="108" t="s">
        <v>4371</v>
      </c>
      <c r="L554" s="199" t="s">
        <v>4372</v>
      </c>
      <c r="M554" s="17"/>
      <c r="N554" s="64" t="s">
        <v>4373</v>
      </c>
      <c r="O554" s="64" t="s">
        <v>2813</v>
      </c>
      <c r="P554" s="170"/>
      <c r="Q554" s="149"/>
      <c r="R554" s="141"/>
      <c r="S554" s="141"/>
      <c r="T554" s="141">
        <v>2880000.0</v>
      </c>
      <c r="U554" s="149"/>
      <c r="V554" s="149"/>
      <c r="W554" s="149"/>
      <c r="X554" s="64" t="s">
        <v>3810</v>
      </c>
      <c r="Y554" s="64"/>
      <c r="Z554" s="68"/>
    </row>
    <row r="555" ht="15.0" customHeight="1">
      <c r="A555" s="139">
        <v>45881.0</v>
      </c>
      <c r="B555" s="201" t="s">
        <v>4374</v>
      </c>
      <c r="C555" s="45" t="s">
        <v>4375</v>
      </c>
      <c r="D555" s="140" t="str">
        <f>IFERROR(VLOOKUP(C555,Stock,3,FALSE),"")</f>
        <v>Mitsubishi Pajero 16- (Mitsubishi)</v>
      </c>
      <c r="E555" s="45">
        <v>4.0</v>
      </c>
      <c r="F555" s="202"/>
      <c r="G555" s="142">
        <f t="shared" si="31"/>
        <v>0</v>
      </c>
      <c r="H555" s="142"/>
      <c r="I555" s="143">
        <f t="shared" si="32"/>
        <v>0</v>
      </c>
      <c r="J555" s="144">
        <f t="shared" si="33"/>
        <v>0</v>
      </c>
      <c r="K555" s="108" t="s">
        <v>4376</v>
      </c>
      <c r="L555" s="17"/>
      <c r="M555" s="17"/>
      <c r="N555" s="68"/>
      <c r="O555" s="68"/>
      <c r="P555" s="170"/>
      <c r="Q555" s="149"/>
      <c r="R555" s="141"/>
      <c r="S555" s="141"/>
      <c r="T555" s="141"/>
      <c r="U555" s="149"/>
      <c r="V555" s="149"/>
      <c r="W555" s="149"/>
      <c r="X555" s="64" t="s">
        <v>3810</v>
      </c>
      <c r="Y555" s="64"/>
      <c r="Z555" s="68"/>
    </row>
    <row r="556" ht="15.0" customHeight="1">
      <c r="A556" s="139">
        <v>45881.0</v>
      </c>
      <c r="B556" s="201" t="s">
        <v>4374</v>
      </c>
      <c r="C556" s="45" t="s">
        <v>3354</v>
      </c>
      <c r="D556" s="140" t="str">
        <f>IFERROR(VLOOKUP(C556,Stock,3,FALSE),"")</f>
        <v>Honda Brio 10- / Mobilio 11- (Honda)</v>
      </c>
      <c r="E556" s="45">
        <v>5.0</v>
      </c>
      <c r="F556" s="202"/>
      <c r="G556" s="142">
        <f t="shared" si="31"/>
        <v>0</v>
      </c>
      <c r="H556" s="142"/>
      <c r="I556" s="143">
        <f t="shared" si="32"/>
        <v>0</v>
      </c>
      <c r="J556" s="144">
        <f t="shared" si="33"/>
        <v>0</v>
      </c>
      <c r="K556" s="108" t="s">
        <v>4376</v>
      </c>
      <c r="L556" s="17"/>
      <c r="M556" s="17"/>
      <c r="N556" s="68"/>
      <c r="O556" s="68"/>
      <c r="P556" s="170"/>
      <c r="Q556" s="149"/>
      <c r="R556" s="141"/>
      <c r="S556" s="141"/>
      <c r="T556" s="141"/>
      <c r="U556" s="149"/>
      <c r="V556" s="149"/>
      <c r="W556" s="149"/>
      <c r="X556" s="64" t="s">
        <v>3810</v>
      </c>
      <c r="Y556" s="64"/>
      <c r="Z556" s="68"/>
    </row>
    <row r="557" ht="15.0" customHeight="1">
      <c r="A557" s="139">
        <v>45881.0</v>
      </c>
      <c r="B557" s="201" t="s">
        <v>4374</v>
      </c>
      <c r="C557" s="45" t="s">
        <v>4377</v>
      </c>
      <c r="D557" s="140" t="str">
        <f>IFERROR(VLOOKUP(C557,Stock,3,FALSE),"")</f>
        <v>Nissan Serena 19- MKV C27</v>
      </c>
      <c r="E557" s="45">
        <v>1.0</v>
      </c>
      <c r="F557" s="202"/>
      <c r="G557" s="142">
        <f t="shared" si="31"/>
        <v>0</v>
      </c>
      <c r="H557" s="142"/>
      <c r="I557" s="143">
        <f t="shared" si="32"/>
        <v>0</v>
      </c>
      <c r="J557" s="144">
        <f t="shared" si="33"/>
        <v>0</v>
      </c>
      <c r="K557" s="108" t="s">
        <v>4376</v>
      </c>
      <c r="L557" s="17"/>
      <c r="M557" s="17"/>
      <c r="N557" s="68"/>
      <c r="O557" s="68"/>
      <c r="P557" s="170"/>
      <c r="Q557" s="149"/>
      <c r="R557" s="141"/>
      <c r="S557" s="141"/>
      <c r="T557" s="141"/>
      <c r="U557" s="149"/>
      <c r="V557" s="149"/>
      <c r="W557" s="149"/>
      <c r="X557" s="64" t="s">
        <v>3810</v>
      </c>
      <c r="Y557" s="64"/>
      <c r="Z557" s="68"/>
    </row>
    <row r="558" ht="15.0" customHeight="1">
      <c r="A558" s="139">
        <v>45881.0</v>
      </c>
      <c r="B558" s="201" t="s">
        <v>4378</v>
      </c>
      <c r="C558" s="45" t="s">
        <v>3595</v>
      </c>
      <c r="D558" s="140" t="str">
        <f>IFERROR(VLOOKUP(C558,Stock,3,FALSE),"")</f>
        <v>Nissan X-Trail 07-13 T31</v>
      </c>
      <c r="E558" s="45">
        <v>1.0</v>
      </c>
      <c r="F558" s="202"/>
      <c r="G558" s="142">
        <f t="shared" si="31"/>
        <v>0</v>
      </c>
      <c r="H558" s="142"/>
      <c r="I558" s="143">
        <f t="shared" si="32"/>
        <v>0</v>
      </c>
      <c r="J558" s="144">
        <f t="shared" si="33"/>
        <v>0</v>
      </c>
      <c r="K558" s="108" t="s">
        <v>4175</v>
      </c>
      <c r="L558" s="17"/>
      <c r="M558" s="17"/>
      <c r="N558" s="68"/>
      <c r="O558" s="68"/>
      <c r="P558" s="170"/>
      <c r="Q558" s="149"/>
      <c r="R558" s="141"/>
      <c r="S558" s="141"/>
      <c r="T558" s="141"/>
      <c r="U558" s="149"/>
      <c r="V558" s="149"/>
      <c r="W558" s="149"/>
      <c r="X558" s="64" t="s">
        <v>3810</v>
      </c>
      <c r="Y558" s="64"/>
      <c r="Z558" s="68"/>
    </row>
    <row r="559" ht="15.0" customHeight="1">
      <c r="A559" s="139">
        <v>45881.0</v>
      </c>
      <c r="B559" s="201" t="s">
        <v>4378</v>
      </c>
      <c r="C559" s="45" t="s">
        <v>4379</v>
      </c>
      <c r="D559" s="140" t="str">
        <f>IFERROR(VLOOKUP(C559,Stock,3,FALSE),"")</f>
        <v>Toyota Yaris 13- 2nd Gen / Vios 14- 3rd Gen</v>
      </c>
      <c r="E559" s="45">
        <v>1.0</v>
      </c>
      <c r="F559" s="202"/>
      <c r="G559" s="142">
        <f t="shared" si="31"/>
        <v>0</v>
      </c>
      <c r="H559" s="142"/>
      <c r="I559" s="143">
        <f t="shared" si="32"/>
        <v>0</v>
      </c>
      <c r="J559" s="144">
        <f t="shared" si="33"/>
        <v>0</v>
      </c>
      <c r="K559" s="108" t="s">
        <v>4175</v>
      </c>
      <c r="L559" s="17"/>
      <c r="M559" s="17"/>
      <c r="N559" s="68"/>
      <c r="O559" s="68"/>
      <c r="P559" s="170"/>
      <c r="Q559" s="149"/>
      <c r="R559" s="141"/>
      <c r="S559" s="141"/>
      <c r="T559" s="141"/>
      <c r="U559" s="149"/>
      <c r="V559" s="149"/>
      <c r="W559" s="149"/>
      <c r="X559" s="64" t="s">
        <v>3810</v>
      </c>
      <c r="Y559" s="64"/>
      <c r="Z559" s="68"/>
    </row>
    <row r="560" ht="15.0" customHeight="1">
      <c r="A560" s="139">
        <v>45881.0</v>
      </c>
      <c r="B560" s="201" t="s">
        <v>4378</v>
      </c>
      <c r="C560" s="45" t="s">
        <v>4380</v>
      </c>
      <c r="D560" s="140" t="str">
        <f>IFERROR(VLOOKUP(C560,Stock,3,FALSE),"")</f>
        <v>Nissan Livina 07-12 L10 (Tanpa Lubang)</v>
      </c>
      <c r="E560" s="45">
        <v>1.0</v>
      </c>
      <c r="F560" s="202"/>
      <c r="G560" s="142">
        <f t="shared" si="31"/>
        <v>0</v>
      </c>
      <c r="H560" s="142"/>
      <c r="I560" s="143">
        <f t="shared" si="32"/>
        <v>0</v>
      </c>
      <c r="J560" s="144">
        <f t="shared" si="33"/>
        <v>0</v>
      </c>
      <c r="K560" s="108" t="s">
        <v>4175</v>
      </c>
      <c r="L560" s="17"/>
      <c r="M560" s="17"/>
      <c r="N560" s="68"/>
      <c r="O560" s="68"/>
      <c r="P560" s="170"/>
      <c r="Q560" s="149"/>
      <c r="R560" s="149"/>
      <c r="S560" s="149"/>
      <c r="T560" s="149"/>
      <c r="U560" s="149"/>
      <c r="V560" s="149"/>
      <c r="W560" s="149"/>
      <c r="X560" s="64" t="s">
        <v>3810</v>
      </c>
      <c r="Y560" s="64"/>
      <c r="Z560" s="68"/>
    </row>
    <row r="561" ht="15.0" customHeight="1">
      <c r="A561" s="139">
        <v>45881.0</v>
      </c>
      <c r="B561" s="201" t="s">
        <v>4378</v>
      </c>
      <c r="C561" s="45" t="s">
        <v>4381</v>
      </c>
      <c r="D561" s="140" t="str">
        <f>IFERROR(VLOOKUP(C561,Stock,3,FALSE),"")</f>
        <v>Toyota Fortuner 15- 2nd Gen</v>
      </c>
      <c r="E561" s="45">
        <v>1.0</v>
      </c>
      <c r="F561" s="202"/>
      <c r="G561" s="142">
        <f t="shared" si="31"/>
        <v>0</v>
      </c>
      <c r="H561" s="142"/>
      <c r="I561" s="143">
        <f t="shared" si="32"/>
        <v>0</v>
      </c>
      <c r="J561" s="144">
        <f t="shared" si="33"/>
        <v>0</v>
      </c>
      <c r="K561" s="108" t="s">
        <v>4175</v>
      </c>
      <c r="L561" s="17"/>
      <c r="M561" s="17"/>
      <c r="N561" s="68"/>
      <c r="O561" s="68"/>
      <c r="P561" s="170"/>
      <c r="Q561" s="149"/>
      <c r="R561" s="149"/>
      <c r="S561" s="149"/>
      <c r="T561" s="149"/>
      <c r="U561" s="149"/>
      <c r="V561" s="149"/>
      <c r="W561" s="149"/>
      <c r="X561" s="64" t="s">
        <v>3810</v>
      </c>
      <c r="Y561" s="64"/>
      <c r="Z561" s="68"/>
    </row>
    <row r="562" ht="15.0" customHeight="1">
      <c r="A562" s="139">
        <v>45881.0</v>
      </c>
      <c r="B562" s="201" t="s">
        <v>4378</v>
      </c>
      <c r="C562" s="45" t="s">
        <v>3424</v>
      </c>
      <c r="D562" s="140" t="str">
        <f>IFERROR(VLOOKUP(C562,Stock,3,FALSE),"")</f>
        <v>Mitsubishi Xpander 22-  (Mitsubishi)</v>
      </c>
      <c r="E562" s="45">
        <v>1.0</v>
      </c>
      <c r="F562" s="202"/>
      <c r="G562" s="142">
        <f t="shared" si="31"/>
        <v>0</v>
      </c>
      <c r="H562" s="142"/>
      <c r="I562" s="143">
        <f t="shared" si="32"/>
        <v>0</v>
      </c>
      <c r="J562" s="144">
        <f t="shared" si="33"/>
        <v>0</v>
      </c>
      <c r="K562" s="108" t="s">
        <v>4175</v>
      </c>
      <c r="L562" s="17"/>
      <c r="M562" s="17"/>
      <c r="N562" s="68"/>
      <c r="O562" s="68"/>
      <c r="P562" s="170"/>
      <c r="Q562" s="149"/>
      <c r="R562" s="149"/>
      <c r="S562" s="149"/>
      <c r="T562" s="149"/>
      <c r="U562" s="149"/>
      <c r="V562" s="149"/>
      <c r="W562" s="149"/>
      <c r="X562" s="64" t="s">
        <v>3810</v>
      </c>
      <c r="Y562" s="64"/>
      <c r="Z562" s="68"/>
    </row>
    <row r="563" ht="15.0" customHeight="1">
      <c r="A563" s="139">
        <v>45881.0</v>
      </c>
      <c r="B563" s="64" t="s">
        <v>4382</v>
      </c>
      <c r="C563" s="64" t="s">
        <v>4383</v>
      </c>
      <c r="D563" s="140" t="str">
        <f>IFERROR(VLOOKUP(C563,Stock,3,FALSE),"")</f>
        <v>Honda HR-V 14-21 5D SUV</v>
      </c>
      <c r="E563" s="45">
        <v>1.0</v>
      </c>
      <c r="F563" s="198">
        <v>1856000.0</v>
      </c>
      <c r="G563" s="142">
        <f t="shared" si="31"/>
        <v>1856000</v>
      </c>
      <c r="H563" s="142"/>
      <c r="I563" s="143">
        <f t="shared" si="32"/>
        <v>1856000</v>
      </c>
      <c r="J563" s="144">
        <f t="shared" si="33"/>
        <v>1856000</v>
      </c>
      <c r="K563" s="145" t="s">
        <v>4384</v>
      </c>
      <c r="L563" s="199" t="s">
        <v>4385</v>
      </c>
      <c r="M563" s="17"/>
      <c r="N563" s="64" t="s">
        <v>4386</v>
      </c>
      <c r="O563" s="64" t="s">
        <v>2807</v>
      </c>
      <c r="P563" s="170"/>
      <c r="Q563" s="149"/>
      <c r="R563" s="141"/>
      <c r="S563" s="141"/>
      <c r="T563" s="141">
        <v>30000.0</v>
      </c>
      <c r="U563" s="149"/>
      <c r="V563" s="149"/>
      <c r="W563" s="149"/>
      <c r="X563" s="64" t="s">
        <v>3810</v>
      </c>
      <c r="Y563" s="64"/>
      <c r="Z563" s="68"/>
    </row>
    <row r="564" ht="15.0" customHeight="1">
      <c r="A564" s="139">
        <v>45881.0</v>
      </c>
      <c r="B564" s="64" t="s">
        <v>4382</v>
      </c>
      <c r="C564" s="64" t="s">
        <v>2770</v>
      </c>
      <c r="D564" s="140" t="str">
        <f>IFERROR(VLOOKUP(C564,Stock,3,FALSE),"")</f>
        <v>Transport</v>
      </c>
      <c r="E564" s="45">
        <v>1.0</v>
      </c>
      <c r="F564" s="198">
        <v>180000.0</v>
      </c>
      <c r="G564" s="142">
        <f t="shared" si="31"/>
        <v>180000</v>
      </c>
      <c r="H564" s="142"/>
      <c r="I564" s="143">
        <f t="shared" si="32"/>
        <v>180000</v>
      </c>
      <c r="J564" s="144">
        <f t="shared" si="33"/>
        <v>180000</v>
      </c>
      <c r="K564" s="145" t="s">
        <v>4384</v>
      </c>
      <c r="L564" s="199" t="s">
        <v>4385</v>
      </c>
      <c r="M564" s="17"/>
      <c r="N564" s="64" t="s">
        <v>4386</v>
      </c>
      <c r="O564" s="64" t="s">
        <v>2807</v>
      </c>
      <c r="P564" s="170"/>
      <c r="Q564" s="149"/>
      <c r="R564" s="141"/>
      <c r="S564" s="141"/>
      <c r="T564" s="141">
        <v>2006000.0</v>
      </c>
      <c r="U564" s="149"/>
      <c r="V564" s="149"/>
      <c r="W564" s="149"/>
      <c r="X564" s="64" t="s">
        <v>3810</v>
      </c>
      <c r="Y564" s="64"/>
      <c r="Z564" s="68"/>
    </row>
    <row r="565" ht="15.0" customHeight="1">
      <c r="A565" s="139">
        <v>45881.0</v>
      </c>
      <c r="B565" s="64" t="s">
        <v>4387</v>
      </c>
      <c r="C565" s="64" t="s">
        <v>2944</v>
      </c>
      <c r="D565" s="140" t="str">
        <f>IFERROR(VLOOKUP(C565,Stock,3,FALSE),"")</f>
        <v>Toyota Innova 04-15 1st Gen</v>
      </c>
      <c r="E565" s="45">
        <v>1.0</v>
      </c>
      <c r="F565" s="198">
        <v>1300000.0</v>
      </c>
      <c r="G565" s="142">
        <f t="shared" si="31"/>
        <v>1300000</v>
      </c>
      <c r="H565" s="142"/>
      <c r="I565" s="143">
        <f t="shared" si="32"/>
        <v>1300000</v>
      </c>
      <c r="J565" s="144">
        <f t="shared" si="33"/>
        <v>1300000</v>
      </c>
      <c r="K565" s="108" t="s">
        <v>4388</v>
      </c>
      <c r="L565" s="199" t="s">
        <v>4389</v>
      </c>
      <c r="M565" s="17"/>
      <c r="N565" s="64" t="s">
        <v>4390</v>
      </c>
      <c r="O565" s="64" t="s">
        <v>2828</v>
      </c>
      <c r="P565" s="170"/>
      <c r="Q565" s="149"/>
      <c r="R565" s="141"/>
      <c r="S565" s="141"/>
      <c r="T565" s="141">
        <v>30000.0</v>
      </c>
      <c r="U565" s="149"/>
      <c r="V565" s="149"/>
      <c r="W565" s="149"/>
      <c r="X565" s="64" t="s">
        <v>3810</v>
      </c>
      <c r="Y565" s="64"/>
      <c r="Z565" s="68"/>
    </row>
    <row r="566" ht="15.0" customHeight="1">
      <c r="A566" s="139">
        <v>45881.0</v>
      </c>
      <c r="B566" s="64" t="s">
        <v>4387</v>
      </c>
      <c r="C566" s="64" t="s">
        <v>2770</v>
      </c>
      <c r="D566" s="140" t="str">
        <f>IFERROR(VLOOKUP(C566,Stock,3,FALSE),"")</f>
        <v>Transport</v>
      </c>
      <c r="E566" s="45">
        <v>1.0</v>
      </c>
      <c r="F566" s="198">
        <v>50000.0</v>
      </c>
      <c r="G566" s="142">
        <f t="shared" si="31"/>
        <v>50000</v>
      </c>
      <c r="H566" s="142"/>
      <c r="I566" s="143">
        <f t="shared" si="32"/>
        <v>50000</v>
      </c>
      <c r="J566" s="144">
        <f t="shared" si="33"/>
        <v>50000</v>
      </c>
      <c r="K566" s="108" t="s">
        <v>4388</v>
      </c>
      <c r="L566" s="199" t="s">
        <v>4389</v>
      </c>
      <c r="M566" s="17"/>
      <c r="N566" s="64" t="s">
        <v>4390</v>
      </c>
      <c r="O566" s="64" t="s">
        <v>2828</v>
      </c>
      <c r="P566" s="170"/>
      <c r="Q566" s="141">
        <v>1320000.0</v>
      </c>
      <c r="R566" s="149"/>
      <c r="S566" s="149"/>
      <c r="T566" s="149"/>
      <c r="U566" s="149"/>
      <c r="V566" s="149"/>
      <c r="W566" s="149"/>
      <c r="X566" s="64" t="s">
        <v>3810</v>
      </c>
      <c r="Y566" s="64"/>
      <c r="Z566" s="68"/>
    </row>
    <row r="567" ht="15.0" customHeight="1">
      <c r="A567" s="139">
        <v>45881.0</v>
      </c>
      <c r="B567" s="201" t="s">
        <v>4391</v>
      </c>
      <c r="C567" s="195" t="s">
        <v>3935</v>
      </c>
      <c r="D567" s="140" t="str">
        <f>IFERROR(VLOOKUP(C567,Stock,3,FALSE),"")</f>
        <v>Hyundai Creta 22- </v>
      </c>
      <c r="E567" s="45">
        <v>1.0</v>
      </c>
      <c r="F567" s="202"/>
      <c r="G567" s="142">
        <f t="shared" si="31"/>
        <v>0</v>
      </c>
      <c r="H567" s="142"/>
      <c r="I567" s="143">
        <f t="shared" si="32"/>
        <v>0</v>
      </c>
      <c r="J567" s="144">
        <f t="shared" si="33"/>
        <v>0</v>
      </c>
      <c r="K567" s="108" t="s">
        <v>4175</v>
      </c>
      <c r="L567" s="17"/>
      <c r="M567" s="17"/>
      <c r="N567" s="68"/>
      <c r="O567" s="68"/>
      <c r="P567" s="170"/>
      <c r="Q567" s="149"/>
      <c r="R567" s="149"/>
      <c r="S567" s="149"/>
      <c r="T567" s="149"/>
      <c r="U567" s="149"/>
      <c r="V567" s="149"/>
      <c r="W567" s="149"/>
      <c r="X567" s="64" t="s">
        <v>3810</v>
      </c>
      <c r="Y567" s="64"/>
      <c r="Z567" s="68"/>
    </row>
    <row r="568" ht="15.0" customHeight="1">
      <c r="A568" s="139">
        <v>45881.0</v>
      </c>
      <c r="B568" s="201" t="s">
        <v>4391</v>
      </c>
      <c r="C568" s="148" t="s">
        <v>4392</v>
      </c>
      <c r="D568" s="140" t="str">
        <f>IFERROR(VLOOKUP(C568,Stock,3,FALSE),"")</f>
        <v>Mitsubishi Grandis 03-11 EZ45/NA4W</v>
      </c>
      <c r="E568" s="45">
        <v>1.0</v>
      </c>
      <c r="F568" s="202"/>
      <c r="G568" s="142">
        <f t="shared" si="31"/>
        <v>0</v>
      </c>
      <c r="H568" s="142"/>
      <c r="I568" s="143">
        <f t="shared" si="32"/>
        <v>0</v>
      </c>
      <c r="J568" s="144">
        <f t="shared" si="33"/>
        <v>0</v>
      </c>
      <c r="K568" s="108" t="s">
        <v>4175</v>
      </c>
      <c r="L568" s="17"/>
      <c r="M568" s="17"/>
      <c r="N568" s="68"/>
      <c r="O568" s="68"/>
      <c r="P568" s="170"/>
      <c r="Q568" s="149"/>
      <c r="R568" s="149"/>
      <c r="S568" s="149"/>
      <c r="T568" s="149"/>
      <c r="U568" s="149"/>
      <c r="V568" s="149"/>
      <c r="W568" s="149"/>
      <c r="X568" s="64" t="s">
        <v>3810</v>
      </c>
      <c r="Y568" s="64"/>
      <c r="Z568" s="68"/>
    </row>
    <row r="569" ht="15.0" customHeight="1">
      <c r="A569" s="139">
        <v>45881.0</v>
      </c>
      <c r="B569" s="64" t="s">
        <v>4393</v>
      </c>
      <c r="C569" s="45" t="s">
        <v>2952</v>
      </c>
      <c r="D569" s="140" t="str">
        <f>IFERROR(VLOOKUP(C569,Stock,3,FALSE),"")</f>
        <v/>
      </c>
      <c r="E569" s="45">
        <v>1.0</v>
      </c>
      <c r="F569" s="198">
        <v>1000000.0</v>
      </c>
      <c r="G569" s="142">
        <f t="shared" si="31"/>
        <v>1000000</v>
      </c>
      <c r="H569" s="142"/>
      <c r="I569" s="143">
        <f t="shared" si="32"/>
        <v>1000000</v>
      </c>
      <c r="J569" s="144">
        <f t="shared" si="33"/>
        <v>1000000</v>
      </c>
      <c r="K569" s="108" t="s">
        <v>4394</v>
      </c>
      <c r="L569" s="199" t="s">
        <v>4395</v>
      </c>
      <c r="M569" s="17"/>
      <c r="N569" s="64" t="s">
        <v>4396</v>
      </c>
      <c r="O569" s="64" t="s">
        <v>2813</v>
      </c>
      <c r="P569" s="170"/>
      <c r="Q569" s="149"/>
      <c r="R569" s="141"/>
      <c r="S569" s="141"/>
      <c r="T569" s="141">
        <v>30000.0</v>
      </c>
      <c r="U569" s="149"/>
      <c r="V569" s="149"/>
      <c r="W569" s="149"/>
      <c r="X569" s="64" t="s">
        <v>3810</v>
      </c>
      <c r="Y569" s="64"/>
      <c r="Z569" s="68"/>
    </row>
    <row r="570" ht="15.0" customHeight="1">
      <c r="A570" s="139">
        <v>45881.0</v>
      </c>
      <c r="B570" s="64" t="s">
        <v>4393</v>
      </c>
      <c r="C570" s="64" t="s">
        <v>2770</v>
      </c>
      <c r="D570" s="140" t="str">
        <f>IFERROR(VLOOKUP(C570,Stock,3,FALSE),"")</f>
        <v>Transport</v>
      </c>
      <c r="E570" s="45">
        <v>1.0</v>
      </c>
      <c r="F570" s="198">
        <v>70000.0</v>
      </c>
      <c r="G570" s="142">
        <f t="shared" si="31"/>
        <v>70000</v>
      </c>
      <c r="H570" s="142"/>
      <c r="I570" s="143">
        <f t="shared" si="32"/>
        <v>70000</v>
      </c>
      <c r="J570" s="144">
        <f t="shared" si="33"/>
        <v>70000</v>
      </c>
      <c r="K570" s="108" t="s">
        <v>4394</v>
      </c>
      <c r="L570" s="199" t="s">
        <v>4395</v>
      </c>
      <c r="M570" s="17"/>
      <c r="N570" s="64" t="s">
        <v>4396</v>
      </c>
      <c r="O570" s="64" t="s">
        <v>2813</v>
      </c>
      <c r="P570" s="170"/>
      <c r="Q570" s="149"/>
      <c r="R570" s="141"/>
      <c r="S570" s="141"/>
      <c r="T570" s="141">
        <v>1040000.0</v>
      </c>
      <c r="U570" s="149"/>
      <c r="V570" s="149"/>
      <c r="W570" s="149"/>
      <c r="X570" s="64" t="s">
        <v>3810</v>
      </c>
      <c r="Y570" s="64"/>
      <c r="Z570" s="68"/>
    </row>
    <row r="571" ht="15.0" customHeight="1">
      <c r="A571" s="139">
        <v>45882.0</v>
      </c>
      <c r="B571" s="64" t="s">
        <v>4397</v>
      </c>
      <c r="C571" s="45" t="s">
        <v>3029</v>
      </c>
      <c r="D571" s="140" t="str">
        <f>IFERROR(VLOOKUP(C571,Stock,3,FALSE),"")</f>
        <v>Mitsubishi Canter FE700 01- (PS110,125)</v>
      </c>
      <c r="E571" s="45">
        <v>1.0</v>
      </c>
      <c r="F571" s="198">
        <v>1270000.0</v>
      </c>
      <c r="G571" s="142">
        <f t="shared" si="31"/>
        <v>1270000</v>
      </c>
      <c r="H571" s="142"/>
      <c r="I571" s="143">
        <f t="shared" si="32"/>
        <v>1270000</v>
      </c>
      <c r="J571" s="144">
        <f t="shared" si="33"/>
        <v>1270000</v>
      </c>
      <c r="K571" s="108" t="s">
        <v>4398</v>
      </c>
      <c r="L571" s="199" t="s">
        <v>4399</v>
      </c>
      <c r="M571" s="17"/>
      <c r="N571" s="64" t="s">
        <v>4400</v>
      </c>
      <c r="O571" s="64" t="s">
        <v>2813</v>
      </c>
      <c r="P571" s="170"/>
      <c r="Q571" s="149"/>
      <c r="R571" s="141"/>
      <c r="S571" s="141"/>
      <c r="T571" s="141"/>
      <c r="U571" s="149"/>
      <c r="V571" s="149"/>
      <c r="W571" s="149"/>
      <c r="X571" s="64" t="s">
        <v>3810</v>
      </c>
      <c r="Y571" s="64"/>
      <c r="Z571" s="68"/>
    </row>
    <row r="572" ht="15.0" customHeight="1">
      <c r="A572" s="139">
        <v>45882.0</v>
      </c>
      <c r="B572" s="64" t="s">
        <v>4401</v>
      </c>
      <c r="C572" s="45" t="s">
        <v>4402</v>
      </c>
      <c r="D572" s="140" t="str">
        <f>IFERROR(VLOOKUP(C572,Stock,3,FALSE),"")</f>
        <v>Mitsubishi Canter FE300 85- (PS100,120,135 kabin kecil)</v>
      </c>
      <c r="E572" s="45">
        <v>1.0</v>
      </c>
      <c r="F572" s="198">
        <v>1100000.0</v>
      </c>
      <c r="G572" s="142">
        <f t="shared" si="31"/>
        <v>1100000</v>
      </c>
      <c r="H572" s="142"/>
      <c r="I572" s="143">
        <f t="shared" si="32"/>
        <v>1100000</v>
      </c>
      <c r="J572" s="144">
        <f t="shared" si="33"/>
        <v>1100000</v>
      </c>
      <c r="K572" s="108" t="s">
        <v>2902</v>
      </c>
      <c r="L572" s="199" t="s">
        <v>4403</v>
      </c>
      <c r="M572" s="17"/>
      <c r="N572" s="64" t="s">
        <v>4404</v>
      </c>
      <c r="O572" s="64" t="s">
        <v>3033</v>
      </c>
      <c r="P572" s="170"/>
      <c r="Q572" s="149"/>
      <c r="R572" s="141"/>
      <c r="S572" s="141"/>
      <c r="T572" s="141">
        <v>30000.0</v>
      </c>
      <c r="U572" s="149"/>
      <c r="V572" s="149"/>
      <c r="W572" s="149"/>
      <c r="X572" s="64" t="s">
        <v>3810</v>
      </c>
      <c r="Y572" s="64"/>
      <c r="Z572" s="68"/>
    </row>
    <row r="573" ht="15.0" customHeight="1">
      <c r="A573" s="139">
        <v>45882.0</v>
      </c>
      <c r="B573" s="64" t="s">
        <v>4401</v>
      </c>
      <c r="C573" s="45" t="s">
        <v>4405</v>
      </c>
      <c r="D573" s="140" t="str">
        <f>IFERROR(VLOOKUP(C573,Stock,3,FALSE),"")</f>
        <v>Mitsubishi Canter FE300 85- (PS100,120,135 kabin kecil)</v>
      </c>
      <c r="E573" s="45">
        <v>1.0</v>
      </c>
      <c r="F573" s="198">
        <v>550000.0</v>
      </c>
      <c r="G573" s="142">
        <f t="shared" si="31"/>
        <v>550000</v>
      </c>
      <c r="H573" s="142"/>
      <c r="I573" s="143">
        <f t="shared" si="32"/>
        <v>550000</v>
      </c>
      <c r="J573" s="144">
        <f t="shared" si="33"/>
        <v>550000</v>
      </c>
      <c r="K573" s="108" t="s">
        <v>2902</v>
      </c>
      <c r="L573" s="199" t="s">
        <v>4403</v>
      </c>
      <c r="M573" s="17"/>
      <c r="N573" s="64" t="s">
        <v>4404</v>
      </c>
      <c r="O573" s="64" t="s">
        <v>3033</v>
      </c>
      <c r="P573" s="170"/>
      <c r="Q573" s="149"/>
      <c r="R573" s="141"/>
      <c r="S573" s="141"/>
      <c r="T573" s="141"/>
      <c r="U573" s="149"/>
      <c r="V573" s="149"/>
      <c r="W573" s="149"/>
      <c r="X573" s="64" t="s">
        <v>3810</v>
      </c>
      <c r="Y573" s="64"/>
      <c r="Z573" s="68"/>
    </row>
    <row r="574" ht="15.0" customHeight="1">
      <c r="A574" s="139">
        <v>45882.0</v>
      </c>
      <c r="B574" s="64" t="s">
        <v>4406</v>
      </c>
      <c r="C574" s="203" t="s">
        <v>2830</v>
      </c>
      <c r="D574" s="140" t="str">
        <f>IFERROR(VLOOKUP(C574,Stock,3,FALSE),"")</f>
        <v/>
      </c>
      <c r="E574" s="45"/>
      <c r="F574" s="198"/>
      <c r="G574" s="142"/>
      <c r="H574" s="142"/>
      <c r="I574" s="143"/>
      <c r="J574" s="144"/>
      <c r="K574" s="108" t="s">
        <v>4407</v>
      </c>
      <c r="L574" s="199" t="s">
        <v>4408</v>
      </c>
      <c r="M574" s="17"/>
      <c r="N574" s="64" t="s">
        <v>4270</v>
      </c>
      <c r="O574" s="64" t="s">
        <v>4409</v>
      </c>
      <c r="P574" s="170"/>
      <c r="Q574" s="149"/>
      <c r="R574" s="141"/>
      <c r="S574" s="141"/>
      <c r="T574" s="141">
        <v>3514000.0</v>
      </c>
      <c r="U574" s="149"/>
      <c r="V574" s="149"/>
      <c r="W574" s="149"/>
      <c r="X574" s="64" t="s">
        <v>3810</v>
      </c>
      <c r="Y574" s="64"/>
      <c r="Z574" s="68"/>
    </row>
    <row r="575" ht="15.0" customHeight="1">
      <c r="A575" s="139">
        <v>45882.0</v>
      </c>
      <c r="B575" s="64" t="s">
        <v>4410</v>
      </c>
      <c r="C575" s="45" t="s">
        <v>4226</v>
      </c>
      <c r="D575" s="140" t="str">
        <f>IFERROR(VLOOKUP(C575,Stock,3,FALSE),"")</f>
        <v>Honda HR-V 14-21 5D SUV (Honda)</v>
      </c>
      <c r="E575" s="45">
        <v>1.0</v>
      </c>
      <c r="F575" s="198">
        <v>3156000.0</v>
      </c>
      <c r="G575" s="142">
        <f t="shared" ref="G575:G639" si="34">E575*F575</f>
        <v>3156000</v>
      </c>
      <c r="H575" s="142"/>
      <c r="I575" s="143">
        <f t="shared" ref="I575:I639" si="35">G575-H575</f>
        <v>3156000</v>
      </c>
      <c r="J575" s="144">
        <f t="shared" ref="J575:J639" si="36">I575</f>
        <v>3156000</v>
      </c>
      <c r="K575" s="108" t="s">
        <v>4411</v>
      </c>
      <c r="L575" s="199" t="s">
        <v>4412</v>
      </c>
      <c r="M575" s="17"/>
      <c r="N575" s="64" t="s">
        <v>4413</v>
      </c>
      <c r="O575" s="64" t="s">
        <v>2813</v>
      </c>
      <c r="P575" s="170"/>
      <c r="Q575" s="149"/>
      <c r="R575" s="141"/>
      <c r="S575" s="141"/>
      <c r="T575" s="141">
        <v>3156000.0</v>
      </c>
      <c r="U575" s="149"/>
      <c r="V575" s="149"/>
      <c r="W575" s="149"/>
      <c r="X575" s="64" t="s">
        <v>3810</v>
      </c>
      <c r="Y575" s="64"/>
      <c r="Z575" s="68"/>
    </row>
    <row r="576" ht="15.0" customHeight="1">
      <c r="A576" s="139">
        <v>45882.0</v>
      </c>
      <c r="B576" s="64" t="s">
        <v>4414</v>
      </c>
      <c r="C576" s="45" t="s">
        <v>3048</v>
      </c>
      <c r="D576" s="140" t="str">
        <f>IFERROR(VLOOKUP(C576,Stock,3,FALSE),"")</f>
        <v>Biaya Pengecekan</v>
      </c>
      <c r="E576" s="45">
        <v>1.0</v>
      </c>
      <c r="F576" s="198">
        <v>200000.0</v>
      </c>
      <c r="G576" s="142">
        <f t="shared" si="34"/>
        <v>200000</v>
      </c>
      <c r="H576" s="142"/>
      <c r="I576" s="143">
        <f t="shared" si="35"/>
        <v>200000</v>
      </c>
      <c r="J576" s="144">
        <f t="shared" si="36"/>
        <v>200000</v>
      </c>
      <c r="K576" s="108" t="s">
        <v>2979</v>
      </c>
      <c r="L576" s="199" t="s">
        <v>4415</v>
      </c>
      <c r="M576" s="17"/>
      <c r="N576" s="64" t="s">
        <v>4416</v>
      </c>
      <c r="O576" s="64" t="s">
        <v>2813</v>
      </c>
      <c r="P576" s="170"/>
      <c r="Q576" s="149"/>
      <c r="R576" s="141"/>
      <c r="S576" s="141"/>
      <c r="T576" s="141">
        <v>200000.0</v>
      </c>
      <c r="U576" s="149"/>
      <c r="V576" s="149"/>
      <c r="W576" s="149"/>
      <c r="X576" s="64" t="s">
        <v>3810</v>
      </c>
      <c r="Y576" s="64"/>
      <c r="Z576" s="68"/>
    </row>
    <row r="577" ht="15.0" customHeight="1">
      <c r="A577" s="139">
        <v>45882.0</v>
      </c>
      <c r="B577" s="64" t="s">
        <v>4417</v>
      </c>
      <c r="C577" s="45" t="s">
        <v>4418</v>
      </c>
      <c r="D577" s="140" t="str">
        <f>IFERROR(VLOOKUP(C577,Stock,3,FALSE),"")</f>
        <v>Isuzu Elf 93- NKR NHR</v>
      </c>
      <c r="E577" s="45">
        <v>1.0</v>
      </c>
      <c r="F577" s="198">
        <v>1150000.0</v>
      </c>
      <c r="G577" s="142">
        <f t="shared" si="34"/>
        <v>1150000</v>
      </c>
      <c r="H577" s="142"/>
      <c r="I577" s="143">
        <f t="shared" si="35"/>
        <v>1150000</v>
      </c>
      <c r="J577" s="144">
        <f t="shared" si="36"/>
        <v>1150000</v>
      </c>
      <c r="K577" s="108" t="s">
        <v>4419</v>
      </c>
      <c r="L577" s="199" t="s">
        <v>4420</v>
      </c>
      <c r="M577" s="17"/>
      <c r="N577" s="68"/>
      <c r="O577" s="64" t="s">
        <v>4320</v>
      </c>
      <c r="P577" s="170"/>
      <c r="Q577" s="149"/>
      <c r="R577" s="141"/>
      <c r="S577" s="141"/>
      <c r="T577" s="141">
        <v>30000.0</v>
      </c>
      <c r="U577" s="149"/>
      <c r="V577" s="149"/>
      <c r="W577" s="149"/>
      <c r="X577" s="64" t="s">
        <v>3810</v>
      </c>
      <c r="Y577" s="64"/>
      <c r="Z577" s="68"/>
    </row>
    <row r="578" ht="15.0" customHeight="1">
      <c r="A578" s="139">
        <v>45882.0</v>
      </c>
      <c r="B578" s="64" t="s">
        <v>4417</v>
      </c>
      <c r="C578" s="64" t="s">
        <v>2770</v>
      </c>
      <c r="D578" s="140" t="str">
        <f>IFERROR(VLOOKUP(C578,Stock,3,FALSE),"")</f>
        <v>Transport</v>
      </c>
      <c r="E578" s="45">
        <v>1.0</v>
      </c>
      <c r="F578" s="198">
        <v>100000.0</v>
      </c>
      <c r="G578" s="142">
        <f t="shared" si="34"/>
        <v>100000</v>
      </c>
      <c r="H578" s="142"/>
      <c r="I578" s="143">
        <f t="shared" si="35"/>
        <v>100000</v>
      </c>
      <c r="J578" s="144">
        <f t="shared" si="36"/>
        <v>100000</v>
      </c>
      <c r="K578" s="108" t="s">
        <v>4419</v>
      </c>
      <c r="L578" s="199" t="s">
        <v>4420</v>
      </c>
      <c r="M578" s="17"/>
      <c r="N578" s="68"/>
      <c r="O578" s="64" t="s">
        <v>4320</v>
      </c>
      <c r="P578" s="170"/>
      <c r="Q578" s="149"/>
      <c r="R578" s="141"/>
      <c r="S578" s="141"/>
      <c r="T578" s="141">
        <v>1220000.0</v>
      </c>
      <c r="U578" s="149"/>
      <c r="V578" s="149"/>
      <c r="W578" s="149"/>
      <c r="X578" s="64" t="s">
        <v>3810</v>
      </c>
      <c r="Y578" s="64"/>
      <c r="Z578" s="68"/>
    </row>
    <row r="579" ht="15.0" customHeight="1">
      <c r="A579" s="139">
        <v>45883.0</v>
      </c>
      <c r="B579" s="64" t="s">
        <v>4421</v>
      </c>
      <c r="C579" s="45" t="s">
        <v>2865</v>
      </c>
      <c r="D579" s="140" t="str">
        <f>IFERROR(VLOOKUP(C579,Stock,3,FALSE),"")</f>
        <v>Toyota Fortuner 15- 2nd Gen</v>
      </c>
      <c r="E579" s="45">
        <v>1.0</v>
      </c>
      <c r="F579" s="198">
        <v>1750000.0</v>
      </c>
      <c r="G579" s="142">
        <f t="shared" si="34"/>
        <v>1750000</v>
      </c>
      <c r="H579" s="142"/>
      <c r="I579" s="143">
        <f t="shared" si="35"/>
        <v>1750000</v>
      </c>
      <c r="J579" s="144">
        <f t="shared" si="36"/>
        <v>1750000</v>
      </c>
      <c r="K579" s="108" t="s">
        <v>4422</v>
      </c>
      <c r="L579" s="199" t="s">
        <v>4423</v>
      </c>
      <c r="M579" s="17"/>
      <c r="N579" s="64" t="s">
        <v>4424</v>
      </c>
      <c r="O579" s="64" t="s">
        <v>4425</v>
      </c>
      <c r="P579" s="170"/>
      <c r="Q579" s="149"/>
      <c r="R579" s="141"/>
      <c r="S579" s="141"/>
      <c r="T579" s="141">
        <v>1750000.0</v>
      </c>
      <c r="U579" s="149"/>
      <c r="V579" s="149"/>
      <c r="W579" s="149"/>
      <c r="X579" s="64" t="s">
        <v>3810</v>
      </c>
      <c r="Y579" s="64"/>
      <c r="Z579" s="68"/>
    </row>
    <row r="580" ht="15.0" customHeight="1">
      <c r="A580" s="139">
        <v>45883.0</v>
      </c>
      <c r="B580" s="64" t="s">
        <v>4426</v>
      </c>
      <c r="C580" s="45" t="s">
        <v>2916</v>
      </c>
      <c r="D580" s="140" t="str">
        <f>IFERROR(VLOOKUP(C580,Stock,3,FALSE),"")</f>
        <v>Toyota Alphard 08-15 ANH20 2nd Gen (Hitam)</v>
      </c>
      <c r="E580" s="45">
        <v>1.0</v>
      </c>
      <c r="F580" s="198"/>
      <c r="G580" s="142">
        <f t="shared" si="34"/>
        <v>0</v>
      </c>
      <c r="H580" s="142"/>
      <c r="I580" s="143">
        <f t="shared" si="35"/>
        <v>0</v>
      </c>
      <c r="J580" s="144">
        <f t="shared" si="36"/>
        <v>0</v>
      </c>
      <c r="K580" s="108" t="s">
        <v>4427</v>
      </c>
      <c r="L580" s="199" t="s">
        <v>4428</v>
      </c>
      <c r="M580" s="17"/>
      <c r="N580" s="64"/>
      <c r="O580" s="64" t="s">
        <v>2813</v>
      </c>
      <c r="P580" s="170"/>
      <c r="Q580" s="149"/>
      <c r="R580" s="141"/>
      <c r="S580" s="141"/>
      <c r="T580" s="141"/>
      <c r="U580" s="149"/>
      <c r="V580" s="149"/>
      <c r="W580" s="149"/>
      <c r="X580" s="64" t="s">
        <v>3810</v>
      </c>
      <c r="Y580" s="64"/>
      <c r="Z580" s="68"/>
    </row>
    <row r="581" ht="15.0" customHeight="1">
      <c r="A581" s="139">
        <v>45884.0</v>
      </c>
      <c r="B581" s="64" t="s">
        <v>4429</v>
      </c>
      <c r="C581" s="45" t="s">
        <v>3475</v>
      </c>
      <c r="D581" s="140" t="str">
        <f>IFERROR(VLOOKUP(C581,Stock,3,FALSE),"")</f>
        <v>Toyota Avanza / Xenia 03-11 1st Gen</v>
      </c>
      <c r="E581" s="45">
        <v>1.0</v>
      </c>
      <c r="F581" s="198">
        <v>1000000.0</v>
      </c>
      <c r="G581" s="142">
        <f t="shared" si="34"/>
        <v>1000000</v>
      </c>
      <c r="H581" s="142"/>
      <c r="I581" s="143">
        <f t="shared" si="35"/>
        <v>1000000</v>
      </c>
      <c r="J581" s="144">
        <f t="shared" si="36"/>
        <v>1000000</v>
      </c>
      <c r="K581" s="108" t="s">
        <v>4430</v>
      </c>
      <c r="L581" s="199" t="s">
        <v>4431</v>
      </c>
      <c r="M581" s="17"/>
      <c r="N581" s="64" t="s">
        <v>4432</v>
      </c>
      <c r="O581" s="64" t="s">
        <v>2813</v>
      </c>
      <c r="P581" s="170"/>
      <c r="Q581" s="141">
        <v>1275000.0</v>
      </c>
      <c r="R581" s="141"/>
      <c r="S581" s="141"/>
      <c r="T581" s="141"/>
      <c r="U581" s="149"/>
      <c r="V581" s="149"/>
      <c r="W581" s="149"/>
      <c r="X581" s="64" t="s">
        <v>3810</v>
      </c>
      <c r="Y581" s="64"/>
      <c r="Z581" s="68"/>
    </row>
    <row r="582" ht="15.0" customHeight="1">
      <c r="A582" s="139">
        <v>45884.0</v>
      </c>
      <c r="B582" s="64" t="s">
        <v>4429</v>
      </c>
      <c r="C582" s="64" t="s">
        <v>3434</v>
      </c>
      <c r="D582" s="140" t="str">
        <f>IFERROR(VLOOKUP(C582,Stock,3,FALSE),"")</f>
        <v>List Kaca Depan Code 04</v>
      </c>
      <c r="E582" s="45">
        <v>1.0</v>
      </c>
      <c r="F582" s="198">
        <v>275000.0</v>
      </c>
      <c r="G582" s="142">
        <f t="shared" si="34"/>
        <v>275000</v>
      </c>
      <c r="H582" s="142"/>
      <c r="I582" s="143">
        <f t="shared" si="35"/>
        <v>275000</v>
      </c>
      <c r="J582" s="144">
        <f t="shared" si="36"/>
        <v>275000</v>
      </c>
      <c r="K582" s="108" t="s">
        <v>4430</v>
      </c>
      <c r="L582" s="199" t="s">
        <v>4431</v>
      </c>
      <c r="M582" s="17"/>
      <c r="N582" s="64" t="s">
        <v>4432</v>
      </c>
      <c r="O582" s="64" t="s">
        <v>2813</v>
      </c>
      <c r="P582" s="170"/>
      <c r="Q582" s="149"/>
      <c r="R582" s="141"/>
      <c r="S582" s="141"/>
      <c r="T582" s="141"/>
      <c r="U582" s="149"/>
      <c r="V582" s="149"/>
      <c r="W582" s="149"/>
      <c r="X582" s="64" t="s">
        <v>3810</v>
      </c>
      <c r="Y582" s="64"/>
      <c r="Z582" s="68"/>
    </row>
    <row r="583" ht="15.0" customHeight="1">
      <c r="A583" s="139">
        <v>45884.0</v>
      </c>
      <c r="B583" s="64" t="s">
        <v>4433</v>
      </c>
      <c r="C583" s="45" t="s">
        <v>4434</v>
      </c>
      <c r="D583" s="140" t="str">
        <f>IFERROR(VLOOKUP(C583,Stock,3,FALSE),"")</f>
        <v>Mitsubishi Xpander 17-21 / Livina 19- 2nd Gen</v>
      </c>
      <c r="E583" s="45">
        <v>1.0</v>
      </c>
      <c r="F583" s="198">
        <v>1189000.0</v>
      </c>
      <c r="G583" s="142">
        <f t="shared" si="34"/>
        <v>1189000</v>
      </c>
      <c r="H583" s="142"/>
      <c r="I583" s="143">
        <f t="shared" si="35"/>
        <v>1189000</v>
      </c>
      <c r="J583" s="144">
        <f t="shared" si="36"/>
        <v>1189000</v>
      </c>
      <c r="K583" s="108" t="s">
        <v>4435</v>
      </c>
      <c r="L583" s="199" t="s">
        <v>4436</v>
      </c>
      <c r="M583" s="17"/>
      <c r="N583" s="64" t="s">
        <v>4437</v>
      </c>
      <c r="O583" s="64" t="s">
        <v>2813</v>
      </c>
      <c r="P583" s="170"/>
      <c r="Q583" s="149"/>
      <c r="R583" s="141"/>
      <c r="S583" s="141"/>
      <c r="T583" s="141">
        <v>1189000.0</v>
      </c>
      <c r="U583" s="149"/>
      <c r="V583" s="149"/>
      <c r="W583" s="149"/>
      <c r="X583" s="64" t="s">
        <v>3810</v>
      </c>
      <c r="Y583" s="64"/>
      <c r="Z583" s="68"/>
    </row>
    <row r="584" ht="15.0" customHeight="1">
      <c r="A584" s="139">
        <v>45884.0</v>
      </c>
      <c r="B584" s="64" t="s">
        <v>4438</v>
      </c>
      <c r="C584" s="64" t="s">
        <v>4439</v>
      </c>
      <c r="D584" s="140" t="str">
        <f>IFERROR(VLOOKUP(C584,Stock,3,FALSE),"")</f>
        <v>Toyota Innova 04-15 1st Gen (Toyota)</v>
      </c>
      <c r="E584" s="45">
        <v>1.0</v>
      </c>
      <c r="F584" s="198">
        <v>2680000.0</v>
      </c>
      <c r="G584" s="142">
        <f t="shared" si="34"/>
        <v>2680000</v>
      </c>
      <c r="H584" s="142"/>
      <c r="I584" s="143">
        <f t="shared" si="35"/>
        <v>2680000</v>
      </c>
      <c r="J584" s="144">
        <f t="shared" si="36"/>
        <v>2680000</v>
      </c>
      <c r="K584" s="108" t="s">
        <v>4440</v>
      </c>
      <c r="L584" s="199" t="s">
        <v>4441</v>
      </c>
      <c r="M584" s="17"/>
      <c r="N584" s="64" t="s">
        <v>4442</v>
      </c>
      <c r="O584" s="64" t="s">
        <v>2813</v>
      </c>
      <c r="P584" s="170"/>
      <c r="Q584" s="141">
        <v>2730000.0</v>
      </c>
      <c r="R584" s="141"/>
      <c r="S584" s="141"/>
      <c r="T584" s="141"/>
      <c r="U584" s="149"/>
      <c r="V584" s="149"/>
      <c r="W584" s="149"/>
      <c r="X584" s="64" t="s">
        <v>3810</v>
      </c>
      <c r="Y584" s="64"/>
      <c r="Z584" s="68"/>
    </row>
    <row r="585" ht="15.0" customHeight="1">
      <c r="A585" s="139">
        <v>45884.0</v>
      </c>
      <c r="B585" s="64" t="s">
        <v>4438</v>
      </c>
      <c r="C585" s="64" t="s">
        <v>2770</v>
      </c>
      <c r="D585" s="140" t="str">
        <f>IFERROR(VLOOKUP(C585,Stock,3,FALSE),"")</f>
        <v>Transport</v>
      </c>
      <c r="E585" s="45">
        <v>1.0</v>
      </c>
      <c r="F585" s="198">
        <v>80000.0</v>
      </c>
      <c r="G585" s="142">
        <f t="shared" si="34"/>
        <v>80000</v>
      </c>
      <c r="H585" s="142"/>
      <c r="I585" s="143">
        <f t="shared" si="35"/>
        <v>80000</v>
      </c>
      <c r="J585" s="144">
        <f t="shared" si="36"/>
        <v>80000</v>
      </c>
      <c r="K585" s="108" t="s">
        <v>4440</v>
      </c>
      <c r="L585" s="199" t="s">
        <v>4441</v>
      </c>
      <c r="M585" s="17"/>
      <c r="N585" s="64" t="s">
        <v>4442</v>
      </c>
      <c r="O585" s="64" t="s">
        <v>2813</v>
      </c>
      <c r="P585" s="170"/>
      <c r="Q585" s="149"/>
      <c r="R585" s="141"/>
      <c r="S585" s="141"/>
      <c r="T585" s="141"/>
      <c r="U585" s="149"/>
      <c r="V585" s="149"/>
      <c r="W585" s="149"/>
      <c r="X585" s="64" t="s">
        <v>3810</v>
      </c>
      <c r="Y585" s="64"/>
      <c r="Z585" s="68"/>
    </row>
    <row r="586" ht="15.0" customHeight="1">
      <c r="A586" s="139">
        <v>45884.0</v>
      </c>
      <c r="B586" s="64" t="s">
        <v>4443</v>
      </c>
      <c r="C586" s="64" t="s">
        <v>2885</v>
      </c>
      <c r="D586" s="140" t="str">
        <f>IFERROR(VLOOKUP(C586,Stock,3,FALSE),"")</f>
        <v>Bongkar Pasang Kaca Mobil Belakang</v>
      </c>
      <c r="E586" s="45">
        <v>1.0</v>
      </c>
      <c r="F586" s="198">
        <v>600000.0</v>
      </c>
      <c r="G586" s="142">
        <f t="shared" si="34"/>
        <v>600000</v>
      </c>
      <c r="H586" s="142"/>
      <c r="I586" s="143">
        <f t="shared" si="35"/>
        <v>600000</v>
      </c>
      <c r="J586" s="144">
        <f t="shared" si="36"/>
        <v>600000</v>
      </c>
      <c r="K586" s="108" t="s">
        <v>4444</v>
      </c>
      <c r="L586" s="199" t="s">
        <v>4423</v>
      </c>
      <c r="M586" s="17"/>
      <c r="N586" s="64" t="s">
        <v>4445</v>
      </c>
      <c r="O586" s="64" t="s">
        <v>4425</v>
      </c>
      <c r="P586" s="170"/>
      <c r="Q586" s="149"/>
      <c r="R586" s="141"/>
      <c r="S586" s="141"/>
      <c r="T586" s="141">
        <v>50000.0</v>
      </c>
      <c r="U586" s="149"/>
      <c r="V586" s="149"/>
      <c r="W586" s="149"/>
      <c r="X586" s="64" t="s">
        <v>3810</v>
      </c>
      <c r="Y586" s="64"/>
      <c r="Z586" s="68"/>
    </row>
    <row r="587" ht="15.0" customHeight="1">
      <c r="A587" s="139">
        <v>45884.0</v>
      </c>
      <c r="B587" s="64" t="s">
        <v>4443</v>
      </c>
      <c r="C587" s="64" t="s">
        <v>2782</v>
      </c>
      <c r="D587" s="140" t="str">
        <f>IFERROR(VLOOKUP(C587,Stock,3,FALSE),"")</f>
        <v>Bongkar Pasang Kaca Mobil Samping</v>
      </c>
      <c r="E587" s="45">
        <v>1.0</v>
      </c>
      <c r="F587" s="198">
        <v>450000.0</v>
      </c>
      <c r="G587" s="142">
        <f t="shared" si="34"/>
        <v>450000</v>
      </c>
      <c r="H587" s="142"/>
      <c r="I587" s="143">
        <f t="shared" si="35"/>
        <v>450000</v>
      </c>
      <c r="J587" s="144">
        <f t="shared" si="36"/>
        <v>450000</v>
      </c>
      <c r="K587" s="108" t="s">
        <v>4444</v>
      </c>
      <c r="L587" s="199" t="s">
        <v>4423</v>
      </c>
      <c r="M587" s="17"/>
      <c r="N587" s="64" t="s">
        <v>4445</v>
      </c>
      <c r="O587" s="64" t="s">
        <v>4425</v>
      </c>
      <c r="P587" s="170"/>
      <c r="Q587" s="149"/>
      <c r="R587" s="141"/>
      <c r="S587" s="141"/>
      <c r="T587" s="141">
        <v>1600000.0</v>
      </c>
      <c r="U587" s="149"/>
      <c r="V587" s="149"/>
      <c r="W587" s="149"/>
      <c r="X587" s="64" t="s">
        <v>3810</v>
      </c>
      <c r="Y587" s="64"/>
      <c r="Z587" s="68"/>
    </row>
    <row r="588" ht="15.0" customHeight="1">
      <c r="A588" s="139">
        <v>45884.0</v>
      </c>
      <c r="B588" s="64" t="s">
        <v>4443</v>
      </c>
      <c r="C588" s="64" t="s">
        <v>2782</v>
      </c>
      <c r="D588" s="140" t="str">
        <f>IFERROR(VLOOKUP(C588,Stock,3,FALSE),"")</f>
        <v>Bongkar Pasang Kaca Mobil Samping</v>
      </c>
      <c r="E588" s="45">
        <v>1.0</v>
      </c>
      <c r="F588" s="198">
        <v>450000.0</v>
      </c>
      <c r="G588" s="142">
        <f t="shared" si="34"/>
        <v>450000</v>
      </c>
      <c r="H588" s="142"/>
      <c r="I588" s="143">
        <f t="shared" si="35"/>
        <v>450000</v>
      </c>
      <c r="J588" s="144">
        <f t="shared" si="36"/>
        <v>450000</v>
      </c>
      <c r="K588" s="108" t="s">
        <v>4444</v>
      </c>
      <c r="L588" s="199" t="s">
        <v>4423</v>
      </c>
      <c r="M588" s="17"/>
      <c r="N588" s="64" t="s">
        <v>4445</v>
      </c>
      <c r="O588" s="64" t="s">
        <v>4425</v>
      </c>
      <c r="P588" s="170"/>
      <c r="Q588" s="149"/>
      <c r="R588" s="149"/>
      <c r="S588" s="149"/>
      <c r="T588" s="149"/>
      <c r="U588" s="149"/>
      <c r="V588" s="149"/>
      <c r="W588" s="149"/>
      <c r="X588" s="64" t="s">
        <v>3810</v>
      </c>
      <c r="Y588" s="64"/>
      <c r="Z588" s="68"/>
    </row>
    <row r="589" ht="15.0" customHeight="1">
      <c r="A589" s="139">
        <v>45884.0</v>
      </c>
      <c r="B589" s="64" t="s">
        <v>4443</v>
      </c>
      <c r="C589" s="64" t="s">
        <v>2770</v>
      </c>
      <c r="D589" s="140" t="str">
        <f>IFERROR(VLOOKUP(C589,Stock,3,FALSE),"")</f>
        <v>Transport</v>
      </c>
      <c r="E589" s="45">
        <v>1.0</v>
      </c>
      <c r="F589" s="198">
        <v>150000.0</v>
      </c>
      <c r="G589" s="142">
        <f t="shared" si="34"/>
        <v>150000</v>
      </c>
      <c r="H589" s="142"/>
      <c r="I589" s="143">
        <f t="shared" si="35"/>
        <v>150000</v>
      </c>
      <c r="J589" s="144">
        <f t="shared" si="36"/>
        <v>150000</v>
      </c>
      <c r="K589" s="108" t="s">
        <v>4444</v>
      </c>
      <c r="L589" s="199" t="s">
        <v>4423</v>
      </c>
      <c r="M589" s="17"/>
      <c r="N589" s="64" t="s">
        <v>4445</v>
      </c>
      <c r="O589" s="64" t="s">
        <v>4425</v>
      </c>
      <c r="P589" s="170"/>
      <c r="Q589" s="149"/>
      <c r="R589" s="149"/>
      <c r="S589" s="149"/>
      <c r="T589" s="149"/>
      <c r="U589" s="149"/>
      <c r="V589" s="149"/>
      <c r="W589" s="149"/>
      <c r="X589" s="64" t="s">
        <v>3810</v>
      </c>
      <c r="Y589" s="64"/>
      <c r="Z589" s="68"/>
    </row>
    <row r="590" ht="15.0" customHeight="1">
      <c r="A590" s="139">
        <v>45884.0</v>
      </c>
      <c r="B590" s="64" t="s">
        <v>4446</v>
      </c>
      <c r="C590" s="45" t="s">
        <v>4447</v>
      </c>
      <c r="D590" s="140" t="str">
        <f>IFERROR(VLOOKUP(C590,Stock,3,FALSE),"")</f>
        <v>Isuzu Elf 17- New NMR NLR</v>
      </c>
      <c r="E590" s="45">
        <v>1.0</v>
      </c>
      <c r="F590" s="198">
        <v>1700000.0</v>
      </c>
      <c r="G590" s="142">
        <f t="shared" si="34"/>
        <v>1700000</v>
      </c>
      <c r="H590" s="142"/>
      <c r="I590" s="143">
        <f t="shared" si="35"/>
        <v>1700000</v>
      </c>
      <c r="J590" s="144">
        <f t="shared" si="36"/>
        <v>1700000</v>
      </c>
      <c r="K590" s="108" t="s">
        <v>4328</v>
      </c>
      <c r="L590" s="199" t="s">
        <v>4329</v>
      </c>
      <c r="M590" s="17"/>
      <c r="N590" s="68"/>
      <c r="O590" s="64" t="s">
        <v>4330</v>
      </c>
      <c r="P590" s="170"/>
      <c r="Q590" s="149"/>
      <c r="R590" s="141"/>
      <c r="S590" s="141"/>
      <c r="T590" s="141">
        <v>1700000.0</v>
      </c>
      <c r="U590" s="149"/>
      <c r="V590" s="149"/>
      <c r="W590" s="149"/>
      <c r="X590" s="64" t="s">
        <v>3810</v>
      </c>
      <c r="Y590" s="64"/>
      <c r="Z590" s="68"/>
    </row>
    <row r="591" ht="15.0" customHeight="1">
      <c r="A591" s="139">
        <v>45884.0</v>
      </c>
      <c r="B591" s="64" t="s">
        <v>4448</v>
      </c>
      <c r="C591" s="45" t="s">
        <v>3193</v>
      </c>
      <c r="D591" s="140" t="str">
        <f>IFERROR(VLOOKUP(C591,Stock,3,FALSE),"")</f>
        <v>Toyota Avanza / Xenia 11-15 2nd Gen</v>
      </c>
      <c r="E591" s="45">
        <v>1.0</v>
      </c>
      <c r="F591" s="198">
        <v>1000000.0</v>
      </c>
      <c r="G591" s="142">
        <f t="shared" si="34"/>
        <v>1000000</v>
      </c>
      <c r="H591" s="142"/>
      <c r="I591" s="143">
        <f t="shared" si="35"/>
        <v>1000000</v>
      </c>
      <c r="J591" s="144">
        <f t="shared" si="36"/>
        <v>1000000</v>
      </c>
      <c r="K591" s="108" t="s">
        <v>4449</v>
      </c>
      <c r="L591" s="199" t="s">
        <v>4450</v>
      </c>
      <c r="M591" s="17"/>
      <c r="N591" s="64" t="s">
        <v>4451</v>
      </c>
      <c r="O591" s="64" t="s">
        <v>2813</v>
      </c>
      <c r="P591" s="170"/>
      <c r="Q591" s="149"/>
      <c r="R591" s="141"/>
      <c r="S591" s="141"/>
      <c r="T591" s="141">
        <v>1275000.0</v>
      </c>
      <c r="U591" s="149"/>
      <c r="V591" s="149"/>
      <c r="W591" s="149"/>
      <c r="X591" s="64" t="s">
        <v>3810</v>
      </c>
      <c r="Y591" s="64"/>
      <c r="Z591" s="68"/>
    </row>
    <row r="592" ht="15.0" customHeight="1">
      <c r="A592" s="139">
        <v>45884.0</v>
      </c>
      <c r="B592" s="64" t="s">
        <v>4448</v>
      </c>
      <c r="C592" s="64" t="s">
        <v>3434</v>
      </c>
      <c r="D592" s="140" t="str">
        <f>IFERROR(VLOOKUP(C592,Stock,3,FALSE),"")</f>
        <v>List Kaca Depan Code 04</v>
      </c>
      <c r="E592" s="45">
        <v>1.0</v>
      </c>
      <c r="F592" s="198">
        <v>275000.0</v>
      </c>
      <c r="G592" s="142">
        <f t="shared" si="34"/>
        <v>275000</v>
      </c>
      <c r="H592" s="142"/>
      <c r="I592" s="143">
        <f t="shared" si="35"/>
        <v>275000</v>
      </c>
      <c r="J592" s="144">
        <f t="shared" si="36"/>
        <v>275000</v>
      </c>
      <c r="K592" s="108" t="s">
        <v>4449</v>
      </c>
      <c r="L592" s="199" t="s">
        <v>4450</v>
      </c>
      <c r="M592" s="17"/>
      <c r="N592" s="64" t="s">
        <v>4451</v>
      </c>
      <c r="O592" s="64" t="s">
        <v>2813</v>
      </c>
      <c r="P592" s="170"/>
      <c r="Q592" s="149"/>
      <c r="R592" s="149"/>
      <c r="S592" s="149"/>
      <c r="T592" s="149"/>
      <c r="U592" s="149"/>
      <c r="V592" s="149"/>
      <c r="W592" s="149"/>
      <c r="X592" s="64" t="s">
        <v>3810</v>
      </c>
      <c r="Y592" s="64"/>
      <c r="Z592" s="68"/>
    </row>
    <row r="593" ht="15.0" customHeight="1">
      <c r="A593" s="139">
        <v>45885.0</v>
      </c>
      <c r="B593" s="64" t="s">
        <v>4452</v>
      </c>
      <c r="C593" s="45" t="s">
        <v>2003</v>
      </c>
      <c r="D593" s="140" t="str">
        <f>IFERROR(VLOOKUP(C593,Stock,3,FALSE),"")</f>
        <v>Toyota Agya/Ayla 13-22 1st Gen</v>
      </c>
      <c r="E593" s="45">
        <v>1.0</v>
      </c>
      <c r="F593" s="198">
        <v>1000000.0</v>
      </c>
      <c r="G593" s="142">
        <f t="shared" si="34"/>
        <v>1000000</v>
      </c>
      <c r="H593" s="142"/>
      <c r="I593" s="143">
        <f t="shared" si="35"/>
        <v>1000000</v>
      </c>
      <c r="J593" s="144">
        <f t="shared" si="36"/>
        <v>1000000</v>
      </c>
      <c r="K593" s="108" t="s">
        <v>4453</v>
      </c>
      <c r="L593" s="199" t="s">
        <v>4454</v>
      </c>
      <c r="M593" s="17"/>
      <c r="N593" s="64" t="s">
        <v>4455</v>
      </c>
      <c r="O593" s="64" t="s">
        <v>2813</v>
      </c>
      <c r="P593" s="170"/>
      <c r="Q593" s="141">
        <v>1000000.0</v>
      </c>
      <c r="R593" s="149"/>
      <c r="S593" s="149"/>
      <c r="T593" s="149"/>
      <c r="U593" s="149"/>
      <c r="V593" s="149"/>
      <c r="W593" s="149"/>
      <c r="X593" s="64" t="s">
        <v>3810</v>
      </c>
      <c r="Y593" s="64"/>
      <c r="Z593" s="68"/>
    </row>
    <row r="594" ht="15.0" customHeight="1">
      <c r="A594" s="139">
        <v>45885.0</v>
      </c>
      <c r="B594" s="64" t="s">
        <v>4456</v>
      </c>
      <c r="C594" s="45" t="s">
        <v>2869</v>
      </c>
      <c r="D594" s="140" t="str">
        <f>IFERROR(VLOOKUP(C594,Stock,3,FALSE),"")</f>
        <v>Daihatsu Gran Max / Luxio 07-</v>
      </c>
      <c r="E594" s="45">
        <v>1.0</v>
      </c>
      <c r="F594" s="198">
        <v>1000000.0</v>
      </c>
      <c r="G594" s="142">
        <f t="shared" si="34"/>
        <v>1000000</v>
      </c>
      <c r="H594" s="142"/>
      <c r="I594" s="143">
        <f t="shared" si="35"/>
        <v>1000000</v>
      </c>
      <c r="J594" s="144">
        <f t="shared" si="36"/>
        <v>1000000</v>
      </c>
      <c r="K594" s="108" t="s">
        <v>4457</v>
      </c>
      <c r="L594" s="199" t="s">
        <v>4458</v>
      </c>
      <c r="M594" s="17"/>
      <c r="N594" s="64" t="s">
        <v>4459</v>
      </c>
      <c r="O594" s="64" t="s">
        <v>2813</v>
      </c>
      <c r="P594" s="170"/>
      <c r="Q594" s="149"/>
      <c r="R594" s="141"/>
      <c r="S594" s="141"/>
      <c r="T594" s="141">
        <v>1000000.0</v>
      </c>
      <c r="U594" s="149"/>
      <c r="V594" s="149"/>
      <c r="W594" s="149"/>
      <c r="X594" s="64" t="s">
        <v>3810</v>
      </c>
      <c r="Y594" s="64"/>
      <c r="Z594" s="68"/>
    </row>
    <row r="595" ht="15.0" customHeight="1">
      <c r="A595" s="139">
        <v>45885.0</v>
      </c>
      <c r="B595" s="64" t="s">
        <v>4460</v>
      </c>
      <c r="C595" s="45" t="s">
        <v>2003</v>
      </c>
      <c r="D595" s="140" t="str">
        <f>IFERROR(VLOOKUP(C595,Stock,3,FALSE),"")</f>
        <v>Toyota Agya/Ayla 13-22 1st Gen</v>
      </c>
      <c r="E595" s="45">
        <v>1.0</v>
      </c>
      <c r="F595" s="198">
        <v>995000.0</v>
      </c>
      <c r="G595" s="142">
        <f t="shared" si="34"/>
        <v>995000</v>
      </c>
      <c r="H595" s="142"/>
      <c r="I595" s="143">
        <f t="shared" si="35"/>
        <v>995000</v>
      </c>
      <c r="J595" s="144">
        <f t="shared" si="36"/>
        <v>995000</v>
      </c>
      <c r="K595" s="108" t="s">
        <v>4394</v>
      </c>
      <c r="L595" s="199" t="s">
        <v>4395</v>
      </c>
      <c r="M595" s="17"/>
      <c r="N595" s="64" t="s">
        <v>4461</v>
      </c>
      <c r="O595" s="64" t="s">
        <v>2813</v>
      </c>
      <c r="P595" s="170"/>
      <c r="Q595" s="149"/>
      <c r="R595" s="141"/>
      <c r="S595" s="141"/>
      <c r="T595" s="141">
        <v>995000.0</v>
      </c>
      <c r="U595" s="149"/>
      <c r="V595" s="149"/>
      <c r="W595" s="149"/>
      <c r="X595" s="64" t="s">
        <v>3810</v>
      </c>
      <c r="Y595" s="64"/>
      <c r="Z595" s="68"/>
    </row>
    <row r="596" ht="15.0" customHeight="1">
      <c r="A596" s="139">
        <v>45885.0</v>
      </c>
      <c r="B596" s="64" t="s">
        <v>4462</v>
      </c>
      <c r="C596" s="45" t="s">
        <v>3528</v>
      </c>
      <c r="D596" s="140" t="str">
        <f>IFERROR(VLOOKUP(C596,Stock,3,FALSE),"")</f>
        <v>Hyundai Stargazer 22-</v>
      </c>
      <c r="E596" s="45">
        <v>1.0</v>
      </c>
      <c r="F596" s="198">
        <v>1900000.0</v>
      </c>
      <c r="G596" s="142">
        <f t="shared" si="34"/>
        <v>1900000</v>
      </c>
      <c r="H596" s="142"/>
      <c r="I596" s="143">
        <f t="shared" si="35"/>
        <v>1900000</v>
      </c>
      <c r="J596" s="144">
        <f t="shared" si="36"/>
        <v>1900000</v>
      </c>
      <c r="K596" s="108" t="s">
        <v>4463</v>
      </c>
      <c r="L596" s="199" t="s">
        <v>4464</v>
      </c>
      <c r="M596" s="17"/>
      <c r="N596" s="64" t="s">
        <v>4465</v>
      </c>
      <c r="O596" s="64" t="s">
        <v>4466</v>
      </c>
      <c r="P596" s="170"/>
      <c r="Q596" s="149"/>
      <c r="R596" s="141"/>
      <c r="S596" s="141"/>
      <c r="T596" s="141">
        <v>1900000.0</v>
      </c>
      <c r="U596" s="149"/>
      <c r="V596" s="149"/>
      <c r="W596" s="149"/>
      <c r="X596" s="64" t="s">
        <v>3810</v>
      </c>
      <c r="Y596" s="64"/>
      <c r="Z596" s="68"/>
    </row>
    <row r="597" ht="15.0" customHeight="1">
      <c r="A597" s="139">
        <v>45887.0</v>
      </c>
      <c r="B597" s="64" t="s">
        <v>4467</v>
      </c>
      <c r="C597" s="45" t="s">
        <v>4468</v>
      </c>
      <c r="D597" s="140" t="str">
        <f>IFERROR(VLOOKUP(C597,Stock,3,FALSE),"")</f>
        <v>Honda CR-V 17-23 5th Gen (Honda)</v>
      </c>
      <c r="E597" s="45">
        <v>1.0</v>
      </c>
      <c r="F597" s="198">
        <v>3750000.0</v>
      </c>
      <c r="G597" s="142">
        <f t="shared" si="34"/>
        <v>3750000</v>
      </c>
      <c r="H597" s="142"/>
      <c r="I597" s="143">
        <f t="shared" si="35"/>
        <v>3750000</v>
      </c>
      <c r="J597" s="144">
        <f t="shared" si="36"/>
        <v>3750000</v>
      </c>
      <c r="K597" s="108" t="s">
        <v>4469</v>
      </c>
      <c r="L597" s="199" t="s">
        <v>4470</v>
      </c>
      <c r="M597" s="17"/>
      <c r="N597" s="64" t="s">
        <v>4471</v>
      </c>
      <c r="O597" s="64" t="s">
        <v>2813</v>
      </c>
      <c r="P597" s="170"/>
      <c r="Q597" s="149"/>
      <c r="R597" s="141"/>
      <c r="S597" s="141"/>
      <c r="T597" s="141">
        <v>1750000.0</v>
      </c>
      <c r="U597" s="149"/>
      <c r="V597" s="149"/>
      <c r="W597" s="149"/>
      <c r="X597" s="64" t="s">
        <v>3810</v>
      </c>
      <c r="Y597" s="64"/>
      <c r="Z597" s="68"/>
    </row>
    <row r="598" ht="15.0" customHeight="1">
      <c r="A598" s="139">
        <v>45887.0</v>
      </c>
      <c r="B598" s="64" t="s">
        <v>4472</v>
      </c>
      <c r="C598" s="45" t="s">
        <v>4473</v>
      </c>
      <c r="D598" s="140" t="str">
        <f>IFERROR(VLOOKUP(C598,Stock,3,FALSE),"")</f>
        <v>Mitsubishi Xpander 17- / Livina 19- 2nd Gen (Mitsubishi)</v>
      </c>
      <c r="E598" s="45">
        <v>1.0</v>
      </c>
      <c r="F598" s="198">
        <v>2788000.0</v>
      </c>
      <c r="G598" s="142">
        <f t="shared" si="34"/>
        <v>2788000</v>
      </c>
      <c r="H598" s="142"/>
      <c r="I598" s="143">
        <f t="shared" si="35"/>
        <v>2788000</v>
      </c>
      <c r="J598" s="144">
        <f t="shared" si="36"/>
        <v>2788000</v>
      </c>
      <c r="K598" s="204" t="s">
        <v>4474</v>
      </c>
      <c r="L598" s="205" t="s">
        <v>4475</v>
      </c>
      <c r="M598" s="17"/>
      <c r="N598" s="64" t="s">
        <v>4476</v>
      </c>
      <c r="O598" s="64" t="s">
        <v>2813</v>
      </c>
      <c r="P598" s="170"/>
      <c r="Q598" s="149"/>
      <c r="R598" s="141"/>
      <c r="S598" s="141"/>
      <c r="T598" s="141">
        <v>2788000.0</v>
      </c>
      <c r="U598" s="149"/>
      <c r="V598" s="149"/>
      <c r="W598" s="149"/>
      <c r="X598" s="64" t="s">
        <v>3810</v>
      </c>
      <c r="Y598" s="64"/>
      <c r="Z598" s="68"/>
    </row>
    <row r="599" ht="15.0" customHeight="1">
      <c r="A599" s="139">
        <v>45887.0</v>
      </c>
      <c r="B599" s="64" t="s">
        <v>4477</v>
      </c>
      <c r="C599" s="45" t="s">
        <v>2952</v>
      </c>
      <c r="D599" s="140" t="str">
        <f>IFERROR(VLOOKUP(C599,Stock,3,FALSE),"")</f>
        <v/>
      </c>
      <c r="E599" s="45">
        <v>1.0</v>
      </c>
      <c r="F599" s="198">
        <v>1000000.0</v>
      </c>
      <c r="G599" s="142">
        <f t="shared" si="34"/>
        <v>1000000</v>
      </c>
      <c r="H599" s="142"/>
      <c r="I599" s="143">
        <f t="shared" si="35"/>
        <v>1000000</v>
      </c>
      <c r="J599" s="144">
        <f t="shared" si="36"/>
        <v>1000000</v>
      </c>
      <c r="K599" s="108" t="s">
        <v>4478</v>
      </c>
      <c r="L599" s="199" t="s">
        <v>4479</v>
      </c>
      <c r="M599" s="17"/>
      <c r="N599" s="64" t="s">
        <v>4480</v>
      </c>
      <c r="O599" s="64" t="s">
        <v>2813</v>
      </c>
      <c r="P599" s="170"/>
      <c r="Q599" s="149"/>
      <c r="R599" s="141"/>
      <c r="S599" s="141"/>
      <c r="T599" s="141">
        <v>1000000.0</v>
      </c>
      <c r="U599" s="149"/>
      <c r="V599" s="149"/>
      <c r="W599" s="149"/>
      <c r="X599" s="64" t="s">
        <v>3810</v>
      </c>
      <c r="Y599" s="64"/>
      <c r="Z599" s="68"/>
    </row>
    <row r="600" ht="15.0" customHeight="1">
      <c r="A600" s="139">
        <v>45887.0</v>
      </c>
      <c r="B600" s="64" t="s">
        <v>4481</v>
      </c>
      <c r="C600" s="45" t="s">
        <v>4482</v>
      </c>
      <c r="D600" s="140" t="str">
        <f>IFERROR(VLOOKUP(C600,Stock,3,FALSE),"")</f>
        <v>Mitsubishi X-Force 23- (RS) (Mitsubishi)</v>
      </c>
      <c r="E600" s="45">
        <v>1.0</v>
      </c>
      <c r="F600" s="198">
        <v>3880000.0</v>
      </c>
      <c r="G600" s="142">
        <f t="shared" si="34"/>
        <v>3880000</v>
      </c>
      <c r="H600" s="142"/>
      <c r="I600" s="143">
        <f t="shared" si="35"/>
        <v>3880000</v>
      </c>
      <c r="J600" s="144">
        <f t="shared" si="36"/>
        <v>3880000</v>
      </c>
      <c r="K600" s="108" t="s">
        <v>4483</v>
      </c>
      <c r="L600" s="199" t="s">
        <v>4484</v>
      </c>
      <c r="M600" s="17"/>
      <c r="N600" s="64" t="s">
        <v>4485</v>
      </c>
      <c r="O600" s="64" t="s">
        <v>3007</v>
      </c>
      <c r="P600" s="170"/>
      <c r="Q600" s="149"/>
      <c r="R600" s="141"/>
      <c r="S600" s="141"/>
      <c r="T600" s="141">
        <v>50000.0</v>
      </c>
      <c r="U600" s="149"/>
      <c r="V600" s="149"/>
      <c r="W600" s="149"/>
      <c r="X600" s="64" t="s">
        <v>3810</v>
      </c>
      <c r="Y600" s="64"/>
      <c r="Z600" s="68"/>
    </row>
    <row r="601" ht="15.0" customHeight="1">
      <c r="A601" s="139">
        <v>45887.0</v>
      </c>
      <c r="B601" s="64" t="s">
        <v>4481</v>
      </c>
      <c r="C601" s="64" t="s">
        <v>2770</v>
      </c>
      <c r="D601" s="140" t="str">
        <f>IFERROR(VLOOKUP(C601,Stock,3,FALSE),"")</f>
        <v>Transport</v>
      </c>
      <c r="E601" s="45">
        <v>1.0</v>
      </c>
      <c r="F601" s="198">
        <v>120000.0</v>
      </c>
      <c r="G601" s="142">
        <f t="shared" si="34"/>
        <v>120000</v>
      </c>
      <c r="H601" s="142"/>
      <c r="I601" s="143">
        <f t="shared" si="35"/>
        <v>120000</v>
      </c>
      <c r="J601" s="144">
        <f t="shared" si="36"/>
        <v>120000</v>
      </c>
      <c r="K601" s="108" t="s">
        <v>4483</v>
      </c>
      <c r="L601" s="199" t="s">
        <v>4484</v>
      </c>
      <c r="M601" s="17"/>
      <c r="N601" s="64" t="s">
        <v>4485</v>
      </c>
      <c r="O601" s="64" t="s">
        <v>3007</v>
      </c>
      <c r="P601" s="170"/>
      <c r="Q601" s="149"/>
      <c r="R601" s="141"/>
      <c r="S601" s="141"/>
      <c r="T601" s="141">
        <v>3950000.0</v>
      </c>
      <c r="U601" s="149"/>
      <c r="V601" s="149"/>
      <c r="W601" s="149"/>
      <c r="X601" s="64" t="s">
        <v>3810</v>
      </c>
      <c r="Y601" s="64"/>
      <c r="Z601" s="68"/>
    </row>
    <row r="602" ht="15.0" customHeight="1">
      <c r="A602" s="139">
        <v>45887.0</v>
      </c>
      <c r="B602" s="64" t="s">
        <v>4486</v>
      </c>
      <c r="C602" s="45" t="s">
        <v>3643</v>
      </c>
      <c r="D602" s="140" t="str">
        <f>IFERROR(VLOOKUP(C602,Stock,3,FALSE),"")</f>
        <v>Honda Jazz 01-07 1st Gen</v>
      </c>
      <c r="E602" s="45">
        <v>1.0</v>
      </c>
      <c r="F602" s="198">
        <v>1768000.0</v>
      </c>
      <c r="G602" s="142">
        <f t="shared" si="34"/>
        <v>1768000</v>
      </c>
      <c r="H602" s="142"/>
      <c r="I602" s="143">
        <f t="shared" si="35"/>
        <v>1768000</v>
      </c>
      <c r="J602" s="144">
        <f t="shared" si="36"/>
        <v>1768000</v>
      </c>
      <c r="K602" s="108" t="s">
        <v>4487</v>
      </c>
      <c r="L602" s="199" t="s">
        <v>4488</v>
      </c>
      <c r="M602" s="17"/>
      <c r="N602" s="64" t="s">
        <v>4489</v>
      </c>
      <c r="O602" s="64" t="s">
        <v>4490</v>
      </c>
      <c r="P602" s="170"/>
      <c r="Q602" s="149"/>
      <c r="R602" s="141"/>
      <c r="S602" s="141"/>
      <c r="T602" s="141">
        <v>30000.0</v>
      </c>
      <c r="U602" s="149"/>
      <c r="V602" s="149"/>
      <c r="W602" s="149"/>
      <c r="X602" s="64" t="s">
        <v>3810</v>
      </c>
      <c r="Y602" s="64"/>
      <c r="Z602" s="68"/>
    </row>
    <row r="603" ht="15.0" customHeight="1">
      <c r="A603" s="139">
        <v>45887.0</v>
      </c>
      <c r="B603" s="64" t="s">
        <v>4486</v>
      </c>
      <c r="C603" s="64" t="s">
        <v>2770</v>
      </c>
      <c r="D603" s="140" t="str">
        <f>IFERROR(VLOOKUP(C603,Stock,3,FALSE),"")</f>
        <v>Transport</v>
      </c>
      <c r="E603" s="45">
        <v>1.0</v>
      </c>
      <c r="F603" s="198">
        <v>200000.0</v>
      </c>
      <c r="G603" s="142">
        <f t="shared" si="34"/>
        <v>200000</v>
      </c>
      <c r="H603" s="142"/>
      <c r="I603" s="143">
        <f t="shared" si="35"/>
        <v>200000</v>
      </c>
      <c r="J603" s="144">
        <f t="shared" si="36"/>
        <v>200000</v>
      </c>
      <c r="K603" s="108" t="s">
        <v>4487</v>
      </c>
      <c r="L603" s="199" t="s">
        <v>4488</v>
      </c>
      <c r="M603" s="17"/>
      <c r="N603" s="64" t="s">
        <v>4489</v>
      </c>
      <c r="O603" s="64" t="s">
        <v>4490</v>
      </c>
      <c r="P603" s="170"/>
      <c r="Q603" s="149"/>
      <c r="R603" s="141"/>
      <c r="S603" s="141"/>
      <c r="T603" s="141">
        <v>1938000.0</v>
      </c>
      <c r="U603" s="149"/>
      <c r="V603" s="149"/>
      <c r="W603" s="149"/>
      <c r="X603" s="64" t="s">
        <v>3810</v>
      </c>
      <c r="Y603" s="64"/>
      <c r="Z603" s="68"/>
    </row>
    <row r="604" ht="15.0" customHeight="1">
      <c r="A604" s="139">
        <v>45887.0</v>
      </c>
      <c r="B604" s="201" t="s">
        <v>4491</v>
      </c>
      <c r="C604" s="45" t="s">
        <v>3043</v>
      </c>
      <c r="D604" s="140" t="str">
        <f>IFERROR(VLOOKUP(C604,Stock,3,FALSE),"")</f>
        <v>Honda CR-V 17- 5th Gen</v>
      </c>
      <c r="E604" s="45">
        <v>1.0</v>
      </c>
      <c r="F604" s="198">
        <v>1492000.0</v>
      </c>
      <c r="G604" s="142">
        <f t="shared" si="34"/>
        <v>1492000</v>
      </c>
      <c r="H604" s="142"/>
      <c r="I604" s="143">
        <f t="shared" si="35"/>
        <v>1492000</v>
      </c>
      <c r="J604" s="144">
        <f t="shared" si="36"/>
        <v>1492000</v>
      </c>
      <c r="K604" s="108" t="s">
        <v>4492</v>
      </c>
      <c r="L604" s="199" t="s">
        <v>4493</v>
      </c>
      <c r="M604" s="17"/>
      <c r="N604" s="64" t="s">
        <v>4270</v>
      </c>
      <c r="O604" s="64" t="s">
        <v>2813</v>
      </c>
      <c r="P604" s="170"/>
      <c r="Q604" s="149"/>
      <c r="R604" s="141"/>
      <c r="S604" s="141"/>
      <c r="T604" s="141">
        <v>1492000.0</v>
      </c>
      <c r="U604" s="149"/>
      <c r="V604" s="149"/>
      <c r="W604" s="149"/>
      <c r="X604" s="64" t="s">
        <v>3810</v>
      </c>
      <c r="Y604" s="64"/>
      <c r="Z604" s="68"/>
    </row>
    <row r="605" ht="15.0" customHeight="1">
      <c r="A605" s="206">
        <v>45888.0</v>
      </c>
      <c r="B605" s="201" t="s">
        <v>4494</v>
      </c>
      <c r="C605" s="45" t="s">
        <v>3662</v>
      </c>
      <c r="D605" s="140" t="str">
        <f>IFERROR(VLOOKUP(C605,Stock,3,FALSE),"")</f>
        <v>Toyota Innova 15-22 2nd Gen (Toyota)</v>
      </c>
      <c r="E605" s="45">
        <v>1.0</v>
      </c>
      <c r="F605" s="198">
        <v>2889000.0</v>
      </c>
      <c r="G605" s="142">
        <f t="shared" si="34"/>
        <v>2889000</v>
      </c>
      <c r="H605" s="142"/>
      <c r="I605" s="143">
        <f t="shared" si="35"/>
        <v>2889000</v>
      </c>
      <c r="J605" s="144">
        <f t="shared" si="36"/>
        <v>2889000</v>
      </c>
      <c r="K605" s="108" t="s">
        <v>4495</v>
      </c>
      <c r="L605" s="199" t="s">
        <v>4496</v>
      </c>
      <c r="M605" s="17"/>
      <c r="N605" s="64" t="s">
        <v>4497</v>
      </c>
      <c r="O605" s="64" t="s">
        <v>3007</v>
      </c>
      <c r="P605" s="170"/>
      <c r="Q605" s="149"/>
      <c r="R605" s="141"/>
      <c r="S605" s="141"/>
      <c r="T605" s="141">
        <v>30000.0</v>
      </c>
      <c r="U605" s="149"/>
      <c r="V605" s="149"/>
      <c r="W605" s="149"/>
      <c r="X605" s="64" t="s">
        <v>3810</v>
      </c>
      <c r="Y605" s="64"/>
      <c r="Z605" s="68"/>
    </row>
    <row r="606" ht="15.0" customHeight="1">
      <c r="A606" s="206">
        <v>45888.0</v>
      </c>
      <c r="B606" s="201" t="s">
        <v>4494</v>
      </c>
      <c r="C606" s="64" t="s">
        <v>2770</v>
      </c>
      <c r="D606" s="140" t="str">
        <f>IFERROR(VLOOKUP(C606,Stock,3,FALSE),"")</f>
        <v>Transport</v>
      </c>
      <c r="E606" s="45">
        <v>1.0</v>
      </c>
      <c r="F606" s="198">
        <v>200000.0</v>
      </c>
      <c r="G606" s="142">
        <f t="shared" si="34"/>
        <v>200000</v>
      </c>
      <c r="H606" s="142"/>
      <c r="I606" s="143">
        <f t="shared" si="35"/>
        <v>200000</v>
      </c>
      <c r="J606" s="144">
        <f t="shared" si="36"/>
        <v>200000</v>
      </c>
      <c r="K606" s="108" t="s">
        <v>4495</v>
      </c>
      <c r="L606" s="199" t="s">
        <v>4496</v>
      </c>
      <c r="M606" s="17"/>
      <c r="N606" s="64" t="s">
        <v>4497</v>
      </c>
      <c r="O606" s="64" t="s">
        <v>3007</v>
      </c>
      <c r="P606" s="170"/>
      <c r="Q606" s="149"/>
      <c r="R606" s="141"/>
      <c r="S606" s="141"/>
      <c r="T606" s="141">
        <v>3059000.0</v>
      </c>
      <c r="U606" s="149"/>
      <c r="V606" s="149"/>
      <c r="W606" s="149"/>
      <c r="X606" s="64" t="s">
        <v>3810</v>
      </c>
      <c r="Y606" s="64"/>
      <c r="Z606" s="68"/>
    </row>
    <row r="607" ht="15.0" customHeight="1">
      <c r="A607" s="206">
        <v>45888.0</v>
      </c>
      <c r="B607" s="201" t="s">
        <v>4498</v>
      </c>
      <c r="C607" s="64" t="s">
        <v>4499</v>
      </c>
      <c r="D607" s="140" t="str">
        <f>IFERROR(VLOOKUP(C607,Stock,3,FALSE),"")</f>
        <v>Toyota Camry 11-17 XV50 5th Gen</v>
      </c>
      <c r="E607" s="45">
        <v>1.0</v>
      </c>
      <c r="F607" s="198">
        <v>3551000.0</v>
      </c>
      <c r="G607" s="142">
        <f t="shared" si="34"/>
        <v>3551000</v>
      </c>
      <c r="H607" s="142"/>
      <c r="I607" s="143">
        <f t="shared" si="35"/>
        <v>3551000</v>
      </c>
      <c r="J607" s="144">
        <f t="shared" si="36"/>
        <v>3551000</v>
      </c>
      <c r="K607" s="108" t="s">
        <v>4500</v>
      </c>
      <c r="L607" s="199" t="s">
        <v>4501</v>
      </c>
      <c r="M607" s="17"/>
      <c r="N607" s="64" t="s">
        <v>4502</v>
      </c>
      <c r="O607" s="64" t="s">
        <v>2813</v>
      </c>
      <c r="P607" s="170"/>
      <c r="Q607" s="149"/>
      <c r="R607" s="141"/>
      <c r="S607" s="141"/>
      <c r="T607" s="141">
        <v>2500000.0</v>
      </c>
      <c r="U607" s="149"/>
      <c r="V607" s="149"/>
      <c r="W607" s="149"/>
      <c r="X607" s="64" t="s">
        <v>3810</v>
      </c>
      <c r="Y607" s="64"/>
      <c r="Z607" s="68"/>
    </row>
    <row r="608" ht="15.0" customHeight="1">
      <c r="A608" s="206">
        <v>45888.0</v>
      </c>
      <c r="B608" s="201" t="s">
        <v>4498</v>
      </c>
      <c r="C608" s="64" t="s">
        <v>4017</v>
      </c>
      <c r="D608" s="140" t="str">
        <f>IFERROR(VLOOKUP(C608,Stock,3,FALSE),"")</f>
        <v>Black Phantom Solar Gard</v>
      </c>
      <c r="E608" s="45">
        <v>1.0</v>
      </c>
      <c r="F608" s="198">
        <v>1275000.0</v>
      </c>
      <c r="G608" s="142">
        <f t="shared" si="34"/>
        <v>1275000</v>
      </c>
      <c r="H608" s="142"/>
      <c r="I608" s="143">
        <f t="shared" si="35"/>
        <v>1275000</v>
      </c>
      <c r="J608" s="144">
        <f t="shared" si="36"/>
        <v>1275000</v>
      </c>
      <c r="K608" s="108" t="s">
        <v>4500</v>
      </c>
      <c r="L608" s="199" t="s">
        <v>4501</v>
      </c>
      <c r="M608" s="17"/>
      <c r="N608" s="64" t="s">
        <v>4502</v>
      </c>
      <c r="O608" s="64" t="s">
        <v>2813</v>
      </c>
      <c r="P608" s="170"/>
      <c r="Q608" s="149"/>
      <c r="R608" s="141"/>
      <c r="S608" s="141"/>
      <c r="T608" s="141">
        <v>2328000.0</v>
      </c>
      <c r="U608" s="149"/>
      <c r="V608" s="149"/>
      <c r="W608" s="149"/>
      <c r="X608" s="64" t="s">
        <v>3810</v>
      </c>
      <c r="Y608" s="64"/>
      <c r="Z608" s="68"/>
    </row>
    <row r="609" ht="15.0" customHeight="1">
      <c r="A609" s="206">
        <v>45888.0</v>
      </c>
      <c r="B609" s="201" t="s">
        <v>4503</v>
      </c>
      <c r="C609" s="64" t="s">
        <v>4504</v>
      </c>
      <c r="D609" s="140" t="str">
        <f>IFERROR(VLOOKUP(C609,Stock,3,FALSE),"")</f>
        <v>Mitsubishi Xpander 17-21 / Livina 19- 2nd Gen (Mitsubishi)</v>
      </c>
      <c r="E609" s="45">
        <v>1.0</v>
      </c>
      <c r="F609" s="198">
        <v>1290000.0</v>
      </c>
      <c r="G609" s="142">
        <f t="shared" si="34"/>
        <v>1290000</v>
      </c>
      <c r="H609" s="142"/>
      <c r="I609" s="143">
        <f t="shared" si="35"/>
        <v>1290000</v>
      </c>
      <c r="J609" s="144">
        <f t="shared" si="36"/>
        <v>1290000</v>
      </c>
      <c r="K609" s="108" t="s">
        <v>4505</v>
      </c>
      <c r="L609" s="199" t="s">
        <v>4506</v>
      </c>
      <c r="M609" s="17"/>
      <c r="N609" s="64" t="s">
        <v>4507</v>
      </c>
      <c r="O609" s="64" t="s">
        <v>2813</v>
      </c>
      <c r="P609" s="170"/>
      <c r="Q609" s="149"/>
      <c r="R609" s="141"/>
      <c r="S609" s="141"/>
      <c r="T609" s="141">
        <v>30000.0</v>
      </c>
      <c r="U609" s="149"/>
      <c r="V609" s="149"/>
      <c r="W609" s="149"/>
      <c r="X609" s="64" t="s">
        <v>3810</v>
      </c>
      <c r="Y609" s="64"/>
      <c r="Z609" s="68"/>
    </row>
    <row r="610" ht="15.0" customHeight="1">
      <c r="A610" s="206">
        <v>45888.0</v>
      </c>
      <c r="B610" s="201" t="s">
        <v>4503</v>
      </c>
      <c r="C610" s="64" t="s">
        <v>2770</v>
      </c>
      <c r="D610" s="140" t="str">
        <f>IFERROR(VLOOKUP(C610,Stock,3,FALSE),"")</f>
        <v>Transport</v>
      </c>
      <c r="E610" s="45">
        <v>1.0</v>
      </c>
      <c r="F610" s="198">
        <v>120000.0</v>
      </c>
      <c r="G610" s="142">
        <f t="shared" si="34"/>
        <v>120000</v>
      </c>
      <c r="H610" s="142"/>
      <c r="I610" s="143">
        <f t="shared" si="35"/>
        <v>120000</v>
      </c>
      <c r="J610" s="144">
        <f t="shared" si="36"/>
        <v>120000</v>
      </c>
      <c r="K610" s="108" t="s">
        <v>4505</v>
      </c>
      <c r="L610" s="199" t="s">
        <v>4506</v>
      </c>
      <c r="M610" s="17"/>
      <c r="N610" s="64" t="s">
        <v>4507</v>
      </c>
      <c r="O610" s="64" t="s">
        <v>2813</v>
      </c>
      <c r="P610" s="170"/>
      <c r="Q610" s="149"/>
      <c r="R610" s="141"/>
      <c r="S610" s="141"/>
      <c r="T610" s="141">
        <v>1380000.0</v>
      </c>
      <c r="U610" s="149"/>
      <c r="V610" s="149"/>
      <c r="W610" s="149"/>
      <c r="X610" s="64" t="s">
        <v>3810</v>
      </c>
      <c r="Y610" s="64"/>
      <c r="Z610" s="68"/>
    </row>
    <row r="611" ht="15.0" customHeight="1">
      <c r="A611" s="206">
        <v>45888.0</v>
      </c>
      <c r="B611" s="201" t="s">
        <v>4508</v>
      </c>
      <c r="C611" s="45" t="s">
        <v>4402</v>
      </c>
      <c r="D611" s="140" t="str">
        <f>IFERROR(VLOOKUP(C611,Stock,3,FALSE),"")</f>
        <v>Mitsubishi Canter FE300 85- (PS100,120,135 kabin kecil)</v>
      </c>
      <c r="E611" s="45">
        <v>5.0</v>
      </c>
      <c r="F611" s="202"/>
      <c r="G611" s="142">
        <f t="shared" si="34"/>
        <v>0</v>
      </c>
      <c r="H611" s="142"/>
      <c r="I611" s="143">
        <f t="shared" si="35"/>
        <v>0</v>
      </c>
      <c r="J611" s="144">
        <f t="shared" si="36"/>
        <v>0</v>
      </c>
      <c r="K611" s="108" t="s">
        <v>4509</v>
      </c>
      <c r="L611" s="17"/>
      <c r="M611" s="17"/>
      <c r="N611" s="68"/>
      <c r="O611" s="68"/>
      <c r="P611" s="170"/>
      <c r="Q611" s="141">
        <v>350000.0</v>
      </c>
      <c r="R611" s="149"/>
      <c r="S611" s="149"/>
      <c r="T611" s="149"/>
      <c r="U611" s="149"/>
      <c r="V611" s="149"/>
      <c r="W611" s="149"/>
      <c r="X611" s="64" t="s">
        <v>3810</v>
      </c>
      <c r="Y611" s="68"/>
      <c r="Z611" s="68"/>
    </row>
    <row r="612" ht="15.0" customHeight="1">
      <c r="A612" s="206">
        <v>45888.0</v>
      </c>
      <c r="B612" s="201" t="s">
        <v>4508</v>
      </c>
      <c r="C612" s="45" t="s">
        <v>2869</v>
      </c>
      <c r="D612" s="140" t="str">
        <f>IFERROR(VLOOKUP(C612,Stock,3,FALSE),"")</f>
        <v>Daihatsu Gran Max / Luxio 07-</v>
      </c>
      <c r="E612" s="45">
        <v>10.0</v>
      </c>
      <c r="F612" s="202"/>
      <c r="G612" s="142">
        <f t="shared" si="34"/>
        <v>0</v>
      </c>
      <c r="H612" s="142"/>
      <c r="I612" s="143">
        <f t="shared" si="35"/>
        <v>0</v>
      </c>
      <c r="J612" s="144">
        <f t="shared" si="36"/>
        <v>0</v>
      </c>
      <c r="K612" s="108" t="s">
        <v>4509</v>
      </c>
      <c r="L612" s="17"/>
      <c r="M612" s="17"/>
      <c r="N612" s="68"/>
      <c r="O612" s="68"/>
      <c r="P612" s="170"/>
      <c r="Q612" s="149"/>
      <c r="R612" s="149"/>
      <c r="S612" s="149"/>
      <c r="T612" s="149"/>
      <c r="U612" s="149"/>
      <c r="V612" s="149"/>
      <c r="W612" s="149"/>
      <c r="X612" s="64" t="s">
        <v>3810</v>
      </c>
      <c r="Y612" s="68"/>
      <c r="Z612" s="68"/>
    </row>
    <row r="613" ht="15.0" customHeight="1">
      <c r="A613" s="206">
        <v>45888.0</v>
      </c>
      <c r="B613" s="201" t="s">
        <v>4508</v>
      </c>
      <c r="C613" s="45" t="s">
        <v>3113</v>
      </c>
      <c r="D613" s="140" t="str">
        <f>IFERROR(VLOOKUP(C613,Stock,3,FALSE),"")</f>
        <v>Mitsubishi Pajero 16-</v>
      </c>
      <c r="E613" s="45">
        <v>3.0</v>
      </c>
      <c r="F613" s="202"/>
      <c r="G613" s="142">
        <f t="shared" si="34"/>
        <v>0</v>
      </c>
      <c r="H613" s="142"/>
      <c r="I613" s="143">
        <f t="shared" si="35"/>
        <v>0</v>
      </c>
      <c r="J613" s="144">
        <f t="shared" si="36"/>
        <v>0</v>
      </c>
      <c r="K613" s="108" t="s">
        <v>4509</v>
      </c>
      <c r="L613" s="17"/>
      <c r="M613" s="17"/>
      <c r="N613" s="68"/>
      <c r="O613" s="68"/>
      <c r="P613" s="170"/>
      <c r="Q613" s="149"/>
      <c r="R613" s="149"/>
      <c r="S613" s="149"/>
      <c r="T613" s="149"/>
      <c r="U613" s="149"/>
      <c r="V613" s="149"/>
      <c r="W613" s="149"/>
      <c r="X613" s="64" t="s">
        <v>3810</v>
      </c>
      <c r="Y613" s="68"/>
      <c r="Z613" s="68"/>
    </row>
    <row r="614" ht="15.0" customHeight="1">
      <c r="A614" s="206">
        <v>45888.0</v>
      </c>
      <c r="B614" s="201" t="s">
        <v>4508</v>
      </c>
      <c r="C614" s="45" t="s">
        <v>3475</v>
      </c>
      <c r="D614" s="140" t="str">
        <f>IFERROR(VLOOKUP(C614,Stock,3,FALSE),"")</f>
        <v>Toyota Avanza / Xenia 03-11 1st Gen</v>
      </c>
      <c r="E614" s="45">
        <v>5.0</v>
      </c>
      <c r="F614" s="202"/>
      <c r="G614" s="142">
        <f t="shared" si="34"/>
        <v>0</v>
      </c>
      <c r="H614" s="142"/>
      <c r="I614" s="143">
        <f t="shared" si="35"/>
        <v>0</v>
      </c>
      <c r="J614" s="144">
        <f t="shared" si="36"/>
        <v>0</v>
      </c>
      <c r="K614" s="108" t="s">
        <v>4509</v>
      </c>
      <c r="L614" s="17"/>
      <c r="M614" s="17"/>
      <c r="N614" s="68"/>
      <c r="O614" s="68"/>
      <c r="P614" s="170"/>
      <c r="Q614" s="149"/>
      <c r="R614" s="149"/>
      <c r="S614" s="149"/>
      <c r="T614" s="149"/>
      <c r="U614" s="149"/>
      <c r="V614" s="149"/>
      <c r="W614" s="149"/>
      <c r="X614" s="64" t="s">
        <v>3810</v>
      </c>
      <c r="Y614" s="68"/>
      <c r="Z614" s="68"/>
    </row>
    <row r="615" ht="15.0" customHeight="1">
      <c r="A615" s="206">
        <v>45888.0</v>
      </c>
      <c r="B615" s="201" t="s">
        <v>4508</v>
      </c>
      <c r="C615" s="45" t="s">
        <v>4144</v>
      </c>
      <c r="D615" s="140" t="str">
        <f>IFERROR(VLOOKUP(C615,Stock,3,FALSE),"")</f>
        <v>Toyota Rush / Terios 06-17</v>
      </c>
      <c r="E615" s="45">
        <v>2.0</v>
      </c>
      <c r="F615" s="202"/>
      <c r="G615" s="142">
        <f t="shared" si="34"/>
        <v>0</v>
      </c>
      <c r="H615" s="142"/>
      <c r="I615" s="143">
        <f t="shared" si="35"/>
        <v>0</v>
      </c>
      <c r="J615" s="144">
        <f t="shared" si="36"/>
        <v>0</v>
      </c>
      <c r="K615" s="108" t="s">
        <v>4509</v>
      </c>
      <c r="L615" s="17"/>
      <c r="M615" s="17"/>
      <c r="N615" s="68"/>
      <c r="O615" s="68"/>
      <c r="P615" s="170"/>
      <c r="Q615" s="149"/>
      <c r="R615" s="149"/>
      <c r="S615" s="149"/>
      <c r="T615" s="149"/>
      <c r="U615" s="149"/>
      <c r="V615" s="149"/>
      <c r="W615" s="149"/>
      <c r="X615" s="64" t="s">
        <v>3810</v>
      </c>
      <c r="Y615" s="68"/>
      <c r="Z615" s="68"/>
    </row>
    <row r="616" ht="15.0" customHeight="1">
      <c r="A616" s="206">
        <v>45888.0</v>
      </c>
      <c r="B616" s="201" t="s">
        <v>4508</v>
      </c>
      <c r="C616" s="45" t="s">
        <v>3446</v>
      </c>
      <c r="D616" s="140" t="str">
        <f>IFERROR(VLOOKUP(C616,Stock,3,FALSE),"")</f>
        <v>501 Sealant Application</v>
      </c>
      <c r="E616" s="45">
        <v>100.0</v>
      </c>
      <c r="F616" s="202"/>
      <c r="G616" s="142">
        <f t="shared" si="34"/>
        <v>0</v>
      </c>
      <c r="H616" s="142"/>
      <c r="I616" s="143">
        <f t="shared" si="35"/>
        <v>0</v>
      </c>
      <c r="J616" s="144">
        <f t="shared" si="36"/>
        <v>0</v>
      </c>
      <c r="K616" s="108" t="s">
        <v>4509</v>
      </c>
      <c r="L616" s="17"/>
      <c r="M616" s="17"/>
      <c r="N616" s="68"/>
      <c r="O616" s="68"/>
      <c r="P616" s="170"/>
      <c r="Q616" s="149"/>
      <c r="R616" s="149"/>
      <c r="S616" s="149"/>
      <c r="T616" s="149"/>
      <c r="U616" s="149"/>
      <c r="V616" s="149"/>
      <c r="W616" s="149"/>
      <c r="X616" s="64" t="s">
        <v>3810</v>
      </c>
      <c r="Y616" s="68"/>
      <c r="Z616" s="68"/>
    </row>
    <row r="617" ht="15.0" customHeight="1">
      <c r="A617" s="206">
        <v>45889.0</v>
      </c>
      <c r="B617" s="201" t="s">
        <v>4510</v>
      </c>
      <c r="C617" s="45" t="s">
        <v>4511</v>
      </c>
      <c r="D617" s="140" t="str">
        <f>IFERROR(VLOOKUP(C617,Stock,3,FALSE),"")</f>
        <v>Isuzu D-Max 12-19 2nd Gen</v>
      </c>
      <c r="E617" s="45">
        <v>1.0</v>
      </c>
      <c r="F617" s="198">
        <v>1898000.0</v>
      </c>
      <c r="G617" s="142">
        <f t="shared" si="34"/>
        <v>1898000</v>
      </c>
      <c r="H617" s="142"/>
      <c r="I617" s="143">
        <f t="shared" si="35"/>
        <v>1898000</v>
      </c>
      <c r="J617" s="144">
        <f t="shared" si="36"/>
        <v>1898000</v>
      </c>
      <c r="K617" s="108" t="s">
        <v>4512</v>
      </c>
      <c r="L617" s="199" t="s">
        <v>4513</v>
      </c>
      <c r="M617" s="17"/>
      <c r="N617" s="68"/>
      <c r="O617" s="64" t="s">
        <v>4514</v>
      </c>
      <c r="P617" s="170"/>
      <c r="Q617" s="149"/>
      <c r="R617" s="141"/>
      <c r="S617" s="141"/>
      <c r="T617" s="141">
        <v>30000.0</v>
      </c>
      <c r="U617" s="149"/>
      <c r="V617" s="149"/>
      <c r="W617" s="149"/>
      <c r="X617" s="64" t="s">
        <v>3810</v>
      </c>
      <c r="Y617" s="64" t="s">
        <v>4515</v>
      </c>
      <c r="Z617" s="68"/>
    </row>
    <row r="618" ht="15.0" customHeight="1">
      <c r="A618" s="206">
        <v>45889.0</v>
      </c>
      <c r="B618" s="201" t="s">
        <v>4510</v>
      </c>
      <c r="C618" s="64" t="s">
        <v>2770</v>
      </c>
      <c r="D618" s="140" t="str">
        <f>IFERROR(VLOOKUP(C618,Stock,3,FALSE),"")</f>
        <v>Transport</v>
      </c>
      <c r="E618" s="45">
        <v>1.0</v>
      </c>
      <c r="F618" s="198">
        <v>150000.0</v>
      </c>
      <c r="G618" s="142">
        <f t="shared" si="34"/>
        <v>150000</v>
      </c>
      <c r="H618" s="142"/>
      <c r="I618" s="143">
        <f t="shared" si="35"/>
        <v>150000</v>
      </c>
      <c r="J618" s="144">
        <f t="shared" si="36"/>
        <v>150000</v>
      </c>
      <c r="K618" s="108" t="s">
        <v>4512</v>
      </c>
      <c r="L618" s="199" t="s">
        <v>4513</v>
      </c>
      <c r="M618" s="17"/>
      <c r="N618" s="68"/>
      <c r="O618" s="64" t="s">
        <v>4514</v>
      </c>
      <c r="P618" s="170"/>
      <c r="Q618" s="141">
        <v>2293000.0</v>
      </c>
      <c r="R618" s="141"/>
      <c r="S618" s="141"/>
      <c r="T618" s="141"/>
      <c r="U618" s="149"/>
      <c r="V618" s="149"/>
      <c r="W618" s="149"/>
      <c r="X618" s="64" t="s">
        <v>3810</v>
      </c>
      <c r="Y618" s="64" t="s">
        <v>4515</v>
      </c>
      <c r="Z618" s="68"/>
    </row>
    <row r="619" ht="15.0" customHeight="1">
      <c r="A619" s="206">
        <v>45889.0</v>
      </c>
      <c r="B619" s="201" t="s">
        <v>4510</v>
      </c>
      <c r="C619" s="45" t="s">
        <v>3434</v>
      </c>
      <c r="D619" s="140" t="str">
        <f>IFERROR(VLOOKUP(C619,Stock,3,FALSE),"")</f>
        <v>List Kaca Depan Code 04</v>
      </c>
      <c r="E619" s="45">
        <v>1.0</v>
      </c>
      <c r="F619" s="198">
        <v>275000.0</v>
      </c>
      <c r="G619" s="142">
        <f t="shared" si="34"/>
        <v>275000</v>
      </c>
      <c r="H619" s="142"/>
      <c r="I619" s="143">
        <f t="shared" si="35"/>
        <v>275000</v>
      </c>
      <c r="J619" s="144">
        <f t="shared" si="36"/>
        <v>275000</v>
      </c>
      <c r="K619" s="108" t="s">
        <v>4512</v>
      </c>
      <c r="L619" s="199" t="s">
        <v>4513</v>
      </c>
      <c r="M619" s="17"/>
      <c r="N619" s="68"/>
      <c r="O619" s="64" t="s">
        <v>4514</v>
      </c>
      <c r="P619" s="170"/>
      <c r="Q619" s="149"/>
      <c r="R619" s="149"/>
      <c r="S619" s="149"/>
      <c r="T619" s="149"/>
      <c r="U619" s="149"/>
      <c r="V619" s="149"/>
      <c r="W619" s="149"/>
      <c r="X619" s="64" t="s">
        <v>3810</v>
      </c>
      <c r="Y619" s="64" t="s">
        <v>4515</v>
      </c>
      <c r="Z619" s="68"/>
    </row>
    <row r="620" ht="15.0" customHeight="1">
      <c r="A620" s="206">
        <v>45889.0</v>
      </c>
      <c r="B620" s="201" t="s">
        <v>4516</v>
      </c>
      <c r="C620" s="45" t="s">
        <v>3142</v>
      </c>
      <c r="D620" s="140" t="str">
        <f>IFERROR(VLOOKUP(C620,Stock,3,FALSE),"")</f>
        <v>Mitsubishi Xpander 17-</v>
      </c>
      <c r="E620" s="45">
        <v>1.0</v>
      </c>
      <c r="F620" s="198">
        <v>1598000.0</v>
      </c>
      <c r="G620" s="142">
        <f t="shared" si="34"/>
        <v>1598000</v>
      </c>
      <c r="H620" s="142"/>
      <c r="I620" s="143">
        <f t="shared" si="35"/>
        <v>1598000</v>
      </c>
      <c r="J620" s="144">
        <f t="shared" si="36"/>
        <v>1598000</v>
      </c>
      <c r="K620" s="108" t="s">
        <v>4517</v>
      </c>
      <c r="L620" s="199" t="s">
        <v>4518</v>
      </c>
      <c r="M620" s="17"/>
      <c r="N620" s="64" t="s">
        <v>4519</v>
      </c>
      <c r="O620" s="64" t="s">
        <v>2813</v>
      </c>
      <c r="P620" s="170"/>
      <c r="Q620" s="149"/>
      <c r="R620" s="141"/>
      <c r="S620" s="141"/>
      <c r="T620" s="141">
        <v>1598000.0</v>
      </c>
      <c r="U620" s="149"/>
      <c r="V620" s="149"/>
      <c r="W620" s="149"/>
      <c r="X620" s="64" t="s">
        <v>3810</v>
      </c>
      <c r="Y620" s="64" t="s">
        <v>4515</v>
      </c>
      <c r="Z620" s="68"/>
    </row>
    <row r="621" ht="15.0" customHeight="1">
      <c r="A621" s="206">
        <v>45889.0</v>
      </c>
      <c r="B621" s="201" t="s">
        <v>4520</v>
      </c>
      <c r="C621" s="45" t="s">
        <v>4521</v>
      </c>
      <c r="D621" s="140" t="str">
        <f>IFERROR(VLOOKUP(C621,Stock,3,FALSE),"")</f>
        <v>Nissan X-Trail 13- T32 </v>
      </c>
      <c r="E621" s="45">
        <v>1.0</v>
      </c>
      <c r="F621" s="198">
        <v>2679000.0</v>
      </c>
      <c r="G621" s="142">
        <f t="shared" si="34"/>
        <v>2679000</v>
      </c>
      <c r="H621" s="142"/>
      <c r="I621" s="143">
        <f t="shared" si="35"/>
        <v>2679000</v>
      </c>
      <c r="J621" s="144">
        <f t="shared" si="36"/>
        <v>2679000</v>
      </c>
      <c r="K621" s="108" t="s">
        <v>4522</v>
      </c>
      <c r="L621" s="199" t="s">
        <v>4523</v>
      </c>
      <c r="M621" s="17"/>
      <c r="N621" s="64" t="s">
        <v>4524</v>
      </c>
      <c r="O621" s="64" t="s">
        <v>4525</v>
      </c>
      <c r="P621" s="170"/>
      <c r="Q621" s="149"/>
      <c r="R621" s="141"/>
      <c r="S621" s="141"/>
      <c r="T621" s="141"/>
      <c r="U621" s="141">
        <v>2679000.0</v>
      </c>
      <c r="V621" s="149"/>
      <c r="W621" s="149"/>
      <c r="X621" s="64" t="s">
        <v>3810</v>
      </c>
      <c r="Y621" s="64" t="s">
        <v>4515</v>
      </c>
      <c r="Z621" s="68"/>
    </row>
    <row r="622" ht="15.0" customHeight="1">
      <c r="A622" s="206">
        <v>45889.0</v>
      </c>
      <c r="B622" s="201" t="s">
        <v>4520</v>
      </c>
      <c r="C622" s="64" t="s">
        <v>2770</v>
      </c>
      <c r="D622" s="140" t="str">
        <f>IFERROR(VLOOKUP(C622,Stock,3,FALSE),"")</f>
        <v>Transport</v>
      </c>
      <c r="E622" s="45">
        <v>1.0</v>
      </c>
      <c r="F622" s="198">
        <v>200000.0</v>
      </c>
      <c r="G622" s="142">
        <f t="shared" si="34"/>
        <v>200000</v>
      </c>
      <c r="H622" s="142"/>
      <c r="I622" s="143">
        <f t="shared" si="35"/>
        <v>200000</v>
      </c>
      <c r="J622" s="144">
        <f t="shared" si="36"/>
        <v>200000</v>
      </c>
      <c r="K622" s="108" t="s">
        <v>4522</v>
      </c>
      <c r="L622" s="199" t="s">
        <v>4523</v>
      </c>
      <c r="M622" s="17"/>
      <c r="N622" s="64" t="s">
        <v>4524</v>
      </c>
      <c r="O622" s="64" t="s">
        <v>4525</v>
      </c>
      <c r="P622" s="170"/>
      <c r="Q622" s="149"/>
      <c r="R622" s="141"/>
      <c r="S622" s="141"/>
      <c r="T622" s="141">
        <v>200000.0</v>
      </c>
      <c r="U622" s="149"/>
      <c r="V622" s="149"/>
      <c r="W622" s="149"/>
      <c r="X622" s="64" t="s">
        <v>3810</v>
      </c>
      <c r="Y622" s="68"/>
      <c r="Z622" s="68"/>
    </row>
    <row r="623" ht="15.0" customHeight="1">
      <c r="A623" s="206">
        <v>45889.0</v>
      </c>
      <c r="B623" s="201" t="s">
        <v>4520</v>
      </c>
      <c r="C623" s="45" t="s">
        <v>2962</v>
      </c>
      <c r="D623" s="140" t="str">
        <f>IFERROR(VLOOKUP(C623,Stock,3,FALSE),"")</f>
        <v>Lembur</v>
      </c>
      <c r="E623" s="45">
        <v>1.0</v>
      </c>
      <c r="F623" s="198">
        <v>150000.0</v>
      </c>
      <c r="G623" s="142">
        <f t="shared" si="34"/>
        <v>150000</v>
      </c>
      <c r="H623" s="143">
        <v>150000.0</v>
      </c>
      <c r="I623" s="143">
        <f t="shared" si="35"/>
        <v>0</v>
      </c>
      <c r="J623" s="144">
        <f t="shared" si="36"/>
        <v>0</v>
      </c>
      <c r="K623" s="108" t="s">
        <v>4522</v>
      </c>
      <c r="L623" s="199" t="s">
        <v>4523</v>
      </c>
      <c r="M623" s="17"/>
      <c r="N623" s="64" t="s">
        <v>4524</v>
      </c>
      <c r="O623" s="64" t="s">
        <v>4525</v>
      </c>
      <c r="P623" s="170"/>
      <c r="Q623" s="149"/>
      <c r="R623" s="149"/>
      <c r="S623" s="149"/>
      <c r="T623" s="149"/>
      <c r="U623" s="149"/>
      <c r="V623" s="149"/>
      <c r="W623" s="149"/>
      <c r="X623" s="64" t="s">
        <v>3810</v>
      </c>
      <c r="Y623" s="68"/>
      <c r="Z623" s="68"/>
    </row>
    <row r="624" ht="15.0" customHeight="1">
      <c r="A624" s="206">
        <v>45890.0</v>
      </c>
      <c r="B624" s="201" t="s">
        <v>4526</v>
      </c>
      <c r="C624" s="45" t="s">
        <v>4527</v>
      </c>
      <c r="D624" s="140" t="str">
        <f>IFERROR(VLOOKUP(C624,Stock,3,FALSE),"")</f>
        <v>Honda BR-V 22- 2nd Gen (Honda)</v>
      </c>
      <c r="E624" s="45">
        <v>1.0</v>
      </c>
      <c r="F624" s="202"/>
      <c r="G624" s="142">
        <f t="shared" si="34"/>
        <v>0</v>
      </c>
      <c r="H624" s="142"/>
      <c r="I624" s="143">
        <f t="shared" si="35"/>
        <v>0</v>
      </c>
      <c r="J624" s="144">
        <f t="shared" si="36"/>
        <v>0</v>
      </c>
      <c r="K624" s="108" t="s">
        <v>4509</v>
      </c>
      <c r="L624" s="17"/>
      <c r="M624" s="17"/>
      <c r="N624" s="68"/>
      <c r="O624" s="68"/>
      <c r="P624" s="170"/>
      <c r="Q624" s="149"/>
      <c r="R624" s="149"/>
      <c r="S624" s="149"/>
      <c r="T624" s="149"/>
      <c r="U624" s="149"/>
      <c r="V624" s="149"/>
      <c r="W624" s="149"/>
      <c r="X624" s="64" t="s">
        <v>3191</v>
      </c>
      <c r="Y624" s="68"/>
      <c r="Z624" s="68"/>
    </row>
    <row r="625" ht="15.0" customHeight="1">
      <c r="A625" s="206">
        <v>45890.0</v>
      </c>
      <c r="B625" s="201" t="s">
        <v>4528</v>
      </c>
      <c r="C625" s="45" t="s">
        <v>4529</v>
      </c>
      <c r="D625" s="140" t="str">
        <f>IFERROR(VLOOKUP(C625,Stock,3,FALSE),"")</f>
        <v>Mitsubishi Pajero 16-</v>
      </c>
      <c r="E625" s="45">
        <v>1.0</v>
      </c>
      <c r="F625" s="198">
        <v>750000.0</v>
      </c>
      <c r="G625" s="142">
        <f t="shared" si="34"/>
        <v>750000</v>
      </c>
      <c r="H625" s="142"/>
      <c r="I625" s="143">
        <f t="shared" si="35"/>
        <v>750000</v>
      </c>
      <c r="J625" s="144">
        <f t="shared" si="36"/>
        <v>750000</v>
      </c>
      <c r="K625" s="108" t="s">
        <v>4530</v>
      </c>
      <c r="L625" s="199" t="s">
        <v>4531</v>
      </c>
      <c r="M625" s="17"/>
      <c r="N625" s="64" t="s">
        <v>4532</v>
      </c>
      <c r="O625" s="64" t="s">
        <v>2987</v>
      </c>
      <c r="P625" s="170"/>
      <c r="Q625" s="149"/>
      <c r="R625" s="141"/>
      <c r="S625" s="141"/>
      <c r="T625" s="141">
        <v>750000.0</v>
      </c>
      <c r="U625" s="149"/>
      <c r="V625" s="149"/>
      <c r="W625" s="149"/>
      <c r="X625" s="64" t="s">
        <v>3810</v>
      </c>
      <c r="Y625" s="64" t="s">
        <v>4515</v>
      </c>
      <c r="Z625" s="68"/>
    </row>
    <row r="626" ht="15.0" customHeight="1">
      <c r="A626" s="206">
        <v>45891.0</v>
      </c>
      <c r="B626" s="201" t="s">
        <v>4533</v>
      </c>
      <c r="C626" s="45" t="s">
        <v>4534</v>
      </c>
      <c r="D626" s="140" t="str">
        <f>IFERROR(VLOOKUP(C626,Stock,3,FALSE),"")</f>
        <v>Suzuki Ertiga 12-18 1st Gen MPV</v>
      </c>
      <c r="E626" s="45">
        <v>1.0</v>
      </c>
      <c r="F626" s="198">
        <v>598000.0</v>
      </c>
      <c r="G626" s="142">
        <f t="shared" si="34"/>
        <v>598000</v>
      </c>
      <c r="H626" s="142"/>
      <c r="I626" s="143">
        <f t="shared" si="35"/>
        <v>598000</v>
      </c>
      <c r="J626" s="144">
        <f t="shared" si="36"/>
        <v>598000</v>
      </c>
      <c r="K626" s="108" t="s">
        <v>4535</v>
      </c>
      <c r="L626" s="199" t="s">
        <v>4536</v>
      </c>
      <c r="M626" s="17"/>
      <c r="N626" s="64" t="s">
        <v>4537</v>
      </c>
      <c r="O626" s="64" t="s">
        <v>4538</v>
      </c>
      <c r="P626" s="170"/>
      <c r="Q626" s="141">
        <v>598000.0</v>
      </c>
      <c r="R626" s="149"/>
      <c r="S626" s="149"/>
      <c r="T626" s="149"/>
      <c r="U626" s="149"/>
      <c r="V626" s="149"/>
      <c r="W626" s="149"/>
      <c r="X626" s="64" t="s">
        <v>3810</v>
      </c>
      <c r="Y626" s="64" t="s">
        <v>4515</v>
      </c>
      <c r="Z626" s="68"/>
    </row>
    <row r="627" ht="15.0" customHeight="1">
      <c r="A627" s="206">
        <v>45891.0</v>
      </c>
      <c r="B627" s="201" t="s">
        <v>4539</v>
      </c>
      <c r="C627" s="45" t="s">
        <v>2778</v>
      </c>
      <c r="D627" s="140" t="str">
        <f>IFERROR(VLOOKUP(C627,Stock,3,FALSE),"")</f>
        <v>Bongkar Pasang Kaca Mobil Depan</v>
      </c>
      <c r="E627" s="45">
        <v>1.0</v>
      </c>
      <c r="F627" s="198">
        <v>600000.0</v>
      </c>
      <c r="G627" s="142">
        <f t="shared" si="34"/>
        <v>600000</v>
      </c>
      <c r="H627" s="143">
        <v>300000.0</v>
      </c>
      <c r="I627" s="143">
        <f t="shared" si="35"/>
        <v>300000</v>
      </c>
      <c r="J627" s="144">
        <f t="shared" si="36"/>
        <v>300000</v>
      </c>
      <c r="K627" s="108" t="s">
        <v>4540</v>
      </c>
      <c r="L627" s="199" t="s">
        <v>4541</v>
      </c>
      <c r="M627" s="17"/>
      <c r="N627" s="68"/>
      <c r="O627" s="64" t="s">
        <v>4542</v>
      </c>
      <c r="P627" s="170"/>
      <c r="Q627" s="149"/>
      <c r="R627" s="141"/>
      <c r="S627" s="141"/>
      <c r="T627" s="141">
        <v>30000.0</v>
      </c>
      <c r="U627" s="149"/>
      <c r="V627" s="149"/>
      <c r="W627" s="149"/>
      <c r="X627" s="64" t="s">
        <v>3810</v>
      </c>
      <c r="Y627" s="68"/>
      <c r="Z627" s="68"/>
    </row>
    <row r="628" ht="15.0" customHeight="1">
      <c r="A628" s="206">
        <v>45891.0</v>
      </c>
      <c r="B628" s="201" t="s">
        <v>4539</v>
      </c>
      <c r="C628" s="64" t="s">
        <v>2770</v>
      </c>
      <c r="D628" s="140" t="str">
        <f>IFERROR(VLOOKUP(C628,Stock,3,FALSE),"")</f>
        <v>Transport</v>
      </c>
      <c r="E628" s="45">
        <v>1.0</v>
      </c>
      <c r="F628" s="198">
        <v>50000.0</v>
      </c>
      <c r="G628" s="142">
        <f t="shared" si="34"/>
        <v>50000</v>
      </c>
      <c r="H628" s="142"/>
      <c r="I628" s="143">
        <f t="shared" si="35"/>
        <v>50000</v>
      </c>
      <c r="J628" s="144">
        <f t="shared" si="36"/>
        <v>50000</v>
      </c>
      <c r="K628" s="108" t="s">
        <v>4540</v>
      </c>
      <c r="L628" s="199" t="s">
        <v>4541</v>
      </c>
      <c r="M628" s="17"/>
      <c r="N628" s="68"/>
      <c r="O628" s="64" t="s">
        <v>4542</v>
      </c>
      <c r="P628" s="170"/>
      <c r="Q628" s="149"/>
      <c r="R628" s="141"/>
      <c r="S628" s="141"/>
      <c r="T628" s="141">
        <v>320000.0</v>
      </c>
      <c r="U628" s="149"/>
      <c r="V628" s="149"/>
      <c r="W628" s="149"/>
      <c r="X628" s="64" t="s">
        <v>3810</v>
      </c>
      <c r="Y628" s="68"/>
      <c r="Z628" s="68"/>
    </row>
    <row r="629" ht="15.0" customHeight="1">
      <c r="A629" s="206">
        <v>45891.0</v>
      </c>
      <c r="B629" s="201" t="s">
        <v>4543</v>
      </c>
      <c r="C629" s="45" t="s">
        <v>4544</v>
      </c>
      <c r="D629" s="140" t="str">
        <f>IFERROR(VLOOKUP(C629,Stock,3,FALSE),"")</f>
        <v>Toyota Avanza / Xenia 03-11 1st Gen</v>
      </c>
      <c r="E629" s="45">
        <v>1.0</v>
      </c>
      <c r="F629" s="198">
        <v>850000.0</v>
      </c>
      <c r="G629" s="142">
        <f t="shared" si="34"/>
        <v>850000</v>
      </c>
      <c r="H629" s="142"/>
      <c r="I629" s="143">
        <f t="shared" si="35"/>
        <v>850000</v>
      </c>
      <c r="J629" s="144">
        <f t="shared" si="36"/>
        <v>850000</v>
      </c>
      <c r="K629" s="108" t="s">
        <v>4430</v>
      </c>
      <c r="L629" s="199" t="s">
        <v>4431</v>
      </c>
      <c r="M629" s="17"/>
      <c r="N629" s="64" t="s">
        <v>4432</v>
      </c>
      <c r="O629" s="64" t="s">
        <v>2813</v>
      </c>
      <c r="P629" s="170"/>
      <c r="Q629" s="141">
        <v>850000.0</v>
      </c>
      <c r="R629" s="149"/>
      <c r="S629" s="149"/>
      <c r="T629" s="149"/>
      <c r="U629" s="149"/>
      <c r="V629" s="149"/>
      <c r="W629" s="149"/>
      <c r="X629" s="64" t="s">
        <v>3810</v>
      </c>
      <c r="Y629" s="64" t="s">
        <v>4515</v>
      </c>
      <c r="Z629" s="68"/>
    </row>
    <row r="630" ht="15.0" customHeight="1">
      <c r="A630" s="206">
        <v>45892.0</v>
      </c>
      <c r="B630" s="201" t="s">
        <v>4545</v>
      </c>
      <c r="C630" s="45" t="s">
        <v>2029</v>
      </c>
      <c r="D630" s="140" t="str">
        <f>IFERROR(VLOOKUP(C630,Stock,3,FALSE),"")</f>
        <v>Toyota Fortuner 05-15 1st Gen</v>
      </c>
      <c r="E630" s="45">
        <v>1.0</v>
      </c>
      <c r="F630" s="202"/>
      <c r="G630" s="142">
        <f t="shared" si="34"/>
        <v>0</v>
      </c>
      <c r="H630" s="142"/>
      <c r="I630" s="143">
        <f t="shared" si="35"/>
        <v>0</v>
      </c>
      <c r="J630" s="144">
        <f t="shared" si="36"/>
        <v>0</v>
      </c>
      <c r="K630" s="108" t="s">
        <v>4509</v>
      </c>
      <c r="L630" s="17"/>
      <c r="M630" s="17"/>
      <c r="N630" s="68"/>
      <c r="O630" s="68"/>
      <c r="P630" s="170"/>
      <c r="Q630" s="149"/>
      <c r="R630" s="149"/>
      <c r="S630" s="149"/>
      <c r="T630" s="149"/>
      <c r="U630" s="149"/>
      <c r="V630" s="149"/>
      <c r="W630" s="149"/>
      <c r="X630" s="64" t="s">
        <v>3810</v>
      </c>
      <c r="Y630" s="68"/>
      <c r="Z630" s="68"/>
    </row>
    <row r="631" ht="15.0" customHeight="1">
      <c r="A631" s="206">
        <v>45892.0</v>
      </c>
      <c r="B631" s="201" t="s">
        <v>4546</v>
      </c>
      <c r="C631" s="45" t="s">
        <v>4547</v>
      </c>
      <c r="D631" s="140" t="str">
        <f>IFERROR(VLOOKUP(C631,Stock,3,FALSE),"")</f>
        <v>Mitsubishi L300</v>
      </c>
      <c r="E631" s="45">
        <v>1.0</v>
      </c>
      <c r="F631" s="198">
        <v>450000.0</v>
      </c>
      <c r="G631" s="142">
        <f t="shared" si="34"/>
        <v>450000</v>
      </c>
      <c r="H631" s="142"/>
      <c r="I631" s="143">
        <f t="shared" si="35"/>
        <v>450000</v>
      </c>
      <c r="J631" s="144">
        <f t="shared" si="36"/>
        <v>450000</v>
      </c>
      <c r="K631" s="108" t="s">
        <v>4548</v>
      </c>
      <c r="L631" s="207" t="s">
        <v>4549</v>
      </c>
      <c r="M631" s="17"/>
      <c r="N631" s="64" t="s">
        <v>4550</v>
      </c>
      <c r="O631" s="64" t="s">
        <v>2813</v>
      </c>
      <c r="P631" s="170"/>
      <c r="Q631" s="141">
        <v>450000.0</v>
      </c>
      <c r="R631" s="149"/>
      <c r="S631" s="149"/>
      <c r="T631" s="149"/>
      <c r="U631" s="149"/>
      <c r="V631" s="149"/>
      <c r="W631" s="149"/>
      <c r="X631" s="64" t="s">
        <v>3810</v>
      </c>
      <c r="Y631" s="68"/>
      <c r="Z631" s="68"/>
    </row>
    <row r="632" ht="15.0" customHeight="1">
      <c r="A632" s="206">
        <v>45892.0</v>
      </c>
      <c r="B632" s="201" t="s">
        <v>4551</v>
      </c>
      <c r="C632" s="45" t="s">
        <v>2778</v>
      </c>
      <c r="D632" s="140" t="str">
        <f>IFERROR(VLOOKUP(C632,Stock,3,FALSE),"")</f>
        <v>Bongkar Pasang Kaca Mobil Depan</v>
      </c>
      <c r="E632" s="45">
        <v>1.0</v>
      </c>
      <c r="F632" s="198">
        <v>300000.0</v>
      </c>
      <c r="G632" s="142">
        <f t="shared" si="34"/>
        <v>300000</v>
      </c>
      <c r="H632" s="142"/>
      <c r="I632" s="143">
        <f t="shared" si="35"/>
        <v>300000</v>
      </c>
      <c r="J632" s="144">
        <f t="shared" si="36"/>
        <v>300000</v>
      </c>
      <c r="K632" s="108" t="s">
        <v>4552</v>
      </c>
      <c r="L632" s="199" t="s">
        <v>4553</v>
      </c>
      <c r="M632" s="17"/>
      <c r="N632" s="64" t="s">
        <v>4554</v>
      </c>
      <c r="O632" s="64" t="s">
        <v>2813</v>
      </c>
      <c r="P632" s="170"/>
      <c r="Q632" s="141">
        <v>300000.0</v>
      </c>
      <c r="R632" s="149"/>
      <c r="S632" s="149"/>
      <c r="T632" s="149"/>
      <c r="U632" s="149"/>
      <c r="V632" s="149"/>
      <c r="W632" s="149"/>
      <c r="X632" s="64" t="s">
        <v>3810</v>
      </c>
      <c r="Y632" s="68"/>
      <c r="Z632" s="68"/>
    </row>
    <row r="633" ht="15.0" customHeight="1">
      <c r="A633" s="206">
        <v>45894.0</v>
      </c>
      <c r="B633" s="201" t="s">
        <v>4555</v>
      </c>
      <c r="C633" s="45" t="s">
        <v>2968</v>
      </c>
      <c r="D633" s="140" t="str">
        <f>IFERROR(VLOOKUP(C633,Stock,3,FALSE),"")</f>
        <v>Toyota Rush / Terios 18-</v>
      </c>
      <c r="E633" s="45">
        <v>1.0</v>
      </c>
      <c r="F633" s="198">
        <v>802000.0</v>
      </c>
      <c r="G633" s="142">
        <f t="shared" si="34"/>
        <v>802000</v>
      </c>
      <c r="H633" s="142"/>
      <c r="I633" s="143">
        <f t="shared" si="35"/>
        <v>802000</v>
      </c>
      <c r="J633" s="144">
        <f t="shared" si="36"/>
        <v>802000</v>
      </c>
      <c r="K633" s="108" t="s">
        <v>4556</v>
      </c>
      <c r="L633" s="199" t="s">
        <v>4557</v>
      </c>
      <c r="M633" s="17"/>
      <c r="N633" s="64" t="s">
        <v>4270</v>
      </c>
      <c r="O633" s="64" t="s">
        <v>3536</v>
      </c>
      <c r="P633" s="170"/>
      <c r="Q633" s="149"/>
      <c r="R633" s="141"/>
      <c r="S633" s="141"/>
      <c r="T633" s="141">
        <v>887000.0</v>
      </c>
      <c r="U633" s="149"/>
      <c r="V633" s="149"/>
      <c r="W633" s="149"/>
      <c r="X633" s="64" t="s">
        <v>3810</v>
      </c>
      <c r="Y633" s="68"/>
      <c r="Z633" s="68"/>
    </row>
    <row r="634" ht="15.0" customHeight="1">
      <c r="A634" s="206">
        <v>45894.0</v>
      </c>
      <c r="B634" s="201" t="s">
        <v>4555</v>
      </c>
      <c r="C634" s="45" t="s">
        <v>3446</v>
      </c>
      <c r="D634" s="140" t="str">
        <f>IFERROR(VLOOKUP(C634,Stock,3,FALSE),"")</f>
        <v>501 Sealant Application</v>
      </c>
      <c r="E634" s="45">
        <v>1.0</v>
      </c>
      <c r="F634" s="198">
        <v>85000.0</v>
      </c>
      <c r="G634" s="142">
        <f t="shared" si="34"/>
        <v>85000</v>
      </c>
      <c r="H634" s="142"/>
      <c r="I634" s="143">
        <f t="shared" si="35"/>
        <v>85000</v>
      </c>
      <c r="J634" s="144">
        <f t="shared" si="36"/>
        <v>85000</v>
      </c>
      <c r="K634" s="108" t="s">
        <v>4556</v>
      </c>
      <c r="L634" s="199" t="s">
        <v>4557</v>
      </c>
      <c r="M634" s="17"/>
      <c r="N634" s="64" t="s">
        <v>4270</v>
      </c>
      <c r="O634" s="64" t="s">
        <v>3536</v>
      </c>
      <c r="P634" s="170"/>
      <c r="Q634" s="149"/>
      <c r="R634" s="149"/>
      <c r="S634" s="149"/>
      <c r="T634" s="149"/>
      <c r="U634" s="149"/>
      <c r="V634" s="149"/>
      <c r="W634" s="149"/>
      <c r="X634" s="64" t="s">
        <v>3810</v>
      </c>
      <c r="Y634" s="68"/>
      <c r="Z634" s="68"/>
    </row>
    <row r="635" ht="15.0" customHeight="1">
      <c r="A635" s="206">
        <v>45894.0</v>
      </c>
      <c r="B635" s="201" t="s">
        <v>4558</v>
      </c>
      <c r="C635" s="45" t="s">
        <v>4277</v>
      </c>
      <c r="D635" s="140" t="str">
        <f>IFERROR(VLOOKUP(C635,Stock,3,FALSE),"")</f>
        <v>Toyota Fortuner 15-  2nd Gen</v>
      </c>
      <c r="E635" s="45">
        <v>1.0</v>
      </c>
      <c r="F635" s="198">
        <v>785000.0</v>
      </c>
      <c r="G635" s="142">
        <f t="shared" si="34"/>
        <v>785000</v>
      </c>
      <c r="H635" s="142"/>
      <c r="I635" s="143">
        <f t="shared" si="35"/>
        <v>785000</v>
      </c>
      <c r="J635" s="144">
        <f t="shared" si="36"/>
        <v>785000</v>
      </c>
      <c r="K635" s="108" t="s">
        <v>4559</v>
      </c>
      <c r="L635" s="199" t="s">
        <v>4560</v>
      </c>
      <c r="M635" s="17"/>
      <c r="N635" s="64" t="s">
        <v>4561</v>
      </c>
      <c r="O635" s="64" t="s">
        <v>2813</v>
      </c>
      <c r="P635" s="170"/>
      <c r="Q635" s="149"/>
      <c r="R635" s="141"/>
      <c r="S635" s="141"/>
      <c r="T635" s="141">
        <v>785000.0</v>
      </c>
      <c r="U635" s="149"/>
      <c r="V635" s="149"/>
      <c r="W635" s="149"/>
      <c r="X635" s="64" t="s">
        <v>3810</v>
      </c>
      <c r="Y635" s="68"/>
      <c r="Z635" s="68"/>
    </row>
    <row r="636" ht="15.0" customHeight="1">
      <c r="A636" s="206">
        <v>45894.0</v>
      </c>
      <c r="B636" s="201" t="s">
        <v>4562</v>
      </c>
      <c r="C636" s="45" t="s">
        <v>3246</v>
      </c>
      <c r="D636" s="140" t="str">
        <f>IFERROR(VLOOKUP(C636,Stock,3,FALSE),"")</f>
        <v>Toyota Calya / Sigra 16-</v>
      </c>
      <c r="E636" s="45">
        <v>1.0</v>
      </c>
      <c r="F636" s="198">
        <v>1000000.0</v>
      </c>
      <c r="G636" s="142">
        <f t="shared" si="34"/>
        <v>1000000</v>
      </c>
      <c r="H636" s="142"/>
      <c r="I636" s="143">
        <f t="shared" si="35"/>
        <v>1000000</v>
      </c>
      <c r="J636" s="144">
        <f t="shared" si="36"/>
        <v>1000000</v>
      </c>
      <c r="K636" s="108" t="s">
        <v>4563</v>
      </c>
      <c r="L636" s="199" t="s">
        <v>4564</v>
      </c>
      <c r="M636" s="17"/>
      <c r="N636" s="64" t="s">
        <v>4565</v>
      </c>
      <c r="O636" s="64" t="s">
        <v>3536</v>
      </c>
      <c r="P636" s="170"/>
      <c r="Q636" s="149"/>
      <c r="R636" s="141"/>
      <c r="S636" s="141"/>
      <c r="T636" s="141">
        <v>30000.0</v>
      </c>
      <c r="U636" s="149"/>
      <c r="V636" s="149"/>
      <c r="W636" s="149"/>
      <c r="X636" s="64" t="s">
        <v>3810</v>
      </c>
      <c r="Y636" s="68"/>
      <c r="Z636" s="68"/>
    </row>
    <row r="637" ht="15.0" customHeight="1">
      <c r="A637" s="206">
        <v>45894.0</v>
      </c>
      <c r="B637" s="201" t="s">
        <v>4562</v>
      </c>
      <c r="C637" s="64" t="s">
        <v>2770</v>
      </c>
      <c r="D637" s="140" t="str">
        <f>IFERROR(VLOOKUP(C637,Stock,3,FALSE),"")</f>
        <v>Transport</v>
      </c>
      <c r="E637" s="45">
        <v>1.0</v>
      </c>
      <c r="F637" s="198">
        <v>150000.0</v>
      </c>
      <c r="G637" s="142">
        <f t="shared" si="34"/>
        <v>150000</v>
      </c>
      <c r="H637" s="142"/>
      <c r="I637" s="143">
        <f t="shared" si="35"/>
        <v>150000</v>
      </c>
      <c r="J637" s="144">
        <f t="shared" si="36"/>
        <v>150000</v>
      </c>
      <c r="K637" s="108" t="s">
        <v>4563</v>
      </c>
      <c r="L637" s="199" t="s">
        <v>4564</v>
      </c>
      <c r="M637" s="17"/>
      <c r="N637" s="64" t="s">
        <v>4565</v>
      </c>
      <c r="O637" s="64" t="s">
        <v>3536</v>
      </c>
      <c r="P637" s="170"/>
      <c r="Q637" s="149"/>
      <c r="R637" s="141"/>
      <c r="S637" s="141"/>
      <c r="T637" s="141">
        <v>1120000.0</v>
      </c>
      <c r="U637" s="149"/>
      <c r="V637" s="149"/>
      <c r="W637" s="149"/>
      <c r="X637" s="64" t="s">
        <v>3810</v>
      </c>
      <c r="Y637" s="68"/>
      <c r="Z637" s="68"/>
    </row>
    <row r="638" ht="15.0" customHeight="1">
      <c r="A638" s="206">
        <v>45894.0</v>
      </c>
      <c r="B638" s="201" t="s">
        <v>4566</v>
      </c>
      <c r="C638" s="45" t="s">
        <v>3021</v>
      </c>
      <c r="D638" s="140" t="str">
        <f>IFERROR(VLOOKUP(C638,Stock,3,FALSE),"")</f>
        <v>Honda Freed 08-16 1st gen</v>
      </c>
      <c r="E638" s="45">
        <v>1.0</v>
      </c>
      <c r="F638" s="198">
        <v>1446000.0</v>
      </c>
      <c r="G638" s="142">
        <f t="shared" si="34"/>
        <v>1446000</v>
      </c>
      <c r="H638" s="143">
        <v>144600.0</v>
      </c>
      <c r="I638" s="143">
        <f t="shared" si="35"/>
        <v>1301400</v>
      </c>
      <c r="J638" s="144">
        <f t="shared" si="36"/>
        <v>1301400</v>
      </c>
      <c r="K638" s="108" t="s">
        <v>4567</v>
      </c>
      <c r="L638" s="199" t="s">
        <v>4568</v>
      </c>
      <c r="M638" s="17"/>
      <c r="N638" s="64" t="s">
        <v>4569</v>
      </c>
      <c r="O638" s="64" t="s">
        <v>2813</v>
      </c>
      <c r="P638" s="170"/>
      <c r="Q638" s="141">
        <v>1301400.0</v>
      </c>
      <c r="R638" s="149"/>
      <c r="S638" s="149"/>
      <c r="T638" s="149"/>
      <c r="U638" s="149"/>
      <c r="V638" s="149"/>
      <c r="W638" s="149"/>
      <c r="X638" s="64" t="s">
        <v>3810</v>
      </c>
      <c r="Y638" s="68"/>
      <c r="Z638" s="68"/>
    </row>
    <row r="639" ht="15.0" customHeight="1">
      <c r="A639" s="206">
        <v>45894.0</v>
      </c>
      <c r="B639" s="201" t="s">
        <v>4566</v>
      </c>
      <c r="C639" s="64" t="s">
        <v>2770</v>
      </c>
      <c r="D639" s="140" t="str">
        <f>IFERROR(VLOOKUP(C639,Stock,3,FALSE),"")</f>
        <v>Transport</v>
      </c>
      <c r="E639" s="45">
        <v>1.0</v>
      </c>
      <c r="F639" s="198">
        <v>140000.0</v>
      </c>
      <c r="G639" s="142">
        <f t="shared" si="34"/>
        <v>140000</v>
      </c>
      <c r="H639" s="142"/>
      <c r="I639" s="143">
        <f t="shared" si="35"/>
        <v>140000</v>
      </c>
      <c r="J639" s="144">
        <f t="shared" si="36"/>
        <v>140000</v>
      </c>
      <c r="K639" s="108" t="s">
        <v>4487</v>
      </c>
      <c r="L639" s="199" t="s">
        <v>4488</v>
      </c>
      <c r="M639" s="17"/>
      <c r="N639" s="64" t="s">
        <v>4489</v>
      </c>
      <c r="O639" s="64" t="s">
        <v>4490</v>
      </c>
      <c r="P639" s="170"/>
      <c r="Q639" s="149"/>
      <c r="R639" s="141"/>
      <c r="S639" s="141"/>
      <c r="T639" s="141">
        <v>140000.0</v>
      </c>
      <c r="U639" s="149"/>
      <c r="V639" s="149"/>
      <c r="W639" s="149"/>
      <c r="X639" s="64" t="s">
        <v>3810</v>
      </c>
      <c r="Y639" s="68"/>
      <c r="Z639" s="68"/>
    </row>
    <row r="640" ht="15.0" customHeight="1">
      <c r="A640" s="206">
        <v>45894.0</v>
      </c>
      <c r="B640" s="201" t="s">
        <v>4570</v>
      </c>
      <c r="C640" s="64" t="s">
        <v>2830</v>
      </c>
      <c r="D640" s="140"/>
      <c r="E640" s="45"/>
      <c r="F640" s="198"/>
      <c r="G640" s="142"/>
      <c r="H640" s="142"/>
      <c r="I640" s="143"/>
      <c r="J640" s="144"/>
      <c r="K640" s="108"/>
      <c r="L640" s="45"/>
      <c r="M640" s="17"/>
      <c r="N640" s="64"/>
      <c r="O640" s="64"/>
      <c r="P640" s="170"/>
      <c r="Q640" s="149"/>
      <c r="R640" s="141"/>
      <c r="S640" s="141"/>
      <c r="T640" s="141"/>
      <c r="U640" s="149"/>
      <c r="V640" s="149"/>
      <c r="W640" s="149"/>
      <c r="X640" s="64"/>
      <c r="Y640" s="68"/>
      <c r="Z640" s="68"/>
    </row>
    <row r="641" ht="15.0" customHeight="1">
      <c r="A641" s="206">
        <v>45894.0</v>
      </c>
      <c r="B641" s="201" t="s">
        <v>4571</v>
      </c>
      <c r="C641" s="45" t="s">
        <v>3446</v>
      </c>
      <c r="D641" s="140" t="str">
        <f>IFERROR(VLOOKUP(C641,Stock,3,FALSE),"")</f>
        <v>501 Sealant Application</v>
      </c>
      <c r="E641" s="45">
        <v>50.0</v>
      </c>
      <c r="F641" s="198">
        <v>57000.0</v>
      </c>
      <c r="G641" s="142">
        <f t="shared" ref="G641:G746" si="37">E641*F641</f>
        <v>2850000</v>
      </c>
      <c r="H641" s="142"/>
      <c r="I641" s="143">
        <f t="shared" ref="I641:I1679" si="38">G641-H641</f>
        <v>2850000</v>
      </c>
      <c r="J641" s="144">
        <f t="shared" ref="J641:J1679" si="39">I641</f>
        <v>2850000</v>
      </c>
      <c r="K641" s="108" t="s">
        <v>4572</v>
      </c>
      <c r="L641" s="199" t="s">
        <v>4573</v>
      </c>
      <c r="M641" s="17"/>
      <c r="N641" s="64" t="s">
        <v>4270</v>
      </c>
      <c r="O641" s="64" t="s">
        <v>3536</v>
      </c>
      <c r="P641" s="170"/>
      <c r="Q641" s="149"/>
      <c r="R641" s="141"/>
      <c r="S641" s="141"/>
      <c r="T641" s="141">
        <v>2910000.0</v>
      </c>
      <c r="U641" s="149"/>
      <c r="V641" s="149"/>
      <c r="W641" s="149"/>
      <c r="X641" s="64" t="s">
        <v>3810</v>
      </c>
      <c r="Y641" s="68"/>
      <c r="Z641" s="68"/>
    </row>
    <row r="642" ht="15.0" customHeight="1">
      <c r="A642" s="206">
        <v>45894.0</v>
      </c>
      <c r="B642" s="201" t="s">
        <v>4571</v>
      </c>
      <c r="C642" s="64" t="s">
        <v>2770</v>
      </c>
      <c r="D642" s="140" t="str">
        <f>IFERROR(VLOOKUP(C642,Stock,3,FALSE),"")</f>
        <v>Transport</v>
      </c>
      <c r="E642" s="45">
        <v>1.0</v>
      </c>
      <c r="F642" s="198">
        <v>60000.0</v>
      </c>
      <c r="G642" s="142">
        <f t="shared" si="37"/>
        <v>60000</v>
      </c>
      <c r="H642" s="142"/>
      <c r="I642" s="143">
        <f t="shared" si="38"/>
        <v>60000</v>
      </c>
      <c r="J642" s="144">
        <f t="shared" si="39"/>
        <v>60000</v>
      </c>
      <c r="K642" s="108" t="s">
        <v>4572</v>
      </c>
      <c r="L642" s="199" t="s">
        <v>4573</v>
      </c>
      <c r="M642" s="17"/>
      <c r="N642" s="64" t="s">
        <v>4270</v>
      </c>
      <c r="O642" s="64" t="s">
        <v>3536</v>
      </c>
      <c r="P642" s="170"/>
      <c r="Q642" s="149"/>
      <c r="R642" s="149"/>
      <c r="S642" s="149"/>
      <c r="T642" s="149"/>
      <c r="U642" s="149"/>
      <c r="V642" s="149"/>
      <c r="W642" s="149"/>
      <c r="X642" s="64" t="s">
        <v>3810</v>
      </c>
      <c r="Y642" s="68"/>
      <c r="Z642" s="68"/>
    </row>
    <row r="643" ht="15.0" customHeight="1">
      <c r="A643" s="206">
        <v>45894.0</v>
      </c>
      <c r="B643" s="201" t="s">
        <v>4574</v>
      </c>
      <c r="C643" s="45" t="s">
        <v>4575</v>
      </c>
      <c r="D643" s="140" t="str">
        <f>IFERROR(VLOOKUP(C643,Stock,3,FALSE),"")</f>
        <v>Toyota Sienta 15-</v>
      </c>
      <c r="E643" s="45">
        <v>1.0</v>
      </c>
      <c r="F643" s="198">
        <v>685000.0</v>
      </c>
      <c r="G643" s="142">
        <f t="shared" si="37"/>
        <v>685000</v>
      </c>
      <c r="H643" s="142"/>
      <c r="I643" s="143">
        <f t="shared" si="38"/>
        <v>685000</v>
      </c>
      <c r="J643" s="144">
        <f t="shared" si="39"/>
        <v>685000</v>
      </c>
      <c r="K643" s="108" t="s">
        <v>4576</v>
      </c>
      <c r="L643" s="199" t="s">
        <v>4577</v>
      </c>
      <c r="M643" s="17"/>
      <c r="N643" s="68"/>
      <c r="O643" s="64" t="s">
        <v>3536</v>
      </c>
      <c r="P643" s="170"/>
      <c r="Q643" s="149"/>
      <c r="R643" s="141"/>
      <c r="S643" s="141"/>
      <c r="T643" s="141">
        <v>30000.0</v>
      </c>
      <c r="U643" s="149"/>
      <c r="V643" s="149"/>
      <c r="W643" s="149"/>
      <c r="X643" s="64" t="s">
        <v>3810</v>
      </c>
      <c r="Y643" s="68"/>
      <c r="Z643" s="68"/>
    </row>
    <row r="644" ht="15.0" customHeight="1">
      <c r="A644" s="206">
        <v>45894.0</v>
      </c>
      <c r="B644" s="201" t="s">
        <v>4574</v>
      </c>
      <c r="C644" s="64" t="s">
        <v>2770</v>
      </c>
      <c r="D644" s="140" t="str">
        <f>IFERROR(VLOOKUP(C644,Stock,3,FALSE),"")</f>
        <v>Transport</v>
      </c>
      <c r="E644" s="45">
        <v>1.0</v>
      </c>
      <c r="F644" s="198">
        <v>175000.0</v>
      </c>
      <c r="G644" s="142">
        <f t="shared" si="37"/>
        <v>175000</v>
      </c>
      <c r="H644" s="142"/>
      <c r="I644" s="143">
        <f t="shared" si="38"/>
        <v>175000</v>
      </c>
      <c r="J644" s="144">
        <f t="shared" si="39"/>
        <v>175000</v>
      </c>
      <c r="K644" s="108" t="s">
        <v>4576</v>
      </c>
      <c r="L644" s="199" t="s">
        <v>4577</v>
      </c>
      <c r="M644" s="17"/>
      <c r="N644" s="68"/>
      <c r="O644" s="64" t="s">
        <v>3536</v>
      </c>
      <c r="P644" s="170"/>
      <c r="Q644" s="149"/>
      <c r="R644" s="149"/>
      <c r="S644" s="149"/>
      <c r="T644" s="149"/>
      <c r="U644" s="149"/>
      <c r="V644" s="149"/>
      <c r="W644" s="149"/>
      <c r="X644" s="64" t="s">
        <v>3810</v>
      </c>
      <c r="Y644" s="68"/>
      <c r="Z644" s="68"/>
    </row>
    <row r="645" ht="15.0" customHeight="1">
      <c r="A645" s="206">
        <v>45894.0</v>
      </c>
      <c r="B645" s="201" t="s">
        <v>4574</v>
      </c>
      <c r="C645" s="45" t="s">
        <v>2962</v>
      </c>
      <c r="D645" s="140" t="str">
        <f>IFERROR(VLOOKUP(C645,Stock,3,FALSE),"")</f>
        <v>Lembur</v>
      </c>
      <c r="E645" s="45">
        <v>1.0</v>
      </c>
      <c r="F645" s="198">
        <v>150000.0</v>
      </c>
      <c r="G645" s="142">
        <f t="shared" si="37"/>
        <v>150000</v>
      </c>
      <c r="H645" s="142"/>
      <c r="I645" s="143">
        <f t="shared" si="38"/>
        <v>150000</v>
      </c>
      <c r="J645" s="144">
        <f t="shared" si="39"/>
        <v>150000</v>
      </c>
      <c r="K645" s="108" t="s">
        <v>4576</v>
      </c>
      <c r="L645" s="199" t="s">
        <v>4577</v>
      </c>
      <c r="M645" s="17"/>
      <c r="N645" s="68"/>
      <c r="O645" s="64" t="s">
        <v>3536</v>
      </c>
      <c r="P645" s="170"/>
      <c r="Q645" s="149"/>
      <c r="R645" s="149"/>
      <c r="S645" s="149"/>
      <c r="T645" s="149"/>
      <c r="U645" s="149"/>
      <c r="V645" s="149"/>
      <c r="W645" s="149"/>
      <c r="X645" s="64" t="s">
        <v>3810</v>
      </c>
      <c r="Y645" s="68"/>
      <c r="Z645" s="68"/>
    </row>
    <row r="646" ht="15.0" customHeight="1">
      <c r="A646" s="206">
        <v>45894.0</v>
      </c>
      <c r="B646" s="201" t="s">
        <v>4578</v>
      </c>
      <c r="C646" s="45" t="s">
        <v>2003</v>
      </c>
      <c r="D646" s="140" t="str">
        <f>IFERROR(VLOOKUP(C646,Stock,3,FALSE),"")</f>
        <v>Toyota Agya/Ayla 13-22 1st Gen</v>
      </c>
      <c r="E646" s="45">
        <v>5.0</v>
      </c>
      <c r="F646" s="198"/>
      <c r="G646" s="142">
        <f t="shared" si="37"/>
        <v>0</v>
      </c>
      <c r="H646" s="142"/>
      <c r="I646" s="143">
        <f t="shared" si="38"/>
        <v>0</v>
      </c>
      <c r="J646" s="144">
        <f t="shared" si="39"/>
        <v>0</v>
      </c>
      <c r="K646" s="108" t="s">
        <v>4175</v>
      </c>
      <c r="L646" s="45"/>
      <c r="M646" s="17"/>
      <c r="N646" s="68"/>
      <c r="O646" s="64"/>
      <c r="P646" s="170"/>
      <c r="Q646" s="149"/>
      <c r="R646" s="149"/>
      <c r="S646" s="149"/>
      <c r="T646" s="149"/>
      <c r="U646" s="149"/>
      <c r="V646" s="149"/>
      <c r="W646" s="149"/>
      <c r="X646" s="64" t="s">
        <v>3810</v>
      </c>
      <c r="Y646" s="68"/>
      <c r="Z646" s="68"/>
    </row>
    <row r="647" ht="15.0" customHeight="1">
      <c r="A647" s="206">
        <v>45894.0</v>
      </c>
      <c r="B647" s="201" t="s">
        <v>4578</v>
      </c>
      <c r="C647" s="148" t="s">
        <v>3246</v>
      </c>
      <c r="D647" s="140" t="str">
        <f>IFERROR(VLOOKUP(C647,Stock,3,FALSE),"")</f>
        <v>Toyota Calya / Sigra 16-</v>
      </c>
      <c r="E647" s="45">
        <v>1.0</v>
      </c>
      <c r="F647" s="198"/>
      <c r="G647" s="142">
        <f t="shared" si="37"/>
        <v>0</v>
      </c>
      <c r="H647" s="142"/>
      <c r="I647" s="143">
        <f t="shared" si="38"/>
        <v>0</v>
      </c>
      <c r="J647" s="144">
        <f t="shared" si="39"/>
        <v>0</v>
      </c>
      <c r="K647" s="108" t="s">
        <v>4175</v>
      </c>
      <c r="L647" s="45"/>
      <c r="M647" s="17"/>
      <c r="N647" s="68"/>
      <c r="O647" s="64"/>
      <c r="P647" s="170"/>
      <c r="Q647" s="149"/>
      <c r="R647" s="149"/>
      <c r="S647" s="149"/>
      <c r="T647" s="149"/>
      <c r="U647" s="149"/>
      <c r="V647" s="149"/>
      <c r="W647" s="149"/>
      <c r="X647" s="64" t="s">
        <v>3810</v>
      </c>
      <c r="Y647" s="68"/>
      <c r="Z647" s="68"/>
    </row>
    <row r="648" ht="15.0" customHeight="1">
      <c r="A648" s="206">
        <v>45894.0</v>
      </c>
      <c r="B648" s="201" t="s">
        <v>4578</v>
      </c>
      <c r="C648" s="64" t="s">
        <v>4579</v>
      </c>
      <c r="D648" s="140" t="str">
        <f>IFERROR(VLOOKUP(C648,Stock,3,FALSE),"")</f>
        <v>Honda HR-V 14-21 5D SUV (Honda)</v>
      </c>
      <c r="E648" s="45">
        <v>1.0</v>
      </c>
      <c r="F648" s="198"/>
      <c r="G648" s="142">
        <f t="shared" si="37"/>
        <v>0</v>
      </c>
      <c r="H648" s="142"/>
      <c r="I648" s="143">
        <f t="shared" si="38"/>
        <v>0</v>
      </c>
      <c r="J648" s="144">
        <f t="shared" si="39"/>
        <v>0</v>
      </c>
      <c r="K648" s="108" t="s">
        <v>4175</v>
      </c>
      <c r="L648" s="45"/>
      <c r="M648" s="17"/>
      <c r="N648" s="68"/>
      <c r="O648" s="64"/>
      <c r="P648" s="170"/>
      <c r="Q648" s="149"/>
      <c r="R648" s="149"/>
      <c r="S648" s="149"/>
      <c r="T648" s="149"/>
      <c r="U648" s="149"/>
      <c r="V648" s="149"/>
      <c r="W648" s="149"/>
      <c r="X648" s="64" t="s">
        <v>3810</v>
      </c>
      <c r="Y648" s="68"/>
      <c r="Z648" s="68"/>
    </row>
    <row r="649" ht="15.0" customHeight="1">
      <c r="A649" s="206">
        <v>45895.0</v>
      </c>
      <c r="B649" s="201" t="s">
        <v>4580</v>
      </c>
      <c r="C649" s="45" t="s">
        <v>4439</v>
      </c>
      <c r="D649" s="140" t="str">
        <f>IFERROR(VLOOKUP(C649,Stock,3,FALSE),"")</f>
        <v>Toyota Innova 04-15 1st Gen (Toyota)</v>
      </c>
      <c r="E649" s="45">
        <v>1.0</v>
      </c>
      <c r="F649" s="198">
        <v>2680000.0</v>
      </c>
      <c r="G649" s="142">
        <f t="shared" si="37"/>
        <v>2680000</v>
      </c>
      <c r="H649" s="143">
        <v>115000.0</v>
      </c>
      <c r="I649" s="143">
        <f t="shared" si="38"/>
        <v>2565000</v>
      </c>
      <c r="J649" s="144">
        <f t="shared" si="39"/>
        <v>2565000</v>
      </c>
      <c r="K649" s="108" t="s">
        <v>4581</v>
      </c>
      <c r="L649" s="199" t="s">
        <v>4582</v>
      </c>
      <c r="M649" s="17"/>
      <c r="N649" s="64" t="s">
        <v>4583</v>
      </c>
      <c r="O649" s="64" t="s">
        <v>4584</v>
      </c>
      <c r="P649" s="170"/>
      <c r="Q649" s="149"/>
      <c r="R649" s="141"/>
      <c r="S649" s="141"/>
      <c r="T649" s="141">
        <v>30000.0</v>
      </c>
      <c r="U649" s="149"/>
      <c r="V649" s="149"/>
      <c r="W649" s="149"/>
      <c r="X649" s="64" t="s">
        <v>3810</v>
      </c>
      <c r="Y649" s="68"/>
      <c r="Z649" s="68"/>
    </row>
    <row r="650" ht="15.0" customHeight="1">
      <c r="A650" s="206">
        <v>45895.0</v>
      </c>
      <c r="B650" s="201" t="s">
        <v>4580</v>
      </c>
      <c r="C650" s="45" t="s">
        <v>4226</v>
      </c>
      <c r="D650" s="140" t="str">
        <f>IFERROR(VLOOKUP(C650,Stock,3,FALSE),"")</f>
        <v>Honda HR-V 14-21 5D SUV (Honda)</v>
      </c>
      <c r="E650" s="45">
        <v>1.0</v>
      </c>
      <c r="F650" s="198">
        <v>3050000.0</v>
      </c>
      <c r="G650" s="142">
        <f t="shared" si="37"/>
        <v>3050000</v>
      </c>
      <c r="H650" s="143">
        <v>115000.0</v>
      </c>
      <c r="I650" s="143">
        <f t="shared" si="38"/>
        <v>2935000</v>
      </c>
      <c r="J650" s="144">
        <f t="shared" si="39"/>
        <v>2935000</v>
      </c>
      <c r="K650" s="108" t="s">
        <v>4581</v>
      </c>
      <c r="L650" s="199" t="s">
        <v>4582</v>
      </c>
      <c r="M650" s="17"/>
      <c r="N650" s="64" t="s">
        <v>4585</v>
      </c>
      <c r="O650" s="64" t="s">
        <v>4584</v>
      </c>
      <c r="P650" s="170"/>
      <c r="Q650" s="149"/>
      <c r="R650" s="141"/>
      <c r="S650" s="141"/>
      <c r="T650" s="141">
        <v>5670000.0</v>
      </c>
      <c r="U650" s="149"/>
      <c r="V650" s="149"/>
      <c r="W650" s="149"/>
      <c r="X650" s="64" t="s">
        <v>3810</v>
      </c>
      <c r="Y650" s="68"/>
      <c r="Z650" s="68"/>
    </row>
    <row r="651" ht="15.0" customHeight="1">
      <c r="A651" s="206">
        <v>45895.0</v>
      </c>
      <c r="B651" s="201" t="s">
        <v>4580</v>
      </c>
      <c r="C651" s="64" t="s">
        <v>2770</v>
      </c>
      <c r="D651" s="140" t="str">
        <f>IFERROR(VLOOKUP(C651,Stock,3,FALSE),"")</f>
        <v>Transport</v>
      </c>
      <c r="E651" s="45">
        <v>1.0</v>
      </c>
      <c r="F651" s="198">
        <v>200000.0</v>
      </c>
      <c r="G651" s="142">
        <f t="shared" si="37"/>
        <v>200000</v>
      </c>
      <c r="H651" s="142"/>
      <c r="I651" s="143">
        <f t="shared" si="38"/>
        <v>200000</v>
      </c>
      <c r="J651" s="144">
        <f t="shared" si="39"/>
        <v>200000</v>
      </c>
      <c r="K651" s="108" t="s">
        <v>4581</v>
      </c>
      <c r="L651" s="199" t="s">
        <v>4582</v>
      </c>
      <c r="M651" s="17"/>
      <c r="N651" s="68"/>
      <c r="O651" s="64" t="s">
        <v>4584</v>
      </c>
      <c r="P651" s="170"/>
      <c r="Q651" s="149"/>
      <c r="R651" s="149"/>
      <c r="S651" s="149"/>
      <c r="T651" s="149"/>
      <c r="U651" s="149"/>
      <c r="V651" s="149"/>
      <c r="W651" s="149"/>
      <c r="X651" s="64" t="s">
        <v>3810</v>
      </c>
      <c r="Y651" s="68"/>
      <c r="Z651" s="68"/>
    </row>
    <row r="652" ht="15.0" customHeight="1">
      <c r="A652" s="206">
        <v>45895.0</v>
      </c>
      <c r="B652" s="201" t="s">
        <v>4586</v>
      </c>
      <c r="C652" s="45" t="s">
        <v>4547</v>
      </c>
      <c r="D652" s="140" t="str">
        <f>IFERROR(VLOOKUP(C652,Stock,3,FALSE),"")</f>
        <v>Mitsubishi L300</v>
      </c>
      <c r="E652" s="45">
        <v>1.0</v>
      </c>
      <c r="F652" s="198">
        <v>500000.0</v>
      </c>
      <c r="G652" s="142">
        <f t="shared" si="37"/>
        <v>500000</v>
      </c>
      <c r="H652" s="142"/>
      <c r="I652" s="143">
        <f t="shared" si="38"/>
        <v>500000</v>
      </c>
      <c r="J652" s="144">
        <f t="shared" si="39"/>
        <v>500000</v>
      </c>
      <c r="K652" s="108" t="s">
        <v>4422</v>
      </c>
      <c r="L652" s="199" t="s">
        <v>4587</v>
      </c>
      <c r="M652" s="17"/>
      <c r="N652" s="64" t="s">
        <v>4588</v>
      </c>
      <c r="O652" s="64" t="s">
        <v>4425</v>
      </c>
      <c r="P652" s="170"/>
      <c r="Q652" s="149"/>
      <c r="R652" s="141"/>
      <c r="S652" s="141"/>
      <c r="T652" s="141">
        <v>500000.0</v>
      </c>
      <c r="U652" s="149"/>
      <c r="V652" s="149"/>
      <c r="W652" s="149"/>
      <c r="X652" s="64" t="s">
        <v>3810</v>
      </c>
      <c r="Y652" s="68"/>
      <c r="Z652" s="68"/>
    </row>
    <row r="653" ht="15.0" customHeight="1">
      <c r="A653" s="206">
        <v>45896.0</v>
      </c>
      <c r="B653" s="201" t="s">
        <v>4589</v>
      </c>
      <c r="C653" s="45" t="s">
        <v>4590</v>
      </c>
      <c r="D653" s="140" t="str">
        <f>IFERROR(VLOOKUP(C653,Stock,3,FALSE),"")</f>
        <v>Toyota Avanza / Xenia 11-15 2nd Gen / 15-21 3rd Gen</v>
      </c>
      <c r="E653" s="45">
        <v>1.0</v>
      </c>
      <c r="F653" s="198">
        <v>600000.0</v>
      </c>
      <c r="G653" s="142">
        <f t="shared" si="37"/>
        <v>600000</v>
      </c>
      <c r="H653" s="142"/>
      <c r="I653" s="143">
        <f t="shared" si="38"/>
        <v>600000</v>
      </c>
      <c r="J653" s="144">
        <f t="shared" si="39"/>
        <v>600000</v>
      </c>
      <c r="K653" s="108" t="s">
        <v>4591</v>
      </c>
      <c r="L653" s="199" t="s">
        <v>4592</v>
      </c>
      <c r="M653" s="17"/>
      <c r="N653" s="64" t="s">
        <v>4593</v>
      </c>
      <c r="O653" s="64" t="s">
        <v>3536</v>
      </c>
      <c r="P653" s="170"/>
      <c r="Q653" s="141">
        <v>675000.0</v>
      </c>
      <c r="R653" s="149"/>
      <c r="S653" s="149"/>
      <c r="T653" s="149"/>
      <c r="U653" s="149"/>
      <c r="V653" s="149"/>
      <c r="W653" s="149"/>
      <c r="X653" s="64" t="s">
        <v>3810</v>
      </c>
      <c r="Y653" s="64" t="s">
        <v>4515</v>
      </c>
      <c r="Z653" s="68"/>
    </row>
    <row r="654" ht="15.0" customHeight="1">
      <c r="A654" s="206">
        <v>45896.0</v>
      </c>
      <c r="B654" s="201" t="s">
        <v>4589</v>
      </c>
      <c r="C654" s="64" t="s">
        <v>2770</v>
      </c>
      <c r="D654" s="140" t="str">
        <f>IFERROR(VLOOKUP(C654,Stock,3,FALSE),"")</f>
        <v>Transport</v>
      </c>
      <c r="E654" s="45">
        <v>1.0</v>
      </c>
      <c r="F654" s="198">
        <v>75000.0</v>
      </c>
      <c r="G654" s="142">
        <f t="shared" si="37"/>
        <v>75000</v>
      </c>
      <c r="H654" s="142"/>
      <c r="I654" s="143">
        <f t="shared" si="38"/>
        <v>75000</v>
      </c>
      <c r="J654" s="144">
        <f t="shared" si="39"/>
        <v>75000</v>
      </c>
      <c r="K654" s="108" t="s">
        <v>4591</v>
      </c>
      <c r="L654" s="199" t="s">
        <v>4592</v>
      </c>
      <c r="M654" s="17"/>
      <c r="N654" s="64" t="s">
        <v>4593</v>
      </c>
      <c r="O654" s="64" t="s">
        <v>3536</v>
      </c>
      <c r="P654" s="170"/>
      <c r="Q654" s="149"/>
      <c r="R654" s="149"/>
      <c r="S654" s="149"/>
      <c r="T654" s="149"/>
      <c r="U654" s="149"/>
      <c r="V654" s="149"/>
      <c r="W654" s="149"/>
      <c r="X654" s="64" t="s">
        <v>3810</v>
      </c>
      <c r="Y654" s="64" t="s">
        <v>4515</v>
      </c>
      <c r="Z654" s="68"/>
    </row>
    <row r="655" ht="15.0" customHeight="1">
      <c r="A655" s="206">
        <v>45896.0</v>
      </c>
      <c r="B655" s="201" t="s">
        <v>4594</v>
      </c>
      <c r="C655" s="45" t="s">
        <v>3265</v>
      </c>
      <c r="D655" s="140" t="str">
        <f>IFERROR(VLOOKUP(C655,Stock,3,FALSE),"")</f>
        <v>Honda Jazz 07-13 2nd Gen</v>
      </c>
      <c r="E655" s="45">
        <v>1.0</v>
      </c>
      <c r="F655" s="198">
        <v>1668000.0</v>
      </c>
      <c r="G655" s="142">
        <f t="shared" si="37"/>
        <v>1668000</v>
      </c>
      <c r="H655" s="142"/>
      <c r="I655" s="143">
        <f t="shared" si="38"/>
        <v>1668000</v>
      </c>
      <c r="J655" s="144">
        <f t="shared" si="39"/>
        <v>1668000</v>
      </c>
      <c r="K655" s="108" t="s">
        <v>4595</v>
      </c>
      <c r="L655" s="199" t="s">
        <v>4596</v>
      </c>
      <c r="M655" s="17"/>
      <c r="N655" s="64" t="s">
        <v>4597</v>
      </c>
      <c r="O655" s="64" t="s">
        <v>2813</v>
      </c>
      <c r="P655" s="170"/>
      <c r="Q655" s="141">
        <v>1668000.0</v>
      </c>
      <c r="R655" s="149"/>
      <c r="S655" s="149"/>
      <c r="T655" s="149"/>
      <c r="U655" s="149"/>
      <c r="V655" s="149"/>
      <c r="W655" s="149"/>
      <c r="X655" s="64" t="s">
        <v>3810</v>
      </c>
      <c r="Y655" s="64" t="s">
        <v>4515</v>
      </c>
      <c r="Z655" s="68"/>
    </row>
    <row r="656" ht="15.0" customHeight="1">
      <c r="A656" s="206">
        <v>45897.0</v>
      </c>
      <c r="B656" s="201" t="s">
        <v>4598</v>
      </c>
      <c r="C656" s="45" t="s">
        <v>3246</v>
      </c>
      <c r="D656" s="140" t="str">
        <f>IFERROR(VLOOKUP(C656,Stock,3,FALSE),"")</f>
        <v>Toyota Calya / Sigra 16-</v>
      </c>
      <c r="E656" s="45">
        <v>1.0</v>
      </c>
      <c r="F656" s="198">
        <v>1170000.0</v>
      </c>
      <c r="G656" s="142">
        <f t="shared" si="37"/>
        <v>1170000</v>
      </c>
      <c r="H656" s="142"/>
      <c r="I656" s="143">
        <f t="shared" si="38"/>
        <v>1170000</v>
      </c>
      <c r="J656" s="144">
        <f t="shared" si="39"/>
        <v>1170000</v>
      </c>
      <c r="K656" s="108" t="s">
        <v>4599</v>
      </c>
      <c r="L656" s="199" t="s">
        <v>4600</v>
      </c>
      <c r="M656" s="17"/>
      <c r="N656" s="64" t="s">
        <v>4601</v>
      </c>
      <c r="O656" s="64" t="s">
        <v>2813</v>
      </c>
      <c r="P656" s="170"/>
      <c r="Q656" s="141">
        <v>1170000.0</v>
      </c>
      <c r="R656" s="149"/>
      <c r="S656" s="149"/>
      <c r="T656" s="149"/>
      <c r="U656" s="149"/>
      <c r="V656" s="149"/>
      <c r="W656" s="149"/>
      <c r="X656" s="64" t="s">
        <v>3810</v>
      </c>
      <c r="Y656" s="64" t="s">
        <v>4602</v>
      </c>
      <c r="Z656" s="68"/>
    </row>
    <row r="657" ht="15.0" customHeight="1">
      <c r="A657" s="206">
        <v>45897.0</v>
      </c>
      <c r="B657" s="201" t="s">
        <v>4603</v>
      </c>
      <c r="C657" s="45" t="s">
        <v>3333</v>
      </c>
      <c r="D657" s="140" t="str">
        <f>IFERROR(VLOOKUP(C657,Stock,3,FALSE),"")</f>
        <v>Toyota Alphard 18- ANH30 3rd Gen (Sensor bwh keramik)</v>
      </c>
      <c r="E657" s="45">
        <v>1.0</v>
      </c>
      <c r="F657" s="198">
        <v>3761000.0</v>
      </c>
      <c r="G657" s="142">
        <f t="shared" si="37"/>
        <v>3761000</v>
      </c>
      <c r="H657" s="143">
        <v>1100000.0</v>
      </c>
      <c r="I657" s="143">
        <f t="shared" si="38"/>
        <v>2661000</v>
      </c>
      <c r="J657" s="144">
        <f t="shared" si="39"/>
        <v>2661000</v>
      </c>
      <c r="K657" s="108" t="s">
        <v>4604</v>
      </c>
      <c r="L657" s="199" t="s">
        <v>4605</v>
      </c>
      <c r="M657" s="17"/>
      <c r="N657" s="64" t="s">
        <v>4606</v>
      </c>
      <c r="O657" s="64" t="s">
        <v>4607</v>
      </c>
      <c r="P657" s="170"/>
      <c r="Q657" s="149"/>
      <c r="R657" s="141"/>
      <c r="S657" s="141"/>
      <c r="T657" s="141">
        <v>50000.0</v>
      </c>
      <c r="U657" s="149"/>
      <c r="V657" s="149"/>
      <c r="W657" s="149"/>
      <c r="X657" s="64" t="s">
        <v>3810</v>
      </c>
      <c r="Y657" s="68"/>
      <c r="Z657" s="68"/>
    </row>
    <row r="658" ht="15.0" customHeight="1">
      <c r="A658" s="206">
        <v>45897.0</v>
      </c>
      <c r="B658" s="201" t="s">
        <v>4603</v>
      </c>
      <c r="C658" s="64" t="s">
        <v>2770</v>
      </c>
      <c r="D658" s="140" t="str">
        <f>IFERROR(VLOOKUP(C658,Stock,3,FALSE),"")</f>
        <v>Transport</v>
      </c>
      <c r="E658" s="45">
        <v>1.0</v>
      </c>
      <c r="F658" s="198">
        <v>240000.0</v>
      </c>
      <c r="G658" s="142">
        <f t="shared" si="37"/>
        <v>240000</v>
      </c>
      <c r="H658" s="142"/>
      <c r="I658" s="143">
        <f t="shared" si="38"/>
        <v>240000</v>
      </c>
      <c r="J658" s="144">
        <f t="shared" si="39"/>
        <v>240000</v>
      </c>
      <c r="K658" s="108" t="s">
        <v>4604</v>
      </c>
      <c r="L658" s="199" t="s">
        <v>4605</v>
      </c>
      <c r="M658" s="17"/>
      <c r="N658" s="64" t="s">
        <v>4606</v>
      </c>
      <c r="O658" s="64" t="s">
        <v>4607</v>
      </c>
      <c r="P658" s="170"/>
      <c r="Q658" s="149"/>
      <c r="R658" s="141"/>
      <c r="S658" s="141"/>
      <c r="T658" s="141">
        <v>2851000.0</v>
      </c>
      <c r="U658" s="149"/>
      <c r="V658" s="149"/>
      <c r="W658" s="149"/>
      <c r="X658" s="64" t="s">
        <v>3810</v>
      </c>
      <c r="Y658" s="68"/>
      <c r="Z658" s="68"/>
    </row>
    <row r="659" ht="15.0" customHeight="1">
      <c r="A659" s="206">
        <v>45897.0</v>
      </c>
      <c r="B659" s="201" t="s">
        <v>4608</v>
      </c>
      <c r="C659" s="45" t="s">
        <v>4609</v>
      </c>
      <c r="D659" s="140" t="str">
        <f>IFERROR(VLOOKUP(C659,Stock,3,FALSE),"")</f>
        <v>Mazda Biante 08- (Hitam)</v>
      </c>
      <c r="E659" s="45">
        <v>1.0</v>
      </c>
      <c r="F659" s="198">
        <v>3343000.0</v>
      </c>
      <c r="G659" s="142">
        <f t="shared" si="37"/>
        <v>3343000</v>
      </c>
      <c r="H659" s="142"/>
      <c r="I659" s="143">
        <f t="shared" si="38"/>
        <v>3343000</v>
      </c>
      <c r="J659" s="144">
        <f t="shared" si="39"/>
        <v>3343000</v>
      </c>
      <c r="K659" s="108" t="s">
        <v>4610</v>
      </c>
      <c r="L659" s="199" t="s">
        <v>4611</v>
      </c>
      <c r="M659" s="17"/>
      <c r="N659" s="64" t="s">
        <v>4612</v>
      </c>
      <c r="O659" s="64" t="s">
        <v>2813</v>
      </c>
      <c r="P659" s="170"/>
      <c r="Q659" s="149"/>
      <c r="R659" s="141"/>
      <c r="S659" s="141"/>
      <c r="T659" s="141">
        <v>30000.0</v>
      </c>
      <c r="U659" s="149"/>
      <c r="V659" s="149"/>
      <c r="W659" s="149"/>
      <c r="X659" s="64" t="s">
        <v>3810</v>
      </c>
      <c r="Y659" s="68"/>
      <c r="Z659" s="68"/>
    </row>
    <row r="660" ht="15.0" customHeight="1">
      <c r="A660" s="206">
        <v>45897.0</v>
      </c>
      <c r="B660" s="201" t="s">
        <v>4608</v>
      </c>
      <c r="C660" s="64" t="s">
        <v>2770</v>
      </c>
      <c r="D660" s="140" t="str">
        <f>IFERROR(VLOOKUP(C660,Stock,3,FALSE),"")</f>
        <v>Transport</v>
      </c>
      <c r="E660" s="45">
        <v>1.0</v>
      </c>
      <c r="F660" s="198">
        <v>250000.0</v>
      </c>
      <c r="G660" s="142">
        <f t="shared" si="37"/>
        <v>250000</v>
      </c>
      <c r="H660" s="142"/>
      <c r="I660" s="143">
        <f t="shared" si="38"/>
        <v>250000</v>
      </c>
      <c r="J660" s="144">
        <f t="shared" si="39"/>
        <v>250000</v>
      </c>
      <c r="K660" s="108" t="s">
        <v>4610</v>
      </c>
      <c r="L660" s="199" t="s">
        <v>4611</v>
      </c>
      <c r="M660" s="17"/>
      <c r="N660" s="64" t="s">
        <v>4612</v>
      </c>
      <c r="O660" s="64" t="s">
        <v>2813</v>
      </c>
      <c r="P660" s="170"/>
      <c r="Q660" s="149"/>
      <c r="R660" s="149"/>
      <c r="S660" s="149"/>
      <c r="T660" s="149"/>
      <c r="U660" s="149"/>
      <c r="V660" s="149"/>
      <c r="W660" s="149"/>
      <c r="X660" s="64" t="s">
        <v>3810</v>
      </c>
      <c r="Y660" s="68"/>
      <c r="Z660" s="68"/>
    </row>
    <row r="661" ht="15.0" customHeight="1">
      <c r="A661" s="206">
        <v>45897.0</v>
      </c>
      <c r="B661" s="201" t="s">
        <v>4613</v>
      </c>
      <c r="C661" s="45" t="s">
        <v>2944</v>
      </c>
      <c r="D661" s="140" t="str">
        <f>IFERROR(VLOOKUP(C661,Stock,3,FALSE),"")</f>
        <v>Toyota Innova 04-15 1st Gen</v>
      </c>
      <c r="E661" s="45">
        <v>1.0</v>
      </c>
      <c r="F661" s="198">
        <v>1316000.0</v>
      </c>
      <c r="G661" s="142">
        <f t="shared" si="37"/>
        <v>1316000</v>
      </c>
      <c r="H661" s="142"/>
      <c r="I661" s="143">
        <f t="shared" si="38"/>
        <v>1316000</v>
      </c>
      <c r="J661" s="144">
        <f t="shared" si="39"/>
        <v>1316000</v>
      </c>
      <c r="K661" s="108" t="s">
        <v>4614</v>
      </c>
      <c r="L661" s="199" t="s">
        <v>4615</v>
      </c>
      <c r="M661" s="17"/>
      <c r="N661" s="64" t="s">
        <v>4616</v>
      </c>
      <c r="O661" s="64" t="s">
        <v>2813</v>
      </c>
      <c r="P661" s="170"/>
      <c r="Q661" s="149"/>
      <c r="R661" s="141"/>
      <c r="S661" s="141"/>
      <c r="T661" s="141">
        <v>1631000.0</v>
      </c>
      <c r="U661" s="149"/>
      <c r="V661" s="149"/>
      <c r="W661" s="149"/>
      <c r="X661" s="64" t="s">
        <v>3810</v>
      </c>
      <c r="Y661" s="68"/>
      <c r="Z661" s="68"/>
    </row>
    <row r="662" ht="15.0" customHeight="1">
      <c r="A662" s="206">
        <v>45897.0</v>
      </c>
      <c r="B662" s="201" t="s">
        <v>4613</v>
      </c>
      <c r="C662" s="45" t="s">
        <v>3352</v>
      </c>
      <c r="D662" s="140" t="str">
        <f>IFERROR(VLOOKUP(C662,Stock,3,FALSE),"")</f>
        <v>List Kaca Depan INV</v>
      </c>
      <c r="E662" s="45">
        <v>1.0</v>
      </c>
      <c r="F662" s="198">
        <v>315000.0</v>
      </c>
      <c r="G662" s="142">
        <f t="shared" si="37"/>
        <v>315000</v>
      </c>
      <c r="H662" s="142"/>
      <c r="I662" s="143">
        <f t="shared" si="38"/>
        <v>315000</v>
      </c>
      <c r="J662" s="144">
        <f t="shared" si="39"/>
        <v>315000</v>
      </c>
      <c r="K662" s="108" t="s">
        <v>4614</v>
      </c>
      <c r="L662" s="199" t="s">
        <v>4615</v>
      </c>
      <c r="M662" s="17"/>
      <c r="N662" s="64" t="s">
        <v>4616</v>
      </c>
      <c r="O662" s="64" t="s">
        <v>2813</v>
      </c>
      <c r="P662" s="170"/>
      <c r="Q662" s="149"/>
      <c r="R662" s="149"/>
      <c r="S662" s="149"/>
      <c r="T662" s="149"/>
      <c r="U662" s="149"/>
      <c r="V662" s="149"/>
      <c r="W662" s="149"/>
      <c r="X662" s="64" t="s">
        <v>3810</v>
      </c>
      <c r="Y662" s="68"/>
      <c r="Z662" s="68"/>
    </row>
    <row r="663" ht="15.0" customHeight="1">
      <c r="A663" s="206">
        <v>45897.0</v>
      </c>
      <c r="B663" s="201" t="s">
        <v>4617</v>
      </c>
      <c r="C663" s="45" t="s">
        <v>3113</v>
      </c>
      <c r="D663" s="17" t="str">
        <f>IFERROR(VLOOKUP(C663,Stock,3,FALSE),"")</f>
        <v>Mitsubishi Pajero 16-</v>
      </c>
      <c r="E663" s="45">
        <v>1.0</v>
      </c>
      <c r="F663" s="198">
        <v>1480000.0</v>
      </c>
      <c r="G663" s="142">
        <f t="shared" si="37"/>
        <v>1480000</v>
      </c>
      <c r="H663" s="142"/>
      <c r="I663" s="143">
        <f t="shared" si="38"/>
        <v>1480000</v>
      </c>
      <c r="J663" s="144">
        <f t="shared" si="39"/>
        <v>1480000</v>
      </c>
      <c r="K663" s="108" t="s">
        <v>4618</v>
      </c>
      <c r="L663" s="199" t="s">
        <v>4619</v>
      </c>
      <c r="M663" s="17"/>
      <c r="N663" s="64" t="s">
        <v>4620</v>
      </c>
      <c r="O663" s="64" t="s">
        <v>2813</v>
      </c>
      <c r="P663" s="170"/>
      <c r="Q663" s="149"/>
      <c r="R663" s="141"/>
      <c r="S663" s="141"/>
      <c r="T663" s="141">
        <v>1480000.0</v>
      </c>
      <c r="U663" s="149"/>
      <c r="V663" s="149"/>
      <c r="W663" s="149"/>
      <c r="X663" s="64" t="s">
        <v>3810</v>
      </c>
      <c r="Y663" s="68"/>
      <c r="Z663" s="68"/>
    </row>
    <row r="664" ht="15.0" customHeight="1">
      <c r="A664" s="206">
        <v>45897.0</v>
      </c>
      <c r="B664" s="201" t="s">
        <v>4621</v>
      </c>
      <c r="C664" s="45" t="s">
        <v>4468</v>
      </c>
      <c r="D664" s="17" t="str">
        <f>IFERROR(VLOOKUP(C664,Stock,3,FALSE),"")</f>
        <v>Honda CR-V 17-23 5th Gen (Honda)</v>
      </c>
      <c r="E664" s="45">
        <v>1.0</v>
      </c>
      <c r="F664" s="198">
        <v>0.0</v>
      </c>
      <c r="G664" s="142">
        <f t="shared" si="37"/>
        <v>0</v>
      </c>
      <c r="H664" s="142"/>
      <c r="I664" s="143">
        <f t="shared" si="38"/>
        <v>0</v>
      </c>
      <c r="J664" s="144">
        <f t="shared" si="39"/>
        <v>0</v>
      </c>
      <c r="K664" s="108" t="s">
        <v>3847</v>
      </c>
      <c r="L664" s="17"/>
      <c r="M664" s="17"/>
      <c r="N664" s="68"/>
      <c r="O664" s="68"/>
      <c r="P664" s="170"/>
      <c r="Q664" s="149"/>
      <c r="R664" s="149"/>
      <c r="S664" s="149"/>
      <c r="T664" s="149"/>
      <c r="U664" s="149"/>
      <c r="V664" s="149"/>
      <c r="W664" s="149"/>
      <c r="X664" s="64" t="s">
        <v>3191</v>
      </c>
      <c r="Y664" s="68"/>
      <c r="Z664" s="68"/>
    </row>
    <row r="665" ht="15.0" customHeight="1">
      <c r="A665" s="206">
        <v>45898.0</v>
      </c>
      <c r="B665" s="201" t="s">
        <v>4622</v>
      </c>
      <c r="C665" s="45" t="s">
        <v>3499</v>
      </c>
      <c r="D665" s="17" t="str">
        <f>IFERROR(VLOOKUP(C665,Stock,3,FALSE),"")</f>
        <v>Honda Brio 10- / Mobilio 11-</v>
      </c>
      <c r="E665" s="45">
        <v>1.0</v>
      </c>
      <c r="F665" s="198">
        <v>1295000.0</v>
      </c>
      <c r="G665" s="142">
        <f t="shared" si="37"/>
        <v>1295000</v>
      </c>
      <c r="H665" s="142"/>
      <c r="I665" s="143">
        <f t="shared" si="38"/>
        <v>1295000</v>
      </c>
      <c r="J665" s="144">
        <f t="shared" si="39"/>
        <v>1295000</v>
      </c>
      <c r="K665" s="108" t="s">
        <v>4623</v>
      </c>
      <c r="L665" s="199" t="s">
        <v>4624</v>
      </c>
      <c r="M665" s="17"/>
      <c r="N665" s="64" t="s">
        <v>4625</v>
      </c>
      <c r="O665" s="64" t="s">
        <v>2813</v>
      </c>
      <c r="P665" s="170"/>
      <c r="Q665" s="141">
        <v>1295000.0</v>
      </c>
      <c r="R665" s="149"/>
      <c r="S665" s="149"/>
      <c r="T665" s="149"/>
      <c r="U665" s="149"/>
      <c r="V665" s="149"/>
      <c r="W665" s="149"/>
      <c r="X665" s="64" t="s">
        <v>3810</v>
      </c>
      <c r="Y665" s="68"/>
      <c r="Z665" s="68"/>
    </row>
    <row r="666" ht="15.0" customHeight="1">
      <c r="A666" s="206">
        <v>45898.0</v>
      </c>
      <c r="B666" s="201" t="s">
        <v>4626</v>
      </c>
      <c r="C666" s="45" t="s">
        <v>4627</v>
      </c>
      <c r="D666" s="17" t="str">
        <f>IFERROR(VLOOKUP(C666,Stock,3,FALSE),"")</f>
        <v>Honda Brio 18- (Honda)</v>
      </c>
      <c r="E666" s="45">
        <v>1.0</v>
      </c>
      <c r="F666" s="198">
        <v>685000.0</v>
      </c>
      <c r="G666" s="142">
        <f t="shared" si="37"/>
        <v>685000</v>
      </c>
      <c r="H666" s="142"/>
      <c r="I666" s="143">
        <f t="shared" si="38"/>
        <v>685000</v>
      </c>
      <c r="J666" s="144">
        <f t="shared" si="39"/>
        <v>685000</v>
      </c>
      <c r="K666" s="108" t="s">
        <v>4628</v>
      </c>
      <c r="L666" s="199" t="s">
        <v>4629</v>
      </c>
      <c r="M666" s="17"/>
      <c r="N666" s="68"/>
      <c r="O666" s="64" t="s">
        <v>2813</v>
      </c>
      <c r="P666" s="170"/>
      <c r="Q666" s="149"/>
      <c r="R666" s="141"/>
      <c r="S666" s="141"/>
      <c r="T666" s="141">
        <v>30000.0</v>
      </c>
      <c r="U666" s="149"/>
      <c r="V666" s="149"/>
      <c r="W666" s="149"/>
      <c r="X666" s="64" t="s">
        <v>3810</v>
      </c>
      <c r="Y666" s="68"/>
      <c r="Z666" s="68"/>
    </row>
    <row r="667" ht="15.0" customHeight="1">
      <c r="A667" s="206">
        <v>45898.0</v>
      </c>
      <c r="B667" s="201" t="s">
        <v>4626</v>
      </c>
      <c r="C667" s="45" t="s">
        <v>2770</v>
      </c>
      <c r="D667" s="17" t="str">
        <f>IFERROR(VLOOKUP(C667,Stock,3,FALSE),"")</f>
        <v>Transport</v>
      </c>
      <c r="E667" s="45">
        <v>1.0</v>
      </c>
      <c r="F667" s="198">
        <v>80000.0</v>
      </c>
      <c r="G667" s="142">
        <f t="shared" si="37"/>
        <v>80000</v>
      </c>
      <c r="H667" s="142"/>
      <c r="I667" s="143">
        <f t="shared" si="38"/>
        <v>80000</v>
      </c>
      <c r="J667" s="144">
        <f t="shared" si="39"/>
        <v>80000</v>
      </c>
      <c r="K667" s="108" t="s">
        <v>4628</v>
      </c>
      <c r="L667" s="199" t="s">
        <v>4629</v>
      </c>
      <c r="M667" s="17"/>
      <c r="N667" s="68"/>
      <c r="O667" s="64" t="s">
        <v>2813</v>
      </c>
      <c r="P667" s="170"/>
      <c r="Q667" s="149"/>
      <c r="R667" s="141"/>
      <c r="S667" s="141"/>
      <c r="T667" s="141">
        <v>735000.0</v>
      </c>
      <c r="U667" s="149"/>
      <c r="V667" s="149"/>
      <c r="W667" s="149"/>
      <c r="X667" s="64" t="s">
        <v>3810</v>
      </c>
      <c r="Y667" s="68"/>
      <c r="Z667" s="68"/>
    </row>
    <row r="668" ht="15.0" customHeight="1">
      <c r="A668" s="206">
        <v>45898.0</v>
      </c>
      <c r="B668" s="201" t="s">
        <v>4630</v>
      </c>
      <c r="C668" s="45" t="s">
        <v>3727</v>
      </c>
      <c r="D668" s="17" t="str">
        <f>IFERROR(VLOOKUP(C668,Stock,3,FALSE),"")</f>
        <v>Toyota Innova 15- 2nd Gen</v>
      </c>
      <c r="E668" s="45">
        <v>1.0</v>
      </c>
      <c r="F668" s="198">
        <v>1764000.0</v>
      </c>
      <c r="G668" s="142">
        <f t="shared" si="37"/>
        <v>1764000</v>
      </c>
      <c r="H668" s="142"/>
      <c r="I668" s="143">
        <f t="shared" si="38"/>
        <v>1764000</v>
      </c>
      <c r="J668" s="144">
        <f t="shared" si="39"/>
        <v>1764000</v>
      </c>
      <c r="K668" s="108" t="s">
        <v>4631</v>
      </c>
      <c r="L668" s="199" t="s">
        <v>4632</v>
      </c>
      <c r="M668" s="17"/>
      <c r="N668" s="64" t="s">
        <v>4633</v>
      </c>
      <c r="O668" s="64" t="s">
        <v>3341</v>
      </c>
      <c r="P668" s="170"/>
      <c r="Q668" s="149"/>
      <c r="R668" s="141"/>
      <c r="S668" s="141"/>
      <c r="T668" s="141">
        <v>30000.0</v>
      </c>
      <c r="U668" s="149"/>
      <c r="V668" s="149"/>
      <c r="W668" s="149"/>
      <c r="X668" s="64" t="s">
        <v>3810</v>
      </c>
      <c r="Y668" s="68"/>
      <c r="Z668" s="68"/>
    </row>
    <row r="669" ht="15.0" customHeight="1">
      <c r="A669" s="206">
        <v>45898.0</v>
      </c>
      <c r="B669" s="201" t="s">
        <v>4630</v>
      </c>
      <c r="C669" s="45" t="s">
        <v>2770</v>
      </c>
      <c r="D669" s="17" t="str">
        <f>IFERROR(VLOOKUP(C669,Stock,3,FALSE),"")</f>
        <v>Transport</v>
      </c>
      <c r="E669" s="45">
        <v>1.0</v>
      </c>
      <c r="F669" s="198">
        <v>150000.0</v>
      </c>
      <c r="G669" s="142">
        <f t="shared" si="37"/>
        <v>150000</v>
      </c>
      <c r="H669" s="142"/>
      <c r="I669" s="143">
        <f t="shared" si="38"/>
        <v>150000</v>
      </c>
      <c r="J669" s="144">
        <f t="shared" si="39"/>
        <v>150000</v>
      </c>
      <c r="K669" s="108" t="s">
        <v>4631</v>
      </c>
      <c r="L669" s="199" t="s">
        <v>4632</v>
      </c>
      <c r="M669" s="17"/>
      <c r="N669" s="64" t="s">
        <v>4633</v>
      </c>
      <c r="O669" s="64" t="s">
        <v>3341</v>
      </c>
      <c r="P669" s="170"/>
      <c r="Q669" s="149"/>
      <c r="R669" s="141"/>
      <c r="S669" s="141"/>
      <c r="T669" s="141">
        <v>1866000.0</v>
      </c>
      <c r="U669" s="149"/>
      <c r="V669" s="149"/>
      <c r="W669" s="149"/>
      <c r="X669" s="64" t="s">
        <v>3810</v>
      </c>
      <c r="Y669" s="68"/>
      <c r="Z669" s="68"/>
    </row>
    <row r="670" ht="15.0" customHeight="1">
      <c r="A670" s="206">
        <v>45898.0</v>
      </c>
      <c r="B670" s="201" t="s">
        <v>4634</v>
      </c>
      <c r="C670" s="45" t="s">
        <v>3829</v>
      </c>
      <c r="D670" s="17" t="str">
        <f>IFERROR(VLOOKUP(C670,Stock,3,FALSE),"")</f>
        <v>Hyundai Accent Verna / Avega 01-12 Sedan</v>
      </c>
      <c r="E670" s="45">
        <v>1.0</v>
      </c>
      <c r="F670" s="198">
        <v>1980000.0</v>
      </c>
      <c r="G670" s="142">
        <f t="shared" si="37"/>
        <v>1980000</v>
      </c>
      <c r="H670" s="142"/>
      <c r="I670" s="143">
        <f t="shared" si="38"/>
        <v>1980000</v>
      </c>
      <c r="J670" s="144">
        <f t="shared" si="39"/>
        <v>1980000</v>
      </c>
      <c r="K670" s="108" t="s">
        <v>4635</v>
      </c>
      <c r="L670" s="199" t="s">
        <v>4636</v>
      </c>
      <c r="M670" s="17"/>
      <c r="N670" s="64" t="s">
        <v>4637</v>
      </c>
      <c r="O670" s="64" t="s">
        <v>2813</v>
      </c>
      <c r="P670" s="170"/>
      <c r="Q670" s="149"/>
      <c r="R670" s="141"/>
      <c r="S670" s="141"/>
      <c r="T670" s="141">
        <v>1980000.0</v>
      </c>
      <c r="U670" s="149"/>
      <c r="V670" s="149"/>
      <c r="W670" s="149"/>
      <c r="X670" s="64" t="s">
        <v>3810</v>
      </c>
      <c r="Y670" s="68"/>
      <c r="Z670" s="68"/>
    </row>
    <row r="671" ht="15.0" customHeight="1">
      <c r="A671" s="206">
        <v>45898.0</v>
      </c>
      <c r="B671" s="201" t="s">
        <v>4638</v>
      </c>
      <c r="C671" s="45" t="s">
        <v>4639</v>
      </c>
      <c r="D671" s="17" t="str">
        <f>IFERROR(VLOOKUP(C671,Stock,3,FALSE),"")</f>
        <v>Toyota Innova 22- Zenyx 3rd Gen (Toyota)</v>
      </c>
      <c r="E671" s="45">
        <v>1.0</v>
      </c>
      <c r="F671" s="202"/>
      <c r="G671" s="142">
        <f t="shared" si="37"/>
        <v>0</v>
      </c>
      <c r="H671" s="142"/>
      <c r="I671" s="143">
        <f t="shared" si="38"/>
        <v>0</v>
      </c>
      <c r="J671" s="144">
        <f t="shared" si="39"/>
        <v>0</v>
      </c>
      <c r="K671" s="108" t="s">
        <v>4640</v>
      </c>
      <c r="L671" s="17"/>
      <c r="M671" s="17"/>
      <c r="N671" s="68"/>
      <c r="O671" s="68"/>
      <c r="P671" s="170"/>
      <c r="Q671" s="149"/>
      <c r="R671" s="149"/>
      <c r="S671" s="149"/>
      <c r="T671" s="149"/>
      <c r="U671" s="149"/>
      <c r="V671" s="149"/>
      <c r="W671" s="149"/>
      <c r="X671" s="64" t="s">
        <v>2976</v>
      </c>
      <c r="Y671" s="68"/>
      <c r="Z671" s="68"/>
    </row>
    <row r="672" ht="15.0" customHeight="1">
      <c r="A672" s="206">
        <v>45898.0</v>
      </c>
      <c r="B672" s="201" t="s">
        <v>4638</v>
      </c>
      <c r="C672" s="45" t="s">
        <v>4641</v>
      </c>
      <c r="D672" s="17" t="str">
        <f>IFERROR(VLOOKUP(C672,Stock,3,FALSE),"")</f>
        <v>Toyota Innova 22- Zenyx 3rd Gen (Toyota)</v>
      </c>
      <c r="E672" s="45">
        <v>1.0</v>
      </c>
      <c r="F672" s="202"/>
      <c r="G672" s="142">
        <f t="shared" si="37"/>
        <v>0</v>
      </c>
      <c r="H672" s="142"/>
      <c r="I672" s="143">
        <f t="shared" si="38"/>
        <v>0</v>
      </c>
      <c r="J672" s="144">
        <f t="shared" si="39"/>
        <v>0</v>
      </c>
      <c r="K672" s="108" t="s">
        <v>4640</v>
      </c>
      <c r="L672" s="17"/>
      <c r="M672" s="17"/>
      <c r="N672" s="68"/>
      <c r="O672" s="68"/>
      <c r="P672" s="170"/>
      <c r="Q672" s="149"/>
      <c r="R672" s="149"/>
      <c r="S672" s="149"/>
      <c r="T672" s="149"/>
      <c r="U672" s="149"/>
      <c r="V672" s="149"/>
      <c r="W672" s="149"/>
      <c r="X672" s="64" t="s">
        <v>2976</v>
      </c>
      <c r="Y672" s="68"/>
      <c r="Z672" s="68"/>
    </row>
    <row r="673" ht="15.0" customHeight="1">
      <c r="A673" s="206">
        <v>45898.0</v>
      </c>
      <c r="B673" s="201" t="s">
        <v>4638</v>
      </c>
      <c r="C673" s="45" t="s">
        <v>4642</v>
      </c>
      <c r="D673" s="17" t="str">
        <f>IFERROR(VLOOKUP(C673,Stock,3,FALSE),"")</f>
        <v>Toyota Innova 22- Zenyx 3rd Gen (Toyota)</v>
      </c>
      <c r="E673" s="45">
        <v>1.0</v>
      </c>
      <c r="F673" s="202"/>
      <c r="G673" s="142">
        <f t="shared" si="37"/>
        <v>0</v>
      </c>
      <c r="H673" s="142"/>
      <c r="I673" s="143">
        <f t="shared" si="38"/>
        <v>0</v>
      </c>
      <c r="J673" s="144">
        <f t="shared" si="39"/>
        <v>0</v>
      </c>
      <c r="K673" s="108" t="s">
        <v>4640</v>
      </c>
      <c r="L673" s="17"/>
      <c r="M673" s="17"/>
      <c r="N673" s="68"/>
      <c r="O673" s="68"/>
      <c r="P673" s="170"/>
      <c r="Q673" s="149"/>
      <c r="R673" s="149"/>
      <c r="S673" s="149"/>
      <c r="T673" s="149"/>
      <c r="U673" s="149"/>
      <c r="V673" s="149"/>
      <c r="W673" s="149"/>
      <c r="X673" s="64" t="s">
        <v>2976</v>
      </c>
      <c r="Y673" s="68"/>
      <c r="Z673" s="68"/>
    </row>
    <row r="674" ht="15.0" customHeight="1">
      <c r="A674" s="206">
        <v>45899.0</v>
      </c>
      <c r="B674" s="201" t="s">
        <v>4643</v>
      </c>
      <c r="C674" s="45" t="s">
        <v>4644</v>
      </c>
      <c r="D674" s="17" t="str">
        <f>IFERROR(VLOOKUP(C674,Stock,3,FALSE),"")</f>
        <v>Toyota Raize / Daihatsu Rocky 20-</v>
      </c>
      <c r="E674" s="45">
        <v>1.0</v>
      </c>
      <c r="F674" s="198">
        <v>1549000.0</v>
      </c>
      <c r="G674" s="142">
        <f t="shared" si="37"/>
        <v>1549000</v>
      </c>
      <c r="H674" s="142"/>
      <c r="I674" s="143">
        <f t="shared" si="38"/>
        <v>1549000</v>
      </c>
      <c r="J674" s="144">
        <f t="shared" si="39"/>
        <v>1549000</v>
      </c>
      <c r="K674" s="108" t="s">
        <v>4645</v>
      </c>
      <c r="L674" s="199" t="s">
        <v>4646</v>
      </c>
      <c r="M674" s="17"/>
      <c r="N674" s="64" t="s">
        <v>4647</v>
      </c>
      <c r="O674" s="64" t="s">
        <v>2813</v>
      </c>
      <c r="P674" s="170"/>
      <c r="Q674" s="149"/>
      <c r="R674" s="141"/>
      <c r="S674" s="141"/>
      <c r="T674" s="141">
        <v>1519000.0</v>
      </c>
      <c r="U674" s="149"/>
      <c r="V674" s="149"/>
      <c r="W674" s="149"/>
      <c r="X674" s="64" t="s">
        <v>3810</v>
      </c>
      <c r="Y674" s="68"/>
      <c r="Z674" s="68"/>
    </row>
    <row r="675" ht="15.0" customHeight="1">
      <c r="A675" s="206">
        <v>45899.0</v>
      </c>
      <c r="B675" s="201" t="s">
        <v>4648</v>
      </c>
      <c r="C675" s="45" t="s">
        <v>4649</v>
      </c>
      <c r="D675" s="17" t="str">
        <f>IFERROR(VLOOKUP(C675,Stock,3,FALSE),"")</f>
        <v>Nissan Evalia 10- X11M</v>
      </c>
      <c r="E675" s="45">
        <v>1.0</v>
      </c>
      <c r="F675" s="198">
        <v>1022000.0</v>
      </c>
      <c r="G675" s="142">
        <f t="shared" si="37"/>
        <v>1022000</v>
      </c>
      <c r="H675" s="142"/>
      <c r="I675" s="143">
        <f t="shared" si="38"/>
        <v>1022000</v>
      </c>
      <c r="J675" s="144">
        <f t="shared" si="39"/>
        <v>1022000</v>
      </c>
      <c r="K675" s="108" t="s">
        <v>2866</v>
      </c>
      <c r="L675" s="199" t="s">
        <v>4650</v>
      </c>
      <c r="M675" s="17"/>
      <c r="N675" s="64" t="s">
        <v>4651</v>
      </c>
      <c r="O675" s="64" t="s">
        <v>2813</v>
      </c>
      <c r="P675" s="170"/>
      <c r="Q675" s="149"/>
      <c r="R675" s="141"/>
      <c r="S675" s="141"/>
      <c r="T675" s="141">
        <v>1022000.0</v>
      </c>
      <c r="U675" s="149"/>
      <c r="V675" s="149"/>
      <c r="W675" s="149"/>
      <c r="X675" s="64" t="s">
        <v>3810</v>
      </c>
      <c r="Y675" s="68"/>
      <c r="Z675" s="68"/>
    </row>
    <row r="676" ht="15.0" customHeight="1">
      <c r="A676" s="206">
        <v>45899.0</v>
      </c>
      <c r="B676" s="201" t="s">
        <v>4652</v>
      </c>
      <c r="C676" s="45" t="s">
        <v>4653</v>
      </c>
      <c r="D676" s="17" t="str">
        <f>IFERROR(VLOOKUP(C676,Stock,3,FALSE),"")</f>
        <v>Toyota Sienta 15-</v>
      </c>
      <c r="E676" s="45">
        <v>1.0</v>
      </c>
      <c r="F676" s="198">
        <v>1988000.0</v>
      </c>
      <c r="G676" s="142">
        <f t="shared" si="37"/>
        <v>1988000</v>
      </c>
      <c r="H676" s="142"/>
      <c r="I676" s="143">
        <f t="shared" si="38"/>
        <v>1988000</v>
      </c>
      <c r="J676" s="144">
        <f t="shared" si="39"/>
        <v>1988000</v>
      </c>
      <c r="K676" s="108" t="s">
        <v>4654</v>
      </c>
      <c r="L676" s="199" t="s">
        <v>4655</v>
      </c>
      <c r="M676" s="17"/>
      <c r="N676" s="64" t="s">
        <v>4656</v>
      </c>
      <c r="O676" s="64" t="s">
        <v>2813</v>
      </c>
      <c r="P676" s="170"/>
      <c r="Q676" s="149"/>
      <c r="R676" s="141"/>
      <c r="S676" s="141"/>
      <c r="T676" s="141">
        <v>1988000.0</v>
      </c>
      <c r="U676" s="149"/>
      <c r="V676" s="149"/>
      <c r="W676" s="149"/>
      <c r="X676" s="64" t="s">
        <v>3810</v>
      </c>
      <c r="Y676" s="68"/>
      <c r="Z676" s="68"/>
    </row>
    <row r="677" ht="15.0" customHeight="1">
      <c r="A677" s="206">
        <v>45899.0</v>
      </c>
      <c r="B677" s="201" t="s">
        <v>4657</v>
      </c>
      <c r="C677" s="45" t="s">
        <v>4658</v>
      </c>
      <c r="D677" s="17" t="str">
        <f>IFERROR(VLOOKUP(C677,Stock,3,FALSE),"")</f>
        <v>Mers-Benz E-Class 02-09 W211</v>
      </c>
      <c r="E677" s="45">
        <v>1.0</v>
      </c>
      <c r="F677" s="198">
        <v>3437000.0</v>
      </c>
      <c r="G677" s="142">
        <f t="shared" si="37"/>
        <v>3437000</v>
      </c>
      <c r="H677" s="142"/>
      <c r="I677" s="143">
        <f t="shared" si="38"/>
        <v>3437000</v>
      </c>
      <c r="J677" s="144">
        <f t="shared" si="39"/>
        <v>3437000</v>
      </c>
      <c r="K677" s="108" t="s">
        <v>4659</v>
      </c>
      <c r="L677" s="199" t="s">
        <v>4660</v>
      </c>
      <c r="M677" s="17"/>
      <c r="N677" s="64" t="s">
        <v>4661</v>
      </c>
      <c r="O677" s="64" t="s">
        <v>3007</v>
      </c>
      <c r="P677" s="170"/>
      <c r="Q677" s="149"/>
      <c r="R677" s="141"/>
      <c r="S677" s="141"/>
      <c r="T677" s="141">
        <v>50000.0</v>
      </c>
      <c r="U677" s="149"/>
      <c r="V677" s="149"/>
      <c r="W677" s="149"/>
      <c r="X677" s="64" t="s">
        <v>3810</v>
      </c>
      <c r="Y677" s="68"/>
      <c r="Z677" s="68"/>
    </row>
    <row r="678" ht="15.0" customHeight="1">
      <c r="A678" s="206">
        <v>45899.0</v>
      </c>
      <c r="B678" s="201" t="s">
        <v>4657</v>
      </c>
      <c r="C678" s="45" t="s">
        <v>2770</v>
      </c>
      <c r="D678" s="17" t="str">
        <f>IFERROR(VLOOKUP(C678,Stock,3,FALSE),"")</f>
        <v>Transport</v>
      </c>
      <c r="E678" s="45">
        <v>1.0</v>
      </c>
      <c r="F678" s="198">
        <v>200000.0</v>
      </c>
      <c r="G678" s="142">
        <f t="shared" si="37"/>
        <v>200000</v>
      </c>
      <c r="H678" s="143">
        <v>200000.0</v>
      </c>
      <c r="I678" s="143">
        <f t="shared" si="38"/>
        <v>0</v>
      </c>
      <c r="J678" s="144">
        <f t="shared" si="39"/>
        <v>0</v>
      </c>
      <c r="K678" s="108" t="s">
        <v>4659</v>
      </c>
      <c r="L678" s="199" t="s">
        <v>4660</v>
      </c>
      <c r="M678" s="17"/>
      <c r="N678" s="64" t="s">
        <v>4661</v>
      </c>
      <c r="O678" s="64" t="s">
        <v>3007</v>
      </c>
      <c r="P678" s="170"/>
      <c r="Q678" s="149"/>
      <c r="R678" s="149"/>
      <c r="S678" s="149"/>
      <c r="T678" s="149"/>
      <c r="U678" s="149"/>
      <c r="V678" s="149"/>
      <c r="W678" s="149"/>
      <c r="X678" s="64" t="s">
        <v>3810</v>
      </c>
      <c r="Y678" s="68"/>
      <c r="Z678" s="68"/>
    </row>
    <row r="679" ht="15.0" customHeight="1">
      <c r="A679" s="206">
        <v>45899.0</v>
      </c>
      <c r="B679" s="201" t="s">
        <v>4662</v>
      </c>
      <c r="C679" s="45" t="s">
        <v>4663</v>
      </c>
      <c r="D679" s="17" t="str">
        <f>IFERROR(VLOOKUP(C679,Stock,3,FALSE),"")</f>
        <v>Toyota Raize / Daihatsu Rocky 20- (Toyota/Daihatsu)</v>
      </c>
      <c r="E679" s="45">
        <v>1.0</v>
      </c>
      <c r="F679" s="198">
        <v>984000.0</v>
      </c>
      <c r="G679" s="142">
        <f t="shared" si="37"/>
        <v>984000</v>
      </c>
      <c r="H679" s="142"/>
      <c r="I679" s="143">
        <f t="shared" si="38"/>
        <v>984000</v>
      </c>
      <c r="J679" s="144">
        <f t="shared" si="39"/>
        <v>984000</v>
      </c>
      <c r="K679" s="108" t="s">
        <v>4664</v>
      </c>
      <c r="L679" s="199" t="s">
        <v>4665</v>
      </c>
      <c r="M679" s="17"/>
      <c r="N679" s="64" t="s">
        <v>4666</v>
      </c>
      <c r="O679" s="64" t="s">
        <v>2813</v>
      </c>
      <c r="P679" s="170"/>
      <c r="Q679" s="149"/>
      <c r="R679" s="141"/>
      <c r="S679" s="141"/>
      <c r="T679" s="141">
        <v>984000.0</v>
      </c>
      <c r="U679" s="149"/>
      <c r="V679" s="149"/>
      <c r="W679" s="149"/>
      <c r="X679" s="64" t="s">
        <v>3810</v>
      </c>
      <c r="Y679" s="68"/>
      <c r="Z679" s="68"/>
    </row>
    <row r="680" ht="15.0" customHeight="1">
      <c r="A680" s="206">
        <v>45898.0</v>
      </c>
      <c r="B680" s="201" t="s">
        <v>4667</v>
      </c>
      <c r="C680" s="45" t="s">
        <v>2756</v>
      </c>
      <c r="D680" s="140" t="str">
        <f>IFERROR(VLOOKUP(C680,Stock,3,FALSE),"")</f>
        <v>Wuling Almaz (Sensor)</v>
      </c>
      <c r="E680" s="45">
        <v>1.0</v>
      </c>
      <c r="F680" s="198">
        <v>2650000.0</v>
      </c>
      <c r="G680" s="142">
        <f t="shared" si="37"/>
        <v>2650000</v>
      </c>
      <c r="H680" s="143">
        <v>38000.0</v>
      </c>
      <c r="I680" s="143">
        <f t="shared" si="38"/>
        <v>2612000</v>
      </c>
      <c r="J680" s="144">
        <f t="shared" si="39"/>
        <v>2612000</v>
      </c>
      <c r="K680" s="200"/>
      <c r="L680" s="199" t="s">
        <v>4668</v>
      </c>
      <c r="M680" s="17"/>
      <c r="N680" s="64" t="s">
        <v>4270</v>
      </c>
      <c r="O680" s="64" t="s">
        <v>2813</v>
      </c>
      <c r="P680" s="170"/>
      <c r="Q680" s="149"/>
      <c r="R680" s="141"/>
      <c r="S680" s="141"/>
      <c r="T680" s="141">
        <v>100000.0</v>
      </c>
      <c r="U680" s="149"/>
      <c r="V680" s="149"/>
      <c r="W680" s="149"/>
      <c r="X680" s="64" t="s">
        <v>3810</v>
      </c>
      <c r="Y680" s="68"/>
      <c r="Z680" s="68"/>
    </row>
    <row r="681" ht="15.0" customHeight="1">
      <c r="A681" s="206">
        <v>45898.0</v>
      </c>
      <c r="B681" s="201" t="s">
        <v>4667</v>
      </c>
      <c r="C681" s="45" t="s">
        <v>4669</v>
      </c>
      <c r="D681" s="140" t="str">
        <f>IFERROR(VLOOKUP(C681,Stock,3,FALSE),"")</f>
        <v>Wuling Almaz (Wuling)</v>
      </c>
      <c r="E681" s="45">
        <v>1.0</v>
      </c>
      <c r="F681" s="198">
        <v>988000.0</v>
      </c>
      <c r="G681" s="142">
        <f t="shared" si="37"/>
        <v>988000</v>
      </c>
      <c r="H681" s="142"/>
      <c r="I681" s="143">
        <f t="shared" si="38"/>
        <v>988000</v>
      </c>
      <c r="J681" s="144">
        <f t="shared" si="39"/>
        <v>988000</v>
      </c>
      <c r="K681" s="200"/>
      <c r="L681" s="199" t="s">
        <v>4668</v>
      </c>
      <c r="M681" s="17"/>
      <c r="N681" s="64" t="s">
        <v>4270</v>
      </c>
      <c r="O681" s="64" t="s">
        <v>2813</v>
      </c>
      <c r="P681" s="170"/>
      <c r="Q681" s="149"/>
      <c r="R681" s="141"/>
      <c r="S681" s="141"/>
      <c r="T681" s="141">
        <v>5500000.0</v>
      </c>
      <c r="U681" s="149"/>
      <c r="V681" s="149"/>
      <c r="W681" s="149"/>
      <c r="X681" s="64" t="s">
        <v>3810</v>
      </c>
      <c r="Y681" s="68"/>
      <c r="Z681" s="68"/>
    </row>
    <row r="682" ht="15.0" customHeight="1">
      <c r="A682" s="208">
        <v>45894.0</v>
      </c>
      <c r="B682" s="209" t="s">
        <v>4670</v>
      </c>
      <c r="C682" s="210" t="s">
        <v>4671</v>
      </c>
      <c r="D682" s="211" t="str">
        <f>IFERROR(VLOOKUP(C682,Stock,3,FALSE),"")</f>
        <v>Chevrolet Spark 98-05 M100 1stGen (800cc)</v>
      </c>
      <c r="E682" s="210">
        <v>1.0</v>
      </c>
      <c r="F682" s="212">
        <v>1338000.0</v>
      </c>
      <c r="G682" s="213">
        <f t="shared" si="37"/>
        <v>1338000</v>
      </c>
      <c r="H682" s="213"/>
      <c r="I682" s="214">
        <f t="shared" si="38"/>
        <v>1338000</v>
      </c>
      <c r="J682" s="215">
        <f t="shared" si="39"/>
        <v>1338000</v>
      </c>
      <c r="K682" s="216"/>
      <c r="L682" s="217"/>
      <c r="M682" s="217"/>
      <c r="N682" s="218" t="s">
        <v>4270</v>
      </c>
      <c r="O682" s="218" t="s">
        <v>4409</v>
      </c>
      <c r="P682" s="219" t="s">
        <v>4672</v>
      </c>
      <c r="Q682" s="220"/>
      <c r="R682" s="221"/>
      <c r="S682" s="221"/>
      <c r="T682" s="221">
        <v>1338000.0</v>
      </c>
      <c r="U682" s="220"/>
      <c r="V682" s="220"/>
      <c r="W682" s="220"/>
      <c r="X682" s="218" t="s">
        <v>3810</v>
      </c>
      <c r="Y682" s="68"/>
      <c r="Z682" s="68"/>
    </row>
    <row r="683" ht="15.0" customHeight="1">
      <c r="A683" s="206">
        <v>45901.0</v>
      </c>
      <c r="B683" s="201" t="s">
        <v>4673</v>
      </c>
      <c r="C683" s="45" t="s">
        <v>4674</v>
      </c>
      <c r="D683" s="17" t="str">
        <f>IFERROR(VLOOKUP(C683,Stock,3,FALSE),"")</f>
        <v>Toyota Alphard 08-15 ANH20 2nd Gen</v>
      </c>
      <c r="E683" s="45">
        <v>1.0</v>
      </c>
      <c r="F683" s="198">
        <v>4550000.0</v>
      </c>
      <c r="G683" s="142">
        <f t="shared" si="37"/>
        <v>4550000</v>
      </c>
      <c r="H683" s="142"/>
      <c r="I683" s="143">
        <f t="shared" si="38"/>
        <v>4550000</v>
      </c>
      <c r="J683" s="144">
        <f t="shared" si="39"/>
        <v>4550000</v>
      </c>
      <c r="K683" s="108" t="s">
        <v>4675</v>
      </c>
      <c r="L683" s="199" t="s">
        <v>4676</v>
      </c>
      <c r="M683" s="17"/>
      <c r="N683" s="64" t="s">
        <v>4677</v>
      </c>
      <c r="O683" s="64" t="s">
        <v>2813</v>
      </c>
      <c r="P683" s="170"/>
      <c r="Q683" s="149"/>
      <c r="R683" s="141"/>
      <c r="S683" s="141"/>
      <c r="T683" s="141">
        <v>5247000.0</v>
      </c>
      <c r="U683" s="149"/>
      <c r="V683" s="149"/>
      <c r="W683" s="149"/>
      <c r="X683" s="64" t="s">
        <v>3810</v>
      </c>
      <c r="Y683" s="68"/>
      <c r="Z683" s="68"/>
    </row>
    <row r="684" ht="15.0" customHeight="1">
      <c r="A684" s="206">
        <v>45901.0</v>
      </c>
      <c r="B684" s="201" t="s">
        <v>4673</v>
      </c>
      <c r="C684" s="45" t="s">
        <v>4678</v>
      </c>
      <c r="D684" s="17" t="str">
        <f>IFERROR(VLOOKUP(C684,Stock,3,FALSE),"")</f>
        <v>Moulding List Alphard ANH20 AGH30 (Upper)</v>
      </c>
      <c r="E684" s="45">
        <v>1.0</v>
      </c>
      <c r="F684" s="198">
        <v>697000.0</v>
      </c>
      <c r="G684" s="142">
        <f t="shared" si="37"/>
        <v>697000</v>
      </c>
      <c r="H684" s="142"/>
      <c r="I684" s="143">
        <f t="shared" si="38"/>
        <v>697000</v>
      </c>
      <c r="J684" s="144">
        <f t="shared" si="39"/>
        <v>697000</v>
      </c>
      <c r="K684" s="108" t="s">
        <v>4675</v>
      </c>
      <c r="L684" s="199" t="s">
        <v>4676</v>
      </c>
      <c r="M684" s="17"/>
      <c r="N684" s="64" t="s">
        <v>4677</v>
      </c>
      <c r="O684" s="64" t="s">
        <v>2813</v>
      </c>
      <c r="P684" s="170"/>
      <c r="Q684" s="149"/>
      <c r="R684" s="149"/>
      <c r="S684" s="149"/>
      <c r="T684" s="149"/>
      <c r="U684" s="149"/>
      <c r="V684" s="149"/>
      <c r="W684" s="149"/>
      <c r="X684" s="64" t="s">
        <v>3810</v>
      </c>
      <c r="Y684" s="68"/>
      <c r="Z684" s="68"/>
    </row>
    <row r="685" ht="15.0" customHeight="1">
      <c r="A685" s="206">
        <v>45901.0</v>
      </c>
      <c r="B685" s="201" t="s">
        <v>4679</v>
      </c>
      <c r="C685" s="45" t="s">
        <v>2869</v>
      </c>
      <c r="D685" s="17" t="str">
        <f>IFERROR(VLOOKUP(C685,Stock,3,FALSE),"")</f>
        <v>Daihatsu Gran Max / Luxio 07-</v>
      </c>
      <c r="E685" s="45">
        <v>1.0</v>
      </c>
      <c r="F685" s="198">
        <v>1000000.0</v>
      </c>
      <c r="G685" s="142">
        <f t="shared" si="37"/>
        <v>1000000</v>
      </c>
      <c r="H685" s="142"/>
      <c r="I685" s="143">
        <f t="shared" si="38"/>
        <v>1000000</v>
      </c>
      <c r="J685" s="144">
        <f t="shared" si="39"/>
        <v>1000000</v>
      </c>
      <c r="K685" s="108" t="s">
        <v>4680</v>
      </c>
      <c r="L685" s="199" t="s">
        <v>4681</v>
      </c>
      <c r="M685" s="17"/>
      <c r="N685" s="64" t="s">
        <v>4682</v>
      </c>
      <c r="O685" s="64" t="s">
        <v>2813</v>
      </c>
      <c r="P685" s="170"/>
      <c r="Q685" s="149"/>
      <c r="R685" s="141"/>
      <c r="S685" s="141"/>
      <c r="T685" s="141">
        <v>1000000.0</v>
      </c>
      <c r="U685" s="149"/>
      <c r="V685" s="149"/>
      <c r="W685" s="149"/>
      <c r="X685" s="64" t="s">
        <v>3810</v>
      </c>
      <c r="Y685" s="68"/>
      <c r="Z685" s="68"/>
    </row>
    <row r="686" ht="15.0" customHeight="1">
      <c r="A686" s="206">
        <v>45901.0</v>
      </c>
      <c r="B686" s="201" t="s">
        <v>4683</v>
      </c>
      <c r="C686" s="45" t="s">
        <v>2952</v>
      </c>
      <c r="D686" s="17" t="str">
        <f>IFERROR(VLOOKUP(C686,Stock,3,FALSE),"")</f>
        <v/>
      </c>
      <c r="E686" s="45">
        <v>1.0</v>
      </c>
      <c r="F686" s="198">
        <v>1000000.0</v>
      </c>
      <c r="G686" s="142">
        <f t="shared" si="37"/>
        <v>1000000</v>
      </c>
      <c r="H686" s="142"/>
      <c r="I686" s="143">
        <f t="shared" si="38"/>
        <v>1000000</v>
      </c>
      <c r="J686" s="144">
        <f t="shared" si="39"/>
        <v>1000000</v>
      </c>
      <c r="K686" s="108" t="s">
        <v>4684</v>
      </c>
      <c r="L686" s="199" t="s">
        <v>4685</v>
      </c>
      <c r="M686" s="17"/>
      <c r="N686" s="64" t="s">
        <v>4686</v>
      </c>
      <c r="O686" s="64" t="s">
        <v>2813</v>
      </c>
      <c r="P686" s="170"/>
      <c r="Q686" s="149"/>
      <c r="R686" s="141"/>
      <c r="S686" s="141"/>
      <c r="T686" s="141">
        <v>1000000.0</v>
      </c>
      <c r="U686" s="149"/>
      <c r="V686" s="149"/>
      <c r="W686" s="149"/>
      <c r="X686" s="64" t="s">
        <v>3810</v>
      </c>
      <c r="Y686" s="68"/>
      <c r="Z686" s="68"/>
    </row>
    <row r="687" ht="15.0" customHeight="1">
      <c r="A687" s="222">
        <v>45901.0</v>
      </c>
      <c r="B687" s="223" t="s">
        <v>4687</v>
      </c>
      <c r="C687" s="224" t="s">
        <v>2830</v>
      </c>
      <c r="D687" s="224" t="s">
        <v>4688</v>
      </c>
      <c r="E687" s="224"/>
      <c r="F687" s="225"/>
      <c r="G687" s="187">
        <f t="shared" si="37"/>
        <v>0</v>
      </c>
      <c r="H687" s="187"/>
      <c r="I687" s="188">
        <f t="shared" si="38"/>
        <v>0</v>
      </c>
      <c r="J687" s="189">
        <f t="shared" si="39"/>
        <v>0</v>
      </c>
      <c r="K687" s="226" t="s">
        <v>4689</v>
      </c>
      <c r="L687" s="227" t="s">
        <v>4690</v>
      </c>
      <c r="M687" s="228"/>
      <c r="N687" s="185" t="s">
        <v>4691</v>
      </c>
      <c r="O687" s="185" t="s">
        <v>4692</v>
      </c>
      <c r="P687" s="192"/>
      <c r="Q687" s="193"/>
      <c r="R687" s="186"/>
      <c r="S687" s="186"/>
      <c r="T687" s="186"/>
      <c r="U687" s="193"/>
      <c r="V687" s="193"/>
      <c r="W687" s="193"/>
      <c r="X687" s="185" t="s">
        <v>3810</v>
      </c>
      <c r="Y687" s="194"/>
      <c r="Z687" s="194"/>
    </row>
    <row r="688" ht="15.0" customHeight="1">
      <c r="A688" s="206">
        <v>45901.0</v>
      </c>
      <c r="B688" s="201" t="s">
        <v>4693</v>
      </c>
      <c r="C688" s="45" t="s">
        <v>3193</v>
      </c>
      <c r="D688" s="140" t="str">
        <f>IFERROR(VLOOKUP(C688,Stock,3,FALSE),"")</f>
        <v>Toyota Avanza / Xenia 11-15 2nd Gen</v>
      </c>
      <c r="E688" s="45">
        <v>1.0</v>
      </c>
      <c r="F688" s="198">
        <v>1000000.0</v>
      </c>
      <c r="G688" s="142">
        <f t="shared" si="37"/>
        <v>1000000</v>
      </c>
      <c r="H688" s="142"/>
      <c r="I688" s="143">
        <f t="shared" si="38"/>
        <v>1000000</v>
      </c>
      <c r="J688" s="144">
        <f t="shared" si="39"/>
        <v>1000000</v>
      </c>
      <c r="K688" s="108" t="s">
        <v>3194</v>
      </c>
      <c r="L688" s="199" t="s">
        <v>4694</v>
      </c>
      <c r="M688" s="17"/>
      <c r="N688" s="64" t="s">
        <v>4695</v>
      </c>
      <c r="O688" s="64" t="s">
        <v>2813</v>
      </c>
      <c r="P688" s="147" t="s">
        <v>4672</v>
      </c>
      <c r="Q688" s="149"/>
      <c r="R688" s="141"/>
      <c r="S688" s="141"/>
      <c r="T688" s="141">
        <v>1000000.0</v>
      </c>
      <c r="U688" s="149"/>
      <c r="V688" s="149"/>
      <c r="W688" s="149"/>
      <c r="X688" s="64" t="s">
        <v>3810</v>
      </c>
      <c r="Y688" s="68"/>
      <c r="Z688" s="68"/>
    </row>
    <row r="689" ht="15.0" customHeight="1">
      <c r="A689" s="206">
        <v>45902.0</v>
      </c>
      <c r="B689" s="201" t="s">
        <v>4696</v>
      </c>
      <c r="C689" s="45" t="s">
        <v>3225</v>
      </c>
      <c r="D689" s="140" t="str">
        <f>IFERROR(VLOOKUP(C689,Stock,3,FALSE),"")</f>
        <v>Toyota Rush / Terios 18-</v>
      </c>
      <c r="E689" s="45">
        <v>1.0</v>
      </c>
      <c r="F689" s="198">
        <v>1260000.0</v>
      </c>
      <c r="G689" s="142">
        <f t="shared" si="37"/>
        <v>1260000</v>
      </c>
      <c r="H689" s="142"/>
      <c r="I689" s="143">
        <f t="shared" si="38"/>
        <v>1260000</v>
      </c>
      <c r="J689" s="144">
        <f t="shared" si="39"/>
        <v>1260000</v>
      </c>
      <c r="K689" s="108" t="s">
        <v>4697</v>
      </c>
      <c r="L689" s="199" t="s">
        <v>4698</v>
      </c>
      <c r="M689" s="17"/>
      <c r="N689" s="64" t="s">
        <v>4699</v>
      </c>
      <c r="O689" s="64" t="s">
        <v>2813</v>
      </c>
      <c r="P689" s="147" t="s">
        <v>4672</v>
      </c>
      <c r="Q689" s="141">
        <v>1260000.0</v>
      </c>
      <c r="R689" s="149"/>
      <c r="S689" s="149"/>
      <c r="T689" s="149"/>
      <c r="U689" s="149"/>
      <c r="V689" s="149"/>
      <c r="W689" s="149"/>
      <c r="X689" s="64" t="s">
        <v>3810</v>
      </c>
      <c r="Y689" s="68"/>
      <c r="Z689" s="68"/>
    </row>
    <row r="690" ht="15.0" customHeight="1">
      <c r="A690" s="206">
        <v>45902.0</v>
      </c>
      <c r="B690" s="201" t="s">
        <v>4700</v>
      </c>
      <c r="C690" s="45" t="s">
        <v>2885</v>
      </c>
      <c r="D690" s="140" t="str">
        <f>IFERROR(VLOOKUP(C690,Stock,3,FALSE),"")</f>
        <v>Bongkar Pasang Kaca Mobil Belakang</v>
      </c>
      <c r="E690" s="45">
        <v>1.0</v>
      </c>
      <c r="F690" s="198">
        <v>750000.0</v>
      </c>
      <c r="G690" s="142">
        <f t="shared" si="37"/>
        <v>750000</v>
      </c>
      <c r="H690" s="142"/>
      <c r="I690" s="143">
        <f t="shared" si="38"/>
        <v>750000</v>
      </c>
      <c r="J690" s="144">
        <f t="shared" si="39"/>
        <v>750000</v>
      </c>
      <c r="K690" s="108" t="s">
        <v>4422</v>
      </c>
      <c r="L690" s="199" t="s">
        <v>4701</v>
      </c>
      <c r="M690" s="17"/>
      <c r="N690" s="64" t="s">
        <v>4702</v>
      </c>
      <c r="O690" s="64" t="s">
        <v>2807</v>
      </c>
      <c r="P690" s="147" t="s">
        <v>4672</v>
      </c>
      <c r="Q690" s="149"/>
      <c r="R690" s="141"/>
      <c r="S690" s="141"/>
      <c r="T690" s="141">
        <v>750000.0</v>
      </c>
      <c r="U690" s="149"/>
      <c r="V690" s="149"/>
      <c r="W690" s="149"/>
      <c r="X690" s="64" t="s">
        <v>3810</v>
      </c>
      <c r="Y690" s="68"/>
      <c r="Z690" s="68"/>
    </row>
    <row r="691" ht="15.0" customHeight="1">
      <c r="A691" s="206">
        <v>45902.0</v>
      </c>
      <c r="B691" s="201" t="s">
        <v>4703</v>
      </c>
      <c r="C691" s="45" t="s">
        <v>3354</v>
      </c>
      <c r="D691" s="140" t="str">
        <f>IFERROR(VLOOKUP(C691,Stock,3,FALSE),"")</f>
        <v>Honda Brio 10- / Mobilio 11- (Honda)</v>
      </c>
      <c r="E691" s="45">
        <v>1.0</v>
      </c>
      <c r="F691" s="198">
        <v>1772000.0</v>
      </c>
      <c r="G691" s="142">
        <f t="shared" si="37"/>
        <v>1772000</v>
      </c>
      <c r="H691" s="142"/>
      <c r="I691" s="143">
        <f t="shared" si="38"/>
        <v>1772000</v>
      </c>
      <c r="J691" s="144">
        <f t="shared" si="39"/>
        <v>1772000</v>
      </c>
      <c r="K691" s="108" t="s">
        <v>4704</v>
      </c>
      <c r="L691" s="199" t="s">
        <v>4705</v>
      </c>
      <c r="M691" s="17"/>
      <c r="N691" s="64" t="s">
        <v>4706</v>
      </c>
      <c r="O691" s="64" t="s">
        <v>2813</v>
      </c>
      <c r="P691" s="147" t="s">
        <v>4672</v>
      </c>
      <c r="Q691" s="149"/>
      <c r="R691" s="141"/>
      <c r="S691" s="141"/>
      <c r="T691" s="141">
        <v>1772000.0</v>
      </c>
      <c r="U691" s="149"/>
      <c r="V691" s="149"/>
      <c r="W691" s="149"/>
      <c r="X691" s="64" t="s">
        <v>3810</v>
      </c>
      <c r="Y691" s="68"/>
      <c r="Z691" s="68"/>
    </row>
    <row r="692" ht="15.0" customHeight="1">
      <c r="A692" s="206">
        <v>45902.0</v>
      </c>
      <c r="B692" s="201" t="s">
        <v>4707</v>
      </c>
      <c r="C692" s="45" t="s">
        <v>4708</v>
      </c>
      <c r="D692" s="140" t="str">
        <f>IFERROR(VLOOKUP(C692,Stock,3,FALSE),"")</f>
        <v>Suzuki Baleno 16- SX4 Scross Hatchback</v>
      </c>
      <c r="E692" s="45">
        <v>1.0</v>
      </c>
      <c r="F692" s="198">
        <v>1170000.0</v>
      </c>
      <c r="G692" s="142">
        <f t="shared" si="37"/>
        <v>1170000</v>
      </c>
      <c r="H692" s="142"/>
      <c r="I692" s="143">
        <f t="shared" si="38"/>
        <v>1170000</v>
      </c>
      <c r="J692" s="144">
        <f t="shared" si="39"/>
        <v>1170000</v>
      </c>
      <c r="K692" s="108" t="s">
        <v>4709</v>
      </c>
      <c r="L692" s="199" t="s">
        <v>4710</v>
      </c>
      <c r="M692" s="17"/>
      <c r="N692" s="64" t="s">
        <v>4711</v>
      </c>
      <c r="O692" s="64" t="s">
        <v>4712</v>
      </c>
      <c r="P692" s="147" t="s">
        <v>4672</v>
      </c>
      <c r="Q692" s="149"/>
      <c r="R692" s="141"/>
      <c r="S692" s="141"/>
      <c r="T692" s="141">
        <v>1170000.0</v>
      </c>
      <c r="U692" s="149"/>
      <c r="V692" s="149"/>
      <c r="W692" s="149"/>
      <c r="X692" s="64" t="s">
        <v>3810</v>
      </c>
      <c r="Y692" s="68"/>
      <c r="Z692" s="68"/>
    </row>
    <row r="693" ht="15.0" customHeight="1">
      <c r="A693" s="206">
        <v>45902.0</v>
      </c>
      <c r="B693" s="201" t="s">
        <v>4713</v>
      </c>
      <c r="C693" s="45" t="s">
        <v>4714</v>
      </c>
      <c r="D693" s="140" t="str">
        <f>IFERROR(VLOOKUP(C693,Stock,3,FALSE),"")</f>
        <v>Honda HR-V 14-21 5D SUV (Honda)</v>
      </c>
      <c r="E693" s="45">
        <v>1.0</v>
      </c>
      <c r="F693" s="198">
        <v>985000.0</v>
      </c>
      <c r="G693" s="142">
        <f t="shared" si="37"/>
        <v>985000</v>
      </c>
      <c r="H693" s="142"/>
      <c r="I693" s="143">
        <f t="shared" si="38"/>
        <v>985000</v>
      </c>
      <c r="J693" s="144">
        <f t="shared" si="39"/>
        <v>985000</v>
      </c>
      <c r="K693" s="108" t="s">
        <v>4715</v>
      </c>
      <c r="L693" s="199" t="s">
        <v>4716</v>
      </c>
      <c r="M693" s="17"/>
      <c r="N693" s="64" t="s">
        <v>4717</v>
      </c>
      <c r="O693" s="64" t="s">
        <v>4718</v>
      </c>
      <c r="P693" s="147" t="s">
        <v>4672</v>
      </c>
      <c r="Q693" s="149"/>
      <c r="R693" s="141"/>
      <c r="S693" s="141"/>
      <c r="T693" s="141">
        <v>50000.0</v>
      </c>
      <c r="U693" s="149"/>
      <c r="V693" s="149"/>
      <c r="W693" s="149"/>
      <c r="X693" s="64" t="s">
        <v>3810</v>
      </c>
      <c r="Y693" s="68"/>
      <c r="Z693" s="68"/>
    </row>
    <row r="694" ht="15.0" customHeight="1">
      <c r="A694" s="206">
        <v>45902.0</v>
      </c>
      <c r="B694" s="201" t="s">
        <v>4713</v>
      </c>
      <c r="C694" s="45" t="s">
        <v>2770</v>
      </c>
      <c r="D694" s="140" t="str">
        <f>IFERROR(VLOOKUP(C694,Stock,3,FALSE),"")</f>
        <v>Transport</v>
      </c>
      <c r="E694" s="45">
        <v>1.0</v>
      </c>
      <c r="F694" s="198">
        <v>80000.0</v>
      </c>
      <c r="G694" s="142">
        <f t="shared" si="37"/>
        <v>80000</v>
      </c>
      <c r="H694" s="142"/>
      <c r="I694" s="143">
        <f t="shared" si="38"/>
        <v>80000</v>
      </c>
      <c r="J694" s="144">
        <f t="shared" si="39"/>
        <v>80000</v>
      </c>
      <c r="K694" s="108" t="s">
        <v>4715</v>
      </c>
      <c r="L694" s="199" t="s">
        <v>4716</v>
      </c>
      <c r="M694" s="17"/>
      <c r="N694" s="64" t="s">
        <v>4717</v>
      </c>
      <c r="O694" s="64" t="s">
        <v>4718</v>
      </c>
      <c r="P694" s="147" t="s">
        <v>4672</v>
      </c>
      <c r="Q694" s="149"/>
      <c r="R694" s="141"/>
      <c r="S694" s="141"/>
      <c r="T694" s="141">
        <v>1015000.0</v>
      </c>
      <c r="U694" s="149"/>
      <c r="V694" s="149"/>
      <c r="W694" s="149"/>
      <c r="X694" s="64" t="s">
        <v>3810</v>
      </c>
      <c r="Y694" s="68"/>
      <c r="Z694" s="68"/>
    </row>
    <row r="695" ht="15.0" customHeight="1">
      <c r="A695" s="206">
        <v>45902.0</v>
      </c>
      <c r="B695" s="229" t="s">
        <v>4719</v>
      </c>
      <c r="C695" s="45" t="s">
        <v>3727</v>
      </c>
      <c r="D695" s="140" t="str">
        <f>IFERROR(VLOOKUP(C695,Stock,3,FALSE),"")</f>
        <v>Toyota Innova 15- 2nd Gen</v>
      </c>
      <c r="E695" s="45">
        <v>1.0</v>
      </c>
      <c r="F695" s="202"/>
      <c r="G695" s="142">
        <f t="shared" si="37"/>
        <v>0</v>
      </c>
      <c r="H695" s="142"/>
      <c r="I695" s="143">
        <f t="shared" si="38"/>
        <v>0</v>
      </c>
      <c r="J695" s="144">
        <f t="shared" si="39"/>
        <v>0</v>
      </c>
      <c r="K695" s="108" t="s">
        <v>4509</v>
      </c>
      <c r="L695" s="17"/>
      <c r="M695" s="17"/>
      <c r="N695" s="64" t="s">
        <v>4270</v>
      </c>
      <c r="O695" s="64" t="s">
        <v>4175</v>
      </c>
      <c r="P695" s="170"/>
      <c r="Q695" s="149"/>
      <c r="R695" s="149"/>
      <c r="S695" s="149"/>
      <c r="T695" s="149"/>
      <c r="U695" s="149"/>
      <c r="V695" s="149"/>
      <c r="W695" s="149"/>
      <c r="X695" s="64" t="s">
        <v>3810</v>
      </c>
      <c r="Y695" s="68"/>
      <c r="Z695" s="68"/>
    </row>
    <row r="696" ht="15.0" customHeight="1">
      <c r="A696" s="206">
        <v>45902.0</v>
      </c>
      <c r="B696" s="229" t="s">
        <v>4719</v>
      </c>
      <c r="C696" s="148" t="s">
        <v>4720</v>
      </c>
      <c r="D696" s="140" t="str">
        <f>IFERROR(VLOOKUP(C696,Stock,3,FALSE),"")</f>
        <v>Honda Jazz 13-  3rd Gen (Honda)</v>
      </c>
      <c r="E696" s="45">
        <v>1.0</v>
      </c>
      <c r="F696" s="202"/>
      <c r="G696" s="142">
        <f t="shared" si="37"/>
        <v>0</v>
      </c>
      <c r="H696" s="142"/>
      <c r="I696" s="143">
        <f t="shared" si="38"/>
        <v>0</v>
      </c>
      <c r="J696" s="144">
        <f t="shared" si="39"/>
        <v>0</v>
      </c>
      <c r="K696" s="108" t="s">
        <v>4509</v>
      </c>
      <c r="L696" s="17"/>
      <c r="M696" s="17"/>
      <c r="N696" s="64" t="s">
        <v>4270</v>
      </c>
      <c r="O696" s="64" t="s">
        <v>4175</v>
      </c>
      <c r="P696" s="170"/>
      <c r="Q696" s="149"/>
      <c r="R696" s="149"/>
      <c r="S696" s="149"/>
      <c r="T696" s="149"/>
      <c r="U696" s="149"/>
      <c r="V696" s="149"/>
      <c r="W696" s="149"/>
      <c r="X696" s="64" t="s">
        <v>3810</v>
      </c>
      <c r="Y696" s="68"/>
      <c r="Z696" s="68"/>
    </row>
    <row r="697" ht="15.0" customHeight="1">
      <c r="A697" s="206">
        <v>45902.0</v>
      </c>
      <c r="B697" s="229" t="s">
        <v>4719</v>
      </c>
      <c r="C697" s="64" t="s">
        <v>4721</v>
      </c>
      <c r="D697" s="140" t="str">
        <f>IFERROR(VLOOKUP(C697,Stock,3,FALSE),"")</f>
        <v>Toyota Avanza / Xenia 21- 4th Gen</v>
      </c>
      <c r="E697" s="45">
        <v>0.0</v>
      </c>
      <c r="F697" s="202"/>
      <c r="G697" s="142">
        <f t="shared" si="37"/>
        <v>0</v>
      </c>
      <c r="H697" s="142"/>
      <c r="I697" s="143">
        <f t="shared" si="38"/>
        <v>0</v>
      </c>
      <c r="J697" s="144">
        <f t="shared" si="39"/>
        <v>0</v>
      </c>
      <c r="K697" s="108" t="s">
        <v>4509</v>
      </c>
      <c r="L697" s="17"/>
      <c r="M697" s="17"/>
      <c r="N697" s="64" t="s">
        <v>4270</v>
      </c>
      <c r="O697" s="64" t="s">
        <v>4175</v>
      </c>
      <c r="P697" s="170"/>
      <c r="Q697" s="149"/>
      <c r="R697" s="149"/>
      <c r="S697" s="149"/>
      <c r="T697" s="149"/>
      <c r="U697" s="149"/>
      <c r="V697" s="149"/>
      <c r="W697" s="149"/>
      <c r="X697" s="64" t="s">
        <v>3810</v>
      </c>
      <c r="Y697" s="68"/>
      <c r="Z697" s="68"/>
    </row>
    <row r="698" ht="15.0" customHeight="1">
      <c r="A698" s="206">
        <v>45903.0</v>
      </c>
      <c r="B698" s="201" t="s">
        <v>4722</v>
      </c>
      <c r="C698" s="45" t="s">
        <v>2995</v>
      </c>
      <c r="D698" s="140" t="str">
        <f>IFERROR(VLOOKUP(C698,Stock,3,FALSE),"")</f>
        <v>Honda CR-V 02-04 2nd Gen (Spion Jepit)</v>
      </c>
      <c r="E698" s="45">
        <v>1.0</v>
      </c>
      <c r="F698" s="198">
        <v>1739000.0</v>
      </c>
      <c r="G698" s="142">
        <f t="shared" si="37"/>
        <v>1739000</v>
      </c>
      <c r="H698" s="142"/>
      <c r="I698" s="143">
        <f t="shared" si="38"/>
        <v>1739000</v>
      </c>
      <c r="J698" s="144">
        <f t="shared" si="39"/>
        <v>1739000</v>
      </c>
      <c r="K698" s="108" t="s">
        <v>4723</v>
      </c>
      <c r="L698" s="199" t="s">
        <v>4724</v>
      </c>
      <c r="M698" s="17"/>
      <c r="N698" s="64" t="s">
        <v>4725</v>
      </c>
      <c r="O698" s="64" t="s">
        <v>2813</v>
      </c>
      <c r="P698" s="147" t="s">
        <v>4672</v>
      </c>
      <c r="Q698" s="141">
        <v>1239000.0</v>
      </c>
      <c r="R698" s="141"/>
      <c r="S698" s="141"/>
      <c r="T698" s="141">
        <v>500000.0</v>
      </c>
      <c r="U698" s="149"/>
      <c r="V698" s="149"/>
      <c r="W698" s="149"/>
      <c r="X698" s="64" t="s">
        <v>3810</v>
      </c>
      <c r="Y698" s="68"/>
      <c r="Z698" s="68"/>
    </row>
    <row r="699" ht="15.0" customHeight="1">
      <c r="A699" s="206">
        <v>45903.0</v>
      </c>
      <c r="B699" s="201" t="s">
        <v>4726</v>
      </c>
      <c r="C699" s="45" t="s">
        <v>3176</v>
      </c>
      <c r="D699" s="140" t="str">
        <f>IFERROR(VLOOKUP(C699,Stock,3,FALSE),"")</f>
        <v>Mazda 2 09-14 3rd Gen</v>
      </c>
      <c r="E699" s="45">
        <v>1.0</v>
      </c>
      <c r="F699" s="198">
        <v>1849000.0</v>
      </c>
      <c r="G699" s="142">
        <f t="shared" si="37"/>
        <v>1849000</v>
      </c>
      <c r="H699" s="142"/>
      <c r="I699" s="143">
        <f t="shared" si="38"/>
        <v>1849000</v>
      </c>
      <c r="J699" s="144">
        <f t="shared" si="39"/>
        <v>1849000</v>
      </c>
      <c r="K699" s="108" t="s">
        <v>4727</v>
      </c>
      <c r="L699" s="199" t="s">
        <v>4728</v>
      </c>
      <c r="M699" s="17"/>
      <c r="N699" s="64" t="s">
        <v>4729</v>
      </c>
      <c r="O699" s="64" t="s">
        <v>2813</v>
      </c>
      <c r="P699" s="147" t="s">
        <v>4672</v>
      </c>
      <c r="Q699" s="149"/>
      <c r="R699" s="141"/>
      <c r="S699" s="141"/>
      <c r="T699" s="141">
        <v>1849000.0</v>
      </c>
      <c r="U699" s="149"/>
      <c r="V699" s="149"/>
      <c r="W699" s="149"/>
      <c r="X699" s="64" t="s">
        <v>3810</v>
      </c>
      <c r="Y699" s="68"/>
      <c r="Z699" s="68"/>
    </row>
    <row r="700" ht="15.0" customHeight="1">
      <c r="A700" s="206">
        <v>45903.0</v>
      </c>
      <c r="B700" s="201" t="s">
        <v>4730</v>
      </c>
      <c r="C700" s="45" t="s">
        <v>4731</v>
      </c>
      <c r="D700" s="140" t="str">
        <f>IFERROR(VLOOKUP(C700,Stock,3,FALSE),"")</f>
        <v>Honda CR-V 17-23 5th Gen (Honda)</v>
      </c>
      <c r="E700" s="45">
        <v>2.0</v>
      </c>
      <c r="F700" s="202"/>
      <c r="G700" s="142">
        <f t="shared" si="37"/>
        <v>0</v>
      </c>
      <c r="H700" s="142"/>
      <c r="I700" s="143">
        <f t="shared" si="38"/>
        <v>0</v>
      </c>
      <c r="J700" s="144">
        <f t="shared" si="39"/>
        <v>0</v>
      </c>
      <c r="K700" s="108" t="s">
        <v>4509</v>
      </c>
      <c r="L700" s="17"/>
      <c r="M700" s="17"/>
      <c r="N700" s="64" t="s">
        <v>4270</v>
      </c>
      <c r="O700" s="64" t="s">
        <v>4175</v>
      </c>
      <c r="P700" s="170"/>
      <c r="Q700" s="149"/>
      <c r="R700" s="149"/>
      <c r="S700" s="149"/>
      <c r="T700" s="149"/>
      <c r="U700" s="149"/>
      <c r="V700" s="149"/>
      <c r="W700" s="149"/>
      <c r="X700" s="64" t="s">
        <v>2976</v>
      </c>
      <c r="Y700" s="68"/>
      <c r="Z700" s="68"/>
    </row>
    <row r="701" ht="15.0" customHeight="1">
      <c r="A701" s="206">
        <v>45903.0</v>
      </c>
      <c r="B701" s="201" t="s">
        <v>4730</v>
      </c>
      <c r="C701" s="45" t="s">
        <v>4732</v>
      </c>
      <c r="D701" s="140" t="str">
        <f>IFERROR(VLOOKUP(C701,Stock,3,FALSE),"")</f>
        <v>Honda CR-V 17-23 5th Gen (Honda)</v>
      </c>
      <c r="E701" s="45">
        <v>2.0</v>
      </c>
      <c r="F701" s="202"/>
      <c r="G701" s="142">
        <f t="shared" si="37"/>
        <v>0</v>
      </c>
      <c r="H701" s="142"/>
      <c r="I701" s="143">
        <f t="shared" si="38"/>
        <v>0</v>
      </c>
      <c r="J701" s="144">
        <f t="shared" si="39"/>
        <v>0</v>
      </c>
      <c r="K701" s="108" t="s">
        <v>4509</v>
      </c>
      <c r="L701" s="17"/>
      <c r="M701" s="17"/>
      <c r="N701" s="64" t="s">
        <v>4270</v>
      </c>
      <c r="O701" s="64" t="s">
        <v>4175</v>
      </c>
      <c r="P701" s="170"/>
      <c r="Q701" s="149"/>
      <c r="R701" s="149"/>
      <c r="S701" s="149"/>
      <c r="T701" s="149"/>
      <c r="U701" s="149"/>
      <c r="V701" s="149"/>
      <c r="W701" s="149"/>
      <c r="X701" s="64" t="s">
        <v>2976</v>
      </c>
      <c r="Y701" s="68"/>
      <c r="Z701" s="68"/>
    </row>
    <row r="702" ht="15.0" customHeight="1">
      <c r="A702" s="206">
        <v>45903.0</v>
      </c>
      <c r="B702" s="201" t="s">
        <v>4730</v>
      </c>
      <c r="C702" s="45" t="s">
        <v>4733</v>
      </c>
      <c r="D702" s="140" t="str">
        <f>IFERROR(VLOOKUP(C702,Stock,3,FALSE),"")</f>
        <v>Honda CR-V 17-23 5th Gen (Honda)</v>
      </c>
      <c r="E702" s="45">
        <v>2.0</v>
      </c>
      <c r="F702" s="202"/>
      <c r="G702" s="142">
        <f t="shared" si="37"/>
        <v>0</v>
      </c>
      <c r="H702" s="142"/>
      <c r="I702" s="143">
        <f t="shared" si="38"/>
        <v>0</v>
      </c>
      <c r="J702" s="144">
        <f t="shared" si="39"/>
        <v>0</v>
      </c>
      <c r="K702" s="108" t="s">
        <v>4509</v>
      </c>
      <c r="L702" s="17"/>
      <c r="M702" s="17"/>
      <c r="N702" s="64" t="s">
        <v>4270</v>
      </c>
      <c r="O702" s="64" t="s">
        <v>4175</v>
      </c>
      <c r="P702" s="170"/>
      <c r="Q702" s="149"/>
      <c r="R702" s="149"/>
      <c r="S702" s="149"/>
      <c r="T702" s="149"/>
      <c r="U702" s="149"/>
      <c r="V702" s="149"/>
      <c r="W702" s="149"/>
      <c r="X702" s="64" t="s">
        <v>2976</v>
      </c>
      <c r="Y702" s="68"/>
      <c r="Z702" s="68"/>
    </row>
    <row r="703" ht="15.0" customHeight="1">
      <c r="A703" s="206">
        <v>45903.0</v>
      </c>
      <c r="B703" s="201" t="s">
        <v>4730</v>
      </c>
      <c r="C703" s="45" t="s">
        <v>4734</v>
      </c>
      <c r="D703" s="140" t="str">
        <f>IFERROR(VLOOKUP(C703,Stock,3,FALSE),"")</f>
        <v>Honda CR-V 17-23 5th Gen (Honda)</v>
      </c>
      <c r="E703" s="45">
        <v>2.0</v>
      </c>
      <c r="F703" s="202"/>
      <c r="G703" s="142">
        <f t="shared" si="37"/>
        <v>0</v>
      </c>
      <c r="H703" s="142"/>
      <c r="I703" s="143">
        <f t="shared" si="38"/>
        <v>0</v>
      </c>
      <c r="J703" s="144">
        <f t="shared" si="39"/>
        <v>0</v>
      </c>
      <c r="K703" s="108" t="s">
        <v>4509</v>
      </c>
      <c r="L703" s="17"/>
      <c r="M703" s="17"/>
      <c r="N703" s="64" t="s">
        <v>4270</v>
      </c>
      <c r="O703" s="64" t="s">
        <v>4175</v>
      </c>
      <c r="P703" s="170"/>
      <c r="Q703" s="149"/>
      <c r="R703" s="149"/>
      <c r="S703" s="149"/>
      <c r="T703" s="149"/>
      <c r="U703" s="149"/>
      <c r="V703" s="149"/>
      <c r="W703" s="149"/>
      <c r="X703" s="64" t="s">
        <v>2976</v>
      </c>
      <c r="Y703" s="68"/>
      <c r="Z703" s="68"/>
    </row>
    <row r="704" ht="15.0" customHeight="1">
      <c r="A704" s="206">
        <v>45904.0</v>
      </c>
      <c r="B704" s="201" t="s">
        <v>4735</v>
      </c>
      <c r="C704" s="45" t="s">
        <v>2937</v>
      </c>
      <c r="D704" s="140" t="str">
        <f>IFERROR(VLOOKUP(C704,Stock,3,FALSE),"")</f>
        <v>Mitsubishi Xpander 17- / Livina 19- 2nd Gen (Chrome)</v>
      </c>
      <c r="E704" s="45">
        <v>1.0</v>
      </c>
      <c r="F704" s="198">
        <v>1275000.0</v>
      </c>
      <c r="G704" s="142">
        <f t="shared" si="37"/>
        <v>1275000</v>
      </c>
      <c r="H704" s="142"/>
      <c r="I704" s="143">
        <f t="shared" si="38"/>
        <v>1275000</v>
      </c>
      <c r="J704" s="144">
        <f t="shared" si="39"/>
        <v>1275000</v>
      </c>
      <c r="K704" s="108" t="s">
        <v>4736</v>
      </c>
      <c r="L704" s="199" t="s">
        <v>4737</v>
      </c>
      <c r="M704" s="17"/>
      <c r="N704" s="64" t="s">
        <v>4738</v>
      </c>
      <c r="O704" s="64" t="s">
        <v>2813</v>
      </c>
      <c r="P704" s="147" t="s">
        <v>4672</v>
      </c>
      <c r="Q704" s="149"/>
      <c r="R704" s="141"/>
      <c r="S704" s="141"/>
      <c r="T704" s="141">
        <v>1275000.0</v>
      </c>
      <c r="U704" s="149"/>
      <c r="V704" s="149"/>
      <c r="W704" s="149"/>
      <c r="X704" s="64" t="s">
        <v>3810</v>
      </c>
      <c r="Y704" s="68"/>
      <c r="Z704" s="68"/>
    </row>
    <row r="705" ht="15.0" customHeight="1">
      <c r="A705" s="206">
        <v>45904.0</v>
      </c>
      <c r="B705" s="201" t="s">
        <v>4739</v>
      </c>
      <c r="C705" s="45" t="s">
        <v>4740</v>
      </c>
      <c r="D705" s="140" t="str">
        <f>IFERROR(VLOOKUP(C705,Stock,3,FALSE),"")</f>
        <v>Nissan X-Trail 13- T32 (1 Sensor)</v>
      </c>
      <c r="E705" s="45">
        <v>1.0</v>
      </c>
      <c r="F705" s="198">
        <v>2429000.0</v>
      </c>
      <c r="G705" s="142">
        <f t="shared" si="37"/>
        <v>2429000</v>
      </c>
      <c r="H705" s="142"/>
      <c r="I705" s="143">
        <f t="shared" si="38"/>
        <v>2429000</v>
      </c>
      <c r="J705" s="144">
        <f t="shared" si="39"/>
        <v>2429000</v>
      </c>
      <c r="K705" s="108" t="s">
        <v>4741</v>
      </c>
      <c r="L705" s="199" t="s">
        <v>4742</v>
      </c>
      <c r="M705" s="17"/>
      <c r="N705" s="64" t="s">
        <v>4743</v>
      </c>
      <c r="O705" s="64" t="s">
        <v>2813</v>
      </c>
      <c r="P705" s="147" t="s">
        <v>4672</v>
      </c>
      <c r="Q705" s="149"/>
      <c r="R705" s="141"/>
      <c r="S705" s="141"/>
      <c r="T705" s="141">
        <v>2429000.0</v>
      </c>
      <c r="U705" s="149"/>
      <c r="V705" s="149"/>
      <c r="W705" s="149"/>
      <c r="X705" s="64" t="s">
        <v>3810</v>
      </c>
      <c r="Y705" s="68"/>
      <c r="Z705" s="68"/>
    </row>
    <row r="706" ht="15.0" customHeight="1">
      <c r="A706" s="206">
        <v>45903.0</v>
      </c>
      <c r="B706" s="201" t="s">
        <v>4744</v>
      </c>
      <c r="C706" s="45" t="s">
        <v>4745</v>
      </c>
      <c r="D706" s="140" t="str">
        <f>IFERROR(VLOOKUP(C706,Stock,3,FALSE),"")</f>
        <v>Toyota Fortuner 15-  2nd Gen / Toyota Hilux Pickup 15- (Revo) (Toyota)</v>
      </c>
      <c r="E706" s="45">
        <v>1.0</v>
      </c>
      <c r="F706" s="202"/>
      <c r="G706" s="142">
        <f t="shared" si="37"/>
        <v>0</v>
      </c>
      <c r="H706" s="142"/>
      <c r="I706" s="143">
        <f t="shared" si="38"/>
        <v>0</v>
      </c>
      <c r="J706" s="144">
        <f t="shared" si="39"/>
        <v>0</v>
      </c>
      <c r="K706" s="108" t="s">
        <v>4509</v>
      </c>
      <c r="L706" s="17"/>
      <c r="M706" s="17"/>
      <c r="N706" s="64" t="s">
        <v>4270</v>
      </c>
      <c r="O706" s="64" t="s">
        <v>4175</v>
      </c>
      <c r="P706" s="170"/>
      <c r="Q706" s="149"/>
      <c r="R706" s="149"/>
      <c r="S706" s="149"/>
      <c r="T706" s="149"/>
      <c r="U706" s="149"/>
      <c r="V706" s="149"/>
      <c r="W706" s="149"/>
      <c r="X706" s="64" t="s">
        <v>2976</v>
      </c>
      <c r="Y706" s="68"/>
      <c r="Z706" s="68"/>
    </row>
    <row r="707" ht="15.0" customHeight="1">
      <c r="A707" s="206">
        <v>45903.0</v>
      </c>
      <c r="B707" s="201" t="s">
        <v>4744</v>
      </c>
      <c r="C707" s="45" t="s">
        <v>4746</v>
      </c>
      <c r="D707" s="140" t="str">
        <f>IFERROR(VLOOKUP(C707,Stock,3,FALSE),"")</f>
        <v>Toyota Fortuner 15-  2nd Gen / Toyota Hilux Pickup 15- (Revo) (Toyota)</v>
      </c>
      <c r="E707" s="45">
        <v>1.0</v>
      </c>
      <c r="F707" s="202"/>
      <c r="G707" s="142">
        <f t="shared" si="37"/>
        <v>0</v>
      </c>
      <c r="H707" s="142"/>
      <c r="I707" s="143">
        <f t="shared" si="38"/>
        <v>0</v>
      </c>
      <c r="J707" s="144">
        <f t="shared" si="39"/>
        <v>0</v>
      </c>
      <c r="K707" s="108" t="s">
        <v>4509</v>
      </c>
      <c r="L707" s="17"/>
      <c r="M707" s="17"/>
      <c r="N707" s="64" t="s">
        <v>4270</v>
      </c>
      <c r="O707" s="64" t="s">
        <v>4175</v>
      </c>
      <c r="P707" s="170"/>
      <c r="Q707" s="149"/>
      <c r="R707" s="149"/>
      <c r="S707" s="149"/>
      <c r="T707" s="149"/>
      <c r="U707" s="149"/>
      <c r="V707" s="149"/>
      <c r="W707" s="149"/>
      <c r="X707" s="64" t="s">
        <v>2976</v>
      </c>
      <c r="Y707" s="68"/>
      <c r="Z707" s="68"/>
    </row>
    <row r="708" ht="15.0" customHeight="1">
      <c r="A708" s="206">
        <v>45903.0</v>
      </c>
      <c r="B708" s="201" t="s">
        <v>4744</v>
      </c>
      <c r="C708" s="45" t="s">
        <v>4747</v>
      </c>
      <c r="D708" s="140" t="str">
        <f>IFERROR(VLOOKUP(C708,Stock,3,FALSE),"")</f>
        <v>Toyota Fortuner 15- 2nd Gen (Toyota)</v>
      </c>
      <c r="E708" s="45">
        <v>1.0</v>
      </c>
      <c r="F708" s="202"/>
      <c r="G708" s="142">
        <f t="shared" si="37"/>
        <v>0</v>
      </c>
      <c r="H708" s="142"/>
      <c r="I708" s="143">
        <f t="shared" si="38"/>
        <v>0</v>
      </c>
      <c r="J708" s="144">
        <f t="shared" si="39"/>
        <v>0</v>
      </c>
      <c r="K708" s="108" t="s">
        <v>4509</v>
      </c>
      <c r="L708" s="17"/>
      <c r="M708" s="17"/>
      <c r="N708" s="64" t="s">
        <v>4270</v>
      </c>
      <c r="O708" s="64" t="s">
        <v>4175</v>
      </c>
      <c r="P708" s="170"/>
      <c r="Q708" s="149"/>
      <c r="R708" s="149"/>
      <c r="S708" s="149"/>
      <c r="T708" s="149"/>
      <c r="U708" s="149"/>
      <c r="V708" s="149"/>
      <c r="W708" s="149"/>
      <c r="X708" s="64" t="s">
        <v>2976</v>
      </c>
      <c r="Y708" s="68"/>
      <c r="Z708" s="68"/>
    </row>
    <row r="709" ht="15.0" customHeight="1">
      <c r="A709" s="206">
        <v>45903.0</v>
      </c>
      <c r="B709" s="201" t="s">
        <v>4744</v>
      </c>
      <c r="C709" s="45" t="s">
        <v>2964</v>
      </c>
      <c r="D709" s="140" t="str">
        <f>IFERROR(VLOOKUP(C709,Stock,3,FALSE),"")</f>
        <v>Toyota Fortuner 15- 2nd Gen (Toyota)</v>
      </c>
      <c r="E709" s="45">
        <v>1.0</v>
      </c>
      <c r="F709" s="202"/>
      <c r="G709" s="142">
        <f t="shared" si="37"/>
        <v>0</v>
      </c>
      <c r="H709" s="142"/>
      <c r="I709" s="143">
        <f t="shared" si="38"/>
        <v>0</v>
      </c>
      <c r="J709" s="144">
        <f t="shared" si="39"/>
        <v>0</v>
      </c>
      <c r="K709" s="108" t="s">
        <v>4509</v>
      </c>
      <c r="L709" s="17"/>
      <c r="M709" s="17"/>
      <c r="N709" s="64" t="s">
        <v>4270</v>
      </c>
      <c r="O709" s="64" t="s">
        <v>4175</v>
      </c>
      <c r="P709" s="170"/>
      <c r="Q709" s="149"/>
      <c r="R709" s="149"/>
      <c r="S709" s="149"/>
      <c r="T709" s="149"/>
      <c r="U709" s="149"/>
      <c r="V709" s="149"/>
      <c r="W709" s="149"/>
      <c r="X709" s="64" t="s">
        <v>2976</v>
      </c>
      <c r="Y709" s="68"/>
      <c r="Z709" s="68"/>
    </row>
    <row r="710" ht="15.0" customHeight="1">
      <c r="A710" s="206">
        <v>45903.0</v>
      </c>
      <c r="B710" s="201" t="s">
        <v>4744</v>
      </c>
      <c r="C710" s="45" t="s">
        <v>4748</v>
      </c>
      <c r="D710" s="140" t="str">
        <f>IFERROR(VLOOKUP(C710,Stock,3,FALSE),"")</f>
        <v>Toyota Rush / Terios 06-17 (Toyota/Daihatsu)</v>
      </c>
      <c r="E710" s="45">
        <v>1.0</v>
      </c>
      <c r="F710" s="202"/>
      <c r="G710" s="142">
        <f t="shared" si="37"/>
        <v>0</v>
      </c>
      <c r="H710" s="142"/>
      <c r="I710" s="143">
        <f t="shared" si="38"/>
        <v>0</v>
      </c>
      <c r="J710" s="144">
        <f t="shared" si="39"/>
        <v>0</v>
      </c>
      <c r="K710" s="108" t="s">
        <v>4509</v>
      </c>
      <c r="L710" s="17"/>
      <c r="M710" s="17"/>
      <c r="N710" s="64" t="s">
        <v>4270</v>
      </c>
      <c r="O710" s="64" t="s">
        <v>4175</v>
      </c>
      <c r="P710" s="170"/>
      <c r="Q710" s="149"/>
      <c r="R710" s="149"/>
      <c r="S710" s="149"/>
      <c r="T710" s="149"/>
      <c r="U710" s="149"/>
      <c r="V710" s="149"/>
      <c r="W710" s="149"/>
      <c r="X710" s="64" t="s">
        <v>2976</v>
      </c>
      <c r="Y710" s="68"/>
      <c r="Z710" s="68"/>
    </row>
    <row r="711" ht="15.0" customHeight="1">
      <c r="A711" s="206">
        <v>45903.0</v>
      </c>
      <c r="B711" s="201" t="s">
        <v>4749</v>
      </c>
      <c r="C711" s="45" t="s">
        <v>3662</v>
      </c>
      <c r="D711" s="140" t="str">
        <f>IFERROR(VLOOKUP(C711,Stock,3,FALSE),"")</f>
        <v>Toyota Innova 15-22 2nd Gen (Toyota)</v>
      </c>
      <c r="E711" s="45">
        <v>2.0</v>
      </c>
      <c r="F711" s="202"/>
      <c r="G711" s="142">
        <f t="shared" si="37"/>
        <v>0</v>
      </c>
      <c r="H711" s="142"/>
      <c r="I711" s="143">
        <f t="shared" si="38"/>
        <v>0</v>
      </c>
      <c r="J711" s="144">
        <f t="shared" si="39"/>
        <v>0</v>
      </c>
      <c r="K711" s="108" t="s">
        <v>4509</v>
      </c>
      <c r="L711" s="17"/>
      <c r="M711" s="17"/>
      <c r="N711" s="64" t="s">
        <v>4270</v>
      </c>
      <c r="O711" s="64" t="s">
        <v>4175</v>
      </c>
      <c r="P711" s="170"/>
      <c r="Q711" s="149"/>
      <c r="R711" s="149"/>
      <c r="S711" s="149"/>
      <c r="T711" s="149"/>
      <c r="U711" s="149"/>
      <c r="V711" s="149"/>
      <c r="W711" s="149"/>
      <c r="X711" s="64" t="s">
        <v>2976</v>
      </c>
      <c r="Y711" s="68"/>
      <c r="Z711" s="68"/>
    </row>
    <row r="712" ht="15.0" customHeight="1">
      <c r="A712" s="206">
        <v>45903.0</v>
      </c>
      <c r="B712" s="201" t="s">
        <v>4749</v>
      </c>
      <c r="C712" s="45" t="s">
        <v>4750</v>
      </c>
      <c r="D712" s="140" t="str">
        <f>IFERROR(VLOOKUP(C712,Stock,3,FALSE),"")</f>
        <v>Toyota Rush / Terios 06-17 (Toyota/Daihatsu)</v>
      </c>
      <c r="E712" s="45">
        <v>1.0</v>
      </c>
      <c r="F712" s="202"/>
      <c r="G712" s="142">
        <f t="shared" si="37"/>
        <v>0</v>
      </c>
      <c r="H712" s="142"/>
      <c r="I712" s="143">
        <f t="shared" si="38"/>
        <v>0</v>
      </c>
      <c r="J712" s="144">
        <f t="shared" si="39"/>
        <v>0</v>
      </c>
      <c r="K712" s="108" t="s">
        <v>4509</v>
      </c>
      <c r="L712" s="17"/>
      <c r="M712" s="17"/>
      <c r="N712" s="64" t="s">
        <v>4270</v>
      </c>
      <c r="O712" s="64" t="s">
        <v>4175</v>
      </c>
      <c r="P712" s="170"/>
      <c r="Q712" s="149"/>
      <c r="R712" s="149"/>
      <c r="S712" s="149"/>
      <c r="T712" s="149"/>
      <c r="U712" s="149"/>
      <c r="V712" s="149"/>
      <c r="W712" s="149"/>
      <c r="X712" s="64" t="s">
        <v>2976</v>
      </c>
      <c r="Y712" s="68"/>
      <c r="Z712" s="68"/>
    </row>
    <row r="713" ht="15.0" customHeight="1">
      <c r="A713" s="206">
        <v>45903.0</v>
      </c>
      <c r="B713" s="201" t="s">
        <v>4749</v>
      </c>
      <c r="C713" s="45" t="s">
        <v>4751</v>
      </c>
      <c r="D713" s="140" t="str">
        <f>IFERROR(VLOOKUP(C713,Stock,3,FALSE),"")</f>
        <v>Toyota Rush / Terios 18- (Toyota/Daihatsu)</v>
      </c>
      <c r="E713" s="45">
        <v>1.0</v>
      </c>
      <c r="F713" s="202"/>
      <c r="G713" s="142">
        <f t="shared" si="37"/>
        <v>0</v>
      </c>
      <c r="H713" s="142"/>
      <c r="I713" s="143">
        <f t="shared" si="38"/>
        <v>0</v>
      </c>
      <c r="J713" s="144">
        <f t="shared" si="39"/>
        <v>0</v>
      </c>
      <c r="K713" s="108" t="s">
        <v>4509</v>
      </c>
      <c r="L713" s="17"/>
      <c r="M713" s="17"/>
      <c r="N713" s="64" t="s">
        <v>4270</v>
      </c>
      <c r="O713" s="64" t="s">
        <v>4175</v>
      </c>
      <c r="P713" s="170"/>
      <c r="Q713" s="149"/>
      <c r="R713" s="149"/>
      <c r="S713" s="149"/>
      <c r="T713" s="149"/>
      <c r="U713" s="149"/>
      <c r="V713" s="149"/>
      <c r="W713" s="149"/>
      <c r="X713" s="64" t="s">
        <v>2976</v>
      </c>
      <c r="Y713" s="68"/>
      <c r="Z713" s="68"/>
    </row>
    <row r="714" ht="15.0" customHeight="1">
      <c r="A714" s="206">
        <v>45903.0</v>
      </c>
      <c r="B714" s="201" t="s">
        <v>4749</v>
      </c>
      <c r="C714" s="45" t="s">
        <v>4752</v>
      </c>
      <c r="D714" s="140" t="str">
        <f>IFERROR(VLOOKUP(C714,Stock,3,FALSE),"")</f>
        <v>Toyota Rush / Terios 18- (Toyota/Daihatsu)</v>
      </c>
      <c r="E714" s="45">
        <v>1.0</v>
      </c>
      <c r="F714" s="202"/>
      <c r="G714" s="142">
        <f t="shared" si="37"/>
        <v>0</v>
      </c>
      <c r="H714" s="142"/>
      <c r="I714" s="143">
        <f t="shared" si="38"/>
        <v>0</v>
      </c>
      <c r="J714" s="144">
        <f t="shared" si="39"/>
        <v>0</v>
      </c>
      <c r="K714" s="108" t="s">
        <v>4509</v>
      </c>
      <c r="L714" s="17"/>
      <c r="M714" s="17"/>
      <c r="N714" s="64" t="s">
        <v>4270</v>
      </c>
      <c r="O714" s="64" t="s">
        <v>4175</v>
      </c>
      <c r="P714" s="170"/>
      <c r="Q714" s="149"/>
      <c r="R714" s="149"/>
      <c r="S714" s="149"/>
      <c r="T714" s="149"/>
      <c r="U714" s="149"/>
      <c r="V714" s="149"/>
      <c r="W714" s="149"/>
      <c r="X714" s="64" t="s">
        <v>2976</v>
      </c>
      <c r="Y714" s="68"/>
      <c r="Z714" s="68"/>
    </row>
    <row r="715" ht="15.0" customHeight="1">
      <c r="A715" s="206">
        <v>45904.0</v>
      </c>
      <c r="B715" s="201" t="s">
        <v>4753</v>
      </c>
      <c r="C715" s="45" t="s">
        <v>4754</v>
      </c>
      <c r="D715" s="140" t="str">
        <f>IFERROR(VLOOKUP(C715,Stock,3,FALSE),"")</f>
        <v>BMW 3 Series 18- G20/G21 (1 Sensor / O )</v>
      </c>
      <c r="E715" s="45">
        <v>1.0</v>
      </c>
      <c r="F715" s="198">
        <v>4602000.0</v>
      </c>
      <c r="G715" s="142">
        <f t="shared" si="37"/>
        <v>4602000</v>
      </c>
      <c r="H715" s="142"/>
      <c r="I715" s="143">
        <f t="shared" si="38"/>
        <v>4602000</v>
      </c>
      <c r="J715" s="144">
        <f t="shared" si="39"/>
        <v>4602000</v>
      </c>
      <c r="K715" s="108" t="s">
        <v>4755</v>
      </c>
      <c r="L715" s="199" t="s">
        <v>4756</v>
      </c>
      <c r="M715" s="17"/>
      <c r="N715" s="64" t="s">
        <v>4757</v>
      </c>
      <c r="O715" s="64" t="s">
        <v>2813</v>
      </c>
      <c r="P715" s="147" t="s">
        <v>4672</v>
      </c>
      <c r="Q715" s="149"/>
      <c r="R715" s="141"/>
      <c r="S715" s="141"/>
      <c r="T715" s="141">
        <v>4602000.0</v>
      </c>
      <c r="U715" s="149"/>
      <c r="V715" s="149"/>
      <c r="W715" s="149"/>
      <c r="X715" s="64" t="s">
        <v>3810</v>
      </c>
      <c r="Y715" s="68"/>
      <c r="Z715" s="68"/>
    </row>
    <row r="716" ht="15.0" customHeight="1">
      <c r="A716" s="206">
        <v>45904.0</v>
      </c>
      <c r="B716" s="201" t="s">
        <v>4758</v>
      </c>
      <c r="C716" s="45" t="s">
        <v>4748</v>
      </c>
      <c r="D716" s="140" t="str">
        <f>IFERROR(VLOOKUP(C716,Stock,3,FALSE),"")</f>
        <v>Toyota Rush / Terios 06-17 (Toyota/Daihatsu)</v>
      </c>
      <c r="E716" s="45">
        <v>1.0</v>
      </c>
      <c r="F716" s="198">
        <v>1125000.0</v>
      </c>
      <c r="G716" s="142">
        <f t="shared" si="37"/>
        <v>1125000</v>
      </c>
      <c r="H716" s="142"/>
      <c r="I716" s="143">
        <f t="shared" si="38"/>
        <v>1125000</v>
      </c>
      <c r="J716" s="144">
        <f t="shared" si="39"/>
        <v>1125000</v>
      </c>
      <c r="K716" s="108" t="s">
        <v>4759</v>
      </c>
      <c r="L716" s="199" t="s">
        <v>4760</v>
      </c>
      <c r="M716" s="17"/>
      <c r="N716" s="64" t="s">
        <v>4761</v>
      </c>
      <c r="O716" s="64" t="s">
        <v>2813</v>
      </c>
      <c r="P716" s="147" t="s">
        <v>4672</v>
      </c>
      <c r="Q716" s="149"/>
      <c r="R716" s="141"/>
      <c r="S716" s="141"/>
      <c r="T716" s="141">
        <v>1125000.0</v>
      </c>
      <c r="U716" s="149"/>
      <c r="V716" s="149"/>
      <c r="W716" s="149"/>
      <c r="X716" s="64" t="s">
        <v>3810</v>
      </c>
      <c r="Y716" s="68"/>
      <c r="Z716" s="68"/>
    </row>
    <row r="717" ht="15.0" customHeight="1">
      <c r="A717" s="206">
        <v>45906.0</v>
      </c>
      <c r="B717" s="201" t="s">
        <v>4762</v>
      </c>
      <c r="C717" s="45" t="s">
        <v>4763</v>
      </c>
      <c r="D717" s="140" t="str">
        <f>IFERROR(VLOOKUP(C717,Stock,3,FALSE),"")</f>
        <v>Honda Freed 08-16 1st Gen (Honda)</v>
      </c>
      <c r="E717" s="45">
        <v>1.0</v>
      </c>
      <c r="F717" s="198">
        <v>956000.0</v>
      </c>
      <c r="G717" s="142">
        <f t="shared" si="37"/>
        <v>956000</v>
      </c>
      <c r="H717" s="142"/>
      <c r="I717" s="143">
        <f t="shared" si="38"/>
        <v>956000</v>
      </c>
      <c r="J717" s="144">
        <f t="shared" si="39"/>
        <v>956000</v>
      </c>
      <c r="K717" s="108" t="s">
        <v>4764</v>
      </c>
      <c r="L717" s="199" t="s">
        <v>4765</v>
      </c>
      <c r="M717" s="17"/>
      <c r="N717" s="64" t="s">
        <v>4766</v>
      </c>
      <c r="O717" s="64" t="s">
        <v>2813</v>
      </c>
      <c r="P717" s="147" t="s">
        <v>4672</v>
      </c>
      <c r="Q717" s="149"/>
      <c r="R717" s="141"/>
      <c r="S717" s="141"/>
      <c r="T717" s="141">
        <v>30000.0</v>
      </c>
      <c r="U717" s="149"/>
      <c r="V717" s="149"/>
      <c r="W717" s="149"/>
      <c r="X717" s="64" t="s">
        <v>3810</v>
      </c>
      <c r="Y717" s="68"/>
      <c r="Z717" s="68"/>
    </row>
    <row r="718" ht="15.0" customHeight="1">
      <c r="A718" s="206">
        <v>45906.0</v>
      </c>
      <c r="B718" s="201" t="s">
        <v>4762</v>
      </c>
      <c r="C718" s="45" t="s">
        <v>2770</v>
      </c>
      <c r="D718" s="140" t="str">
        <f>IFERROR(VLOOKUP(C718,Stock,3,FALSE),"")</f>
        <v>Transport</v>
      </c>
      <c r="E718" s="45">
        <v>1.0</v>
      </c>
      <c r="F718" s="198">
        <v>100000.0</v>
      </c>
      <c r="G718" s="142">
        <f t="shared" si="37"/>
        <v>100000</v>
      </c>
      <c r="H718" s="142"/>
      <c r="I718" s="143">
        <f t="shared" si="38"/>
        <v>100000</v>
      </c>
      <c r="J718" s="144">
        <f t="shared" si="39"/>
        <v>100000</v>
      </c>
      <c r="K718" s="108" t="s">
        <v>4764</v>
      </c>
      <c r="L718" s="199" t="s">
        <v>4765</v>
      </c>
      <c r="M718" s="17"/>
      <c r="N718" s="64" t="s">
        <v>4766</v>
      </c>
      <c r="O718" s="64" t="s">
        <v>2813</v>
      </c>
      <c r="P718" s="147" t="s">
        <v>4672</v>
      </c>
      <c r="Q718" s="149"/>
      <c r="R718" s="141"/>
      <c r="S718" s="141"/>
      <c r="T718" s="141">
        <v>1026000.0</v>
      </c>
      <c r="U718" s="149"/>
      <c r="V718" s="149"/>
      <c r="W718" s="149"/>
      <c r="X718" s="64" t="s">
        <v>3810</v>
      </c>
      <c r="Y718" s="68"/>
      <c r="Z718" s="68"/>
    </row>
    <row r="719" ht="15.0" customHeight="1">
      <c r="A719" s="206">
        <v>45905.0</v>
      </c>
      <c r="B719" s="201" t="s">
        <v>4767</v>
      </c>
      <c r="C719" s="45" t="s">
        <v>2003</v>
      </c>
      <c r="D719" s="140" t="str">
        <f>IFERROR(VLOOKUP(C719,Stock,3,FALSE),"")</f>
        <v>Toyota Agya/Ayla 13-22 1st Gen</v>
      </c>
      <c r="E719" s="45">
        <v>1.0</v>
      </c>
      <c r="F719" s="198">
        <v>995000.0</v>
      </c>
      <c r="G719" s="142">
        <f t="shared" si="37"/>
        <v>995000</v>
      </c>
      <c r="H719" s="142"/>
      <c r="I719" s="143">
        <f t="shared" si="38"/>
        <v>995000</v>
      </c>
      <c r="J719" s="144">
        <f t="shared" si="39"/>
        <v>995000</v>
      </c>
      <c r="K719" s="108" t="s">
        <v>4768</v>
      </c>
      <c r="L719" s="199" t="s">
        <v>4769</v>
      </c>
      <c r="M719" s="17"/>
      <c r="N719" s="64" t="s">
        <v>4770</v>
      </c>
      <c r="O719" s="64" t="s">
        <v>4771</v>
      </c>
      <c r="P719" s="147" t="s">
        <v>4672</v>
      </c>
      <c r="Q719" s="149"/>
      <c r="R719" s="141"/>
      <c r="S719" s="141"/>
      <c r="T719" s="141">
        <v>1095000.0</v>
      </c>
      <c r="U719" s="149"/>
      <c r="V719" s="149"/>
      <c r="W719" s="149"/>
      <c r="X719" s="64" t="s">
        <v>4772</v>
      </c>
      <c r="Y719" s="68"/>
      <c r="Z719" s="68"/>
    </row>
    <row r="720" ht="15.0" customHeight="1">
      <c r="A720" s="206">
        <v>45905.0</v>
      </c>
      <c r="B720" s="201" t="s">
        <v>4767</v>
      </c>
      <c r="C720" s="45" t="s">
        <v>2962</v>
      </c>
      <c r="D720" s="140" t="str">
        <f>IFERROR(VLOOKUP(C720,Stock,3,FALSE),"")</f>
        <v>Lembur</v>
      </c>
      <c r="E720" s="45">
        <v>1.0</v>
      </c>
      <c r="F720" s="198">
        <v>100000.0</v>
      </c>
      <c r="G720" s="142">
        <f t="shared" si="37"/>
        <v>100000</v>
      </c>
      <c r="H720" s="142"/>
      <c r="I720" s="143">
        <f t="shared" si="38"/>
        <v>100000</v>
      </c>
      <c r="J720" s="144">
        <f t="shared" si="39"/>
        <v>100000</v>
      </c>
      <c r="K720" s="108" t="s">
        <v>4768</v>
      </c>
      <c r="L720" s="199" t="s">
        <v>4769</v>
      </c>
      <c r="M720" s="17"/>
      <c r="N720" s="64" t="s">
        <v>4770</v>
      </c>
      <c r="O720" s="64" t="s">
        <v>4771</v>
      </c>
      <c r="P720" s="147" t="s">
        <v>4672</v>
      </c>
      <c r="Q720" s="149"/>
      <c r="R720" s="149"/>
      <c r="S720" s="149"/>
      <c r="T720" s="149"/>
      <c r="U720" s="149"/>
      <c r="V720" s="149"/>
      <c r="W720" s="149"/>
      <c r="X720" s="64" t="s">
        <v>4772</v>
      </c>
      <c r="Y720" s="68"/>
      <c r="Z720" s="68"/>
    </row>
    <row r="721" ht="15.0" customHeight="1">
      <c r="A721" s="206">
        <v>45906.0</v>
      </c>
      <c r="B721" s="201" t="s">
        <v>4773</v>
      </c>
      <c r="C721" s="45" t="s">
        <v>2952</v>
      </c>
      <c r="D721" s="140" t="str">
        <f>IFERROR(VLOOKUP(C721,Stock,3,FALSE),"")</f>
        <v/>
      </c>
      <c r="E721" s="45">
        <v>1.0</v>
      </c>
      <c r="F721" s="198">
        <v>1000000.0</v>
      </c>
      <c r="G721" s="142">
        <f t="shared" si="37"/>
        <v>1000000</v>
      </c>
      <c r="H721" s="142"/>
      <c r="I721" s="143">
        <f t="shared" si="38"/>
        <v>1000000</v>
      </c>
      <c r="J721" s="144">
        <f t="shared" si="39"/>
        <v>1000000</v>
      </c>
      <c r="K721" s="108" t="s">
        <v>4774</v>
      </c>
      <c r="L721" s="199" t="s">
        <v>4775</v>
      </c>
      <c r="M721" s="17"/>
      <c r="N721" s="64" t="s">
        <v>4776</v>
      </c>
      <c r="O721" s="64" t="s">
        <v>2813</v>
      </c>
      <c r="P721" s="147" t="s">
        <v>4672</v>
      </c>
      <c r="Q721" s="149"/>
      <c r="R721" s="141"/>
      <c r="S721" s="141"/>
      <c r="T721" s="141">
        <v>1180000.0</v>
      </c>
      <c r="U721" s="149"/>
      <c r="V721" s="149"/>
      <c r="W721" s="149"/>
      <c r="X721" s="64" t="s">
        <v>4772</v>
      </c>
      <c r="Y721" s="68"/>
      <c r="Z721" s="68"/>
    </row>
    <row r="722" ht="15.0" customHeight="1">
      <c r="A722" s="206">
        <v>45906.0</v>
      </c>
      <c r="B722" s="201" t="s">
        <v>4773</v>
      </c>
      <c r="C722" s="45" t="s">
        <v>2770</v>
      </c>
      <c r="D722" s="140" t="str">
        <f>IFERROR(VLOOKUP(C722,Stock,3,FALSE),"")</f>
        <v>Transport</v>
      </c>
      <c r="E722" s="45">
        <v>1.0</v>
      </c>
      <c r="F722" s="198">
        <v>180000.0</v>
      </c>
      <c r="G722" s="142">
        <f t="shared" si="37"/>
        <v>180000</v>
      </c>
      <c r="H722" s="142"/>
      <c r="I722" s="143">
        <f t="shared" si="38"/>
        <v>180000</v>
      </c>
      <c r="J722" s="144">
        <f t="shared" si="39"/>
        <v>180000</v>
      </c>
      <c r="K722" s="108" t="s">
        <v>4774</v>
      </c>
      <c r="L722" s="199" t="s">
        <v>4775</v>
      </c>
      <c r="M722" s="17"/>
      <c r="N722" s="64" t="s">
        <v>4776</v>
      </c>
      <c r="O722" s="64" t="s">
        <v>2813</v>
      </c>
      <c r="P722" s="147" t="s">
        <v>4672</v>
      </c>
      <c r="Q722" s="149"/>
      <c r="R722" s="149"/>
      <c r="S722" s="149"/>
      <c r="T722" s="149"/>
      <c r="U722" s="149"/>
      <c r="V722" s="149"/>
      <c r="W722" s="149"/>
      <c r="X722" s="64" t="s">
        <v>4772</v>
      </c>
      <c r="Y722" s="68"/>
      <c r="Z722" s="68"/>
    </row>
    <row r="723" ht="15.0" customHeight="1">
      <c r="A723" s="206">
        <v>45906.0</v>
      </c>
      <c r="B723" s="201" t="s">
        <v>4777</v>
      </c>
      <c r="C723" s="45" t="s">
        <v>4778</v>
      </c>
      <c r="D723" s="140" t="str">
        <f>IFERROR(VLOOKUP(C723,Stock,3,FALSE),"")</f>
        <v>Honda BR-V 22- 2nd Gen / WRV 23- (1 Sensor / Big /\ ) (Honda)</v>
      </c>
      <c r="E723" s="45">
        <v>1.0</v>
      </c>
      <c r="F723" s="198">
        <v>2778000.0</v>
      </c>
      <c r="G723" s="142">
        <f t="shared" si="37"/>
        <v>2778000</v>
      </c>
      <c r="H723" s="142"/>
      <c r="I723" s="143">
        <f t="shared" si="38"/>
        <v>2778000</v>
      </c>
      <c r="J723" s="144">
        <f t="shared" si="39"/>
        <v>2778000</v>
      </c>
      <c r="K723" s="108" t="s">
        <v>4779</v>
      </c>
      <c r="L723" s="199" t="s">
        <v>4780</v>
      </c>
      <c r="M723" s="17"/>
      <c r="N723" s="64" t="s">
        <v>4781</v>
      </c>
      <c r="O723" s="64" t="s">
        <v>2807</v>
      </c>
      <c r="P723" s="147" t="s">
        <v>4672</v>
      </c>
      <c r="Q723" s="149"/>
      <c r="R723" s="141"/>
      <c r="S723" s="141"/>
      <c r="T723" s="141">
        <v>50000.0</v>
      </c>
      <c r="U723" s="149"/>
      <c r="V723" s="149"/>
      <c r="W723" s="149"/>
      <c r="X723" s="64" t="s">
        <v>4772</v>
      </c>
      <c r="Y723" s="68"/>
      <c r="Z723" s="68"/>
    </row>
    <row r="724" ht="15.0" customHeight="1">
      <c r="A724" s="206">
        <v>45906.0</v>
      </c>
      <c r="B724" s="201" t="s">
        <v>4777</v>
      </c>
      <c r="C724" s="45" t="s">
        <v>2770</v>
      </c>
      <c r="D724" s="140" t="str">
        <f>IFERROR(VLOOKUP(C724,Stock,3,FALSE),"")</f>
        <v>Transport</v>
      </c>
      <c r="E724" s="45">
        <v>1.0</v>
      </c>
      <c r="F724" s="198">
        <v>180000.0</v>
      </c>
      <c r="G724" s="142">
        <f t="shared" si="37"/>
        <v>180000</v>
      </c>
      <c r="H724" s="142"/>
      <c r="I724" s="143">
        <f t="shared" si="38"/>
        <v>180000</v>
      </c>
      <c r="J724" s="144">
        <f t="shared" si="39"/>
        <v>180000</v>
      </c>
      <c r="K724" s="108" t="s">
        <v>4779</v>
      </c>
      <c r="L724" s="199" t="s">
        <v>4780</v>
      </c>
      <c r="M724" s="17"/>
      <c r="N724" s="64" t="s">
        <v>4781</v>
      </c>
      <c r="O724" s="64" t="s">
        <v>2807</v>
      </c>
      <c r="P724" s="147" t="s">
        <v>4672</v>
      </c>
      <c r="Q724" s="149"/>
      <c r="R724" s="141"/>
      <c r="S724" s="141"/>
      <c r="T724" s="141">
        <v>2908000.0</v>
      </c>
      <c r="U724" s="149"/>
      <c r="V724" s="149"/>
      <c r="W724" s="149"/>
      <c r="X724" s="64" t="s">
        <v>4772</v>
      </c>
      <c r="Y724" s="68"/>
      <c r="Z724" s="68"/>
    </row>
    <row r="725" ht="15.0" customHeight="1">
      <c r="A725" s="206">
        <v>45906.0</v>
      </c>
      <c r="B725" s="201" t="s">
        <v>4782</v>
      </c>
      <c r="C725" s="45" t="s">
        <v>4783</v>
      </c>
      <c r="D725" s="140" t="str">
        <f>IFERROR(VLOOKUP(C725,Stock,3,FALSE),"")</f>
        <v>Toyota Avanza / Xenia 03-11 1st Gen</v>
      </c>
      <c r="E725" s="45">
        <v>1.0</v>
      </c>
      <c r="F725" s="198">
        <v>839000.0</v>
      </c>
      <c r="G725" s="142">
        <f t="shared" si="37"/>
        <v>839000</v>
      </c>
      <c r="H725" s="142"/>
      <c r="I725" s="143">
        <f t="shared" si="38"/>
        <v>839000</v>
      </c>
      <c r="J725" s="144">
        <f t="shared" si="39"/>
        <v>839000</v>
      </c>
      <c r="K725" s="108" t="s">
        <v>4784</v>
      </c>
      <c r="L725" s="199" t="s">
        <v>4785</v>
      </c>
      <c r="M725" s="17"/>
      <c r="N725" s="64" t="s">
        <v>4786</v>
      </c>
      <c r="O725" s="64" t="s">
        <v>2813</v>
      </c>
      <c r="P725" s="147" t="s">
        <v>4672</v>
      </c>
      <c r="Q725" s="149"/>
      <c r="R725" s="149"/>
      <c r="S725" s="149"/>
      <c r="T725" s="149"/>
      <c r="U725" s="149"/>
      <c r="V725" s="149"/>
      <c r="W725" s="149"/>
      <c r="X725" s="64" t="s">
        <v>4772</v>
      </c>
      <c r="Y725" s="68"/>
      <c r="Z725" s="68"/>
    </row>
    <row r="726" ht="15.0" customHeight="1">
      <c r="A726" s="206">
        <v>45908.0</v>
      </c>
      <c r="B726" s="201" t="s">
        <v>4787</v>
      </c>
      <c r="C726" s="45" t="s">
        <v>4788</v>
      </c>
      <c r="D726" s="140" t="str">
        <f>IFERROR(VLOOKUP(C726,Stock,3,FALSE),"")</f>
        <v>Honda City 14-18 GM6</v>
      </c>
      <c r="E726" s="45">
        <v>1.0</v>
      </c>
      <c r="F726" s="198">
        <v>1406000.0</v>
      </c>
      <c r="G726" s="142">
        <f t="shared" si="37"/>
        <v>1406000</v>
      </c>
      <c r="H726" s="142"/>
      <c r="I726" s="143">
        <f t="shared" si="38"/>
        <v>1406000</v>
      </c>
      <c r="J726" s="144">
        <f t="shared" si="39"/>
        <v>1406000</v>
      </c>
      <c r="K726" s="108" t="s">
        <v>4789</v>
      </c>
      <c r="L726" s="199" t="s">
        <v>4790</v>
      </c>
      <c r="M726" s="17"/>
      <c r="N726" s="64" t="s">
        <v>4270</v>
      </c>
      <c r="O726" s="64" t="s">
        <v>4791</v>
      </c>
      <c r="P726" s="147" t="s">
        <v>4672</v>
      </c>
      <c r="Q726" s="149"/>
      <c r="R726" s="141"/>
      <c r="S726" s="141"/>
      <c r="T726" s="141">
        <v>1406000.0</v>
      </c>
      <c r="U726" s="149"/>
      <c r="V726" s="149"/>
      <c r="W726" s="149"/>
      <c r="X726" s="64" t="s">
        <v>4772</v>
      </c>
      <c r="Y726" s="68"/>
      <c r="Z726" s="68"/>
    </row>
    <row r="727" ht="15.0" customHeight="1">
      <c r="A727" s="206">
        <v>45908.0</v>
      </c>
      <c r="B727" s="201" t="s">
        <v>4792</v>
      </c>
      <c r="C727" s="45" t="s">
        <v>4793</v>
      </c>
      <c r="D727" s="140" t="str">
        <f>IFERROR(VLOOKUP(C727,Stock,3,FALSE),"")</f>
        <v>Mazda CX-5 17- 2nd Gen KF</v>
      </c>
      <c r="E727" s="45">
        <v>1.0</v>
      </c>
      <c r="F727" s="198">
        <v>3098000.0</v>
      </c>
      <c r="G727" s="142">
        <f t="shared" si="37"/>
        <v>3098000</v>
      </c>
      <c r="H727" s="142"/>
      <c r="I727" s="143">
        <f t="shared" si="38"/>
        <v>3098000</v>
      </c>
      <c r="J727" s="144">
        <f t="shared" si="39"/>
        <v>3098000</v>
      </c>
      <c r="K727" s="108" t="s">
        <v>4794</v>
      </c>
      <c r="L727" s="199" t="s">
        <v>4795</v>
      </c>
      <c r="M727" s="17"/>
      <c r="N727" s="64" t="s">
        <v>4796</v>
      </c>
      <c r="O727" s="64" t="s">
        <v>2942</v>
      </c>
      <c r="P727" s="147" t="s">
        <v>4672</v>
      </c>
      <c r="Q727" s="149"/>
      <c r="R727" s="141"/>
      <c r="S727" s="141"/>
      <c r="T727" s="141">
        <v>3098000.0</v>
      </c>
      <c r="U727" s="149"/>
      <c r="V727" s="149"/>
      <c r="W727" s="149"/>
      <c r="X727" s="64" t="s">
        <v>4772</v>
      </c>
      <c r="Y727" s="68"/>
      <c r="Z727" s="68"/>
    </row>
    <row r="728" ht="15.0" customHeight="1">
      <c r="A728" s="206">
        <v>45908.0</v>
      </c>
      <c r="B728" s="201" t="s">
        <v>4797</v>
      </c>
      <c r="C728" s="45" t="s">
        <v>3610</v>
      </c>
      <c r="D728" s="140" t="str">
        <f>IFERROR(VLOOKUP(C728,Stock,3,FALSE),"")</f>
        <v>Mers-Benz Axor 98- Truck / Fuso FJ25</v>
      </c>
      <c r="E728" s="45">
        <v>1.0</v>
      </c>
      <c r="F728" s="198">
        <v>2828000.0</v>
      </c>
      <c r="G728" s="142">
        <f t="shared" si="37"/>
        <v>2828000</v>
      </c>
      <c r="H728" s="142"/>
      <c r="I728" s="143">
        <f t="shared" si="38"/>
        <v>2828000</v>
      </c>
      <c r="J728" s="144">
        <f t="shared" si="39"/>
        <v>2828000</v>
      </c>
      <c r="K728" s="108" t="s">
        <v>4798</v>
      </c>
      <c r="L728" s="199" t="s">
        <v>4799</v>
      </c>
      <c r="M728" s="17"/>
      <c r="N728" s="68"/>
      <c r="O728" s="64" t="s">
        <v>4800</v>
      </c>
      <c r="P728" s="147" t="s">
        <v>4672</v>
      </c>
      <c r="Q728" s="149"/>
      <c r="R728" s="141"/>
      <c r="S728" s="141"/>
      <c r="T728" s="141">
        <v>250000.0</v>
      </c>
      <c r="U728" s="149"/>
      <c r="V728" s="149"/>
      <c r="W728" s="149"/>
      <c r="X728" s="64" t="s">
        <v>4772</v>
      </c>
      <c r="Y728" s="68"/>
      <c r="Z728" s="68"/>
    </row>
    <row r="729" ht="15.0" customHeight="1">
      <c r="A729" s="206">
        <v>45908.0</v>
      </c>
      <c r="B729" s="201" t="s">
        <v>4797</v>
      </c>
      <c r="C729" s="45" t="s">
        <v>2770</v>
      </c>
      <c r="D729" s="140" t="str">
        <f>IFERROR(VLOOKUP(C729,Stock,3,FALSE),"")</f>
        <v>Transport</v>
      </c>
      <c r="E729" s="45">
        <v>1.0</v>
      </c>
      <c r="F729" s="198">
        <v>500000.0</v>
      </c>
      <c r="G729" s="142">
        <f t="shared" si="37"/>
        <v>500000</v>
      </c>
      <c r="H729" s="142"/>
      <c r="I729" s="143">
        <f t="shared" si="38"/>
        <v>500000</v>
      </c>
      <c r="J729" s="144">
        <f t="shared" si="39"/>
        <v>500000</v>
      </c>
      <c r="K729" s="108" t="s">
        <v>4798</v>
      </c>
      <c r="L729" s="199" t="s">
        <v>4799</v>
      </c>
      <c r="M729" s="17"/>
      <c r="N729" s="68"/>
      <c r="O729" s="64" t="s">
        <v>4800</v>
      </c>
      <c r="P729" s="147" t="s">
        <v>4672</v>
      </c>
      <c r="Q729" s="149"/>
      <c r="R729" s="141"/>
      <c r="S729" s="141"/>
      <c r="T729" s="141">
        <v>3078000.0</v>
      </c>
      <c r="U729" s="149"/>
      <c r="V729" s="149"/>
      <c r="W729" s="149"/>
      <c r="X729" s="64" t="s">
        <v>4772</v>
      </c>
      <c r="Y729" s="68"/>
      <c r="Z729" s="68"/>
    </row>
    <row r="730" ht="15.0" customHeight="1">
      <c r="A730" s="230">
        <v>45908.0</v>
      </c>
      <c r="B730" s="231" t="s">
        <v>4801</v>
      </c>
      <c r="C730" s="232" t="s">
        <v>3475</v>
      </c>
      <c r="D730" s="233" t="str">
        <f>IFERROR(VLOOKUP(C730,Stock,3,FALSE),"")</f>
        <v>Toyota Avanza / Xenia 03-11 1st Gen</v>
      </c>
      <c r="E730" s="232"/>
      <c r="F730" s="234">
        <v>1000000.0</v>
      </c>
      <c r="G730" s="235">
        <f t="shared" si="37"/>
        <v>0</v>
      </c>
      <c r="H730" s="235"/>
      <c r="I730" s="236">
        <f t="shared" si="38"/>
        <v>0</v>
      </c>
      <c r="J730" s="237">
        <f t="shared" si="39"/>
        <v>0</v>
      </c>
      <c r="K730" s="238" t="s">
        <v>4802</v>
      </c>
      <c r="L730" s="239" t="s">
        <v>4803</v>
      </c>
      <c r="M730" s="240"/>
      <c r="N730" s="241" t="s">
        <v>4804</v>
      </c>
      <c r="O730" s="241" t="s">
        <v>3341</v>
      </c>
      <c r="P730" s="242"/>
      <c r="Q730" s="243"/>
      <c r="R730" s="244"/>
      <c r="S730" s="244"/>
      <c r="T730" s="244">
        <v>30000.0</v>
      </c>
      <c r="U730" s="243"/>
      <c r="V730" s="149"/>
      <c r="W730" s="149"/>
      <c r="X730" s="64" t="s">
        <v>4772</v>
      </c>
      <c r="Y730" s="68"/>
      <c r="Z730" s="68"/>
    </row>
    <row r="731" ht="15.0" customHeight="1">
      <c r="A731" s="230">
        <v>45908.0</v>
      </c>
      <c r="B731" s="231" t="s">
        <v>4801</v>
      </c>
      <c r="C731" s="232" t="s">
        <v>2770</v>
      </c>
      <c r="D731" s="233" t="str">
        <f>IFERROR(VLOOKUP(C731,Stock,3,FALSE),"")</f>
        <v>Transport</v>
      </c>
      <c r="E731" s="232"/>
      <c r="F731" s="234">
        <v>150000.0</v>
      </c>
      <c r="G731" s="235">
        <f t="shared" si="37"/>
        <v>0</v>
      </c>
      <c r="H731" s="235"/>
      <c r="I731" s="236">
        <f t="shared" si="38"/>
        <v>0</v>
      </c>
      <c r="J731" s="237">
        <f t="shared" si="39"/>
        <v>0</v>
      </c>
      <c r="K731" s="238" t="s">
        <v>4802</v>
      </c>
      <c r="L731" s="239" t="s">
        <v>4803</v>
      </c>
      <c r="M731" s="240"/>
      <c r="N731" s="241" t="s">
        <v>4804</v>
      </c>
      <c r="O731" s="241" t="s">
        <v>3341</v>
      </c>
      <c r="P731" s="242"/>
      <c r="Q731" s="243"/>
      <c r="R731" s="243"/>
      <c r="S731" s="243"/>
      <c r="T731" s="243"/>
      <c r="U731" s="243"/>
      <c r="V731" s="149"/>
      <c r="W731" s="149"/>
      <c r="X731" s="64" t="s">
        <v>4772</v>
      </c>
      <c r="Y731" s="68"/>
      <c r="Z731" s="68"/>
    </row>
    <row r="732" ht="15.0" customHeight="1">
      <c r="A732" s="206">
        <v>45909.0</v>
      </c>
      <c r="B732" s="201" t="s">
        <v>4805</v>
      </c>
      <c r="C732" s="45" t="s">
        <v>2869</v>
      </c>
      <c r="D732" s="140" t="str">
        <f>IFERROR(VLOOKUP(C732,Stock,3,FALSE),"")</f>
        <v>Daihatsu Gran Max / Luxio 07-</v>
      </c>
      <c r="E732" s="45">
        <v>1.0</v>
      </c>
      <c r="F732" s="198">
        <v>1000000.0</v>
      </c>
      <c r="G732" s="142">
        <f t="shared" si="37"/>
        <v>1000000</v>
      </c>
      <c r="H732" s="142"/>
      <c r="I732" s="143">
        <f t="shared" si="38"/>
        <v>1000000</v>
      </c>
      <c r="J732" s="144">
        <f t="shared" si="39"/>
        <v>1000000</v>
      </c>
      <c r="K732" s="108" t="s">
        <v>4806</v>
      </c>
      <c r="L732" s="199" t="s">
        <v>4807</v>
      </c>
      <c r="M732" s="17"/>
      <c r="N732" s="64" t="s">
        <v>4808</v>
      </c>
      <c r="O732" s="64" t="s">
        <v>2813</v>
      </c>
      <c r="P732" s="147" t="s">
        <v>4672</v>
      </c>
      <c r="Q732" s="141">
        <v>1000000.0</v>
      </c>
      <c r="R732" s="149"/>
      <c r="S732" s="149"/>
      <c r="T732" s="149"/>
      <c r="U732" s="149"/>
      <c r="V732" s="149"/>
      <c r="W732" s="149"/>
      <c r="X732" s="64" t="s">
        <v>3810</v>
      </c>
      <c r="Y732" s="68"/>
      <c r="Z732" s="68"/>
    </row>
    <row r="733" ht="15.0" customHeight="1">
      <c r="A733" s="206">
        <v>45909.0</v>
      </c>
      <c r="B733" s="201" t="s">
        <v>4809</v>
      </c>
      <c r="C733" s="45" t="s">
        <v>3029</v>
      </c>
      <c r="D733" s="140" t="str">
        <f>IFERROR(VLOOKUP(C733,Stock,3,FALSE),"")</f>
        <v>Mitsubishi Canter FE700 01- (PS110,125)</v>
      </c>
      <c r="E733" s="45">
        <v>1.0</v>
      </c>
      <c r="F733" s="198">
        <v>850000.0</v>
      </c>
      <c r="G733" s="142">
        <f t="shared" si="37"/>
        <v>850000</v>
      </c>
      <c r="H733" s="142"/>
      <c r="I733" s="143">
        <f t="shared" si="38"/>
        <v>850000</v>
      </c>
      <c r="J733" s="144">
        <f t="shared" si="39"/>
        <v>850000</v>
      </c>
      <c r="K733" s="108" t="s">
        <v>4810</v>
      </c>
      <c r="L733" s="199" t="s">
        <v>4811</v>
      </c>
      <c r="M733" s="17"/>
      <c r="N733" s="64" t="s">
        <v>4270</v>
      </c>
      <c r="O733" s="64" t="s">
        <v>3341</v>
      </c>
      <c r="P733" s="147" t="s">
        <v>4672</v>
      </c>
      <c r="Q733" s="149"/>
      <c r="R733" s="141"/>
      <c r="S733" s="141"/>
      <c r="T733" s="141">
        <v>30000.0</v>
      </c>
      <c r="U733" s="149"/>
      <c r="V733" s="149"/>
      <c r="W733" s="149"/>
      <c r="X733" s="64" t="s">
        <v>3810</v>
      </c>
      <c r="Y733" s="68"/>
      <c r="Z733" s="68"/>
    </row>
    <row r="734" ht="15.0" customHeight="1">
      <c r="A734" s="206">
        <v>45909.0</v>
      </c>
      <c r="B734" s="201" t="s">
        <v>4809</v>
      </c>
      <c r="C734" s="45" t="s">
        <v>2770</v>
      </c>
      <c r="D734" s="140" t="str">
        <f>IFERROR(VLOOKUP(C734,Stock,3,FALSE),"")</f>
        <v>Transport</v>
      </c>
      <c r="E734" s="45">
        <v>1.0</v>
      </c>
      <c r="F734" s="198">
        <v>120000.0</v>
      </c>
      <c r="G734" s="142">
        <f t="shared" si="37"/>
        <v>120000</v>
      </c>
      <c r="H734" s="142"/>
      <c r="I734" s="143">
        <f t="shared" si="38"/>
        <v>120000</v>
      </c>
      <c r="J734" s="144">
        <f t="shared" si="39"/>
        <v>120000</v>
      </c>
      <c r="K734" s="108" t="s">
        <v>4810</v>
      </c>
      <c r="L734" s="199" t="s">
        <v>4811</v>
      </c>
      <c r="M734" s="17"/>
      <c r="N734" s="64" t="s">
        <v>4270</v>
      </c>
      <c r="O734" s="64" t="s">
        <v>3341</v>
      </c>
      <c r="P734" s="147" t="s">
        <v>4672</v>
      </c>
      <c r="Q734" s="141">
        <v>940000.0</v>
      </c>
      <c r="R734" s="149"/>
      <c r="S734" s="149"/>
      <c r="T734" s="149"/>
      <c r="U734" s="149"/>
      <c r="V734" s="149"/>
      <c r="W734" s="149"/>
      <c r="X734" s="64" t="s">
        <v>3810</v>
      </c>
      <c r="Y734" s="68"/>
      <c r="Z734" s="68"/>
    </row>
    <row r="735" ht="15.0" customHeight="1">
      <c r="A735" s="206">
        <v>45909.0</v>
      </c>
      <c r="B735" s="201" t="s">
        <v>4812</v>
      </c>
      <c r="C735" s="45" t="s">
        <v>2995</v>
      </c>
      <c r="D735" s="140" t="str">
        <f>IFERROR(VLOOKUP(C735,Stock,3,FALSE),"")</f>
        <v>Honda CR-V 02-04 2nd Gen (Spion Jepit)</v>
      </c>
      <c r="E735" s="45">
        <v>1.0</v>
      </c>
      <c r="F735" s="198">
        <v>1848000.0</v>
      </c>
      <c r="G735" s="142">
        <f t="shared" si="37"/>
        <v>1848000</v>
      </c>
      <c r="H735" s="142"/>
      <c r="I735" s="143">
        <f t="shared" si="38"/>
        <v>1848000</v>
      </c>
      <c r="J735" s="144">
        <f t="shared" si="39"/>
        <v>1848000</v>
      </c>
      <c r="K735" s="108" t="s">
        <v>4813</v>
      </c>
      <c r="L735" s="199" t="s">
        <v>4814</v>
      </c>
      <c r="M735" s="17"/>
      <c r="N735" s="64" t="s">
        <v>4815</v>
      </c>
      <c r="O735" s="64" t="s">
        <v>4816</v>
      </c>
      <c r="P735" s="147" t="s">
        <v>4672</v>
      </c>
      <c r="Q735" s="149"/>
      <c r="R735" s="141"/>
      <c r="S735" s="141"/>
      <c r="T735" s="141">
        <v>50000.0</v>
      </c>
      <c r="U735" s="149"/>
      <c r="V735" s="149"/>
      <c r="W735" s="149"/>
      <c r="X735" s="64" t="s">
        <v>3810</v>
      </c>
      <c r="Y735" s="68"/>
      <c r="Z735" s="68"/>
    </row>
    <row r="736" ht="15.0" customHeight="1">
      <c r="A736" s="206">
        <v>45909.0</v>
      </c>
      <c r="B736" s="201" t="s">
        <v>4812</v>
      </c>
      <c r="C736" s="45" t="s">
        <v>2770</v>
      </c>
      <c r="D736" s="140" t="str">
        <f>IFERROR(VLOOKUP(C736,Stock,3,FALSE),"")</f>
        <v>Transport</v>
      </c>
      <c r="E736" s="45">
        <v>1.0</v>
      </c>
      <c r="F736" s="198">
        <v>202000.0</v>
      </c>
      <c r="G736" s="142">
        <f t="shared" si="37"/>
        <v>202000</v>
      </c>
      <c r="H736" s="142"/>
      <c r="I736" s="143">
        <f t="shared" si="38"/>
        <v>202000</v>
      </c>
      <c r="J736" s="144">
        <f t="shared" si="39"/>
        <v>202000</v>
      </c>
      <c r="K736" s="108" t="s">
        <v>4813</v>
      </c>
      <c r="L736" s="199" t="s">
        <v>4814</v>
      </c>
      <c r="M736" s="17"/>
      <c r="N736" s="64" t="s">
        <v>4815</v>
      </c>
      <c r="O736" s="64" t="s">
        <v>4816</v>
      </c>
      <c r="P736" s="147" t="s">
        <v>4672</v>
      </c>
      <c r="Q736" s="141">
        <v>2000000.0</v>
      </c>
      <c r="R736" s="149"/>
      <c r="S736" s="149"/>
      <c r="T736" s="149"/>
      <c r="U736" s="149"/>
      <c r="V736" s="149"/>
      <c r="W736" s="149"/>
      <c r="X736" s="64" t="s">
        <v>3810</v>
      </c>
      <c r="Y736" s="68"/>
      <c r="Z736" s="68"/>
    </row>
    <row r="737" ht="15.0" customHeight="1">
      <c r="A737" s="206">
        <v>45909.0</v>
      </c>
      <c r="B737" s="201" t="s">
        <v>4817</v>
      </c>
      <c r="C737" s="45" t="s">
        <v>4342</v>
      </c>
      <c r="D737" s="140" t="str">
        <f>IFERROR(VLOOKUP(C737,Stock,3,FALSE),"")</f>
        <v>Toyota Voxy 17- (Hitam)</v>
      </c>
      <c r="E737" s="45">
        <v>1.0</v>
      </c>
      <c r="F737" s="198">
        <v>3100000.0</v>
      </c>
      <c r="G737" s="142">
        <f t="shared" si="37"/>
        <v>3100000</v>
      </c>
      <c r="H737" s="142"/>
      <c r="I737" s="143">
        <f t="shared" si="38"/>
        <v>3100000</v>
      </c>
      <c r="J737" s="144">
        <f t="shared" si="39"/>
        <v>3100000</v>
      </c>
      <c r="K737" s="108" t="s">
        <v>4818</v>
      </c>
      <c r="L737" s="199" t="s">
        <v>4819</v>
      </c>
      <c r="M737" s="17"/>
      <c r="N737" s="64" t="s">
        <v>4820</v>
      </c>
      <c r="O737" s="64" t="s">
        <v>4821</v>
      </c>
      <c r="P737" s="147" t="s">
        <v>4672</v>
      </c>
      <c r="Q737" s="149"/>
      <c r="R737" s="141"/>
      <c r="S737" s="141"/>
      <c r="T737" s="141">
        <v>30000.0</v>
      </c>
      <c r="U737" s="149"/>
      <c r="V737" s="149"/>
      <c r="W737" s="149"/>
      <c r="X737" s="64" t="s">
        <v>3810</v>
      </c>
      <c r="Y737" s="68"/>
      <c r="Z737" s="68"/>
    </row>
    <row r="738" ht="15.0" customHeight="1">
      <c r="A738" s="206">
        <v>45909.0</v>
      </c>
      <c r="B738" s="201" t="s">
        <v>4817</v>
      </c>
      <c r="C738" s="45" t="s">
        <v>2770</v>
      </c>
      <c r="D738" s="140" t="str">
        <f>IFERROR(VLOOKUP(C738,Stock,3,FALSE),"")</f>
        <v>Transport</v>
      </c>
      <c r="E738" s="45">
        <v>1.0</v>
      </c>
      <c r="F738" s="198">
        <v>150000.0</v>
      </c>
      <c r="G738" s="142">
        <f t="shared" si="37"/>
        <v>150000</v>
      </c>
      <c r="H738" s="142"/>
      <c r="I738" s="143">
        <f t="shared" si="38"/>
        <v>150000</v>
      </c>
      <c r="J738" s="144">
        <f t="shared" si="39"/>
        <v>150000</v>
      </c>
      <c r="K738" s="108" t="s">
        <v>4818</v>
      </c>
      <c r="L738" s="199" t="s">
        <v>4819</v>
      </c>
      <c r="M738" s="17"/>
      <c r="N738" s="64" t="s">
        <v>4820</v>
      </c>
      <c r="O738" s="64" t="s">
        <v>4821</v>
      </c>
      <c r="P738" s="147" t="s">
        <v>4672</v>
      </c>
      <c r="Q738" s="149"/>
      <c r="R738" s="141"/>
      <c r="S738" s="141"/>
      <c r="T738" s="141">
        <v>3220000.0</v>
      </c>
      <c r="U738" s="149"/>
      <c r="V738" s="149"/>
      <c r="W738" s="149"/>
      <c r="X738" s="64" t="s">
        <v>3810</v>
      </c>
      <c r="Y738" s="68"/>
      <c r="Z738" s="68"/>
    </row>
    <row r="739" ht="15.0" customHeight="1">
      <c r="A739" s="206">
        <v>45909.0</v>
      </c>
      <c r="B739" s="201" t="s">
        <v>4822</v>
      </c>
      <c r="C739" s="64" t="s">
        <v>3205</v>
      </c>
      <c r="D739" s="140" t="str">
        <f>IFERROR(VLOOKUP(C739,Stock,3,FALSE),"")</f>
        <v>Toyota Innova 04-15 1st Gen</v>
      </c>
      <c r="E739" s="64">
        <v>1.0</v>
      </c>
      <c r="F739" s="198">
        <v>1250000.0</v>
      </c>
      <c r="G739" s="142">
        <f t="shared" si="37"/>
        <v>1250000</v>
      </c>
      <c r="H739" s="142"/>
      <c r="I739" s="143">
        <f t="shared" si="38"/>
        <v>1250000</v>
      </c>
      <c r="J739" s="144">
        <f t="shared" si="39"/>
        <v>1250000</v>
      </c>
      <c r="K739" s="145" t="s">
        <v>4823</v>
      </c>
      <c r="L739" s="146" t="s">
        <v>4824</v>
      </c>
      <c r="M739" s="68"/>
      <c r="N739" s="64" t="s">
        <v>4825</v>
      </c>
      <c r="O739" s="64" t="s">
        <v>2813</v>
      </c>
      <c r="P739" s="147" t="s">
        <v>4672</v>
      </c>
      <c r="Q739" s="68"/>
      <c r="R739" s="141"/>
      <c r="S739" s="141"/>
      <c r="T739" s="141">
        <v>1250000.0</v>
      </c>
      <c r="U739" s="149"/>
      <c r="V739" s="149"/>
      <c r="W739" s="149"/>
      <c r="X739" s="64" t="s">
        <v>3810</v>
      </c>
      <c r="Y739" s="68"/>
      <c r="Z739" s="68"/>
    </row>
    <row r="740" ht="15.0" customHeight="1">
      <c r="A740" s="206">
        <v>45909.0</v>
      </c>
      <c r="B740" s="201" t="s">
        <v>4826</v>
      </c>
      <c r="C740" s="45" t="s">
        <v>4166</v>
      </c>
      <c r="D740" s="140" t="str">
        <f>IFERROR(VLOOKUP(C740,Stock,3,FALSE),"")</f>
        <v>Wuling Confero</v>
      </c>
      <c r="E740" s="45">
        <v>1.0</v>
      </c>
      <c r="F740" s="202"/>
      <c r="G740" s="142">
        <f t="shared" si="37"/>
        <v>0</v>
      </c>
      <c r="H740" s="142"/>
      <c r="I740" s="143">
        <f t="shared" si="38"/>
        <v>0</v>
      </c>
      <c r="J740" s="144">
        <f t="shared" si="39"/>
        <v>0</v>
      </c>
      <c r="K740" s="108" t="s">
        <v>4827</v>
      </c>
      <c r="L740" s="17"/>
      <c r="M740" s="17"/>
      <c r="N740" s="68"/>
      <c r="O740" s="68"/>
      <c r="P740" s="147" t="s">
        <v>4672</v>
      </c>
      <c r="Q740" s="149"/>
      <c r="R740" s="149"/>
      <c r="S740" s="149"/>
      <c r="T740" s="149"/>
      <c r="U740" s="149"/>
      <c r="V740" s="149"/>
      <c r="W740" s="149"/>
      <c r="X740" s="64" t="s">
        <v>3810</v>
      </c>
      <c r="Y740" s="68"/>
      <c r="Z740" s="68"/>
    </row>
    <row r="741" ht="15.0" customHeight="1">
      <c r="A741" s="206">
        <v>45910.0</v>
      </c>
      <c r="B741" s="201" t="s">
        <v>4828</v>
      </c>
      <c r="C741" s="45" t="s">
        <v>4829</v>
      </c>
      <c r="D741" s="140" t="str">
        <f>IFERROR(VLOOKUP(C741,Stock,3,FALSE),"")</f>
        <v>Daihatsu Gran Max</v>
      </c>
      <c r="E741" s="45">
        <v>1.0</v>
      </c>
      <c r="F741" s="198">
        <v>350000.0</v>
      </c>
      <c r="G741" s="142">
        <f t="shared" si="37"/>
        <v>350000</v>
      </c>
      <c r="H741" s="142"/>
      <c r="I741" s="143">
        <f t="shared" si="38"/>
        <v>350000</v>
      </c>
      <c r="J741" s="144">
        <f t="shared" si="39"/>
        <v>350000</v>
      </c>
      <c r="K741" s="108" t="s">
        <v>4830</v>
      </c>
      <c r="L741" s="146" t="s">
        <v>4831</v>
      </c>
      <c r="M741" s="17"/>
      <c r="N741" s="64" t="s">
        <v>4270</v>
      </c>
      <c r="O741" s="64" t="s">
        <v>2813</v>
      </c>
      <c r="P741" s="147" t="s">
        <v>4672</v>
      </c>
      <c r="Q741" s="141">
        <v>350000.0</v>
      </c>
      <c r="R741" s="149"/>
      <c r="S741" s="149"/>
      <c r="T741" s="149"/>
      <c r="U741" s="149"/>
      <c r="V741" s="149"/>
      <c r="W741" s="149"/>
      <c r="X741" s="64" t="s">
        <v>3810</v>
      </c>
      <c r="Y741" s="68"/>
      <c r="Z741" s="68"/>
    </row>
    <row r="742" ht="15.0" customHeight="1">
      <c r="A742" s="206">
        <v>45910.0</v>
      </c>
      <c r="B742" s="201" t="s">
        <v>4832</v>
      </c>
      <c r="C742" s="45" t="s">
        <v>2995</v>
      </c>
      <c r="D742" s="140" t="str">
        <f>IFERROR(VLOOKUP(C742,Stock,3,FALSE),"")</f>
        <v>Honda CR-V 02-04 2nd Gen (Spion Jepit)</v>
      </c>
      <c r="E742" s="45">
        <v>1.0</v>
      </c>
      <c r="F742" s="198">
        <v>1848000.0</v>
      </c>
      <c r="G742" s="142">
        <f t="shared" si="37"/>
        <v>1848000</v>
      </c>
      <c r="H742" s="142"/>
      <c r="I742" s="143">
        <f t="shared" si="38"/>
        <v>1848000</v>
      </c>
      <c r="J742" s="144">
        <f t="shared" si="39"/>
        <v>1848000</v>
      </c>
      <c r="K742" s="108" t="s">
        <v>4833</v>
      </c>
      <c r="L742" s="199" t="s">
        <v>4834</v>
      </c>
      <c r="M742" s="17"/>
      <c r="N742" s="64" t="s">
        <v>4835</v>
      </c>
      <c r="O742" s="64" t="s">
        <v>4836</v>
      </c>
      <c r="P742" s="147" t="s">
        <v>4672</v>
      </c>
      <c r="Q742" s="141">
        <v>1848000.0</v>
      </c>
      <c r="R742" s="149"/>
      <c r="S742" s="149"/>
      <c r="T742" s="149"/>
      <c r="U742" s="149"/>
      <c r="V742" s="149"/>
      <c r="W742" s="149"/>
      <c r="X742" s="64" t="s">
        <v>3810</v>
      </c>
      <c r="Y742" s="68"/>
      <c r="Z742" s="68"/>
    </row>
    <row r="743" ht="15.0" customHeight="1">
      <c r="A743" s="206">
        <v>45910.0</v>
      </c>
      <c r="B743" s="201" t="s">
        <v>4837</v>
      </c>
      <c r="C743" s="45" t="s">
        <v>2869</v>
      </c>
      <c r="D743" s="140" t="str">
        <f>IFERROR(VLOOKUP(C743,Stock,3,FALSE),"")</f>
        <v>Daihatsu Gran Max / Luxio 07-</v>
      </c>
      <c r="E743" s="45">
        <v>1.0</v>
      </c>
      <c r="F743" s="198">
        <v>1000000.0</v>
      </c>
      <c r="G743" s="142">
        <f t="shared" si="37"/>
        <v>1000000</v>
      </c>
      <c r="H743" s="142"/>
      <c r="I743" s="143">
        <f t="shared" si="38"/>
        <v>1000000</v>
      </c>
      <c r="J743" s="144">
        <f t="shared" si="39"/>
        <v>1000000</v>
      </c>
      <c r="K743" s="108" t="s">
        <v>4838</v>
      </c>
      <c r="L743" s="199" t="s">
        <v>4839</v>
      </c>
      <c r="M743" s="17"/>
      <c r="N743" s="64" t="s">
        <v>4840</v>
      </c>
      <c r="O743" s="64" t="s">
        <v>2813</v>
      </c>
      <c r="P743" s="147" t="s">
        <v>4672</v>
      </c>
      <c r="Q743" s="149"/>
      <c r="R743" s="141"/>
      <c r="S743" s="141"/>
      <c r="T743" s="141">
        <v>1000000.0</v>
      </c>
      <c r="U743" s="149"/>
      <c r="V743" s="149"/>
      <c r="W743" s="149"/>
      <c r="X743" s="64" t="s">
        <v>3810</v>
      </c>
      <c r="Y743" s="68"/>
      <c r="Z743" s="68"/>
    </row>
    <row r="744" ht="15.0" customHeight="1">
      <c r="A744" s="206">
        <v>45910.0</v>
      </c>
      <c r="B744" s="201" t="s">
        <v>4841</v>
      </c>
      <c r="C744" s="45" t="s">
        <v>4842</v>
      </c>
      <c r="D744" s="140" t="str">
        <f>IFERROR(VLOOKUP(C744,Stock,3,FALSE),"")</f>
        <v>Mazda CX-5 17- 2nd Gen KF - (1 Sensor/ □ )</v>
      </c>
      <c r="E744" s="45">
        <v>1.0</v>
      </c>
      <c r="F744" s="198">
        <v>4894000.0</v>
      </c>
      <c r="G744" s="142">
        <f t="shared" si="37"/>
        <v>4894000</v>
      </c>
      <c r="H744" s="142"/>
      <c r="I744" s="143">
        <f t="shared" si="38"/>
        <v>4894000</v>
      </c>
      <c r="J744" s="144">
        <f t="shared" si="39"/>
        <v>4894000</v>
      </c>
      <c r="K744" s="108" t="s">
        <v>2757</v>
      </c>
      <c r="L744" s="199" t="s">
        <v>4843</v>
      </c>
      <c r="M744" s="17"/>
      <c r="N744" s="64" t="s">
        <v>4844</v>
      </c>
      <c r="O744" s="64" t="s">
        <v>2813</v>
      </c>
      <c r="P744" s="147" t="s">
        <v>4672</v>
      </c>
      <c r="Q744" s="149"/>
      <c r="R744" s="141"/>
      <c r="S744" s="141"/>
      <c r="T744" s="141">
        <v>4894000.0</v>
      </c>
      <c r="U744" s="149"/>
      <c r="V744" s="149"/>
      <c r="W744" s="149"/>
      <c r="X744" s="64" t="s">
        <v>3810</v>
      </c>
      <c r="Y744" s="68"/>
      <c r="Z744" s="68"/>
    </row>
    <row r="745" ht="15.0" customHeight="1">
      <c r="A745" s="206">
        <v>45910.0</v>
      </c>
      <c r="B745" s="201" t="s">
        <v>4845</v>
      </c>
      <c r="C745" s="45" t="s">
        <v>4846</v>
      </c>
      <c r="D745" s="140" t="str">
        <f>IFERROR(VLOOKUP(C745,Stock,3,FALSE),"")</f>
        <v>Toyota LandCruiser Prado 02-09 FJ120</v>
      </c>
      <c r="E745" s="45">
        <v>1.0</v>
      </c>
      <c r="F745" s="198">
        <v>3342000.0</v>
      </c>
      <c r="G745" s="142">
        <f t="shared" si="37"/>
        <v>3342000</v>
      </c>
      <c r="H745" s="142"/>
      <c r="I745" s="143">
        <f t="shared" si="38"/>
        <v>3342000</v>
      </c>
      <c r="J745" s="144">
        <f t="shared" si="39"/>
        <v>3342000</v>
      </c>
      <c r="K745" s="108" t="s">
        <v>4847</v>
      </c>
      <c r="L745" s="199" t="s">
        <v>4848</v>
      </c>
      <c r="M745" s="17"/>
      <c r="N745" s="64" t="s">
        <v>4270</v>
      </c>
      <c r="O745" s="64" t="s">
        <v>4409</v>
      </c>
      <c r="P745" s="147" t="s">
        <v>4672</v>
      </c>
      <c r="Q745" s="149"/>
      <c r="R745" s="141"/>
      <c r="S745" s="141"/>
      <c r="T745" s="141">
        <v>3822000.0</v>
      </c>
      <c r="U745" s="149"/>
      <c r="V745" s="149"/>
      <c r="W745" s="149"/>
      <c r="X745" s="64" t="s">
        <v>3810</v>
      </c>
      <c r="Y745" s="68"/>
      <c r="Z745" s="68"/>
    </row>
    <row r="746" ht="15.0" customHeight="1">
      <c r="A746" s="206">
        <v>45910.0</v>
      </c>
      <c r="B746" s="201" t="s">
        <v>4845</v>
      </c>
      <c r="C746" s="45" t="s">
        <v>2770</v>
      </c>
      <c r="D746" s="140" t="str">
        <f>IFERROR(VLOOKUP(C746,Stock,3,FALSE),"")</f>
        <v>Transport</v>
      </c>
      <c r="E746" s="45">
        <v>1.0</v>
      </c>
      <c r="F746" s="198">
        <v>200000.0</v>
      </c>
      <c r="G746" s="142">
        <f t="shared" si="37"/>
        <v>200000</v>
      </c>
      <c r="H746" s="142"/>
      <c r="I746" s="143">
        <f t="shared" si="38"/>
        <v>200000</v>
      </c>
      <c r="J746" s="144">
        <f t="shared" si="39"/>
        <v>200000</v>
      </c>
      <c r="K746" s="108" t="s">
        <v>4847</v>
      </c>
      <c r="L746" s="199" t="s">
        <v>4848</v>
      </c>
      <c r="M746" s="17"/>
      <c r="N746" s="64" t="s">
        <v>4270</v>
      </c>
      <c r="O746" s="64" t="s">
        <v>4409</v>
      </c>
      <c r="P746" s="147" t="s">
        <v>4672</v>
      </c>
      <c r="Q746" s="149"/>
      <c r="R746" s="149"/>
      <c r="S746" s="149"/>
      <c r="T746" s="149"/>
      <c r="U746" s="149"/>
      <c r="V746" s="149"/>
      <c r="W746" s="149"/>
      <c r="X746" s="64" t="s">
        <v>3810</v>
      </c>
      <c r="Y746" s="68"/>
      <c r="Z746" s="68"/>
    </row>
    <row r="747" ht="15.0" customHeight="1">
      <c r="A747" s="206">
        <v>45910.0</v>
      </c>
      <c r="B747" s="201" t="s">
        <v>4845</v>
      </c>
      <c r="C747" s="45" t="s">
        <v>2835</v>
      </c>
      <c r="D747" s="140" t="str">
        <f>IFERROR(VLOOKUP(C747,Stock,3,FALSE),"")</f>
        <v>Peti Kayu</v>
      </c>
      <c r="E747" s="45">
        <v>1.0</v>
      </c>
      <c r="F747" s="198">
        <v>280000.0</v>
      </c>
      <c r="G747" s="142">
        <f>E747*F745</f>
        <v>3342000</v>
      </c>
      <c r="H747" s="142"/>
      <c r="I747" s="143">
        <f t="shared" si="38"/>
        <v>3342000</v>
      </c>
      <c r="J747" s="144">
        <f t="shared" si="39"/>
        <v>3342000</v>
      </c>
      <c r="K747" s="108" t="s">
        <v>4847</v>
      </c>
      <c r="L747" s="199" t="s">
        <v>4848</v>
      </c>
      <c r="M747" s="17"/>
      <c r="N747" s="64" t="s">
        <v>4270</v>
      </c>
      <c r="O747" s="64" t="s">
        <v>4409</v>
      </c>
      <c r="P747" s="147" t="s">
        <v>4672</v>
      </c>
      <c r="Q747" s="149"/>
      <c r="R747" s="149"/>
      <c r="S747" s="149"/>
      <c r="T747" s="149"/>
      <c r="U747" s="149"/>
      <c r="V747" s="149"/>
      <c r="W747" s="149"/>
      <c r="X747" s="64" t="s">
        <v>3810</v>
      </c>
      <c r="Y747" s="68"/>
      <c r="Z747" s="68"/>
    </row>
    <row r="748" ht="15.0" customHeight="1">
      <c r="A748" s="206">
        <v>45910.0</v>
      </c>
      <c r="B748" s="201" t="s">
        <v>4849</v>
      </c>
      <c r="C748" s="45" t="s">
        <v>2952</v>
      </c>
      <c r="D748" s="140" t="str">
        <f>IFERROR(VLOOKUP(C748,Stock,3,FALSE),"")</f>
        <v/>
      </c>
      <c r="E748" s="45">
        <v>1.0</v>
      </c>
      <c r="F748" s="198">
        <v>1000000.0</v>
      </c>
      <c r="G748" s="142">
        <f t="shared" ref="G748:G1679" si="40">E748*F748</f>
        <v>1000000</v>
      </c>
      <c r="H748" s="142"/>
      <c r="I748" s="143">
        <f t="shared" si="38"/>
        <v>1000000</v>
      </c>
      <c r="J748" s="144">
        <f t="shared" si="39"/>
        <v>1000000</v>
      </c>
      <c r="K748" s="145" t="s">
        <v>4850</v>
      </c>
      <c r="L748" s="146" t="s">
        <v>4851</v>
      </c>
      <c r="M748" s="68"/>
      <c r="N748" s="64" t="s">
        <v>4852</v>
      </c>
      <c r="O748" s="64" t="s">
        <v>2813</v>
      </c>
      <c r="P748" s="147" t="s">
        <v>4672</v>
      </c>
      <c r="Q748" s="149"/>
      <c r="R748" s="141"/>
      <c r="S748" s="141"/>
      <c r="T748" s="141">
        <v>1275000.0</v>
      </c>
      <c r="U748" s="149"/>
      <c r="V748" s="149"/>
      <c r="W748" s="149"/>
      <c r="X748" s="64" t="s">
        <v>3810</v>
      </c>
      <c r="Y748" s="68"/>
      <c r="Z748" s="68"/>
    </row>
    <row r="749" ht="15.0" customHeight="1">
      <c r="A749" s="206">
        <v>45910.0</v>
      </c>
      <c r="B749" s="201" t="s">
        <v>4849</v>
      </c>
      <c r="C749" s="64" t="s">
        <v>3456</v>
      </c>
      <c r="D749" s="140" t="str">
        <f>IFERROR(VLOOKUP(C749,Stock,3,FALSE),"")</f>
        <v>List Kaca Depan Code 11</v>
      </c>
      <c r="E749" s="45">
        <v>1.0</v>
      </c>
      <c r="F749" s="141">
        <v>275000.0</v>
      </c>
      <c r="G749" s="142">
        <f t="shared" si="40"/>
        <v>275000</v>
      </c>
      <c r="H749" s="142"/>
      <c r="I749" s="143">
        <f t="shared" si="38"/>
        <v>275000</v>
      </c>
      <c r="J749" s="144">
        <f t="shared" si="39"/>
        <v>275000</v>
      </c>
      <c r="K749" s="145" t="s">
        <v>4850</v>
      </c>
      <c r="L749" s="146" t="s">
        <v>4851</v>
      </c>
      <c r="M749" s="68"/>
      <c r="N749" s="64" t="s">
        <v>4852</v>
      </c>
      <c r="O749" s="64" t="s">
        <v>2813</v>
      </c>
      <c r="P749" s="147" t="s">
        <v>4672</v>
      </c>
      <c r="Q749" s="149"/>
      <c r="R749" s="149"/>
      <c r="S749" s="149"/>
      <c r="T749" s="149"/>
      <c r="U749" s="149"/>
      <c r="V749" s="149"/>
      <c r="W749" s="149"/>
      <c r="X749" s="64" t="s">
        <v>3810</v>
      </c>
      <c r="Y749" s="68"/>
      <c r="Z749" s="68"/>
    </row>
    <row r="750" ht="15.0" customHeight="1">
      <c r="A750" s="206">
        <v>45910.0</v>
      </c>
      <c r="B750" s="201" t="s">
        <v>4853</v>
      </c>
      <c r="C750" s="45" t="s">
        <v>3858</v>
      </c>
      <c r="D750" s="140" t="str">
        <f>IFERROR(VLOOKUP(C750,Stock,3,FALSE),"")</f>
        <v>Daihatsu Luxio 07-</v>
      </c>
      <c r="E750" s="45">
        <v>8.0</v>
      </c>
      <c r="F750" s="202"/>
      <c r="G750" s="142">
        <f t="shared" si="40"/>
        <v>0</v>
      </c>
      <c r="H750" s="142"/>
      <c r="I750" s="143">
        <f t="shared" si="38"/>
        <v>0</v>
      </c>
      <c r="J750" s="144">
        <f t="shared" si="39"/>
        <v>0</v>
      </c>
      <c r="K750" s="108" t="s">
        <v>4509</v>
      </c>
      <c r="L750" s="17"/>
      <c r="M750" s="17"/>
      <c r="N750" s="64" t="s">
        <v>4270</v>
      </c>
      <c r="O750" s="64" t="s">
        <v>4175</v>
      </c>
      <c r="P750" s="170"/>
      <c r="Q750" s="149"/>
      <c r="R750" s="149"/>
      <c r="S750" s="149"/>
      <c r="T750" s="149"/>
      <c r="U750" s="149"/>
      <c r="V750" s="149"/>
      <c r="W750" s="149"/>
      <c r="X750" s="64" t="s">
        <v>3191</v>
      </c>
      <c r="Y750" s="68"/>
      <c r="Z750" s="68"/>
    </row>
    <row r="751" ht="15.0" customHeight="1">
      <c r="A751" s="206">
        <v>45910.0</v>
      </c>
      <c r="B751" s="201" t="s">
        <v>4854</v>
      </c>
      <c r="C751" s="245" t="s">
        <v>4855</v>
      </c>
      <c r="D751" s="140" t="str">
        <f>IFERROR(VLOOKUP(C751,Stock,3,FALSE),"")</f>
        <v>Honda WR-V 23- (Honda)</v>
      </c>
      <c r="E751" s="45">
        <v>1.0</v>
      </c>
      <c r="F751" s="202"/>
      <c r="G751" s="142">
        <f t="shared" si="40"/>
        <v>0</v>
      </c>
      <c r="H751" s="142"/>
      <c r="I751" s="143">
        <f t="shared" si="38"/>
        <v>0</v>
      </c>
      <c r="J751" s="144">
        <f t="shared" si="39"/>
        <v>0</v>
      </c>
      <c r="K751" s="108" t="s">
        <v>4509</v>
      </c>
      <c r="L751" s="17"/>
      <c r="M751" s="17"/>
      <c r="N751" s="64" t="s">
        <v>4270</v>
      </c>
      <c r="O751" s="64" t="s">
        <v>4175</v>
      </c>
      <c r="P751" s="170"/>
      <c r="Q751" s="149"/>
      <c r="R751" s="149"/>
      <c r="S751" s="149"/>
      <c r="T751" s="149"/>
      <c r="U751" s="149"/>
      <c r="V751" s="149"/>
      <c r="W751" s="149"/>
      <c r="X751" s="64" t="s">
        <v>3191</v>
      </c>
      <c r="Y751" s="68"/>
      <c r="Z751" s="68"/>
    </row>
    <row r="752" ht="15.0" customHeight="1">
      <c r="A752" s="206">
        <v>45910.0</v>
      </c>
      <c r="B752" s="201" t="s">
        <v>4854</v>
      </c>
      <c r="C752" s="245" t="s">
        <v>4856</v>
      </c>
      <c r="D752" s="140" t="str">
        <f>IFERROR(VLOOKUP(C752,Stock,3,FALSE),"")</f>
        <v>Honda WR-V 23- (Honda)</v>
      </c>
      <c r="E752" s="45">
        <v>1.0</v>
      </c>
      <c r="F752" s="202"/>
      <c r="G752" s="142">
        <f t="shared" si="40"/>
        <v>0</v>
      </c>
      <c r="H752" s="142"/>
      <c r="I752" s="143">
        <f t="shared" si="38"/>
        <v>0</v>
      </c>
      <c r="J752" s="144">
        <f t="shared" si="39"/>
        <v>0</v>
      </c>
      <c r="K752" s="108" t="s">
        <v>4509</v>
      </c>
      <c r="L752" s="17"/>
      <c r="M752" s="17"/>
      <c r="N752" s="64" t="s">
        <v>4270</v>
      </c>
      <c r="O752" s="64" t="s">
        <v>4175</v>
      </c>
      <c r="P752" s="170"/>
      <c r="Q752" s="149"/>
      <c r="R752" s="149"/>
      <c r="S752" s="149"/>
      <c r="T752" s="149"/>
      <c r="U752" s="149"/>
      <c r="V752" s="149"/>
      <c r="W752" s="149"/>
      <c r="X752" s="64" t="s">
        <v>3191</v>
      </c>
      <c r="Y752" s="68"/>
      <c r="Z752" s="68"/>
    </row>
    <row r="753" ht="15.0" customHeight="1">
      <c r="A753" s="206">
        <v>45910.0</v>
      </c>
      <c r="B753" s="201" t="s">
        <v>4854</v>
      </c>
      <c r="C753" s="245" t="s">
        <v>4857</v>
      </c>
      <c r="D753" s="140" t="str">
        <f>IFERROR(VLOOKUP(C753,Stock,3,FALSE),"")</f>
        <v>Honda WR-V 23- (Honda)</v>
      </c>
      <c r="E753" s="45">
        <v>1.0</v>
      </c>
      <c r="F753" s="202"/>
      <c r="G753" s="142">
        <f t="shared" si="40"/>
        <v>0</v>
      </c>
      <c r="H753" s="142"/>
      <c r="I753" s="143">
        <f t="shared" si="38"/>
        <v>0</v>
      </c>
      <c r="J753" s="144">
        <f t="shared" si="39"/>
        <v>0</v>
      </c>
      <c r="K753" s="108" t="s">
        <v>4509</v>
      </c>
      <c r="L753" s="17"/>
      <c r="M753" s="17"/>
      <c r="N753" s="64" t="s">
        <v>4270</v>
      </c>
      <c r="O753" s="64" t="s">
        <v>4175</v>
      </c>
      <c r="P753" s="170"/>
      <c r="Q753" s="149"/>
      <c r="R753" s="149"/>
      <c r="S753" s="149"/>
      <c r="T753" s="149"/>
      <c r="U753" s="149"/>
      <c r="V753" s="149"/>
      <c r="W753" s="149"/>
      <c r="X753" s="64" t="s">
        <v>3191</v>
      </c>
      <c r="Y753" s="68"/>
      <c r="Z753" s="68"/>
    </row>
    <row r="754" ht="15.0" customHeight="1">
      <c r="A754" s="206">
        <v>45910.0</v>
      </c>
      <c r="B754" s="201" t="s">
        <v>4854</v>
      </c>
      <c r="C754" s="245" t="s">
        <v>4858</v>
      </c>
      <c r="D754" s="140" t="str">
        <f>IFERROR(VLOOKUP(C754,Stock,3,FALSE),"")</f>
        <v>Honda WR-V 23- (Honda)</v>
      </c>
      <c r="E754" s="45">
        <v>1.0</v>
      </c>
      <c r="F754" s="202"/>
      <c r="G754" s="142">
        <f t="shared" si="40"/>
        <v>0</v>
      </c>
      <c r="H754" s="142"/>
      <c r="I754" s="143">
        <f t="shared" si="38"/>
        <v>0</v>
      </c>
      <c r="J754" s="144">
        <f t="shared" si="39"/>
        <v>0</v>
      </c>
      <c r="K754" s="108" t="s">
        <v>4509</v>
      </c>
      <c r="L754" s="17"/>
      <c r="M754" s="17"/>
      <c r="N754" s="64" t="s">
        <v>4270</v>
      </c>
      <c r="O754" s="64" t="s">
        <v>4175</v>
      </c>
      <c r="P754" s="170"/>
      <c r="Q754" s="149"/>
      <c r="R754" s="149"/>
      <c r="S754" s="149"/>
      <c r="T754" s="149"/>
      <c r="U754" s="149"/>
      <c r="V754" s="149"/>
      <c r="W754" s="149"/>
      <c r="X754" s="64" t="s">
        <v>3191</v>
      </c>
      <c r="Y754" s="68"/>
      <c r="Z754" s="68"/>
    </row>
    <row r="755" ht="15.0" customHeight="1">
      <c r="A755" s="206">
        <v>45911.0</v>
      </c>
      <c r="B755" s="201" t="s">
        <v>4859</v>
      </c>
      <c r="C755" s="45" t="s">
        <v>4860</v>
      </c>
      <c r="D755" s="140" t="str">
        <f>IFERROR(VLOOKUP(C755,Stock,3,FALSE),"")</f>
        <v>Toyota Agya/Ayla 23- 2nd Gen (Toyota/Daihatsu)</v>
      </c>
      <c r="E755" s="45">
        <v>1.0</v>
      </c>
      <c r="F755" s="198">
        <v>850000.0</v>
      </c>
      <c r="G755" s="142">
        <f t="shared" si="40"/>
        <v>850000</v>
      </c>
      <c r="H755" s="143">
        <v>35000.0</v>
      </c>
      <c r="I755" s="143">
        <f t="shared" si="38"/>
        <v>815000</v>
      </c>
      <c r="J755" s="144">
        <f t="shared" si="39"/>
        <v>815000</v>
      </c>
      <c r="K755" s="108" t="s">
        <v>4861</v>
      </c>
      <c r="L755" s="199" t="s">
        <v>4862</v>
      </c>
      <c r="M755" s="17"/>
      <c r="N755" s="64" t="s">
        <v>4863</v>
      </c>
      <c r="O755" s="64" t="s">
        <v>2813</v>
      </c>
      <c r="P755" s="170"/>
      <c r="Q755" s="149"/>
      <c r="R755" s="141"/>
      <c r="S755" s="141"/>
      <c r="T755" s="141">
        <v>850000.0</v>
      </c>
      <c r="U755" s="149"/>
      <c r="V755" s="149"/>
      <c r="W755" s="149"/>
      <c r="X755" s="64" t="s">
        <v>3810</v>
      </c>
      <c r="Y755" s="68"/>
      <c r="Z755" s="68"/>
    </row>
    <row r="756" ht="15.0" customHeight="1">
      <c r="A756" s="206">
        <v>45911.0</v>
      </c>
      <c r="B756" s="201" t="s">
        <v>4864</v>
      </c>
      <c r="C756" s="45" t="s">
        <v>3975</v>
      </c>
      <c r="D756" s="140" t="str">
        <f>IFERROR(VLOOKUP(C756,Stock,3,FALSE),"")</f>
        <v>Nissan Terrano 95-06</v>
      </c>
      <c r="E756" s="45">
        <v>1.0</v>
      </c>
      <c r="F756" s="198">
        <v>1549000.0</v>
      </c>
      <c r="G756" s="142">
        <f t="shared" si="40"/>
        <v>1549000</v>
      </c>
      <c r="H756" s="142"/>
      <c r="I756" s="143">
        <f t="shared" si="38"/>
        <v>1549000</v>
      </c>
      <c r="J756" s="144">
        <f t="shared" si="39"/>
        <v>1549000</v>
      </c>
      <c r="K756" s="108" t="s">
        <v>4865</v>
      </c>
      <c r="L756" s="199" t="s">
        <v>4866</v>
      </c>
      <c r="M756" s="17"/>
      <c r="N756" s="64" t="s">
        <v>4867</v>
      </c>
      <c r="O756" s="64" t="s">
        <v>4868</v>
      </c>
      <c r="P756" s="170"/>
      <c r="Q756" s="149"/>
      <c r="R756" s="141"/>
      <c r="S756" s="141"/>
      <c r="T756" s="141">
        <v>1549000.0</v>
      </c>
      <c r="U756" s="149"/>
      <c r="V756" s="149"/>
      <c r="W756" s="149"/>
      <c r="X756" s="64" t="s">
        <v>3810</v>
      </c>
      <c r="Y756" s="68"/>
      <c r="Z756" s="68"/>
    </row>
    <row r="757" ht="15.0" customHeight="1">
      <c r="A757" s="206">
        <v>45911.0</v>
      </c>
      <c r="B757" s="201" t="s">
        <v>4869</v>
      </c>
      <c r="C757" s="45" t="s">
        <v>2792</v>
      </c>
      <c r="D757" s="140" t="str">
        <f>IFERROR(VLOOKUP(C757,Stock,3,FALSE),"")</f>
        <v>Toyota Calya / Sigra 16-</v>
      </c>
      <c r="E757" s="45">
        <v>1.0</v>
      </c>
      <c r="F757" s="198">
        <v>850000.0</v>
      </c>
      <c r="G757" s="142">
        <f t="shared" si="40"/>
        <v>850000</v>
      </c>
      <c r="H757" s="142"/>
      <c r="I757" s="143">
        <f t="shared" si="38"/>
        <v>850000</v>
      </c>
      <c r="J757" s="144">
        <f t="shared" si="39"/>
        <v>850000</v>
      </c>
      <c r="K757" s="108" t="s">
        <v>4870</v>
      </c>
      <c r="L757" s="199" t="s">
        <v>4871</v>
      </c>
      <c r="M757" s="17"/>
      <c r="N757" s="64" t="s">
        <v>4872</v>
      </c>
      <c r="O757" s="64" t="s">
        <v>2813</v>
      </c>
      <c r="P757" s="170"/>
      <c r="Q757" s="141">
        <v>850000.0</v>
      </c>
      <c r="R757" s="149"/>
      <c r="S757" s="149"/>
      <c r="T757" s="149"/>
      <c r="U757" s="149"/>
      <c r="V757" s="149"/>
      <c r="W757" s="149"/>
      <c r="X757" s="64" t="s">
        <v>3810</v>
      </c>
      <c r="Y757" s="68"/>
      <c r="Z757" s="68"/>
    </row>
    <row r="758" ht="15.0" customHeight="1">
      <c r="A758" s="206">
        <v>45911.0</v>
      </c>
      <c r="B758" s="201" t="s">
        <v>4873</v>
      </c>
      <c r="C758" s="45" t="s">
        <v>4720</v>
      </c>
      <c r="D758" s="140" t="str">
        <f>IFERROR(VLOOKUP(C758,Stock,3,FALSE),"")</f>
        <v>Honda Jazz 13-  3rd Gen (Honda)</v>
      </c>
      <c r="E758" s="45">
        <v>1.0</v>
      </c>
      <c r="F758" s="198">
        <v>0.0</v>
      </c>
      <c r="G758" s="142">
        <f t="shared" si="40"/>
        <v>0</v>
      </c>
      <c r="H758" s="142"/>
      <c r="I758" s="143">
        <f t="shared" si="38"/>
        <v>0</v>
      </c>
      <c r="J758" s="144">
        <f t="shared" si="39"/>
        <v>0</v>
      </c>
      <c r="K758" s="108" t="s">
        <v>4509</v>
      </c>
      <c r="L758" s="17"/>
      <c r="M758" s="17"/>
      <c r="N758" s="64" t="s">
        <v>4270</v>
      </c>
      <c r="O758" s="64" t="s">
        <v>4175</v>
      </c>
      <c r="P758" s="170"/>
      <c r="Q758" s="149"/>
      <c r="R758" s="149"/>
      <c r="S758" s="149"/>
      <c r="T758" s="149"/>
      <c r="U758" s="149"/>
      <c r="V758" s="149"/>
      <c r="W758" s="149"/>
      <c r="X758" s="64" t="s">
        <v>3191</v>
      </c>
      <c r="Y758" s="68"/>
      <c r="Z758" s="68"/>
    </row>
    <row r="759" ht="15.0" customHeight="1">
      <c r="A759" s="206">
        <v>45912.0</v>
      </c>
      <c r="B759" s="201" t="s">
        <v>4874</v>
      </c>
      <c r="C759" s="45" t="s">
        <v>4392</v>
      </c>
      <c r="D759" s="140" t="str">
        <f>IFERROR(VLOOKUP(C759,Stock,3,FALSE),"")</f>
        <v>Mitsubishi Grandis 03-11 EZ45/NA4W</v>
      </c>
      <c r="E759" s="45">
        <v>1.0</v>
      </c>
      <c r="F759" s="198">
        <v>2710000.0</v>
      </c>
      <c r="G759" s="142">
        <f t="shared" si="40"/>
        <v>2710000</v>
      </c>
      <c r="H759" s="142"/>
      <c r="I759" s="143">
        <f t="shared" si="38"/>
        <v>2710000</v>
      </c>
      <c r="J759" s="144">
        <f t="shared" si="39"/>
        <v>2710000</v>
      </c>
      <c r="K759" s="108" t="s">
        <v>4875</v>
      </c>
      <c r="L759" s="199" t="s">
        <v>4876</v>
      </c>
      <c r="M759" s="17"/>
      <c r="N759" s="64" t="s">
        <v>4877</v>
      </c>
      <c r="O759" s="64" t="s">
        <v>2813</v>
      </c>
      <c r="P759" s="147" t="s">
        <v>4672</v>
      </c>
      <c r="Q759" s="149"/>
      <c r="R759" s="141"/>
      <c r="S759" s="141"/>
      <c r="T759" s="141">
        <v>2710000.0</v>
      </c>
      <c r="U759" s="149"/>
      <c r="V759" s="149"/>
      <c r="W759" s="149"/>
      <c r="X759" s="64" t="s">
        <v>3810</v>
      </c>
      <c r="Y759" s="68"/>
      <c r="Z759" s="68"/>
    </row>
    <row r="760" ht="15.0" customHeight="1">
      <c r="A760" s="206">
        <v>45912.0</v>
      </c>
      <c r="B760" s="201" t="s">
        <v>4878</v>
      </c>
      <c r="C760" s="45" t="s">
        <v>4879</v>
      </c>
      <c r="D760" s="140" t="str">
        <f>IFERROR(VLOOKUP(C760,Stock,3,FALSE),"")</f>
        <v>Kia Picanto 11-16 2nd Gen</v>
      </c>
      <c r="E760" s="45">
        <v>1.0</v>
      </c>
      <c r="F760" s="198">
        <v>1540000.0</v>
      </c>
      <c r="G760" s="142">
        <f t="shared" si="40"/>
        <v>1540000</v>
      </c>
      <c r="H760" s="142"/>
      <c r="I760" s="143">
        <f t="shared" si="38"/>
        <v>1540000</v>
      </c>
      <c r="J760" s="144">
        <f t="shared" si="39"/>
        <v>1540000</v>
      </c>
      <c r="K760" s="108" t="s">
        <v>4880</v>
      </c>
      <c r="L760" s="199" t="s">
        <v>4881</v>
      </c>
      <c r="M760" s="17"/>
      <c r="N760" s="64" t="s">
        <v>4882</v>
      </c>
      <c r="O760" s="64" t="s">
        <v>3007</v>
      </c>
      <c r="P760" s="147" t="s">
        <v>4672</v>
      </c>
      <c r="Q760" s="149"/>
      <c r="R760" s="141"/>
      <c r="S760" s="141"/>
      <c r="T760" s="141">
        <v>30000.0</v>
      </c>
      <c r="U760" s="149"/>
      <c r="V760" s="149"/>
      <c r="W760" s="149"/>
      <c r="X760" s="64" t="s">
        <v>3810</v>
      </c>
      <c r="Y760" s="68"/>
      <c r="Z760" s="68"/>
    </row>
    <row r="761" ht="15.0" customHeight="1">
      <c r="A761" s="206">
        <v>45912.0</v>
      </c>
      <c r="B761" s="201" t="s">
        <v>4878</v>
      </c>
      <c r="C761" s="45" t="s">
        <v>2770</v>
      </c>
      <c r="D761" s="140" t="str">
        <f>IFERROR(VLOOKUP(C761,Stock,3,FALSE),"")</f>
        <v>Transport</v>
      </c>
      <c r="E761" s="45">
        <v>1.0</v>
      </c>
      <c r="F761" s="198">
        <v>220000.0</v>
      </c>
      <c r="G761" s="142">
        <f t="shared" si="40"/>
        <v>220000</v>
      </c>
      <c r="H761" s="142"/>
      <c r="I761" s="143">
        <f t="shared" si="38"/>
        <v>220000</v>
      </c>
      <c r="J761" s="144">
        <f t="shared" si="39"/>
        <v>220000</v>
      </c>
      <c r="K761" s="108" t="s">
        <v>4880</v>
      </c>
      <c r="L761" s="199" t="s">
        <v>4881</v>
      </c>
      <c r="M761" s="17"/>
      <c r="N761" s="64" t="s">
        <v>4882</v>
      </c>
      <c r="O761" s="64" t="s">
        <v>3007</v>
      </c>
      <c r="P761" s="147" t="s">
        <v>4672</v>
      </c>
      <c r="Q761" s="149"/>
      <c r="R761" s="141"/>
      <c r="S761" s="141"/>
      <c r="T761" s="141">
        <v>1730000.0</v>
      </c>
      <c r="U761" s="149"/>
      <c r="V761" s="149"/>
      <c r="W761" s="149"/>
      <c r="X761" s="64" t="s">
        <v>3810</v>
      </c>
      <c r="Y761" s="68"/>
      <c r="Z761" s="68"/>
    </row>
    <row r="762" ht="15.0" customHeight="1">
      <c r="A762" s="206">
        <v>45912.0</v>
      </c>
      <c r="B762" s="201" t="s">
        <v>4883</v>
      </c>
      <c r="C762" s="45" t="s">
        <v>4884</v>
      </c>
      <c r="D762" s="140" t="str">
        <f>IFERROR(VLOOKUP(C762,Stock,3,FALSE),"")</f>
        <v>Honda Brio 18- (Honda)</v>
      </c>
      <c r="E762" s="45">
        <v>1.0</v>
      </c>
      <c r="F762" s="198">
        <v>1458000.0</v>
      </c>
      <c r="G762" s="142">
        <f t="shared" si="40"/>
        <v>1458000</v>
      </c>
      <c r="H762" s="142"/>
      <c r="I762" s="143">
        <f t="shared" si="38"/>
        <v>1458000</v>
      </c>
      <c r="J762" s="144">
        <f t="shared" si="39"/>
        <v>1458000</v>
      </c>
      <c r="K762" s="108" t="s">
        <v>4885</v>
      </c>
      <c r="L762" s="199" t="s">
        <v>4886</v>
      </c>
      <c r="M762" s="17"/>
      <c r="N762" s="64" t="s">
        <v>4887</v>
      </c>
      <c r="O762" s="64" t="s">
        <v>3394</v>
      </c>
      <c r="P762" s="147" t="s">
        <v>4672</v>
      </c>
      <c r="Q762" s="149"/>
      <c r="R762" s="141"/>
      <c r="S762" s="141"/>
      <c r="T762" s="141">
        <v>1458000.0</v>
      </c>
      <c r="U762" s="149"/>
      <c r="V762" s="149"/>
      <c r="W762" s="149"/>
      <c r="X762" s="64" t="s">
        <v>3810</v>
      </c>
      <c r="Y762" s="68"/>
      <c r="Z762" s="68"/>
    </row>
    <row r="763" ht="15.0" customHeight="1">
      <c r="A763" s="206">
        <v>45912.0</v>
      </c>
      <c r="B763" s="201" t="s">
        <v>4888</v>
      </c>
      <c r="C763" s="45" t="s">
        <v>3113</v>
      </c>
      <c r="D763" s="140" t="str">
        <f>IFERROR(VLOOKUP(C763,Stock,3,FALSE),"")</f>
        <v>Mitsubishi Pajero 16-</v>
      </c>
      <c r="E763" s="45">
        <v>1.0</v>
      </c>
      <c r="F763" s="198">
        <v>1480000.0</v>
      </c>
      <c r="G763" s="142">
        <f t="shared" si="40"/>
        <v>1480000</v>
      </c>
      <c r="H763" s="142"/>
      <c r="I763" s="143">
        <f t="shared" si="38"/>
        <v>1480000</v>
      </c>
      <c r="J763" s="144">
        <f t="shared" si="39"/>
        <v>1480000</v>
      </c>
      <c r="K763" s="108" t="s">
        <v>4889</v>
      </c>
      <c r="L763" s="199" t="s">
        <v>4890</v>
      </c>
      <c r="M763" s="17"/>
      <c r="N763" s="64" t="s">
        <v>4891</v>
      </c>
      <c r="O763" s="64" t="s">
        <v>2813</v>
      </c>
      <c r="P763" s="147" t="s">
        <v>4672</v>
      </c>
      <c r="Q763" s="149"/>
      <c r="R763" s="141"/>
      <c r="S763" s="141"/>
      <c r="T763" s="141">
        <v>1480000.0</v>
      </c>
      <c r="U763" s="149"/>
      <c r="V763" s="149"/>
      <c r="W763" s="149"/>
      <c r="X763" s="64" t="s">
        <v>3810</v>
      </c>
      <c r="Y763" s="68"/>
      <c r="Z763" s="68"/>
    </row>
    <row r="764" ht="15.0" customHeight="1">
      <c r="A764" s="206">
        <v>45912.0</v>
      </c>
      <c r="B764" s="201" t="s">
        <v>4892</v>
      </c>
      <c r="C764" s="45" t="s">
        <v>2881</v>
      </c>
      <c r="D764" s="140" t="str">
        <f>IFERROR(VLOOKUP(C764,Stock,3,FALSE),"")</f>
        <v>Mitsubishi Outlander 10-21 GA3</v>
      </c>
      <c r="E764" s="45">
        <v>1.0</v>
      </c>
      <c r="F764" s="198">
        <v>2148000.0</v>
      </c>
      <c r="G764" s="142">
        <f t="shared" si="40"/>
        <v>2148000</v>
      </c>
      <c r="H764" s="142"/>
      <c r="I764" s="143">
        <f t="shared" si="38"/>
        <v>2148000</v>
      </c>
      <c r="J764" s="144">
        <f t="shared" si="39"/>
        <v>2148000</v>
      </c>
      <c r="K764" s="108" t="s">
        <v>4893</v>
      </c>
      <c r="L764" s="199" t="s">
        <v>4894</v>
      </c>
      <c r="M764" s="17"/>
      <c r="N764" s="64" t="s">
        <v>4895</v>
      </c>
      <c r="O764" s="64" t="s">
        <v>2813</v>
      </c>
      <c r="P764" s="147" t="s">
        <v>4672</v>
      </c>
      <c r="Q764" s="149"/>
      <c r="R764" s="141"/>
      <c r="S764" s="141"/>
      <c r="T764" s="141">
        <v>2148000.0</v>
      </c>
      <c r="U764" s="149"/>
      <c r="V764" s="149"/>
      <c r="W764" s="149"/>
      <c r="X764" s="64" t="s">
        <v>3810</v>
      </c>
      <c r="Y764" s="68"/>
      <c r="Z764" s="68"/>
    </row>
    <row r="765" ht="15.0" customHeight="1">
      <c r="A765" s="206">
        <v>45912.0</v>
      </c>
      <c r="B765" s="201" t="s">
        <v>4896</v>
      </c>
      <c r="C765" s="45" t="s">
        <v>3246</v>
      </c>
      <c r="D765" s="140" t="str">
        <f>IFERROR(VLOOKUP(C765,Stock,3,FALSE),"")</f>
        <v>Toyota Calya / Sigra 16-</v>
      </c>
      <c r="E765" s="45">
        <v>1.0</v>
      </c>
      <c r="F765" s="198">
        <v>1100000.0</v>
      </c>
      <c r="G765" s="142">
        <f t="shared" si="40"/>
        <v>1100000</v>
      </c>
      <c r="H765" s="142"/>
      <c r="I765" s="143">
        <f t="shared" si="38"/>
        <v>1100000</v>
      </c>
      <c r="J765" s="144">
        <f t="shared" si="39"/>
        <v>1100000</v>
      </c>
      <c r="K765" s="108" t="s">
        <v>4897</v>
      </c>
      <c r="L765" s="199" t="s">
        <v>4898</v>
      </c>
      <c r="M765" s="17"/>
      <c r="N765" s="64" t="s">
        <v>4899</v>
      </c>
      <c r="O765" s="64" t="s">
        <v>2813</v>
      </c>
      <c r="P765" s="147" t="s">
        <v>4672</v>
      </c>
      <c r="Q765" s="149"/>
      <c r="R765" s="141"/>
      <c r="S765" s="141"/>
      <c r="T765" s="141">
        <v>1100000.0</v>
      </c>
      <c r="U765" s="149"/>
      <c r="V765" s="149"/>
      <c r="W765" s="149"/>
      <c r="X765" s="64" t="s">
        <v>3810</v>
      </c>
      <c r="Y765" s="68"/>
      <c r="Z765" s="68"/>
    </row>
    <row r="766" ht="15.0" customHeight="1">
      <c r="A766" s="206">
        <v>45912.0</v>
      </c>
      <c r="B766" s="201" t="s">
        <v>4900</v>
      </c>
      <c r="C766" s="45" t="s">
        <v>3737</v>
      </c>
      <c r="D766" s="140" t="str">
        <f>IFERROR(VLOOKUP(C766,Stock,3,FALSE),"")</f>
        <v>DFSK Supercab 20-</v>
      </c>
      <c r="E766" s="45">
        <v>1.0</v>
      </c>
      <c r="F766" s="198">
        <v>1800000.0</v>
      </c>
      <c r="G766" s="142">
        <f t="shared" si="40"/>
        <v>1800000</v>
      </c>
      <c r="H766" s="142"/>
      <c r="I766" s="143">
        <f t="shared" si="38"/>
        <v>1800000</v>
      </c>
      <c r="J766" s="144">
        <f t="shared" si="39"/>
        <v>1800000</v>
      </c>
      <c r="K766" s="108" t="s">
        <v>4901</v>
      </c>
      <c r="L766" s="199" t="s">
        <v>4902</v>
      </c>
      <c r="M766" s="17"/>
      <c r="N766" s="64" t="s">
        <v>4903</v>
      </c>
      <c r="O766" s="64" t="s">
        <v>2813</v>
      </c>
      <c r="P766" s="147" t="s">
        <v>4672</v>
      </c>
      <c r="Q766" s="149"/>
      <c r="R766" s="141"/>
      <c r="S766" s="141"/>
      <c r="T766" s="141">
        <v>1800000.0</v>
      </c>
      <c r="U766" s="149"/>
      <c r="V766" s="149"/>
      <c r="W766" s="149"/>
      <c r="X766" s="64" t="s">
        <v>3810</v>
      </c>
      <c r="Y766" s="68"/>
      <c r="Z766" s="68"/>
    </row>
    <row r="767" ht="15.0" customHeight="1">
      <c r="A767" s="206">
        <v>45913.0</v>
      </c>
      <c r="B767" s="201" t="s">
        <v>4904</v>
      </c>
      <c r="C767" s="45" t="s">
        <v>4226</v>
      </c>
      <c r="D767" s="140" t="str">
        <f>IFERROR(VLOOKUP(C767,Stock,3,FALSE),"")</f>
        <v>Honda HR-V 14-21 5D SUV (Honda)</v>
      </c>
      <c r="E767" s="64">
        <v>1.0</v>
      </c>
      <c r="F767" s="198">
        <v>3158000.0</v>
      </c>
      <c r="G767" s="142">
        <f t="shared" si="40"/>
        <v>3158000</v>
      </c>
      <c r="H767" s="142"/>
      <c r="I767" s="143">
        <f t="shared" si="38"/>
        <v>3158000</v>
      </c>
      <c r="J767" s="144">
        <f t="shared" si="39"/>
        <v>3158000</v>
      </c>
      <c r="K767" s="145" t="s">
        <v>4905</v>
      </c>
      <c r="L767" s="146" t="s">
        <v>4906</v>
      </c>
      <c r="M767" s="68"/>
      <c r="N767" s="64" t="s">
        <v>4907</v>
      </c>
      <c r="O767" s="64" t="s">
        <v>2813</v>
      </c>
      <c r="P767" s="147" t="s">
        <v>4672</v>
      </c>
      <c r="Q767" s="149"/>
      <c r="R767" s="141"/>
      <c r="S767" s="141"/>
      <c r="T767" s="141">
        <v>3158000.0</v>
      </c>
      <c r="U767" s="149"/>
      <c r="V767" s="149"/>
      <c r="W767" s="149"/>
      <c r="X767" s="64" t="s">
        <v>3810</v>
      </c>
      <c r="Y767" s="68"/>
      <c r="Z767" s="68"/>
    </row>
    <row r="768" ht="15.0" customHeight="1">
      <c r="A768" s="206">
        <v>45913.0</v>
      </c>
      <c r="B768" s="201" t="s">
        <v>4908</v>
      </c>
      <c r="C768" s="45" t="s">
        <v>4909</v>
      </c>
      <c r="D768" s="140" t="str">
        <f>IFERROR(VLOOKUP(C768,Stock,3,FALSE),"")</f>
        <v>Ford Ranger 11- (DC)</v>
      </c>
      <c r="E768" s="45">
        <v>1.0</v>
      </c>
      <c r="F768" s="198">
        <v>640000.0</v>
      </c>
      <c r="G768" s="142">
        <f t="shared" si="40"/>
        <v>640000</v>
      </c>
      <c r="H768" s="142"/>
      <c r="I768" s="143">
        <f t="shared" si="38"/>
        <v>640000</v>
      </c>
      <c r="J768" s="144">
        <f t="shared" si="39"/>
        <v>640000</v>
      </c>
      <c r="K768" s="145" t="s">
        <v>4910</v>
      </c>
      <c r="L768" s="199" t="s">
        <v>4911</v>
      </c>
      <c r="M768" s="17"/>
      <c r="N768" s="64" t="s">
        <v>4270</v>
      </c>
      <c r="O768" s="64" t="s">
        <v>4912</v>
      </c>
      <c r="P768" s="147" t="s">
        <v>4672</v>
      </c>
      <c r="Q768" s="149"/>
      <c r="R768" s="141"/>
      <c r="S768" s="141"/>
      <c r="T768" s="141">
        <v>640000.0</v>
      </c>
      <c r="U768" s="149"/>
      <c r="V768" s="149"/>
      <c r="W768" s="149"/>
      <c r="X768" s="64" t="s">
        <v>3810</v>
      </c>
      <c r="Y768" s="68"/>
      <c r="Z768" s="68"/>
    </row>
    <row r="769" ht="15.0" customHeight="1">
      <c r="A769" s="206">
        <v>45913.0</v>
      </c>
      <c r="B769" s="201" t="s">
        <v>4913</v>
      </c>
      <c r="C769" s="45" t="s">
        <v>2885</v>
      </c>
      <c r="D769" s="140" t="str">
        <f>IFERROR(VLOOKUP(C769,Stock,3,FALSE),"")</f>
        <v>Bongkar Pasang Kaca Mobil Belakang</v>
      </c>
      <c r="E769" s="45">
        <v>1.0</v>
      </c>
      <c r="F769" s="198">
        <v>300000.0</v>
      </c>
      <c r="G769" s="142">
        <f t="shared" si="40"/>
        <v>300000</v>
      </c>
      <c r="H769" s="142"/>
      <c r="I769" s="143">
        <f t="shared" si="38"/>
        <v>300000</v>
      </c>
      <c r="J769" s="144">
        <f t="shared" si="39"/>
        <v>300000</v>
      </c>
      <c r="K769" s="145" t="s">
        <v>4914</v>
      </c>
      <c r="L769" s="199" t="s">
        <v>4915</v>
      </c>
      <c r="M769" s="17"/>
      <c r="N769" s="64" t="s">
        <v>4916</v>
      </c>
      <c r="O769" s="64" t="s">
        <v>2813</v>
      </c>
      <c r="P769" s="147" t="s">
        <v>4672</v>
      </c>
      <c r="Q769" s="149"/>
      <c r="R769" s="141"/>
      <c r="S769" s="141"/>
      <c r="T769" s="141">
        <v>300000.0</v>
      </c>
      <c r="U769" s="149"/>
      <c r="V769" s="149"/>
      <c r="W769" s="149"/>
      <c r="X769" s="64" t="s">
        <v>3810</v>
      </c>
      <c r="Y769" s="68"/>
      <c r="Z769" s="68"/>
    </row>
    <row r="770" ht="15.0" customHeight="1">
      <c r="A770" s="206">
        <v>45913.0</v>
      </c>
      <c r="B770" s="201" t="s">
        <v>4917</v>
      </c>
      <c r="C770" s="64" t="s">
        <v>3515</v>
      </c>
      <c r="D770" s="140" t="str">
        <f>IFERROR(VLOOKUP(C770,Stock,3,FALSE),"")</f>
        <v>Suzuki Ertiga 18- 2nd Gen / XL7 (Suzuki)</v>
      </c>
      <c r="E770" s="45">
        <v>1.0</v>
      </c>
      <c r="F770" s="198">
        <v>1350000.0</v>
      </c>
      <c r="G770" s="142">
        <f t="shared" si="40"/>
        <v>1350000</v>
      </c>
      <c r="H770" s="142"/>
      <c r="I770" s="143">
        <f t="shared" si="38"/>
        <v>1350000</v>
      </c>
      <c r="J770" s="144">
        <f t="shared" si="39"/>
        <v>1350000</v>
      </c>
      <c r="K770" s="145" t="s">
        <v>4918</v>
      </c>
      <c r="L770" s="199" t="s">
        <v>4919</v>
      </c>
      <c r="M770" s="17"/>
      <c r="N770" s="64" t="s">
        <v>4920</v>
      </c>
      <c r="O770" s="64" t="s">
        <v>2813</v>
      </c>
      <c r="P770" s="147" t="s">
        <v>4672</v>
      </c>
      <c r="Q770" s="141">
        <v>1320000.0</v>
      </c>
      <c r="R770" s="141"/>
      <c r="S770" s="141"/>
      <c r="T770" s="141">
        <v>30000.0</v>
      </c>
      <c r="U770" s="149"/>
      <c r="V770" s="149"/>
      <c r="W770" s="149"/>
      <c r="X770" s="64" t="s">
        <v>3810</v>
      </c>
      <c r="Y770" s="68"/>
      <c r="Z770" s="68"/>
    </row>
    <row r="771" ht="15.0" customHeight="1">
      <c r="A771" s="206">
        <v>45913.0</v>
      </c>
      <c r="B771" s="201" t="s">
        <v>4921</v>
      </c>
      <c r="C771" s="45" t="s">
        <v>4922</v>
      </c>
      <c r="D771" s="140" t="str">
        <f>IFERROR(VLOOKUP(C771,Stock,3,FALSE),"")</f>
        <v>Toyota Camry 11-17 XV50 5th Gen</v>
      </c>
      <c r="E771" s="45">
        <v>1.0</v>
      </c>
      <c r="F771" s="202"/>
      <c r="G771" s="142">
        <f t="shared" si="40"/>
        <v>0</v>
      </c>
      <c r="H771" s="142"/>
      <c r="I771" s="143">
        <f t="shared" si="38"/>
        <v>0</v>
      </c>
      <c r="J771" s="144">
        <f t="shared" si="39"/>
        <v>0</v>
      </c>
      <c r="K771" s="108" t="s">
        <v>4827</v>
      </c>
      <c r="L771" s="17"/>
      <c r="M771" s="17"/>
      <c r="N771" s="64" t="s">
        <v>4270</v>
      </c>
      <c r="O771" s="64" t="s">
        <v>4376</v>
      </c>
      <c r="P771" s="170"/>
      <c r="Q771" s="149"/>
      <c r="R771" s="149"/>
      <c r="S771" s="149"/>
      <c r="T771" s="149"/>
      <c r="U771" s="149"/>
      <c r="V771" s="149"/>
      <c r="W771" s="149"/>
      <c r="X771" s="64" t="s">
        <v>3810</v>
      </c>
      <c r="Y771" s="68"/>
      <c r="Z771" s="68"/>
    </row>
    <row r="772" ht="15.0" customHeight="1">
      <c r="A772" s="206">
        <v>45913.0</v>
      </c>
      <c r="B772" s="201" t="s">
        <v>4923</v>
      </c>
      <c r="C772" s="45" t="s">
        <v>4468</v>
      </c>
      <c r="D772" s="140" t="str">
        <f>IFERROR(VLOOKUP(C772,Stock,3,FALSE),"")</f>
        <v>Honda CR-V 17-23 5th Gen (Honda)</v>
      </c>
      <c r="E772" s="45">
        <v>1.0</v>
      </c>
      <c r="F772" s="198">
        <v>3750000.0</v>
      </c>
      <c r="G772" s="142">
        <f t="shared" si="40"/>
        <v>3750000</v>
      </c>
      <c r="H772" s="142"/>
      <c r="I772" s="143">
        <f t="shared" si="38"/>
        <v>3750000</v>
      </c>
      <c r="J772" s="144">
        <f t="shared" si="39"/>
        <v>3750000</v>
      </c>
      <c r="K772" s="108" t="s">
        <v>4924</v>
      </c>
      <c r="L772" s="199" t="s">
        <v>4925</v>
      </c>
      <c r="M772" s="17"/>
      <c r="N772" s="64" t="s">
        <v>4926</v>
      </c>
      <c r="O772" s="64" t="s">
        <v>3536</v>
      </c>
      <c r="P772" s="147" t="s">
        <v>4672</v>
      </c>
      <c r="Q772" s="149"/>
      <c r="R772" s="141"/>
      <c r="S772" s="141"/>
      <c r="T772" s="141">
        <v>50000.0</v>
      </c>
      <c r="U772" s="149"/>
      <c r="V772" s="149"/>
      <c r="W772" s="149"/>
      <c r="X772" s="64" t="s">
        <v>3810</v>
      </c>
      <c r="Y772" s="68"/>
      <c r="Z772" s="68"/>
    </row>
    <row r="773" ht="15.0" customHeight="1">
      <c r="A773" s="206">
        <v>45913.0</v>
      </c>
      <c r="B773" s="201" t="s">
        <v>4923</v>
      </c>
      <c r="C773" s="45" t="s">
        <v>2770</v>
      </c>
      <c r="D773" s="140" t="str">
        <f>IFERROR(VLOOKUP(C773,Stock,3,FALSE),"")</f>
        <v>Transport</v>
      </c>
      <c r="E773" s="45">
        <v>1.0</v>
      </c>
      <c r="F773" s="198">
        <v>200000.0</v>
      </c>
      <c r="G773" s="142">
        <f t="shared" si="40"/>
        <v>200000</v>
      </c>
      <c r="H773" s="142"/>
      <c r="I773" s="143">
        <f t="shared" si="38"/>
        <v>200000</v>
      </c>
      <c r="J773" s="144">
        <f t="shared" si="39"/>
        <v>200000</v>
      </c>
      <c r="K773" s="108" t="s">
        <v>4924</v>
      </c>
      <c r="L773" s="199" t="s">
        <v>4925</v>
      </c>
      <c r="M773" s="17"/>
      <c r="N773" s="64" t="s">
        <v>4926</v>
      </c>
      <c r="O773" s="64" t="s">
        <v>3536</v>
      </c>
      <c r="P773" s="147" t="s">
        <v>4672</v>
      </c>
      <c r="Q773" s="149"/>
      <c r="R773" s="141"/>
      <c r="S773" s="141"/>
      <c r="T773" s="141">
        <v>3900000.0</v>
      </c>
      <c r="U773" s="149"/>
      <c r="V773" s="149"/>
      <c r="W773" s="149"/>
      <c r="X773" s="64" t="s">
        <v>3810</v>
      </c>
      <c r="Y773" s="68"/>
      <c r="Z773" s="68"/>
    </row>
    <row r="774" ht="15.0" customHeight="1">
      <c r="A774" s="206">
        <v>45913.0</v>
      </c>
      <c r="B774" s="201" t="s">
        <v>4927</v>
      </c>
      <c r="C774" s="45" t="s">
        <v>3193</v>
      </c>
      <c r="D774" s="140" t="str">
        <f>IFERROR(VLOOKUP(C774,Stock,3,FALSE),"")</f>
        <v>Toyota Avanza / Xenia 11-15 2nd Gen</v>
      </c>
      <c r="E774" s="45">
        <v>1.0</v>
      </c>
      <c r="F774" s="198">
        <v>1000000.0</v>
      </c>
      <c r="G774" s="142">
        <f t="shared" si="40"/>
        <v>1000000</v>
      </c>
      <c r="H774" s="142"/>
      <c r="I774" s="143">
        <f t="shared" si="38"/>
        <v>1000000</v>
      </c>
      <c r="J774" s="144">
        <f t="shared" si="39"/>
        <v>1000000</v>
      </c>
      <c r="K774" s="108" t="s">
        <v>4928</v>
      </c>
      <c r="L774" s="199" t="s">
        <v>4929</v>
      </c>
      <c r="M774" s="17"/>
      <c r="N774" s="64" t="s">
        <v>4930</v>
      </c>
      <c r="O774" s="64" t="s">
        <v>2768</v>
      </c>
      <c r="P774" s="147" t="s">
        <v>4672</v>
      </c>
      <c r="Q774" s="149"/>
      <c r="R774" s="141"/>
      <c r="S774" s="141"/>
      <c r="T774" s="141">
        <v>1000000.0</v>
      </c>
      <c r="U774" s="149"/>
      <c r="V774" s="149"/>
      <c r="W774" s="149"/>
      <c r="X774" s="64" t="s">
        <v>3810</v>
      </c>
      <c r="Y774" s="68"/>
      <c r="Z774" s="68"/>
    </row>
    <row r="775" ht="15.0" customHeight="1">
      <c r="A775" s="206">
        <v>45914.0</v>
      </c>
      <c r="B775" s="201" t="s">
        <v>4931</v>
      </c>
      <c r="C775" s="45" t="s">
        <v>3686</v>
      </c>
      <c r="D775" s="140" t="str">
        <f>IFERROR(VLOOKUP(C775,Stock,3,FALSE),"")</f>
        <v>Honda Jazz 01-07 1st Gen</v>
      </c>
      <c r="E775" s="45">
        <v>1.0</v>
      </c>
      <c r="F775" s="198">
        <v>1322000.0</v>
      </c>
      <c r="G775" s="142">
        <f t="shared" si="40"/>
        <v>1322000</v>
      </c>
      <c r="H775" s="142"/>
      <c r="I775" s="143">
        <f t="shared" si="38"/>
        <v>1322000</v>
      </c>
      <c r="J775" s="144">
        <f t="shared" si="39"/>
        <v>1322000</v>
      </c>
      <c r="K775" s="108" t="s">
        <v>4932</v>
      </c>
      <c r="L775" s="199" t="s">
        <v>4933</v>
      </c>
      <c r="M775" s="17"/>
      <c r="N775" s="64" t="s">
        <v>4934</v>
      </c>
      <c r="O775" s="64" t="s">
        <v>2813</v>
      </c>
      <c r="P775" s="147" t="s">
        <v>4672</v>
      </c>
      <c r="Q775" s="149"/>
      <c r="R775" s="141"/>
      <c r="S775" s="141"/>
      <c r="T775" s="141">
        <v>30000.0</v>
      </c>
      <c r="U775" s="149"/>
      <c r="V775" s="149"/>
      <c r="W775" s="149"/>
      <c r="X775" s="64" t="s">
        <v>3810</v>
      </c>
      <c r="Y775" s="68"/>
      <c r="Z775" s="68"/>
    </row>
    <row r="776" ht="15.0" customHeight="1">
      <c r="A776" s="206">
        <v>45914.0</v>
      </c>
      <c r="B776" s="201" t="s">
        <v>4931</v>
      </c>
      <c r="C776" s="45" t="s">
        <v>2962</v>
      </c>
      <c r="D776" s="140" t="str">
        <f>IFERROR(VLOOKUP(C776,Stock,3,FALSE),"")</f>
        <v>Lembur</v>
      </c>
      <c r="E776" s="45">
        <v>1.0</v>
      </c>
      <c r="F776" s="198">
        <v>100000.0</v>
      </c>
      <c r="G776" s="142">
        <f t="shared" si="40"/>
        <v>100000</v>
      </c>
      <c r="H776" s="142"/>
      <c r="I776" s="143">
        <f t="shared" si="38"/>
        <v>100000</v>
      </c>
      <c r="J776" s="144">
        <f t="shared" si="39"/>
        <v>100000</v>
      </c>
      <c r="K776" s="108" t="s">
        <v>4932</v>
      </c>
      <c r="L776" s="199" t="s">
        <v>4933</v>
      </c>
      <c r="M776" s="17"/>
      <c r="N776" s="64" t="s">
        <v>4934</v>
      </c>
      <c r="O776" s="64" t="s">
        <v>2813</v>
      </c>
      <c r="P776" s="147" t="s">
        <v>4672</v>
      </c>
      <c r="Q776" s="141">
        <v>1392000.0</v>
      </c>
      <c r="R776" s="149"/>
      <c r="S776" s="149"/>
      <c r="T776" s="149"/>
      <c r="U776" s="149"/>
      <c r="V776" s="149"/>
      <c r="W776" s="149"/>
      <c r="X776" s="64" t="s">
        <v>3810</v>
      </c>
      <c r="Y776" s="68"/>
      <c r="Z776" s="68"/>
    </row>
    <row r="777" ht="15.0" customHeight="1">
      <c r="A777" s="206">
        <v>45915.0</v>
      </c>
      <c r="B777" s="201" t="s">
        <v>4935</v>
      </c>
      <c r="C777" s="45" t="s">
        <v>3013</v>
      </c>
      <c r="D777" s="140" t="str">
        <f>IFERROR(VLOOKUP(C777,Stock,3,FALSE),"")</f>
        <v>Honda Freed 08-16 1st Gen (Honda)</v>
      </c>
      <c r="E777" s="45">
        <v>1.0</v>
      </c>
      <c r="F777" s="202"/>
      <c r="G777" s="142">
        <f t="shared" si="40"/>
        <v>0</v>
      </c>
      <c r="H777" s="142"/>
      <c r="I777" s="143">
        <f t="shared" si="38"/>
        <v>0</v>
      </c>
      <c r="J777" s="144">
        <f t="shared" si="39"/>
        <v>0</v>
      </c>
      <c r="K777" s="108" t="s">
        <v>4509</v>
      </c>
      <c r="L777" s="17"/>
      <c r="M777" s="17"/>
      <c r="N777" s="68"/>
      <c r="O777" s="68"/>
      <c r="P777" s="170"/>
      <c r="Q777" s="149"/>
      <c r="R777" s="149"/>
      <c r="S777" s="149"/>
      <c r="T777" s="149"/>
      <c r="U777" s="149"/>
      <c r="V777" s="149"/>
      <c r="W777" s="149"/>
      <c r="X777" s="64" t="s">
        <v>3810</v>
      </c>
      <c r="Y777" s="68"/>
      <c r="Z777" s="68"/>
    </row>
    <row r="778" ht="15.0" customHeight="1">
      <c r="A778" s="206">
        <v>45915.0</v>
      </c>
      <c r="B778" s="201" t="s">
        <v>4935</v>
      </c>
      <c r="C778" s="148" t="s">
        <v>4936</v>
      </c>
      <c r="D778" s="140" t="str">
        <f>IFERROR(VLOOKUP(C778,Stock,3,FALSE),"")</f>
        <v>Toyota Sienta 15-</v>
      </c>
      <c r="E778" s="45">
        <v>1.0</v>
      </c>
      <c r="F778" s="202"/>
      <c r="G778" s="142">
        <f t="shared" si="40"/>
        <v>0</v>
      </c>
      <c r="H778" s="142"/>
      <c r="I778" s="143">
        <f t="shared" si="38"/>
        <v>0</v>
      </c>
      <c r="J778" s="144">
        <f t="shared" si="39"/>
        <v>0</v>
      </c>
      <c r="K778" s="108" t="s">
        <v>4509</v>
      </c>
      <c r="L778" s="17"/>
      <c r="M778" s="17"/>
      <c r="N778" s="68"/>
      <c r="O778" s="68"/>
      <c r="P778" s="170"/>
      <c r="Q778" s="149"/>
      <c r="R778" s="149"/>
      <c r="S778" s="149"/>
      <c r="T778" s="149"/>
      <c r="U778" s="149"/>
      <c r="V778" s="149"/>
      <c r="W778" s="149"/>
      <c r="X778" s="64" t="s">
        <v>3810</v>
      </c>
      <c r="Y778" s="68"/>
      <c r="Z778" s="68"/>
    </row>
    <row r="779" ht="15.0" customHeight="1">
      <c r="A779" s="206">
        <v>45915.0</v>
      </c>
      <c r="B779" s="201" t="s">
        <v>4937</v>
      </c>
      <c r="C779" s="45" t="s">
        <v>4938</v>
      </c>
      <c r="D779" s="140" t="str">
        <f>IFERROR(VLOOKUP(C779,Stock,3,FALSE),"")</f>
        <v>Toyota Dyna Rino BY40 / Delta</v>
      </c>
      <c r="E779" s="45">
        <v>1.0</v>
      </c>
      <c r="F779" s="198">
        <v>1997500.0</v>
      </c>
      <c r="G779" s="142">
        <f t="shared" si="40"/>
        <v>1997500</v>
      </c>
      <c r="H779" s="142"/>
      <c r="I779" s="143">
        <f t="shared" si="38"/>
        <v>1997500</v>
      </c>
      <c r="J779" s="144">
        <f t="shared" si="39"/>
        <v>1997500</v>
      </c>
      <c r="K779" s="108" t="s">
        <v>4939</v>
      </c>
      <c r="L779" s="199" t="s">
        <v>4940</v>
      </c>
      <c r="M779" s="17"/>
      <c r="N779" s="64" t="s">
        <v>4941</v>
      </c>
      <c r="O779" s="64" t="s">
        <v>2813</v>
      </c>
      <c r="P779" s="147" t="s">
        <v>4672</v>
      </c>
      <c r="Q779" s="141">
        <v>1997500.0</v>
      </c>
      <c r="R779" s="149"/>
      <c r="S779" s="149"/>
      <c r="T779" s="149"/>
      <c r="U779" s="149"/>
      <c r="V779" s="149"/>
      <c r="W779" s="149"/>
      <c r="X779" s="64" t="s">
        <v>3810</v>
      </c>
      <c r="Y779" s="68"/>
      <c r="Z779" s="68"/>
    </row>
    <row r="780" ht="15.0" customHeight="1">
      <c r="A780" s="206">
        <v>45915.0</v>
      </c>
      <c r="B780" s="201" t="s">
        <v>4942</v>
      </c>
      <c r="C780" s="45" t="s">
        <v>4017</v>
      </c>
      <c r="D780" s="140" t="str">
        <f>IFERROR(VLOOKUP(C780,Stock,3,FALSE),"")</f>
        <v>Black Phantom Solar Gard</v>
      </c>
      <c r="E780" s="45">
        <v>1.0</v>
      </c>
      <c r="F780" s="198">
        <v>1375000.0</v>
      </c>
      <c r="G780" s="142">
        <f t="shared" si="40"/>
        <v>1375000</v>
      </c>
      <c r="H780" s="142"/>
      <c r="I780" s="143">
        <f t="shared" si="38"/>
        <v>1375000</v>
      </c>
      <c r="J780" s="144">
        <f t="shared" si="39"/>
        <v>1375000</v>
      </c>
      <c r="K780" s="108" t="s">
        <v>4943</v>
      </c>
      <c r="L780" s="199" t="s">
        <v>4944</v>
      </c>
      <c r="M780" s="17"/>
      <c r="N780" s="64" t="s">
        <v>4945</v>
      </c>
      <c r="O780" s="64" t="s">
        <v>2813</v>
      </c>
      <c r="P780" s="147" t="s">
        <v>4672</v>
      </c>
      <c r="Q780" s="149"/>
      <c r="R780" s="141"/>
      <c r="S780" s="141"/>
      <c r="T780" s="141">
        <v>1375000.0</v>
      </c>
      <c r="U780" s="149"/>
      <c r="V780" s="149"/>
      <c r="W780" s="149"/>
      <c r="X780" s="64" t="s">
        <v>3810</v>
      </c>
      <c r="Y780" s="68"/>
      <c r="Z780" s="68"/>
    </row>
    <row r="781" ht="15.0" customHeight="1">
      <c r="A781" s="206">
        <v>45915.0</v>
      </c>
      <c r="B781" s="201" t="s">
        <v>4946</v>
      </c>
      <c r="C781" s="64" t="s">
        <v>2778</v>
      </c>
      <c r="D781" s="140" t="str">
        <f>IFERROR(VLOOKUP(C781,Stock,3,FALSE),"")</f>
        <v>Bongkar Pasang Kaca Mobil Depan</v>
      </c>
      <c r="E781" s="45">
        <v>1.0</v>
      </c>
      <c r="F781" s="198">
        <v>600000.0</v>
      </c>
      <c r="G781" s="142">
        <f t="shared" si="40"/>
        <v>600000</v>
      </c>
      <c r="H781" s="142"/>
      <c r="I781" s="143">
        <f t="shared" si="38"/>
        <v>600000</v>
      </c>
      <c r="J781" s="144">
        <f t="shared" si="39"/>
        <v>600000</v>
      </c>
      <c r="K781" s="108" t="s">
        <v>4947</v>
      </c>
      <c r="L781" s="199" t="s">
        <v>4948</v>
      </c>
      <c r="M781" s="17"/>
      <c r="N781" s="64" t="s">
        <v>4949</v>
      </c>
      <c r="O781" s="64" t="s">
        <v>2813</v>
      </c>
      <c r="P781" s="147" t="s">
        <v>4672</v>
      </c>
      <c r="Q781" s="149"/>
      <c r="R781" s="141"/>
      <c r="S781" s="141"/>
      <c r="T781" s="141">
        <v>30000.0</v>
      </c>
      <c r="U781" s="149"/>
      <c r="V781" s="149"/>
      <c r="W781" s="149"/>
      <c r="X781" s="64" t="s">
        <v>3810</v>
      </c>
      <c r="Y781" s="68"/>
      <c r="Z781" s="68"/>
    </row>
    <row r="782" ht="15.0" customHeight="1">
      <c r="A782" s="206">
        <v>45915.0</v>
      </c>
      <c r="B782" s="201" t="s">
        <v>4946</v>
      </c>
      <c r="C782" s="45" t="s">
        <v>2770</v>
      </c>
      <c r="D782" s="140" t="str">
        <f>IFERROR(VLOOKUP(C782,Stock,3,FALSE),"")</f>
        <v>Transport</v>
      </c>
      <c r="E782" s="45">
        <v>1.0</v>
      </c>
      <c r="F782" s="198">
        <v>100000.0</v>
      </c>
      <c r="G782" s="142">
        <f t="shared" si="40"/>
        <v>100000</v>
      </c>
      <c r="H782" s="142"/>
      <c r="I782" s="143">
        <f t="shared" si="38"/>
        <v>100000</v>
      </c>
      <c r="J782" s="144">
        <f t="shared" si="39"/>
        <v>100000</v>
      </c>
      <c r="K782" s="108" t="s">
        <v>4947</v>
      </c>
      <c r="L782" s="199" t="s">
        <v>4948</v>
      </c>
      <c r="M782" s="17"/>
      <c r="N782" s="64" t="s">
        <v>4949</v>
      </c>
      <c r="O782" s="64" t="s">
        <v>2813</v>
      </c>
      <c r="P782" s="147" t="s">
        <v>4672</v>
      </c>
      <c r="Q782" s="149"/>
      <c r="R782" s="141"/>
      <c r="S782" s="141"/>
      <c r="T782" s="141">
        <v>670000.0</v>
      </c>
      <c r="U782" s="149"/>
      <c r="V782" s="149"/>
      <c r="W782" s="149"/>
      <c r="X782" s="64" t="s">
        <v>3810</v>
      </c>
      <c r="Y782" s="68"/>
      <c r="Z782" s="68"/>
    </row>
    <row r="783" ht="15.0" customHeight="1">
      <c r="A783" s="206">
        <v>45915.0</v>
      </c>
      <c r="B783" s="201" t="s">
        <v>4950</v>
      </c>
      <c r="C783" s="45" t="s">
        <v>3021</v>
      </c>
      <c r="D783" s="140" t="str">
        <f>IFERROR(VLOOKUP(C783,Stock,3,FALSE),"")</f>
        <v>Honda Freed 08-16 1st gen</v>
      </c>
      <c r="E783" s="45">
        <v>1.0</v>
      </c>
      <c r="F783" s="198">
        <v>1496000.0</v>
      </c>
      <c r="G783" s="142">
        <f t="shared" si="40"/>
        <v>1496000</v>
      </c>
      <c r="H783" s="142"/>
      <c r="I783" s="143">
        <f t="shared" si="38"/>
        <v>1496000</v>
      </c>
      <c r="J783" s="144">
        <f t="shared" si="39"/>
        <v>1496000</v>
      </c>
      <c r="K783" s="108" t="s">
        <v>4951</v>
      </c>
      <c r="L783" s="199" t="s">
        <v>4952</v>
      </c>
      <c r="M783" s="17"/>
      <c r="N783" s="64" t="s">
        <v>4953</v>
      </c>
      <c r="O783" s="64" t="s">
        <v>2807</v>
      </c>
      <c r="P783" s="147" t="s">
        <v>4672</v>
      </c>
      <c r="Q783" s="149"/>
      <c r="R783" s="141"/>
      <c r="S783" s="141"/>
      <c r="T783" s="141">
        <v>30000.0</v>
      </c>
      <c r="U783" s="149"/>
      <c r="V783" s="149"/>
      <c r="W783" s="149"/>
      <c r="X783" s="64" t="s">
        <v>3810</v>
      </c>
      <c r="Y783" s="68"/>
      <c r="Z783" s="68"/>
    </row>
    <row r="784" ht="15.0" customHeight="1">
      <c r="A784" s="206">
        <v>45915.0</v>
      </c>
      <c r="B784" s="201" t="s">
        <v>4950</v>
      </c>
      <c r="C784" s="45" t="s">
        <v>2770</v>
      </c>
      <c r="D784" s="140" t="str">
        <f>IFERROR(VLOOKUP(C784,Stock,3,FALSE),"")</f>
        <v>Transport</v>
      </c>
      <c r="E784" s="45">
        <v>1.0</v>
      </c>
      <c r="F784" s="198">
        <v>150000.0</v>
      </c>
      <c r="G784" s="142">
        <f t="shared" si="40"/>
        <v>150000</v>
      </c>
      <c r="H784" s="142"/>
      <c r="I784" s="143">
        <f t="shared" si="38"/>
        <v>150000</v>
      </c>
      <c r="J784" s="144">
        <f t="shared" si="39"/>
        <v>150000</v>
      </c>
      <c r="K784" s="108" t="s">
        <v>4951</v>
      </c>
      <c r="L784" s="199" t="s">
        <v>4952</v>
      </c>
      <c r="M784" s="17"/>
      <c r="N784" s="64" t="s">
        <v>4953</v>
      </c>
      <c r="O784" s="64" t="s">
        <v>2807</v>
      </c>
      <c r="P784" s="147" t="s">
        <v>4672</v>
      </c>
      <c r="Q784" s="149"/>
      <c r="R784" s="141"/>
      <c r="S784" s="141"/>
      <c r="T784" s="141">
        <v>1616000.0</v>
      </c>
      <c r="U784" s="149"/>
      <c r="V784" s="149"/>
      <c r="W784" s="149"/>
      <c r="X784" s="64" t="s">
        <v>3810</v>
      </c>
      <c r="Y784" s="68"/>
      <c r="Z784" s="68"/>
    </row>
    <row r="785" ht="15.0" customHeight="1">
      <c r="A785" s="206">
        <v>45915.0</v>
      </c>
      <c r="B785" s="201" t="s">
        <v>4954</v>
      </c>
      <c r="C785" s="45" t="s">
        <v>4955</v>
      </c>
      <c r="D785" s="140" t="str">
        <f>IFERROR(VLOOKUP(C785,Stock,3,FALSE),"")</f>
        <v>Kia Sportage 04-10 JE/KM</v>
      </c>
      <c r="E785" s="45">
        <v>1.0</v>
      </c>
      <c r="F785" s="198">
        <v>2050000.0</v>
      </c>
      <c r="G785" s="142">
        <f t="shared" si="40"/>
        <v>2050000</v>
      </c>
      <c r="H785" s="143">
        <v>230000.0</v>
      </c>
      <c r="I785" s="143">
        <f t="shared" si="38"/>
        <v>1820000</v>
      </c>
      <c r="J785" s="144">
        <f t="shared" si="39"/>
        <v>1820000</v>
      </c>
      <c r="K785" s="108" t="s">
        <v>4956</v>
      </c>
      <c r="L785" s="199" t="s">
        <v>4957</v>
      </c>
      <c r="M785" s="17"/>
      <c r="N785" s="64" t="s">
        <v>4270</v>
      </c>
      <c r="O785" s="64" t="s">
        <v>4958</v>
      </c>
      <c r="P785" s="147" t="s">
        <v>4959</v>
      </c>
      <c r="Q785" s="149"/>
      <c r="R785" s="149"/>
      <c r="S785" s="149"/>
      <c r="T785" s="149"/>
      <c r="U785" s="141">
        <v>2020000.0</v>
      </c>
      <c r="V785" s="149"/>
      <c r="W785" s="149"/>
      <c r="X785" s="64" t="s">
        <v>3810</v>
      </c>
      <c r="Y785" s="68"/>
      <c r="Z785" s="68"/>
    </row>
    <row r="786" ht="15.0" customHeight="1">
      <c r="A786" s="206">
        <v>45915.0</v>
      </c>
      <c r="B786" s="201" t="s">
        <v>4954</v>
      </c>
      <c r="C786" s="45" t="s">
        <v>2835</v>
      </c>
      <c r="D786" s="140" t="str">
        <f>IFERROR(VLOOKUP(C786,Stock,3,FALSE),"")</f>
        <v>Peti Kayu</v>
      </c>
      <c r="E786" s="45">
        <v>1.0</v>
      </c>
      <c r="F786" s="198">
        <v>200000.0</v>
      </c>
      <c r="G786" s="142">
        <f t="shared" si="40"/>
        <v>200000</v>
      </c>
      <c r="H786" s="142"/>
      <c r="I786" s="143">
        <f t="shared" si="38"/>
        <v>200000</v>
      </c>
      <c r="J786" s="144">
        <f t="shared" si="39"/>
        <v>200000</v>
      </c>
      <c r="K786" s="108" t="s">
        <v>4956</v>
      </c>
      <c r="L786" s="199" t="s">
        <v>4957</v>
      </c>
      <c r="M786" s="17"/>
      <c r="N786" s="64" t="s">
        <v>4270</v>
      </c>
      <c r="O786" s="64" t="s">
        <v>4958</v>
      </c>
      <c r="P786" s="147" t="s">
        <v>4959</v>
      </c>
      <c r="Q786" s="149"/>
      <c r="R786" s="141"/>
      <c r="S786" s="141"/>
      <c r="T786" s="141"/>
      <c r="U786" s="149"/>
      <c r="V786" s="149"/>
      <c r="W786" s="149"/>
      <c r="X786" s="64" t="s">
        <v>3810</v>
      </c>
      <c r="Y786" s="68"/>
      <c r="Z786" s="68"/>
    </row>
    <row r="787" ht="15.0" customHeight="1">
      <c r="A787" s="206">
        <v>45916.0</v>
      </c>
      <c r="B787" s="201" t="s">
        <v>4960</v>
      </c>
      <c r="C787" s="45" t="s">
        <v>4144</v>
      </c>
      <c r="D787" s="140" t="str">
        <f>IFERROR(VLOOKUP(C787,Stock,3,FALSE),"")</f>
        <v>Toyota Rush / Terios 06-17</v>
      </c>
      <c r="E787" s="45">
        <v>1.0</v>
      </c>
      <c r="F787" s="198">
        <v>1348000.0</v>
      </c>
      <c r="G787" s="142">
        <f t="shared" si="40"/>
        <v>1348000</v>
      </c>
      <c r="H787" s="142"/>
      <c r="I787" s="143">
        <f t="shared" si="38"/>
        <v>1348000</v>
      </c>
      <c r="J787" s="144">
        <f t="shared" si="39"/>
        <v>1348000</v>
      </c>
      <c r="K787" s="108" t="s">
        <v>4961</v>
      </c>
      <c r="L787" s="199" t="s">
        <v>4962</v>
      </c>
      <c r="M787" s="17"/>
      <c r="N787" s="64" t="s">
        <v>4963</v>
      </c>
      <c r="O787" s="64" t="s">
        <v>2813</v>
      </c>
      <c r="P787" s="147" t="s">
        <v>4672</v>
      </c>
      <c r="Q787" s="149"/>
      <c r="R787" s="141"/>
      <c r="S787" s="141"/>
      <c r="T787" s="141">
        <v>1348000.0</v>
      </c>
      <c r="U787" s="149"/>
      <c r="V787" s="149"/>
      <c r="W787" s="149"/>
      <c r="X787" s="64" t="s">
        <v>3810</v>
      </c>
      <c r="Y787" s="68"/>
      <c r="Z787" s="68"/>
    </row>
    <row r="788" ht="15.0" customHeight="1">
      <c r="A788" s="206">
        <v>45916.0</v>
      </c>
      <c r="B788" s="201" t="s">
        <v>4964</v>
      </c>
      <c r="C788" s="45" t="s">
        <v>4965</v>
      </c>
      <c r="D788" s="140" t="str">
        <f>IFERROR(VLOOKUP(C788,Stock,3,FALSE),"")</f>
        <v>Nissan Serena 10-19 MKIV C26</v>
      </c>
      <c r="E788" s="45">
        <v>1.0</v>
      </c>
      <c r="F788" s="198">
        <v>1586000.0</v>
      </c>
      <c r="G788" s="142">
        <f t="shared" si="40"/>
        <v>1586000</v>
      </c>
      <c r="H788" s="143">
        <v>200000.0</v>
      </c>
      <c r="I788" s="143">
        <f t="shared" si="38"/>
        <v>1386000</v>
      </c>
      <c r="J788" s="144">
        <f t="shared" si="39"/>
        <v>1386000</v>
      </c>
      <c r="K788" s="108" t="s">
        <v>4966</v>
      </c>
      <c r="L788" s="199" t="s">
        <v>4967</v>
      </c>
      <c r="M788" s="17"/>
      <c r="N788" s="64" t="s">
        <v>4968</v>
      </c>
      <c r="O788" s="64" t="s">
        <v>2813</v>
      </c>
      <c r="P788" s="147" t="s">
        <v>4672</v>
      </c>
      <c r="Q788" s="149"/>
      <c r="R788" s="141"/>
      <c r="S788" s="141"/>
      <c r="T788" s="141">
        <v>1386000.0</v>
      </c>
      <c r="U788" s="149"/>
      <c r="V788" s="149"/>
      <c r="W788" s="149"/>
      <c r="X788" s="64" t="s">
        <v>3810</v>
      </c>
      <c r="Y788" s="68"/>
      <c r="Z788" s="68"/>
    </row>
    <row r="789" ht="15.0" customHeight="1">
      <c r="A789" s="206">
        <v>45916.0</v>
      </c>
      <c r="B789" s="201" t="s">
        <v>4969</v>
      </c>
      <c r="C789" s="45" t="s">
        <v>4970</v>
      </c>
      <c r="D789" s="140" t="str">
        <f>IFERROR(VLOOKUP(C789,Stock,3,FALSE),"")</f>
        <v>Chevrolet TrailBlazer 13- / Isuzu MUX</v>
      </c>
      <c r="E789" s="45">
        <v>1.0</v>
      </c>
      <c r="F789" s="198">
        <v>2128000.0</v>
      </c>
      <c r="G789" s="142">
        <f t="shared" si="40"/>
        <v>2128000</v>
      </c>
      <c r="H789" s="142"/>
      <c r="I789" s="143">
        <f t="shared" si="38"/>
        <v>2128000</v>
      </c>
      <c r="J789" s="144">
        <f t="shared" si="39"/>
        <v>2128000</v>
      </c>
      <c r="K789" s="108" t="s">
        <v>4971</v>
      </c>
      <c r="L789" s="199" t="s">
        <v>4972</v>
      </c>
      <c r="M789" s="17"/>
      <c r="N789" s="64" t="s">
        <v>4270</v>
      </c>
      <c r="O789" s="64" t="s">
        <v>4175</v>
      </c>
      <c r="P789" s="147" t="s">
        <v>4672</v>
      </c>
      <c r="Q789" s="149"/>
      <c r="R789" s="141"/>
      <c r="S789" s="141"/>
      <c r="T789" s="141">
        <v>50000.0</v>
      </c>
      <c r="U789" s="149"/>
      <c r="V789" s="149"/>
      <c r="W789" s="149"/>
      <c r="X789" s="64" t="s">
        <v>3810</v>
      </c>
      <c r="Y789" s="68"/>
      <c r="Z789" s="68"/>
    </row>
    <row r="790" ht="15.0" customHeight="1">
      <c r="A790" s="206">
        <v>45916.0</v>
      </c>
      <c r="B790" s="201" t="s">
        <v>4969</v>
      </c>
      <c r="C790" s="45" t="s">
        <v>4973</v>
      </c>
      <c r="D790" s="64" t="s">
        <v>273</v>
      </c>
      <c r="E790" s="45">
        <v>1.0</v>
      </c>
      <c r="F790" s="198">
        <v>1150000.0</v>
      </c>
      <c r="G790" s="142">
        <f t="shared" si="40"/>
        <v>1150000</v>
      </c>
      <c r="H790" s="142"/>
      <c r="I790" s="143">
        <f t="shared" si="38"/>
        <v>1150000</v>
      </c>
      <c r="J790" s="144">
        <f t="shared" si="39"/>
        <v>1150000</v>
      </c>
      <c r="K790" s="108" t="s">
        <v>4971</v>
      </c>
      <c r="L790" s="199" t="s">
        <v>4972</v>
      </c>
      <c r="M790" s="17"/>
      <c r="N790" s="64" t="s">
        <v>4270</v>
      </c>
      <c r="O790" s="64" t="s">
        <v>4175</v>
      </c>
      <c r="P790" s="147" t="s">
        <v>4672</v>
      </c>
      <c r="Q790" s="149"/>
      <c r="R790" s="141"/>
      <c r="S790" s="141"/>
      <c r="T790" s="141">
        <v>3228000.0</v>
      </c>
      <c r="U790" s="149"/>
      <c r="V790" s="149"/>
      <c r="W790" s="149"/>
      <c r="X790" s="64" t="s">
        <v>3810</v>
      </c>
      <c r="Y790" s="68"/>
      <c r="Z790" s="68"/>
    </row>
    <row r="791" ht="15.0" customHeight="1">
      <c r="A791" s="206">
        <v>45916.0</v>
      </c>
      <c r="B791" s="201" t="s">
        <v>4974</v>
      </c>
      <c r="C791" s="45" t="s">
        <v>4975</v>
      </c>
      <c r="D791" s="140" t="str">
        <f>IFERROR(VLOOKUP(C791,Stock,3,FALSE),"")</f>
        <v>VW Scirocco III 3D Coupe 08-</v>
      </c>
      <c r="E791" s="45">
        <v>1.0</v>
      </c>
      <c r="F791" s="198">
        <v>4450000.0</v>
      </c>
      <c r="G791" s="142">
        <f t="shared" si="40"/>
        <v>4450000</v>
      </c>
      <c r="H791" s="142"/>
      <c r="I791" s="143">
        <f t="shared" si="38"/>
        <v>4450000</v>
      </c>
      <c r="J791" s="144">
        <f t="shared" si="39"/>
        <v>4450000</v>
      </c>
      <c r="K791" s="108" t="s">
        <v>4976</v>
      </c>
      <c r="L791" s="199" t="s">
        <v>4977</v>
      </c>
      <c r="M791" s="17"/>
      <c r="N791" s="64" t="s">
        <v>4978</v>
      </c>
      <c r="O791" s="64" t="s">
        <v>2813</v>
      </c>
      <c r="P791" s="147" t="s">
        <v>4672</v>
      </c>
      <c r="Q791" s="149"/>
      <c r="R791" s="141"/>
      <c r="S791" s="141"/>
      <c r="T791" s="141">
        <v>50000.0</v>
      </c>
      <c r="U791" s="149"/>
      <c r="V791" s="149"/>
      <c r="W791" s="149"/>
      <c r="X791" s="64" t="s">
        <v>3810</v>
      </c>
      <c r="Y791" s="68"/>
      <c r="Z791" s="68"/>
    </row>
    <row r="792" ht="15.0" customHeight="1">
      <c r="A792" s="206">
        <v>45916.0</v>
      </c>
      <c r="B792" s="201" t="s">
        <v>4974</v>
      </c>
      <c r="C792" s="45" t="s">
        <v>4979</v>
      </c>
      <c r="D792" s="140" t="str">
        <f>IFERROR(VLOOKUP(C792,Stock,3,FALSE),"")</f>
        <v>255 Ultra + Actv-100 Application</v>
      </c>
      <c r="E792" s="45">
        <v>1.0</v>
      </c>
      <c r="F792" s="198">
        <v>200000.0</v>
      </c>
      <c r="G792" s="142">
        <f t="shared" si="40"/>
        <v>200000</v>
      </c>
      <c r="H792" s="142"/>
      <c r="I792" s="143">
        <f t="shared" si="38"/>
        <v>200000</v>
      </c>
      <c r="J792" s="144">
        <f t="shared" si="39"/>
        <v>200000</v>
      </c>
      <c r="K792" s="108" t="s">
        <v>4976</v>
      </c>
      <c r="L792" s="199" t="s">
        <v>4977</v>
      </c>
      <c r="M792" s="17"/>
      <c r="N792" s="64" t="s">
        <v>4978</v>
      </c>
      <c r="O792" s="64" t="s">
        <v>2813</v>
      </c>
      <c r="P792" s="147" t="s">
        <v>4672</v>
      </c>
      <c r="Q792" s="149"/>
      <c r="R792" s="141"/>
      <c r="S792" s="141"/>
      <c r="T792" s="141">
        <v>4600000.0</v>
      </c>
      <c r="U792" s="149"/>
      <c r="V792" s="149"/>
      <c r="W792" s="149"/>
      <c r="X792" s="64" t="s">
        <v>3810</v>
      </c>
      <c r="Y792" s="68"/>
      <c r="Z792" s="68"/>
    </row>
    <row r="793" ht="15.0" customHeight="1">
      <c r="A793" s="206">
        <v>45917.0</v>
      </c>
      <c r="B793" s="201" t="s">
        <v>4980</v>
      </c>
      <c r="C793" s="45" t="s">
        <v>4981</v>
      </c>
      <c r="D793" s="140" t="str">
        <f>IFERROR(VLOOKUP(C793,Stock,3,FALSE),"")</f>
        <v>Toyota Hi-Ace 04-20 Commuter</v>
      </c>
      <c r="E793" s="45">
        <v>1.0</v>
      </c>
      <c r="F793" s="198">
        <v>1310000.0</v>
      </c>
      <c r="G793" s="142">
        <f t="shared" si="40"/>
        <v>1310000</v>
      </c>
      <c r="H793" s="142"/>
      <c r="I793" s="143">
        <f t="shared" si="38"/>
        <v>1310000</v>
      </c>
      <c r="J793" s="144">
        <f t="shared" si="39"/>
        <v>1310000</v>
      </c>
      <c r="K793" s="108" t="s">
        <v>4982</v>
      </c>
      <c r="L793" s="199" t="s">
        <v>4983</v>
      </c>
      <c r="M793" s="17"/>
      <c r="N793" s="64" t="s">
        <v>4984</v>
      </c>
      <c r="O793" s="64" t="s">
        <v>2813</v>
      </c>
      <c r="P793" s="147" t="s">
        <v>4672</v>
      </c>
      <c r="Q793" s="149"/>
      <c r="R793" s="141"/>
      <c r="S793" s="141"/>
      <c r="T793" s="141">
        <v>1310000.0</v>
      </c>
      <c r="U793" s="149"/>
      <c r="V793" s="149"/>
      <c r="W793" s="149"/>
      <c r="X793" s="64" t="s">
        <v>3810</v>
      </c>
      <c r="Y793" s="68"/>
      <c r="Z793" s="68"/>
    </row>
    <row r="794" ht="15.0" customHeight="1">
      <c r="A794" s="206">
        <v>45917.0</v>
      </c>
      <c r="B794" s="201" t="s">
        <v>4985</v>
      </c>
      <c r="C794" s="64" t="s">
        <v>2869</v>
      </c>
      <c r="D794" s="140" t="str">
        <f>IFERROR(VLOOKUP(C794,Stock,3,FALSE),"")</f>
        <v>Daihatsu Gran Max / Luxio 07-</v>
      </c>
      <c r="E794" s="45">
        <v>1.0</v>
      </c>
      <c r="F794" s="198">
        <v>1000000.0</v>
      </c>
      <c r="G794" s="142">
        <f t="shared" si="40"/>
        <v>1000000</v>
      </c>
      <c r="H794" s="142"/>
      <c r="I794" s="143">
        <f t="shared" si="38"/>
        <v>1000000</v>
      </c>
      <c r="J794" s="144">
        <f t="shared" si="39"/>
        <v>1000000</v>
      </c>
      <c r="K794" s="108" t="s">
        <v>4986</v>
      </c>
      <c r="L794" s="199" t="s">
        <v>4987</v>
      </c>
      <c r="M794" s="17"/>
      <c r="N794" s="64" t="s">
        <v>4988</v>
      </c>
      <c r="O794" s="64" t="s">
        <v>2813</v>
      </c>
      <c r="P794" s="147" t="s">
        <v>4672</v>
      </c>
      <c r="Q794" s="149"/>
      <c r="R794" s="141"/>
      <c r="S794" s="141"/>
      <c r="T794" s="141">
        <v>1000000.0</v>
      </c>
      <c r="U794" s="149"/>
      <c r="V794" s="149"/>
      <c r="W794" s="149"/>
      <c r="X794" s="64" t="s">
        <v>3810</v>
      </c>
      <c r="Y794" s="68"/>
      <c r="Z794" s="68"/>
    </row>
    <row r="795" ht="15.0" customHeight="1">
      <c r="A795" s="206">
        <v>45917.0</v>
      </c>
      <c r="B795" s="201" t="s">
        <v>4989</v>
      </c>
      <c r="C795" s="45" t="s">
        <v>4544</v>
      </c>
      <c r="D795" s="140" t="str">
        <f>IFERROR(VLOOKUP(C795,Stock,3,FALSE),"")</f>
        <v>Toyota Avanza / Xenia 03-11 1st Gen</v>
      </c>
      <c r="E795" s="45">
        <v>1.0</v>
      </c>
      <c r="F795" s="198">
        <v>845000.0</v>
      </c>
      <c r="G795" s="142">
        <f t="shared" si="40"/>
        <v>845000</v>
      </c>
      <c r="H795" s="142"/>
      <c r="I795" s="143">
        <f t="shared" si="38"/>
        <v>845000</v>
      </c>
      <c r="J795" s="144">
        <f t="shared" si="39"/>
        <v>845000</v>
      </c>
      <c r="K795" s="108" t="s">
        <v>4990</v>
      </c>
      <c r="L795" s="199" t="s">
        <v>4991</v>
      </c>
      <c r="M795" s="17"/>
      <c r="N795" s="64" t="s">
        <v>4992</v>
      </c>
      <c r="O795" s="64" t="s">
        <v>4993</v>
      </c>
      <c r="P795" s="147" t="s">
        <v>4672</v>
      </c>
      <c r="Q795" s="149"/>
      <c r="R795" s="141"/>
      <c r="S795" s="141"/>
      <c r="T795" s="141">
        <v>30000.0</v>
      </c>
      <c r="U795" s="149"/>
      <c r="V795" s="149"/>
      <c r="W795" s="149"/>
      <c r="X795" s="64" t="s">
        <v>3810</v>
      </c>
      <c r="Y795" s="68"/>
      <c r="Z795" s="68"/>
    </row>
    <row r="796" ht="15.0" customHeight="1">
      <c r="A796" s="206">
        <v>45917.0</v>
      </c>
      <c r="B796" s="201" t="s">
        <v>4989</v>
      </c>
      <c r="C796" s="45" t="s">
        <v>2962</v>
      </c>
      <c r="D796" s="140" t="str">
        <f>IFERROR(VLOOKUP(C796,Stock,3,FALSE),"")</f>
        <v>Lembur</v>
      </c>
      <c r="E796" s="45">
        <v>1.0</v>
      </c>
      <c r="F796" s="198">
        <v>150000.0</v>
      </c>
      <c r="G796" s="142">
        <f t="shared" si="40"/>
        <v>150000</v>
      </c>
      <c r="H796" s="142"/>
      <c r="I796" s="143">
        <f t="shared" si="38"/>
        <v>150000</v>
      </c>
      <c r="J796" s="144">
        <f t="shared" si="39"/>
        <v>150000</v>
      </c>
      <c r="K796" s="108" t="s">
        <v>4990</v>
      </c>
      <c r="L796" s="199" t="s">
        <v>4991</v>
      </c>
      <c r="M796" s="17"/>
      <c r="N796" s="64" t="s">
        <v>4992</v>
      </c>
      <c r="O796" s="64" t="s">
        <v>4993</v>
      </c>
      <c r="P796" s="147" t="s">
        <v>4672</v>
      </c>
      <c r="Q796" s="149"/>
      <c r="R796" s="141"/>
      <c r="S796" s="141"/>
      <c r="T796" s="141">
        <v>965000.0</v>
      </c>
      <c r="U796" s="149"/>
      <c r="V796" s="149"/>
      <c r="W796" s="149"/>
      <c r="X796" s="64" t="s">
        <v>3810</v>
      </c>
      <c r="Y796" s="68"/>
      <c r="Z796" s="68"/>
    </row>
    <row r="797" ht="15.0" customHeight="1">
      <c r="A797" s="206">
        <v>45918.0</v>
      </c>
      <c r="B797" s="201" t="s">
        <v>4994</v>
      </c>
      <c r="C797" s="45" t="s">
        <v>3265</v>
      </c>
      <c r="D797" s="140" t="str">
        <f>IFERROR(VLOOKUP(C797,Stock,3,FALSE),"")</f>
        <v>Honda Jazz 07-13 2nd Gen</v>
      </c>
      <c r="E797" s="45">
        <v>1.0</v>
      </c>
      <c r="F797" s="198">
        <v>1720000.0</v>
      </c>
      <c r="G797" s="142">
        <f t="shared" si="40"/>
        <v>1720000</v>
      </c>
      <c r="H797" s="142"/>
      <c r="I797" s="143">
        <f t="shared" si="38"/>
        <v>1720000</v>
      </c>
      <c r="J797" s="144">
        <f t="shared" si="39"/>
        <v>1720000</v>
      </c>
      <c r="K797" s="108" t="s">
        <v>4995</v>
      </c>
      <c r="L797" s="199" t="s">
        <v>4996</v>
      </c>
      <c r="M797" s="17"/>
      <c r="N797" s="64" t="s">
        <v>4997</v>
      </c>
      <c r="O797" s="64" t="s">
        <v>4712</v>
      </c>
      <c r="P797" s="147" t="s">
        <v>4672</v>
      </c>
      <c r="Q797" s="149"/>
      <c r="R797" s="141"/>
      <c r="S797" s="141"/>
      <c r="T797" s="141">
        <v>860000.0</v>
      </c>
      <c r="U797" s="149"/>
      <c r="V797" s="149"/>
      <c r="W797" s="149"/>
      <c r="X797" s="64" t="s">
        <v>3810</v>
      </c>
      <c r="Y797" s="68"/>
      <c r="Z797" s="68"/>
    </row>
    <row r="798" ht="15.0" customHeight="1">
      <c r="A798" s="206">
        <v>45918.0</v>
      </c>
      <c r="B798" s="201" t="s">
        <v>4994</v>
      </c>
      <c r="C798" s="45" t="s">
        <v>4979</v>
      </c>
      <c r="D798" s="140" t="str">
        <f>IFERROR(VLOOKUP(C798,Stock,3,FALSE),"")</f>
        <v>255 Ultra + Actv-100 Application</v>
      </c>
      <c r="E798" s="45">
        <v>1.0</v>
      </c>
      <c r="F798" s="198">
        <v>200000.0</v>
      </c>
      <c r="G798" s="142">
        <f t="shared" si="40"/>
        <v>200000</v>
      </c>
      <c r="H798" s="142"/>
      <c r="I798" s="143">
        <f t="shared" si="38"/>
        <v>200000</v>
      </c>
      <c r="J798" s="144">
        <f t="shared" si="39"/>
        <v>200000</v>
      </c>
      <c r="K798" s="108" t="s">
        <v>4995</v>
      </c>
      <c r="L798" s="199" t="s">
        <v>4996</v>
      </c>
      <c r="M798" s="17"/>
      <c r="N798" s="64" t="s">
        <v>4997</v>
      </c>
      <c r="O798" s="64" t="s">
        <v>4712</v>
      </c>
      <c r="P798" s="147" t="s">
        <v>4672</v>
      </c>
      <c r="Q798" s="149"/>
      <c r="R798" s="141"/>
      <c r="S798" s="141"/>
      <c r="T798" s="141">
        <v>1060000.0</v>
      </c>
      <c r="U798" s="149"/>
      <c r="V798" s="149"/>
      <c r="W798" s="149"/>
      <c r="X798" s="64" t="s">
        <v>3810</v>
      </c>
      <c r="Y798" s="68"/>
      <c r="Z798" s="68"/>
    </row>
    <row r="799" ht="15.0" customHeight="1">
      <c r="A799" s="246">
        <v>45918.0</v>
      </c>
      <c r="B799" s="201" t="s">
        <v>4998</v>
      </c>
      <c r="C799" s="45" t="s">
        <v>3302</v>
      </c>
      <c r="D799" s="140" t="str">
        <f>IFERROR(VLOOKUP(C799,Stock,3,FALSE),"")</f>
        <v>Nissan Livina 07-18 L10/L11</v>
      </c>
      <c r="E799" s="45">
        <v>1.0</v>
      </c>
      <c r="F799" s="198">
        <v>1299000.0</v>
      </c>
      <c r="G799" s="142">
        <f t="shared" si="40"/>
        <v>1299000</v>
      </c>
      <c r="H799" s="142"/>
      <c r="I799" s="143">
        <f t="shared" si="38"/>
        <v>1299000</v>
      </c>
      <c r="J799" s="144">
        <f t="shared" si="39"/>
        <v>1299000</v>
      </c>
      <c r="K799" s="108" t="s">
        <v>4999</v>
      </c>
      <c r="L799" s="199" t="s">
        <v>5000</v>
      </c>
      <c r="M799" s="17"/>
      <c r="N799" s="64" t="s">
        <v>5001</v>
      </c>
      <c r="O799" s="64" t="s">
        <v>2813</v>
      </c>
      <c r="P799" s="147" t="s">
        <v>4672</v>
      </c>
      <c r="Q799" s="149"/>
      <c r="R799" s="141"/>
      <c r="S799" s="141"/>
      <c r="T799" s="141">
        <v>1774000.0</v>
      </c>
      <c r="U799" s="149"/>
      <c r="V799" s="149"/>
      <c r="W799" s="149"/>
      <c r="X799" s="64" t="s">
        <v>3810</v>
      </c>
      <c r="Y799" s="68"/>
      <c r="Z799" s="68"/>
    </row>
    <row r="800" ht="15.0" customHeight="1">
      <c r="A800" s="246">
        <v>45918.0</v>
      </c>
      <c r="B800" s="201" t="s">
        <v>4998</v>
      </c>
      <c r="C800" s="45" t="s">
        <v>4979</v>
      </c>
      <c r="D800" s="140" t="str">
        <f>IFERROR(VLOOKUP(C800,Stock,3,FALSE),"")</f>
        <v>255 Ultra + Actv-100 Application</v>
      </c>
      <c r="E800" s="45">
        <v>1.0</v>
      </c>
      <c r="F800" s="198">
        <v>200000.0</v>
      </c>
      <c r="G800" s="142">
        <f t="shared" si="40"/>
        <v>200000</v>
      </c>
      <c r="H800" s="142"/>
      <c r="I800" s="143">
        <f t="shared" si="38"/>
        <v>200000</v>
      </c>
      <c r="J800" s="144">
        <f t="shared" si="39"/>
        <v>200000</v>
      </c>
      <c r="K800" s="108" t="s">
        <v>4999</v>
      </c>
      <c r="L800" s="199" t="s">
        <v>5000</v>
      </c>
      <c r="M800" s="17"/>
      <c r="N800" s="64" t="s">
        <v>5001</v>
      </c>
      <c r="O800" s="64" t="s">
        <v>2813</v>
      </c>
      <c r="P800" s="147" t="s">
        <v>4672</v>
      </c>
      <c r="Q800" s="149"/>
      <c r="R800" s="149"/>
      <c r="S800" s="149"/>
      <c r="T800" s="149"/>
      <c r="U800" s="149"/>
      <c r="V800" s="149"/>
      <c r="W800" s="149"/>
      <c r="X800" s="64" t="s">
        <v>3810</v>
      </c>
      <c r="Y800" s="68"/>
      <c r="Z800" s="68"/>
    </row>
    <row r="801" ht="15.0" customHeight="1">
      <c r="A801" s="246">
        <v>45918.0</v>
      </c>
      <c r="B801" s="201" t="s">
        <v>4998</v>
      </c>
      <c r="C801" s="45" t="s">
        <v>3434</v>
      </c>
      <c r="D801" s="140" t="str">
        <f>IFERROR(VLOOKUP(C801,Stock,3,FALSE),"")</f>
        <v>List Kaca Depan Code 04</v>
      </c>
      <c r="E801" s="45">
        <v>1.0</v>
      </c>
      <c r="F801" s="198">
        <v>275000.0</v>
      </c>
      <c r="G801" s="142">
        <f t="shared" si="40"/>
        <v>275000</v>
      </c>
      <c r="H801" s="142"/>
      <c r="I801" s="143">
        <f t="shared" si="38"/>
        <v>275000</v>
      </c>
      <c r="J801" s="144">
        <f t="shared" si="39"/>
        <v>275000</v>
      </c>
      <c r="K801" s="108" t="s">
        <v>4999</v>
      </c>
      <c r="L801" s="199" t="s">
        <v>5000</v>
      </c>
      <c r="M801" s="17"/>
      <c r="N801" s="64" t="s">
        <v>5001</v>
      </c>
      <c r="O801" s="64" t="s">
        <v>2813</v>
      </c>
      <c r="P801" s="147" t="s">
        <v>4672</v>
      </c>
      <c r="Q801" s="149"/>
      <c r="R801" s="149"/>
      <c r="S801" s="149"/>
      <c r="T801" s="149"/>
      <c r="U801" s="149"/>
      <c r="V801" s="149"/>
      <c r="W801" s="149"/>
      <c r="X801" s="64" t="s">
        <v>3810</v>
      </c>
      <c r="Y801" s="68"/>
      <c r="Z801" s="68"/>
    </row>
    <row r="802" ht="15.0" customHeight="1">
      <c r="A802" s="246">
        <v>45918.0</v>
      </c>
      <c r="B802" s="201" t="s">
        <v>5002</v>
      </c>
      <c r="C802" s="45" t="s">
        <v>3499</v>
      </c>
      <c r="D802" s="140" t="str">
        <f>IFERROR(VLOOKUP(C802,Stock,3,FALSE),"")</f>
        <v>Honda Brio 10- / Mobilio 11-</v>
      </c>
      <c r="E802" s="45">
        <v>1.0</v>
      </c>
      <c r="F802" s="198">
        <v>1300000.0</v>
      </c>
      <c r="G802" s="142">
        <f t="shared" si="40"/>
        <v>1300000</v>
      </c>
      <c r="H802" s="142"/>
      <c r="I802" s="143">
        <f t="shared" si="38"/>
        <v>1300000</v>
      </c>
      <c r="J802" s="144">
        <f t="shared" si="39"/>
        <v>1300000</v>
      </c>
      <c r="K802" s="108" t="s">
        <v>5003</v>
      </c>
      <c r="L802" s="199" t="s">
        <v>5004</v>
      </c>
      <c r="M802" s="17"/>
      <c r="N802" s="64" t="s">
        <v>5005</v>
      </c>
      <c r="O802" s="64" t="s">
        <v>2813</v>
      </c>
      <c r="P802" s="147" t="s">
        <v>4672</v>
      </c>
      <c r="Q802" s="149"/>
      <c r="R802" s="141"/>
      <c r="S802" s="141"/>
      <c r="T802" s="141">
        <v>1500000.0</v>
      </c>
      <c r="U802" s="149"/>
      <c r="V802" s="149"/>
      <c r="W802" s="149"/>
      <c r="X802" s="64" t="s">
        <v>3810</v>
      </c>
      <c r="Y802" s="68"/>
      <c r="Z802" s="68"/>
    </row>
    <row r="803" ht="15.0" customHeight="1">
      <c r="A803" s="246">
        <v>45918.0</v>
      </c>
      <c r="B803" s="201" t="s">
        <v>5002</v>
      </c>
      <c r="C803" s="45" t="s">
        <v>4979</v>
      </c>
      <c r="D803" s="140" t="str">
        <f>IFERROR(VLOOKUP(C803,Stock,3,FALSE),"")</f>
        <v>255 Ultra + Actv-100 Application</v>
      </c>
      <c r="E803" s="45">
        <v>1.0</v>
      </c>
      <c r="F803" s="198">
        <v>200000.0</v>
      </c>
      <c r="G803" s="142">
        <f t="shared" si="40"/>
        <v>200000</v>
      </c>
      <c r="H803" s="142"/>
      <c r="I803" s="143">
        <f t="shared" si="38"/>
        <v>200000</v>
      </c>
      <c r="J803" s="144">
        <f t="shared" si="39"/>
        <v>200000</v>
      </c>
      <c r="K803" s="108" t="s">
        <v>5003</v>
      </c>
      <c r="L803" s="199" t="s">
        <v>5004</v>
      </c>
      <c r="M803" s="17"/>
      <c r="N803" s="64" t="s">
        <v>5005</v>
      </c>
      <c r="O803" s="64" t="s">
        <v>2813</v>
      </c>
      <c r="P803" s="147" t="s">
        <v>4672</v>
      </c>
      <c r="Q803" s="149"/>
      <c r="R803" s="149"/>
      <c r="S803" s="149"/>
      <c r="T803" s="149"/>
      <c r="U803" s="149"/>
      <c r="V803" s="149"/>
      <c r="W803" s="149"/>
      <c r="X803" s="64" t="s">
        <v>3810</v>
      </c>
      <c r="Y803" s="68"/>
      <c r="Z803" s="68"/>
    </row>
    <row r="804" ht="15.0" customHeight="1">
      <c r="A804" s="246">
        <v>45919.0</v>
      </c>
      <c r="B804" s="201" t="s">
        <v>5006</v>
      </c>
      <c r="C804" s="247" t="s">
        <v>5007</v>
      </c>
      <c r="D804" s="140" t="str">
        <f>IFERROR(VLOOKUP(C804,Stock,3,FALSE),"")</f>
        <v>Toyota Hi-Ace 04-20 Commuter (Clear)</v>
      </c>
      <c r="E804" s="45">
        <v>1.0</v>
      </c>
      <c r="F804" s="198">
        <v>2237000.0</v>
      </c>
      <c r="G804" s="142">
        <f t="shared" si="40"/>
        <v>2237000</v>
      </c>
      <c r="H804" s="142"/>
      <c r="I804" s="143">
        <f t="shared" si="38"/>
        <v>2237000</v>
      </c>
      <c r="J804" s="144">
        <f t="shared" si="39"/>
        <v>2237000</v>
      </c>
      <c r="K804" s="108" t="s">
        <v>5008</v>
      </c>
      <c r="L804" s="199" t="s">
        <v>5009</v>
      </c>
      <c r="M804" s="17"/>
      <c r="N804" s="64" t="s">
        <v>4270</v>
      </c>
      <c r="O804" s="64" t="s">
        <v>2807</v>
      </c>
      <c r="P804" s="147" t="s">
        <v>4672</v>
      </c>
      <c r="Q804" s="149"/>
      <c r="R804" s="141"/>
      <c r="S804" s="141"/>
      <c r="T804" s="141">
        <v>2450000.0</v>
      </c>
      <c r="U804" s="149"/>
      <c r="V804" s="149"/>
      <c r="W804" s="149"/>
      <c r="X804" s="64" t="s">
        <v>3810</v>
      </c>
      <c r="Y804" s="68"/>
      <c r="Z804" s="68"/>
    </row>
    <row r="805" ht="15.0" customHeight="1">
      <c r="A805" s="246">
        <v>45919.0</v>
      </c>
      <c r="B805" s="201" t="s">
        <v>5006</v>
      </c>
      <c r="C805" s="247" t="s">
        <v>2835</v>
      </c>
      <c r="D805" s="140" t="str">
        <f>IFERROR(VLOOKUP(C805,Stock,3,FALSE),"")</f>
        <v>Peti Kayu</v>
      </c>
      <c r="E805" s="45">
        <v>1.0</v>
      </c>
      <c r="F805" s="198">
        <v>200000.0</v>
      </c>
      <c r="G805" s="142">
        <f t="shared" si="40"/>
        <v>200000</v>
      </c>
      <c r="H805" s="142"/>
      <c r="I805" s="143">
        <f t="shared" si="38"/>
        <v>200000</v>
      </c>
      <c r="J805" s="144">
        <f t="shared" si="39"/>
        <v>200000</v>
      </c>
      <c r="K805" s="108" t="s">
        <v>5008</v>
      </c>
      <c r="L805" s="199" t="s">
        <v>5009</v>
      </c>
      <c r="M805" s="17"/>
      <c r="N805" s="64" t="s">
        <v>4270</v>
      </c>
      <c r="O805" s="64" t="s">
        <v>2807</v>
      </c>
      <c r="P805" s="147" t="s">
        <v>4672</v>
      </c>
      <c r="Q805" s="149"/>
      <c r="R805" s="149"/>
      <c r="S805" s="149"/>
      <c r="T805" s="149"/>
      <c r="U805" s="149"/>
      <c r="V805" s="149"/>
      <c r="W805" s="149"/>
      <c r="X805" s="64" t="s">
        <v>3810</v>
      </c>
      <c r="Y805" s="68"/>
      <c r="Z805" s="68"/>
    </row>
    <row r="806" ht="15.0" customHeight="1">
      <c r="A806" s="246">
        <v>45919.0</v>
      </c>
      <c r="B806" s="201" t="s">
        <v>5010</v>
      </c>
      <c r="C806" s="45" t="s">
        <v>2792</v>
      </c>
      <c r="D806" s="140" t="str">
        <f>IFERROR(VLOOKUP(C806,Stock,3,FALSE),"")</f>
        <v>Toyota Calya / Sigra 16-</v>
      </c>
      <c r="E806" s="45">
        <v>1.0</v>
      </c>
      <c r="F806" s="198">
        <v>839000.0</v>
      </c>
      <c r="G806" s="142">
        <f t="shared" si="40"/>
        <v>839000</v>
      </c>
      <c r="H806" s="143">
        <v>39000.0</v>
      </c>
      <c r="I806" s="143">
        <f t="shared" si="38"/>
        <v>800000</v>
      </c>
      <c r="J806" s="144">
        <f t="shared" si="39"/>
        <v>800000</v>
      </c>
      <c r="K806" s="108" t="s">
        <v>5011</v>
      </c>
      <c r="L806" s="199" t="s">
        <v>5012</v>
      </c>
      <c r="M806" s="17"/>
      <c r="N806" s="64" t="s">
        <v>5013</v>
      </c>
      <c r="O806" s="64" t="s">
        <v>2813</v>
      </c>
      <c r="P806" s="147" t="s">
        <v>4672</v>
      </c>
      <c r="Q806" s="141">
        <v>900000.0</v>
      </c>
      <c r="R806" s="149"/>
      <c r="S806" s="149"/>
      <c r="T806" s="149"/>
      <c r="U806" s="149"/>
      <c r="V806" s="149"/>
      <c r="W806" s="149"/>
      <c r="X806" s="64" t="s">
        <v>3810</v>
      </c>
      <c r="Y806" s="68"/>
      <c r="Z806" s="68"/>
    </row>
    <row r="807" ht="15.0" customHeight="1">
      <c r="A807" s="246">
        <v>45919.0</v>
      </c>
      <c r="B807" s="201" t="s">
        <v>5010</v>
      </c>
      <c r="C807" s="45" t="s">
        <v>2962</v>
      </c>
      <c r="D807" s="140" t="str">
        <f>IFERROR(VLOOKUP(C807,Stock,3,FALSE),"")</f>
        <v>Lembur</v>
      </c>
      <c r="E807" s="45">
        <v>1.0</v>
      </c>
      <c r="F807" s="198">
        <v>100000.0</v>
      </c>
      <c r="G807" s="142">
        <f t="shared" si="40"/>
        <v>100000</v>
      </c>
      <c r="H807" s="142"/>
      <c r="I807" s="143">
        <f t="shared" si="38"/>
        <v>100000</v>
      </c>
      <c r="J807" s="144">
        <f t="shared" si="39"/>
        <v>100000</v>
      </c>
      <c r="K807" s="108" t="s">
        <v>5011</v>
      </c>
      <c r="L807" s="199" t="s">
        <v>5012</v>
      </c>
      <c r="M807" s="17"/>
      <c r="N807" s="64" t="s">
        <v>5013</v>
      </c>
      <c r="O807" s="64" t="s">
        <v>2813</v>
      </c>
      <c r="P807" s="147" t="s">
        <v>4672</v>
      </c>
      <c r="Q807" s="149"/>
      <c r="R807" s="149"/>
      <c r="S807" s="149"/>
      <c r="T807" s="149"/>
      <c r="U807" s="149"/>
      <c r="V807" s="149"/>
      <c r="W807" s="149"/>
      <c r="X807" s="64" t="s">
        <v>3810</v>
      </c>
      <c r="Y807" s="68"/>
      <c r="Z807" s="68"/>
    </row>
    <row r="808" ht="15.0" customHeight="1">
      <c r="A808" s="246">
        <v>45920.0</v>
      </c>
      <c r="B808" s="201" t="s">
        <v>5014</v>
      </c>
      <c r="C808" s="45" t="s">
        <v>5015</v>
      </c>
      <c r="D808" s="140" t="str">
        <f>IFERROR(VLOOKUP(C808,Stock,3,FALSE),"")</f>
        <v>Toyota Raize / Daihatsu Rocky 20- (Toyota/Daihatsu)</v>
      </c>
      <c r="E808" s="45">
        <v>1.0</v>
      </c>
      <c r="F808" s="198">
        <v>984000.0</v>
      </c>
      <c r="G808" s="142">
        <f t="shared" si="40"/>
        <v>984000</v>
      </c>
      <c r="H808" s="142"/>
      <c r="I808" s="143">
        <f t="shared" si="38"/>
        <v>984000</v>
      </c>
      <c r="J808" s="144">
        <f t="shared" si="39"/>
        <v>984000</v>
      </c>
      <c r="K808" s="108" t="s">
        <v>5016</v>
      </c>
      <c r="L808" s="199" t="s">
        <v>5017</v>
      </c>
      <c r="M808" s="17"/>
      <c r="N808" s="64" t="s">
        <v>5018</v>
      </c>
      <c r="O808" s="64" t="s">
        <v>5019</v>
      </c>
      <c r="P808" s="147" t="s">
        <v>4672</v>
      </c>
      <c r="Q808" s="149"/>
      <c r="R808" s="141"/>
      <c r="S808" s="141"/>
      <c r="T808" s="141">
        <v>30000.0</v>
      </c>
      <c r="U808" s="149"/>
      <c r="V808" s="149"/>
      <c r="W808" s="149"/>
      <c r="X808" s="64" t="s">
        <v>3810</v>
      </c>
      <c r="Y808" s="68"/>
      <c r="Z808" s="68"/>
    </row>
    <row r="809" ht="15.0" customHeight="1">
      <c r="A809" s="246">
        <v>45920.0</v>
      </c>
      <c r="B809" s="201" t="s">
        <v>5014</v>
      </c>
      <c r="C809" s="45" t="s">
        <v>2770</v>
      </c>
      <c r="D809" s="140" t="str">
        <f>IFERROR(VLOOKUP(C809,Stock,3,FALSE),"")</f>
        <v>Transport</v>
      </c>
      <c r="E809" s="45">
        <v>1.0</v>
      </c>
      <c r="F809" s="198">
        <v>150000.0</v>
      </c>
      <c r="G809" s="142">
        <f t="shared" si="40"/>
        <v>150000</v>
      </c>
      <c r="H809" s="142"/>
      <c r="I809" s="143">
        <f t="shared" si="38"/>
        <v>150000</v>
      </c>
      <c r="J809" s="144">
        <f t="shared" si="39"/>
        <v>150000</v>
      </c>
      <c r="K809" s="108" t="s">
        <v>5016</v>
      </c>
      <c r="L809" s="199" t="s">
        <v>5017</v>
      </c>
      <c r="M809" s="17"/>
      <c r="N809" s="64" t="s">
        <v>5018</v>
      </c>
      <c r="O809" s="64" t="s">
        <v>5019</v>
      </c>
      <c r="P809" s="147" t="s">
        <v>4672</v>
      </c>
      <c r="Q809" s="149"/>
      <c r="R809" s="141"/>
      <c r="S809" s="141"/>
      <c r="T809" s="141">
        <v>1104000.0</v>
      </c>
      <c r="U809" s="149"/>
      <c r="V809" s="149"/>
      <c r="W809" s="149"/>
      <c r="X809" s="64" t="s">
        <v>3810</v>
      </c>
      <c r="Y809" s="68"/>
      <c r="Z809" s="68"/>
    </row>
    <row r="810" ht="15.0" customHeight="1">
      <c r="A810" s="246">
        <v>45920.0</v>
      </c>
      <c r="B810" s="201" t="s">
        <v>5020</v>
      </c>
      <c r="C810" s="45" t="s">
        <v>5021</v>
      </c>
      <c r="D810" s="140" t="str">
        <f>IFERROR(VLOOKUP(C810,Stock,3,FALSE),"")</f>
        <v>Toyota Alphard 15-17 ANH30 3rd Gen (Sensor atas keramik)</v>
      </c>
      <c r="E810" s="45">
        <v>1.0</v>
      </c>
      <c r="F810" s="198">
        <v>3518000.0</v>
      </c>
      <c r="G810" s="142">
        <f t="shared" si="40"/>
        <v>3518000</v>
      </c>
      <c r="H810" s="142"/>
      <c r="I810" s="143">
        <f t="shared" si="38"/>
        <v>3518000</v>
      </c>
      <c r="J810" s="144">
        <f t="shared" si="39"/>
        <v>3518000</v>
      </c>
      <c r="K810" s="108" t="s">
        <v>5022</v>
      </c>
      <c r="L810" s="199" t="s">
        <v>5023</v>
      </c>
      <c r="M810" s="17"/>
      <c r="N810" s="64" t="s">
        <v>5024</v>
      </c>
      <c r="O810" s="64" t="s">
        <v>4800</v>
      </c>
      <c r="P810" s="147" t="s">
        <v>4672</v>
      </c>
      <c r="Q810" s="149"/>
      <c r="R810" s="141"/>
      <c r="S810" s="141"/>
      <c r="T810" s="141">
        <v>50000.0</v>
      </c>
      <c r="U810" s="149"/>
      <c r="V810" s="149"/>
      <c r="W810" s="149"/>
      <c r="X810" s="64" t="s">
        <v>3810</v>
      </c>
      <c r="Y810" s="68"/>
      <c r="Z810" s="68"/>
    </row>
    <row r="811" ht="15.0" customHeight="1">
      <c r="A811" s="246">
        <v>45920.0</v>
      </c>
      <c r="B811" s="201" t="s">
        <v>5020</v>
      </c>
      <c r="C811" s="45" t="s">
        <v>2770</v>
      </c>
      <c r="D811" s="140" t="str">
        <f>IFERROR(VLOOKUP(C811,Stock,3,FALSE),"")</f>
        <v>Transport</v>
      </c>
      <c r="E811" s="45">
        <v>1.0</v>
      </c>
      <c r="F811" s="198">
        <v>200000.0</v>
      </c>
      <c r="G811" s="142">
        <f t="shared" si="40"/>
        <v>200000</v>
      </c>
      <c r="H811" s="142"/>
      <c r="I811" s="143">
        <f t="shared" si="38"/>
        <v>200000</v>
      </c>
      <c r="J811" s="144">
        <f t="shared" si="39"/>
        <v>200000</v>
      </c>
      <c r="K811" s="108" t="s">
        <v>5022</v>
      </c>
      <c r="L811" s="199" t="s">
        <v>5023</v>
      </c>
      <c r="M811" s="17"/>
      <c r="N811" s="64" t="s">
        <v>5024</v>
      </c>
      <c r="O811" s="64" t="s">
        <v>4800</v>
      </c>
      <c r="P811" s="147" t="s">
        <v>4672</v>
      </c>
      <c r="Q811" s="149"/>
      <c r="R811" s="141"/>
      <c r="S811" s="141"/>
      <c r="T811" s="141">
        <v>3668000.0</v>
      </c>
      <c r="U811" s="149"/>
      <c r="V811" s="149"/>
      <c r="W811" s="149"/>
      <c r="X811" s="64" t="s">
        <v>3810</v>
      </c>
      <c r="Y811" s="68"/>
      <c r="Z811" s="68"/>
    </row>
    <row r="812" ht="15.0" customHeight="1">
      <c r="A812" s="246">
        <v>45920.0</v>
      </c>
      <c r="B812" s="201" t="s">
        <v>5025</v>
      </c>
      <c r="C812" s="45" t="s">
        <v>4734</v>
      </c>
      <c r="D812" s="140" t="str">
        <f>IFERROR(VLOOKUP(C812,Stock,3,FALSE),"")</f>
        <v>Honda CR-V 17-23 5th Gen (Honda)</v>
      </c>
      <c r="E812" s="45">
        <v>1.0</v>
      </c>
      <c r="F812" s="198">
        <v>915000.0</v>
      </c>
      <c r="G812" s="142">
        <f t="shared" si="40"/>
        <v>915000</v>
      </c>
      <c r="H812" s="142"/>
      <c r="I812" s="143">
        <f t="shared" si="38"/>
        <v>915000</v>
      </c>
      <c r="J812" s="144">
        <f t="shared" si="39"/>
        <v>915000</v>
      </c>
      <c r="K812" s="108" t="s">
        <v>5026</v>
      </c>
      <c r="L812" s="199" t="s">
        <v>5027</v>
      </c>
      <c r="M812" s="17"/>
      <c r="N812" s="64" t="s">
        <v>5028</v>
      </c>
      <c r="O812" s="64" t="s">
        <v>4712</v>
      </c>
      <c r="P812" s="147" t="s">
        <v>4672</v>
      </c>
      <c r="Q812" s="149"/>
      <c r="R812" s="141"/>
      <c r="S812" s="141"/>
      <c r="T812" s="141">
        <v>915000.0</v>
      </c>
      <c r="U812" s="149"/>
      <c r="V812" s="149"/>
      <c r="W812" s="149"/>
      <c r="X812" s="64" t="s">
        <v>3810</v>
      </c>
      <c r="Y812" s="68"/>
      <c r="Z812" s="68"/>
    </row>
    <row r="813" ht="15.0" customHeight="1">
      <c r="A813" s="246">
        <v>45920.0</v>
      </c>
      <c r="B813" s="201" t="s">
        <v>5029</v>
      </c>
      <c r="C813" s="45" t="s">
        <v>3113</v>
      </c>
      <c r="D813" s="140" t="str">
        <f>IFERROR(VLOOKUP(C813,Stock,3,FALSE),"")</f>
        <v>Mitsubishi Pajero 16-</v>
      </c>
      <c r="E813" s="45">
        <v>1.0</v>
      </c>
      <c r="F813" s="248">
        <v>1480000.0</v>
      </c>
      <c r="G813" s="142">
        <f t="shared" si="40"/>
        <v>1480000</v>
      </c>
      <c r="H813" s="142"/>
      <c r="I813" s="143">
        <f t="shared" si="38"/>
        <v>1480000</v>
      </c>
      <c r="J813" s="144">
        <f t="shared" si="39"/>
        <v>1480000</v>
      </c>
      <c r="K813" s="108" t="s">
        <v>5030</v>
      </c>
      <c r="L813" s="199" t="s">
        <v>5031</v>
      </c>
      <c r="M813" s="17"/>
      <c r="N813" s="64" t="s">
        <v>5032</v>
      </c>
      <c r="O813" s="64" t="s">
        <v>5033</v>
      </c>
      <c r="P813" s="147" t="s">
        <v>4672</v>
      </c>
      <c r="Q813" s="149"/>
      <c r="R813" s="141"/>
      <c r="S813" s="141"/>
      <c r="T813" s="141">
        <v>50000.0</v>
      </c>
      <c r="U813" s="149"/>
      <c r="V813" s="149"/>
      <c r="W813" s="149"/>
      <c r="X813" s="64" t="s">
        <v>3810</v>
      </c>
      <c r="Y813" s="68"/>
      <c r="Z813" s="68"/>
    </row>
    <row r="814" ht="15.0" customHeight="1">
      <c r="A814" s="246">
        <v>45920.0</v>
      </c>
      <c r="B814" s="201" t="s">
        <v>5029</v>
      </c>
      <c r="C814" s="45" t="s">
        <v>2770</v>
      </c>
      <c r="D814" s="140" t="str">
        <f>IFERROR(VLOOKUP(C814,Stock,3,FALSE),"")</f>
        <v>Transport</v>
      </c>
      <c r="E814" s="45">
        <v>1.0</v>
      </c>
      <c r="F814" s="248">
        <v>120000.0</v>
      </c>
      <c r="G814" s="142">
        <f t="shared" si="40"/>
        <v>120000</v>
      </c>
      <c r="H814" s="142"/>
      <c r="I814" s="143">
        <f t="shared" si="38"/>
        <v>120000</v>
      </c>
      <c r="J814" s="144">
        <f t="shared" si="39"/>
        <v>120000</v>
      </c>
      <c r="K814" s="108" t="s">
        <v>5030</v>
      </c>
      <c r="L814" s="199" t="s">
        <v>5031</v>
      </c>
      <c r="M814" s="17"/>
      <c r="N814" s="64" t="s">
        <v>5032</v>
      </c>
      <c r="O814" s="64" t="s">
        <v>5033</v>
      </c>
      <c r="P814" s="147" t="s">
        <v>4672</v>
      </c>
      <c r="Q814" s="149"/>
      <c r="R814" s="141"/>
      <c r="S814" s="141"/>
      <c r="T814" s="141">
        <v>1550000.0</v>
      </c>
      <c r="U814" s="149"/>
      <c r="V814" s="149"/>
      <c r="W814" s="149"/>
      <c r="X814" s="64" t="s">
        <v>3810</v>
      </c>
      <c r="Y814" s="68"/>
      <c r="Z814" s="68"/>
    </row>
    <row r="815" ht="15.0" customHeight="1">
      <c r="A815" s="246">
        <v>45920.0</v>
      </c>
      <c r="B815" s="201" t="s">
        <v>5034</v>
      </c>
      <c r="C815" s="64" t="s">
        <v>3220</v>
      </c>
      <c r="D815" s="140" t="str">
        <f>IFERROR(VLOOKUP(C815,Stock,3,FALSE),"")</f>
        <v>BMW 3 Series 12-18 F30/F35 (1 Sensor / O )</v>
      </c>
      <c r="E815" s="45">
        <v>1.0</v>
      </c>
      <c r="F815" s="198">
        <v>4452000.0</v>
      </c>
      <c r="G815" s="142">
        <f t="shared" si="40"/>
        <v>4452000</v>
      </c>
      <c r="H815" s="142"/>
      <c r="I815" s="143">
        <f t="shared" si="38"/>
        <v>4452000</v>
      </c>
      <c r="J815" s="144">
        <f t="shared" si="39"/>
        <v>4452000</v>
      </c>
      <c r="K815" s="108" t="s">
        <v>5035</v>
      </c>
      <c r="L815" s="199" t="s">
        <v>5036</v>
      </c>
      <c r="M815" s="17"/>
      <c r="N815" s="64" t="s">
        <v>5037</v>
      </c>
      <c r="O815" s="64" t="s">
        <v>5038</v>
      </c>
      <c r="P815" s="147" t="s">
        <v>4672</v>
      </c>
      <c r="Q815" s="149"/>
      <c r="R815" s="141"/>
      <c r="S815" s="141"/>
      <c r="T815" s="141">
        <v>50000.0</v>
      </c>
      <c r="U815" s="149"/>
      <c r="V815" s="149"/>
      <c r="W815" s="149"/>
      <c r="X815" s="64" t="s">
        <v>3810</v>
      </c>
      <c r="Y815" s="68"/>
      <c r="Z815" s="68"/>
    </row>
    <row r="816" ht="15.0" customHeight="1">
      <c r="A816" s="246">
        <v>45920.0</v>
      </c>
      <c r="B816" s="201" t="s">
        <v>5034</v>
      </c>
      <c r="C816" s="45" t="s">
        <v>4979</v>
      </c>
      <c r="D816" s="140" t="str">
        <f>IFERROR(VLOOKUP(C816,Stock,3,FALSE),"")</f>
        <v>255 Ultra + Actv-100 Application</v>
      </c>
      <c r="E816" s="45">
        <v>1.0</v>
      </c>
      <c r="F816" s="198">
        <v>200000.0</v>
      </c>
      <c r="G816" s="142">
        <f t="shared" si="40"/>
        <v>200000</v>
      </c>
      <c r="H816" s="142"/>
      <c r="I816" s="143">
        <f t="shared" si="38"/>
        <v>200000</v>
      </c>
      <c r="J816" s="144">
        <f t="shared" si="39"/>
        <v>200000</v>
      </c>
      <c r="K816" s="108" t="s">
        <v>5035</v>
      </c>
      <c r="L816" s="199" t="s">
        <v>5036</v>
      </c>
      <c r="M816" s="17"/>
      <c r="N816" s="64" t="s">
        <v>5037</v>
      </c>
      <c r="O816" s="64" t="s">
        <v>5038</v>
      </c>
      <c r="P816" s="147" t="s">
        <v>4672</v>
      </c>
      <c r="Q816" s="149"/>
      <c r="R816" s="141"/>
      <c r="S816" s="141"/>
      <c r="T816" s="141">
        <v>4652000.0</v>
      </c>
      <c r="U816" s="149"/>
      <c r="V816" s="149"/>
      <c r="W816" s="149"/>
      <c r="X816" s="64" t="s">
        <v>3810</v>
      </c>
      <c r="Y816" s="68"/>
      <c r="Z816" s="64" t="s">
        <v>5039</v>
      </c>
    </row>
    <row r="817" ht="15.0" customHeight="1">
      <c r="A817" s="246">
        <v>45920.0</v>
      </c>
      <c r="B817" s="201" t="s">
        <v>5034</v>
      </c>
      <c r="C817" s="45" t="s">
        <v>2770</v>
      </c>
      <c r="D817" s="140" t="str">
        <f>IFERROR(VLOOKUP(C817,Stock,3,FALSE),"")</f>
        <v>Transport</v>
      </c>
      <c r="E817" s="45">
        <v>1.0</v>
      </c>
      <c r="F817" s="198">
        <v>50000.0</v>
      </c>
      <c r="G817" s="142">
        <f t="shared" si="40"/>
        <v>50000</v>
      </c>
      <c r="H817" s="142"/>
      <c r="I817" s="143">
        <f t="shared" si="38"/>
        <v>50000</v>
      </c>
      <c r="J817" s="144">
        <f t="shared" si="39"/>
        <v>50000</v>
      </c>
      <c r="K817" s="108" t="s">
        <v>5035</v>
      </c>
      <c r="L817" s="199" t="s">
        <v>5036</v>
      </c>
      <c r="M817" s="17"/>
      <c r="N817" s="64" t="s">
        <v>5037</v>
      </c>
      <c r="O817" s="64" t="s">
        <v>5038</v>
      </c>
      <c r="P817" s="147" t="s">
        <v>4672</v>
      </c>
      <c r="Q817" s="149"/>
      <c r="R817" s="149"/>
      <c r="S817" s="149"/>
      <c r="T817" s="149"/>
      <c r="U817" s="149"/>
      <c r="V817" s="149"/>
      <c r="W817" s="149"/>
      <c r="X817" s="64" t="s">
        <v>3810</v>
      </c>
      <c r="Y817" s="68"/>
      <c r="Z817" s="64" t="s">
        <v>5039</v>
      </c>
    </row>
    <row r="818" ht="15.0" customHeight="1">
      <c r="A818" s="246">
        <v>45920.0</v>
      </c>
      <c r="B818" s="201" t="s">
        <v>5040</v>
      </c>
      <c r="C818" s="45" t="s">
        <v>5041</v>
      </c>
      <c r="D818" s="140" t="str">
        <f>IFERROR(VLOOKUP(C818,Stock,3,FALSE),"")</f>
        <v>Honda Freed 08-16 1st gen</v>
      </c>
      <c r="E818" s="45">
        <v>1.0</v>
      </c>
      <c r="F818" s="198">
        <v>1720000.0</v>
      </c>
      <c r="G818" s="142">
        <f t="shared" si="40"/>
        <v>1720000</v>
      </c>
      <c r="H818" s="142"/>
      <c r="I818" s="143">
        <f t="shared" si="38"/>
        <v>1720000</v>
      </c>
      <c r="J818" s="144">
        <f t="shared" si="39"/>
        <v>1720000</v>
      </c>
      <c r="K818" s="108" t="s">
        <v>5042</v>
      </c>
      <c r="L818" s="199" t="s">
        <v>5043</v>
      </c>
      <c r="M818" s="17"/>
      <c r="N818" s="64" t="s">
        <v>5044</v>
      </c>
      <c r="O818" s="64" t="s">
        <v>2813</v>
      </c>
      <c r="P818" s="147" t="s">
        <v>4672</v>
      </c>
      <c r="Q818" s="149"/>
      <c r="R818" s="141"/>
      <c r="S818" s="141"/>
      <c r="T818" s="141">
        <v>1720000.0</v>
      </c>
      <c r="U818" s="149"/>
      <c r="V818" s="149"/>
      <c r="W818" s="149"/>
      <c r="X818" s="64" t="s">
        <v>3810</v>
      </c>
      <c r="Y818" s="68"/>
      <c r="Z818" s="64" t="s">
        <v>5045</v>
      </c>
    </row>
    <row r="819" ht="15.0" customHeight="1">
      <c r="A819" s="246">
        <v>45921.0</v>
      </c>
      <c r="B819" s="201" t="s">
        <v>5046</v>
      </c>
      <c r="C819" s="45" t="s">
        <v>5047</v>
      </c>
      <c r="D819" s="140" t="str">
        <f>IFERROR(VLOOKUP(C819,Stock,3,FALSE),"")</f>
        <v>Toyota Innova 15-22 2nd Gen (Toyota)</v>
      </c>
      <c r="E819" s="45">
        <v>1.0</v>
      </c>
      <c r="F819" s="198">
        <v>915000.0</v>
      </c>
      <c r="G819" s="142">
        <f t="shared" si="40"/>
        <v>915000</v>
      </c>
      <c r="H819" s="142"/>
      <c r="I819" s="143">
        <f t="shared" si="38"/>
        <v>915000</v>
      </c>
      <c r="J819" s="144">
        <f t="shared" si="39"/>
        <v>915000</v>
      </c>
      <c r="K819" s="108" t="s">
        <v>5048</v>
      </c>
      <c r="L819" s="199" t="s">
        <v>5049</v>
      </c>
      <c r="M819" s="17"/>
      <c r="N819" s="64" t="s">
        <v>5050</v>
      </c>
      <c r="O819" s="64" t="s">
        <v>2813</v>
      </c>
      <c r="P819" s="147" t="s">
        <v>4672</v>
      </c>
      <c r="Q819" s="149"/>
      <c r="R819" s="141"/>
      <c r="S819" s="141"/>
      <c r="T819" s="141">
        <v>990000.0</v>
      </c>
      <c r="U819" s="149"/>
      <c r="V819" s="149"/>
      <c r="W819" s="149"/>
      <c r="X819" s="64" t="s">
        <v>3810</v>
      </c>
      <c r="Y819" s="68"/>
      <c r="Z819" s="68"/>
    </row>
    <row r="820" ht="15.0" customHeight="1">
      <c r="A820" s="246">
        <v>45921.0</v>
      </c>
      <c r="B820" s="201" t="s">
        <v>5046</v>
      </c>
      <c r="C820" s="45" t="s">
        <v>2962</v>
      </c>
      <c r="D820" s="140" t="str">
        <f>IFERROR(VLOOKUP(C820,Stock,3,FALSE),"")</f>
        <v>Lembur</v>
      </c>
      <c r="E820" s="45">
        <v>1.0</v>
      </c>
      <c r="F820" s="198">
        <v>75000.0</v>
      </c>
      <c r="G820" s="142">
        <f t="shared" si="40"/>
        <v>75000</v>
      </c>
      <c r="H820" s="142"/>
      <c r="I820" s="143">
        <f t="shared" si="38"/>
        <v>75000</v>
      </c>
      <c r="J820" s="144">
        <f t="shared" si="39"/>
        <v>75000</v>
      </c>
      <c r="K820" s="108" t="s">
        <v>5048</v>
      </c>
      <c r="L820" s="199" t="s">
        <v>5049</v>
      </c>
      <c r="M820" s="17"/>
      <c r="N820" s="64" t="s">
        <v>5050</v>
      </c>
      <c r="O820" s="64" t="s">
        <v>2813</v>
      </c>
      <c r="P820" s="147" t="s">
        <v>4672</v>
      </c>
      <c r="Q820" s="149"/>
      <c r="R820" s="149"/>
      <c r="S820" s="149"/>
      <c r="T820" s="149"/>
      <c r="U820" s="149"/>
      <c r="V820" s="149"/>
      <c r="W820" s="149"/>
      <c r="X820" s="64" t="s">
        <v>3810</v>
      </c>
      <c r="Y820" s="68"/>
      <c r="Z820" s="68"/>
    </row>
    <row r="821" ht="15.0" customHeight="1">
      <c r="A821" s="246">
        <v>45922.0</v>
      </c>
      <c r="B821" s="201" t="s">
        <v>5051</v>
      </c>
      <c r="C821" s="64" t="s">
        <v>5052</v>
      </c>
      <c r="D821" s="140" t="str">
        <f>IFERROR(VLOOKUP(C821,Stock,3,FALSE),"")</f>
        <v>Suzuki Baleno 08-15 SX4 / Neo Baleno</v>
      </c>
      <c r="E821" s="45">
        <v>1.0</v>
      </c>
      <c r="F821" s="198">
        <v>1499000.0</v>
      </c>
      <c r="G821" s="142">
        <f t="shared" si="40"/>
        <v>1499000</v>
      </c>
      <c r="H821" s="142"/>
      <c r="I821" s="143">
        <f t="shared" si="38"/>
        <v>1499000</v>
      </c>
      <c r="J821" s="144">
        <f t="shared" si="39"/>
        <v>1499000</v>
      </c>
      <c r="K821" s="108" t="s">
        <v>5053</v>
      </c>
      <c r="L821" s="199" t="s">
        <v>5054</v>
      </c>
      <c r="M821" s="17"/>
      <c r="N821" s="64" t="s">
        <v>5055</v>
      </c>
      <c r="O821" s="64" t="s">
        <v>2813</v>
      </c>
      <c r="P821" s="147" t="s">
        <v>4672</v>
      </c>
      <c r="Q821" s="149"/>
      <c r="R821" s="141"/>
      <c r="S821" s="141"/>
      <c r="T821" s="141">
        <v>1499000.0</v>
      </c>
      <c r="U821" s="149"/>
      <c r="V821" s="149"/>
      <c r="W821" s="149"/>
      <c r="X821" s="64" t="s">
        <v>3810</v>
      </c>
      <c r="Y821" s="68"/>
      <c r="Z821" s="68"/>
    </row>
    <row r="822" ht="15.0" customHeight="1">
      <c r="A822" s="246">
        <v>45922.0</v>
      </c>
      <c r="B822" s="201" t="s">
        <v>5056</v>
      </c>
      <c r="C822" s="45" t="s">
        <v>4439</v>
      </c>
      <c r="D822" s="140" t="str">
        <f>IFERROR(VLOOKUP(C822,Stock,3,FALSE),"")</f>
        <v>Toyota Innova 04-15 1st Gen (Toyota)</v>
      </c>
      <c r="E822" s="45">
        <v>1.0</v>
      </c>
      <c r="F822" s="198">
        <v>2788000.0</v>
      </c>
      <c r="G822" s="142">
        <f t="shared" si="40"/>
        <v>2788000</v>
      </c>
      <c r="H822" s="142"/>
      <c r="I822" s="143">
        <f t="shared" si="38"/>
        <v>2788000</v>
      </c>
      <c r="J822" s="144">
        <f t="shared" si="39"/>
        <v>2788000</v>
      </c>
      <c r="K822" s="108" t="s">
        <v>5057</v>
      </c>
      <c r="L822" s="199" t="s">
        <v>5058</v>
      </c>
      <c r="M822" s="17"/>
      <c r="N822" s="64" t="s">
        <v>5059</v>
      </c>
      <c r="O822" s="64" t="s">
        <v>2813</v>
      </c>
      <c r="P822" s="147" t="s">
        <v>4672</v>
      </c>
      <c r="Q822" s="149"/>
      <c r="R822" s="141"/>
      <c r="S822" s="141"/>
      <c r="T822" s="141">
        <v>50000.0</v>
      </c>
      <c r="U822" s="149"/>
      <c r="V822" s="149"/>
      <c r="W822" s="149"/>
      <c r="X822" s="64" t="s">
        <v>3810</v>
      </c>
      <c r="Y822" s="68"/>
      <c r="Z822" s="68"/>
    </row>
    <row r="823" ht="15.0" customHeight="1">
      <c r="A823" s="246">
        <v>45922.0</v>
      </c>
      <c r="B823" s="201" t="s">
        <v>5056</v>
      </c>
      <c r="C823" s="45" t="s">
        <v>2770</v>
      </c>
      <c r="D823" s="140" t="str">
        <f>IFERROR(VLOOKUP(C823,Stock,3,FALSE),"")</f>
        <v>Transport</v>
      </c>
      <c r="E823" s="45">
        <v>1.0</v>
      </c>
      <c r="F823" s="198">
        <v>150000.0</v>
      </c>
      <c r="G823" s="142">
        <f t="shared" si="40"/>
        <v>150000</v>
      </c>
      <c r="H823" s="142"/>
      <c r="I823" s="143">
        <f t="shared" si="38"/>
        <v>150000</v>
      </c>
      <c r="J823" s="144">
        <f t="shared" si="39"/>
        <v>150000</v>
      </c>
      <c r="K823" s="108" t="s">
        <v>5060</v>
      </c>
      <c r="L823" s="199" t="s">
        <v>5058</v>
      </c>
      <c r="M823" s="17"/>
      <c r="N823" s="64" t="s">
        <v>5059</v>
      </c>
      <c r="O823" s="64" t="s">
        <v>2813</v>
      </c>
      <c r="P823" s="147" t="s">
        <v>4672</v>
      </c>
      <c r="Q823" s="149"/>
      <c r="R823" s="141"/>
      <c r="S823" s="141"/>
      <c r="T823" s="141">
        <v>2888000.0</v>
      </c>
      <c r="U823" s="149"/>
      <c r="V823" s="149"/>
      <c r="W823" s="149"/>
      <c r="X823" s="64" t="s">
        <v>3810</v>
      </c>
      <c r="Y823" s="68"/>
      <c r="Z823" s="68"/>
    </row>
    <row r="824" ht="15.0" customHeight="1">
      <c r="A824" s="246">
        <v>45922.0</v>
      </c>
      <c r="B824" s="201" t="s">
        <v>5061</v>
      </c>
      <c r="C824" s="45" t="s">
        <v>4856</v>
      </c>
      <c r="D824" s="140" t="str">
        <f>IFERROR(VLOOKUP(C824,Stock,3,FALSE),"")</f>
        <v>Honda WR-V 23- (Honda)</v>
      </c>
      <c r="E824" s="45">
        <v>1.0</v>
      </c>
      <c r="F824" s="202"/>
      <c r="G824" s="142">
        <f t="shared" si="40"/>
        <v>0</v>
      </c>
      <c r="H824" s="142"/>
      <c r="I824" s="143">
        <f t="shared" si="38"/>
        <v>0</v>
      </c>
      <c r="J824" s="144">
        <f t="shared" si="39"/>
        <v>0</v>
      </c>
      <c r="K824" s="108" t="s">
        <v>4509</v>
      </c>
      <c r="L824" s="17"/>
      <c r="M824" s="17"/>
      <c r="N824" s="68"/>
      <c r="O824" s="68"/>
      <c r="P824" s="170"/>
      <c r="Q824" s="149"/>
      <c r="R824" s="149"/>
      <c r="S824" s="149"/>
      <c r="T824" s="149"/>
      <c r="U824" s="149"/>
      <c r="V824" s="149"/>
      <c r="W824" s="149"/>
      <c r="X824" s="64" t="s">
        <v>3810</v>
      </c>
      <c r="Y824" s="68"/>
      <c r="Z824" s="68"/>
    </row>
    <row r="825" ht="15.0" customHeight="1">
      <c r="A825" s="246">
        <v>45922.0</v>
      </c>
      <c r="B825" s="201" t="s">
        <v>5061</v>
      </c>
      <c r="C825" s="45" t="s">
        <v>5062</v>
      </c>
      <c r="D825" s="140" t="str">
        <f>IFERROR(VLOOKUP(C825,Stock,3,FALSE),"")</f>
        <v>Honda CR-V 17-23 5th Gen (Honda)</v>
      </c>
      <c r="E825" s="64">
        <v>1.0</v>
      </c>
      <c r="F825" s="141"/>
      <c r="G825" s="142">
        <f t="shared" si="40"/>
        <v>0</v>
      </c>
      <c r="H825" s="142"/>
      <c r="I825" s="143">
        <f t="shared" si="38"/>
        <v>0</v>
      </c>
      <c r="J825" s="144">
        <f t="shared" si="39"/>
        <v>0</v>
      </c>
      <c r="K825" s="108" t="s">
        <v>4509</v>
      </c>
      <c r="L825" s="17"/>
      <c r="M825" s="17"/>
      <c r="N825" s="68"/>
      <c r="O825" s="68"/>
      <c r="P825" s="170"/>
      <c r="Q825" s="149"/>
      <c r="R825" s="149"/>
      <c r="S825" s="149"/>
      <c r="T825" s="149"/>
      <c r="U825" s="149"/>
      <c r="V825" s="149"/>
      <c r="W825" s="149"/>
      <c r="X825" s="64" t="s">
        <v>3810</v>
      </c>
      <c r="Y825" s="68"/>
      <c r="Z825" s="68"/>
    </row>
    <row r="826" ht="15.0" customHeight="1">
      <c r="A826" s="246">
        <v>45922.0</v>
      </c>
      <c r="B826" s="201" t="s">
        <v>5061</v>
      </c>
      <c r="C826" s="45" t="s">
        <v>5063</v>
      </c>
      <c r="D826" s="140" t="str">
        <f>IFERROR(VLOOKUP(C826,Stock,3,FALSE),"")</f>
        <v>Toyota Innova 22- Zenyx 3rd Gen (Toyota)</v>
      </c>
      <c r="E826" s="45">
        <v>1.0</v>
      </c>
      <c r="F826" s="202"/>
      <c r="G826" s="142">
        <f t="shared" si="40"/>
        <v>0</v>
      </c>
      <c r="H826" s="142"/>
      <c r="I826" s="143">
        <f t="shared" si="38"/>
        <v>0</v>
      </c>
      <c r="J826" s="144">
        <f t="shared" si="39"/>
        <v>0</v>
      </c>
      <c r="K826" s="108" t="s">
        <v>4509</v>
      </c>
      <c r="L826" s="17"/>
      <c r="M826" s="17"/>
      <c r="N826" s="68"/>
      <c r="O826" s="68"/>
      <c r="P826" s="170"/>
      <c r="Q826" s="149"/>
      <c r="R826" s="149"/>
      <c r="S826" s="149"/>
      <c r="T826" s="149"/>
      <c r="U826" s="149"/>
      <c r="V826" s="149"/>
      <c r="W826" s="149"/>
      <c r="X826" s="64" t="s">
        <v>3810</v>
      </c>
      <c r="Y826" s="68"/>
      <c r="Z826" s="68"/>
    </row>
    <row r="827" ht="15.0" customHeight="1">
      <c r="A827" s="246">
        <v>45922.0</v>
      </c>
      <c r="B827" s="201" t="s">
        <v>5061</v>
      </c>
      <c r="C827" s="45" t="s">
        <v>5064</v>
      </c>
      <c r="D827" s="140" t="str">
        <f>IFERROR(VLOOKUP(C827,Stock,3,FALSE),"")</f>
        <v>Honda Freed 08-16 1st Gen (Honda)</v>
      </c>
      <c r="E827" s="45">
        <v>1.0</v>
      </c>
      <c r="F827" s="202"/>
      <c r="G827" s="142">
        <f t="shared" si="40"/>
        <v>0</v>
      </c>
      <c r="H827" s="142"/>
      <c r="I827" s="143">
        <f t="shared" si="38"/>
        <v>0</v>
      </c>
      <c r="J827" s="144">
        <f t="shared" si="39"/>
        <v>0</v>
      </c>
      <c r="K827" s="108" t="s">
        <v>4509</v>
      </c>
      <c r="L827" s="17"/>
      <c r="M827" s="17"/>
      <c r="N827" s="68"/>
      <c r="O827" s="68"/>
      <c r="P827" s="170"/>
      <c r="Q827" s="149"/>
      <c r="R827" s="149"/>
      <c r="S827" s="149"/>
      <c r="T827" s="149"/>
      <c r="U827" s="149"/>
      <c r="V827" s="149"/>
      <c r="W827" s="149"/>
      <c r="X827" s="64" t="s">
        <v>3810</v>
      </c>
      <c r="Y827" s="68"/>
      <c r="Z827" s="68"/>
    </row>
    <row r="828" ht="15.0" customHeight="1">
      <c r="A828" s="246">
        <v>45922.0</v>
      </c>
      <c r="B828" s="201" t="s">
        <v>5061</v>
      </c>
      <c r="C828" s="45" t="s">
        <v>4763</v>
      </c>
      <c r="D828" s="140" t="str">
        <f>IFERROR(VLOOKUP(C828,Stock,3,FALSE),"")</f>
        <v>Honda Freed 08-16 1st Gen (Honda)</v>
      </c>
      <c r="E828" s="45">
        <v>1.0</v>
      </c>
      <c r="F828" s="202"/>
      <c r="G828" s="142">
        <f t="shared" si="40"/>
        <v>0</v>
      </c>
      <c r="H828" s="142"/>
      <c r="I828" s="143">
        <f t="shared" si="38"/>
        <v>0</v>
      </c>
      <c r="J828" s="144">
        <f t="shared" si="39"/>
        <v>0</v>
      </c>
      <c r="K828" s="108" t="s">
        <v>4509</v>
      </c>
      <c r="L828" s="17"/>
      <c r="M828" s="17"/>
      <c r="N828" s="68"/>
      <c r="O828" s="68"/>
      <c r="P828" s="170"/>
      <c r="Q828" s="149"/>
      <c r="R828" s="149"/>
      <c r="S828" s="149"/>
      <c r="T828" s="149"/>
      <c r="U828" s="149"/>
      <c r="V828" s="149"/>
      <c r="W828" s="149"/>
      <c r="X828" s="64" t="s">
        <v>3810</v>
      </c>
      <c r="Y828" s="68"/>
      <c r="Z828" s="68"/>
    </row>
    <row r="829" ht="15.0" customHeight="1">
      <c r="A829" s="246">
        <v>45922.0</v>
      </c>
      <c r="B829" s="201" t="s">
        <v>5061</v>
      </c>
      <c r="C829" s="45" t="s">
        <v>4292</v>
      </c>
      <c r="D829" s="140" t="str">
        <f>IFERROR(VLOOKUP(C829,Stock,3,FALSE),"")</f>
        <v>Honda BR-V 22- 2nd Gen / WRV 23- (Honda)</v>
      </c>
      <c r="E829" s="45">
        <v>1.0</v>
      </c>
      <c r="F829" s="202"/>
      <c r="G829" s="142">
        <f t="shared" si="40"/>
        <v>0</v>
      </c>
      <c r="H829" s="142"/>
      <c r="I829" s="143">
        <f t="shared" si="38"/>
        <v>0</v>
      </c>
      <c r="J829" s="144">
        <f t="shared" si="39"/>
        <v>0</v>
      </c>
      <c r="K829" s="108" t="s">
        <v>4509</v>
      </c>
      <c r="L829" s="17"/>
      <c r="M829" s="17"/>
      <c r="N829" s="68"/>
      <c r="O829" s="68"/>
      <c r="P829" s="170"/>
      <c r="Q829" s="149"/>
      <c r="R829" s="149"/>
      <c r="S829" s="149"/>
      <c r="T829" s="149"/>
      <c r="U829" s="149"/>
      <c r="V829" s="149"/>
      <c r="W829" s="149"/>
      <c r="X829" s="64" t="s">
        <v>3810</v>
      </c>
      <c r="Y829" s="68"/>
      <c r="Z829" s="68"/>
    </row>
    <row r="830" ht="15.0" customHeight="1">
      <c r="A830" s="246">
        <v>45922.0</v>
      </c>
      <c r="B830" s="201" t="s">
        <v>5061</v>
      </c>
      <c r="C830" s="45" t="s">
        <v>4714</v>
      </c>
      <c r="D830" s="140" t="str">
        <f>IFERROR(VLOOKUP(C830,Stock,3,FALSE),"")</f>
        <v>Honda HR-V 14-21 5D SUV (Honda)</v>
      </c>
      <c r="E830" s="45">
        <v>1.0</v>
      </c>
      <c r="F830" s="202"/>
      <c r="G830" s="142">
        <f t="shared" si="40"/>
        <v>0</v>
      </c>
      <c r="H830" s="142"/>
      <c r="I830" s="143">
        <f t="shared" si="38"/>
        <v>0</v>
      </c>
      <c r="J830" s="144">
        <f t="shared" si="39"/>
        <v>0</v>
      </c>
      <c r="K830" s="108" t="s">
        <v>4509</v>
      </c>
      <c r="L830" s="17"/>
      <c r="M830" s="17"/>
      <c r="N830" s="68"/>
      <c r="O830" s="68"/>
      <c r="P830" s="170"/>
      <c r="Q830" s="149"/>
      <c r="R830" s="149"/>
      <c r="S830" s="149"/>
      <c r="T830" s="149"/>
      <c r="U830" s="149"/>
      <c r="V830" s="149"/>
      <c r="W830" s="149"/>
      <c r="X830" s="64" t="s">
        <v>3810</v>
      </c>
      <c r="Y830" s="68"/>
      <c r="Z830" s="68"/>
    </row>
    <row r="831" ht="15.0" customHeight="1">
      <c r="A831" s="246">
        <v>45922.0</v>
      </c>
      <c r="B831" s="201" t="s">
        <v>5061</v>
      </c>
      <c r="C831" s="45" t="s">
        <v>2952</v>
      </c>
      <c r="D831" s="140" t="str">
        <f>IFERROR(VLOOKUP(C831,Stock,3,FALSE),"")</f>
        <v/>
      </c>
      <c r="E831" s="45">
        <v>1.0</v>
      </c>
      <c r="F831" s="202"/>
      <c r="G831" s="142">
        <f t="shared" si="40"/>
        <v>0</v>
      </c>
      <c r="H831" s="142"/>
      <c r="I831" s="143">
        <f t="shared" si="38"/>
        <v>0</v>
      </c>
      <c r="J831" s="144">
        <f t="shared" si="39"/>
        <v>0</v>
      </c>
      <c r="K831" s="108" t="s">
        <v>4509</v>
      </c>
      <c r="L831" s="17"/>
      <c r="M831" s="17"/>
      <c r="N831" s="68"/>
      <c r="O831" s="68"/>
      <c r="P831" s="170"/>
      <c r="Q831" s="149"/>
      <c r="R831" s="149"/>
      <c r="S831" s="149"/>
      <c r="T831" s="149"/>
      <c r="U831" s="149"/>
      <c r="V831" s="149"/>
      <c r="W831" s="149"/>
      <c r="X831" s="64" t="s">
        <v>3810</v>
      </c>
      <c r="Y831" s="68"/>
      <c r="Z831" s="68"/>
    </row>
    <row r="832" ht="15.0" customHeight="1">
      <c r="A832" s="246">
        <v>45922.0</v>
      </c>
      <c r="B832" s="201" t="s">
        <v>5061</v>
      </c>
      <c r="C832" s="45" t="s">
        <v>3446</v>
      </c>
      <c r="D832" s="140" t="str">
        <f>IFERROR(VLOOKUP(C832,Stock,3,FALSE),"")</f>
        <v>501 Sealant Application</v>
      </c>
      <c r="E832" s="45">
        <v>11.0</v>
      </c>
      <c r="F832" s="202"/>
      <c r="G832" s="142">
        <f t="shared" si="40"/>
        <v>0</v>
      </c>
      <c r="H832" s="142"/>
      <c r="I832" s="143">
        <f t="shared" si="38"/>
        <v>0</v>
      </c>
      <c r="J832" s="144">
        <f t="shared" si="39"/>
        <v>0</v>
      </c>
      <c r="K832" s="108" t="s">
        <v>4509</v>
      </c>
      <c r="L832" s="17"/>
      <c r="M832" s="17"/>
      <c r="N832" s="68"/>
      <c r="O832" s="68"/>
      <c r="P832" s="170"/>
      <c r="Q832" s="149"/>
      <c r="R832" s="149"/>
      <c r="S832" s="149"/>
      <c r="T832" s="149"/>
      <c r="U832" s="149"/>
      <c r="V832" s="149"/>
      <c r="W832" s="149"/>
      <c r="X832" s="64" t="s">
        <v>3810</v>
      </c>
      <c r="Y832" s="68"/>
      <c r="Z832" s="68"/>
    </row>
    <row r="833" ht="15.0" customHeight="1">
      <c r="A833" s="246">
        <v>45922.0</v>
      </c>
      <c r="B833" s="201" t="s">
        <v>5065</v>
      </c>
      <c r="C833" s="45" t="s">
        <v>5066</v>
      </c>
      <c r="D833" s="140" t="str">
        <f>IFERROR(VLOOKUP(C833,Stock,3,FALSE),"")</f>
        <v>Suzuki Baleno 96-01</v>
      </c>
      <c r="E833" s="45">
        <v>1.0</v>
      </c>
      <c r="F833" s="198">
        <v>1243000.0</v>
      </c>
      <c r="G833" s="142">
        <f t="shared" si="40"/>
        <v>1243000</v>
      </c>
      <c r="H833" s="142"/>
      <c r="I833" s="143">
        <f t="shared" si="38"/>
        <v>1243000</v>
      </c>
      <c r="J833" s="144">
        <f t="shared" si="39"/>
        <v>1243000</v>
      </c>
      <c r="K833" s="108" t="s">
        <v>5067</v>
      </c>
      <c r="L833" s="199" t="s">
        <v>5068</v>
      </c>
      <c r="M833" s="17"/>
      <c r="N833" s="64" t="s">
        <v>5069</v>
      </c>
      <c r="O833" s="64" t="s">
        <v>2813</v>
      </c>
      <c r="P833" s="147" t="s">
        <v>4672</v>
      </c>
      <c r="Q833" s="149"/>
      <c r="R833" s="141"/>
      <c r="S833" s="141"/>
      <c r="T833" s="141">
        <v>1243000.0</v>
      </c>
      <c r="U833" s="149"/>
      <c r="V833" s="149"/>
      <c r="W833" s="149"/>
      <c r="X833" s="64" t="s">
        <v>3810</v>
      </c>
      <c r="Y833" s="68"/>
      <c r="Z833" s="68"/>
    </row>
    <row r="834" ht="15.0" customHeight="1">
      <c r="A834" s="249">
        <v>45922.0</v>
      </c>
      <c r="B834" s="250" t="s">
        <v>5070</v>
      </c>
      <c r="C834" s="251" t="s">
        <v>2830</v>
      </c>
      <c r="D834" s="252" t="str">
        <f>IFERROR(VLOOKUP(C834,Stock,3,FALSE),"")</f>
        <v/>
      </c>
      <c r="E834" s="251"/>
      <c r="F834" s="253">
        <v>1029000.0</v>
      </c>
      <c r="G834" s="254">
        <f t="shared" si="40"/>
        <v>0</v>
      </c>
      <c r="H834" s="254"/>
      <c r="I834" s="255">
        <f t="shared" si="38"/>
        <v>0</v>
      </c>
      <c r="J834" s="256">
        <f t="shared" si="39"/>
        <v>0</v>
      </c>
      <c r="K834" s="257" t="s">
        <v>5071</v>
      </c>
      <c r="L834" s="258" t="s">
        <v>5072</v>
      </c>
      <c r="M834" s="259"/>
      <c r="N834" s="260" t="s">
        <v>5073</v>
      </c>
      <c r="O834" s="260" t="s">
        <v>3033</v>
      </c>
      <c r="P834" s="261"/>
      <c r="Q834" s="262"/>
      <c r="R834" s="263"/>
      <c r="S834" s="263"/>
      <c r="T834" s="263" t="s">
        <v>5074</v>
      </c>
      <c r="U834" s="262"/>
      <c r="V834" s="262"/>
      <c r="W834" s="262"/>
      <c r="X834" s="260" t="s">
        <v>3810</v>
      </c>
      <c r="Y834" s="68"/>
      <c r="Z834" s="68"/>
    </row>
    <row r="835" ht="15.0" customHeight="1">
      <c r="A835" s="246">
        <v>45923.0</v>
      </c>
      <c r="B835" s="201" t="s">
        <v>5075</v>
      </c>
      <c r="C835" s="45" t="s">
        <v>4740</v>
      </c>
      <c r="D835" s="140" t="str">
        <f>IFERROR(VLOOKUP(C835,Stock,3,FALSE),"")</f>
        <v>Nissan X-Trail 13- T32 (1 Sensor)</v>
      </c>
      <c r="E835" s="45">
        <v>1.0</v>
      </c>
      <c r="F835" s="198">
        <v>2550000.0</v>
      </c>
      <c r="G835" s="142">
        <f t="shared" si="40"/>
        <v>2550000</v>
      </c>
      <c r="H835" s="142"/>
      <c r="I835" s="143">
        <f t="shared" si="38"/>
        <v>2550000</v>
      </c>
      <c r="J835" s="144">
        <f t="shared" si="39"/>
        <v>2550000</v>
      </c>
      <c r="K835" s="108" t="s">
        <v>5076</v>
      </c>
      <c r="L835" s="199" t="s">
        <v>5077</v>
      </c>
      <c r="M835" s="17"/>
      <c r="N835" s="64" t="s">
        <v>5078</v>
      </c>
      <c r="O835" s="64" t="s">
        <v>2807</v>
      </c>
      <c r="P835" s="147" t="s">
        <v>4672</v>
      </c>
      <c r="Q835" s="149"/>
      <c r="R835" s="141"/>
      <c r="S835" s="141"/>
      <c r="T835" s="141">
        <v>2550000.0</v>
      </c>
      <c r="U835" s="149"/>
      <c r="V835" s="149"/>
      <c r="W835" s="149"/>
      <c r="X835" s="64" t="s">
        <v>3810</v>
      </c>
      <c r="Y835" s="68"/>
      <c r="Z835" s="68"/>
    </row>
    <row r="836" ht="15.0" customHeight="1">
      <c r="A836" s="246">
        <v>45923.0</v>
      </c>
      <c r="B836" s="201" t="s">
        <v>5079</v>
      </c>
      <c r="C836" s="45" t="s">
        <v>5080</v>
      </c>
      <c r="D836" s="140" t="str">
        <f>IFERROR(VLOOKUP(C836,Stock,3,FALSE),"")</f>
        <v>Lexus RX (Harrier) 03-08 XU30</v>
      </c>
      <c r="E836" s="45">
        <v>1.0</v>
      </c>
      <c r="F836" s="198">
        <v>4165000.0</v>
      </c>
      <c r="G836" s="142">
        <f t="shared" si="40"/>
        <v>4165000</v>
      </c>
      <c r="H836" s="142"/>
      <c r="I836" s="143">
        <f t="shared" si="38"/>
        <v>4165000</v>
      </c>
      <c r="J836" s="144">
        <f t="shared" si="39"/>
        <v>4165000</v>
      </c>
      <c r="K836" s="108" t="s">
        <v>5081</v>
      </c>
      <c r="L836" s="199" t="s">
        <v>5082</v>
      </c>
      <c r="M836" s="17"/>
      <c r="N836" s="64" t="s">
        <v>5083</v>
      </c>
      <c r="O836" s="64" t="s">
        <v>2813</v>
      </c>
      <c r="P836" s="147" t="s">
        <v>4672</v>
      </c>
      <c r="Q836" s="149"/>
      <c r="R836" s="141"/>
      <c r="S836" s="141"/>
      <c r="T836" s="141">
        <v>4365000.0</v>
      </c>
      <c r="U836" s="149"/>
      <c r="V836" s="149"/>
      <c r="W836" s="149"/>
      <c r="X836" s="64" t="s">
        <v>3810</v>
      </c>
      <c r="Y836" s="68"/>
      <c r="Z836" s="68"/>
    </row>
    <row r="837" ht="15.0" customHeight="1">
      <c r="A837" s="246">
        <v>45923.0</v>
      </c>
      <c r="B837" s="201" t="s">
        <v>5079</v>
      </c>
      <c r="C837" s="45" t="s">
        <v>4979</v>
      </c>
      <c r="D837" s="140" t="str">
        <f>IFERROR(VLOOKUP(C837,Stock,3,FALSE),"")</f>
        <v>255 Ultra + Actv-100 Application</v>
      </c>
      <c r="E837" s="45">
        <v>1.0</v>
      </c>
      <c r="F837" s="198">
        <v>200000.0</v>
      </c>
      <c r="G837" s="142">
        <f t="shared" si="40"/>
        <v>200000</v>
      </c>
      <c r="H837" s="142"/>
      <c r="I837" s="143">
        <f t="shared" si="38"/>
        <v>200000</v>
      </c>
      <c r="J837" s="144">
        <f t="shared" si="39"/>
        <v>200000</v>
      </c>
      <c r="K837" s="108" t="s">
        <v>5081</v>
      </c>
      <c r="L837" s="199" t="s">
        <v>5082</v>
      </c>
      <c r="M837" s="68"/>
      <c r="N837" s="64" t="s">
        <v>5083</v>
      </c>
      <c r="O837" s="64" t="s">
        <v>2813</v>
      </c>
      <c r="P837" s="147" t="s">
        <v>4672</v>
      </c>
      <c r="Q837" s="149"/>
      <c r="R837" s="149"/>
      <c r="S837" s="149"/>
      <c r="T837" s="149"/>
      <c r="U837" s="149"/>
      <c r="V837" s="149"/>
      <c r="W837" s="149"/>
      <c r="X837" s="64" t="s">
        <v>3810</v>
      </c>
      <c r="Y837" s="68"/>
      <c r="Z837" s="68"/>
    </row>
    <row r="838" ht="15.0" customHeight="1">
      <c r="A838" s="246">
        <v>45923.0</v>
      </c>
      <c r="B838" s="201" t="s">
        <v>5084</v>
      </c>
      <c r="C838" s="45" t="s">
        <v>3662</v>
      </c>
      <c r="D838" s="140" t="str">
        <f>IFERROR(VLOOKUP(C838,Stock,3,FALSE),"")</f>
        <v>Toyota Innova 15-22 2nd Gen (Toyota)</v>
      </c>
      <c r="E838" s="45">
        <v>1.0</v>
      </c>
      <c r="F838" s="198">
        <v>2889000.0</v>
      </c>
      <c r="G838" s="142">
        <f t="shared" si="40"/>
        <v>2889000</v>
      </c>
      <c r="H838" s="142"/>
      <c r="I838" s="143">
        <f t="shared" si="38"/>
        <v>2889000</v>
      </c>
      <c r="J838" s="144">
        <f t="shared" si="39"/>
        <v>2889000</v>
      </c>
      <c r="K838" s="108" t="s">
        <v>2870</v>
      </c>
      <c r="L838" s="199" t="s">
        <v>5085</v>
      </c>
      <c r="M838" s="17"/>
      <c r="N838" s="64" t="s">
        <v>5086</v>
      </c>
      <c r="O838" s="64" t="s">
        <v>2987</v>
      </c>
      <c r="P838" s="147" t="s">
        <v>4672</v>
      </c>
      <c r="Q838" s="149"/>
      <c r="R838" s="141"/>
      <c r="S838" s="141"/>
      <c r="T838" s="141">
        <v>50000.0</v>
      </c>
      <c r="U838" s="149"/>
      <c r="V838" s="149"/>
      <c r="W838" s="149"/>
      <c r="X838" s="64" t="s">
        <v>3810</v>
      </c>
      <c r="Y838" s="68"/>
      <c r="Z838" s="68"/>
    </row>
    <row r="839" ht="15.0" customHeight="1">
      <c r="A839" s="246">
        <v>45923.0</v>
      </c>
      <c r="B839" s="201" t="s">
        <v>5084</v>
      </c>
      <c r="C839" s="45" t="s">
        <v>4979</v>
      </c>
      <c r="D839" s="140" t="str">
        <f>IFERROR(VLOOKUP(C839,Stock,3,FALSE),"")</f>
        <v>255 Ultra + Actv-100 Application</v>
      </c>
      <c r="E839" s="45">
        <v>1.0</v>
      </c>
      <c r="F839" s="198">
        <v>200000.0</v>
      </c>
      <c r="G839" s="142">
        <f t="shared" si="40"/>
        <v>200000</v>
      </c>
      <c r="H839" s="142"/>
      <c r="I839" s="143">
        <f t="shared" si="38"/>
        <v>200000</v>
      </c>
      <c r="J839" s="144">
        <f t="shared" si="39"/>
        <v>200000</v>
      </c>
      <c r="K839" s="108" t="s">
        <v>2870</v>
      </c>
      <c r="L839" s="199" t="s">
        <v>5085</v>
      </c>
      <c r="M839" s="17"/>
      <c r="N839" s="64" t="s">
        <v>5086</v>
      </c>
      <c r="O839" s="64" t="s">
        <v>2987</v>
      </c>
      <c r="P839" s="147" t="s">
        <v>4672</v>
      </c>
      <c r="Q839" s="149"/>
      <c r="R839" s="141"/>
      <c r="S839" s="141"/>
      <c r="T839" s="141">
        <v>3039000.0</v>
      </c>
      <c r="U839" s="149"/>
      <c r="V839" s="149"/>
      <c r="W839" s="149"/>
      <c r="X839" s="64" t="s">
        <v>3810</v>
      </c>
      <c r="Y839" s="68"/>
      <c r="Z839" s="68"/>
    </row>
    <row r="840" ht="15.0" customHeight="1">
      <c r="A840" s="246">
        <v>45923.0</v>
      </c>
      <c r="B840" s="201" t="s">
        <v>5087</v>
      </c>
      <c r="C840" s="45" t="s">
        <v>5088</v>
      </c>
      <c r="D840" s="140" t="str">
        <f>IFERROR(VLOOKUP(C840,Stock,3,FALSE),"")</f>
        <v>Kia Travello / Big Up</v>
      </c>
      <c r="E840" s="45">
        <v>1.0</v>
      </c>
      <c r="F840" s="198">
        <v>1920000.0</v>
      </c>
      <c r="G840" s="142">
        <f t="shared" si="40"/>
        <v>1920000</v>
      </c>
      <c r="H840" s="142"/>
      <c r="I840" s="143">
        <f t="shared" si="38"/>
        <v>1920000</v>
      </c>
      <c r="J840" s="144">
        <f t="shared" si="39"/>
        <v>1920000</v>
      </c>
      <c r="K840" s="108" t="s">
        <v>3825</v>
      </c>
      <c r="L840" s="199" t="s">
        <v>5089</v>
      </c>
      <c r="M840" s="17"/>
      <c r="N840" s="64" t="s">
        <v>5090</v>
      </c>
      <c r="O840" s="64" t="s">
        <v>2813</v>
      </c>
      <c r="P840" s="147" t="s">
        <v>4672</v>
      </c>
      <c r="Q840" s="149"/>
      <c r="R840" s="141"/>
      <c r="S840" s="141"/>
      <c r="T840" s="141">
        <v>2195000.0</v>
      </c>
      <c r="U840" s="149"/>
      <c r="V840" s="149"/>
      <c r="W840" s="149"/>
      <c r="X840" s="64" t="s">
        <v>3810</v>
      </c>
      <c r="Y840" s="68"/>
      <c r="Z840" s="68"/>
    </row>
    <row r="841" ht="15.0" customHeight="1">
      <c r="A841" s="246">
        <v>45923.0</v>
      </c>
      <c r="B841" s="201" t="s">
        <v>5087</v>
      </c>
      <c r="C841" s="45" t="s">
        <v>3434</v>
      </c>
      <c r="D841" s="140" t="str">
        <f>IFERROR(VLOOKUP(C841,Stock,3,FALSE),"")</f>
        <v>List Kaca Depan Code 04</v>
      </c>
      <c r="E841" s="45">
        <v>1.0</v>
      </c>
      <c r="F841" s="198">
        <v>275000.0</v>
      </c>
      <c r="G841" s="142">
        <f t="shared" si="40"/>
        <v>275000</v>
      </c>
      <c r="H841" s="142"/>
      <c r="I841" s="143">
        <f t="shared" si="38"/>
        <v>275000</v>
      </c>
      <c r="J841" s="144">
        <f t="shared" si="39"/>
        <v>275000</v>
      </c>
      <c r="K841" s="108" t="s">
        <v>3825</v>
      </c>
      <c r="L841" s="199" t="s">
        <v>5089</v>
      </c>
      <c r="M841" s="17"/>
      <c r="N841" s="64" t="s">
        <v>5090</v>
      </c>
      <c r="O841" s="64" t="s">
        <v>2813</v>
      </c>
      <c r="P841" s="147" t="s">
        <v>4672</v>
      </c>
      <c r="Q841" s="149"/>
      <c r="R841" s="149"/>
      <c r="S841" s="149"/>
      <c r="T841" s="149"/>
      <c r="U841" s="149"/>
      <c r="V841" s="149"/>
      <c r="W841" s="149"/>
      <c r="X841" s="64" t="s">
        <v>3810</v>
      </c>
      <c r="Y841" s="68"/>
      <c r="Z841" s="68"/>
    </row>
    <row r="842" ht="15.0" customHeight="1">
      <c r="A842" s="246">
        <v>45923.0</v>
      </c>
      <c r="B842" s="201" t="s">
        <v>5091</v>
      </c>
      <c r="C842" s="264" t="s">
        <v>5092</v>
      </c>
      <c r="D842" s="140" t="str">
        <f>IFERROR(VLOOKUP(C842,Stock,3,FALSE),"")</f>
        <v>Honda BR-V 16-</v>
      </c>
      <c r="E842" s="45">
        <v>1.0</v>
      </c>
      <c r="F842" s="202"/>
      <c r="G842" s="142">
        <f t="shared" si="40"/>
        <v>0</v>
      </c>
      <c r="H842" s="142"/>
      <c r="I842" s="143">
        <f t="shared" si="38"/>
        <v>0</v>
      </c>
      <c r="J842" s="144">
        <f t="shared" si="39"/>
        <v>0</v>
      </c>
      <c r="K842" s="108" t="s">
        <v>4509</v>
      </c>
      <c r="L842" s="17"/>
      <c r="M842" s="17"/>
      <c r="N842" s="68"/>
      <c r="O842" s="64" t="s">
        <v>4175</v>
      </c>
      <c r="P842" s="147"/>
      <c r="Q842" s="149"/>
      <c r="R842" s="149"/>
      <c r="S842" s="149"/>
      <c r="T842" s="149"/>
      <c r="U842" s="149"/>
      <c r="V842" s="149"/>
      <c r="W842" s="149"/>
      <c r="X842" s="64" t="s">
        <v>3810</v>
      </c>
      <c r="Y842" s="68"/>
      <c r="Z842" s="68"/>
    </row>
    <row r="843" ht="15.0" customHeight="1">
      <c r="A843" s="246">
        <v>45923.0</v>
      </c>
      <c r="B843" s="201" t="s">
        <v>5091</v>
      </c>
      <c r="C843" s="264" t="s">
        <v>4609</v>
      </c>
      <c r="D843" s="140" t="str">
        <f>IFERROR(VLOOKUP(C843,Stock,3,FALSE),"")</f>
        <v>Mazda Biante 08- (Hitam)</v>
      </c>
      <c r="E843" s="45">
        <v>1.0</v>
      </c>
      <c r="F843" s="202"/>
      <c r="G843" s="142">
        <f t="shared" si="40"/>
        <v>0</v>
      </c>
      <c r="H843" s="142"/>
      <c r="I843" s="143">
        <f t="shared" si="38"/>
        <v>0</v>
      </c>
      <c r="J843" s="144">
        <f t="shared" si="39"/>
        <v>0</v>
      </c>
      <c r="K843" s="108" t="s">
        <v>4509</v>
      </c>
      <c r="L843" s="17"/>
      <c r="M843" s="17"/>
      <c r="N843" s="68"/>
      <c r="O843" s="64" t="s">
        <v>4175</v>
      </c>
      <c r="P843" s="147"/>
      <c r="Q843" s="149"/>
      <c r="R843" s="149"/>
      <c r="S843" s="149"/>
      <c r="T843" s="149"/>
      <c r="U843" s="149"/>
      <c r="V843" s="149"/>
      <c r="W843" s="149"/>
      <c r="X843" s="64" t="s">
        <v>3810</v>
      </c>
      <c r="Y843" s="68"/>
      <c r="Z843" s="68"/>
    </row>
    <row r="844" ht="15.0" customHeight="1">
      <c r="A844" s="265">
        <v>45923.0</v>
      </c>
      <c r="B844" s="266" t="s">
        <v>5093</v>
      </c>
      <c r="C844" s="267" t="s">
        <v>4778</v>
      </c>
      <c r="D844" s="268" t="str">
        <f>IFERROR(VLOOKUP(C844,Stock,3,FALSE),"")</f>
        <v>Honda BR-V 22- 2nd Gen / WRV 23- (1 Sensor / Big /\ ) (Honda)</v>
      </c>
      <c r="E844" s="269">
        <v>1.0</v>
      </c>
      <c r="F844" s="270"/>
      <c r="G844" s="271">
        <f t="shared" si="40"/>
        <v>0</v>
      </c>
      <c r="H844" s="271"/>
      <c r="I844" s="272">
        <f t="shared" si="38"/>
        <v>0</v>
      </c>
      <c r="J844" s="273">
        <f t="shared" si="39"/>
        <v>0</v>
      </c>
      <c r="K844" s="267" t="s">
        <v>4509</v>
      </c>
      <c r="L844" s="274"/>
      <c r="M844" s="274"/>
      <c r="N844" s="275"/>
      <c r="O844" s="275"/>
      <c r="P844" s="276"/>
      <c r="Q844" s="277"/>
      <c r="R844" s="277"/>
      <c r="S844" s="277"/>
      <c r="T844" s="277"/>
      <c r="U844" s="277"/>
      <c r="V844" s="277"/>
      <c r="W844" s="277"/>
      <c r="X844" s="278" t="s">
        <v>4772</v>
      </c>
      <c r="Y844" s="275"/>
      <c r="Z844" s="275"/>
    </row>
    <row r="845" ht="15.0" customHeight="1">
      <c r="A845" s="265">
        <v>45923.0</v>
      </c>
      <c r="B845" s="266" t="s">
        <v>5093</v>
      </c>
      <c r="C845" s="267" t="s">
        <v>4714</v>
      </c>
      <c r="D845" s="268" t="str">
        <f>IFERROR(VLOOKUP(C845,Stock,3,FALSE),"")</f>
        <v>Honda HR-V 14-21 5D SUV (Honda)</v>
      </c>
      <c r="E845" s="269">
        <v>1.0</v>
      </c>
      <c r="F845" s="270"/>
      <c r="G845" s="271">
        <f t="shared" si="40"/>
        <v>0</v>
      </c>
      <c r="H845" s="271"/>
      <c r="I845" s="272">
        <f t="shared" si="38"/>
        <v>0</v>
      </c>
      <c r="J845" s="273">
        <f t="shared" si="39"/>
        <v>0</v>
      </c>
      <c r="K845" s="267" t="s">
        <v>4509</v>
      </c>
      <c r="L845" s="274"/>
      <c r="M845" s="274"/>
      <c r="N845" s="275"/>
      <c r="O845" s="275"/>
      <c r="P845" s="276"/>
      <c r="Q845" s="277"/>
      <c r="R845" s="277"/>
      <c r="S845" s="277"/>
      <c r="T845" s="277"/>
      <c r="U845" s="277"/>
      <c r="V845" s="277"/>
      <c r="W845" s="277"/>
      <c r="X845" s="278" t="s">
        <v>4772</v>
      </c>
      <c r="Y845" s="275"/>
      <c r="Z845" s="275"/>
    </row>
    <row r="846" ht="15.0" customHeight="1">
      <c r="A846" s="265">
        <v>45924.0</v>
      </c>
      <c r="B846" s="266" t="s">
        <v>5094</v>
      </c>
      <c r="C846" s="269" t="s">
        <v>4663</v>
      </c>
      <c r="D846" s="268" t="str">
        <f>IFERROR(VLOOKUP(C846,Stock,3,FALSE),"")</f>
        <v>Toyota Raize / Daihatsu Rocky 20- (Toyota/Daihatsu)</v>
      </c>
      <c r="E846" s="269">
        <v>2.0</v>
      </c>
      <c r="F846" s="270"/>
      <c r="G846" s="271">
        <f t="shared" si="40"/>
        <v>0</v>
      </c>
      <c r="H846" s="271"/>
      <c r="I846" s="272">
        <f t="shared" si="38"/>
        <v>0</v>
      </c>
      <c r="J846" s="273">
        <f t="shared" si="39"/>
        <v>0</v>
      </c>
      <c r="K846" s="267" t="s">
        <v>4509</v>
      </c>
      <c r="L846" s="274"/>
      <c r="M846" s="274"/>
      <c r="N846" s="275"/>
      <c r="O846" s="275"/>
      <c r="P846" s="276"/>
      <c r="Q846" s="277"/>
      <c r="R846" s="277"/>
      <c r="S846" s="277"/>
      <c r="T846" s="277"/>
      <c r="U846" s="277"/>
      <c r="V846" s="277"/>
      <c r="W846" s="277"/>
      <c r="X846" s="278" t="s">
        <v>4772</v>
      </c>
      <c r="Y846" s="275"/>
      <c r="Z846" s="275"/>
    </row>
    <row r="847" ht="15.0" customHeight="1">
      <c r="A847" s="246">
        <v>45924.0</v>
      </c>
      <c r="B847" s="201" t="s">
        <v>5095</v>
      </c>
      <c r="C847" s="45" t="s">
        <v>5096</v>
      </c>
      <c r="D847" s="140" t="str">
        <f>IFERROR(VLOOKUP(C847,Stock,3,FALSE),"")</f>
        <v>Suzuki Baleno 16- SX4 Scross Hatchback (1 Sensor / I )</v>
      </c>
      <c r="E847" s="45">
        <v>1.0</v>
      </c>
      <c r="F847" s="198">
        <v>1900000.0</v>
      </c>
      <c r="G847" s="142">
        <f t="shared" si="40"/>
        <v>1900000</v>
      </c>
      <c r="H847" s="142"/>
      <c r="I847" s="143">
        <f t="shared" si="38"/>
        <v>1900000</v>
      </c>
      <c r="J847" s="144">
        <f t="shared" si="39"/>
        <v>1900000</v>
      </c>
      <c r="K847" s="108" t="s">
        <v>5097</v>
      </c>
      <c r="L847" s="199" t="s">
        <v>5098</v>
      </c>
      <c r="M847" s="17"/>
      <c r="N847" s="64" t="s">
        <v>5099</v>
      </c>
      <c r="O847" s="64" t="s">
        <v>2813</v>
      </c>
      <c r="P847" s="147" t="s">
        <v>4672</v>
      </c>
      <c r="Q847" s="149"/>
      <c r="R847" s="141"/>
      <c r="S847" s="141"/>
      <c r="T847" s="141">
        <v>30000.0</v>
      </c>
      <c r="U847" s="149"/>
      <c r="V847" s="149"/>
      <c r="W847" s="149"/>
      <c r="X847" s="64" t="s">
        <v>3810</v>
      </c>
      <c r="Y847" s="68"/>
      <c r="Z847" s="68"/>
    </row>
    <row r="848" ht="15.0" customHeight="1">
      <c r="A848" s="246">
        <v>45924.0</v>
      </c>
      <c r="B848" s="201" t="s">
        <v>5095</v>
      </c>
      <c r="C848" s="45" t="s">
        <v>4979</v>
      </c>
      <c r="D848" s="140" t="str">
        <f>IFERROR(VLOOKUP(C848,Stock,3,FALSE),"")</f>
        <v>255 Ultra + Actv-100 Application</v>
      </c>
      <c r="E848" s="45">
        <v>1.0</v>
      </c>
      <c r="F848" s="198">
        <v>200000.0</v>
      </c>
      <c r="G848" s="142">
        <f t="shared" si="40"/>
        <v>200000</v>
      </c>
      <c r="H848" s="142"/>
      <c r="I848" s="143">
        <f t="shared" si="38"/>
        <v>200000</v>
      </c>
      <c r="J848" s="144">
        <f t="shared" si="39"/>
        <v>200000</v>
      </c>
      <c r="K848" s="108" t="s">
        <v>5097</v>
      </c>
      <c r="L848" s="199" t="s">
        <v>5098</v>
      </c>
      <c r="M848" s="17"/>
      <c r="N848" s="64" t="s">
        <v>5099</v>
      </c>
      <c r="O848" s="64" t="s">
        <v>2813</v>
      </c>
      <c r="P848" s="147" t="s">
        <v>4672</v>
      </c>
      <c r="Q848" s="149"/>
      <c r="R848" s="141"/>
      <c r="S848" s="141"/>
      <c r="T848" s="141">
        <v>2170000.0</v>
      </c>
      <c r="U848" s="149"/>
      <c r="V848" s="149"/>
      <c r="W848" s="149"/>
      <c r="X848" s="64" t="s">
        <v>3810</v>
      </c>
      <c r="Y848" s="68"/>
      <c r="Z848" s="68"/>
    </row>
    <row r="849" ht="15.0" customHeight="1">
      <c r="A849" s="246">
        <v>45924.0</v>
      </c>
      <c r="B849" s="201" t="s">
        <v>5095</v>
      </c>
      <c r="C849" s="45" t="s">
        <v>2770</v>
      </c>
      <c r="D849" s="140" t="str">
        <f>IFERROR(VLOOKUP(C849,Stock,3,FALSE),"")</f>
        <v>Transport</v>
      </c>
      <c r="E849" s="45">
        <v>1.0</v>
      </c>
      <c r="F849" s="198">
        <v>100000.0</v>
      </c>
      <c r="G849" s="142">
        <f t="shared" si="40"/>
        <v>100000</v>
      </c>
      <c r="H849" s="142"/>
      <c r="I849" s="143">
        <f t="shared" si="38"/>
        <v>100000</v>
      </c>
      <c r="J849" s="144">
        <f t="shared" si="39"/>
        <v>100000</v>
      </c>
      <c r="K849" s="108" t="s">
        <v>5097</v>
      </c>
      <c r="L849" s="199" t="s">
        <v>5098</v>
      </c>
      <c r="M849" s="17"/>
      <c r="N849" s="64" t="s">
        <v>5099</v>
      </c>
      <c r="O849" s="64" t="s">
        <v>2813</v>
      </c>
      <c r="P849" s="147" t="s">
        <v>4672</v>
      </c>
      <c r="Q849" s="149"/>
      <c r="R849" s="149"/>
      <c r="S849" s="149"/>
      <c r="T849" s="149"/>
      <c r="U849" s="149"/>
      <c r="V849" s="149"/>
      <c r="W849" s="149"/>
      <c r="X849" s="64" t="s">
        <v>3810</v>
      </c>
      <c r="Y849" s="68"/>
      <c r="Z849" s="68"/>
    </row>
    <row r="850" ht="15.0" customHeight="1">
      <c r="A850" s="246">
        <v>45924.0</v>
      </c>
      <c r="B850" s="201" t="s">
        <v>5100</v>
      </c>
      <c r="C850" s="45" t="s">
        <v>3572</v>
      </c>
      <c r="D850" s="140" t="str">
        <f>IFERROR(VLOOKUP(C850,Stock,3,FALSE),"")</f>
        <v>Toyota Innova 15- 2nd Gen</v>
      </c>
      <c r="E850" s="45">
        <v>1.0</v>
      </c>
      <c r="F850" s="198">
        <v>890000.0</v>
      </c>
      <c r="G850" s="142">
        <f t="shared" si="40"/>
        <v>890000</v>
      </c>
      <c r="H850" s="142"/>
      <c r="I850" s="143">
        <f t="shared" si="38"/>
        <v>890000</v>
      </c>
      <c r="J850" s="144">
        <f t="shared" si="39"/>
        <v>890000</v>
      </c>
      <c r="K850" s="108" t="s">
        <v>5101</v>
      </c>
      <c r="L850" s="199" t="s">
        <v>5102</v>
      </c>
      <c r="M850" s="17"/>
      <c r="N850" s="64" t="s">
        <v>5103</v>
      </c>
      <c r="O850" s="64" t="s">
        <v>2813</v>
      </c>
      <c r="P850" s="147" t="s">
        <v>4672</v>
      </c>
      <c r="Q850" s="149"/>
      <c r="R850" s="141"/>
      <c r="S850" s="141"/>
      <c r="T850" s="141">
        <v>890000.0</v>
      </c>
      <c r="U850" s="149"/>
      <c r="V850" s="149"/>
      <c r="W850" s="149"/>
      <c r="X850" s="64" t="s">
        <v>3810</v>
      </c>
      <c r="Y850" s="68"/>
      <c r="Z850" s="68"/>
    </row>
    <row r="851" ht="15.0" customHeight="1">
      <c r="A851" s="246">
        <v>45924.0</v>
      </c>
      <c r="B851" s="201" t="s">
        <v>5104</v>
      </c>
      <c r="C851" s="45" t="s">
        <v>5105</v>
      </c>
      <c r="D851" s="140" t="str">
        <f>IFERROR(VLOOKUP(C851,Stock,3,FALSE),"")</f>
        <v>MG ZS SUV 17-</v>
      </c>
      <c r="E851" s="45">
        <v>1.0</v>
      </c>
      <c r="F851" s="198">
        <v>2250000.0</v>
      </c>
      <c r="G851" s="142">
        <f t="shared" si="40"/>
        <v>2250000</v>
      </c>
      <c r="H851" s="143">
        <v>100000.0</v>
      </c>
      <c r="I851" s="143">
        <f t="shared" si="38"/>
        <v>2150000</v>
      </c>
      <c r="J851" s="144">
        <f t="shared" si="39"/>
        <v>2150000</v>
      </c>
      <c r="K851" s="108" t="s">
        <v>5106</v>
      </c>
      <c r="L851" s="199" t="s">
        <v>5107</v>
      </c>
      <c r="M851" s="17"/>
      <c r="N851" s="64" t="s">
        <v>5108</v>
      </c>
      <c r="O851" s="64" t="s">
        <v>2813</v>
      </c>
      <c r="P851" s="147" t="s">
        <v>4672</v>
      </c>
      <c r="Q851" s="149"/>
      <c r="R851" s="141"/>
      <c r="S851" s="141"/>
      <c r="T851" s="141">
        <v>2150000.0</v>
      </c>
      <c r="U851" s="149"/>
      <c r="V851" s="149"/>
      <c r="W851" s="149"/>
      <c r="X851" s="64" t="s">
        <v>3810</v>
      </c>
      <c r="Y851" s="68"/>
      <c r="Z851" s="68"/>
    </row>
    <row r="852" ht="15.0" customHeight="1">
      <c r="A852" s="246">
        <v>45924.0</v>
      </c>
      <c r="B852" s="201" t="s">
        <v>5109</v>
      </c>
      <c r="C852" s="45" t="s">
        <v>5110</v>
      </c>
      <c r="D852" s="140" t="str">
        <f>IFERROR(VLOOKUP(C852,Stock,3,FALSE),"")</f>
        <v>Ford EcoSport 13- B515</v>
      </c>
      <c r="E852" s="45">
        <v>1.0</v>
      </c>
      <c r="F852" s="198">
        <v>2275000.0</v>
      </c>
      <c r="G852" s="142">
        <f t="shared" si="40"/>
        <v>2275000</v>
      </c>
      <c r="H852" s="142"/>
      <c r="I852" s="143">
        <f t="shared" si="38"/>
        <v>2275000</v>
      </c>
      <c r="J852" s="144">
        <f t="shared" si="39"/>
        <v>2275000</v>
      </c>
      <c r="K852" s="108" t="s">
        <v>5111</v>
      </c>
      <c r="L852" s="199" t="s">
        <v>5112</v>
      </c>
      <c r="M852" s="17"/>
      <c r="N852" s="64" t="s">
        <v>4270</v>
      </c>
      <c r="O852" s="64" t="s">
        <v>2813</v>
      </c>
      <c r="P852" s="147" t="s">
        <v>4672</v>
      </c>
      <c r="Q852" s="149"/>
      <c r="R852" s="141"/>
      <c r="S852" s="141"/>
      <c r="T852" s="141">
        <v>2275000.0</v>
      </c>
      <c r="U852" s="149"/>
      <c r="V852" s="149"/>
      <c r="W852" s="149"/>
      <c r="X852" s="64" t="s">
        <v>3810</v>
      </c>
      <c r="Y852" s="68"/>
      <c r="Z852" s="68"/>
    </row>
    <row r="853" ht="15.0" customHeight="1">
      <c r="A853" s="246">
        <v>45924.0</v>
      </c>
      <c r="B853" s="201" t="s">
        <v>5113</v>
      </c>
      <c r="C853" s="45" t="s">
        <v>5114</v>
      </c>
      <c r="D853" s="140" t="str">
        <f>IFERROR(VLOOKUP(C853,Stock,3,FALSE),"")</f>
        <v>Daihatsu Sirion 11-18 2nd Gen</v>
      </c>
      <c r="E853" s="45">
        <v>1.0</v>
      </c>
      <c r="F853" s="198">
        <v>1750000.0</v>
      </c>
      <c r="G853" s="142">
        <f t="shared" si="40"/>
        <v>1750000</v>
      </c>
      <c r="H853" s="142"/>
      <c r="I853" s="143">
        <f t="shared" si="38"/>
        <v>1750000</v>
      </c>
      <c r="J853" s="144">
        <f t="shared" si="39"/>
        <v>1750000</v>
      </c>
      <c r="K853" s="108" t="s">
        <v>5115</v>
      </c>
      <c r="L853" s="199" t="s">
        <v>5116</v>
      </c>
      <c r="M853" s="17"/>
      <c r="N853" s="64" t="s">
        <v>5117</v>
      </c>
      <c r="O853" s="64" t="s">
        <v>2813</v>
      </c>
      <c r="P853" s="147" t="s">
        <v>4672</v>
      </c>
      <c r="Q853" s="149"/>
      <c r="R853" s="141"/>
      <c r="S853" s="141"/>
      <c r="T853" s="141">
        <v>30000.0</v>
      </c>
      <c r="U853" s="149"/>
      <c r="V853" s="149"/>
      <c r="W853" s="149"/>
      <c r="X853" s="64" t="s">
        <v>3810</v>
      </c>
      <c r="Y853" s="68"/>
      <c r="Z853" s="68"/>
    </row>
    <row r="854" ht="15.0" customHeight="1">
      <c r="A854" s="246">
        <v>45924.0</v>
      </c>
      <c r="B854" s="201" t="s">
        <v>5113</v>
      </c>
      <c r="C854" s="45" t="s">
        <v>2770</v>
      </c>
      <c r="D854" s="140" t="str">
        <f>IFERROR(VLOOKUP(C854,Stock,3,FALSE),"")</f>
        <v>Transport</v>
      </c>
      <c r="E854" s="45">
        <v>1.0</v>
      </c>
      <c r="F854" s="198">
        <v>100000.0</v>
      </c>
      <c r="G854" s="142">
        <f t="shared" si="40"/>
        <v>100000</v>
      </c>
      <c r="H854" s="142"/>
      <c r="I854" s="143">
        <f t="shared" si="38"/>
        <v>100000</v>
      </c>
      <c r="J854" s="144">
        <f t="shared" si="39"/>
        <v>100000</v>
      </c>
      <c r="K854" s="108" t="s">
        <v>5115</v>
      </c>
      <c r="L854" s="199" t="s">
        <v>5116</v>
      </c>
      <c r="M854" s="17"/>
      <c r="N854" s="64" t="s">
        <v>5117</v>
      </c>
      <c r="O854" s="64" t="s">
        <v>2813</v>
      </c>
      <c r="P854" s="147" t="s">
        <v>4672</v>
      </c>
      <c r="Q854" s="149"/>
      <c r="R854" s="141"/>
      <c r="S854" s="141"/>
      <c r="T854" s="141">
        <v>2020000.0</v>
      </c>
      <c r="U854" s="149"/>
      <c r="V854" s="149"/>
      <c r="W854" s="149"/>
      <c r="X854" s="64" t="s">
        <v>3810</v>
      </c>
      <c r="Y854" s="68"/>
      <c r="Z854" s="68"/>
    </row>
    <row r="855" ht="15.0" customHeight="1">
      <c r="A855" s="246">
        <v>45924.0</v>
      </c>
      <c r="B855" s="201" t="s">
        <v>5113</v>
      </c>
      <c r="C855" s="45" t="s">
        <v>4979</v>
      </c>
      <c r="D855" s="140" t="str">
        <f>IFERROR(VLOOKUP(C855,Stock,3,FALSE),"")</f>
        <v>255 Ultra + Actv-100 Application</v>
      </c>
      <c r="E855" s="45">
        <v>1.0</v>
      </c>
      <c r="F855" s="198">
        <v>200000.0</v>
      </c>
      <c r="G855" s="142">
        <f t="shared" si="40"/>
        <v>200000</v>
      </c>
      <c r="H855" s="142"/>
      <c r="I855" s="143">
        <f t="shared" si="38"/>
        <v>200000</v>
      </c>
      <c r="J855" s="144">
        <f t="shared" si="39"/>
        <v>200000</v>
      </c>
      <c r="K855" s="108" t="s">
        <v>5115</v>
      </c>
      <c r="L855" s="199" t="s">
        <v>5116</v>
      </c>
      <c r="M855" s="17"/>
      <c r="N855" s="64" t="s">
        <v>5117</v>
      </c>
      <c r="O855" s="64" t="s">
        <v>2813</v>
      </c>
      <c r="P855" s="147" t="s">
        <v>4672</v>
      </c>
      <c r="Q855" s="149"/>
      <c r="R855" s="149"/>
      <c r="S855" s="149"/>
      <c r="T855" s="149"/>
      <c r="U855" s="149"/>
      <c r="V855" s="149"/>
      <c r="W855" s="149"/>
      <c r="X855" s="64" t="s">
        <v>3810</v>
      </c>
      <c r="Y855" s="68"/>
      <c r="Z855" s="68"/>
    </row>
    <row r="856" ht="15.0" customHeight="1">
      <c r="A856" s="246">
        <v>45924.0</v>
      </c>
      <c r="B856" s="201" t="s">
        <v>5118</v>
      </c>
      <c r="C856" s="45" t="s">
        <v>5119</v>
      </c>
      <c r="D856" s="140" t="str">
        <f>IFERROR(VLOOKUP(C856,Stock,3,FALSE),"")</f>
        <v>BMW E34 1987-96</v>
      </c>
      <c r="E856" s="45">
        <v>1.0</v>
      </c>
      <c r="F856" s="198">
        <v>1814000.0</v>
      </c>
      <c r="G856" s="142">
        <f t="shared" si="40"/>
        <v>1814000</v>
      </c>
      <c r="H856" s="142"/>
      <c r="I856" s="143">
        <f t="shared" si="38"/>
        <v>1814000</v>
      </c>
      <c r="J856" s="144">
        <f t="shared" si="39"/>
        <v>1814000</v>
      </c>
      <c r="K856" s="108" t="s">
        <v>5120</v>
      </c>
      <c r="L856" s="199" t="s">
        <v>5121</v>
      </c>
      <c r="M856" s="17"/>
      <c r="N856" s="64" t="s">
        <v>4270</v>
      </c>
      <c r="O856" s="64" t="s">
        <v>5122</v>
      </c>
      <c r="P856" s="147" t="s">
        <v>4672</v>
      </c>
      <c r="Q856" s="149"/>
      <c r="R856" s="141"/>
      <c r="S856" s="141"/>
      <c r="T856" s="141">
        <v>3628000.0</v>
      </c>
      <c r="U856" s="149"/>
      <c r="V856" s="149"/>
      <c r="W856" s="149"/>
      <c r="X856" s="64" t="s">
        <v>3810</v>
      </c>
      <c r="Y856" s="68"/>
      <c r="Z856" s="68"/>
    </row>
    <row r="857" ht="15.0" customHeight="1">
      <c r="A857" s="246">
        <v>45924.0</v>
      </c>
      <c r="B857" s="201" t="s">
        <v>5118</v>
      </c>
      <c r="C857" s="45" t="s">
        <v>5123</v>
      </c>
      <c r="D857" s="140" t="str">
        <f>IFERROR(VLOOKUP(C857,Stock,3,FALSE),"")</f>
        <v>BMW 3 Series 90-99 E36</v>
      </c>
      <c r="E857" s="45">
        <v>1.0</v>
      </c>
      <c r="F857" s="198">
        <v>1614000.0</v>
      </c>
      <c r="G857" s="142">
        <f t="shared" si="40"/>
        <v>1614000</v>
      </c>
      <c r="H857" s="142"/>
      <c r="I857" s="143">
        <f t="shared" si="38"/>
        <v>1614000</v>
      </c>
      <c r="J857" s="144">
        <f t="shared" si="39"/>
        <v>1614000</v>
      </c>
      <c r="K857" s="108" t="s">
        <v>5120</v>
      </c>
      <c r="L857" s="199" t="s">
        <v>5121</v>
      </c>
      <c r="M857" s="17"/>
      <c r="N857" s="64" t="s">
        <v>4270</v>
      </c>
      <c r="O857" s="64" t="s">
        <v>5122</v>
      </c>
      <c r="P857" s="147" t="s">
        <v>4672</v>
      </c>
      <c r="Q857" s="149"/>
      <c r="R857" s="149"/>
      <c r="S857" s="149"/>
      <c r="T857" s="149"/>
      <c r="U857" s="149"/>
      <c r="V857" s="149"/>
      <c r="W857" s="149"/>
      <c r="X857" s="64" t="s">
        <v>3810</v>
      </c>
      <c r="Y857" s="68"/>
      <c r="Z857" s="68"/>
    </row>
    <row r="858" ht="15.0" customHeight="1">
      <c r="A858" s="246">
        <v>45924.0</v>
      </c>
      <c r="B858" s="201" t="s">
        <v>5118</v>
      </c>
      <c r="C858" s="45" t="s">
        <v>2835</v>
      </c>
      <c r="D858" s="140" t="str">
        <f>IFERROR(VLOOKUP(C858,Stock,3,FALSE),"")</f>
        <v>Peti Kayu</v>
      </c>
      <c r="E858" s="45">
        <v>1.0</v>
      </c>
      <c r="F858" s="198">
        <v>200000.0</v>
      </c>
      <c r="G858" s="142">
        <f t="shared" si="40"/>
        <v>200000</v>
      </c>
      <c r="H858" s="142"/>
      <c r="I858" s="143">
        <f t="shared" si="38"/>
        <v>200000</v>
      </c>
      <c r="J858" s="144">
        <f t="shared" si="39"/>
        <v>200000</v>
      </c>
      <c r="K858" s="108" t="s">
        <v>5120</v>
      </c>
      <c r="L858" s="199" t="s">
        <v>5121</v>
      </c>
      <c r="M858" s="17"/>
      <c r="N858" s="64" t="s">
        <v>4270</v>
      </c>
      <c r="O858" s="64" t="s">
        <v>5122</v>
      </c>
      <c r="P858" s="147" t="s">
        <v>4672</v>
      </c>
      <c r="Q858" s="149"/>
      <c r="R858" s="149"/>
      <c r="S858" s="149"/>
      <c r="T858" s="149"/>
      <c r="U858" s="149"/>
      <c r="V858" s="149"/>
      <c r="W858" s="149"/>
      <c r="X858" s="64" t="s">
        <v>3810</v>
      </c>
      <c r="Y858" s="68"/>
      <c r="Z858" s="68"/>
    </row>
    <row r="859" ht="15.0" customHeight="1">
      <c r="A859" s="246">
        <v>45925.0</v>
      </c>
      <c r="B859" s="201" t="s">
        <v>5124</v>
      </c>
      <c r="C859" s="45" t="s">
        <v>5125</v>
      </c>
      <c r="D859" s="140" t="str">
        <f>IFERROR(VLOOKUP(C859,Stock,3,FALSE),"")</f>
        <v>Chevrolet Spin 12-</v>
      </c>
      <c r="E859" s="45">
        <v>1.0</v>
      </c>
      <c r="F859" s="198">
        <v>1449000.0</v>
      </c>
      <c r="G859" s="142">
        <f t="shared" si="40"/>
        <v>1449000</v>
      </c>
      <c r="H859" s="142"/>
      <c r="I859" s="143">
        <f t="shared" si="38"/>
        <v>1449000</v>
      </c>
      <c r="J859" s="144">
        <f t="shared" si="39"/>
        <v>1449000</v>
      </c>
      <c r="K859" s="108" t="s">
        <v>5126</v>
      </c>
      <c r="L859" s="199" t="s">
        <v>5127</v>
      </c>
      <c r="M859" s="17"/>
      <c r="N859" s="64" t="s">
        <v>5128</v>
      </c>
      <c r="O859" s="64" t="s">
        <v>2813</v>
      </c>
      <c r="P859" s="147" t="s">
        <v>4672</v>
      </c>
      <c r="Q859" s="149"/>
      <c r="R859" s="141"/>
      <c r="S859" s="141"/>
      <c r="T859" s="141">
        <v>1449000.0</v>
      </c>
      <c r="U859" s="149"/>
      <c r="V859" s="149"/>
      <c r="W859" s="149"/>
      <c r="X859" s="64" t="s">
        <v>3810</v>
      </c>
      <c r="Y859" s="68"/>
      <c r="Z859" s="68"/>
    </row>
    <row r="860" ht="15.0" customHeight="1">
      <c r="A860" s="246">
        <v>45925.0</v>
      </c>
      <c r="B860" s="201" t="s">
        <v>5129</v>
      </c>
      <c r="C860" s="45" t="s">
        <v>5130</v>
      </c>
      <c r="D860" s="140" t="str">
        <f>IFERROR(VLOOKUP(C860,Stock,3,FALSE),"")</f>
        <v>Toyota Innova 04-15 1st Gen</v>
      </c>
      <c r="E860" s="45">
        <v>1.0</v>
      </c>
      <c r="F860" s="198">
        <v>1975000.0</v>
      </c>
      <c r="G860" s="142">
        <f t="shared" si="40"/>
        <v>1975000</v>
      </c>
      <c r="H860" s="142"/>
      <c r="I860" s="143">
        <f t="shared" si="38"/>
        <v>1975000</v>
      </c>
      <c r="J860" s="144">
        <f t="shared" si="39"/>
        <v>1975000</v>
      </c>
      <c r="K860" s="108" t="s">
        <v>4201</v>
      </c>
      <c r="L860" s="199" t="s">
        <v>5131</v>
      </c>
      <c r="M860" s="17"/>
      <c r="N860" s="64" t="s">
        <v>5132</v>
      </c>
      <c r="O860" s="64" t="s">
        <v>2813</v>
      </c>
      <c r="P860" s="147" t="s">
        <v>4672</v>
      </c>
      <c r="Q860" s="149"/>
      <c r="R860" s="141"/>
      <c r="S860" s="141"/>
      <c r="T860" s="141">
        <v>50000.0</v>
      </c>
      <c r="U860" s="149"/>
      <c r="V860" s="149"/>
      <c r="W860" s="149"/>
      <c r="X860" s="64" t="s">
        <v>3810</v>
      </c>
      <c r="Y860" s="68"/>
      <c r="Z860" s="68"/>
    </row>
    <row r="861" ht="15.0" customHeight="1">
      <c r="A861" s="246">
        <v>45925.0</v>
      </c>
      <c r="B861" s="201" t="s">
        <v>5129</v>
      </c>
      <c r="C861" s="45" t="s">
        <v>3352</v>
      </c>
      <c r="D861" s="140" t="str">
        <f>IFERROR(VLOOKUP(C861,Stock,3,FALSE),"")</f>
        <v>List Kaca Depan INV</v>
      </c>
      <c r="E861" s="45">
        <v>1.0</v>
      </c>
      <c r="F861" s="198">
        <v>315000.0</v>
      </c>
      <c r="G861" s="142">
        <f t="shared" si="40"/>
        <v>315000</v>
      </c>
      <c r="H861" s="142"/>
      <c r="I861" s="143">
        <f t="shared" si="38"/>
        <v>315000</v>
      </c>
      <c r="J861" s="144">
        <f t="shared" si="39"/>
        <v>315000</v>
      </c>
      <c r="K861" s="108" t="s">
        <v>4201</v>
      </c>
      <c r="L861" s="199" t="s">
        <v>5131</v>
      </c>
      <c r="M861" s="17"/>
      <c r="N861" s="64" t="s">
        <v>5132</v>
      </c>
      <c r="O861" s="64" t="s">
        <v>2813</v>
      </c>
      <c r="P861" s="147" t="s">
        <v>4672</v>
      </c>
      <c r="Q861" s="141">
        <v>2440000.0</v>
      </c>
      <c r="R861" s="149"/>
      <c r="S861" s="149"/>
      <c r="T861" s="149"/>
      <c r="U861" s="149"/>
      <c r="V861" s="149"/>
      <c r="W861" s="149"/>
      <c r="X861" s="64" t="s">
        <v>3810</v>
      </c>
      <c r="Y861" s="68"/>
      <c r="Z861" s="68"/>
    </row>
    <row r="862" ht="15.0" customHeight="1">
      <c r="A862" s="246">
        <v>45925.0</v>
      </c>
      <c r="B862" s="201" t="s">
        <v>5129</v>
      </c>
      <c r="C862" s="45" t="s">
        <v>4979</v>
      </c>
      <c r="D862" s="140" t="str">
        <f>IFERROR(VLOOKUP(C862,Stock,3,FALSE),"")</f>
        <v>255 Ultra + Actv-100 Application</v>
      </c>
      <c r="E862" s="45">
        <v>1.0</v>
      </c>
      <c r="F862" s="198">
        <v>200000.0</v>
      </c>
      <c r="G862" s="142">
        <f t="shared" si="40"/>
        <v>200000</v>
      </c>
      <c r="H862" s="142"/>
      <c r="I862" s="143">
        <f t="shared" si="38"/>
        <v>200000</v>
      </c>
      <c r="J862" s="144">
        <f t="shared" si="39"/>
        <v>200000</v>
      </c>
      <c r="K862" s="108" t="s">
        <v>4201</v>
      </c>
      <c r="L862" s="199" t="s">
        <v>5131</v>
      </c>
      <c r="M862" s="17"/>
      <c r="N862" s="64" t="s">
        <v>5132</v>
      </c>
      <c r="O862" s="64" t="s">
        <v>2813</v>
      </c>
      <c r="P862" s="147" t="s">
        <v>4672</v>
      </c>
      <c r="Q862" s="149"/>
      <c r="R862" s="149"/>
      <c r="S862" s="149"/>
      <c r="T862" s="149"/>
      <c r="U862" s="149"/>
      <c r="V862" s="149"/>
      <c r="W862" s="149"/>
      <c r="X862" s="64" t="s">
        <v>3810</v>
      </c>
      <c r="Y862" s="68"/>
      <c r="Z862" s="68"/>
    </row>
    <row r="863" ht="15.0" customHeight="1">
      <c r="A863" s="206">
        <v>45925.0</v>
      </c>
      <c r="B863" s="201" t="s">
        <v>5133</v>
      </c>
      <c r="C863" s="45" t="s">
        <v>5134</v>
      </c>
      <c r="D863" s="140" t="str">
        <f>IFERROR(VLOOKUP(C863,Stock,3,FALSE),"")</f>
        <v>BMW 3 Series 98-06 E46</v>
      </c>
      <c r="E863" s="45">
        <v>1.0</v>
      </c>
      <c r="F863" s="198">
        <v>2105000.0</v>
      </c>
      <c r="G863" s="142">
        <f t="shared" si="40"/>
        <v>2105000</v>
      </c>
      <c r="H863" s="142"/>
      <c r="I863" s="143">
        <f t="shared" si="38"/>
        <v>2105000</v>
      </c>
      <c r="J863" s="144">
        <f t="shared" si="39"/>
        <v>2105000</v>
      </c>
      <c r="K863" s="108" t="s">
        <v>5135</v>
      </c>
      <c r="L863" s="199" t="s">
        <v>5136</v>
      </c>
      <c r="M863" s="17"/>
      <c r="N863" s="64" t="s">
        <v>5137</v>
      </c>
      <c r="O863" s="64" t="s">
        <v>2813</v>
      </c>
      <c r="P863" s="147" t="s">
        <v>4672</v>
      </c>
      <c r="Q863" s="149"/>
      <c r="R863" s="141"/>
      <c r="S863" s="141"/>
      <c r="T863" s="141">
        <v>2105000.0</v>
      </c>
      <c r="U863" s="149"/>
      <c r="V863" s="149"/>
      <c r="W863" s="149"/>
      <c r="X863" s="64" t="s">
        <v>3810</v>
      </c>
      <c r="Y863" s="68"/>
      <c r="Z863" s="68"/>
    </row>
    <row r="864" ht="15.0" customHeight="1">
      <c r="A864" s="246">
        <v>45925.0</v>
      </c>
      <c r="B864" s="201" t="s">
        <v>5138</v>
      </c>
      <c r="C864" s="45" t="s">
        <v>3700</v>
      </c>
      <c r="D864" s="140" t="str">
        <f>IFERROR(VLOOKUP(C864,Stock,3,FALSE),"")</f>
        <v>Toyota Avanza / Xenia 11-15 2nd Gen / 15-21 3rd Gen</v>
      </c>
      <c r="E864" s="45">
        <v>1.0</v>
      </c>
      <c r="F864" s="198">
        <v>899000.0</v>
      </c>
      <c r="G864" s="142">
        <f t="shared" si="40"/>
        <v>899000</v>
      </c>
      <c r="H864" s="142"/>
      <c r="I864" s="143">
        <f t="shared" si="38"/>
        <v>899000</v>
      </c>
      <c r="J864" s="144">
        <f t="shared" si="39"/>
        <v>899000</v>
      </c>
      <c r="K864" s="108" t="s">
        <v>5139</v>
      </c>
      <c r="L864" s="199" t="s">
        <v>5140</v>
      </c>
      <c r="M864" s="17"/>
      <c r="N864" s="64" t="s">
        <v>5141</v>
      </c>
      <c r="O864" s="64" t="s">
        <v>4584</v>
      </c>
      <c r="P864" s="147" t="s">
        <v>4672</v>
      </c>
      <c r="Q864" s="141">
        <v>899000.0</v>
      </c>
      <c r="R864" s="149"/>
      <c r="S864" s="149"/>
      <c r="T864" s="149"/>
      <c r="U864" s="149"/>
      <c r="V864" s="149"/>
      <c r="W864" s="149"/>
      <c r="X864" s="64" t="s">
        <v>3810</v>
      </c>
      <c r="Y864" s="68"/>
      <c r="Z864" s="68"/>
    </row>
    <row r="865" ht="15.0" customHeight="1">
      <c r="A865" s="246">
        <v>45925.0</v>
      </c>
      <c r="B865" s="201" t="s">
        <v>5142</v>
      </c>
      <c r="C865" s="45" t="s">
        <v>5143</v>
      </c>
      <c r="D865" s="140" t="str">
        <f>IFERROR(VLOOKUP(C865,Stock,3,FALSE),"")</f>
        <v>Honda Freed 08-16 1st Gen (Honda)</v>
      </c>
      <c r="E865" s="45">
        <v>1.0</v>
      </c>
      <c r="F865" s="198">
        <v>840000.0</v>
      </c>
      <c r="G865" s="142">
        <f t="shared" si="40"/>
        <v>840000</v>
      </c>
      <c r="H865" s="142"/>
      <c r="I865" s="143">
        <f t="shared" si="38"/>
        <v>840000</v>
      </c>
      <c r="J865" s="144">
        <f t="shared" si="39"/>
        <v>840000</v>
      </c>
      <c r="K865" s="108" t="s">
        <v>5144</v>
      </c>
      <c r="L865" s="45" t="s">
        <v>1973</v>
      </c>
      <c r="M865" s="17"/>
      <c r="N865" s="64" t="s">
        <v>4270</v>
      </c>
      <c r="O865" s="64" t="s">
        <v>5145</v>
      </c>
      <c r="P865" s="147" t="s">
        <v>4672</v>
      </c>
      <c r="Q865" s="149"/>
      <c r="R865" s="141"/>
      <c r="S865" s="141"/>
      <c r="T865" s="141">
        <v>960000.0</v>
      </c>
      <c r="U865" s="149"/>
      <c r="V865" s="149"/>
      <c r="W865" s="149"/>
      <c r="X865" s="64" t="s">
        <v>3810</v>
      </c>
      <c r="Y865" s="68"/>
      <c r="Z865" s="68"/>
    </row>
    <row r="866" ht="15.0" customHeight="1">
      <c r="A866" s="246">
        <v>45925.0</v>
      </c>
      <c r="B866" s="201" t="s">
        <v>5142</v>
      </c>
      <c r="C866" s="45" t="s">
        <v>2835</v>
      </c>
      <c r="D866" s="140" t="str">
        <f>IFERROR(VLOOKUP(C866,Stock,3,FALSE),"")</f>
        <v>Peti Kayu</v>
      </c>
      <c r="E866" s="45">
        <v>1.0</v>
      </c>
      <c r="F866" s="198">
        <v>120000.0</v>
      </c>
      <c r="G866" s="142">
        <f t="shared" si="40"/>
        <v>120000</v>
      </c>
      <c r="H866" s="142"/>
      <c r="I866" s="143">
        <f t="shared" si="38"/>
        <v>120000</v>
      </c>
      <c r="J866" s="144">
        <f t="shared" si="39"/>
        <v>120000</v>
      </c>
      <c r="K866" s="108" t="s">
        <v>5144</v>
      </c>
      <c r="L866" s="199" t="s">
        <v>5146</v>
      </c>
      <c r="M866" s="17"/>
      <c r="N866" s="64" t="s">
        <v>4270</v>
      </c>
      <c r="O866" s="64" t="s">
        <v>5145</v>
      </c>
      <c r="P866" s="147" t="s">
        <v>4672</v>
      </c>
      <c r="Q866" s="149"/>
      <c r="R866" s="149"/>
      <c r="S866" s="149"/>
      <c r="T866" s="149"/>
      <c r="U866" s="149"/>
      <c r="V866" s="149"/>
      <c r="W866" s="149"/>
      <c r="X866" s="64" t="s">
        <v>3810</v>
      </c>
      <c r="Y866" s="68"/>
      <c r="Z866" s="68"/>
    </row>
    <row r="867" ht="15.0" customHeight="1">
      <c r="A867" s="246">
        <v>45926.0</v>
      </c>
      <c r="B867" s="201" t="s">
        <v>5147</v>
      </c>
      <c r="C867" s="64" t="s">
        <v>3354</v>
      </c>
      <c r="D867" s="140" t="str">
        <f>IFERROR(VLOOKUP(C867,Stock,3,FALSE),"")</f>
        <v>Honda Brio 10- / Mobilio 11- (Honda)</v>
      </c>
      <c r="E867" s="45">
        <v>1.0</v>
      </c>
      <c r="F867" s="198">
        <v>1772000.0</v>
      </c>
      <c r="G867" s="142">
        <f t="shared" si="40"/>
        <v>1772000</v>
      </c>
      <c r="H867" s="142"/>
      <c r="I867" s="143">
        <f t="shared" si="38"/>
        <v>1772000</v>
      </c>
      <c r="J867" s="144">
        <f t="shared" si="39"/>
        <v>1772000</v>
      </c>
      <c r="K867" s="108" t="s">
        <v>5148</v>
      </c>
      <c r="L867" s="199" t="s">
        <v>5149</v>
      </c>
      <c r="M867" s="17"/>
      <c r="N867" s="64" t="s">
        <v>5150</v>
      </c>
      <c r="O867" s="64" t="s">
        <v>3536</v>
      </c>
      <c r="P867" s="147" t="s">
        <v>4672</v>
      </c>
      <c r="Q867" s="149"/>
      <c r="R867" s="141"/>
      <c r="S867" s="141"/>
      <c r="T867" s="141">
        <v>30000.0</v>
      </c>
      <c r="U867" s="149"/>
      <c r="V867" s="149"/>
      <c r="W867" s="149"/>
      <c r="X867" s="64" t="s">
        <v>3810</v>
      </c>
      <c r="Y867" s="68"/>
      <c r="Z867" s="68"/>
    </row>
    <row r="868" ht="15.0" customHeight="1">
      <c r="A868" s="246">
        <v>45926.0</v>
      </c>
      <c r="B868" s="201" t="s">
        <v>5147</v>
      </c>
      <c r="C868" s="45" t="s">
        <v>2770</v>
      </c>
      <c r="D868" s="140" t="str">
        <f>IFERROR(VLOOKUP(C868,Stock,3,FALSE),"")</f>
        <v>Transport</v>
      </c>
      <c r="E868" s="45">
        <v>1.0</v>
      </c>
      <c r="F868" s="198">
        <v>120000.0</v>
      </c>
      <c r="G868" s="142">
        <f t="shared" si="40"/>
        <v>120000</v>
      </c>
      <c r="H868" s="142"/>
      <c r="I868" s="143">
        <f t="shared" si="38"/>
        <v>120000</v>
      </c>
      <c r="J868" s="144">
        <f t="shared" si="39"/>
        <v>120000</v>
      </c>
      <c r="K868" s="108" t="s">
        <v>5148</v>
      </c>
      <c r="L868" s="199" t="s">
        <v>5149</v>
      </c>
      <c r="M868" s="17"/>
      <c r="N868" s="64" t="s">
        <v>5150</v>
      </c>
      <c r="O868" s="64" t="s">
        <v>3536</v>
      </c>
      <c r="P868" s="147" t="s">
        <v>4672</v>
      </c>
      <c r="Q868" s="149"/>
      <c r="R868" s="141"/>
      <c r="S868" s="141"/>
      <c r="T868" s="141">
        <v>2062000.0</v>
      </c>
      <c r="U868" s="149"/>
      <c r="V868" s="149"/>
      <c r="W868" s="149"/>
      <c r="X868" s="64" t="s">
        <v>3810</v>
      </c>
      <c r="Y868" s="68"/>
      <c r="Z868" s="68"/>
    </row>
    <row r="869" ht="15.0" customHeight="1">
      <c r="A869" s="246">
        <v>45926.0</v>
      </c>
      <c r="B869" s="201" t="s">
        <v>5147</v>
      </c>
      <c r="C869" s="45" t="s">
        <v>4979</v>
      </c>
      <c r="D869" s="140" t="str">
        <f>IFERROR(VLOOKUP(C869,Stock,3,FALSE),"")</f>
        <v>255 Ultra + Actv-100 Application</v>
      </c>
      <c r="E869" s="45">
        <v>1.0</v>
      </c>
      <c r="F869" s="198">
        <v>200000.0</v>
      </c>
      <c r="G869" s="142">
        <f t="shared" si="40"/>
        <v>200000</v>
      </c>
      <c r="H869" s="142"/>
      <c r="I869" s="143">
        <f t="shared" si="38"/>
        <v>200000</v>
      </c>
      <c r="J869" s="144">
        <f t="shared" si="39"/>
        <v>200000</v>
      </c>
      <c r="K869" s="108" t="s">
        <v>5148</v>
      </c>
      <c r="L869" s="199" t="s">
        <v>5149</v>
      </c>
      <c r="M869" s="17"/>
      <c r="N869" s="64" t="s">
        <v>5150</v>
      </c>
      <c r="O869" s="64" t="s">
        <v>3536</v>
      </c>
      <c r="P869" s="147" t="s">
        <v>4672</v>
      </c>
      <c r="Q869" s="149"/>
      <c r="R869" s="149"/>
      <c r="S869" s="149"/>
      <c r="T869" s="149"/>
      <c r="U869" s="149"/>
      <c r="V869" s="149"/>
      <c r="W869" s="149"/>
      <c r="X869" s="64" t="s">
        <v>3810</v>
      </c>
      <c r="Y869" s="68"/>
      <c r="Z869" s="68"/>
    </row>
    <row r="870" ht="15.0" customHeight="1">
      <c r="A870" s="246">
        <v>45926.0</v>
      </c>
      <c r="B870" s="201" t="s">
        <v>5151</v>
      </c>
      <c r="C870" s="45" t="s">
        <v>3048</v>
      </c>
      <c r="D870" s="140" t="str">
        <f>IFERROR(VLOOKUP(C870,Stock,3,FALSE),"")</f>
        <v>Biaya Pengecekan</v>
      </c>
      <c r="E870" s="45">
        <v>1.0</v>
      </c>
      <c r="F870" s="198">
        <v>150000.0</v>
      </c>
      <c r="G870" s="142">
        <f t="shared" si="40"/>
        <v>150000</v>
      </c>
      <c r="H870" s="142"/>
      <c r="I870" s="143">
        <f t="shared" si="38"/>
        <v>150000</v>
      </c>
      <c r="J870" s="144">
        <f t="shared" si="39"/>
        <v>150000</v>
      </c>
      <c r="K870" s="145" t="s">
        <v>5152</v>
      </c>
      <c r="L870" s="199" t="s">
        <v>5153</v>
      </c>
      <c r="M870" s="17"/>
      <c r="N870" s="64" t="s">
        <v>5154</v>
      </c>
      <c r="O870" s="64" t="s">
        <v>2813</v>
      </c>
      <c r="P870" s="147" t="s">
        <v>4672</v>
      </c>
      <c r="Q870" s="141">
        <v>150000.0</v>
      </c>
      <c r="R870" s="149"/>
      <c r="S870" s="149"/>
      <c r="T870" s="149"/>
      <c r="U870" s="149"/>
      <c r="V870" s="149"/>
      <c r="W870" s="149"/>
      <c r="X870" s="64" t="s">
        <v>3810</v>
      </c>
      <c r="Y870" s="68"/>
      <c r="Z870" s="68"/>
    </row>
    <row r="871" ht="15.0" customHeight="1">
      <c r="A871" s="246">
        <v>45926.0</v>
      </c>
      <c r="B871" s="201" t="s">
        <v>5155</v>
      </c>
      <c r="C871" s="45" t="s">
        <v>5021</v>
      </c>
      <c r="D871" s="140" t="str">
        <f>IFERROR(VLOOKUP(C871,Stock,3,FALSE),"")</f>
        <v>Toyota Alphard 15-17 ANH30 3rd Gen (Sensor atas keramik)</v>
      </c>
      <c r="E871" s="45">
        <v>1.0</v>
      </c>
      <c r="F871" s="198">
        <v>3589000.0</v>
      </c>
      <c r="G871" s="142">
        <f t="shared" si="40"/>
        <v>3589000</v>
      </c>
      <c r="H871" s="142"/>
      <c r="I871" s="143">
        <f t="shared" si="38"/>
        <v>3589000</v>
      </c>
      <c r="J871" s="144">
        <f t="shared" si="39"/>
        <v>3589000</v>
      </c>
      <c r="K871" s="108" t="s">
        <v>5156</v>
      </c>
      <c r="L871" s="199" t="s">
        <v>5157</v>
      </c>
      <c r="M871" s="17"/>
      <c r="N871" s="64" t="s">
        <v>5158</v>
      </c>
      <c r="O871" s="64" t="s">
        <v>2905</v>
      </c>
      <c r="P871" s="147" t="s">
        <v>4672</v>
      </c>
      <c r="Q871" s="149"/>
      <c r="R871" s="141"/>
      <c r="S871" s="141"/>
      <c r="T871" s="141">
        <v>50000.0</v>
      </c>
      <c r="U871" s="149"/>
      <c r="V871" s="149"/>
      <c r="W871" s="149"/>
      <c r="X871" s="64" t="s">
        <v>3810</v>
      </c>
      <c r="Y871" s="68"/>
      <c r="Z871" s="68"/>
    </row>
    <row r="872" ht="15.0" customHeight="1">
      <c r="A872" s="246">
        <v>45926.0</v>
      </c>
      <c r="B872" s="201" t="s">
        <v>5155</v>
      </c>
      <c r="C872" s="45" t="s">
        <v>2770</v>
      </c>
      <c r="D872" s="140" t="str">
        <f>IFERROR(VLOOKUP(C872,Stock,3,FALSE),"")</f>
        <v>Transport</v>
      </c>
      <c r="E872" s="45">
        <v>1.0</v>
      </c>
      <c r="F872" s="198">
        <v>150000.0</v>
      </c>
      <c r="G872" s="142">
        <f t="shared" si="40"/>
        <v>150000</v>
      </c>
      <c r="H872" s="142"/>
      <c r="I872" s="143">
        <f t="shared" si="38"/>
        <v>150000</v>
      </c>
      <c r="J872" s="144">
        <f t="shared" si="39"/>
        <v>150000</v>
      </c>
      <c r="K872" s="108" t="s">
        <v>5156</v>
      </c>
      <c r="L872" s="199" t="s">
        <v>5157</v>
      </c>
      <c r="M872" s="17"/>
      <c r="N872" s="64" t="s">
        <v>5158</v>
      </c>
      <c r="O872" s="64" t="s">
        <v>2905</v>
      </c>
      <c r="P872" s="147" t="s">
        <v>4672</v>
      </c>
      <c r="Q872" s="149"/>
      <c r="R872" s="141"/>
      <c r="S872" s="141"/>
      <c r="T872" s="141">
        <v>3689000.0</v>
      </c>
      <c r="U872" s="149"/>
      <c r="V872" s="149"/>
      <c r="W872" s="149"/>
      <c r="X872" s="64" t="s">
        <v>3810</v>
      </c>
      <c r="Y872" s="68"/>
      <c r="Z872" s="68"/>
    </row>
    <row r="873" ht="15.0" customHeight="1">
      <c r="A873" s="246">
        <v>45926.0</v>
      </c>
      <c r="B873" s="201" t="s">
        <v>5159</v>
      </c>
      <c r="C873" s="45" t="s">
        <v>5160</v>
      </c>
      <c r="D873" s="140" t="str">
        <f>IFERROR(VLOOKUP(C873,Stock,3,FALSE),"")</f>
        <v>Honda City 14-18 GM6</v>
      </c>
      <c r="E873" s="45">
        <v>1.0</v>
      </c>
      <c r="F873" s="198">
        <v>2000000.0</v>
      </c>
      <c r="G873" s="142">
        <f t="shared" si="40"/>
        <v>2000000</v>
      </c>
      <c r="H873" s="142"/>
      <c r="I873" s="143">
        <f t="shared" si="38"/>
        <v>2000000</v>
      </c>
      <c r="J873" s="144">
        <f t="shared" si="39"/>
        <v>2000000</v>
      </c>
      <c r="K873" s="108" t="s">
        <v>5161</v>
      </c>
      <c r="L873" s="199" t="s">
        <v>5162</v>
      </c>
      <c r="M873" s="17"/>
      <c r="N873" s="64" t="s">
        <v>5163</v>
      </c>
      <c r="O873" s="64" t="s">
        <v>3033</v>
      </c>
      <c r="P873" s="147" t="s">
        <v>4672</v>
      </c>
      <c r="Q873" s="149"/>
      <c r="R873" s="141"/>
      <c r="S873" s="141"/>
      <c r="T873" s="141">
        <v>2200000.0</v>
      </c>
      <c r="U873" s="149"/>
      <c r="V873" s="149"/>
      <c r="W873" s="149"/>
      <c r="X873" s="64" t="s">
        <v>3810</v>
      </c>
      <c r="Y873" s="68"/>
      <c r="Z873" s="68"/>
    </row>
    <row r="874" ht="15.0" customHeight="1">
      <c r="A874" s="246">
        <v>45926.0</v>
      </c>
      <c r="B874" s="201" t="s">
        <v>5159</v>
      </c>
      <c r="C874" s="45" t="s">
        <v>4979</v>
      </c>
      <c r="D874" s="140" t="str">
        <f>IFERROR(VLOOKUP(C874,Stock,3,FALSE),"")</f>
        <v>255 Ultra + Actv-100 Application</v>
      </c>
      <c r="E874" s="45">
        <v>1.0</v>
      </c>
      <c r="F874" s="198">
        <v>200000.0</v>
      </c>
      <c r="G874" s="142">
        <f t="shared" si="40"/>
        <v>200000</v>
      </c>
      <c r="H874" s="142"/>
      <c r="I874" s="143">
        <f t="shared" si="38"/>
        <v>200000</v>
      </c>
      <c r="J874" s="144">
        <f t="shared" si="39"/>
        <v>200000</v>
      </c>
      <c r="K874" s="108" t="s">
        <v>5161</v>
      </c>
      <c r="L874" s="199" t="s">
        <v>5162</v>
      </c>
      <c r="M874" s="17"/>
      <c r="N874" s="64" t="s">
        <v>5163</v>
      </c>
      <c r="O874" s="64" t="s">
        <v>3033</v>
      </c>
      <c r="P874" s="147" t="s">
        <v>4672</v>
      </c>
      <c r="Q874" s="149"/>
      <c r="R874" s="149"/>
      <c r="S874" s="149"/>
      <c r="T874" s="149"/>
      <c r="U874" s="149"/>
      <c r="V874" s="149"/>
      <c r="W874" s="149"/>
      <c r="X874" s="64" t="s">
        <v>3810</v>
      </c>
      <c r="Y874" s="68"/>
      <c r="Z874" s="68"/>
    </row>
    <row r="875" ht="15.0" customHeight="1">
      <c r="A875" s="246">
        <v>45926.0</v>
      </c>
      <c r="B875" s="201" t="s">
        <v>5164</v>
      </c>
      <c r="C875" s="45" t="s">
        <v>4017</v>
      </c>
      <c r="D875" s="140" t="str">
        <f>IFERROR(VLOOKUP(C875,Stock,3,FALSE),"")</f>
        <v>Black Phantom Solar Gard</v>
      </c>
      <c r="E875" s="45">
        <v>1.0</v>
      </c>
      <c r="F875" s="198">
        <v>1375000.0</v>
      </c>
      <c r="G875" s="142">
        <f t="shared" si="40"/>
        <v>1375000</v>
      </c>
      <c r="H875" s="142"/>
      <c r="I875" s="143">
        <f t="shared" si="38"/>
        <v>1375000</v>
      </c>
      <c r="J875" s="144">
        <f t="shared" si="39"/>
        <v>1375000</v>
      </c>
      <c r="K875" s="108" t="s">
        <v>5060</v>
      </c>
      <c r="L875" s="199" t="s">
        <v>5058</v>
      </c>
      <c r="M875" s="17"/>
      <c r="N875" s="64" t="s">
        <v>5059</v>
      </c>
      <c r="O875" s="64" t="s">
        <v>2813</v>
      </c>
      <c r="P875" s="147" t="s">
        <v>4672</v>
      </c>
      <c r="Q875" s="149"/>
      <c r="R875" s="141"/>
      <c r="S875" s="141"/>
      <c r="T875" s="141">
        <v>1375000.0</v>
      </c>
      <c r="U875" s="149"/>
      <c r="V875" s="149"/>
      <c r="W875" s="149"/>
      <c r="X875" s="64" t="s">
        <v>3810</v>
      </c>
      <c r="Y875" s="68"/>
      <c r="Z875" s="68"/>
    </row>
    <row r="876" ht="15.0" customHeight="1">
      <c r="A876" s="246">
        <v>45926.0</v>
      </c>
      <c r="B876" s="201" t="s">
        <v>5165</v>
      </c>
      <c r="C876" s="45" t="s">
        <v>5166</v>
      </c>
      <c r="D876" s="140" t="str">
        <f>IFERROR(VLOOKUP(C876,Stock,3,FALSE),"")</f>
        <v>Honda BR-V 16-</v>
      </c>
      <c r="E876" s="45">
        <v>1.0</v>
      </c>
      <c r="F876" s="198">
        <v>1500000.0</v>
      </c>
      <c r="G876" s="142">
        <f t="shared" si="40"/>
        <v>1500000</v>
      </c>
      <c r="H876" s="142"/>
      <c r="I876" s="143">
        <f t="shared" si="38"/>
        <v>1500000</v>
      </c>
      <c r="J876" s="144">
        <f t="shared" si="39"/>
        <v>1500000</v>
      </c>
      <c r="K876" s="108" t="s">
        <v>5167</v>
      </c>
      <c r="L876" s="199" t="s">
        <v>5168</v>
      </c>
      <c r="M876" s="17"/>
      <c r="N876" s="64" t="s">
        <v>5169</v>
      </c>
      <c r="O876" s="64" t="s">
        <v>3394</v>
      </c>
      <c r="P876" s="147" t="s">
        <v>4672</v>
      </c>
      <c r="Q876" s="149"/>
      <c r="R876" s="141"/>
      <c r="S876" s="141"/>
      <c r="T876" s="141">
        <v>30000.0</v>
      </c>
      <c r="U876" s="149"/>
      <c r="V876" s="149"/>
      <c r="W876" s="149"/>
      <c r="X876" s="64" t="s">
        <v>3810</v>
      </c>
      <c r="Y876" s="68"/>
      <c r="Z876" s="68"/>
    </row>
    <row r="877" ht="15.0" customHeight="1">
      <c r="A877" s="246">
        <v>45926.0</v>
      </c>
      <c r="B877" s="201" t="s">
        <v>5165</v>
      </c>
      <c r="C877" s="45" t="s">
        <v>2770</v>
      </c>
      <c r="D877" s="140" t="str">
        <f>IFERROR(VLOOKUP(C877,Stock,3,FALSE),"")</f>
        <v>Transport</v>
      </c>
      <c r="E877" s="45">
        <v>1.0</v>
      </c>
      <c r="F877" s="198">
        <v>170000.0</v>
      </c>
      <c r="G877" s="142">
        <f t="shared" si="40"/>
        <v>170000</v>
      </c>
      <c r="H877" s="142"/>
      <c r="I877" s="143">
        <f t="shared" si="38"/>
        <v>170000</v>
      </c>
      <c r="J877" s="144">
        <f t="shared" si="39"/>
        <v>170000</v>
      </c>
      <c r="K877" s="108" t="s">
        <v>5167</v>
      </c>
      <c r="L877" s="199" t="s">
        <v>5168</v>
      </c>
      <c r="M877" s="17"/>
      <c r="N877" s="64" t="s">
        <v>5169</v>
      </c>
      <c r="O877" s="64" t="s">
        <v>3394</v>
      </c>
      <c r="P877" s="147" t="s">
        <v>4672</v>
      </c>
      <c r="Q877" s="149"/>
      <c r="R877" s="141"/>
      <c r="S877" s="141"/>
      <c r="T877" s="141">
        <v>1640000.0</v>
      </c>
      <c r="U877" s="149"/>
      <c r="V877" s="149"/>
      <c r="W877" s="149"/>
      <c r="X877" s="64" t="s">
        <v>3810</v>
      </c>
      <c r="Y877" s="68"/>
      <c r="Z877" s="68"/>
    </row>
    <row r="878" ht="15.0" customHeight="1">
      <c r="A878" s="246">
        <v>45927.0</v>
      </c>
      <c r="B878" s="201" t="s">
        <v>5170</v>
      </c>
      <c r="C878" s="45" t="s">
        <v>3265</v>
      </c>
      <c r="D878" s="140" t="str">
        <f>IFERROR(VLOOKUP(C878,Stock,3,FALSE),"")</f>
        <v>Honda Jazz 07-13 2nd Gen</v>
      </c>
      <c r="E878" s="45">
        <v>1.0</v>
      </c>
      <c r="F878" s="198">
        <v>1668000.0</v>
      </c>
      <c r="G878" s="142">
        <f t="shared" si="40"/>
        <v>1668000</v>
      </c>
      <c r="H878" s="142"/>
      <c r="I878" s="143">
        <f t="shared" si="38"/>
        <v>1668000</v>
      </c>
      <c r="J878" s="144">
        <f t="shared" si="39"/>
        <v>1668000</v>
      </c>
      <c r="K878" s="108" t="s">
        <v>5171</v>
      </c>
      <c r="L878" s="199" t="s">
        <v>5172</v>
      </c>
      <c r="M878" s="17"/>
      <c r="N878" s="64" t="s">
        <v>5173</v>
      </c>
      <c r="O878" s="64" t="s">
        <v>2813</v>
      </c>
      <c r="P878" s="147" t="s">
        <v>4672</v>
      </c>
      <c r="Q878" s="149"/>
      <c r="R878" s="141"/>
      <c r="S878" s="141"/>
      <c r="T878" s="141">
        <v>30000.0</v>
      </c>
      <c r="U878" s="149"/>
      <c r="V878" s="149"/>
      <c r="W878" s="149"/>
      <c r="X878" s="64" t="s">
        <v>3810</v>
      </c>
      <c r="Y878" s="68"/>
      <c r="Z878" s="68"/>
    </row>
    <row r="879" ht="15.0" customHeight="1">
      <c r="A879" s="246">
        <v>45927.0</v>
      </c>
      <c r="B879" s="201" t="s">
        <v>5170</v>
      </c>
      <c r="C879" s="45" t="s">
        <v>2770</v>
      </c>
      <c r="D879" s="140" t="str">
        <f>IFERROR(VLOOKUP(C879,Stock,3,FALSE),"")</f>
        <v>Transport</v>
      </c>
      <c r="E879" s="45">
        <v>1.0</v>
      </c>
      <c r="F879" s="198">
        <v>100000.0</v>
      </c>
      <c r="G879" s="142">
        <f t="shared" si="40"/>
        <v>100000</v>
      </c>
      <c r="H879" s="142"/>
      <c r="I879" s="143">
        <f t="shared" si="38"/>
        <v>100000</v>
      </c>
      <c r="J879" s="144">
        <f t="shared" si="39"/>
        <v>100000</v>
      </c>
      <c r="K879" s="108" t="s">
        <v>5171</v>
      </c>
      <c r="L879" s="199" t="s">
        <v>5172</v>
      </c>
      <c r="M879" s="17"/>
      <c r="N879" s="64" t="s">
        <v>5173</v>
      </c>
      <c r="O879" s="64" t="s">
        <v>2813</v>
      </c>
      <c r="P879" s="147" t="s">
        <v>4672</v>
      </c>
      <c r="Q879" s="149"/>
      <c r="R879" s="141"/>
      <c r="S879" s="141"/>
      <c r="T879" s="141">
        <v>1938000.0</v>
      </c>
      <c r="U879" s="149"/>
      <c r="V879" s="149"/>
      <c r="W879" s="149"/>
      <c r="X879" s="64" t="s">
        <v>3810</v>
      </c>
      <c r="Y879" s="68"/>
      <c r="Z879" s="68"/>
    </row>
    <row r="880" ht="15.0" customHeight="1">
      <c r="A880" s="246">
        <v>45927.0</v>
      </c>
      <c r="B880" s="201" t="s">
        <v>5170</v>
      </c>
      <c r="C880" s="45" t="s">
        <v>4979</v>
      </c>
      <c r="D880" s="140" t="str">
        <f>IFERROR(VLOOKUP(C880,Stock,3,FALSE),"")</f>
        <v>255 Ultra + Actv-100 Application</v>
      </c>
      <c r="E880" s="64">
        <v>1.0</v>
      </c>
      <c r="F880" s="198">
        <v>200000.0</v>
      </c>
      <c r="G880" s="142">
        <f t="shared" si="40"/>
        <v>200000</v>
      </c>
      <c r="H880" s="142"/>
      <c r="I880" s="143">
        <f t="shared" si="38"/>
        <v>200000</v>
      </c>
      <c r="J880" s="144">
        <f t="shared" si="39"/>
        <v>200000</v>
      </c>
      <c r="K880" s="108" t="s">
        <v>5171</v>
      </c>
      <c r="L880" s="199" t="s">
        <v>5172</v>
      </c>
      <c r="M880" s="68"/>
      <c r="N880" s="64" t="s">
        <v>5173</v>
      </c>
      <c r="O880" s="64" t="s">
        <v>2813</v>
      </c>
      <c r="P880" s="147" t="s">
        <v>4672</v>
      </c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ht="15.0" customHeight="1">
      <c r="A881" s="246">
        <v>45927.0</v>
      </c>
      <c r="B881" s="201" t="s">
        <v>5174</v>
      </c>
      <c r="C881" s="45" t="s">
        <v>3662</v>
      </c>
      <c r="D881" s="140" t="str">
        <f>IFERROR(VLOOKUP(C881,Stock,3,FALSE),"")</f>
        <v>Toyota Innova 15-22 2nd Gen (Toyota)</v>
      </c>
      <c r="E881" s="45">
        <v>1.0</v>
      </c>
      <c r="F881" s="198">
        <v>2788000.0</v>
      </c>
      <c r="G881" s="142">
        <f t="shared" si="40"/>
        <v>2788000</v>
      </c>
      <c r="H881" s="142"/>
      <c r="I881" s="143">
        <f t="shared" si="38"/>
        <v>2788000</v>
      </c>
      <c r="J881" s="144">
        <f t="shared" si="39"/>
        <v>2788000</v>
      </c>
      <c r="K881" s="108" t="s">
        <v>5175</v>
      </c>
      <c r="L881" s="199" t="s">
        <v>5176</v>
      </c>
      <c r="M881" s="17"/>
      <c r="N881" s="64" t="s">
        <v>5177</v>
      </c>
      <c r="O881" s="64" t="s">
        <v>2807</v>
      </c>
      <c r="P881" s="147" t="s">
        <v>4672</v>
      </c>
      <c r="Q881" s="149"/>
      <c r="R881" s="141"/>
      <c r="S881" s="141"/>
      <c r="T881" s="141">
        <v>50000.0</v>
      </c>
      <c r="U881" s="149"/>
      <c r="V881" s="149"/>
      <c r="W881" s="149"/>
      <c r="X881" s="64" t="s">
        <v>3810</v>
      </c>
      <c r="Y881" s="68"/>
      <c r="Z881" s="68"/>
    </row>
    <row r="882" ht="15.0" customHeight="1">
      <c r="A882" s="246">
        <v>45927.0</v>
      </c>
      <c r="B882" s="201" t="s">
        <v>5174</v>
      </c>
      <c r="C882" s="45" t="s">
        <v>3338</v>
      </c>
      <c r="D882" s="140" t="str">
        <f>IFERROR(VLOOKUP(C882,Stock,3,FALSE),"")</f>
        <v>Toyota Innova 15-22 2nd Gen (Toyota)</v>
      </c>
      <c r="E882" s="45">
        <v>1.0</v>
      </c>
      <c r="F882" s="198">
        <v>2250000.0</v>
      </c>
      <c r="G882" s="142">
        <f t="shared" si="40"/>
        <v>2250000</v>
      </c>
      <c r="H882" s="142"/>
      <c r="I882" s="143">
        <f t="shared" si="38"/>
        <v>2250000</v>
      </c>
      <c r="J882" s="144">
        <f t="shared" si="39"/>
        <v>2250000</v>
      </c>
      <c r="K882" s="108" t="s">
        <v>5175</v>
      </c>
      <c r="L882" s="199" t="s">
        <v>5176</v>
      </c>
      <c r="M882" s="17"/>
      <c r="N882" s="64" t="s">
        <v>5177</v>
      </c>
      <c r="O882" s="64" t="s">
        <v>2807</v>
      </c>
      <c r="P882" s="147" t="s">
        <v>4672</v>
      </c>
      <c r="Q882" s="149"/>
      <c r="R882" s="141"/>
      <c r="S882" s="141"/>
      <c r="T882" s="141">
        <v>5388000.0</v>
      </c>
      <c r="U882" s="149"/>
      <c r="V882" s="149"/>
      <c r="W882" s="149"/>
      <c r="X882" s="64" t="s">
        <v>3810</v>
      </c>
      <c r="Y882" s="68"/>
      <c r="Z882" s="68"/>
    </row>
    <row r="883" ht="15.0" customHeight="1">
      <c r="A883" s="246">
        <v>45927.0</v>
      </c>
      <c r="B883" s="201" t="s">
        <v>5174</v>
      </c>
      <c r="C883" s="45" t="s">
        <v>4979</v>
      </c>
      <c r="D883" s="140" t="str">
        <f>IFERROR(VLOOKUP(C883,Stock,3,FALSE),"")</f>
        <v>255 Ultra + Actv-100 Application</v>
      </c>
      <c r="E883" s="45">
        <v>2.0</v>
      </c>
      <c r="F883" s="198">
        <v>200000.0</v>
      </c>
      <c r="G883" s="142">
        <f t="shared" si="40"/>
        <v>400000</v>
      </c>
      <c r="H883" s="142"/>
      <c r="I883" s="143">
        <f t="shared" si="38"/>
        <v>400000</v>
      </c>
      <c r="J883" s="144">
        <f t="shared" si="39"/>
        <v>400000</v>
      </c>
      <c r="K883" s="108" t="s">
        <v>5175</v>
      </c>
      <c r="L883" s="199" t="s">
        <v>5176</v>
      </c>
      <c r="M883" s="17"/>
      <c r="N883" s="64" t="s">
        <v>5177</v>
      </c>
      <c r="O883" s="64" t="s">
        <v>2807</v>
      </c>
      <c r="P883" s="147" t="s">
        <v>4672</v>
      </c>
      <c r="Q883" s="149"/>
      <c r="R883" s="149"/>
      <c r="S883" s="149"/>
      <c r="T883" s="149"/>
      <c r="U883" s="149"/>
      <c r="V883" s="149"/>
      <c r="W883" s="149"/>
      <c r="X883" s="64" t="s">
        <v>3810</v>
      </c>
      <c r="Y883" s="68"/>
      <c r="Z883" s="68"/>
    </row>
    <row r="884" ht="15.0" customHeight="1">
      <c r="A884" s="246">
        <v>45927.0</v>
      </c>
      <c r="B884" s="201" t="s">
        <v>5178</v>
      </c>
      <c r="C884" s="45" t="s">
        <v>5179</v>
      </c>
      <c r="D884" s="140" t="str">
        <f>IFERROR(VLOOKUP(C884,Stock,3,FALSE),"")</f>
        <v>Honda Mobilio 14- / Honda BR-V 16-21</v>
      </c>
      <c r="E884" s="45">
        <v>1.0</v>
      </c>
      <c r="F884" s="198">
        <v>750000.0</v>
      </c>
      <c r="G884" s="142">
        <f t="shared" si="40"/>
        <v>750000</v>
      </c>
      <c r="H884" s="142"/>
      <c r="I884" s="143">
        <f t="shared" si="38"/>
        <v>750000</v>
      </c>
      <c r="J884" s="144">
        <f t="shared" si="39"/>
        <v>750000</v>
      </c>
      <c r="K884" s="108" t="s">
        <v>5167</v>
      </c>
      <c r="L884" s="199" t="s">
        <v>5168</v>
      </c>
      <c r="M884" s="17"/>
      <c r="N884" s="64" t="s">
        <v>5169</v>
      </c>
      <c r="O884" s="64" t="s">
        <v>3394</v>
      </c>
      <c r="P884" s="147" t="s">
        <v>4672</v>
      </c>
      <c r="Q884" s="149"/>
      <c r="R884" s="141"/>
      <c r="S884" s="141"/>
      <c r="T884" s="141">
        <v>30000.0</v>
      </c>
      <c r="U884" s="149"/>
      <c r="V884" s="149"/>
      <c r="W884" s="149"/>
      <c r="X884" s="64" t="s">
        <v>3810</v>
      </c>
      <c r="Y884" s="68"/>
      <c r="Z884" s="68"/>
    </row>
    <row r="885" ht="15.0" customHeight="1">
      <c r="A885" s="246">
        <v>45927.0</v>
      </c>
      <c r="B885" s="201" t="s">
        <v>5178</v>
      </c>
      <c r="C885" s="45" t="s">
        <v>5180</v>
      </c>
      <c r="D885" s="140" t="str">
        <f>IFERROR(VLOOKUP(C885,Stock,3,FALSE),"")</f>
        <v>Honda Mobilio 14- / Honda BR-V 16-21</v>
      </c>
      <c r="E885" s="45">
        <v>1.0</v>
      </c>
      <c r="F885" s="198">
        <v>750000.0</v>
      </c>
      <c r="G885" s="142">
        <f t="shared" si="40"/>
        <v>750000</v>
      </c>
      <c r="H885" s="142"/>
      <c r="I885" s="143">
        <f t="shared" si="38"/>
        <v>750000</v>
      </c>
      <c r="J885" s="144">
        <f t="shared" si="39"/>
        <v>750000</v>
      </c>
      <c r="K885" s="108" t="s">
        <v>5167</v>
      </c>
      <c r="L885" s="199" t="s">
        <v>5168</v>
      </c>
      <c r="M885" s="17"/>
      <c r="N885" s="64" t="s">
        <v>5169</v>
      </c>
      <c r="O885" s="64" t="s">
        <v>3394</v>
      </c>
      <c r="P885" s="147" t="s">
        <v>4672</v>
      </c>
      <c r="Q885" s="149"/>
      <c r="R885" s="141"/>
      <c r="S885" s="141"/>
      <c r="T885" s="141">
        <v>3110000.0</v>
      </c>
      <c r="U885" s="149"/>
      <c r="V885" s="149"/>
      <c r="W885" s="149"/>
      <c r="X885" s="64" t="s">
        <v>3810</v>
      </c>
      <c r="Y885" s="68"/>
      <c r="Z885" s="68"/>
    </row>
    <row r="886" ht="15.0" customHeight="1">
      <c r="A886" s="246">
        <v>45927.0</v>
      </c>
      <c r="B886" s="201" t="s">
        <v>5178</v>
      </c>
      <c r="C886" s="45" t="s">
        <v>5181</v>
      </c>
      <c r="D886" s="140" t="str">
        <f>IFERROR(VLOOKUP(C886,Stock,3,FALSE),"")</f>
        <v>Honda Mobilio 14- / Honda BR-V 16-21</v>
      </c>
      <c r="E886" s="45">
        <v>1.0</v>
      </c>
      <c r="F886" s="198">
        <v>735000.0</v>
      </c>
      <c r="G886" s="142">
        <f t="shared" si="40"/>
        <v>735000</v>
      </c>
      <c r="H886" s="142"/>
      <c r="I886" s="143">
        <f t="shared" si="38"/>
        <v>735000</v>
      </c>
      <c r="J886" s="144">
        <f t="shared" si="39"/>
        <v>735000</v>
      </c>
      <c r="K886" s="108" t="s">
        <v>5167</v>
      </c>
      <c r="L886" s="199" t="s">
        <v>5168</v>
      </c>
      <c r="M886" s="17"/>
      <c r="N886" s="64" t="s">
        <v>5169</v>
      </c>
      <c r="O886" s="64" t="s">
        <v>3394</v>
      </c>
      <c r="P886" s="147" t="s">
        <v>4672</v>
      </c>
      <c r="Q886" s="149"/>
      <c r="R886" s="149"/>
      <c r="S886" s="149"/>
      <c r="T886" s="149"/>
      <c r="U886" s="149"/>
      <c r="V886" s="149"/>
      <c r="W886" s="149"/>
      <c r="X886" s="64" t="s">
        <v>3810</v>
      </c>
      <c r="Y886" s="68"/>
      <c r="Z886" s="68"/>
    </row>
    <row r="887" ht="15.0" customHeight="1">
      <c r="A887" s="246">
        <v>45927.0</v>
      </c>
      <c r="B887" s="201" t="s">
        <v>5178</v>
      </c>
      <c r="C887" s="45" t="s">
        <v>4267</v>
      </c>
      <c r="D887" s="140" t="str">
        <f>IFERROR(VLOOKUP(C887,Stock,3,FALSE),"")</f>
        <v>Honda Mobilio 14- / Honda BR-V 16-21</v>
      </c>
      <c r="E887" s="45">
        <v>1.0</v>
      </c>
      <c r="F887" s="198">
        <v>735000.0</v>
      </c>
      <c r="G887" s="142">
        <f t="shared" si="40"/>
        <v>735000</v>
      </c>
      <c r="H887" s="142"/>
      <c r="I887" s="143">
        <f t="shared" si="38"/>
        <v>735000</v>
      </c>
      <c r="J887" s="144">
        <f t="shared" si="39"/>
        <v>735000</v>
      </c>
      <c r="K887" s="108" t="s">
        <v>5167</v>
      </c>
      <c r="L887" s="199" t="s">
        <v>5168</v>
      </c>
      <c r="M887" s="17"/>
      <c r="N887" s="64" t="s">
        <v>5169</v>
      </c>
      <c r="O887" s="64" t="s">
        <v>3394</v>
      </c>
      <c r="P887" s="147" t="s">
        <v>4672</v>
      </c>
      <c r="Q887" s="149"/>
      <c r="R887" s="149"/>
      <c r="S887" s="149"/>
      <c r="T887" s="149"/>
      <c r="U887" s="149"/>
      <c r="V887" s="149"/>
      <c r="W887" s="149"/>
      <c r="X887" s="64" t="s">
        <v>3810</v>
      </c>
      <c r="Y887" s="68"/>
      <c r="Z887" s="68"/>
    </row>
    <row r="888" ht="15.0" customHeight="1">
      <c r="A888" s="246">
        <v>45927.0</v>
      </c>
      <c r="B888" s="201" t="s">
        <v>5178</v>
      </c>
      <c r="C888" s="45" t="s">
        <v>2770</v>
      </c>
      <c r="D888" s="140" t="str">
        <f>IFERROR(VLOOKUP(C888,Stock,3,FALSE),"")</f>
        <v>Transport</v>
      </c>
      <c r="E888" s="45">
        <v>1.0</v>
      </c>
      <c r="F888" s="198">
        <v>170000.0</v>
      </c>
      <c r="G888" s="142">
        <f t="shared" si="40"/>
        <v>170000</v>
      </c>
      <c r="H888" s="142"/>
      <c r="I888" s="143">
        <f t="shared" si="38"/>
        <v>170000</v>
      </c>
      <c r="J888" s="144">
        <f t="shared" si="39"/>
        <v>170000</v>
      </c>
      <c r="K888" s="108" t="s">
        <v>5167</v>
      </c>
      <c r="L888" s="199" t="s">
        <v>5168</v>
      </c>
      <c r="M888" s="17"/>
      <c r="N888" s="64" t="s">
        <v>5169</v>
      </c>
      <c r="O888" s="64" t="s">
        <v>3394</v>
      </c>
      <c r="P888" s="147" t="s">
        <v>4672</v>
      </c>
      <c r="Q888" s="149"/>
      <c r="R888" s="149"/>
      <c r="S888" s="149"/>
      <c r="T888" s="149"/>
      <c r="U888" s="149"/>
      <c r="V888" s="149"/>
      <c r="W888" s="149"/>
      <c r="X888" s="64" t="s">
        <v>3810</v>
      </c>
      <c r="Y888" s="68"/>
      <c r="Z888" s="68"/>
    </row>
    <row r="889" ht="15.0" customHeight="1">
      <c r="A889" s="206">
        <v>45927.0</v>
      </c>
      <c r="B889" s="201" t="s">
        <v>5182</v>
      </c>
      <c r="C889" s="45" t="s">
        <v>3930</v>
      </c>
      <c r="D889" s="140" t="str">
        <f>IFERROR(VLOOKUP(C889,Stock,3,FALSE),"")</f>
        <v>Suzuki Ertiga 18- 2nd Gen / XL7</v>
      </c>
      <c r="E889" s="45">
        <v>1.0</v>
      </c>
      <c r="F889" s="202"/>
      <c r="G889" s="142">
        <f t="shared" si="40"/>
        <v>0</v>
      </c>
      <c r="H889" s="142"/>
      <c r="I889" s="143">
        <f t="shared" si="38"/>
        <v>0</v>
      </c>
      <c r="J889" s="144">
        <f t="shared" si="39"/>
        <v>0</v>
      </c>
      <c r="K889" s="145" t="s">
        <v>4509</v>
      </c>
      <c r="L889" s="45"/>
      <c r="M889" s="17"/>
      <c r="N889" s="68"/>
      <c r="O889" s="64" t="s">
        <v>4175</v>
      </c>
      <c r="P889" s="147" t="s">
        <v>4672</v>
      </c>
      <c r="Q889" s="149"/>
      <c r="R889" s="149"/>
      <c r="S889" s="149"/>
      <c r="T889" s="149"/>
      <c r="U889" s="149"/>
      <c r="V889" s="149"/>
      <c r="W889" s="149"/>
      <c r="X889" s="64" t="s">
        <v>3810</v>
      </c>
      <c r="Y889" s="64" t="s">
        <v>4602</v>
      </c>
      <c r="Z889" s="68"/>
    </row>
    <row r="890" ht="15.0" customHeight="1">
      <c r="A890" s="246">
        <v>45928.0</v>
      </c>
      <c r="B890" s="201" t="s">
        <v>5183</v>
      </c>
      <c r="C890" s="45" t="s">
        <v>3246</v>
      </c>
      <c r="D890" s="140" t="str">
        <f>IFERROR(VLOOKUP(C890,Stock,3,FALSE),"")</f>
        <v>Toyota Calya / Sigra 16-</v>
      </c>
      <c r="E890" s="45">
        <v>1.0</v>
      </c>
      <c r="F890" s="198">
        <v>1170000.0</v>
      </c>
      <c r="G890" s="142">
        <f t="shared" si="40"/>
        <v>1170000</v>
      </c>
      <c r="H890" s="142"/>
      <c r="I890" s="143">
        <f t="shared" si="38"/>
        <v>1170000</v>
      </c>
      <c r="J890" s="144">
        <f t="shared" si="39"/>
        <v>1170000</v>
      </c>
      <c r="K890" s="108" t="s">
        <v>5184</v>
      </c>
      <c r="L890" s="199" t="s">
        <v>5185</v>
      </c>
      <c r="M890" s="17"/>
      <c r="N890" s="64" t="s">
        <v>5186</v>
      </c>
      <c r="O890" s="64" t="s">
        <v>4175</v>
      </c>
      <c r="P890" s="147" t="s">
        <v>4672</v>
      </c>
      <c r="Q890" s="149"/>
      <c r="R890" s="141"/>
      <c r="S890" s="141"/>
      <c r="T890" s="141">
        <v>1170000.0</v>
      </c>
      <c r="U890" s="149"/>
      <c r="V890" s="149"/>
      <c r="W890" s="149"/>
      <c r="X890" s="64" t="s">
        <v>3810</v>
      </c>
      <c r="Y890" s="68"/>
      <c r="Z890" s="68"/>
    </row>
    <row r="891" ht="15.0" customHeight="1">
      <c r="A891" s="246">
        <v>45928.0</v>
      </c>
      <c r="B891" s="201" t="s">
        <v>5187</v>
      </c>
      <c r="C891" s="45" t="s">
        <v>5188</v>
      </c>
      <c r="D891" s="140" t="str">
        <f>IFERROR(VLOOKUP(C891,Stock,3,FALSE),"")</f>
        <v>Suzuki Ertiga 18- 2nd Gen / XL7</v>
      </c>
      <c r="E891" s="45">
        <v>1.0</v>
      </c>
      <c r="F891" s="198">
        <v>1575000.0</v>
      </c>
      <c r="G891" s="142">
        <f t="shared" si="40"/>
        <v>1575000</v>
      </c>
      <c r="H891" s="142"/>
      <c r="I891" s="143">
        <f t="shared" si="38"/>
        <v>1575000</v>
      </c>
      <c r="J891" s="144">
        <f t="shared" si="39"/>
        <v>1575000</v>
      </c>
      <c r="K891" s="108" t="s">
        <v>5189</v>
      </c>
      <c r="L891" s="199" t="s">
        <v>5190</v>
      </c>
      <c r="M891" s="17"/>
      <c r="N891" s="64" t="s">
        <v>5191</v>
      </c>
      <c r="O891" s="64" t="s">
        <v>2813</v>
      </c>
      <c r="P891" s="147" t="s">
        <v>4672</v>
      </c>
      <c r="Q891" s="149"/>
      <c r="R891" s="141"/>
      <c r="S891" s="141"/>
      <c r="T891" s="141">
        <v>50000.0</v>
      </c>
      <c r="U891" s="149"/>
      <c r="V891" s="149"/>
      <c r="W891" s="149"/>
      <c r="X891" s="64" t="s">
        <v>3810</v>
      </c>
      <c r="Y891" s="68"/>
      <c r="Z891" s="68"/>
    </row>
    <row r="892" ht="15.0" customHeight="1">
      <c r="A892" s="246">
        <v>45928.0</v>
      </c>
      <c r="B892" s="201" t="s">
        <v>5187</v>
      </c>
      <c r="C892" s="45" t="s">
        <v>2962</v>
      </c>
      <c r="D892" s="140" t="str">
        <f>IFERROR(VLOOKUP(C892,Stock,3,FALSE),"")</f>
        <v>Lembur</v>
      </c>
      <c r="E892" s="45">
        <v>1.0</v>
      </c>
      <c r="F892" s="198">
        <v>150000.0</v>
      </c>
      <c r="G892" s="142">
        <f t="shared" si="40"/>
        <v>150000</v>
      </c>
      <c r="H892" s="142"/>
      <c r="I892" s="143">
        <f t="shared" si="38"/>
        <v>150000</v>
      </c>
      <c r="J892" s="144">
        <f t="shared" si="39"/>
        <v>150000</v>
      </c>
      <c r="K892" s="108" t="s">
        <v>5189</v>
      </c>
      <c r="L892" s="199" t="s">
        <v>5190</v>
      </c>
      <c r="M892" s="17"/>
      <c r="N892" s="64" t="s">
        <v>5191</v>
      </c>
      <c r="O892" s="64" t="s">
        <v>2813</v>
      </c>
      <c r="P892" s="147" t="s">
        <v>4672</v>
      </c>
      <c r="Q892" s="141">
        <v>1675000.0</v>
      </c>
      <c r="R892" s="149"/>
      <c r="S892" s="149"/>
      <c r="T892" s="149"/>
      <c r="U892" s="149"/>
      <c r="V892" s="149"/>
      <c r="W892" s="149"/>
      <c r="X892" s="64" t="s">
        <v>3810</v>
      </c>
      <c r="Y892" s="68"/>
      <c r="Z892" s="68"/>
    </row>
    <row r="893" ht="15.0" customHeight="1">
      <c r="A893" s="246">
        <v>45928.0</v>
      </c>
      <c r="B893" s="201" t="s">
        <v>5192</v>
      </c>
      <c r="C893" s="45" t="s">
        <v>2029</v>
      </c>
      <c r="D893" s="140" t="str">
        <f>IFERROR(VLOOKUP(C893,Stock,3,FALSE),"")</f>
        <v>Toyota Fortuner 05-15 1st Gen</v>
      </c>
      <c r="E893" s="45">
        <v>1.0</v>
      </c>
      <c r="F893" s="198">
        <v>1450000.0</v>
      </c>
      <c r="G893" s="142">
        <f t="shared" si="40"/>
        <v>1450000</v>
      </c>
      <c r="H893" s="142"/>
      <c r="I893" s="143">
        <f t="shared" si="38"/>
        <v>1450000</v>
      </c>
      <c r="J893" s="144">
        <f t="shared" si="39"/>
        <v>1450000</v>
      </c>
      <c r="K893" s="108" t="s">
        <v>5193</v>
      </c>
      <c r="L893" s="199" t="s">
        <v>5194</v>
      </c>
      <c r="M893" s="17"/>
      <c r="N893" s="64" t="s">
        <v>5195</v>
      </c>
      <c r="O893" s="64" t="s">
        <v>2813</v>
      </c>
      <c r="P893" s="147" t="s">
        <v>4672</v>
      </c>
      <c r="Q893" s="149"/>
      <c r="R893" s="141"/>
      <c r="S893" s="141"/>
      <c r="T893" s="141">
        <v>100000.0</v>
      </c>
      <c r="U893" s="149"/>
      <c r="V893" s="149"/>
      <c r="W893" s="149"/>
      <c r="X893" s="64" t="s">
        <v>3810</v>
      </c>
      <c r="Y893" s="68"/>
      <c r="Z893" s="68"/>
    </row>
    <row r="894" ht="15.0" customHeight="1">
      <c r="A894" s="246">
        <v>45928.0</v>
      </c>
      <c r="B894" s="201" t="s">
        <v>5192</v>
      </c>
      <c r="C894" s="45" t="s">
        <v>4979</v>
      </c>
      <c r="D894" s="140" t="str">
        <f>IFERROR(VLOOKUP(C894,Stock,3,FALSE),"")</f>
        <v>255 Ultra + Actv-100 Application</v>
      </c>
      <c r="E894" s="45">
        <v>1.0</v>
      </c>
      <c r="F894" s="198">
        <v>200000.0</v>
      </c>
      <c r="G894" s="142">
        <f t="shared" si="40"/>
        <v>200000</v>
      </c>
      <c r="H894" s="142"/>
      <c r="I894" s="143">
        <f t="shared" si="38"/>
        <v>200000</v>
      </c>
      <c r="J894" s="144">
        <f t="shared" si="39"/>
        <v>200000</v>
      </c>
      <c r="K894" s="108" t="s">
        <v>5193</v>
      </c>
      <c r="L894" s="199" t="s">
        <v>5194</v>
      </c>
      <c r="M894" s="17"/>
      <c r="N894" s="64" t="s">
        <v>5195</v>
      </c>
      <c r="O894" s="64" t="s">
        <v>2813</v>
      </c>
      <c r="P894" s="147" t="s">
        <v>4672</v>
      </c>
      <c r="Q894" s="149"/>
      <c r="R894" s="141"/>
      <c r="S894" s="141"/>
      <c r="T894" s="141">
        <v>1650000.0</v>
      </c>
      <c r="U894" s="149"/>
      <c r="V894" s="149"/>
      <c r="W894" s="149"/>
      <c r="X894" s="64" t="s">
        <v>3810</v>
      </c>
      <c r="Y894" s="68"/>
      <c r="Z894" s="68"/>
    </row>
    <row r="895" ht="15.0" customHeight="1">
      <c r="A895" s="246">
        <v>45928.0</v>
      </c>
      <c r="B895" s="201" t="s">
        <v>5192</v>
      </c>
      <c r="C895" s="45" t="s">
        <v>2962</v>
      </c>
      <c r="D895" s="140" t="str">
        <f>IFERROR(VLOOKUP(C895,Stock,3,FALSE),"")</f>
        <v>Lembur</v>
      </c>
      <c r="E895" s="45">
        <v>1.0</v>
      </c>
      <c r="F895" s="198">
        <v>100000.0</v>
      </c>
      <c r="G895" s="142">
        <f t="shared" si="40"/>
        <v>100000</v>
      </c>
      <c r="H895" s="142"/>
      <c r="I895" s="143">
        <f t="shared" si="38"/>
        <v>100000</v>
      </c>
      <c r="J895" s="144">
        <f t="shared" si="39"/>
        <v>100000</v>
      </c>
      <c r="K895" s="108" t="s">
        <v>5193</v>
      </c>
      <c r="L895" s="199" t="s">
        <v>5194</v>
      </c>
      <c r="M895" s="17"/>
      <c r="N895" s="64" t="s">
        <v>5195</v>
      </c>
      <c r="O895" s="64" t="s">
        <v>2813</v>
      </c>
      <c r="P895" s="147" t="s">
        <v>4672</v>
      </c>
      <c r="Q895" s="149"/>
      <c r="R895" s="149"/>
      <c r="S895" s="149"/>
      <c r="T895" s="149"/>
      <c r="U895" s="149"/>
      <c r="V895" s="149"/>
      <c r="W895" s="149"/>
      <c r="X895" s="64" t="s">
        <v>3810</v>
      </c>
      <c r="Y895" s="68"/>
      <c r="Z895" s="68"/>
    </row>
    <row r="896" ht="15.0" customHeight="1">
      <c r="A896" s="246">
        <v>45928.0</v>
      </c>
      <c r="B896" s="201" t="s">
        <v>5196</v>
      </c>
      <c r="C896" s="64" t="s">
        <v>2792</v>
      </c>
      <c r="D896" s="140" t="str">
        <f>IFERROR(VLOOKUP(C896,Stock,3,FALSE),"")</f>
        <v>Toyota Calya / Sigra 16-</v>
      </c>
      <c r="E896" s="45">
        <v>1.0</v>
      </c>
      <c r="F896" s="198">
        <v>900000.0</v>
      </c>
      <c r="G896" s="142">
        <f t="shared" si="40"/>
        <v>900000</v>
      </c>
      <c r="H896" s="142"/>
      <c r="I896" s="143">
        <f t="shared" si="38"/>
        <v>900000</v>
      </c>
      <c r="J896" s="144">
        <f t="shared" si="39"/>
        <v>900000</v>
      </c>
      <c r="K896" s="108" t="s">
        <v>5197</v>
      </c>
      <c r="L896" s="199" t="s">
        <v>5198</v>
      </c>
      <c r="M896" s="17"/>
      <c r="N896" s="64" t="s">
        <v>5199</v>
      </c>
      <c r="O896" s="64" t="s">
        <v>2813</v>
      </c>
      <c r="P896" s="147" t="s">
        <v>4672</v>
      </c>
      <c r="Q896" s="149"/>
      <c r="R896" s="141"/>
      <c r="S896" s="141"/>
      <c r="T896" s="141">
        <v>975000.0</v>
      </c>
      <c r="U896" s="149"/>
      <c r="V896" s="149"/>
      <c r="W896" s="149"/>
      <c r="X896" s="64" t="s">
        <v>3810</v>
      </c>
      <c r="Y896" s="68"/>
      <c r="Z896" s="68"/>
    </row>
    <row r="897" ht="15.0" customHeight="1">
      <c r="A897" s="246">
        <v>45928.0</v>
      </c>
      <c r="B897" s="201" t="s">
        <v>5196</v>
      </c>
      <c r="C897" s="45" t="s">
        <v>2962</v>
      </c>
      <c r="D897" s="140" t="str">
        <f>IFERROR(VLOOKUP(C897,Stock,3,FALSE),"")</f>
        <v>Lembur</v>
      </c>
      <c r="E897" s="45">
        <v>1.0</v>
      </c>
      <c r="F897" s="198">
        <v>75000.0</v>
      </c>
      <c r="G897" s="142">
        <f t="shared" si="40"/>
        <v>75000</v>
      </c>
      <c r="H897" s="142"/>
      <c r="I897" s="143">
        <f t="shared" si="38"/>
        <v>75000</v>
      </c>
      <c r="J897" s="144">
        <f t="shared" si="39"/>
        <v>75000</v>
      </c>
      <c r="K897" s="108" t="s">
        <v>5197</v>
      </c>
      <c r="L897" s="199" t="s">
        <v>5198</v>
      </c>
      <c r="M897" s="17"/>
      <c r="N897" s="64" t="s">
        <v>5199</v>
      </c>
      <c r="O897" s="64" t="s">
        <v>2813</v>
      </c>
      <c r="P897" s="147" t="s">
        <v>4672</v>
      </c>
      <c r="Q897" s="149"/>
      <c r="R897" s="149"/>
      <c r="S897" s="149"/>
      <c r="T897" s="149"/>
      <c r="U897" s="149"/>
      <c r="V897" s="149"/>
      <c r="W897" s="149"/>
      <c r="X897" s="64" t="s">
        <v>3810</v>
      </c>
      <c r="Y897" s="68"/>
      <c r="Z897" s="68"/>
    </row>
    <row r="898" ht="15.0" customHeight="1">
      <c r="A898" s="246">
        <v>45928.0</v>
      </c>
      <c r="B898" s="201" t="s">
        <v>5200</v>
      </c>
      <c r="C898" s="64" t="s">
        <v>5201</v>
      </c>
      <c r="D898" s="140" t="str">
        <f>IFERROR(VLOOKUP(C898,Stock,3,FALSE),"")</f>
        <v>Toyota Voxy 22- 2nd Gen (Hitam)</v>
      </c>
      <c r="E898" s="45">
        <v>1.0</v>
      </c>
      <c r="F898" s="198">
        <v>3149000.0</v>
      </c>
      <c r="G898" s="142">
        <f t="shared" si="40"/>
        <v>3149000</v>
      </c>
      <c r="H898" s="142"/>
      <c r="I898" s="143">
        <f t="shared" si="38"/>
        <v>3149000</v>
      </c>
      <c r="J898" s="144">
        <f t="shared" si="39"/>
        <v>3149000</v>
      </c>
      <c r="K898" s="108" t="s">
        <v>5202</v>
      </c>
      <c r="L898" s="199" t="s">
        <v>5203</v>
      </c>
      <c r="M898" s="17"/>
      <c r="N898" s="64" t="s">
        <v>5204</v>
      </c>
      <c r="O898" s="64" t="s">
        <v>5205</v>
      </c>
      <c r="P898" s="147" t="s">
        <v>4672</v>
      </c>
      <c r="Q898" s="149"/>
      <c r="R898" s="141"/>
      <c r="S898" s="141"/>
      <c r="T898" s="141">
        <v>100000.0</v>
      </c>
      <c r="U898" s="149"/>
      <c r="V898" s="149"/>
      <c r="W898" s="149"/>
      <c r="X898" s="64" t="s">
        <v>3810</v>
      </c>
      <c r="Y898" s="68"/>
      <c r="Z898" s="68"/>
    </row>
    <row r="899" ht="15.0" customHeight="1">
      <c r="A899" s="246">
        <v>45928.0</v>
      </c>
      <c r="B899" s="201" t="s">
        <v>5200</v>
      </c>
      <c r="C899" s="45" t="s">
        <v>2770</v>
      </c>
      <c r="D899" s="140" t="str">
        <f>IFERROR(VLOOKUP(C899,Stock,3,FALSE),"")</f>
        <v>Transport</v>
      </c>
      <c r="E899" s="45">
        <v>1.0</v>
      </c>
      <c r="F899" s="198">
        <v>100000.0</v>
      </c>
      <c r="G899" s="142">
        <f t="shared" si="40"/>
        <v>100000</v>
      </c>
      <c r="H899" s="142"/>
      <c r="I899" s="143">
        <f t="shared" si="38"/>
        <v>100000</v>
      </c>
      <c r="J899" s="144">
        <f t="shared" si="39"/>
        <v>100000</v>
      </c>
      <c r="K899" s="108" t="s">
        <v>5202</v>
      </c>
      <c r="L899" s="199" t="s">
        <v>5203</v>
      </c>
      <c r="M899" s="17"/>
      <c r="N899" s="64" t="s">
        <v>5204</v>
      </c>
      <c r="O899" s="64" t="s">
        <v>5205</v>
      </c>
      <c r="P899" s="147" t="s">
        <v>4672</v>
      </c>
      <c r="Q899" s="149"/>
      <c r="R899" s="141"/>
      <c r="S899" s="141"/>
      <c r="T899" s="141">
        <v>3499000.0</v>
      </c>
      <c r="U899" s="149"/>
      <c r="V899" s="149"/>
      <c r="W899" s="149"/>
      <c r="X899" s="64" t="s">
        <v>3810</v>
      </c>
      <c r="Y899" s="68"/>
      <c r="Z899" s="68"/>
    </row>
    <row r="900" ht="15.0" customHeight="1">
      <c r="A900" s="246">
        <v>45928.0</v>
      </c>
      <c r="B900" s="201" t="s">
        <v>5200</v>
      </c>
      <c r="C900" s="45" t="s">
        <v>4979</v>
      </c>
      <c r="D900" s="140" t="str">
        <f>IFERROR(VLOOKUP(C900,Stock,3,FALSE),"")</f>
        <v>255 Ultra + Actv-100 Application</v>
      </c>
      <c r="E900" s="45">
        <v>1.0</v>
      </c>
      <c r="F900" s="198">
        <v>200000.0</v>
      </c>
      <c r="G900" s="142">
        <f t="shared" si="40"/>
        <v>200000</v>
      </c>
      <c r="H900" s="142"/>
      <c r="I900" s="143">
        <f t="shared" si="38"/>
        <v>200000</v>
      </c>
      <c r="J900" s="144">
        <f t="shared" si="39"/>
        <v>200000</v>
      </c>
      <c r="K900" s="108" t="s">
        <v>5202</v>
      </c>
      <c r="L900" s="199" t="s">
        <v>5203</v>
      </c>
      <c r="M900" s="17"/>
      <c r="N900" s="64" t="s">
        <v>5204</v>
      </c>
      <c r="O900" s="64" t="s">
        <v>5205</v>
      </c>
      <c r="P900" s="147" t="s">
        <v>4672</v>
      </c>
      <c r="Q900" s="149"/>
      <c r="R900" s="149"/>
      <c r="S900" s="149"/>
      <c r="T900" s="149"/>
      <c r="U900" s="149"/>
      <c r="V900" s="149"/>
      <c r="W900" s="149"/>
      <c r="X900" s="64" t="s">
        <v>3810</v>
      </c>
      <c r="Y900" s="68"/>
      <c r="Z900" s="68"/>
    </row>
    <row r="901" ht="15.0" customHeight="1">
      <c r="A901" s="246">
        <v>45928.0</v>
      </c>
      <c r="B901" s="201" t="s">
        <v>5200</v>
      </c>
      <c r="C901" s="45" t="s">
        <v>2962</v>
      </c>
      <c r="D901" s="140" t="str">
        <f>IFERROR(VLOOKUP(C901,Stock,3,FALSE),"")</f>
        <v>Lembur</v>
      </c>
      <c r="E901" s="45">
        <v>1.0</v>
      </c>
      <c r="F901" s="198">
        <v>150000.0</v>
      </c>
      <c r="G901" s="142">
        <f t="shared" si="40"/>
        <v>150000</v>
      </c>
      <c r="H901" s="142"/>
      <c r="I901" s="143">
        <f t="shared" si="38"/>
        <v>150000</v>
      </c>
      <c r="J901" s="144">
        <f t="shared" si="39"/>
        <v>150000</v>
      </c>
      <c r="K901" s="108" t="s">
        <v>5202</v>
      </c>
      <c r="L901" s="199" t="s">
        <v>5203</v>
      </c>
      <c r="M901" s="17"/>
      <c r="N901" s="64" t="s">
        <v>5204</v>
      </c>
      <c r="O901" s="64" t="s">
        <v>5205</v>
      </c>
      <c r="P901" s="147" t="s">
        <v>4672</v>
      </c>
      <c r="Q901" s="149"/>
      <c r="R901" s="149"/>
      <c r="S901" s="149"/>
      <c r="T901" s="149"/>
      <c r="U901" s="149"/>
      <c r="V901" s="149"/>
      <c r="W901" s="149"/>
      <c r="X901" s="64" t="s">
        <v>3810</v>
      </c>
      <c r="Y901" s="68"/>
      <c r="Z901" s="68"/>
    </row>
    <row r="902" ht="15.0" customHeight="1">
      <c r="A902" s="246">
        <v>45928.0</v>
      </c>
      <c r="B902" s="201" t="s">
        <v>5206</v>
      </c>
      <c r="C902" s="45" t="s">
        <v>5207</v>
      </c>
      <c r="D902" s="140" t="str">
        <f>IFERROR(VLOOKUP(C902,Stock,3,FALSE),"")</f>
        <v>Toyota Alphard 08-15 ANH20 2nd Gen</v>
      </c>
      <c r="E902" s="45">
        <v>1.0</v>
      </c>
      <c r="F902" s="198">
        <v>4452000.0</v>
      </c>
      <c r="G902" s="142">
        <f t="shared" si="40"/>
        <v>4452000</v>
      </c>
      <c r="H902" s="142"/>
      <c r="I902" s="143">
        <f t="shared" si="38"/>
        <v>4452000</v>
      </c>
      <c r="J902" s="144">
        <f t="shared" si="39"/>
        <v>4452000</v>
      </c>
      <c r="K902" s="108" t="s">
        <v>5208</v>
      </c>
      <c r="L902" s="199" t="s">
        <v>5209</v>
      </c>
      <c r="M902" s="17"/>
      <c r="N902" s="64" t="s">
        <v>5210</v>
      </c>
      <c r="O902" s="64" t="s">
        <v>3341</v>
      </c>
      <c r="P902" s="147" t="s">
        <v>4672</v>
      </c>
      <c r="Q902" s="149"/>
      <c r="R902" s="141"/>
      <c r="S902" s="141"/>
      <c r="T902" s="141">
        <v>100000.0</v>
      </c>
      <c r="U902" s="149"/>
      <c r="V902" s="149"/>
      <c r="W902" s="149"/>
      <c r="X902" s="64" t="s">
        <v>3810</v>
      </c>
      <c r="Y902" s="68"/>
      <c r="Z902" s="68"/>
    </row>
    <row r="903" ht="15.0" customHeight="1">
      <c r="A903" s="246">
        <v>45928.0</v>
      </c>
      <c r="B903" s="201" t="s">
        <v>5206</v>
      </c>
      <c r="C903" s="45" t="s">
        <v>2962</v>
      </c>
      <c r="D903" s="140" t="str">
        <f>IFERROR(VLOOKUP(C903,Stock,3,FALSE),"")</f>
        <v>Lembur</v>
      </c>
      <c r="E903" s="45">
        <v>1.0</v>
      </c>
      <c r="F903" s="198">
        <v>150000.0</v>
      </c>
      <c r="G903" s="142">
        <f t="shared" si="40"/>
        <v>150000</v>
      </c>
      <c r="H903" s="142"/>
      <c r="I903" s="143">
        <f t="shared" si="38"/>
        <v>150000</v>
      </c>
      <c r="J903" s="144">
        <f t="shared" si="39"/>
        <v>150000</v>
      </c>
      <c r="K903" s="108" t="s">
        <v>5208</v>
      </c>
      <c r="L903" s="199" t="s">
        <v>5209</v>
      </c>
      <c r="M903" s="17"/>
      <c r="N903" s="64" t="s">
        <v>5210</v>
      </c>
      <c r="O903" s="64" t="s">
        <v>3341</v>
      </c>
      <c r="P903" s="147" t="s">
        <v>4672</v>
      </c>
      <c r="Q903" s="149"/>
      <c r="R903" s="141"/>
      <c r="S903" s="141"/>
      <c r="T903" s="141">
        <v>4602000.0</v>
      </c>
      <c r="U903" s="149"/>
      <c r="V903" s="149"/>
      <c r="W903" s="149"/>
      <c r="X903" s="64" t="s">
        <v>3810</v>
      </c>
      <c r="Y903" s="68"/>
      <c r="Z903" s="68"/>
    </row>
    <row r="904" ht="15.0" customHeight="1">
      <c r="A904" s="246">
        <v>45928.0</v>
      </c>
      <c r="B904" s="201" t="s">
        <v>5206</v>
      </c>
      <c r="C904" s="45" t="s">
        <v>4979</v>
      </c>
      <c r="D904" s="140" t="str">
        <f>IFERROR(VLOOKUP(C904,Stock,3,FALSE),"")</f>
        <v>255 Ultra + Actv-100 Application</v>
      </c>
      <c r="E904" s="64">
        <v>1.0</v>
      </c>
      <c r="F904" s="198">
        <v>200000.0</v>
      </c>
      <c r="G904" s="142">
        <f t="shared" si="40"/>
        <v>200000</v>
      </c>
      <c r="H904" s="142"/>
      <c r="I904" s="143">
        <f t="shared" si="38"/>
        <v>200000</v>
      </c>
      <c r="J904" s="144">
        <f t="shared" si="39"/>
        <v>200000</v>
      </c>
      <c r="K904" s="108" t="s">
        <v>5208</v>
      </c>
      <c r="L904" s="199" t="s">
        <v>5209</v>
      </c>
      <c r="M904" s="17"/>
      <c r="N904" s="64" t="s">
        <v>5210</v>
      </c>
      <c r="O904" s="64" t="s">
        <v>3341</v>
      </c>
      <c r="P904" s="147" t="s">
        <v>4672</v>
      </c>
      <c r="Q904" s="68"/>
      <c r="R904" s="68"/>
      <c r="S904" s="68"/>
      <c r="T904" s="68"/>
      <c r="U904" s="68"/>
      <c r="V904" s="68"/>
      <c r="W904" s="68"/>
      <c r="X904" s="64" t="s">
        <v>3810</v>
      </c>
      <c r="Y904" s="68"/>
      <c r="Z904" s="68"/>
    </row>
    <row r="905" ht="15.0" customHeight="1">
      <c r="A905" s="246">
        <v>45929.0</v>
      </c>
      <c r="B905" s="201" t="s">
        <v>5211</v>
      </c>
      <c r="C905" s="45" t="s">
        <v>3634</v>
      </c>
      <c r="D905" s="140" t="str">
        <f>IFERROR(VLOOKUP(C905,Stock,3,FALSE),"")</f>
        <v>Toyota Agya/Ayla 13-22 1st Gen (Toyota/Daihatsu)</v>
      </c>
      <c r="E905" s="45">
        <v>1.0</v>
      </c>
      <c r="F905" s="198">
        <v>839000.0</v>
      </c>
      <c r="G905" s="142">
        <f t="shared" si="40"/>
        <v>839000</v>
      </c>
      <c r="H905" s="142"/>
      <c r="I905" s="143">
        <f t="shared" si="38"/>
        <v>839000</v>
      </c>
      <c r="J905" s="144">
        <f t="shared" si="39"/>
        <v>839000</v>
      </c>
      <c r="K905" s="108" t="s">
        <v>5212</v>
      </c>
      <c r="L905" s="199" t="s">
        <v>5213</v>
      </c>
      <c r="M905" s="17"/>
      <c r="N905" s="64" t="s">
        <v>5214</v>
      </c>
      <c r="O905" s="64" t="s">
        <v>2813</v>
      </c>
      <c r="P905" s="147" t="s">
        <v>4672</v>
      </c>
      <c r="Q905" s="149"/>
      <c r="R905" s="141"/>
      <c r="S905" s="141"/>
      <c r="T905" s="141">
        <v>839000.0</v>
      </c>
      <c r="U905" s="149"/>
      <c r="V905" s="149"/>
      <c r="W905" s="149"/>
      <c r="X905" s="64" t="s">
        <v>3810</v>
      </c>
      <c r="Y905" s="68"/>
      <c r="Z905" s="68"/>
    </row>
    <row r="906" ht="15.0" customHeight="1">
      <c r="A906" s="246">
        <v>45929.0</v>
      </c>
      <c r="B906" s="201" t="s">
        <v>5215</v>
      </c>
      <c r="C906" s="64" t="s">
        <v>5216</v>
      </c>
      <c r="D906" s="140" t="str">
        <f>IFERROR(VLOOKUP(C906,Stock,3,FALSE),"")</f>
        <v>Honda Jazz 13- 3rd Gen</v>
      </c>
      <c r="E906" s="45">
        <v>1.0</v>
      </c>
      <c r="F906" s="198">
        <v>1299000.0</v>
      </c>
      <c r="G906" s="142">
        <f t="shared" si="40"/>
        <v>1299000</v>
      </c>
      <c r="H906" s="142"/>
      <c r="I906" s="143">
        <f t="shared" si="38"/>
        <v>1299000</v>
      </c>
      <c r="J906" s="144">
        <f t="shared" si="39"/>
        <v>1299000</v>
      </c>
      <c r="K906" s="108" t="s">
        <v>5217</v>
      </c>
      <c r="L906" s="199" t="s">
        <v>5218</v>
      </c>
      <c r="M906" s="17"/>
      <c r="N906" s="64" t="s">
        <v>5219</v>
      </c>
      <c r="O906" s="64" t="s">
        <v>4993</v>
      </c>
      <c r="P906" s="147" t="s">
        <v>4672</v>
      </c>
      <c r="Q906" s="149"/>
      <c r="R906" s="141"/>
      <c r="S906" s="141"/>
      <c r="T906" s="141">
        <v>50000.0</v>
      </c>
      <c r="U906" s="149"/>
      <c r="V906" s="149"/>
      <c r="W906" s="149"/>
      <c r="X906" s="64" t="s">
        <v>3810</v>
      </c>
      <c r="Y906" s="68"/>
      <c r="Z906" s="68"/>
    </row>
    <row r="907" ht="15.0" customHeight="1">
      <c r="A907" s="246">
        <v>45929.0</v>
      </c>
      <c r="B907" s="201" t="s">
        <v>5215</v>
      </c>
      <c r="C907" s="45" t="s">
        <v>2770</v>
      </c>
      <c r="D907" s="140" t="str">
        <f>IFERROR(VLOOKUP(C907,Stock,3,FALSE),"")</f>
        <v>Transport</v>
      </c>
      <c r="E907" s="45">
        <v>1.0</v>
      </c>
      <c r="F907" s="198">
        <v>150000.0</v>
      </c>
      <c r="G907" s="142">
        <f t="shared" si="40"/>
        <v>150000</v>
      </c>
      <c r="H907" s="142"/>
      <c r="I907" s="143">
        <f t="shared" si="38"/>
        <v>150000</v>
      </c>
      <c r="J907" s="144">
        <f t="shared" si="39"/>
        <v>150000</v>
      </c>
      <c r="K907" s="108" t="s">
        <v>5217</v>
      </c>
      <c r="L907" s="199" t="s">
        <v>5218</v>
      </c>
      <c r="M907" s="17"/>
      <c r="N907" s="64" t="s">
        <v>5219</v>
      </c>
      <c r="O907" s="64" t="s">
        <v>4993</v>
      </c>
      <c r="P907" s="147" t="s">
        <v>4672</v>
      </c>
      <c r="Q907" s="149"/>
      <c r="R907" s="149"/>
      <c r="S907" s="149"/>
      <c r="T907" s="149"/>
      <c r="U907" s="149"/>
      <c r="V907" s="149"/>
      <c r="W907" s="149"/>
      <c r="X907" s="64" t="s">
        <v>3810</v>
      </c>
      <c r="Y907" s="68"/>
      <c r="Z907" s="68"/>
    </row>
    <row r="908" ht="15.0" customHeight="1">
      <c r="A908" s="246">
        <v>45929.0</v>
      </c>
      <c r="B908" s="201" t="s">
        <v>5215</v>
      </c>
      <c r="C908" s="45" t="s">
        <v>4979</v>
      </c>
      <c r="D908" s="140" t="str">
        <f>IFERROR(VLOOKUP(C908,Stock,3,FALSE),"")</f>
        <v>255 Ultra + Actv-100 Application</v>
      </c>
      <c r="E908" s="45">
        <v>1.0</v>
      </c>
      <c r="F908" s="198">
        <v>200000.0</v>
      </c>
      <c r="G908" s="142">
        <f t="shared" si="40"/>
        <v>200000</v>
      </c>
      <c r="H908" s="142"/>
      <c r="I908" s="143">
        <f t="shared" si="38"/>
        <v>200000</v>
      </c>
      <c r="J908" s="144">
        <f t="shared" si="39"/>
        <v>200000</v>
      </c>
      <c r="K908" s="108" t="s">
        <v>5217</v>
      </c>
      <c r="L908" s="199" t="s">
        <v>5218</v>
      </c>
      <c r="M908" s="17"/>
      <c r="N908" s="64" t="s">
        <v>5219</v>
      </c>
      <c r="O908" s="64" t="s">
        <v>4993</v>
      </c>
      <c r="P908" s="147" t="s">
        <v>4672</v>
      </c>
      <c r="Q908" s="68"/>
      <c r="R908" s="68"/>
      <c r="S908" s="68"/>
      <c r="T908" s="68"/>
      <c r="U908" s="68"/>
      <c r="V908" s="68"/>
      <c r="W908" s="68"/>
      <c r="X908" s="64" t="s">
        <v>3810</v>
      </c>
      <c r="Y908" s="68"/>
      <c r="Z908" s="68"/>
    </row>
    <row r="909" ht="15.0" customHeight="1">
      <c r="A909" s="246">
        <v>45929.0</v>
      </c>
      <c r="B909" s="201" t="s">
        <v>5220</v>
      </c>
      <c r="C909" s="45" t="s">
        <v>2885</v>
      </c>
      <c r="D909" s="140" t="str">
        <f>IFERROR(VLOOKUP(C909,Stock,3,FALSE),"")</f>
        <v>Bongkar Pasang Kaca Mobil Belakang</v>
      </c>
      <c r="E909" s="45">
        <v>1.0</v>
      </c>
      <c r="F909" s="198">
        <v>500000.0</v>
      </c>
      <c r="G909" s="142">
        <f t="shared" si="40"/>
        <v>500000</v>
      </c>
      <c r="H909" s="142"/>
      <c r="I909" s="143">
        <f t="shared" si="38"/>
        <v>500000</v>
      </c>
      <c r="J909" s="144">
        <f t="shared" si="39"/>
        <v>500000</v>
      </c>
      <c r="K909" s="108" t="s">
        <v>5221</v>
      </c>
      <c r="L909" s="199" t="s">
        <v>5222</v>
      </c>
      <c r="M909" s="17"/>
      <c r="N909" s="64" t="s">
        <v>5223</v>
      </c>
      <c r="O909" s="64" t="s">
        <v>2813</v>
      </c>
      <c r="P909" s="147" t="s">
        <v>4672</v>
      </c>
      <c r="Q909" s="149"/>
      <c r="R909" s="141"/>
      <c r="S909" s="141"/>
      <c r="T909" s="141">
        <v>500000.0</v>
      </c>
      <c r="U909" s="149"/>
      <c r="V909" s="149"/>
      <c r="W909" s="149"/>
      <c r="X909" s="64" t="s">
        <v>3810</v>
      </c>
      <c r="Y909" s="68"/>
      <c r="Z909" s="68"/>
    </row>
    <row r="910" ht="15.0" customHeight="1">
      <c r="A910" s="246">
        <v>45929.0</v>
      </c>
      <c r="B910" s="201" t="s">
        <v>5224</v>
      </c>
      <c r="C910" s="45" t="s">
        <v>5225</v>
      </c>
      <c r="D910" s="140" t="str">
        <f>IFERROR(VLOOKUP(C910,Stock,3,FALSE),"")</f>
        <v>Toyota Avanza / Xenia 11-15 2nd Gen/3rd Gen</v>
      </c>
      <c r="E910" s="45">
        <v>1.0</v>
      </c>
      <c r="F910" s="198">
        <v>500000.0</v>
      </c>
      <c r="G910" s="142">
        <f t="shared" si="40"/>
        <v>500000</v>
      </c>
      <c r="H910" s="142"/>
      <c r="I910" s="143">
        <f t="shared" si="38"/>
        <v>500000</v>
      </c>
      <c r="J910" s="144">
        <f t="shared" si="39"/>
        <v>500000</v>
      </c>
      <c r="K910" s="108" t="s">
        <v>5226</v>
      </c>
      <c r="L910" s="199" t="s">
        <v>5227</v>
      </c>
      <c r="M910" s="17"/>
      <c r="N910" s="64" t="s">
        <v>5228</v>
      </c>
      <c r="O910" s="64" t="s">
        <v>2813</v>
      </c>
      <c r="P910" s="147" t="s">
        <v>4672</v>
      </c>
      <c r="Q910" s="149"/>
      <c r="R910" s="141"/>
      <c r="S910" s="141"/>
      <c r="T910" s="141">
        <v>500000.0</v>
      </c>
      <c r="U910" s="149"/>
      <c r="V910" s="149"/>
      <c r="W910" s="149"/>
      <c r="X910" s="64" t="s">
        <v>3810</v>
      </c>
      <c r="Y910" s="68"/>
      <c r="Z910" s="68"/>
    </row>
    <row r="911" ht="15.0" customHeight="1">
      <c r="A911" s="246">
        <v>45930.0</v>
      </c>
      <c r="B911" s="201" t="s">
        <v>5229</v>
      </c>
      <c r="C911" s="45" t="s">
        <v>3621</v>
      </c>
      <c r="D911" s="140" t="str">
        <f>IFERROR(VLOOKUP(C911,Stock,3,FALSE),"")</f>
        <v>Mitsubishi Pajero 08-16</v>
      </c>
      <c r="E911" s="45">
        <v>1.0</v>
      </c>
      <c r="F911" s="198">
        <v>1710000.0</v>
      </c>
      <c r="G911" s="142">
        <f t="shared" si="40"/>
        <v>1710000</v>
      </c>
      <c r="H911" s="142"/>
      <c r="I911" s="143">
        <f t="shared" si="38"/>
        <v>1710000</v>
      </c>
      <c r="J911" s="144">
        <f t="shared" si="39"/>
        <v>1710000</v>
      </c>
      <c r="K911" s="108" t="s">
        <v>5230</v>
      </c>
      <c r="L911" s="199" t="s">
        <v>5231</v>
      </c>
      <c r="M911" s="17"/>
      <c r="N911" s="64" t="s">
        <v>5232</v>
      </c>
      <c r="O911" s="64" t="s">
        <v>2813</v>
      </c>
      <c r="P911" s="147" t="s">
        <v>4672</v>
      </c>
      <c r="Q911" s="149"/>
      <c r="R911" s="141"/>
      <c r="S911" s="141"/>
      <c r="T911" s="141">
        <v>1680000.0</v>
      </c>
      <c r="U911" s="149"/>
      <c r="V911" s="149"/>
      <c r="W911" s="149"/>
      <c r="X911" s="64" t="s">
        <v>3810</v>
      </c>
      <c r="Y911" s="68"/>
      <c r="Z911" s="68"/>
    </row>
    <row r="912" ht="15.0" customHeight="1">
      <c r="A912" s="246">
        <v>45930.0</v>
      </c>
      <c r="B912" s="201" t="s">
        <v>5233</v>
      </c>
      <c r="C912" s="45" t="s">
        <v>3142</v>
      </c>
      <c r="D912" s="140" t="str">
        <f>IFERROR(VLOOKUP(C912,Stock,3,FALSE),"")</f>
        <v>Mitsubishi Xpander 17-</v>
      </c>
      <c r="E912" s="45">
        <v>1.0</v>
      </c>
      <c r="F912" s="198">
        <v>1700000.0</v>
      </c>
      <c r="G912" s="142">
        <f t="shared" si="40"/>
        <v>1700000</v>
      </c>
      <c r="H912" s="142"/>
      <c r="I912" s="143">
        <f t="shared" si="38"/>
        <v>1700000</v>
      </c>
      <c r="J912" s="144">
        <f t="shared" si="39"/>
        <v>1700000</v>
      </c>
      <c r="K912" s="108" t="s">
        <v>5234</v>
      </c>
      <c r="L912" s="199" t="s">
        <v>5235</v>
      </c>
      <c r="M912" s="17"/>
      <c r="N912" s="64" t="s">
        <v>5236</v>
      </c>
      <c r="O912" s="64" t="s">
        <v>2807</v>
      </c>
      <c r="P912" s="147" t="s">
        <v>4672</v>
      </c>
      <c r="Q912" s="149"/>
      <c r="R912" s="141"/>
      <c r="S912" s="141"/>
      <c r="T912" s="141">
        <v>1900000.0</v>
      </c>
      <c r="U912" s="149"/>
      <c r="V912" s="149"/>
      <c r="W912" s="149"/>
      <c r="X912" s="64" t="s">
        <v>3810</v>
      </c>
      <c r="Y912" s="68"/>
      <c r="Z912" s="68"/>
    </row>
    <row r="913" ht="15.0" customHeight="1">
      <c r="A913" s="206">
        <v>45930.0</v>
      </c>
      <c r="B913" s="201" t="s">
        <v>5233</v>
      </c>
      <c r="C913" s="45" t="s">
        <v>2770</v>
      </c>
      <c r="D913" s="140" t="str">
        <f>IFERROR(VLOOKUP(C913,Stock,3,FALSE),"")</f>
        <v>Transport</v>
      </c>
      <c r="E913" s="45">
        <v>1.0</v>
      </c>
      <c r="F913" s="198">
        <v>200000.0</v>
      </c>
      <c r="G913" s="142">
        <f t="shared" si="40"/>
        <v>200000</v>
      </c>
      <c r="H913" s="142"/>
      <c r="I913" s="143">
        <f t="shared" si="38"/>
        <v>200000</v>
      </c>
      <c r="J913" s="144">
        <f t="shared" si="39"/>
        <v>200000</v>
      </c>
      <c r="K913" s="108" t="s">
        <v>5234</v>
      </c>
      <c r="L913" s="199" t="s">
        <v>5235</v>
      </c>
      <c r="M913" s="17"/>
      <c r="N913" s="64" t="s">
        <v>5236</v>
      </c>
      <c r="O913" s="64" t="s">
        <v>2807</v>
      </c>
      <c r="P913" s="147" t="s">
        <v>4672</v>
      </c>
      <c r="Q913" s="149"/>
      <c r="R913" s="149"/>
      <c r="S913" s="149"/>
      <c r="T913" s="149"/>
      <c r="U913" s="149"/>
      <c r="V913" s="149"/>
      <c r="W913" s="149"/>
      <c r="X913" s="64" t="s">
        <v>3810</v>
      </c>
      <c r="Y913" s="68"/>
      <c r="Z913" s="68"/>
    </row>
    <row r="914" ht="15.0" customHeight="1">
      <c r="A914" s="206">
        <v>45930.0</v>
      </c>
      <c r="B914" s="201" t="s">
        <v>5237</v>
      </c>
      <c r="C914" s="45" t="s">
        <v>4979</v>
      </c>
      <c r="D914" s="140" t="str">
        <f>IFERROR(VLOOKUP(C914,Stock,3,FALSE),"")</f>
        <v>255 Ultra + Actv-100 Application</v>
      </c>
      <c r="E914" s="45">
        <v>1.0</v>
      </c>
      <c r="F914" s="198">
        <v>200000.0</v>
      </c>
      <c r="G914" s="142">
        <f t="shared" si="40"/>
        <v>200000</v>
      </c>
      <c r="H914" s="142"/>
      <c r="I914" s="143">
        <f t="shared" si="38"/>
        <v>200000</v>
      </c>
      <c r="J914" s="144">
        <f t="shared" si="39"/>
        <v>200000</v>
      </c>
      <c r="K914" s="151" t="s">
        <v>3106</v>
      </c>
      <c r="L914" s="146" t="s">
        <v>3107</v>
      </c>
      <c r="M914" s="140"/>
      <c r="N914" s="64" t="s">
        <v>5238</v>
      </c>
      <c r="O914" s="64" t="s">
        <v>2813</v>
      </c>
      <c r="P914" s="147" t="s">
        <v>4672</v>
      </c>
      <c r="Q914" s="68"/>
      <c r="R914" s="141"/>
      <c r="S914" s="141"/>
      <c r="T914" s="141">
        <v>300000.0</v>
      </c>
      <c r="U914" s="68"/>
      <c r="V914" s="68"/>
      <c r="W914" s="68"/>
      <c r="X914" s="64" t="s">
        <v>3810</v>
      </c>
      <c r="Y914" s="68"/>
      <c r="Z914" s="68"/>
    </row>
    <row r="915" ht="15.0" customHeight="1">
      <c r="A915" s="206">
        <v>45930.0</v>
      </c>
      <c r="B915" s="201" t="s">
        <v>5237</v>
      </c>
      <c r="C915" s="45" t="s">
        <v>2770</v>
      </c>
      <c r="D915" s="140" t="str">
        <f>IFERROR(VLOOKUP(C915,Stock,3,FALSE),"")</f>
        <v>Transport</v>
      </c>
      <c r="E915" s="45">
        <v>1.0</v>
      </c>
      <c r="F915" s="198">
        <v>100000.0</v>
      </c>
      <c r="G915" s="142">
        <f t="shared" si="40"/>
        <v>100000</v>
      </c>
      <c r="H915" s="142"/>
      <c r="I915" s="143">
        <f t="shared" si="38"/>
        <v>100000</v>
      </c>
      <c r="J915" s="144">
        <f t="shared" si="39"/>
        <v>100000</v>
      </c>
      <c r="K915" s="151" t="s">
        <v>3106</v>
      </c>
      <c r="L915" s="146" t="s">
        <v>3107</v>
      </c>
      <c r="M915" s="140"/>
      <c r="N915" s="64" t="s">
        <v>5238</v>
      </c>
      <c r="O915" s="64" t="s">
        <v>2813</v>
      </c>
      <c r="P915" s="147" t="s">
        <v>4672</v>
      </c>
      <c r="Q915" s="68"/>
      <c r="R915" s="149"/>
      <c r="S915" s="149"/>
      <c r="T915" s="149"/>
      <c r="U915" s="68"/>
      <c r="V915" s="68"/>
      <c r="W915" s="68"/>
      <c r="X915" s="64" t="s">
        <v>3810</v>
      </c>
      <c r="Y915" s="68"/>
      <c r="Z915" s="68"/>
    </row>
    <row r="916" ht="15.0" customHeight="1">
      <c r="A916" s="206">
        <v>45929.0</v>
      </c>
      <c r="B916" s="201" t="s">
        <v>5239</v>
      </c>
      <c r="C916" s="45" t="s">
        <v>3849</v>
      </c>
      <c r="D916" s="140" t="str">
        <f>IFERROR(VLOOKUP(C916,Stock,3,FALSE),"")</f>
        <v>Toyota Yaris 13- 2nd Gen / Vios 14- 3rd Gen</v>
      </c>
      <c r="E916" s="45">
        <v>1.0</v>
      </c>
      <c r="F916" s="198">
        <v>1419000.0</v>
      </c>
      <c r="G916" s="142">
        <f t="shared" si="40"/>
        <v>1419000</v>
      </c>
      <c r="H916" s="142"/>
      <c r="I916" s="143">
        <f t="shared" si="38"/>
        <v>1419000</v>
      </c>
      <c r="J916" s="144">
        <f t="shared" si="39"/>
        <v>1419000</v>
      </c>
      <c r="K916" s="108" t="s">
        <v>5240</v>
      </c>
      <c r="L916" s="199" t="s">
        <v>5241</v>
      </c>
      <c r="M916" s="17"/>
      <c r="N916" s="64" t="s">
        <v>4270</v>
      </c>
      <c r="O916" s="64" t="s">
        <v>2987</v>
      </c>
      <c r="P916" s="147" t="s">
        <v>4672</v>
      </c>
      <c r="Q916" s="149"/>
      <c r="R916" s="141"/>
      <c r="S916" s="141"/>
      <c r="T916" s="141">
        <v>1419000.0</v>
      </c>
      <c r="U916" s="149"/>
      <c r="V916" s="149"/>
      <c r="W916" s="149"/>
      <c r="X916" s="64" t="s">
        <v>3810</v>
      </c>
      <c r="Y916" s="68"/>
      <c r="Z916" s="68"/>
    </row>
    <row r="917" ht="15.0" customHeight="1">
      <c r="A917" s="206">
        <v>45931.0</v>
      </c>
      <c r="B917" s="201" t="s">
        <v>5242</v>
      </c>
      <c r="C917" s="64" t="s">
        <v>5243</v>
      </c>
      <c r="D917" s="140" t="str">
        <f>IFERROR(VLOOKUP(C917,Stock,3,FALSE),"")</f>
        <v>Wuling Confero / Formo</v>
      </c>
      <c r="E917" s="45">
        <v>1.0</v>
      </c>
      <c r="F917" s="198">
        <v>650000.0</v>
      </c>
      <c r="G917" s="142">
        <f t="shared" si="40"/>
        <v>650000</v>
      </c>
      <c r="H917" s="142"/>
      <c r="I917" s="143">
        <f t="shared" si="38"/>
        <v>650000</v>
      </c>
      <c r="J917" s="144">
        <f t="shared" si="39"/>
        <v>650000</v>
      </c>
      <c r="K917" s="108" t="s">
        <v>5244</v>
      </c>
      <c r="L917" s="199" t="s">
        <v>5245</v>
      </c>
      <c r="M917" s="17"/>
      <c r="N917" s="64" t="s">
        <v>5246</v>
      </c>
      <c r="O917" s="64" t="s">
        <v>2813</v>
      </c>
      <c r="P917" s="147" t="s">
        <v>4672</v>
      </c>
      <c r="Q917" s="149"/>
      <c r="R917" s="141"/>
      <c r="S917" s="141"/>
      <c r="T917" s="141">
        <v>650000.0</v>
      </c>
      <c r="U917" s="149"/>
      <c r="V917" s="149"/>
      <c r="W917" s="149"/>
      <c r="X917" s="64" t="s">
        <v>3810</v>
      </c>
      <c r="Y917" s="68"/>
      <c r="Z917" s="64" t="s">
        <v>5247</v>
      </c>
    </row>
    <row r="918" ht="15.0" customHeight="1">
      <c r="A918" s="206">
        <v>45931.0</v>
      </c>
      <c r="B918" s="201" t="s">
        <v>5248</v>
      </c>
      <c r="C918" s="45" t="s">
        <v>5249</v>
      </c>
      <c r="D918" s="140" t="str">
        <f>IFERROR(VLOOKUP(C918,Stock,3,FALSE),"")</f>
        <v>Honda Jazz 01-07 1st Gen</v>
      </c>
      <c r="E918" s="45">
        <v>1.0</v>
      </c>
      <c r="F918" s="198">
        <v>750000.0</v>
      </c>
      <c r="G918" s="142">
        <f t="shared" si="40"/>
        <v>750000</v>
      </c>
      <c r="H918" s="142"/>
      <c r="I918" s="143">
        <f t="shared" si="38"/>
        <v>750000</v>
      </c>
      <c r="J918" s="144">
        <f t="shared" si="39"/>
        <v>750000</v>
      </c>
      <c r="K918" s="108" t="s">
        <v>5250</v>
      </c>
      <c r="L918" s="199" t="s">
        <v>5251</v>
      </c>
      <c r="M918" s="17"/>
      <c r="N918" s="64" t="s">
        <v>5252</v>
      </c>
      <c r="O918" s="64" t="s">
        <v>2813</v>
      </c>
      <c r="P918" s="147" t="s">
        <v>4672</v>
      </c>
      <c r="Q918" s="149"/>
      <c r="R918" s="141"/>
      <c r="S918" s="141"/>
      <c r="T918" s="141">
        <v>900000.0</v>
      </c>
      <c r="U918" s="149"/>
      <c r="V918" s="149"/>
      <c r="W918" s="149"/>
      <c r="X918" s="64" t="s">
        <v>3810</v>
      </c>
      <c r="Y918" s="68"/>
      <c r="Z918" s="64" t="s">
        <v>5253</v>
      </c>
    </row>
    <row r="919" ht="15.0" customHeight="1">
      <c r="A919" s="206">
        <v>45931.0</v>
      </c>
      <c r="B919" s="201" t="s">
        <v>5248</v>
      </c>
      <c r="C919" s="45" t="s">
        <v>5254</v>
      </c>
      <c r="D919" s="140" t="str">
        <f>IFERROR(VLOOKUP(C919,Stock,3,FALSE),"")</f>
        <v>Automotive Film Standard - Black 40%				</v>
      </c>
      <c r="E919" s="45">
        <v>1.0</v>
      </c>
      <c r="F919" s="198">
        <v>150000.0</v>
      </c>
      <c r="G919" s="142">
        <f t="shared" si="40"/>
        <v>150000</v>
      </c>
      <c r="H919" s="142"/>
      <c r="I919" s="143">
        <f t="shared" si="38"/>
        <v>150000</v>
      </c>
      <c r="J919" s="144">
        <f t="shared" si="39"/>
        <v>150000</v>
      </c>
      <c r="K919" s="108" t="s">
        <v>5250</v>
      </c>
      <c r="L919" s="199" t="s">
        <v>5251</v>
      </c>
      <c r="M919" s="17"/>
      <c r="N919" s="64" t="s">
        <v>5252</v>
      </c>
      <c r="O919" s="64" t="s">
        <v>2813</v>
      </c>
      <c r="P919" s="147" t="s">
        <v>4672</v>
      </c>
      <c r="Q919" s="149"/>
      <c r="R919" s="149"/>
      <c r="S919" s="149"/>
      <c r="T919" s="149"/>
      <c r="U919" s="149"/>
      <c r="V919" s="149"/>
      <c r="W919" s="149"/>
      <c r="X919" s="64" t="s">
        <v>3810</v>
      </c>
      <c r="Y919" s="68"/>
      <c r="Z919" s="64" t="s">
        <v>5253</v>
      </c>
    </row>
    <row r="920" ht="15.0" customHeight="1">
      <c r="A920" s="206">
        <v>45931.0</v>
      </c>
      <c r="B920" s="201" t="s">
        <v>5255</v>
      </c>
      <c r="C920" s="45" t="s">
        <v>5256</v>
      </c>
      <c r="D920" s="140" t="str">
        <f>IFERROR(VLOOKUP(C920,Stock,3,FALSE),"")</f>
        <v>Suzuki Baleno 08-15 SX4 Hatchback</v>
      </c>
      <c r="E920" s="45">
        <v>1.0</v>
      </c>
      <c r="F920" s="198">
        <v>662000.0</v>
      </c>
      <c r="G920" s="142">
        <f t="shared" si="40"/>
        <v>662000</v>
      </c>
      <c r="H920" s="143">
        <v>267100.0</v>
      </c>
      <c r="I920" s="143">
        <f t="shared" si="38"/>
        <v>394900</v>
      </c>
      <c r="J920" s="144">
        <f t="shared" si="39"/>
        <v>394900</v>
      </c>
      <c r="K920" s="108" t="s">
        <v>5257</v>
      </c>
      <c r="L920" s="199" t="s">
        <v>5258</v>
      </c>
      <c r="M920" s="17"/>
      <c r="N920" s="64" t="s">
        <v>4270</v>
      </c>
      <c r="O920" s="64" t="s">
        <v>5259</v>
      </c>
      <c r="P920" s="147" t="s">
        <v>4672</v>
      </c>
      <c r="Q920" s="149"/>
      <c r="R920" s="149"/>
      <c r="S920" s="149"/>
      <c r="T920" s="149"/>
      <c r="U920" s="141">
        <v>544900.0</v>
      </c>
      <c r="V920" s="149"/>
      <c r="W920" s="149"/>
      <c r="X920" s="64" t="s">
        <v>3810</v>
      </c>
      <c r="Y920" s="68"/>
      <c r="Z920" s="68"/>
    </row>
    <row r="921" ht="15.0" customHeight="1">
      <c r="A921" s="206">
        <v>45931.0</v>
      </c>
      <c r="B921" s="201" t="s">
        <v>5255</v>
      </c>
      <c r="C921" s="45" t="s">
        <v>2835</v>
      </c>
      <c r="D921" s="140" t="str">
        <f>IFERROR(VLOOKUP(C921,Stock,3,FALSE),"")</f>
        <v>Peti Kayu</v>
      </c>
      <c r="E921" s="45">
        <v>1.0</v>
      </c>
      <c r="F921" s="198">
        <v>150000.0</v>
      </c>
      <c r="G921" s="142">
        <f t="shared" si="40"/>
        <v>150000</v>
      </c>
      <c r="H921" s="142"/>
      <c r="I921" s="143">
        <f t="shared" si="38"/>
        <v>150000</v>
      </c>
      <c r="J921" s="144">
        <f t="shared" si="39"/>
        <v>150000</v>
      </c>
      <c r="K921" s="108" t="s">
        <v>5260</v>
      </c>
      <c r="L921" s="199" t="s">
        <v>5258</v>
      </c>
      <c r="M921" s="17"/>
      <c r="N921" s="64" t="s">
        <v>4270</v>
      </c>
      <c r="O921" s="64" t="s">
        <v>5259</v>
      </c>
      <c r="P921" s="147" t="s">
        <v>4672</v>
      </c>
      <c r="Q921" s="149"/>
      <c r="R921" s="149"/>
      <c r="S921" s="149"/>
      <c r="T921" s="149"/>
      <c r="U921" s="149"/>
      <c r="V921" s="149"/>
      <c r="W921" s="149"/>
      <c r="X921" s="64" t="s">
        <v>3810</v>
      </c>
      <c r="Y921" s="68"/>
      <c r="Z921" s="68"/>
    </row>
    <row r="922" ht="15.0" customHeight="1">
      <c r="A922" s="206">
        <v>45931.0</v>
      </c>
      <c r="B922" s="201" t="s">
        <v>5261</v>
      </c>
      <c r="C922" s="45" t="s">
        <v>5262</v>
      </c>
      <c r="D922" s="140" t="str">
        <f>IFERROR(VLOOKUP(C922,Stock,3,FALSE),"")</f>
        <v>Nissan Livina  07-18 L10/L11</v>
      </c>
      <c r="E922" s="45">
        <v>1.0</v>
      </c>
      <c r="F922" s="198">
        <v>2115000.0</v>
      </c>
      <c r="G922" s="142">
        <f t="shared" si="40"/>
        <v>2115000</v>
      </c>
      <c r="H922" s="142"/>
      <c r="I922" s="143">
        <f t="shared" si="38"/>
        <v>2115000</v>
      </c>
      <c r="J922" s="144">
        <f t="shared" si="39"/>
        <v>2115000</v>
      </c>
      <c r="K922" s="108" t="s">
        <v>5263</v>
      </c>
      <c r="L922" s="199" t="s">
        <v>5264</v>
      </c>
      <c r="M922" s="17"/>
      <c r="N922" s="64" t="s">
        <v>5265</v>
      </c>
      <c r="O922" s="64" t="s">
        <v>2789</v>
      </c>
      <c r="P922" s="147" t="s">
        <v>4672</v>
      </c>
      <c r="Q922" s="149"/>
      <c r="R922" s="141"/>
      <c r="S922" s="141"/>
      <c r="T922" s="141">
        <v>50000.0</v>
      </c>
      <c r="U922" s="149"/>
      <c r="V922" s="149"/>
      <c r="W922" s="149"/>
      <c r="X922" s="64" t="s">
        <v>3810</v>
      </c>
      <c r="Y922" s="68"/>
      <c r="Z922" s="64" t="s">
        <v>5266</v>
      </c>
    </row>
    <row r="923" ht="15.0" customHeight="1">
      <c r="A923" s="206">
        <v>45931.0</v>
      </c>
      <c r="B923" s="201" t="s">
        <v>5261</v>
      </c>
      <c r="C923" s="45" t="s">
        <v>2770</v>
      </c>
      <c r="D923" s="140" t="str">
        <f>IFERROR(VLOOKUP(C923,Stock,3,FALSE),"")</f>
        <v>Transport</v>
      </c>
      <c r="E923" s="45">
        <v>1.0</v>
      </c>
      <c r="F923" s="198">
        <v>90000.0</v>
      </c>
      <c r="G923" s="142">
        <f t="shared" si="40"/>
        <v>90000</v>
      </c>
      <c r="H923" s="142"/>
      <c r="I923" s="143">
        <f t="shared" si="38"/>
        <v>90000</v>
      </c>
      <c r="J923" s="144">
        <f t="shared" si="39"/>
        <v>90000</v>
      </c>
      <c r="K923" s="108" t="s">
        <v>5263</v>
      </c>
      <c r="L923" s="199" t="s">
        <v>5264</v>
      </c>
      <c r="M923" s="17"/>
      <c r="N923" s="64" t="s">
        <v>5265</v>
      </c>
      <c r="O923" s="64" t="s">
        <v>2789</v>
      </c>
      <c r="P923" s="147" t="s">
        <v>4672</v>
      </c>
      <c r="Q923" s="149"/>
      <c r="R923" s="141"/>
      <c r="S923" s="141"/>
      <c r="T923" s="141">
        <v>2430000.0</v>
      </c>
      <c r="U923" s="149"/>
      <c r="V923" s="149"/>
      <c r="W923" s="149"/>
      <c r="X923" s="64" t="s">
        <v>3810</v>
      </c>
      <c r="Y923" s="68"/>
      <c r="Z923" s="64" t="s">
        <v>5266</v>
      </c>
    </row>
    <row r="924" ht="15.0" customHeight="1">
      <c r="A924" s="206">
        <v>45931.0</v>
      </c>
      <c r="B924" s="201" t="s">
        <v>5261</v>
      </c>
      <c r="C924" s="64" t="s">
        <v>3434</v>
      </c>
      <c r="D924" s="140" t="str">
        <f>IFERROR(VLOOKUP(C924,Stock,3,FALSE),"")</f>
        <v>List Kaca Depan Code 04</v>
      </c>
      <c r="E924" s="45">
        <v>1.0</v>
      </c>
      <c r="F924" s="198">
        <v>275000.0</v>
      </c>
      <c r="G924" s="142">
        <f t="shared" si="40"/>
        <v>275000</v>
      </c>
      <c r="H924" s="142"/>
      <c r="I924" s="143">
        <f t="shared" si="38"/>
        <v>275000</v>
      </c>
      <c r="J924" s="144">
        <f t="shared" si="39"/>
        <v>275000</v>
      </c>
      <c r="K924" s="108" t="s">
        <v>5263</v>
      </c>
      <c r="L924" s="45" t="s">
        <v>5267</v>
      </c>
      <c r="M924" s="17"/>
      <c r="N924" s="64" t="s">
        <v>5265</v>
      </c>
      <c r="O924" s="64" t="s">
        <v>2789</v>
      </c>
      <c r="P924" s="147" t="s">
        <v>4672</v>
      </c>
      <c r="Q924" s="68"/>
      <c r="R924" s="68"/>
      <c r="S924" s="68"/>
      <c r="T924" s="68"/>
      <c r="U924" s="149"/>
      <c r="V924" s="149"/>
      <c r="W924" s="149"/>
      <c r="X924" s="64" t="s">
        <v>3810</v>
      </c>
      <c r="Y924" s="68"/>
      <c r="Z924" s="64" t="s">
        <v>5266</v>
      </c>
    </row>
    <row r="925" ht="15.0" customHeight="1">
      <c r="A925" s="206">
        <v>45931.0</v>
      </c>
      <c r="B925" s="201" t="s">
        <v>5268</v>
      </c>
      <c r="C925" s="45" t="s">
        <v>5269</v>
      </c>
      <c r="D925" s="140" t="str">
        <f>IFERROR(VLOOKUP(C925,Stock,3,FALSE),"")</f>
        <v>Chevrolet TrailBlazer 13- / Isuzu MUX 13-19</v>
      </c>
      <c r="E925" s="45">
        <v>1.0</v>
      </c>
      <c r="F925" s="198">
        <v>995000.0</v>
      </c>
      <c r="G925" s="142">
        <f t="shared" si="40"/>
        <v>995000</v>
      </c>
      <c r="H925" s="142"/>
      <c r="I925" s="143">
        <f t="shared" si="38"/>
        <v>995000</v>
      </c>
      <c r="J925" s="144">
        <f t="shared" si="39"/>
        <v>995000</v>
      </c>
      <c r="K925" s="108" t="s">
        <v>5270</v>
      </c>
      <c r="L925" s="199" t="s">
        <v>5271</v>
      </c>
      <c r="M925" s="17"/>
      <c r="N925" s="64" t="s">
        <v>5272</v>
      </c>
      <c r="O925" s="64" t="s">
        <v>2813</v>
      </c>
      <c r="P925" s="147" t="s">
        <v>4672</v>
      </c>
      <c r="Q925" s="141">
        <v>995000.0</v>
      </c>
      <c r="R925" s="149"/>
      <c r="S925" s="149"/>
      <c r="T925" s="149"/>
      <c r="U925" s="149"/>
      <c r="V925" s="149"/>
      <c r="W925" s="149"/>
      <c r="X925" s="64" t="s">
        <v>3810</v>
      </c>
      <c r="Y925" s="68"/>
      <c r="Z925" s="68"/>
    </row>
    <row r="926" ht="15.0" customHeight="1">
      <c r="A926" s="206">
        <v>45931.0</v>
      </c>
      <c r="B926" s="201" t="s">
        <v>5273</v>
      </c>
      <c r="C926" s="45" t="s">
        <v>3963</v>
      </c>
      <c r="D926" s="140" t="str">
        <f>IFERROR(VLOOKUP(C926,Stock,3,FALSE),"")</f>
        <v>Suzuki Carry New 19-</v>
      </c>
      <c r="E926" s="45">
        <v>1.0</v>
      </c>
      <c r="F926" s="198">
        <v>550000.0</v>
      </c>
      <c r="G926" s="142">
        <f t="shared" si="40"/>
        <v>550000</v>
      </c>
      <c r="H926" s="142"/>
      <c r="I926" s="143">
        <f t="shared" si="38"/>
        <v>550000</v>
      </c>
      <c r="J926" s="144">
        <f t="shared" si="39"/>
        <v>550000</v>
      </c>
      <c r="K926" s="108" t="s">
        <v>5274</v>
      </c>
      <c r="L926" s="199" t="s">
        <v>5275</v>
      </c>
      <c r="M926" s="17"/>
      <c r="N926" s="64" t="s">
        <v>5276</v>
      </c>
      <c r="O926" s="64" t="s">
        <v>2813</v>
      </c>
      <c r="P926" s="147" t="s">
        <v>4672</v>
      </c>
      <c r="Q926" s="141">
        <v>520000.0</v>
      </c>
      <c r="R926" s="141"/>
      <c r="S926" s="141"/>
      <c r="T926" s="141">
        <v>30000.0</v>
      </c>
      <c r="U926" s="149"/>
      <c r="V926" s="149"/>
      <c r="W926" s="149"/>
      <c r="X926" s="64" t="s">
        <v>3810</v>
      </c>
      <c r="Y926" s="68"/>
      <c r="Z926" s="68"/>
    </row>
    <row r="927" ht="15.0" customHeight="1">
      <c r="A927" s="206">
        <v>45932.0</v>
      </c>
      <c r="B927" s="201" t="s">
        <v>5277</v>
      </c>
      <c r="C927" s="45" t="s">
        <v>3142</v>
      </c>
      <c r="D927" s="140" t="str">
        <f>IFERROR(VLOOKUP(C927,Stock,3,FALSE),"")</f>
        <v>Mitsubishi Xpander 17-</v>
      </c>
      <c r="E927" s="45">
        <v>1.0</v>
      </c>
      <c r="F927" s="198">
        <v>1598000.0</v>
      </c>
      <c r="G927" s="142">
        <f t="shared" si="40"/>
        <v>1598000</v>
      </c>
      <c r="H927" s="142"/>
      <c r="I927" s="143">
        <f t="shared" si="38"/>
        <v>1598000</v>
      </c>
      <c r="J927" s="144">
        <f t="shared" si="39"/>
        <v>1598000</v>
      </c>
      <c r="K927" s="108" t="s">
        <v>5278</v>
      </c>
      <c r="L927" s="199" t="s">
        <v>5279</v>
      </c>
      <c r="M927" s="17"/>
      <c r="N927" s="64" t="s">
        <v>5280</v>
      </c>
      <c r="O927" s="64" t="s">
        <v>4993</v>
      </c>
      <c r="P927" s="147" t="s">
        <v>4672</v>
      </c>
      <c r="Q927" s="149"/>
      <c r="R927" s="141"/>
      <c r="S927" s="141"/>
      <c r="T927" s="141">
        <v>50000.0</v>
      </c>
      <c r="U927" s="149"/>
      <c r="V927" s="149"/>
      <c r="W927" s="149"/>
      <c r="X927" s="64" t="s">
        <v>3810</v>
      </c>
      <c r="Y927" s="68"/>
      <c r="Z927" s="64" t="s">
        <v>5281</v>
      </c>
    </row>
    <row r="928" ht="15.0" customHeight="1">
      <c r="A928" s="206">
        <v>45932.0</v>
      </c>
      <c r="B928" s="201" t="s">
        <v>5277</v>
      </c>
      <c r="C928" s="45" t="s">
        <v>2770</v>
      </c>
      <c r="D928" s="140" t="str">
        <f>IFERROR(VLOOKUP(C928,Stock,3,FALSE),"")</f>
        <v>Transport</v>
      </c>
      <c r="E928" s="45">
        <v>1.0</v>
      </c>
      <c r="F928" s="198">
        <v>190000.0</v>
      </c>
      <c r="G928" s="142">
        <f t="shared" si="40"/>
        <v>190000</v>
      </c>
      <c r="H928" s="142"/>
      <c r="I928" s="143">
        <f t="shared" si="38"/>
        <v>190000</v>
      </c>
      <c r="J928" s="144">
        <f t="shared" si="39"/>
        <v>190000</v>
      </c>
      <c r="K928" s="108" t="s">
        <v>5278</v>
      </c>
      <c r="L928" s="199" t="s">
        <v>5279</v>
      </c>
      <c r="M928" s="17"/>
      <c r="N928" s="64" t="s">
        <v>5280</v>
      </c>
      <c r="O928" s="64" t="s">
        <v>4993</v>
      </c>
      <c r="P928" s="147" t="s">
        <v>4672</v>
      </c>
      <c r="Q928" s="149"/>
      <c r="R928" s="141"/>
      <c r="S928" s="141"/>
      <c r="T928" s="141">
        <v>1938000.0</v>
      </c>
      <c r="U928" s="149"/>
      <c r="V928" s="149"/>
      <c r="W928" s="149"/>
      <c r="X928" s="64" t="s">
        <v>3810</v>
      </c>
      <c r="Y928" s="68"/>
      <c r="Z928" s="64" t="s">
        <v>5281</v>
      </c>
    </row>
    <row r="929" ht="15.0" customHeight="1">
      <c r="A929" s="206">
        <v>45932.0</v>
      </c>
      <c r="B929" s="201" t="s">
        <v>5277</v>
      </c>
      <c r="C929" s="45" t="s">
        <v>4979</v>
      </c>
      <c r="D929" s="140" t="str">
        <f>IFERROR(VLOOKUP(C929,Stock,3,FALSE),"")</f>
        <v>255 Ultra + Actv-100 Application</v>
      </c>
      <c r="E929" s="45">
        <v>1.0</v>
      </c>
      <c r="F929" s="198">
        <v>200000.0</v>
      </c>
      <c r="G929" s="142">
        <f t="shared" si="40"/>
        <v>200000</v>
      </c>
      <c r="H929" s="142"/>
      <c r="I929" s="143">
        <f t="shared" si="38"/>
        <v>200000</v>
      </c>
      <c r="J929" s="144">
        <f t="shared" si="39"/>
        <v>200000</v>
      </c>
      <c r="K929" s="108" t="s">
        <v>5278</v>
      </c>
      <c r="L929" s="199" t="s">
        <v>5279</v>
      </c>
      <c r="M929" s="17"/>
      <c r="N929" s="64" t="s">
        <v>5280</v>
      </c>
      <c r="O929" s="64" t="s">
        <v>4993</v>
      </c>
      <c r="P929" s="147" t="s">
        <v>4672</v>
      </c>
      <c r="Q929" s="149"/>
      <c r="R929" s="149"/>
      <c r="S929" s="149"/>
      <c r="T929" s="149"/>
      <c r="U929" s="149"/>
      <c r="V929" s="149"/>
      <c r="W929" s="149"/>
      <c r="X929" s="64" t="s">
        <v>3810</v>
      </c>
      <c r="Y929" s="68"/>
      <c r="Z929" s="64" t="s">
        <v>5281</v>
      </c>
    </row>
    <row r="930" ht="15.0" customHeight="1">
      <c r="A930" s="206">
        <v>45932.0</v>
      </c>
      <c r="B930" s="201" t="s">
        <v>5282</v>
      </c>
      <c r="C930" s="45" t="s">
        <v>5283</v>
      </c>
      <c r="D930" s="140" t="str">
        <f>IFERROR(VLOOKUP(C930,Stock,3,FALSE),"")</f>
        <v>BMW 3 Series 12-18 F30/F35</v>
      </c>
      <c r="E930" s="45">
        <v>1.0</v>
      </c>
      <c r="F930" s="198">
        <v>4559000.0</v>
      </c>
      <c r="G930" s="142">
        <f t="shared" si="40"/>
        <v>4559000</v>
      </c>
      <c r="H930" s="142"/>
      <c r="I930" s="143">
        <f t="shared" si="38"/>
        <v>4559000</v>
      </c>
      <c r="J930" s="144">
        <f t="shared" si="39"/>
        <v>4559000</v>
      </c>
      <c r="K930" s="108" t="s">
        <v>5284</v>
      </c>
      <c r="L930" s="199" t="s">
        <v>5285</v>
      </c>
      <c r="M930" s="17"/>
      <c r="N930" s="64" t="s">
        <v>5286</v>
      </c>
      <c r="O930" s="64" t="s">
        <v>2807</v>
      </c>
      <c r="P930" s="147" t="s">
        <v>4672</v>
      </c>
      <c r="Q930" s="149"/>
      <c r="R930" s="141"/>
      <c r="S930" s="141"/>
      <c r="T930" s="141">
        <v>4559000.0</v>
      </c>
      <c r="U930" s="149"/>
      <c r="V930" s="149"/>
      <c r="W930" s="149"/>
      <c r="X930" s="64" t="s">
        <v>3810</v>
      </c>
      <c r="Y930" s="68"/>
      <c r="Z930" s="64" t="s">
        <v>5287</v>
      </c>
    </row>
    <row r="931" ht="15.0" customHeight="1">
      <c r="A931" s="206">
        <v>45932.0</v>
      </c>
      <c r="B931" s="201" t="s">
        <v>5288</v>
      </c>
      <c r="C931" s="45" t="s">
        <v>3142</v>
      </c>
      <c r="D931" s="140" t="str">
        <f>IFERROR(VLOOKUP(C931,Stock,3,FALSE),"")</f>
        <v>Mitsubishi Xpander 17-</v>
      </c>
      <c r="E931" s="45">
        <v>1.0</v>
      </c>
      <c r="F931" s="198">
        <v>1598000.0</v>
      </c>
      <c r="G931" s="142">
        <f t="shared" si="40"/>
        <v>1598000</v>
      </c>
      <c r="H931" s="142"/>
      <c r="I931" s="143">
        <f t="shared" si="38"/>
        <v>1598000</v>
      </c>
      <c r="J931" s="144">
        <f t="shared" si="39"/>
        <v>1598000</v>
      </c>
      <c r="K931" s="108" t="s">
        <v>5289</v>
      </c>
      <c r="L931" s="199" t="s">
        <v>5290</v>
      </c>
      <c r="M931" s="17"/>
      <c r="N931" s="64" t="s">
        <v>5291</v>
      </c>
      <c r="O931" s="64" t="s">
        <v>2807</v>
      </c>
      <c r="P931" s="147" t="s">
        <v>4672</v>
      </c>
      <c r="Q931" s="149"/>
      <c r="R931" s="141"/>
      <c r="S931" s="141"/>
      <c r="T931" s="141">
        <v>1798000.0</v>
      </c>
      <c r="U931" s="149"/>
      <c r="V931" s="149"/>
      <c r="W931" s="149"/>
      <c r="X931" s="64" t="s">
        <v>3810</v>
      </c>
      <c r="Y931" s="68"/>
      <c r="Z931" s="64" t="s">
        <v>5292</v>
      </c>
    </row>
    <row r="932" ht="15.0" customHeight="1">
      <c r="A932" s="206">
        <v>45932.0</v>
      </c>
      <c r="B932" s="201" t="s">
        <v>5288</v>
      </c>
      <c r="C932" s="45" t="s">
        <v>4979</v>
      </c>
      <c r="D932" s="140" t="str">
        <f>IFERROR(VLOOKUP(C932,Stock,3,FALSE),"")</f>
        <v>255 Ultra + Actv-100 Application</v>
      </c>
      <c r="E932" s="45">
        <v>1.0</v>
      </c>
      <c r="F932" s="198">
        <v>200000.0</v>
      </c>
      <c r="G932" s="142">
        <f t="shared" si="40"/>
        <v>200000</v>
      </c>
      <c r="H932" s="142"/>
      <c r="I932" s="143">
        <f t="shared" si="38"/>
        <v>200000</v>
      </c>
      <c r="J932" s="144">
        <f t="shared" si="39"/>
        <v>200000</v>
      </c>
      <c r="K932" s="108" t="s">
        <v>5289</v>
      </c>
      <c r="L932" s="199" t="s">
        <v>5290</v>
      </c>
      <c r="M932" s="17"/>
      <c r="N932" s="64" t="s">
        <v>5291</v>
      </c>
      <c r="O932" s="64" t="s">
        <v>2807</v>
      </c>
      <c r="P932" s="147" t="s">
        <v>4672</v>
      </c>
      <c r="Q932" s="149"/>
      <c r="R932" s="149"/>
      <c r="S932" s="149"/>
      <c r="T932" s="149"/>
      <c r="U932" s="149"/>
      <c r="V932" s="149"/>
      <c r="W932" s="149"/>
      <c r="X932" s="64" t="s">
        <v>3810</v>
      </c>
      <c r="Y932" s="68"/>
      <c r="Z932" s="64" t="s">
        <v>5292</v>
      </c>
    </row>
    <row r="933" ht="15.0" customHeight="1">
      <c r="A933" s="206">
        <v>45933.0</v>
      </c>
      <c r="B933" s="201" t="s">
        <v>5293</v>
      </c>
      <c r="C933" s="45" t="s">
        <v>5294</v>
      </c>
      <c r="D933" s="140" t="str">
        <f>IFERROR(VLOOKUP(C933,Stock,3,FALSE),"")</f>
        <v>Mers-Benz E-Class 02-09 W211</v>
      </c>
      <c r="E933" s="45">
        <v>1.0</v>
      </c>
      <c r="F933" s="198">
        <v>3476000.0</v>
      </c>
      <c r="G933" s="142">
        <f t="shared" si="40"/>
        <v>3476000</v>
      </c>
      <c r="H933" s="142"/>
      <c r="I933" s="143">
        <f t="shared" si="38"/>
        <v>3476000</v>
      </c>
      <c r="J933" s="144">
        <f t="shared" si="39"/>
        <v>3476000</v>
      </c>
      <c r="K933" s="108" t="s">
        <v>5295</v>
      </c>
      <c r="L933" s="199" t="s">
        <v>5296</v>
      </c>
      <c r="M933" s="17"/>
      <c r="N933" s="64" t="s">
        <v>5297</v>
      </c>
      <c r="O933" s="64" t="s">
        <v>2813</v>
      </c>
      <c r="P933" s="147" t="s">
        <v>4672</v>
      </c>
      <c r="Q933" s="149"/>
      <c r="R933" s="141"/>
      <c r="S933" s="141"/>
      <c r="T933" s="141">
        <v>30000.0</v>
      </c>
      <c r="U933" s="149"/>
      <c r="V933" s="149"/>
      <c r="W933" s="149"/>
      <c r="X933" s="64" t="s">
        <v>3810</v>
      </c>
      <c r="Y933" s="64" t="s">
        <v>4515</v>
      </c>
      <c r="Z933" s="64" t="s">
        <v>5298</v>
      </c>
    </row>
    <row r="934" ht="15.0" customHeight="1">
      <c r="A934" s="206">
        <v>45933.0</v>
      </c>
      <c r="B934" s="201" t="s">
        <v>5293</v>
      </c>
      <c r="C934" s="45" t="s">
        <v>4979</v>
      </c>
      <c r="D934" s="140" t="str">
        <f>IFERROR(VLOOKUP(C934,Stock,3,FALSE),"")</f>
        <v>255 Ultra + Actv-100 Application</v>
      </c>
      <c r="E934" s="45">
        <v>1.0</v>
      </c>
      <c r="F934" s="198">
        <v>200000.0</v>
      </c>
      <c r="G934" s="142">
        <f t="shared" si="40"/>
        <v>200000</v>
      </c>
      <c r="H934" s="142"/>
      <c r="I934" s="143">
        <f t="shared" si="38"/>
        <v>200000</v>
      </c>
      <c r="J934" s="144">
        <f t="shared" si="39"/>
        <v>200000</v>
      </c>
      <c r="K934" s="108" t="s">
        <v>5295</v>
      </c>
      <c r="L934" s="199" t="s">
        <v>5296</v>
      </c>
      <c r="M934" s="17"/>
      <c r="N934" s="64" t="s">
        <v>5297</v>
      </c>
      <c r="O934" s="64" t="s">
        <v>2813</v>
      </c>
      <c r="P934" s="147" t="s">
        <v>4672</v>
      </c>
      <c r="Q934" s="149"/>
      <c r="R934" s="141"/>
      <c r="S934" s="141"/>
      <c r="T934" s="141">
        <v>3646000.0</v>
      </c>
      <c r="U934" s="149"/>
      <c r="V934" s="149"/>
      <c r="W934" s="149"/>
      <c r="X934" s="64" t="s">
        <v>3810</v>
      </c>
      <c r="Y934" s="64" t="s">
        <v>4515</v>
      </c>
      <c r="Z934" s="64" t="s">
        <v>5298</v>
      </c>
    </row>
    <row r="935" ht="15.0" customHeight="1">
      <c r="A935" s="206">
        <v>45933.0</v>
      </c>
      <c r="B935" s="201" t="s">
        <v>5299</v>
      </c>
      <c r="C935" s="45" t="s">
        <v>5300</v>
      </c>
      <c r="D935" s="140" t="str">
        <f>IFERROR(VLOOKUP(C935,Stock,3,FALSE),"")</f>
        <v>Toyota Vios 07-13 XP90 2nd Gen</v>
      </c>
      <c r="E935" s="45">
        <v>1.0</v>
      </c>
      <c r="F935" s="198">
        <v>1449000.0</v>
      </c>
      <c r="G935" s="142">
        <f t="shared" si="40"/>
        <v>1449000</v>
      </c>
      <c r="H935" s="142"/>
      <c r="I935" s="143">
        <f t="shared" si="38"/>
        <v>1449000</v>
      </c>
      <c r="J935" s="144">
        <f t="shared" si="39"/>
        <v>1449000</v>
      </c>
      <c r="K935" s="108" t="s">
        <v>5301</v>
      </c>
      <c r="L935" s="199" t="s">
        <v>5302</v>
      </c>
      <c r="M935" s="17"/>
      <c r="N935" s="64" t="s">
        <v>5303</v>
      </c>
      <c r="O935" s="64" t="s">
        <v>2807</v>
      </c>
      <c r="P935" s="147" t="s">
        <v>4672</v>
      </c>
      <c r="Q935" s="149"/>
      <c r="R935" s="141"/>
      <c r="S935" s="141"/>
      <c r="T935" s="141">
        <v>30000.0</v>
      </c>
      <c r="U935" s="149"/>
      <c r="V935" s="149"/>
      <c r="W935" s="149"/>
      <c r="X935" s="64" t="s">
        <v>5304</v>
      </c>
      <c r="Y935" s="64" t="s">
        <v>4515</v>
      </c>
      <c r="Z935" s="64" t="s">
        <v>5305</v>
      </c>
    </row>
    <row r="936" ht="15.0" customHeight="1">
      <c r="A936" s="206">
        <v>45933.0</v>
      </c>
      <c r="B936" s="201" t="s">
        <v>5299</v>
      </c>
      <c r="C936" s="45" t="s">
        <v>2770</v>
      </c>
      <c r="D936" s="140" t="str">
        <f>IFERROR(VLOOKUP(C936,Stock,3,FALSE),"")</f>
        <v>Transport</v>
      </c>
      <c r="E936" s="45">
        <v>1.0</v>
      </c>
      <c r="F936" s="198">
        <v>250000.0</v>
      </c>
      <c r="G936" s="142">
        <f t="shared" si="40"/>
        <v>250000</v>
      </c>
      <c r="H936" s="142"/>
      <c r="I936" s="143">
        <f t="shared" si="38"/>
        <v>250000</v>
      </c>
      <c r="J936" s="144">
        <f t="shared" si="39"/>
        <v>250000</v>
      </c>
      <c r="K936" s="108" t="s">
        <v>5301</v>
      </c>
      <c r="L936" s="199" t="s">
        <v>5302</v>
      </c>
      <c r="M936" s="17"/>
      <c r="N936" s="64" t="s">
        <v>5303</v>
      </c>
      <c r="O936" s="64" t="s">
        <v>2807</v>
      </c>
      <c r="P936" s="147" t="s">
        <v>4672</v>
      </c>
      <c r="Q936" s="149"/>
      <c r="R936" s="141"/>
      <c r="S936" s="141"/>
      <c r="T936" s="141">
        <v>1669000.0</v>
      </c>
      <c r="U936" s="149"/>
      <c r="V936" s="149"/>
      <c r="W936" s="149"/>
      <c r="X936" s="64" t="s">
        <v>5304</v>
      </c>
      <c r="Y936" s="64" t="s">
        <v>4515</v>
      </c>
      <c r="Z936" s="64" t="s">
        <v>5305</v>
      </c>
    </row>
    <row r="937" ht="15.0" customHeight="1">
      <c r="A937" s="206">
        <v>45933.0</v>
      </c>
      <c r="B937" s="201" t="s">
        <v>5306</v>
      </c>
      <c r="C937" s="45" t="s">
        <v>2865</v>
      </c>
      <c r="D937" s="140" t="str">
        <f>IFERROR(VLOOKUP(C937,Stock,3,FALSE),"")</f>
        <v>Toyota Fortuner 15- 2nd Gen</v>
      </c>
      <c r="E937" s="45">
        <v>1.0</v>
      </c>
      <c r="F937" s="198">
        <v>1700000.0</v>
      </c>
      <c r="G937" s="142">
        <f t="shared" si="40"/>
        <v>1700000</v>
      </c>
      <c r="H937" s="142"/>
      <c r="I937" s="143">
        <f t="shared" si="38"/>
        <v>1700000</v>
      </c>
      <c r="J937" s="144">
        <f t="shared" si="39"/>
        <v>1700000</v>
      </c>
      <c r="K937" s="108" t="s">
        <v>5307</v>
      </c>
      <c r="L937" s="199" t="s">
        <v>5308</v>
      </c>
      <c r="M937" s="17"/>
      <c r="N937" s="64" t="s">
        <v>5309</v>
      </c>
      <c r="O937" s="64" t="s">
        <v>2813</v>
      </c>
      <c r="P937" s="147" t="s">
        <v>4672</v>
      </c>
      <c r="Q937" s="149"/>
      <c r="R937" s="141"/>
      <c r="S937" s="141"/>
      <c r="T937" s="141">
        <v>30000.0</v>
      </c>
      <c r="U937" s="149"/>
      <c r="V937" s="149"/>
      <c r="W937" s="149"/>
      <c r="X937" s="64" t="s">
        <v>5304</v>
      </c>
      <c r="Y937" s="64" t="s">
        <v>4515</v>
      </c>
      <c r="Z937" s="64" t="s">
        <v>5310</v>
      </c>
    </row>
    <row r="938" ht="15.0" customHeight="1">
      <c r="A938" s="206">
        <v>45933.0</v>
      </c>
      <c r="B938" s="201" t="s">
        <v>5306</v>
      </c>
      <c r="C938" s="45" t="s">
        <v>2770</v>
      </c>
      <c r="D938" s="140" t="str">
        <f>IFERROR(VLOOKUP(C938,Stock,3,FALSE),"")</f>
        <v>Transport</v>
      </c>
      <c r="E938" s="45">
        <v>1.0</v>
      </c>
      <c r="F938" s="198">
        <v>130000.0</v>
      </c>
      <c r="G938" s="142">
        <f t="shared" si="40"/>
        <v>130000</v>
      </c>
      <c r="H938" s="142"/>
      <c r="I938" s="143">
        <f t="shared" si="38"/>
        <v>130000</v>
      </c>
      <c r="J938" s="144">
        <f t="shared" si="39"/>
        <v>130000</v>
      </c>
      <c r="K938" s="108" t="s">
        <v>5307</v>
      </c>
      <c r="L938" s="45" t="s">
        <v>5311</v>
      </c>
      <c r="M938" s="17"/>
      <c r="N938" s="64" t="s">
        <v>5309</v>
      </c>
      <c r="O938" s="64" t="s">
        <v>2813</v>
      </c>
      <c r="P938" s="147" t="s">
        <v>4672</v>
      </c>
      <c r="Q938" s="149"/>
      <c r="R938" s="141"/>
      <c r="S938" s="141"/>
      <c r="T938" s="141">
        <v>1800000.0</v>
      </c>
      <c r="U938" s="149"/>
      <c r="V938" s="149"/>
      <c r="W938" s="149"/>
      <c r="X938" s="64" t="s">
        <v>5304</v>
      </c>
      <c r="Y938" s="64" t="s">
        <v>4515</v>
      </c>
      <c r="Z938" s="64" t="s">
        <v>5310</v>
      </c>
    </row>
    <row r="939" ht="15.0" customHeight="1">
      <c r="A939" s="206">
        <v>45933.0</v>
      </c>
      <c r="B939" s="201" t="s">
        <v>5312</v>
      </c>
      <c r="C939" s="45" t="s">
        <v>5313</v>
      </c>
      <c r="D939" s="140" t="str">
        <f>IFERROR(VLOOKUP(C939,Stock,3,FALSE),"")</f>
        <v>Toyota Yaris 05-13 XP90 1st Gen</v>
      </c>
      <c r="E939" s="45">
        <v>1.0</v>
      </c>
      <c r="F939" s="198">
        <v>1449000.0</v>
      </c>
      <c r="G939" s="142">
        <f t="shared" si="40"/>
        <v>1449000</v>
      </c>
      <c r="H939" s="142"/>
      <c r="I939" s="143">
        <f t="shared" si="38"/>
        <v>1449000</v>
      </c>
      <c r="J939" s="144">
        <f t="shared" si="39"/>
        <v>1449000</v>
      </c>
      <c r="K939" s="108" t="s">
        <v>5314</v>
      </c>
      <c r="L939" s="199" t="s">
        <v>5315</v>
      </c>
      <c r="M939" s="17"/>
      <c r="N939" s="64" t="s">
        <v>5316</v>
      </c>
      <c r="O939" s="64" t="s">
        <v>4692</v>
      </c>
      <c r="P939" s="147" t="s">
        <v>4672</v>
      </c>
      <c r="Q939" s="149"/>
      <c r="R939" s="141"/>
      <c r="S939" s="141"/>
      <c r="T939" s="141">
        <v>50000.0</v>
      </c>
      <c r="U939" s="149"/>
      <c r="V939" s="149"/>
      <c r="W939" s="149"/>
      <c r="X939" s="64" t="s">
        <v>5304</v>
      </c>
      <c r="Y939" s="64" t="s">
        <v>4515</v>
      </c>
      <c r="Z939" s="64" t="s">
        <v>5317</v>
      </c>
    </row>
    <row r="940" ht="15.0" customHeight="1">
      <c r="A940" s="206">
        <v>45933.0</v>
      </c>
      <c r="B940" s="201" t="s">
        <v>5312</v>
      </c>
      <c r="C940" s="45" t="s">
        <v>2770</v>
      </c>
      <c r="D940" s="140" t="str">
        <f>IFERROR(VLOOKUP(C940,Stock,3,FALSE),"")</f>
        <v>Transport</v>
      </c>
      <c r="E940" s="45">
        <v>1.0</v>
      </c>
      <c r="F940" s="198">
        <v>190000.0</v>
      </c>
      <c r="G940" s="142">
        <f t="shared" si="40"/>
        <v>190000</v>
      </c>
      <c r="H940" s="142"/>
      <c r="I940" s="143">
        <f t="shared" si="38"/>
        <v>190000</v>
      </c>
      <c r="J940" s="144">
        <f t="shared" si="39"/>
        <v>190000</v>
      </c>
      <c r="K940" s="108" t="s">
        <v>5314</v>
      </c>
      <c r="L940" s="45" t="s">
        <v>5318</v>
      </c>
      <c r="M940" s="17"/>
      <c r="N940" s="64" t="s">
        <v>5316</v>
      </c>
      <c r="O940" s="64" t="s">
        <v>4692</v>
      </c>
      <c r="P940" s="147" t="s">
        <v>4672</v>
      </c>
      <c r="Q940" s="149"/>
      <c r="R940" s="141"/>
      <c r="S940" s="141"/>
      <c r="T940" s="141">
        <v>1589000.0</v>
      </c>
      <c r="U940" s="149"/>
      <c r="V940" s="149"/>
      <c r="W940" s="149"/>
      <c r="X940" s="64" t="s">
        <v>5304</v>
      </c>
      <c r="Y940" s="64" t="s">
        <v>4515</v>
      </c>
      <c r="Z940" s="64" t="s">
        <v>5317</v>
      </c>
    </row>
    <row r="941" ht="15.0" customHeight="1">
      <c r="A941" s="206">
        <v>45933.0</v>
      </c>
      <c r="B941" s="201" t="s">
        <v>5319</v>
      </c>
      <c r="C941" s="45" t="s">
        <v>4590</v>
      </c>
      <c r="D941" s="140" t="str">
        <f>IFERROR(VLOOKUP(C941,Stock,3,FALSE),"")</f>
        <v>Toyota Avanza / Xenia 11-15 2nd Gen / 15-21 3rd Gen</v>
      </c>
      <c r="E941" s="45">
        <v>1.0</v>
      </c>
      <c r="F941" s="198">
        <v>880000.0</v>
      </c>
      <c r="G941" s="142">
        <f t="shared" si="40"/>
        <v>880000</v>
      </c>
      <c r="H941" s="142"/>
      <c r="I941" s="143">
        <f t="shared" si="38"/>
        <v>880000</v>
      </c>
      <c r="J941" s="144">
        <f t="shared" si="39"/>
        <v>880000</v>
      </c>
      <c r="K941" s="108" t="s">
        <v>5320</v>
      </c>
      <c r="L941" s="199" t="s">
        <v>5321</v>
      </c>
      <c r="M941" s="17"/>
      <c r="N941" s="64" t="s">
        <v>5322</v>
      </c>
      <c r="O941" s="64" t="s">
        <v>5323</v>
      </c>
      <c r="P941" s="147" t="s">
        <v>4672</v>
      </c>
      <c r="Q941" s="149"/>
      <c r="R941" s="141"/>
      <c r="S941" s="141"/>
      <c r="T941" s="141">
        <v>880000.0</v>
      </c>
      <c r="U941" s="149"/>
      <c r="V941" s="149"/>
      <c r="W941" s="149"/>
      <c r="X941" s="64" t="s">
        <v>3810</v>
      </c>
      <c r="Y941" s="64" t="s">
        <v>4515</v>
      </c>
      <c r="Z941" s="64" t="s">
        <v>5324</v>
      </c>
    </row>
    <row r="942" ht="15.0" customHeight="1">
      <c r="A942" s="206">
        <v>45934.0</v>
      </c>
      <c r="B942" s="201" t="s">
        <v>5325</v>
      </c>
      <c r="C942" s="45" t="s">
        <v>5326</v>
      </c>
      <c r="D942" s="140" t="str">
        <f>IFERROR(VLOOKUP(C942,Stock,3,FALSE),"")</f>
        <v>Toyota Innova 04-15 1st Gen (Toyota)</v>
      </c>
      <c r="E942" s="45">
        <v>1.0</v>
      </c>
      <c r="F942" s="198">
        <v>2250000.0</v>
      </c>
      <c r="G942" s="142">
        <f t="shared" si="40"/>
        <v>2250000</v>
      </c>
      <c r="H942" s="142"/>
      <c r="I942" s="143">
        <f t="shared" si="38"/>
        <v>2250000</v>
      </c>
      <c r="J942" s="144">
        <f t="shared" si="39"/>
        <v>2250000</v>
      </c>
      <c r="K942" s="108" t="s">
        <v>5327</v>
      </c>
      <c r="L942" s="199" t="s">
        <v>5328</v>
      </c>
      <c r="M942" s="17"/>
      <c r="N942" s="64" t="s">
        <v>5329</v>
      </c>
      <c r="O942" s="64" t="s">
        <v>2813</v>
      </c>
      <c r="P942" s="147" t="s">
        <v>4672</v>
      </c>
      <c r="Q942" s="141">
        <v>500000.0</v>
      </c>
      <c r="R942" s="141"/>
      <c r="S942" s="141"/>
      <c r="T942" s="141"/>
      <c r="U942" s="149"/>
      <c r="V942" s="149"/>
      <c r="W942" s="149"/>
      <c r="X942" s="64" t="s">
        <v>3810</v>
      </c>
      <c r="Y942" s="64" t="s">
        <v>4515</v>
      </c>
      <c r="Z942" s="68"/>
    </row>
    <row r="943" ht="15.0" customHeight="1">
      <c r="A943" s="206">
        <v>45934.0</v>
      </c>
      <c r="B943" s="201" t="s">
        <v>5325</v>
      </c>
      <c r="C943" s="45" t="s">
        <v>4979</v>
      </c>
      <c r="D943" s="140" t="str">
        <f>IFERROR(VLOOKUP(C943,Stock,3,FALSE),"")</f>
        <v>255 Ultra + Actv-100 Application</v>
      </c>
      <c r="E943" s="45">
        <v>1.0</v>
      </c>
      <c r="F943" s="198">
        <v>200000.0</v>
      </c>
      <c r="G943" s="142">
        <f t="shared" si="40"/>
        <v>200000</v>
      </c>
      <c r="H943" s="142"/>
      <c r="I943" s="143">
        <f t="shared" si="38"/>
        <v>200000</v>
      </c>
      <c r="J943" s="144">
        <f t="shared" si="39"/>
        <v>200000</v>
      </c>
      <c r="K943" s="108" t="s">
        <v>5327</v>
      </c>
      <c r="L943" s="199" t="s">
        <v>5328</v>
      </c>
      <c r="M943" s="68"/>
      <c r="N943" s="64" t="s">
        <v>5329</v>
      </c>
      <c r="O943" s="64" t="s">
        <v>2813</v>
      </c>
      <c r="P943" s="147" t="s">
        <v>4672</v>
      </c>
      <c r="Q943" s="141">
        <v>1950000.0</v>
      </c>
      <c r="R943" s="141"/>
      <c r="S943" s="141"/>
      <c r="T943" s="141"/>
      <c r="U943" s="68"/>
      <c r="V943" s="68"/>
      <c r="W943" s="68"/>
      <c r="X943" s="64" t="s">
        <v>3810</v>
      </c>
      <c r="Y943" s="64" t="s">
        <v>4515</v>
      </c>
      <c r="Z943" s="68"/>
    </row>
    <row r="944" ht="15.0" customHeight="1">
      <c r="A944" s="206">
        <v>45934.0</v>
      </c>
      <c r="B944" s="201" t="s">
        <v>5330</v>
      </c>
      <c r="C944" s="45" t="s">
        <v>2792</v>
      </c>
      <c r="D944" s="140" t="str">
        <f>IFERROR(VLOOKUP(C944,Stock,3,FALSE),"")</f>
        <v>Toyota Calya / Sigra 16-</v>
      </c>
      <c r="E944" s="45">
        <v>1.0</v>
      </c>
      <c r="F944" s="198">
        <v>920000.0</v>
      </c>
      <c r="G944" s="142">
        <f t="shared" si="40"/>
        <v>920000</v>
      </c>
      <c r="H944" s="142"/>
      <c r="I944" s="143">
        <f t="shared" si="38"/>
        <v>920000</v>
      </c>
      <c r="J944" s="144">
        <f t="shared" si="39"/>
        <v>920000</v>
      </c>
      <c r="K944" s="145" t="s">
        <v>5331</v>
      </c>
      <c r="L944" s="199" t="s">
        <v>5332</v>
      </c>
      <c r="M944" s="17"/>
      <c r="N944" s="64" t="s">
        <v>5333</v>
      </c>
      <c r="O944" s="64" t="s">
        <v>2813</v>
      </c>
      <c r="P944" s="147" t="s">
        <v>4672</v>
      </c>
      <c r="Q944" s="149"/>
      <c r="R944" s="141"/>
      <c r="S944" s="141"/>
      <c r="T944" s="141">
        <v>70000.0</v>
      </c>
      <c r="U944" s="149"/>
      <c r="V944" s="149"/>
      <c r="W944" s="149"/>
      <c r="X944" s="64" t="s">
        <v>5304</v>
      </c>
      <c r="Y944" s="64" t="s">
        <v>4515</v>
      </c>
      <c r="Z944" s="68"/>
    </row>
    <row r="945" ht="15.0" customHeight="1">
      <c r="A945" s="206">
        <v>45934.0</v>
      </c>
      <c r="B945" s="201" t="s">
        <v>5330</v>
      </c>
      <c r="C945" s="45" t="s">
        <v>5254</v>
      </c>
      <c r="D945" s="140" t="str">
        <f>IFERROR(VLOOKUP(C945,Stock,3,FALSE),"")</f>
        <v>Automotive Film Standard - Black 40%				</v>
      </c>
      <c r="E945" s="45">
        <v>1.0</v>
      </c>
      <c r="F945" s="198">
        <v>150000.0</v>
      </c>
      <c r="G945" s="142">
        <f t="shared" si="40"/>
        <v>150000</v>
      </c>
      <c r="H945" s="142"/>
      <c r="I945" s="143">
        <f t="shared" si="38"/>
        <v>150000</v>
      </c>
      <c r="J945" s="144">
        <f t="shared" si="39"/>
        <v>150000</v>
      </c>
      <c r="K945" s="145" t="s">
        <v>5331</v>
      </c>
      <c r="L945" s="199" t="s">
        <v>5332</v>
      </c>
      <c r="M945" s="17"/>
      <c r="N945" s="64" t="s">
        <v>5333</v>
      </c>
      <c r="O945" s="64" t="s">
        <v>2813</v>
      </c>
      <c r="P945" s="147" t="s">
        <v>4672</v>
      </c>
      <c r="Q945" s="141">
        <v>1000000.0</v>
      </c>
      <c r="R945" s="68"/>
      <c r="S945" s="68"/>
      <c r="T945" s="68"/>
      <c r="U945" s="149"/>
      <c r="V945" s="149"/>
      <c r="W945" s="149"/>
      <c r="X945" s="64" t="s">
        <v>5304</v>
      </c>
      <c r="Y945" s="64" t="s">
        <v>4515</v>
      </c>
      <c r="Z945" s="68"/>
    </row>
    <row r="946" ht="15.0" customHeight="1">
      <c r="A946" s="206">
        <v>45934.0</v>
      </c>
      <c r="B946" s="201" t="s">
        <v>5334</v>
      </c>
      <c r="C946" s="45" t="s">
        <v>3013</v>
      </c>
      <c r="D946" s="140" t="str">
        <f>IFERROR(VLOOKUP(C946,Stock,3,FALSE),"")</f>
        <v>Honda Freed 08-16 1st Gen (Honda)</v>
      </c>
      <c r="E946" s="45">
        <v>1.0</v>
      </c>
      <c r="F946" s="198">
        <v>3422000.0</v>
      </c>
      <c r="G946" s="142">
        <f t="shared" si="40"/>
        <v>3422000</v>
      </c>
      <c r="H946" s="142"/>
      <c r="I946" s="143">
        <f t="shared" si="38"/>
        <v>3422000</v>
      </c>
      <c r="J946" s="144">
        <f t="shared" si="39"/>
        <v>3422000</v>
      </c>
      <c r="K946" s="108" t="s">
        <v>5335</v>
      </c>
      <c r="L946" s="199" t="s">
        <v>5336</v>
      </c>
      <c r="M946" s="17"/>
      <c r="N946" s="64" t="s">
        <v>5337</v>
      </c>
      <c r="O946" s="64" t="s">
        <v>3007</v>
      </c>
      <c r="P946" s="147" t="s">
        <v>4672</v>
      </c>
      <c r="Q946" s="149"/>
      <c r="R946" s="141"/>
      <c r="S946" s="141"/>
      <c r="T946" s="141">
        <v>30000.0</v>
      </c>
      <c r="U946" s="149"/>
      <c r="V946" s="149"/>
      <c r="W946" s="149"/>
      <c r="X946" s="64" t="s">
        <v>5304</v>
      </c>
      <c r="Y946" s="64" t="s">
        <v>4515</v>
      </c>
      <c r="Z946" s="64" t="s">
        <v>5338</v>
      </c>
    </row>
    <row r="947" ht="15.0" customHeight="1">
      <c r="A947" s="206">
        <v>45934.0</v>
      </c>
      <c r="B947" s="201" t="s">
        <v>5334</v>
      </c>
      <c r="C947" s="45" t="s">
        <v>2770</v>
      </c>
      <c r="D947" s="140" t="str">
        <f>IFERROR(VLOOKUP(C947,Stock,3,FALSE),"")</f>
        <v>Transport</v>
      </c>
      <c r="E947" s="45">
        <v>1.0</v>
      </c>
      <c r="F947" s="198">
        <v>200000.0</v>
      </c>
      <c r="G947" s="142">
        <f t="shared" si="40"/>
        <v>200000</v>
      </c>
      <c r="H947" s="142"/>
      <c r="I947" s="143">
        <f t="shared" si="38"/>
        <v>200000</v>
      </c>
      <c r="J947" s="144">
        <f t="shared" si="39"/>
        <v>200000</v>
      </c>
      <c r="K947" s="108" t="s">
        <v>5335</v>
      </c>
      <c r="L947" s="199" t="s">
        <v>5336</v>
      </c>
      <c r="M947" s="17"/>
      <c r="N947" s="64" t="s">
        <v>5337</v>
      </c>
      <c r="O947" s="64" t="s">
        <v>3007</v>
      </c>
      <c r="P947" s="147" t="s">
        <v>4672</v>
      </c>
      <c r="Q947" s="149"/>
      <c r="R947" s="141"/>
      <c r="S947" s="141"/>
      <c r="T947" s="141">
        <v>3592000.0</v>
      </c>
      <c r="U947" s="149"/>
      <c r="V947" s="149"/>
      <c r="W947" s="149"/>
      <c r="X947" s="64" t="s">
        <v>5304</v>
      </c>
      <c r="Y947" s="64" t="s">
        <v>4515</v>
      </c>
      <c r="Z947" s="64" t="s">
        <v>5339</v>
      </c>
    </row>
    <row r="948" ht="15.0" customHeight="1">
      <c r="A948" s="206">
        <v>45934.0</v>
      </c>
      <c r="B948" s="201" t="s">
        <v>5340</v>
      </c>
      <c r="C948" s="45" t="s">
        <v>5062</v>
      </c>
      <c r="D948" s="140" t="str">
        <f>IFERROR(VLOOKUP(C948,Stock,3,FALSE),"")</f>
        <v>Honda CR-V 17-23 5th Gen (Honda)</v>
      </c>
      <c r="E948" s="45">
        <v>1.0</v>
      </c>
      <c r="F948" s="198">
        <v>2800000.0</v>
      </c>
      <c r="G948" s="142">
        <f t="shared" si="40"/>
        <v>2800000</v>
      </c>
      <c r="H948" s="142"/>
      <c r="I948" s="143">
        <f t="shared" si="38"/>
        <v>2800000</v>
      </c>
      <c r="J948" s="144">
        <f t="shared" si="39"/>
        <v>2800000</v>
      </c>
      <c r="K948" s="108" t="s">
        <v>5341</v>
      </c>
      <c r="L948" s="199" t="s">
        <v>5342</v>
      </c>
      <c r="M948" s="17"/>
      <c r="N948" s="64" t="s">
        <v>5343</v>
      </c>
      <c r="O948" s="64" t="s">
        <v>3007</v>
      </c>
      <c r="P948" s="147" t="s">
        <v>4672</v>
      </c>
      <c r="Q948" s="149"/>
      <c r="R948" s="141"/>
      <c r="S948" s="141"/>
      <c r="T948" s="141">
        <v>2900000.0</v>
      </c>
      <c r="U948" s="149"/>
      <c r="V948" s="149"/>
      <c r="W948" s="149"/>
      <c r="X948" s="64" t="s">
        <v>3810</v>
      </c>
      <c r="Y948" s="64" t="s">
        <v>4515</v>
      </c>
      <c r="Z948" s="64" t="s">
        <v>5344</v>
      </c>
    </row>
    <row r="949" ht="15.0" customHeight="1">
      <c r="A949" s="206">
        <v>45934.0</v>
      </c>
      <c r="B949" s="201" t="s">
        <v>5340</v>
      </c>
      <c r="C949" s="45" t="s">
        <v>2770</v>
      </c>
      <c r="D949" s="140" t="str">
        <f>IFERROR(VLOOKUP(C949,Stock,3,FALSE),"")</f>
        <v>Transport</v>
      </c>
      <c r="E949" s="45">
        <v>1.0</v>
      </c>
      <c r="F949" s="198">
        <v>100000.0</v>
      </c>
      <c r="G949" s="142">
        <f t="shared" si="40"/>
        <v>100000</v>
      </c>
      <c r="H949" s="142"/>
      <c r="I949" s="143">
        <f t="shared" si="38"/>
        <v>100000</v>
      </c>
      <c r="J949" s="144">
        <f t="shared" si="39"/>
        <v>100000</v>
      </c>
      <c r="K949" s="108" t="s">
        <v>5341</v>
      </c>
      <c r="L949" s="199" t="s">
        <v>5342</v>
      </c>
      <c r="M949" s="17"/>
      <c r="N949" s="64" t="s">
        <v>5343</v>
      </c>
      <c r="O949" s="64" t="s">
        <v>3007</v>
      </c>
      <c r="P949" s="147" t="s">
        <v>4672</v>
      </c>
      <c r="Q949" s="149"/>
      <c r="R949" s="149"/>
      <c r="S949" s="149"/>
      <c r="T949" s="149"/>
      <c r="U949" s="149"/>
      <c r="V949" s="149"/>
      <c r="W949" s="149"/>
      <c r="X949" s="64" t="s">
        <v>3810</v>
      </c>
      <c r="Y949" s="64" t="s">
        <v>4515</v>
      </c>
      <c r="Z949" s="64" t="s">
        <v>5344</v>
      </c>
    </row>
    <row r="950" ht="15.0" customHeight="1">
      <c r="A950" s="206">
        <v>45934.0</v>
      </c>
      <c r="B950" s="201" t="s">
        <v>5345</v>
      </c>
      <c r="C950" s="45" t="s">
        <v>5346</v>
      </c>
      <c r="D950" s="140" t="str">
        <f>IFERROR(VLOOKUP(C950,Stock,3,FALSE),"")</f>
        <v>Isuzu Traga</v>
      </c>
      <c r="E950" s="45">
        <v>1.0</v>
      </c>
      <c r="F950" s="198">
        <v>1270000.0</v>
      </c>
      <c r="G950" s="142">
        <f t="shared" si="40"/>
        <v>1270000</v>
      </c>
      <c r="H950" s="142"/>
      <c r="I950" s="143">
        <f t="shared" si="38"/>
        <v>1270000</v>
      </c>
      <c r="J950" s="144">
        <f t="shared" si="39"/>
        <v>1270000</v>
      </c>
      <c r="K950" s="108" t="s">
        <v>5347</v>
      </c>
      <c r="L950" s="199" t="s">
        <v>5348</v>
      </c>
      <c r="M950" s="17"/>
      <c r="N950" s="64" t="s">
        <v>5349</v>
      </c>
      <c r="O950" s="64" t="s">
        <v>2813</v>
      </c>
      <c r="P950" s="147" t="s">
        <v>4672</v>
      </c>
      <c r="Q950" s="149"/>
      <c r="R950" s="141"/>
      <c r="S950" s="141"/>
      <c r="T950" s="141">
        <v>1270000.0</v>
      </c>
      <c r="U950" s="149"/>
      <c r="V950" s="149"/>
      <c r="W950" s="149"/>
      <c r="X950" s="64" t="s">
        <v>3810</v>
      </c>
      <c r="Y950" s="64" t="s">
        <v>4515</v>
      </c>
      <c r="Z950" s="64" t="s">
        <v>5350</v>
      </c>
    </row>
    <row r="951" ht="15.0" customHeight="1">
      <c r="A951" s="206">
        <v>45934.0</v>
      </c>
      <c r="B951" s="201" t="s">
        <v>5351</v>
      </c>
      <c r="C951" s="45" t="s">
        <v>3638</v>
      </c>
      <c r="D951" s="140" t="str">
        <f>IFERROR(VLOOKUP(C951,Stock,3,FALSE),"")</f>
        <v>Mazda CX-5 12-17 1st Gen KE Pre - (1 Sensor/ □ )</v>
      </c>
      <c r="E951" s="45">
        <v>1.0</v>
      </c>
      <c r="F951" s="198">
        <v>3336000.0</v>
      </c>
      <c r="G951" s="142">
        <f t="shared" si="40"/>
        <v>3336000</v>
      </c>
      <c r="H951" s="142"/>
      <c r="I951" s="143">
        <f t="shared" si="38"/>
        <v>3336000</v>
      </c>
      <c r="J951" s="144">
        <f t="shared" si="39"/>
        <v>3336000</v>
      </c>
      <c r="K951" s="108" t="s">
        <v>5352</v>
      </c>
      <c r="L951" s="199" t="s">
        <v>5353</v>
      </c>
      <c r="M951" s="17"/>
      <c r="N951" s="64" t="s">
        <v>5354</v>
      </c>
      <c r="O951" s="64" t="s">
        <v>2807</v>
      </c>
      <c r="P951" s="147" t="s">
        <v>4672</v>
      </c>
      <c r="Q951" s="149"/>
      <c r="R951" s="141"/>
      <c r="S951" s="141"/>
      <c r="T951" s="141">
        <v>3168000.0</v>
      </c>
      <c r="U951" s="149"/>
      <c r="V951" s="149"/>
      <c r="W951" s="149"/>
      <c r="X951" s="64" t="s">
        <v>5304</v>
      </c>
      <c r="Y951" s="64" t="s">
        <v>4515</v>
      </c>
      <c r="Z951" s="64" t="s">
        <v>5355</v>
      </c>
    </row>
    <row r="952" ht="15.0" customHeight="1">
      <c r="A952" s="206">
        <v>45934.0</v>
      </c>
      <c r="B952" s="201" t="s">
        <v>5351</v>
      </c>
      <c r="C952" s="45" t="s">
        <v>2770</v>
      </c>
      <c r="D952" s="140" t="str">
        <f>IFERROR(VLOOKUP(C952,Stock,3,FALSE),"")</f>
        <v>Transport</v>
      </c>
      <c r="E952" s="45">
        <v>1.0</v>
      </c>
      <c r="F952" s="198">
        <v>190000.0</v>
      </c>
      <c r="G952" s="142">
        <f t="shared" si="40"/>
        <v>190000</v>
      </c>
      <c r="H952" s="142"/>
      <c r="I952" s="143">
        <f t="shared" si="38"/>
        <v>190000</v>
      </c>
      <c r="J952" s="144">
        <f t="shared" si="39"/>
        <v>190000</v>
      </c>
      <c r="K952" s="108" t="s">
        <v>5352</v>
      </c>
      <c r="L952" s="199" t="s">
        <v>5353</v>
      </c>
      <c r="M952" s="17"/>
      <c r="N952" s="64" t="s">
        <v>5354</v>
      </c>
      <c r="O952" s="64" t="s">
        <v>2807</v>
      </c>
      <c r="P952" s="147" t="s">
        <v>4672</v>
      </c>
      <c r="Q952" s="149"/>
      <c r="R952" s="141"/>
      <c r="S952" s="141"/>
      <c r="T952" s="141">
        <v>558000.0</v>
      </c>
      <c r="U952" s="149"/>
      <c r="V952" s="149"/>
      <c r="W952" s="149"/>
      <c r="X952" s="64" t="s">
        <v>5304</v>
      </c>
      <c r="Y952" s="64" t="s">
        <v>4515</v>
      </c>
      <c r="Z952" s="64" t="s">
        <v>5355</v>
      </c>
    </row>
    <row r="953" ht="15.0" customHeight="1">
      <c r="A953" s="206">
        <v>45934.0</v>
      </c>
      <c r="B953" s="201" t="s">
        <v>5351</v>
      </c>
      <c r="C953" s="45" t="s">
        <v>4979</v>
      </c>
      <c r="D953" s="140" t="str">
        <f>IFERROR(VLOOKUP(C953,Stock,3,FALSE),"")</f>
        <v>255 Ultra + Actv-100 Application</v>
      </c>
      <c r="E953" s="45">
        <v>1.0</v>
      </c>
      <c r="F953" s="198">
        <v>200000.0</v>
      </c>
      <c r="G953" s="142">
        <f t="shared" si="40"/>
        <v>200000</v>
      </c>
      <c r="H953" s="142"/>
      <c r="I953" s="143">
        <f t="shared" si="38"/>
        <v>200000</v>
      </c>
      <c r="J953" s="144">
        <f t="shared" si="39"/>
        <v>200000</v>
      </c>
      <c r="K953" s="108" t="s">
        <v>5352</v>
      </c>
      <c r="L953" s="199" t="s">
        <v>5353</v>
      </c>
      <c r="M953" s="17"/>
      <c r="N953" s="64" t="s">
        <v>5354</v>
      </c>
      <c r="O953" s="64" t="s">
        <v>2807</v>
      </c>
      <c r="P953" s="147" t="s">
        <v>4672</v>
      </c>
      <c r="Q953" s="68"/>
      <c r="R953" s="68"/>
      <c r="S953" s="68"/>
      <c r="T953" s="68"/>
      <c r="U953" s="68"/>
      <c r="V953" s="68"/>
      <c r="W953" s="68"/>
      <c r="X953" s="64" t="s">
        <v>5304</v>
      </c>
      <c r="Y953" s="64" t="s">
        <v>4515</v>
      </c>
      <c r="Z953" s="64" t="s">
        <v>5355</v>
      </c>
    </row>
    <row r="954" ht="15.0" customHeight="1">
      <c r="A954" s="206">
        <v>45934.0</v>
      </c>
      <c r="B954" s="201" t="s">
        <v>5356</v>
      </c>
      <c r="C954" s="45" t="s">
        <v>2772</v>
      </c>
      <c r="D954" s="140" t="str">
        <f>IFERROR(VLOOKUP(C954,Stock,3,FALSE),"")</f>
        <v>Suzuki Ignis 17-</v>
      </c>
      <c r="E954" s="45">
        <v>1.0</v>
      </c>
      <c r="F954" s="198">
        <v>1139000.0</v>
      </c>
      <c r="G954" s="142">
        <f t="shared" si="40"/>
        <v>1139000</v>
      </c>
      <c r="H954" s="143">
        <v>377930.0</v>
      </c>
      <c r="I954" s="143">
        <f t="shared" si="38"/>
        <v>761070</v>
      </c>
      <c r="J954" s="144">
        <f t="shared" si="39"/>
        <v>761070</v>
      </c>
      <c r="K954" s="108" t="s">
        <v>5357</v>
      </c>
      <c r="L954" s="199" t="s">
        <v>5358</v>
      </c>
      <c r="M954" s="17"/>
      <c r="N954" s="64" t="s">
        <v>4270</v>
      </c>
      <c r="O954" s="64" t="s">
        <v>4320</v>
      </c>
      <c r="P954" s="147" t="s">
        <v>4672</v>
      </c>
      <c r="Q954" s="149"/>
      <c r="R954" s="141"/>
      <c r="S954" s="141"/>
      <c r="T954" s="141"/>
      <c r="U954" s="141">
        <v>961070.0</v>
      </c>
      <c r="V954" s="149"/>
      <c r="W954" s="149"/>
      <c r="X954" s="64" t="s">
        <v>3810</v>
      </c>
      <c r="Y954" s="64" t="s">
        <v>4602</v>
      </c>
      <c r="Z954" s="68"/>
    </row>
    <row r="955" ht="15.0" customHeight="1">
      <c r="A955" s="206">
        <v>45934.0</v>
      </c>
      <c r="B955" s="201" t="s">
        <v>5356</v>
      </c>
      <c r="C955" s="45" t="s">
        <v>2835</v>
      </c>
      <c r="D955" s="140" t="str">
        <f>IFERROR(VLOOKUP(C955,Stock,3,FALSE),"")</f>
        <v>Peti Kayu</v>
      </c>
      <c r="E955" s="45">
        <v>1.0</v>
      </c>
      <c r="F955" s="198">
        <v>200000.0</v>
      </c>
      <c r="G955" s="142">
        <f t="shared" si="40"/>
        <v>200000</v>
      </c>
      <c r="H955" s="142"/>
      <c r="I955" s="143">
        <f t="shared" si="38"/>
        <v>200000</v>
      </c>
      <c r="J955" s="144">
        <f t="shared" si="39"/>
        <v>200000</v>
      </c>
      <c r="K955" s="108" t="s">
        <v>5357</v>
      </c>
      <c r="L955" s="199" t="s">
        <v>5358</v>
      </c>
      <c r="M955" s="17"/>
      <c r="N955" s="64" t="s">
        <v>4270</v>
      </c>
      <c r="O955" s="64" t="s">
        <v>4320</v>
      </c>
      <c r="P955" s="147" t="s">
        <v>4672</v>
      </c>
      <c r="Q955" s="149"/>
      <c r="R955" s="149"/>
      <c r="S955" s="149"/>
      <c r="T955" s="149"/>
      <c r="U955" s="149"/>
      <c r="V955" s="149"/>
      <c r="W955" s="149"/>
      <c r="X955" s="64" t="s">
        <v>3810</v>
      </c>
      <c r="Y955" s="64" t="s">
        <v>4602</v>
      </c>
      <c r="Z955" s="68"/>
    </row>
    <row r="956" ht="15.0" customHeight="1">
      <c r="A956" s="206">
        <v>45934.0</v>
      </c>
      <c r="B956" s="201" t="s">
        <v>5359</v>
      </c>
      <c r="C956" s="45" t="s">
        <v>2003</v>
      </c>
      <c r="D956" s="140" t="str">
        <f>IFERROR(VLOOKUP(C956,Stock,3,FALSE),"")</f>
        <v>Toyota Agya/Ayla 13-22 1st Gen</v>
      </c>
      <c r="E956" s="45">
        <v>1.0</v>
      </c>
      <c r="F956" s="198">
        <v>1000000.0</v>
      </c>
      <c r="G956" s="142">
        <f t="shared" si="40"/>
        <v>1000000</v>
      </c>
      <c r="H956" s="142"/>
      <c r="I956" s="143">
        <f t="shared" si="38"/>
        <v>1000000</v>
      </c>
      <c r="J956" s="144">
        <f t="shared" si="39"/>
        <v>1000000</v>
      </c>
      <c r="K956" s="108" t="s">
        <v>5360</v>
      </c>
      <c r="L956" s="199" t="s">
        <v>5361</v>
      </c>
      <c r="M956" s="17"/>
      <c r="N956" s="64" t="s">
        <v>5362</v>
      </c>
      <c r="O956" s="64" t="s">
        <v>2813</v>
      </c>
      <c r="P956" s="147" t="s">
        <v>4672</v>
      </c>
      <c r="Q956" s="149"/>
      <c r="R956" s="141"/>
      <c r="S956" s="141"/>
      <c r="T956" s="141">
        <v>1000000.0</v>
      </c>
      <c r="U956" s="149"/>
      <c r="V956" s="149"/>
      <c r="W956" s="149"/>
      <c r="X956" s="64" t="s">
        <v>3810</v>
      </c>
      <c r="Y956" s="64" t="s">
        <v>4602</v>
      </c>
      <c r="Z956" s="64" t="s">
        <v>5363</v>
      </c>
    </row>
    <row r="957" ht="15.0" customHeight="1">
      <c r="A957" s="206">
        <v>45935.0</v>
      </c>
      <c r="B957" s="201" t="s">
        <v>5364</v>
      </c>
      <c r="C957" s="45" t="s">
        <v>3475</v>
      </c>
      <c r="D957" s="140" t="str">
        <f>IFERROR(VLOOKUP(C957,Stock,3,FALSE),"")</f>
        <v>Toyota Avanza / Xenia 03-11 1st Gen</v>
      </c>
      <c r="E957" s="45">
        <v>1.0</v>
      </c>
      <c r="F957" s="198">
        <v>1000000.0</v>
      </c>
      <c r="G957" s="142">
        <f t="shared" si="40"/>
        <v>1000000</v>
      </c>
      <c r="H957" s="142"/>
      <c r="I957" s="143">
        <f t="shared" si="38"/>
        <v>1000000</v>
      </c>
      <c r="J957" s="144">
        <f t="shared" si="39"/>
        <v>1000000</v>
      </c>
      <c r="K957" s="108" t="s">
        <v>5365</v>
      </c>
      <c r="L957" s="199" t="s">
        <v>5366</v>
      </c>
      <c r="M957" s="17"/>
      <c r="N957" s="64" t="s">
        <v>5367</v>
      </c>
      <c r="O957" s="64" t="s">
        <v>2813</v>
      </c>
      <c r="P957" s="147" t="s">
        <v>4672</v>
      </c>
      <c r="Q957" s="149"/>
      <c r="R957" s="141"/>
      <c r="S957" s="141"/>
      <c r="T957" s="141">
        <v>30000.0</v>
      </c>
      <c r="U957" s="149"/>
      <c r="V957" s="149"/>
      <c r="W957" s="149"/>
      <c r="X957" s="64" t="s">
        <v>3810</v>
      </c>
      <c r="Y957" s="64" t="s">
        <v>4602</v>
      </c>
      <c r="Z957" s="68"/>
    </row>
    <row r="958" ht="15.0" customHeight="1">
      <c r="A958" s="206">
        <v>45935.0</v>
      </c>
      <c r="B958" s="201" t="s">
        <v>5364</v>
      </c>
      <c r="C958" s="45" t="s">
        <v>2962</v>
      </c>
      <c r="D958" s="140" t="str">
        <f>IFERROR(VLOOKUP(C958,Stock,3,FALSE),"")</f>
        <v>Lembur</v>
      </c>
      <c r="E958" s="45">
        <v>1.0</v>
      </c>
      <c r="F958" s="198">
        <v>100000.0</v>
      </c>
      <c r="G958" s="142">
        <f t="shared" si="40"/>
        <v>100000</v>
      </c>
      <c r="H958" s="142"/>
      <c r="I958" s="143">
        <f t="shared" si="38"/>
        <v>100000</v>
      </c>
      <c r="J958" s="144">
        <f t="shared" si="39"/>
        <v>100000</v>
      </c>
      <c r="K958" s="108" t="s">
        <v>5365</v>
      </c>
      <c r="L958" s="199" t="s">
        <v>5366</v>
      </c>
      <c r="M958" s="17"/>
      <c r="N958" s="64" t="s">
        <v>5367</v>
      </c>
      <c r="O958" s="64" t="s">
        <v>2813</v>
      </c>
      <c r="P958" s="147" t="s">
        <v>4672</v>
      </c>
      <c r="Q958" s="68"/>
      <c r="R958" s="141"/>
      <c r="S958" s="141"/>
      <c r="T958" s="141">
        <v>1070000.0</v>
      </c>
      <c r="U958" s="149"/>
      <c r="V958" s="149"/>
      <c r="W958" s="149"/>
      <c r="X958" s="64" t="s">
        <v>3810</v>
      </c>
      <c r="Y958" s="64" t="s">
        <v>4602</v>
      </c>
      <c r="Z958" s="68"/>
    </row>
    <row r="959" ht="15.0" customHeight="1">
      <c r="A959" s="206">
        <v>45935.0</v>
      </c>
      <c r="B959" s="201" t="s">
        <v>5368</v>
      </c>
      <c r="C959" s="45" t="s">
        <v>3160</v>
      </c>
      <c r="D959" s="140" t="str">
        <f>IFERROR(VLOOKUP(C959,Stock,3,FALSE),"")</f>
        <v>Honda Brio 10- (Honda)</v>
      </c>
      <c r="E959" s="45">
        <v>1.0</v>
      </c>
      <c r="F959" s="198">
        <v>725000.0</v>
      </c>
      <c r="G959" s="142">
        <f t="shared" si="40"/>
        <v>725000</v>
      </c>
      <c r="H959" s="142"/>
      <c r="I959" s="143">
        <f t="shared" si="38"/>
        <v>725000</v>
      </c>
      <c r="J959" s="144">
        <f t="shared" si="39"/>
        <v>725000</v>
      </c>
      <c r="K959" s="108" t="s">
        <v>5369</v>
      </c>
      <c r="L959" s="199" t="s">
        <v>5370</v>
      </c>
      <c r="M959" s="17"/>
      <c r="N959" s="64" t="s">
        <v>5371</v>
      </c>
      <c r="O959" s="64" t="s">
        <v>2813</v>
      </c>
      <c r="P959" s="147" t="s">
        <v>4672</v>
      </c>
      <c r="Q959" s="68"/>
      <c r="R959" s="141"/>
      <c r="S959" s="141"/>
      <c r="T959" s="141">
        <v>20000.0</v>
      </c>
      <c r="U959" s="149"/>
      <c r="V959" s="149"/>
      <c r="W959" s="149"/>
      <c r="X959" s="64" t="s">
        <v>3810</v>
      </c>
      <c r="Y959" s="64" t="s">
        <v>4602</v>
      </c>
      <c r="Z959" s="279" t="s">
        <v>5372</v>
      </c>
    </row>
    <row r="960" ht="15.0" customHeight="1">
      <c r="A960" s="206">
        <v>45935.0</v>
      </c>
      <c r="B960" s="201" t="s">
        <v>5368</v>
      </c>
      <c r="C960" s="45" t="s">
        <v>2962</v>
      </c>
      <c r="D960" s="140" t="str">
        <f>IFERROR(VLOOKUP(C960,Stock,3,FALSE),"")</f>
        <v>Lembur</v>
      </c>
      <c r="E960" s="45">
        <v>1.0</v>
      </c>
      <c r="F960" s="198">
        <v>100000.0</v>
      </c>
      <c r="G960" s="142">
        <f t="shared" si="40"/>
        <v>100000</v>
      </c>
      <c r="H960" s="142"/>
      <c r="I960" s="143">
        <f t="shared" si="38"/>
        <v>100000</v>
      </c>
      <c r="J960" s="144">
        <f t="shared" si="39"/>
        <v>100000</v>
      </c>
      <c r="K960" s="108" t="s">
        <v>5369</v>
      </c>
      <c r="L960" s="199" t="s">
        <v>5370</v>
      </c>
      <c r="M960" s="17"/>
      <c r="N960" s="64" t="s">
        <v>5371</v>
      </c>
      <c r="O960" s="64" t="s">
        <v>2813</v>
      </c>
      <c r="P960" s="147" t="s">
        <v>4672</v>
      </c>
      <c r="Q960" s="141">
        <v>400000.0</v>
      </c>
      <c r="R960" s="141"/>
      <c r="S960" s="141"/>
      <c r="T960" s="141">
        <v>405000.0</v>
      </c>
      <c r="U960" s="149"/>
      <c r="V960" s="149"/>
      <c r="W960" s="149"/>
      <c r="X960" s="64" t="s">
        <v>3810</v>
      </c>
      <c r="Y960" s="64" t="s">
        <v>4602</v>
      </c>
      <c r="Z960" s="68"/>
    </row>
    <row r="961" ht="15.0" customHeight="1">
      <c r="A961" s="206">
        <v>45936.0</v>
      </c>
      <c r="B961" s="201" t="s">
        <v>5373</v>
      </c>
      <c r="C961" s="64" t="s">
        <v>5374</v>
      </c>
      <c r="D961" s="140" t="str">
        <f>IFERROR(VLOOKUP(C961,Stock,3,FALSE),"")</f>
        <v>Mitsubishi Lancer 00-07 CS3 CS5 (Evo5/Evo6/Cedia)</v>
      </c>
      <c r="E961" s="45">
        <v>1.0</v>
      </c>
      <c r="F961" s="198">
        <v>2450000.0</v>
      </c>
      <c r="G961" s="142">
        <f t="shared" si="40"/>
        <v>2450000</v>
      </c>
      <c r="H961" s="142"/>
      <c r="I961" s="143">
        <f t="shared" si="38"/>
        <v>2450000</v>
      </c>
      <c r="J961" s="144">
        <f t="shared" si="39"/>
        <v>2450000</v>
      </c>
      <c r="K961" s="145" t="s">
        <v>5375</v>
      </c>
      <c r="L961" s="199" t="s">
        <v>5376</v>
      </c>
      <c r="M961" s="17"/>
      <c r="N961" s="68"/>
      <c r="O961" s="64" t="s">
        <v>2807</v>
      </c>
      <c r="P961" s="147" t="s">
        <v>4672</v>
      </c>
      <c r="Q961" s="149"/>
      <c r="R961" s="141"/>
      <c r="S961" s="141"/>
      <c r="T961" s="141">
        <v>2450000.0</v>
      </c>
      <c r="U961" s="149"/>
      <c r="V961" s="149"/>
      <c r="W961" s="149"/>
      <c r="X961" s="64" t="s">
        <v>5304</v>
      </c>
      <c r="Y961" s="68"/>
      <c r="Z961" s="64" t="s">
        <v>5377</v>
      </c>
    </row>
    <row r="962" ht="15.0" customHeight="1">
      <c r="A962" s="206">
        <v>45936.0</v>
      </c>
      <c r="B962" s="201" t="s">
        <v>5378</v>
      </c>
      <c r="C962" s="45" t="s">
        <v>4377</v>
      </c>
      <c r="D962" s="140" t="str">
        <f>IFERROR(VLOOKUP(C962,Stock,3,FALSE),"")</f>
        <v>Nissan Serena 19- MKV C27</v>
      </c>
      <c r="E962" s="45">
        <v>1.0</v>
      </c>
      <c r="F962" s="198">
        <v>3100000.0</v>
      </c>
      <c r="G962" s="142">
        <f t="shared" si="40"/>
        <v>3100000</v>
      </c>
      <c r="H962" s="142"/>
      <c r="I962" s="143">
        <f t="shared" si="38"/>
        <v>3100000</v>
      </c>
      <c r="J962" s="144">
        <f t="shared" si="39"/>
        <v>3100000</v>
      </c>
      <c r="K962" s="145" t="s">
        <v>5379</v>
      </c>
      <c r="L962" s="199" t="s">
        <v>5380</v>
      </c>
      <c r="M962" s="17"/>
      <c r="N962" s="64" t="s">
        <v>5381</v>
      </c>
      <c r="O962" s="64" t="s">
        <v>2813</v>
      </c>
      <c r="P962" s="147" t="s">
        <v>4672</v>
      </c>
      <c r="Q962" s="149"/>
      <c r="R962" s="141"/>
      <c r="S962" s="141"/>
      <c r="T962" s="141">
        <v>3100000.0</v>
      </c>
      <c r="U962" s="149"/>
      <c r="V962" s="149"/>
      <c r="W962" s="149"/>
      <c r="X962" s="64" t="s">
        <v>5304</v>
      </c>
      <c r="Y962" s="68"/>
      <c r="Z962" s="64" t="s">
        <v>5382</v>
      </c>
    </row>
    <row r="963" ht="15.0" customHeight="1">
      <c r="A963" s="206">
        <v>45936.0</v>
      </c>
      <c r="B963" s="201" t="s">
        <v>5383</v>
      </c>
      <c r="C963" s="245" t="s">
        <v>2778</v>
      </c>
      <c r="D963" s="140" t="str">
        <f>IFERROR(VLOOKUP(C963,Stock,3,FALSE),"")</f>
        <v>Bongkar Pasang Kaca Mobil Depan</v>
      </c>
      <c r="E963" s="45">
        <v>1.0</v>
      </c>
      <c r="F963" s="198">
        <v>300000.0</v>
      </c>
      <c r="G963" s="142">
        <f t="shared" si="40"/>
        <v>300000</v>
      </c>
      <c r="H963" s="143">
        <v>250000.0</v>
      </c>
      <c r="I963" s="143">
        <f t="shared" si="38"/>
        <v>50000</v>
      </c>
      <c r="J963" s="144">
        <f t="shared" si="39"/>
        <v>50000</v>
      </c>
      <c r="K963" s="108" t="s">
        <v>4540</v>
      </c>
      <c r="L963" s="199" t="s">
        <v>4541</v>
      </c>
      <c r="M963" s="17"/>
      <c r="N963" s="68"/>
      <c r="O963" s="64" t="s">
        <v>4542</v>
      </c>
      <c r="P963" s="147" t="s">
        <v>4672</v>
      </c>
      <c r="Q963" s="149"/>
      <c r="R963" s="141"/>
      <c r="S963" s="141"/>
      <c r="T963" s="141">
        <v>50000.0</v>
      </c>
      <c r="U963" s="149"/>
      <c r="V963" s="149"/>
      <c r="W963" s="149"/>
      <c r="X963" s="64" t="s">
        <v>3810</v>
      </c>
      <c r="Y963" s="68"/>
      <c r="Z963" s="68"/>
    </row>
    <row r="964" ht="15.0" customHeight="1">
      <c r="A964" s="206">
        <v>45936.0</v>
      </c>
      <c r="B964" s="201" t="s">
        <v>5383</v>
      </c>
      <c r="C964" s="45" t="s">
        <v>2770</v>
      </c>
      <c r="D964" s="140" t="str">
        <f>IFERROR(VLOOKUP(C964,Stock,3,FALSE),"")</f>
        <v>Transport</v>
      </c>
      <c r="E964" s="45">
        <v>1.0</v>
      </c>
      <c r="F964" s="198">
        <v>50000.0</v>
      </c>
      <c r="G964" s="142">
        <f t="shared" si="40"/>
        <v>50000</v>
      </c>
      <c r="H964" s="142"/>
      <c r="I964" s="143">
        <f t="shared" si="38"/>
        <v>50000</v>
      </c>
      <c r="J964" s="144">
        <f t="shared" si="39"/>
        <v>50000</v>
      </c>
      <c r="K964" s="108" t="s">
        <v>4540</v>
      </c>
      <c r="L964" s="199" t="s">
        <v>4541</v>
      </c>
      <c r="M964" s="17"/>
      <c r="N964" s="68"/>
      <c r="O964" s="64" t="s">
        <v>4542</v>
      </c>
      <c r="P964" s="147" t="s">
        <v>4672</v>
      </c>
      <c r="Q964" s="149"/>
      <c r="R964" s="141"/>
      <c r="S964" s="141"/>
      <c r="T964" s="141">
        <v>50000.0</v>
      </c>
      <c r="U964" s="149"/>
      <c r="V964" s="149"/>
      <c r="W964" s="149"/>
      <c r="X964" s="64" t="s">
        <v>3810</v>
      </c>
      <c r="Y964" s="68"/>
      <c r="Z964" s="68"/>
    </row>
    <row r="965" ht="15.0" customHeight="1">
      <c r="A965" s="206">
        <v>45937.0</v>
      </c>
      <c r="B965" s="201" t="s">
        <v>5384</v>
      </c>
      <c r="C965" s="45" t="s">
        <v>5385</v>
      </c>
      <c r="D965" s="140" t="str">
        <f>IFERROR(VLOOKUP(C965,Stock,3,FALSE),"")</f>
        <v>Nissan Evalia 10- X11M</v>
      </c>
      <c r="E965" s="45">
        <v>1.0</v>
      </c>
      <c r="F965" s="198">
        <v>1998000.0</v>
      </c>
      <c r="G965" s="142">
        <f t="shared" si="40"/>
        <v>1998000</v>
      </c>
      <c r="H965" s="142"/>
      <c r="I965" s="143">
        <f t="shared" si="38"/>
        <v>1998000</v>
      </c>
      <c r="J965" s="144">
        <f t="shared" si="39"/>
        <v>1998000</v>
      </c>
      <c r="K965" s="108" t="s">
        <v>5386</v>
      </c>
      <c r="L965" s="199" t="s">
        <v>5387</v>
      </c>
      <c r="M965" s="17"/>
      <c r="N965" s="64" t="s">
        <v>5388</v>
      </c>
      <c r="O965" s="64" t="s">
        <v>2813</v>
      </c>
      <c r="P965" s="147" t="s">
        <v>4672</v>
      </c>
      <c r="Q965" s="149"/>
      <c r="R965" s="141"/>
      <c r="S965" s="141"/>
      <c r="T965" s="141">
        <v>30000.0</v>
      </c>
      <c r="U965" s="149"/>
      <c r="V965" s="149"/>
      <c r="W965" s="149"/>
      <c r="X965" s="64" t="s">
        <v>5304</v>
      </c>
      <c r="Y965" s="64" t="s">
        <v>4515</v>
      </c>
      <c r="Z965" s="64" t="s">
        <v>5389</v>
      </c>
    </row>
    <row r="966" ht="15.0" customHeight="1">
      <c r="A966" s="206">
        <v>45937.0</v>
      </c>
      <c r="B966" s="201" t="s">
        <v>5384</v>
      </c>
      <c r="C966" s="45" t="s">
        <v>4979</v>
      </c>
      <c r="D966" s="140" t="str">
        <f>IFERROR(VLOOKUP(C966,Stock,3,FALSE),"")</f>
        <v>255 Ultra + Actv-100 Application</v>
      </c>
      <c r="E966" s="45">
        <v>1.0</v>
      </c>
      <c r="F966" s="198">
        <v>200000.0</v>
      </c>
      <c r="G966" s="142">
        <f t="shared" si="40"/>
        <v>200000</v>
      </c>
      <c r="H966" s="142"/>
      <c r="I966" s="143">
        <f t="shared" si="38"/>
        <v>200000</v>
      </c>
      <c r="J966" s="144">
        <f t="shared" si="39"/>
        <v>200000</v>
      </c>
      <c r="K966" s="108" t="s">
        <v>5390</v>
      </c>
      <c r="L966" s="199" t="s">
        <v>5387</v>
      </c>
      <c r="M966" s="17"/>
      <c r="N966" s="64" t="s">
        <v>5388</v>
      </c>
      <c r="O966" s="64" t="s">
        <v>2813</v>
      </c>
      <c r="P966" s="147" t="s">
        <v>4672</v>
      </c>
      <c r="Q966" s="149"/>
      <c r="R966" s="141"/>
      <c r="S966" s="141"/>
      <c r="T966" s="141">
        <v>2168000.0</v>
      </c>
      <c r="U966" s="149"/>
      <c r="V966" s="149"/>
      <c r="W966" s="149"/>
      <c r="X966" s="64" t="s">
        <v>5304</v>
      </c>
      <c r="Y966" s="64" t="s">
        <v>4515</v>
      </c>
      <c r="Z966" s="64" t="s">
        <v>5389</v>
      </c>
    </row>
    <row r="967" ht="15.0" customHeight="1">
      <c r="A967" s="206">
        <v>45937.0</v>
      </c>
      <c r="B967" s="201" t="s">
        <v>5391</v>
      </c>
      <c r="C967" s="45" t="s">
        <v>3302</v>
      </c>
      <c r="D967" s="140" t="str">
        <f>IFERROR(VLOOKUP(C967,Stock,3,FALSE),"")</f>
        <v>Nissan Livina 07-18 L10/L11</v>
      </c>
      <c r="E967" s="45">
        <v>1.0</v>
      </c>
      <c r="F967" s="198">
        <v>1192000.0</v>
      </c>
      <c r="G967" s="142">
        <f t="shared" si="40"/>
        <v>1192000</v>
      </c>
      <c r="H967" s="142"/>
      <c r="I967" s="143">
        <f t="shared" si="38"/>
        <v>1192000</v>
      </c>
      <c r="J967" s="144">
        <f t="shared" si="39"/>
        <v>1192000</v>
      </c>
      <c r="K967" s="108" t="s">
        <v>5392</v>
      </c>
      <c r="L967" s="199" t="s">
        <v>5393</v>
      </c>
      <c r="M967" s="17"/>
      <c r="N967" s="64" t="s">
        <v>4270</v>
      </c>
      <c r="O967" s="64" t="s">
        <v>3341</v>
      </c>
      <c r="P967" s="147" t="s">
        <v>4672</v>
      </c>
      <c r="Q967" s="149"/>
      <c r="R967" s="141"/>
      <c r="S967" s="141"/>
      <c r="T967" s="141">
        <v>1667000.0</v>
      </c>
      <c r="U967" s="149"/>
      <c r="V967" s="149"/>
      <c r="W967" s="149"/>
      <c r="X967" s="64" t="s">
        <v>3810</v>
      </c>
      <c r="Y967" s="64" t="s">
        <v>4515</v>
      </c>
      <c r="Z967" s="64" t="s">
        <v>5394</v>
      </c>
    </row>
    <row r="968" ht="15.0" customHeight="1">
      <c r="A968" s="206">
        <v>45937.0</v>
      </c>
      <c r="B968" s="201" t="s">
        <v>5391</v>
      </c>
      <c r="C968" s="45" t="s">
        <v>2835</v>
      </c>
      <c r="D968" s="140" t="str">
        <f>IFERROR(VLOOKUP(C968,Stock,3,FALSE),"")</f>
        <v>Peti Kayu</v>
      </c>
      <c r="E968" s="45">
        <v>1.0</v>
      </c>
      <c r="F968" s="198">
        <v>200000.0</v>
      </c>
      <c r="G968" s="142">
        <f t="shared" si="40"/>
        <v>200000</v>
      </c>
      <c r="H968" s="142"/>
      <c r="I968" s="143">
        <f t="shared" si="38"/>
        <v>200000</v>
      </c>
      <c r="J968" s="144">
        <f t="shared" si="39"/>
        <v>200000</v>
      </c>
      <c r="K968" s="108" t="s">
        <v>5392</v>
      </c>
      <c r="L968" s="199" t="s">
        <v>5393</v>
      </c>
      <c r="M968" s="17"/>
      <c r="N968" s="64" t="s">
        <v>4270</v>
      </c>
      <c r="O968" s="64" t="s">
        <v>3341</v>
      </c>
      <c r="P968" s="147" t="s">
        <v>4672</v>
      </c>
      <c r="Q968" s="149"/>
      <c r="R968" s="149"/>
      <c r="S968" s="149"/>
      <c r="T968" s="149"/>
      <c r="U968" s="149"/>
      <c r="V968" s="149"/>
      <c r="W968" s="149"/>
      <c r="X968" s="64" t="s">
        <v>3810</v>
      </c>
      <c r="Y968" s="64" t="s">
        <v>4515</v>
      </c>
      <c r="Z968" s="64" t="s">
        <v>5394</v>
      </c>
    </row>
    <row r="969" ht="15.0" customHeight="1">
      <c r="A969" s="206">
        <v>45937.0</v>
      </c>
      <c r="B969" s="201" t="s">
        <v>5391</v>
      </c>
      <c r="C969" s="45" t="s">
        <v>3434</v>
      </c>
      <c r="D969" s="140" t="str">
        <f>IFERROR(VLOOKUP(C969,Stock,3,FALSE),"")</f>
        <v>List Kaca Depan Code 04</v>
      </c>
      <c r="E969" s="45">
        <v>1.0</v>
      </c>
      <c r="F969" s="198">
        <v>275000.0</v>
      </c>
      <c r="G969" s="142">
        <f t="shared" si="40"/>
        <v>275000</v>
      </c>
      <c r="H969" s="142"/>
      <c r="I969" s="143">
        <f t="shared" si="38"/>
        <v>275000</v>
      </c>
      <c r="J969" s="144">
        <f t="shared" si="39"/>
        <v>275000</v>
      </c>
      <c r="K969" s="108" t="s">
        <v>5392</v>
      </c>
      <c r="L969" s="199" t="s">
        <v>5393</v>
      </c>
      <c r="M969" s="17"/>
      <c r="N969" s="64" t="s">
        <v>4270</v>
      </c>
      <c r="O969" s="64" t="s">
        <v>3341</v>
      </c>
      <c r="P969" s="147" t="s">
        <v>4672</v>
      </c>
      <c r="Q969" s="149"/>
      <c r="R969" s="149"/>
      <c r="S969" s="149"/>
      <c r="T969" s="149"/>
      <c r="U969" s="149"/>
      <c r="V969" s="149"/>
      <c r="W969" s="149"/>
      <c r="X969" s="64" t="s">
        <v>3810</v>
      </c>
      <c r="Y969" s="64" t="s">
        <v>4515</v>
      </c>
      <c r="Z969" s="64" t="s">
        <v>5394</v>
      </c>
    </row>
    <row r="970" ht="15.0" customHeight="1">
      <c r="A970" s="206">
        <v>45937.0</v>
      </c>
      <c r="B970" s="201" t="s">
        <v>5395</v>
      </c>
      <c r="C970" s="45" t="s">
        <v>5396</v>
      </c>
      <c r="D970" s="140" t="str">
        <f>IFERROR(VLOOKUP(C970,Stock,3,FALSE),"")</f>
        <v>Toyota Camry 06-11 XV40 4th Gen</v>
      </c>
      <c r="E970" s="45">
        <v>1.0</v>
      </c>
      <c r="F970" s="202"/>
      <c r="G970" s="142">
        <f t="shared" si="40"/>
        <v>0</v>
      </c>
      <c r="H970" s="142"/>
      <c r="I970" s="143">
        <f t="shared" si="38"/>
        <v>0</v>
      </c>
      <c r="J970" s="144">
        <f t="shared" si="39"/>
        <v>0</v>
      </c>
      <c r="K970" s="108" t="s">
        <v>4827</v>
      </c>
      <c r="L970" s="45"/>
      <c r="M970" s="17"/>
      <c r="N970" s="64" t="s">
        <v>4270</v>
      </c>
      <c r="O970" s="64" t="s">
        <v>4376</v>
      </c>
      <c r="P970" s="170"/>
      <c r="Q970" s="149"/>
      <c r="R970" s="149"/>
      <c r="S970" s="149"/>
      <c r="T970" s="149"/>
      <c r="U970" s="149"/>
      <c r="V970" s="149"/>
      <c r="W970" s="149"/>
      <c r="X970" s="64" t="s">
        <v>5304</v>
      </c>
      <c r="Y970" s="64" t="s">
        <v>4515</v>
      </c>
      <c r="Z970" s="68"/>
    </row>
    <row r="971" ht="15.0" customHeight="1">
      <c r="A971" s="206">
        <v>45937.0</v>
      </c>
      <c r="B971" s="201" t="s">
        <v>5397</v>
      </c>
      <c r="C971" s="45" t="s">
        <v>2885</v>
      </c>
      <c r="D971" s="140" t="str">
        <f>IFERROR(VLOOKUP(C971,Stock,3,FALSE),"")</f>
        <v>Bongkar Pasang Kaca Mobil Belakang</v>
      </c>
      <c r="E971" s="45">
        <v>1.0</v>
      </c>
      <c r="F971" s="198">
        <v>500000.0</v>
      </c>
      <c r="G971" s="142">
        <f t="shared" si="40"/>
        <v>500000</v>
      </c>
      <c r="H971" s="142"/>
      <c r="I971" s="143">
        <f t="shared" si="38"/>
        <v>500000</v>
      </c>
      <c r="J971" s="144">
        <f t="shared" si="39"/>
        <v>500000</v>
      </c>
      <c r="K971" s="108" t="s">
        <v>5398</v>
      </c>
      <c r="L971" s="199" t="s">
        <v>5399</v>
      </c>
      <c r="M971" s="17"/>
      <c r="N971" s="64" t="s">
        <v>5400</v>
      </c>
      <c r="O971" s="64" t="s">
        <v>2807</v>
      </c>
      <c r="P971" s="147" t="s">
        <v>4672</v>
      </c>
      <c r="Q971" s="149"/>
      <c r="R971" s="141"/>
      <c r="S971" s="141"/>
      <c r="T971" s="141">
        <v>50000.0</v>
      </c>
      <c r="U971" s="149"/>
      <c r="V971" s="149"/>
      <c r="W971" s="149"/>
      <c r="X971" s="64" t="s">
        <v>5304</v>
      </c>
      <c r="Y971" s="64" t="s">
        <v>4515</v>
      </c>
      <c r="Z971" s="68"/>
    </row>
    <row r="972" ht="15.0" customHeight="1">
      <c r="A972" s="206">
        <v>45937.0</v>
      </c>
      <c r="B972" s="201" t="s">
        <v>5397</v>
      </c>
      <c r="C972" s="45" t="s">
        <v>2770</v>
      </c>
      <c r="D972" s="140" t="str">
        <f>IFERROR(VLOOKUP(C972,Stock,3,FALSE),"")</f>
        <v>Transport</v>
      </c>
      <c r="E972" s="45">
        <v>1.0</v>
      </c>
      <c r="F972" s="198">
        <v>120000.0</v>
      </c>
      <c r="G972" s="142">
        <f t="shared" si="40"/>
        <v>120000</v>
      </c>
      <c r="H972" s="142"/>
      <c r="I972" s="143">
        <f t="shared" si="38"/>
        <v>120000</v>
      </c>
      <c r="J972" s="144">
        <f t="shared" si="39"/>
        <v>120000</v>
      </c>
      <c r="K972" s="108" t="s">
        <v>5398</v>
      </c>
      <c r="L972" s="199" t="s">
        <v>5399</v>
      </c>
      <c r="M972" s="17"/>
      <c r="N972" s="64" t="s">
        <v>5400</v>
      </c>
      <c r="O972" s="64" t="s">
        <v>2807</v>
      </c>
      <c r="P972" s="147" t="s">
        <v>4672</v>
      </c>
      <c r="Q972" s="149"/>
      <c r="R972" s="141"/>
      <c r="S972" s="141"/>
      <c r="T972" s="141">
        <v>570000.0</v>
      </c>
      <c r="U972" s="149"/>
      <c r="V972" s="149"/>
      <c r="W972" s="149"/>
      <c r="X972" s="64" t="s">
        <v>5304</v>
      </c>
      <c r="Y972" s="64" t="s">
        <v>4515</v>
      </c>
      <c r="Z972" s="68"/>
    </row>
    <row r="973" ht="15.0" customHeight="1">
      <c r="A973" s="206">
        <v>45937.0</v>
      </c>
      <c r="B973" s="201" t="s">
        <v>5401</v>
      </c>
      <c r="C973" s="45" t="s">
        <v>4544</v>
      </c>
      <c r="D973" s="140" t="str">
        <f>IFERROR(VLOOKUP(C973,Stock,3,FALSE),"")</f>
        <v>Toyota Avanza / Xenia 03-11 1st Gen</v>
      </c>
      <c r="E973" s="45">
        <v>1.0</v>
      </c>
      <c r="F973" s="198">
        <v>841000.0</v>
      </c>
      <c r="G973" s="142">
        <f t="shared" si="40"/>
        <v>841000</v>
      </c>
      <c r="H973" s="142"/>
      <c r="I973" s="143">
        <f t="shared" si="38"/>
        <v>841000</v>
      </c>
      <c r="J973" s="144">
        <f t="shared" si="39"/>
        <v>841000</v>
      </c>
      <c r="K973" s="108" t="s">
        <v>5402</v>
      </c>
      <c r="L973" s="199" t="s">
        <v>5403</v>
      </c>
      <c r="M973" s="17"/>
      <c r="N973" s="64" t="s">
        <v>5404</v>
      </c>
      <c r="O973" s="64" t="s">
        <v>2813</v>
      </c>
      <c r="P973" s="147" t="s">
        <v>4672</v>
      </c>
      <c r="Q973" s="149"/>
      <c r="R973" s="141"/>
      <c r="S973" s="141"/>
      <c r="T973" s="141">
        <v>841000.0</v>
      </c>
      <c r="U973" s="149"/>
      <c r="V973" s="149"/>
      <c r="W973" s="149"/>
      <c r="X973" s="64" t="s">
        <v>5304</v>
      </c>
      <c r="Y973" s="64" t="s">
        <v>4515</v>
      </c>
      <c r="Z973" s="68"/>
    </row>
    <row r="974" ht="15.0" customHeight="1">
      <c r="A974" s="206">
        <v>45937.0</v>
      </c>
      <c r="B974" s="201" t="s">
        <v>5405</v>
      </c>
      <c r="C974" s="45" t="s">
        <v>2029</v>
      </c>
      <c r="D974" s="140" t="str">
        <f>IFERROR(VLOOKUP(C974,Stock,3,FALSE),"")</f>
        <v>Toyota Fortuner 05-15 1st Gen</v>
      </c>
      <c r="E974" s="45">
        <v>1.0</v>
      </c>
      <c r="F974" s="198">
        <v>1450000.0</v>
      </c>
      <c r="G974" s="142">
        <f t="shared" si="40"/>
        <v>1450000</v>
      </c>
      <c r="H974" s="142"/>
      <c r="I974" s="143">
        <f t="shared" si="38"/>
        <v>1450000</v>
      </c>
      <c r="J974" s="144">
        <f t="shared" si="39"/>
        <v>1450000</v>
      </c>
      <c r="K974" s="108" t="s">
        <v>5406</v>
      </c>
      <c r="L974" s="199" t="s">
        <v>5407</v>
      </c>
      <c r="M974" s="17"/>
      <c r="N974" s="64" t="s">
        <v>5408</v>
      </c>
      <c r="O974" s="64" t="s">
        <v>2813</v>
      </c>
      <c r="P974" s="147" t="s">
        <v>4672</v>
      </c>
      <c r="Q974" s="149"/>
      <c r="R974" s="141"/>
      <c r="S974" s="141"/>
      <c r="T974" s="141">
        <v>1450000.0</v>
      </c>
      <c r="U974" s="149"/>
      <c r="V974" s="149"/>
      <c r="W974" s="149"/>
      <c r="X974" s="64" t="s">
        <v>3810</v>
      </c>
      <c r="Y974" s="64" t="s">
        <v>4515</v>
      </c>
      <c r="Z974" s="68"/>
    </row>
    <row r="975" ht="15.0" customHeight="1">
      <c r="A975" s="206">
        <v>45937.0</v>
      </c>
      <c r="B975" s="201" t="s">
        <v>5405</v>
      </c>
      <c r="C975" s="45" t="s">
        <v>4979</v>
      </c>
      <c r="D975" s="140" t="str">
        <f>IFERROR(VLOOKUP(C975,Stock,3,FALSE),"")</f>
        <v>255 Ultra + Actv-100 Application</v>
      </c>
      <c r="E975" s="45">
        <v>1.0</v>
      </c>
      <c r="F975" s="198">
        <v>200000.0</v>
      </c>
      <c r="G975" s="142">
        <f t="shared" si="40"/>
        <v>200000</v>
      </c>
      <c r="H975" s="142"/>
      <c r="I975" s="143">
        <f t="shared" si="38"/>
        <v>200000</v>
      </c>
      <c r="J975" s="144">
        <f t="shared" si="39"/>
        <v>200000</v>
      </c>
      <c r="K975" s="108" t="s">
        <v>5406</v>
      </c>
      <c r="L975" s="199" t="s">
        <v>5407</v>
      </c>
      <c r="M975" s="17"/>
      <c r="N975" s="64" t="s">
        <v>5408</v>
      </c>
      <c r="O975" s="64" t="s">
        <v>2813</v>
      </c>
      <c r="P975" s="147" t="s">
        <v>4672</v>
      </c>
      <c r="Q975" s="149"/>
      <c r="R975" s="141"/>
      <c r="S975" s="141"/>
      <c r="T975" s="141">
        <v>200000.0</v>
      </c>
      <c r="U975" s="149"/>
      <c r="V975" s="149"/>
      <c r="W975" s="149"/>
      <c r="X975" s="64" t="s">
        <v>3810</v>
      </c>
      <c r="Y975" s="64" t="s">
        <v>4515</v>
      </c>
      <c r="Z975" s="68"/>
    </row>
    <row r="976" ht="15.0" customHeight="1">
      <c r="A976" s="206">
        <v>45937.0</v>
      </c>
      <c r="B976" s="201" t="s">
        <v>5409</v>
      </c>
      <c r="C976" s="45" t="s">
        <v>5410</v>
      </c>
      <c r="D976" s="140" t="str">
        <f>IFERROR(VLOOKUP(C976,Stock,3,FALSE),"")</f>
        <v>Nissan Evalia 10- X11M</v>
      </c>
      <c r="E976" s="45">
        <v>1.0</v>
      </c>
      <c r="F976" s="198">
        <v>1549000.0</v>
      </c>
      <c r="G976" s="142">
        <f t="shared" si="40"/>
        <v>1549000</v>
      </c>
      <c r="H976" s="142"/>
      <c r="I976" s="143">
        <f t="shared" si="38"/>
        <v>1549000</v>
      </c>
      <c r="J976" s="144">
        <f t="shared" si="39"/>
        <v>1549000</v>
      </c>
      <c r="K976" s="108" t="s">
        <v>5411</v>
      </c>
      <c r="L976" s="199" t="s">
        <v>5412</v>
      </c>
      <c r="M976" s="17"/>
      <c r="N976" s="64" t="s">
        <v>5413</v>
      </c>
      <c r="O976" s="64" t="s">
        <v>2760</v>
      </c>
      <c r="P976" s="147" t="s">
        <v>4672</v>
      </c>
      <c r="Q976" s="149"/>
      <c r="R976" s="141"/>
      <c r="S976" s="141"/>
      <c r="T976" s="141">
        <v>30000.0</v>
      </c>
      <c r="U976" s="149"/>
      <c r="V976" s="149"/>
      <c r="W976" s="149"/>
      <c r="X976" s="64" t="s">
        <v>3810</v>
      </c>
      <c r="Y976" s="64" t="s">
        <v>4515</v>
      </c>
      <c r="Z976" s="68"/>
    </row>
    <row r="977" ht="15.0" customHeight="1">
      <c r="A977" s="206">
        <v>45937.0</v>
      </c>
      <c r="B977" s="201" t="s">
        <v>5409</v>
      </c>
      <c r="C977" s="45" t="s">
        <v>2770</v>
      </c>
      <c r="D977" s="140" t="str">
        <f>IFERROR(VLOOKUP(C977,Stock,3,FALSE),"")</f>
        <v>Transport</v>
      </c>
      <c r="E977" s="45">
        <v>1.0</v>
      </c>
      <c r="F977" s="198">
        <v>120000.0</v>
      </c>
      <c r="G977" s="142">
        <f t="shared" si="40"/>
        <v>120000</v>
      </c>
      <c r="H977" s="142"/>
      <c r="I977" s="143">
        <f t="shared" si="38"/>
        <v>120000</v>
      </c>
      <c r="J977" s="144">
        <f t="shared" si="39"/>
        <v>120000</v>
      </c>
      <c r="K977" s="108" t="s">
        <v>5411</v>
      </c>
      <c r="L977" s="199" t="s">
        <v>5412</v>
      </c>
      <c r="M977" s="17"/>
      <c r="N977" s="64" t="s">
        <v>5413</v>
      </c>
      <c r="O977" s="64" t="s">
        <v>2760</v>
      </c>
      <c r="P977" s="147" t="s">
        <v>4672</v>
      </c>
      <c r="Q977" s="141">
        <v>1839000.0</v>
      </c>
      <c r="R977" s="149"/>
      <c r="S977" s="149"/>
      <c r="T977" s="149"/>
      <c r="U977" s="149"/>
      <c r="V977" s="149"/>
      <c r="W977" s="149"/>
      <c r="X977" s="64" t="s">
        <v>3810</v>
      </c>
      <c r="Y977" s="64" t="s">
        <v>4515</v>
      </c>
      <c r="Z977" s="68"/>
    </row>
    <row r="978" ht="15.0" customHeight="1">
      <c r="A978" s="206">
        <v>45937.0</v>
      </c>
      <c r="B978" s="201" t="s">
        <v>5409</v>
      </c>
      <c r="C978" s="45" t="s">
        <v>4979</v>
      </c>
      <c r="D978" s="140" t="str">
        <f>IFERROR(VLOOKUP(C978,Stock,3,FALSE),"")</f>
        <v>255 Ultra + Actv-100 Application</v>
      </c>
      <c r="E978" s="45">
        <v>1.0</v>
      </c>
      <c r="F978" s="198">
        <v>200000.0</v>
      </c>
      <c r="G978" s="142">
        <f t="shared" si="40"/>
        <v>200000</v>
      </c>
      <c r="H978" s="142"/>
      <c r="I978" s="143">
        <f t="shared" si="38"/>
        <v>200000</v>
      </c>
      <c r="J978" s="144">
        <f t="shared" si="39"/>
        <v>200000</v>
      </c>
      <c r="K978" s="108" t="s">
        <v>5411</v>
      </c>
      <c r="L978" s="199" t="s">
        <v>5412</v>
      </c>
      <c r="M978" s="17"/>
      <c r="N978" s="64" t="s">
        <v>5413</v>
      </c>
      <c r="O978" s="64" t="s">
        <v>2760</v>
      </c>
      <c r="P978" s="147" t="s">
        <v>4672</v>
      </c>
      <c r="Q978" s="149"/>
      <c r="R978" s="149"/>
      <c r="S978" s="149"/>
      <c r="T978" s="149"/>
      <c r="U978" s="149"/>
      <c r="V978" s="149"/>
      <c r="W978" s="149"/>
      <c r="X978" s="64" t="s">
        <v>3810</v>
      </c>
      <c r="Y978" s="64" t="s">
        <v>4515</v>
      </c>
      <c r="Z978" s="68"/>
    </row>
    <row r="979" ht="15.0" customHeight="1">
      <c r="A979" s="206">
        <v>45938.0</v>
      </c>
      <c r="B979" s="201" t="s">
        <v>5414</v>
      </c>
      <c r="C979" s="45" t="s">
        <v>3354</v>
      </c>
      <c r="D979" s="140" t="str">
        <f>IFERROR(VLOOKUP(C979,Stock,3,FALSE),"")</f>
        <v>Honda Brio 10- / Mobilio 11- (Honda)</v>
      </c>
      <c r="E979" s="45">
        <v>1.0</v>
      </c>
      <c r="F979" s="198">
        <v>1772000.0</v>
      </c>
      <c r="G979" s="142">
        <f t="shared" si="40"/>
        <v>1772000</v>
      </c>
      <c r="H979" s="142"/>
      <c r="I979" s="143">
        <f t="shared" si="38"/>
        <v>1772000</v>
      </c>
      <c r="J979" s="144">
        <f t="shared" si="39"/>
        <v>1772000</v>
      </c>
      <c r="K979" s="108" t="s">
        <v>5415</v>
      </c>
      <c r="L979" s="199" t="s">
        <v>5416</v>
      </c>
      <c r="M979" s="17"/>
      <c r="N979" s="64" t="s">
        <v>5417</v>
      </c>
      <c r="O979" s="64" t="s">
        <v>2813</v>
      </c>
      <c r="P979" s="147" t="s">
        <v>4672</v>
      </c>
      <c r="Q979" s="149"/>
      <c r="R979" s="141"/>
      <c r="S979" s="141"/>
      <c r="T979" s="141">
        <v>1772000.0</v>
      </c>
      <c r="U979" s="149"/>
      <c r="V979" s="149"/>
      <c r="W979" s="149"/>
      <c r="X979" s="64" t="s">
        <v>3810</v>
      </c>
      <c r="Y979" s="64" t="s">
        <v>4515</v>
      </c>
      <c r="Z979" s="68"/>
    </row>
    <row r="980" ht="15.0" customHeight="1">
      <c r="A980" s="206">
        <v>45938.0</v>
      </c>
      <c r="B980" s="201" t="s">
        <v>5418</v>
      </c>
      <c r="C980" s="45" t="s">
        <v>4720</v>
      </c>
      <c r="D980" s="140" t="str">
        <f>IFERROR(VLOOKUP(C980,Stock,3,FALSE),"")</f>
        <v>Honda Jazz 13-  3rd Gen (Honda)</v>
      </c>
      <c r="E980" s="45">
        <v>1.0</v>
      </c>
      <c r="F980" s="198"/>
      <c r="G980" s="142">
        <f t="shared" si="40"/>
        <v>0</v>
      </c>
      <c r="H980" s="142"/>
      <c r="I980" s="143">
        <f t="shared" si="38"/>
        <v>0</v>
      </c>
      <c r="J980" s="144">
        <f t="shared" si="39"/>
        <v>0</v>
      </c>
      <c r="K980" s="108" t="s">
        <v>4509</v>
      </c>
      <c r="L980" s="45"/>
      <c r="M980" s="17"/>
      <c r="N980" s="68"/>
      <c r="O980" s="64" t="s">
        <v>4175</v>
      </c>
      <c r="P980" s="170"/>
      <c r="Q980" s="149"/>
      <c r="R980" s="149"/>
      <c r="S980" s="149"/>
      <c r="T980" s="149"/>
      <c r="U980" s="149"/>
      <c r="V980" s="149"/>
      <c r="W980" s="149"/>
      <c r="X980" s="64" t="s">
        <v>3810</v>
      </c>
      <c r="Y980" s="64" t="s">
        <v>4515</v>
      </c>
      <c r="Z980" s="68"/>
    </row>
    <row r="981" ht="15.0" customHeight="1">
      <c r="A981" s="206">
        <v>45938.0</v>
      </c>
      <c r="B981" s="201" t="s">
        <v>5419</v>
      </c>
      <c r="C981" s="45" t="s">
        <v>3246</v>
      </c>
      <c r="D981" s="140" t="str">
        <f>IFERROR(VLOOKUP(C981,Stock,3,FALSE),"")</f>
        <v>Toyota Calya / Sigra 16-</v>
      </c>
      <c r="E981" s="45">
        <v>1.0</v>
      </c>
      <c r="F981" s="198">
        <v>1170000.0</v>
      </c>
      <c r="G981" s="142">
        <f t="shared" si="40"/>
        <v>1170000</v>
      </c>
      <c r="H981" s="142"/>
      <c r="I981" s="143">
        <f t="shared" si="38"/>
        <v>1170000</v>
      </c>
      <c r="J981" s="144">
        <f t="shared" si="39"/>
        <v>1170000</v>
      </c>
      <c r="K981" s="108" t="s">
        <v>5420</v>
      </c>
      <c r="L981" s="199" t="s">
        <v>5421</v>
      </c>
      <c r="M981" s="17"/>
      <c r="N981" s="64" t="s">
        <v>5422</v>
      </c>
      <c r="O981" s="64" t="s">
        <v>2760</v>
      </c>
      <c r="P981" s="147" t="s">
        <v>4672</v>
      </c>
      <c r="Q981" s="149"/>
      <c r="R981" s="141"/>
      <c r="S981" s="141"/>
      <c r="T981" s="141">
        <v>30000.0</v>
      </c>
      <c r="U981" s="149"/>
      <c r="V981" s="149"/>
      <c r="W981" s="149"/>
      <c r="X981" s="64" t="s">
        <v>3810</v>
      </c>
      <c r="Y981" s="64" t="s">
        <v>4515</v>
      </c>
      <c r="Z981" s="68"/>
    </row>
    <row r="982" ht="15.0" customHeight="1">
      <c r="A982" s="206">
        <v>45938.0</v>
      </c>
      <c r="B982" s="201" t="s">
        <v>5419</v>
      </c>
      <c r="C982" s="45" t="s">
        <v>2770</v>
      </c>
      <c r="D982" s="140" t="str">
        <f>IFERROR(VLOOKUP(C982,Stock,3,FALSE),"")</f>
        <v>Transport</v>
      </c>
      <c r="E982" s="45">
        <v>1.0</v>
      </c>
      <c r="F982" s="198">
        <v>200000.0</v>
      </c>
      <c r="G982" s="142">
        <f t="shared" si="40"/>
        <v>200000</v>
      </c>
      <c r="H982" s="142"/>
      <c r="I982" s="143">
        <f t="shared" si="38"/>
        <v>200000</v>
      </c>
      <c r="J982" s="144">
        <f t="shared" si="39"/>
        <v>200000</v>
      </c>
      <c r="K982" s="108" t="s">
        <v>5420</v>
      </c>
      <c r="L982" s="199" t="s">
        <v>5421</v>
      </c>
      <c r="M982" s="17"/>
      <c r="N982" s="64" t="s">
        <v>5422</v>
      </c>
      <c r="O982" s="64" t="s">
        <v>2760</v>
      </c>
      <c r="P982" s="147" t="s">
        <v>4672</v>
      </c>
      <c r="Q982" s="149"/>
      <c r="R982" s="141"/>
      <c r="S982" s="141"/>
      <c r="T982" s="141">
        <v>1540000.0</v>
      </c>
      <c r="U982" s="149"/>
      <c r="V982" s="149"/>
      <c r="W982" s="149"/>
      <c r="X982" s="64" t="s">
        <v>3810</v>
      </c>
      <c r="Y982" s="64" t="s">
        <v>4515</v>
      </c>
      <c r="Z982" s="68"/>
    </row>
    <row r="983" ht="15.0" customHeight="1">
      <c r="A983" s="206">
        <v>45938.0</v>
      </c>
      <c r="B983" s="201" t="s">
        <v>5419</v>
      </c>
      <c r="C983" s="45" t="s">
        <v>4979</v>
      </c>
      <c r="D983" s="140" t="str">
        <f>IFERROR(VLOOKUP(C983,Stock,3,FALSE),"")</f>
        <v>255 Ultra + Actv-100 Application</v>
      </c>
      <c r="E983" s="45">
        <v>1.0</v>
      </c>
      <c r="F983" s="198">
        <v>200000.0</v>
      </c>
      <c r="G983" s="142">
        <f t="shared" si="40"/>
        <v>200000</v>
      </c>
      <c r="H983" s="142"/>
      <c r="I983" s="143">
        <f t="shared" si="38"/>
        <v>200000</v>
      </c>
      <c r="J983" s="144">
        <f t="shared" si="39"/>
        <v>200000</v>
      </c>
      <c r="K983" s="108" t="s">
        <v>5420</v>
      </c>
      <c r="L983" s="199" t="s">
        <v>5421</v>
      </c>
      <c r="M983" s="17"/>
      <c r="N983" s="64" t="s">
        <v>5422</v>
      </c>
      <c r="O983" s="64" t="s">
        <v>2760</v>
      </c>
      <c r="P983" s="147" t="s">
        <v>4672</v>
      </c>
      <c r="Q983" s="149"/>
      <c r="R983" s="149"/>
      <c r="S983" s="149"/>
      <c r="T983" s="149"/>
      <c r="U983" s="149"/>
      <c r="V983" s="149"/>
      <c r="W983" s="149"/>
      <c r="X983" s="64" t="s">
        <v>3810</v>
      </c>
      <c r="Y983" s="64" t="s">
        <v>4515</v>
      </c>
      <c r="Z983" s="68"/>
    </row>
    <row r="984" ht="15.0" customHeight="1">
      <c r="A984" s="206">
        <v>45938.0</v>
      </c>
      <c r="B984" s="201" t="s">
        <v>5423</v>
      </c>
      <c r="C984" s="45" t="s">
        <v>5424</v>
      </c>
      <c r="D984" s="140" t="str">
        <f>IFERROR(VLOOKUP(C984,Stock,3,FALSE),"")</f>
        <v>Nissan Elgrand 02-10 E51 2nd Gen</v>
      </c>
      <c r="E984" s="45">
        <v>1.0</v>
      </c>
      <c r="F984" s="198">
        <v>3439000.0</v>
      </c>
      <c r="G984" s="142">
        <f t="shared" si="40"/>
        <v>3439000</v>
      </c>
      <c r="H984" s="142"/>
      <c r="I984" s="143">
        <f t="shared" si="38"/>
        <v>3439000</v>
      </c>
      <c r="J984" s="144">
        <f t="shared" si="39"/>
        <v>3439000</v>
      </c>
      <c r="K984" s="108" t="s">
        <v>5425</v>
      </c>
      <c r="L984" s="199" t="s">
        <v>5426</v>
      </c>
      <c r="M984" s="17"/>
      <c r="N984" s="64" t="s">
        <v>5427</v>
      </c>
      <c r="O984" s="64" t="s">
        <v>4692</v>
      </c>
      <c r="P984" s="147" t="s">
        <v>4672</v>
      </c>
      <c r="Q984" s="149"/>
      <c r="R984" s="141"/>
      <c r="S984" s="141"/>
      <c r="T984" s="141">
        <v>3439000.0</v>
      </c>
      <c r="U984" s="149"/>
      <c r="V984" s="149"/>
      <c r="W984" s="149"/>
      <c r="X984" s="64" t="s">
        <v>3810</v>
      </c>
      <c r="Y984" s="64" t="s">
        <v>4515</v>
      </c>
      <c r="Z984" s="68"/>
    </row>
    <row r="985" ht="15.0" customHeight="1">
      <c r="A985" s="206">
        <v>45939.0</v>
      </c>
      <c r="B985" s="201" t="s">
        <v>5428</v>
      </c>
      <c r="C985" s="45" t="s">
        <v>5346</v>
      </c>
      <c r="D985" s="140" t="str">
        <f>IFERROR(VLOOKUP(C985,Stock,3,FALSE),"")</f>
        <v>Isuzu Traga</v>
      </c>
      <c r="E985" s="45">
        <v>1.0</v>
      </c>
      <c r="F985" s="198">
        <v>1320000.0</v>
      </c>
      <c r="G985" s="142">
        <f t="shared" si="40"/>
        <v>1320000</v>
      </c>
      <c r="H985" s="143">
        <v>50000.0</v>
      </c>
      <c r="I985" s="143">
        <f t="shared" si="38"/>
        <v>1270000</v>
      </c>
      <c r="J985" s="144">
        <f t="shared" si="39"/>
        <v>1270000</v>
      </c>
      <c r="K985" s="108" t="s">
        <v>5429</v>
      </c>
      <c r="L985" s="199" t="s">
        <v>5430</v>
      </c>
      <c r="M985" s="17"/>
      <c r="N985" s="64" t="s">
        <v>5431</v>
      </c>
      <c r="O985" s="64" t="s">
        <v>2813</v>
      </c>
      <c r="P985" s="147" t="s">
        <v>4672</v>
      </c>
      <c r="Q985" s="141">
        <v>1270000.0</v>
      </c>
      <c r="R985" s="149"/>
      <c r="S985" s="149"/>
      <c r="T985" s="149"/>
      <c r="U985" s="149"/>
      <c r="V985" s="149"/>
      <c r="W985" s="149"/>
      <c r="X985" s="64" t="s">
        <v>5304</v>
      </c>
      <c r="Y985" s="64" t="s">
        <v>4515</v>
      </c>
      <c r="Z985" s="68"/>
    </row>
    <row r="986" ht="15.0" customHeight="1">
      <c r="A986" s="206">
        <v>45939.0</v>
      </c>
      <c r="B986" s="201" t="s">
        <v>5432</v>
      </c>
      <c r="C986" s="45" t="s">
        <v>5433</v>
      </c>
      <c r="D986" s="140" t="str">
        <f>IFERROR(VLOOKUP(C986,Stock,3,FALSE),"")</f>
        <v>Kia Seltos 20-</v>
      </c>
      <c r="E986" s="45">
        <v>1.0</v>
      </c>
      <c r="F986" s="198">
        <v>1900000.0</v>
      </c>
      <c r="G986" s="142">
        <f t="shared" si="40"/>
        <v>1900000</v>
      </c>
      <c r="H986" s="142"/>
      <c r="I986" s="143">
        <f t="shared" si="38"/>
        <v>1900000</v>
      </c>
      <c r="J986" s="144">
        <f t="shared" si="39"/>
        <v>1900000</v>
      </c>
      <c r="K986" s="108" t="s">
        <v>5434</v>
      </c>
      <c r="L986" s="199" t="s">
        <v>5435</v>
      </c>
      <c r="M986" s="17"/>
      <c r="N986" s="64" t="s">
        <v>5436</v>
      </c>
      <c r="O986" s="64" t="s">
        <v>3394</v>
      </c>
      <c r="P986" s="147" t="s">
        <v>4672</v>
      </c>
      <c r="Q986" s="149"/>
      <c r="R986" s="141"/>
      <c r="S986" s="141"/>
      <c r="T986" s="141">
        <v>100000.0</v>
      </c>
      <c r="U986" s="149"/>
      <c r="V986" s="149"/>
      <c r="W986" s="149"/>
      <c r="X986" s="64" t="s">
        <v>3810</v>
      </c>
      <c r="Y986" s="64" t="s">
        <v>4515</v>
      </c>
      <c r="Z986" s="68"/>
    </row>
    <row r="987" ht="15.0" customHeight="1">
      <c r="A987" s="206">
        <v>45939.0</v>
      </c>
      <c r="B987" s="201" t="s">
        <v>5432</v>
      </c>
      <c r="C987" s="45" t="s">
        <v>2770</v>
      </c>
      <c r="D987" s="140" t="str">
        <f>IFERROR(VLOOKUP(C987,Stock,3,FALSE),"")</f>
        <v>Transport</v>
      </c>
      <c r="E987" s="45">
        <v>1.0</v>
      </c>
      <c r="F987" s="198">
        <v>250000.0</v>
      </c>
      <c r="G987" s="142">
        <f t="shared" si="40"/>
        <v>250000</v>
      </c>
      <c r="H987" s="142"/>
      <c r="I987" s="143">
        <f t="shared" si="38"/>
        <v>250000</v>
      </c>
      <c r="J987" s="144">
        <f t="shared" si="39"/>
        <v>250000</v>
      </c>
      <c r="K987" s="108" t="s">
        <v>5434</v>
      </c>
      <c r="L987" s="199" t="s">
        <v>5435</v>
      </c>
      <c r="M987" s="17"/>
      <c r="N987" s="64" t="s">
        <v>5436</v>
      </c>
      <c r="O987" s="64" t="s">
        <v>3394</v>
      </c>
      <c r="P987" s="147" t="s">
        <v>4672</v>
      </c>
      <c r="Q987" s="149"/>
      <c r="R987" s="141"/>
      <c r="S987" s="141"/>
      <c r="T987" s="141">
        <v>2250000.0</v>
      </c>
      <c r="U987" s="149"/>
      <c r="V987" s="149"/>
      <c r="W987" s="149"/>
      <c r="X987" s="64" t="s">
        <v>3810</v>
      </c>
      <c r="Y987" s="64" t="s">
        <v>4515</v>
      </c>
      <c r="Z987" s="68"/>
    </row>
    <row r="988" ht="15.0" customHeight="1">
      <c r="A988" s="206">
        <v>45939.0</v>
      </c>
      <c r="B988" s="201" t="s">
        <v>5432</v>
      </c>
      <c r="C988" s="45" t="s">
        <v>4979</v>
      </c>
      <c r="D988" s="140" t="str">
        <f>IFERROR(VLOOKUP(C988,Stock,3,FALSE),"")</f>
        <v>255 Ultra + Actv-100 Application</v>
      </c>
      <c r="E988" s="45">
        <v>1.0</v>
      </c>
      <c r="F988" s="198">
        <v>200000.0</v>
      </c>
      <c r="G988" s="142">
        <f t="shared" si="40"/>
        <v>200000</v>
      </c>
      <c r="H988" s="142"/>
      <c r="I988" s="143">
        <f t="shared" si="38"/>
        <v>200000</v>
      </c>
      <c r="J988" s="144">
        <f t="shared" si="39"/>
        <v>200000</v>
      </c>
      <c r="K988" s="108" t="s">
        <v>5434</v>
      </c>
      <c r="L988" s="199" t="s">
        <v>5435</v>
      </c>
      <c r="M988" s="17"/>
      <c r="N988" s="64" t="s">
        <v>5436</v>
      </c>
      <c r="O988" s="64" t="s">
        <v>3394</v>
      </c>
      <c r="P988" s="147" t="s">
        <v>4672</v>
      </c>
      <c r="Q988" s="149"/>
      <c r="R988" s="149"/>
      <c r="S988" s="149"/>
      <c r="T988" s="149"/>
      <c r="U988" s="149"/>
      <c r="V988" s="149"/>
      <c r="W988" s="149"/>
      <c r="X988" s="64" t="s">
        <v>3810</v>
      </c>
      <c r="Y988" s="64" t="s">
        <v>4515</v>
      </c>
      <c r="Z988" s="68"/>
    </row>
    <row r="989" ht="15.0" customHeight="1">
      <c r="A989" s="206">
        <v>45939.0</v>
      </c>
      <c r="B989" s="201" t="s">
        <v>5437</v>
      </c>
      <c r="C989" s="45" t="s">
        <v>2029</v>
      </c>
      <c r="D989" s="140" t="str">
        <f>IFERROR(VLOOKUP(C989,Stock,3,FALSE),"")</f>
        <v>Toyota Fortuner 05-15 1st Gen</v>
      </c>
      <c r="E989" s="45">
        <v>1.0</v>
      </c>
      <c r="F989" s="198">
        <v>1450000.0</v>
      </c>
      <c r="G989" s="142">
        <f t="shared" si="40"/>
        <v>1450000</v>
      </c>
      <c r="H989" s="142"/>
      <c r="I989" s="143">
        <f t="shared" si="38"/>
        <v>1450000</v>
      </c>
      <c r="J989" s="144">
        <f t="shared" si="39"/>
        <v>1450000</v>
      </c>
      <c r="K989" s="108" t="s">
        <v>5438</v>
      </c>
      <c r="L989" s="199" t="s">
        <v>5439</v>
      </c>
      <c r="M989" s="17"/>
      <c r="N989" s="64" t="s">
        <v>5440</v>
      </c>
      <c r="O989" s="64" t="s">
        <v>2813</v>
      </c>
      <c r="P989" s="147" t="s">
        <v>4672</v>
      </c>
      <c r="Q989" s="149"/>
      <c r="R989" s="141"/>
      <c r="S989" s="141"/>
      <c r="T989" s="141">
        <v>1450000.0</v>
      </c>
      <c r="U989" s="149"/>
      <c r="V989" s="149"/>
      <c r="W989" s="149"/>
      <c r="X989" s="64" t="s">
        <v>3810</v>
      </c>
      <c r="Y989" s="64" t="s">
        <v>4515</v>
      </c>
      <c r="Z989" s="68"/>
    </row>
    <row r="990" ht="15.0" customHeight="1">
      <c r="A990" s="206">
        <v>45939.0</v>
      </c>
      <c r="B990" s="201" t="s">
        <v>5441</v>
      </c>
      <c r="C990" s="45" t="s">
        <v>4262</v>
      </c>
      <c r="D990" s="140" t="str">
        <f>IFERROR(VLOOKUP(C990,Stock,3,FALSE),"")</f>
        <v>Toyota Avanza / Xenia 11-15 2nd Gen / 15-21 3rd Gen</v>
      </c>
      <c r="E990" s="45">
        <v>1.0</v>
      </c>
      <c r="F990" s="198">
        <v>450000.0</v>
      </c>
      <c r="G990" s="142">
        <f t="shared" si="40"/>
        <v>450000</v>
      </c>
      <c r="H990" s="142"/>
      <c r="I990" s="143">
        <f t="shared" si="38"/>
        <v>450000</v>
      </c>
      <c r="J990" s="144">
        <f t="shared" si="39"/>
        <v>450000</v>
      </c>
      <c r="K990" s="108" t="s">
        <v>5442</v>
      </c>
      <c r="L990" s="199" t="s">
        <v>5443</v>
      </c>
      <c r="M990" s="17"/>
      <c r="N990" s="64" t="s">
        <v>5444</v>
      </c>
      <c r="O990" s="64" t="s">
        <v>2813</v>
      </c>
      <c r="P990" s="147" t="s">
        <v>4672</v>
      </c>
      <c r="Q990" s="141">
        <v>600000.0</v>
      </c>
      <c r="R990" s="149"/>
      <c r="S990" s="149"/>
      <c r="T990" s="149"/>
      <c r="U990" s="149"/>
      <c r="V990" s="149"/>
      <c r="W990" s="149"/>
      <c r="X990" s="64" t="s">
        <v>3810</v>
      </c>
      <c r="Y990" s="64" t="s">
        <v>4515</v>
      </c>
      <c r="Z990" s="68"/>
    </row>
    <row r="991" ht="15.0" customHeight="1">
      <c r="A991" s="206">
        <v>45939.0</v>
      </c>
      <c r="B991" s="201" t="s">
        <v>5441</v>
      </c>
      <c r="C991" s="45" t="s">
        <v>5254</v>
      </c>
      <c r="D991" s="140" t="str">
        <f>IFERROR(VLOOKUP(C991,Stock,3,FALSE),"")</f>
        <v>Automotive Film Standard - Black 40%				</v>
      </c>
      <c r="E991" s="45">
        <v>1.0</v>
      </c>
      <c r="F991" s="198">
        <v>150000.0</v>
      </c>
      <c r="G991" s="142">
        <f t="shared" si="40"/>
        <v>150000</v>
      </c>
      <c r="H991" s="142"/>
      <c r="I991" s="143">
        <f t="shared" si="38"/>
        <v>150000</v>
      </c>
      <c r="J991" s="144">
        <f t="shared" si="39"/>
        <v>150000</v>
      </c>
      <c r="K991" s="108" t="s">
        <v>5442</v>
      </c>
      <c r="L991" s="199" t="s">
        <v>5443</v>
      </c>
      <c r="M991" s="17"/>
      <c r="N991" s="64" t="s">
        <v>5444</v>
      </c>
      <c r="O991" s="64" t="s">
        <v>2813</v>
      </c>
      <c r="P991" s="147" t="s">
        <v>4672</v>
      </c>
      <c r="Q991" s="149"/>
      <c r="R991" s="149"/>
      <c r="S991" s="149"/>
      <c r="T991" s="149"/>
      <c r="U991" s="149"/>
      <c r="V991" s="149"/>
      <c r="W991" s="149"/>
      <c r="X991" s="64" t="s">
        <v>3810</v>
      </c>
      <c r="Y991" s="64" t="s">
        <v>4515</v>
      </c>
      <c r="Z991" s="68"/>
    </row>
    <row r="992" ht="15.0" customHeight="1">
      <c r="A992" s="206">
        <v>45939.0</v>
      </c>
      <c r="B992" s="201" t="s">
        <v>5445</v>
      </c>
      <c r="C992" s="45" t="s">
        <v>3246</v>
      </c>
      <c r="D992" s="140" t="str">
        <f>IFERROR(VLOOKUP(C992,Stock,3,FALSE),"")</f>
        <v>Toyota Calya / Sigra 16-</v>
      </c>
      <c r="E992" s="45">
        <v>1.0</v>
      </c>
      <c r="F992" s="198">
        <v>1220000.0</v>
      </c>
      <c r="G992" s="142">
        <f t="shared" si="40"/>
        <v>1220000</v>
      </c>
      <c r="H992" s="142"/>
      <c r="I992" s="143">
        <f t="shared" si="38"/>
        <v>1220000</v>
      </c>
      <c r="J992" s="144">
        <f t="shared" si="39"/>
        <v>1220000</v>
      </c>
      <c r="K992" s="108" t="s">
        <v>5446</v>
      </c>
      <c r="L992" s="199" t="s">
        <v>5447</v>
      </c>
      <c r="M992" s="17"/>
      <c r="N992" s="64" t="s">
        <v>5448</v>
      </c>
      <c r="O992" s="64" t="s">
        <v>3007</v>
      </c>
      <c r="P992" s="147" t="s">
        <v>4672</v>
      </c>
      <c r="Q992" s="149"/>
      <c r="R992" s="141"/>
      <c r="S992" s="141"/>
      <c r="T992" s="141">
        <v>30000.0</v>
      </c>
      <c r="U992" s="149"/>
      <c r="V992" s="149"/>
      <c r="W992" s="149"/>
      <c r="X992" s="64" t="s">
        <v>3810</v>
      </c>
      <c r="Y992" s="64" t="s">
        <v>4515</v>
      </c>
      <c r="Z992" s="68"/>
    </row>
    <row r="993" ht="15.0" customHeight="1">
      <c r="A993" s="206">
        <v>45939.0</v>
      </c>
      <c r="B993" s="201" t="s">
        <v>5445</v>
      </c>
      <c r="C993" s="45" t="s">
        <v>2770</v>
      </c>
      <c r="D993" s="140" t="str">
        <f>IFERROR(VLOOKUP(C993,Stock,3,FALSE),"")</f>
        <v>Transport</v>
      </c>
      <c r="E993" s="45">
        <v>1.0</v>
      </c>
      <c r="F993" s="198">
        <v>200000.0</v>
      </c>
      <c r="G993" s="142">
        <f t="shared" si="40"/>
        <v>200000</v>
      </c>
      <c r="H993" s="142"/>
      <c r="I993" s="143">
        <f t="shared" si="38"/>
        <v>200000</v>
      </c>
      <c r="J993" s="144">
        <f t="shared" si="39"/>
        <v>200000</v>
      </c>
      <c r="K993" s="108" t="s">
        <v>5446</v>
      </c>
      <c r="L993" s="199" t="s">
        <v>5447</v>
      </c>
      <c r="M993" s="17"/>
      <c r="N993" s="64" t="s">
        <v>5448</v>
      </c>
      <c r="O993" s="64" t="s">
        <v>3007</v>
      </c>
      <c r="P993" s="147" t="s">
        <v>4672</v>
      </c>
      <c r="Q993" s="141">
        <v>1390000.0</v>
      </c>
      <c r="R993" s="149"/>
      <c r="S993" s="149"/>
      <c r="T993" s="149"/>
      <c r="U993" s="149"/>
      <c r="V993" s="149"/>
      <c r="W993" s="149"/>
      <c r="X993" s="64" t="s">
        <v>3810</v>
      </c>
      <c r="Y993" s="64" t="s">
        <v>4515</v>
      </c>
      <c r="Z993" s="68"/>
    </row>
    <row r="994" ht="15.0" customHeight="1">
      <c r="A994" s="206">
        <v>45940.0</v>
      </c>
      <c r="B994" s="201" t="s">
        <v>5449</v>
      </c>
      <c r="C994" s="45" t="s">
        <v>3057</v>
      </c>
      <c r="D994" s="140" t="str">
        <f>IFERROR(VLOOKUP(C994,Stock,3,FALSE),"")</f>
        <v>Toyota Innova 04-15 1st Gen</v>
      </c>
      <c r="E994" s="45">
        <v>1.0</v>
      </c>
      <c r="F994" s="198">
        <v>630000.0</v>
      </c>
      <c r="G994" s="142">
        <f t="shared" si="40"/>
        <v>630000</v>
      </c>
      <c r="H994" s="142"/>
      <c r="I994" s="143">
        <f t="shared" si="38"/>
        <v>630000</v>
      </c>
      <c r="J994" s="144">
        <f t="shared" si="39"/>
        <v>630000</v>
      </c>
      <c r="K994" s="108" t="s">
        <v>5450</v>
      </c>
      <c r="L994" s="199" t="s">
        <v>5451</v>
      </c>
      <c r="M994" s="17"/>
      <c r="N994" s="64" t="s">
        <v>5452</v>
      </c>
      <c r="O994" s="64" t="s">
        <v>2776</v>
      </c>
      <c r="P994" s="147" t="s">
        <v>4672</v>
      </c>
      <c r="Q994" s="149"/>
      <c r="R994" s="141"/>
      <c r="S994" s="141"/>
      <c r="T994" s="141">
        <v>50000.0</v>
      </c>
      <c r="U994" s="149"/>
      <c r="V994" s="149"/>
      <c r="W994" s="149"/>
      <c r="X994" s="64" t="s">
        <v>5304</v>
      </c>
      <c r="Y994" s="64" t="s">
        <v>4515</v>
      </c>
      <c r="Z994" s="68"/>
    </row>
    <row r="995" ht="15.0" customHeight="1">
      <c r="A995" s="206">
        <v>45940.0</v>
      </c>
      <c r="B995" s="201" t="s">
        <v>5449</v>
      </c>
      <c r="C995" s="45" t="s">
        <v>2770</v>
      </c>
      <c r="D995" s="140" t="str">
        <f>IFERROR(VLOOKUP(C995,Stock,3,FALSE),"")</f>
        <v>Transport</v>
      </c>
      <c r="E995" s="45">
        <v>1.0</v>
      </c>
      <c r="F995" s="198">
        <v>100000.0</v>
      </c>
      <c r="G995" s="142">
        <f t="shared" si="40"/>
        <v>100000</v>
      </c>
      <c r="H995" s="142"/>
      <c r="I995" s="143">
        <f t="shared" si="38"/>
        <v>100000</v>
      </c>
      <c r="J995" s="144">
        <f t="shared" si="39"/>
        <v>100000</v>
      </c>
      <c r="K995" s="108" t="s">
        <v>5450</v>
      </c>
      <c r="L995" s="199" t="s">
        <v>5451</v>
      </c>
      <c r="M995" s="17"/>
      <c r="N995" s="64" t="s">
        <v>5452</v>
      </c>
      <c r="O995" s="64" t="s">
        <v>2776</v>
      </c>
      <c r="P995" s="147" t="s">
        <v>4672</v>
      </c>
      <c r="Q995" s="141">
        <v>680000.0</v>
      </c>
      <c r="R995" s="149"/>
      <c r="S995" s="149"/>
      <c r="T995" s="149"/>
      <c r="U995" s="149"/>
      <c r="V995" s="149"/>
      <c r="W995" s="149"/>
      <c r="X995" s="64" t="s">
        <v>5304</v>
      </c>
      <c r="Y995" s="64" t="s">
        <v>4515</v>
      </c>
      <c r="Z995" s="68"/>
    </row>
    <row r="996" ht="15.0" customHeight="1">
      <c r="A996" s="206">
        <v>45941.0</v>
      </c>
      <c r="B996" s="201" t="s">
        <v>5453</v>
      </c>
      <c r="C996" s="45" t="s">
        <v>3727</v>
      </c>
      <c r="D996" s="140" t="str">
        <f>IFERROR(VLOOKUP(C996,Stock,3,FALSE),"")</f>
        <v>Toyota Innova 15- 2nd Gen</v>
      </c>
      <c r="E996" s="45">
        <v>1.0</v>
      </c>
      <c r="F996" s="198">
        <v>1614000.0</v>
      </c>
      <c r="G996" s="142">
        <f t="shared" si="40"/>
        <v>1614000</v>
      </c>
      <c r="H996" s="142"/>
      <c r="I996" s="143">
        <f t="shared" si="38"/>
        <v>1614000</v>
      </c>
      <c r="J996" s="144">
        <f t="shared" si="39"/>
        <v>1614000</v>
      </c>
      <c r="K996" s="108" t="s">
        <v>5454</v>
      </c>
      <c r="L996" s="199" t="s">
        <v>5455</v>
      </c>
      <c r="M996" s="17"/>
      <c r="N996" s="64" t="s">
        <v>5456</v>
      </c>
      <c r="O996" s="64" t="s">
        <v>5457</v>
      </c>
      <c r="P996" s="147" t="s">
        <v>4672</v>
      </c>
      <c r="Q996" s="149"/>
      <c r="R996" s="141"/>
      <c r="S996" s="141"/>
      <c r="T996" s="141">
        <v>50000.0</v>
      </c>
      <c r="U996" s="149"/>
      <c r="V996" s="149"/>
      <c r="W996" s="149"/>
      <c r="X996" s="64" t="s">
        <v>3810</v>
      </c>
      <c r="Y996" s="64" t="s">
        <v>4515</v>
      </c>
      <c r="Z996" s="68"/>
    </row>
    <row r="997" ht="15.0" customHeight="1">
      <c r="A997" s="206">
        <v>45941.0</v>
      </c>
      <c r="B997" s="201" t="s">
        <v>5453</v>
      </c>
      <c r="C997" s="45" t="s">
        <v>2770</v>
      </c>
      <c r="D997" s="140" t="str">
        <f>IFERROR(VLOOKUP(C997,Stock,3,FALSE),"")</f>
        <v>Transport</v>
      </c>
      <c r="E997" s="45">
        <v>1.0</v>
      </c>
      <c r="F997" s="198">
        <v>200000.0</v>
      </c>
      <c r="G997" s="142">
        <f t="shared" si="40"/>
        <v>200000</v>
      </c>
      <c r="H997" s="142"/>
      <c r="I997" s="143">
        <f t="shared" si="38"/>
        <v>200000</v>
      </c>
      <c r="J997" s="144">
        <f t="shared" si="39"/>
        <v>200000</v>
      </c>
      <c r="K997" s="108" t="s">
        <v>5454</v>
      </c>
      <c r="L997" s="199" t="s">
        <v>5455</v>
      </c>
      <c r="M997" s="17"/>
      <c r="N997" s="64" t="s">
        <v>5456</v>
      </c>
      <c r="O997" s="64" t="s">
        <v>5457</v>
      </c>
      <c r="P997" s="147" t="s">
        <v>4672</v>
      </c>
      <c r="Q997" s="149"/>
      <c r="R997" s="141"/>
      <c r="S997" s="141"/>
      <c r="T997" s="141">
        <v>1964000.0</v>
      </c>
      <c r="U997" s="149"/>
      <c r="V997" s="149"/>
      <c r="W997" s="149"/>
      <c r="X997" s="64" t="s">
        <v>3810</v>
      </c>
      <c r="Y997" s="64" t="s">
        <v>4515</v>
      </c>
      <c r="Z997" s="68"/>
    </row>
    <row r="998" ht="15.0" customHeight="1">
      <c r="A998" s="206">
        <v>45941.0</v>
      </c>
      <c r="B998" s="201" t="s">
        <v>5453</v>
      </c>
      <c r="C998" s="45" t="s">
        <v>4979</v>
      </c>
      <c r="D998" s="140" t="str">
        <f>IFERROR(VLOOKUP(C998,Stock,3,FALSE),"")</f>
        <v>255 Ultra + Actv-100 Application</v>
      </c>
      <c r="E998" s="45">
        <v>1.0</v>
      </c>
      <c r="F998" s="198">
        <v>200000.0</v>
      </c>
      <c r="G998" s="142">
        <f t="shared" si="40"/>
        <v>200000</v>
      </c>
      <c r="H998" s="142"/>
      <c r="I998" s="143">
        <f t="shared" si="38"/>
        <v>200000</v>
      </c>
      <c r="J998" s="144">
        <f t="shared" si="39"/>
        <v>200000</v>
      </c>
      <c r="K998" s="108" t="s">
        <v>5454</v>
      </c>
      <c r="L998" s="199" t="s">
        <v>5455</v>
      </c>
      <c r="M998" s="17"/>
      <c r="N998" s="64" t="s">
        <v>5456</v>
      </c>
      <c r="O998" s="64" t="s">
        <v>5457</v>
      </c>
      <c r="P998" s="147" t="s">
        <v>4672</v>
      </c>
      <c r="Q998" s="149"/>
      <c r="R998" s="149"/>
      <c r="S998" s="149"/>
      <c r="T998" s="149"/>
      <c r="U998" s="149"/>
      <c r="V998" s="149"/>
      <c r="W998" s="149"/>
      <c r="X998" s="64" t="s">
        <v>3810</v>
      </c>
      <c r="Y998" s="64" t="s">
        <v>4515</v>
      </c>
      <c r="Z998" s="68"/>
    </row>
    <row r="999" ht="15.0" customHeight="1">
      <c r="A999" s="206">
        <v>45932.0</v>
      </c>
      <c r="B999" s="229" t="s">
        <v>5458</v>
      </c>
      <c r="C999" s="45" t="s">
        <v>4482</v>
      </c>
      <c r="D999" s="140" t="str">
        <f>IFERROR(VLOOKUP(C999,Stock,3,FALSE),"")</f>
        <v>Mitsubishi X-Force 23- (RS) (Mitsubishi)</v>
      </c>
      <c r="E999" s="45">
        <v>1.0</v>
      </c>
      <c r="F999" s="202"/>
      <c r="G999" s="142">
        <f t="shared" si="40"/>
        <v>0</v>
      </c>
      <c r="H999" s="142"/>
      <c r="I999" s="143">
        <f t="shared" si="38"/>
        <v>0</v>
      </c>
      <c r="J999" s="144">
        <f t="shared" si="39"/>
        <v>0</v>
      </c>
      <c r="K999" s="108" t="s">
        <v>4509</v>
      </c>
      <c r="L999" s="45"/>
      <c r="M999" s="17"/>
      <c r="N999" s="68"/>
      <c r="O999" s="64" t="s">
        <v>4175</v>
      </c>
      <c r="P999" s="170"/>
      <c r="Q999" s="149"/>
      <c r="R999" s="149"/>
      <c r="S999" s="149"/>
      <c r="T999" s="149"/>
      <c r="U999" s="149"/>
      <c r="V999" s="149"/>
      <c r="W999" s="149"/>
      <c r="X999" s="64" t="s">
        <v>3810</v>
      </c>
      <c r="Y999" s="64" t="s">
        <v>4515</v>
      </c>
      <c r="Z999" s="68"/>
    </row>
    <row r="1000" ht="15.0" customHeight="1">
      <c r="A1000" s="206">
        <v>45942.0</v>
      </c>
      <c r="B1000" s="201" t="s">
        <v>5459</v>
      </c>
      <c r="C1000" s="45" t="s">
        <v>5460</v>
      </c>
      <c r="D1000" s="140" t="str">
        <f>IFERROR(VLOOKUP(C1000,Stock,3,FALSE),"")</f>
        <v>Toyota Avanza / Xenia 11-15 2nd Gen / 15-21 3rd Gen</v>
      </c>
      <c r="E1000" s="45">
        <v>1.0</v>
      </c>
      <c r="F1000" s="198">
        <v>500000.0</v>
      </c>
      <c r="G1000" s="142">
        <f t="shared" si="40"/>
        <v>500000</v>
      </c>
      <c r="H1000" s="142"/>
      <c r="I1000" s="143">
        <f t="shared" si="38"/>
        <v>500000</v>
      </c>
      <c r="J1000" s="144">
        <f t="shared" si="39"/>
        <v>500000</v>
      </c>
      <c r="K1000" s="108" t="s">
        <v>5461</v>
      </c>
      <c r="L1000" s="199" t="s">
        <v>5462</v>
      </c>
      <c r="M1000" s="17"/>
      <c r="N1000" s="64" t="s">
        <v>5463</v>
      </c>
      <c r="O1000" s="64" t="s">
        <v>4175</v>
      </c>
      <c r="P1000" s="147" t="s">
        <v>4672</v>
      </c>
      <c r="Q1000" s="141">
        <v>600000.0</v>
      </c>
      <c r="R1000" s="149"/>
      <c r="S1000" s="149"/>
      <c r="T1000" s="149"/>
      <c r="U1000" s="149"/>
      <c r="V1000" s="149"/>
      <c r="W1000" s="149"/>
      <c r="X1000" s="64" t="s">
        <v>3810</v>
      </c>
      <c r="Y1000" s="64" t="s">
        <v>4515</v>
      </c>
      <c r="Z1000" s="68"/>
    </row>
    <row r="1001" ht="15.0" customHeight="1">
      <c r="A1001" s="206">
        <v>45942.0</v>
      </c>
      <c r="B1001" s="201" t="s">
        <v>5459</v>
      </c>
      <c r="C1001" s="45" t="s">
        <v>2962</v>
      </c>
      <c r="D1001" s="140" t="str">
        <f>IFERROR(VLOOKUP(C1001,Stock,3,FALSE),"")</f>
        <v>Lembur</v>
      </c>
      <c r="E1001" s="45">
        <v>1.0</v>
      </c>
      <c r="F1001" s="198">
        <v>100000.0</v>
      </c>
      <c r="G1001" s="142">
        <f t="shared" si="40"/>
        <v>100000</v>
      </c>
      <c r="H1001" s="142"/>
      <c r="I1001" s="143">
        <f t="shared" si="38"/>
        <v>100000</v>
      </c>
      <c r="J1001" s="144">
        <f t="shared" si="39"/>
        <v>100000</v>
      </c>
      <c r="K1001" s="108" t="s">
        <v>5461</v>
      </c>
      <c r="L1001" s="199" t="s">
        <v>5462</v>
      </c>
      <c r="M1001" s="17"/>
      <c r="N1001" s="64" t="s">
        <v>5463</v>
      </c>
      <c r="O1001" s="64" t="s">
        <v>4175</v>
      </c>
      <c r="P1001" s="147" t="s">
        <v>4672</v>
      </c>
      <c r="Q1001" s="149"/>
      <c r="R1001" s="149"/>
      <c r="S1001" s="149"/>
      <c r="T1001" s="149"/>
      <c r="U1001" s="149"/>
      <c r="V1001" s="149"/>
      <c r="W1001" s="149"/>
      <c r="X1001" s="64" t="s">
        <v>3810</v>
      </c>
      <c r="Y1001" s="64" t="s">
        <v>4515</v>
      </c>
      <c r="Z1001" s="68"/>
    </row>
    <row r="1002" ht="15.0" customHeight="1">
      <c r="A1002" s="206">
        <v>45942.0</v>
      </c>
      <c r="B1002" s="201" t="s">
        <v>5464</v>
      </c>
      <c r="C1002" s="45" t="s">
        <v>3806</v>
      </c>
      <c r="D1002" s="140" t="str">
        <f>IFERROR(VLOOKUP(C1002,Stock,3,FALSE),"")</f>
        <v>Honda CR-V 12-16 4th Gen [Lengkung]</v>
      </c>
      <c r="E1002" s="45">
        <v>1.0</v>
      </c>
      <c r="F1002" s="198">
        <v>1446000.0</v>
      </c>
      <c r="G1002" s="142">
        <f t="shared" si="40"/>
        <v>1446000</v>
      </c>
      <c r="H1002" s="142"/>
      <c r="I1002" s="143">
        <f t="shared" si="38"/>
        <v>1446000</v>
      </c>
      <c r="J1002" s="144">
        <f t="shared" si="39"/>
        <v>1446000</v>
      </c>
      <c r="K1002" s="108" t="s">
        <v>5465</v>
      </c>
      <c r="L1002" s="199" t="s">
        <v>5466</v>
      </c>
      <c r="M1002" s="17"/>
      <c r="N1002" s="64" t="s">
        <v>5467</v>
      </c>
      <c r="O1002" s="64" t="s">
        <v>4692</v>
      </c>
      <c r="P1002" s="147" t="s">
        <v>4672</v>
      </c>
      <c r="Q1002" s="149"/>
      <c r="R1002" s="141"/>
      <c r="S1002" s="141"/>
      <c r="T1002" s="141">
        <v>100000.0</v>
      </c>
      <c r="U1002" s="149"/>
      <c r="V1002" s="149"/>
      <c r="W1002" s="149"/>
      <c r="X1002" s="64" t="s">
        <v>3810</v>
      </c>
      <c r="Y1002" s="64" t="s">
        <v>4515</v>
      </c>
      <c r="Z1002" s="68"/>
    </row>
    <row r="1003" ht="15.0" customHeight="1">
      <c r="A1003" s="206">
        <v>45942.0</v>
      </c>
      <c r="B1003" s="201" t="s">
        <v>5464</v>
      </c>
      <c r="C1003" s="45" t="s">
        <v>2962</v>
      </c>
      <c r="D1003" s="140" t="str">
        <f>IFERROR(VLOOKUP(C1003,Stock,3,FALSE),"")</f>
        <v>Lembur</v>
      </c>
      <c r="E1003" s="45">
        <v>1.0</v>
      </c>
      <c r="F1003" s="198">
        <v>100000.0</v>
      </c>
      <c r="G1003" s="142">
        <f t="shared" si="40"/>
        <v>100000</v>
      </c>
      <c r="H1003" s="142"/>
      <c r="I1003" s="143">
        <f t="shared" si="38"/>
        <v>100000</v>
      </c>
      <c r="J1003" s="144">
        <f t="shared" si="39"/>
        <v>100000</v>
      </c>
      <c r="K1003" s="108" t="s">
        <v>5465</v>
      </c>
      <c r="L1003" s="199" t="s">
        <v>5466</v>
      </c>
      <c r="M1003" s="17"/>
      <c r="N1003" s="64" t="s">
        <v>5467</v>
      </c>
      <c r="O1003" s="64" t="s">
        <v>4692</v>
      </c>
      <c r="P1003" s="147" t="s">
        <v>4672</v>
      </c>
      <c r="Q1003" s="141"/>
      <c r="R1003" s="141"/>
      <c r="S1003" s="141"/>
      <c r="T1003" s="141">
        <v>1446000.0</v>
      </c>
      <c r="U1003" s="149"/>
      <c r="V1003" s="149"/>
      <c r="W1003" s="149"/>
      <c r="X1003" s="64" t="s">
        <v>3810</v>
      </c>
      <c r="Y1003" s="64" t="s">
        <v>4515</v>
      </c>
      <c r="Z1003" s="68"/>
    </row>
    <row r="1004" ht="15.0" customHeight="1">
      <c r="A1004" s="206">
        <v>45942.0</v>
      </c>
      <c r="B1004" s="201" t="s">
        <v>5468</v>
      </c>
      <c r="C1004" s="45" t="s">
        <v>2792</v>
      </c>
      <c r="D1004" s="140" t="str">
        <f>IFERROR(VLOOKUP(C1004,Stock,3,FALSE),"")</f>
        <v>Toyota Calya / Sigra 16-</v>
      </c>
      <c r="E1004" s="45">
        <v>1.0</v>
      </c>
      <c r="F1004" s="198">
        <v>839000.0</v>
      </c>
      <c r="G1004" s="142">
        <f t="shared" si="40"/>
        <v>839000</v>
      </c>
      <c r="H1004" s="142"/>
      <c r="I1004" s="143">
        <f t="shared" si="38"/>
        <v>839000</v>
      </c>
      <c r="J1004" s="144">
        <f t="shared" si="39"/>
        <v>839000</v>
      </c>
      <c r="K1004" s="108" t="s">
        <v>5469</v>
      </c>
      <c r="L1004" s="199" t="s">
        <v>5470</v>
      </c>
      <c r="M1004" s="17"/>
      <c r="N1004" s="64" t="s">
        <v>5471</v>
      </c>
      <c r="O1004" s="64" t="s">
        <v>2807</v>
      </c>
      <c r="P1004" s="147" t="s">
        <v>4672</v>
      </c>
      <c r="Q1004" s="149"/>
      <c r="R1004" s="141"/>
      <c r="S1004" s="141"/>
      <c r="T1004" s="141">
        <v>30000.0</v>
      </c>
      <c r="U1004" s="149"/>
      <c r="V1004" s="149"/>
      <c r="W1004" s="149"/>
      <c r="X1004" s="64" t="s">
        <v>3810</v>
      </c>
      <c r="Y1004" s="64" t="s">
        <v>4515</v>
      </c>
      <c r="Z1004" s="68"/>
    </row>
    <row r="1005" ht="15.0" customHeight="1">
      <c r="A1005" s="206">
        <v>45942.0</v>
      </c>
      <c r="B1005" s="201" t="s">
        <v>5468</v>
      </c>
      <c r="C1005" s="45" t="s">
        <v>2962</v>
      </c>
      <c r="D1005" s="140" t="str">
        <f>IFERROR(VLOOKUP(C1005,Stock,3,FALSE),"")</f>
        <v>Lembur</v>
      </c>
      <c r="E1005" s="45">
        <v>1.0</v>
      </c>
      <c r="F1005" s="198">
        <v>100000.0</v>
      </c>
      <c r="G1005" s="142">
        <f t="shared" si="40"/>
        <v>100000</v>
      </c>
      <c r="H1005" s="142"/>
      <c r="I1005" s="143">
        <f t="shared" si="38"/>
        <v>100000</v>
      </c>
      <c r="J1005" s="144">
        <f t="shared" si="39"/>
        <v>100000</v>
      </c>
      <c r="K1005" s="108" t="s">
        <v>5469</v>
      </c>
      <c r="L1005" s="199" t="s">
        <v>5470</v>
      </c>
      <c r="M1005" s="17"/>
      <c r="N1005" s="64" t="s">
        <v>5471</v>
      </c>
      <c r="O1005" s="64" t="s">
        <v>2807</v>
      </c>
      <c r="P1005" s="147" t="s">
        <v>4672</v>
      </c>
      <c r="Q1005" s="149"/>
      <c r="R1005" s="141"/>
      <c r="S1005" s="141"/>
      <c r="T1005" s="141">
        <v>909000.0</v>
      </c>
      <c r="U1005" s="149"/>
      <c r="V1005" s="149"/>
      <c r="W1005" s="149"/>
      <c r="X1005" s="64" t="s">
        <v>3810</v>
      </c>
      <c r="Y1005" s="64" t="s">
        <v>4515</v>
      </c>
      <c r="Z1005" s="68"/>
    </row>
    <row r="1006" ht="15.0" customHeight="1">
      <c r="A1006" s="206">
        <v>45943.0</v>
      </c>
      <c r="B1006" s="201" t="s">
        <v>5472</v>
      </c>
      <c r="C1006" s="45" t="s">
        <v>5473</v>
      </c>
      <c r="D1006" s="140" t="str">
        <f>IFERROR(VLOOKUP(C1006,Stock,3,FALSE),"")</f>
        <v>Honda HR-V 14-21 5D SUV (Honda)</v>
      </c>
      <c r="E1006" s="45">
        <v>1.0</v>
      </c>
      <c r="F1006" s="198">
        <v>925000.0</v>
      </c>
      <c r="G1006" s="142">
        <f t="shared" si="40"/>
        <v>925000</v>
      </c>
      <c r="H1006" s="142"/>
      <c r="I1006" s="143">
        <f t="shared" si="38"/>
        <v>925000</v>
      </c>
      <c r="J1006" s="144">
        <f t="shared" si="39"/>
        <v>925000</v>
      </c>
      <c r="K1006" s="108" t="s">
        <v>5474</v>
      </c>
      <c r="L1006" s="199" t="s">
        <v>5475</v>
      </c>
      <c r="M1006" s="17"/>
      <c r="N1006" s="64" t="s">
        <v>5476</v>
      </c>
      <c r="O1006" s="64" t="s">
        <v>5477</v>
      </c>
      <c r="P1006" s="147" t="s">
        <v>4672</v>
      </c>
      <c r="Q1006" s="149"/>
      <c r="R1006" s="141"/>
      <c r="S1006" s="141"/>
      <c r="T1006" s="141">
        <v>30000.0</v>
      </c>
      <c r="U1006" s="149"/>
      <c r="V1006" s="149"/>
      <c r="W1006" s="149"/>
      <c r="X1006" s="64" t="s">
        <v>3810</v>
      </c>
      <c r="Y1006" s="64" t="s">
        <v>4515</v>
      </c>
      <c r="Z1006" s="68"/>
    </row>
    <row r="1007" ht="15.0" customHeight="1">
      <c r="A1007" s="206">
        <v>45943.0</v>
      </c>
      <c r="B1007" s="201" t="s">
        <v>5472</v>
      </c>
      <c r="C1007" s="45" t="s">
        <v>2770</v>
      </c>
      <c r="D1007" s="140" t="str">
        <f>IFERROR(VLOOKUP(C1007,Stock,3,FALSE),"")</f>
        <v>Transport</v>
      </c>
      <c r="E1007" s="45">
        <v>1.0</v>
      </c>
      <c r="F1007" s="198">
        <v>50000.0</v>
      </c>
      <c r="G1007" s="142">
        <f t="shared" si="40"/>
        <v>50000</v>
      </c>
      <c r="H1007" s="142"/>
      <c r="I1007" s="143">
        <f t="shared" si="38"/>
        <v>50000</v>
      </c>
      <c r="J1007" s="144">
        <f t="shared" si="39"/>
        <v>50000</v>
      </c>
      <c r="K1007" s="108" t="s">
        <v>5474</v>
      </c>
      <c r="L1007" s="199" t="s">
        <v>5475</v>
      </c>
      <c r="M1007" s="17"/>
      <c r="N1007" s="64" t="s">
        <v>5476</v>
      </c>
      <c r="O1007" s="64" t="s">
        <v>5477</v>
      </c>
      <c r="P1007" s="147" t="s">
        <v>4672</v>
      </c>
      <c r="Q1007" s="149"/>
      <c r="R1007" s="141"/>
      <c r="S1007" s="141"/>
      <c r="T1007" s="141">
        <v>945000.0</v>
      </c>
      <c r="U1007" s="149"/>
      <c r="V1007" s="149"/>
      <c r="W1007" s="149"/>
      <c r="X1007" s="64" t="s">
        <v>3810</v>
      </c>
      <c r="Y1007" s="64" t="s">
        <v>4515</v>
      </c>
      <c r="Z1007" s="68"/>
    </row>
    <row r="1008" ht="15.0" customHeight="1">
      <c r="A1008" s="206">
        <v>45943.0</v>
      </c>
      <c r="B1008" s="201" t="s">
        <v>5478</v>
      </c>
      <c r="C1008" s="45" t="s">
        <v>2778</v>
      </c>
      <c r="D1008" s="140" t="str">
        <f>IFERROR(VLOOKUP(C1008,Stock,3,FALSE),"")</f>
        <v>Bongkar Pasang Kaca Mobil Depan</v>
      </c>
      <c r="E1008" s="45">
        <v>1.0</v>
      </c>
      <c r="F1008" s="198">
        <v>1000000.0</v>
      </c>
      <c r="G1008" s="142">
        <f t="shared" si="40"/>
        <v>1000000</v>
      </c>
      <c r="H1008" s="142"/>
      <c r="I1008" s="143">
        <f t="shared" si="38"/>
        <v>1000000</v>
      </c>
      <c r="J1008" s="144">
        <f t="shared" si="39"/>
        <v>1000000</v>
      </c>
      <c r="K1008" s="108" t="s">
        <v>5479</v>
      </c>
      <c r="L1008" s="199" t="s">
        <v>4799</v>
      </c>
      <c r="M1008" s="17"/>
      <c r="N1008" s="68"/>
      <c r="O1008" s="64" t="s">
        <v>3394</v>
      </c>
      <c r="P1008" s="147" t="s">
        <v>4672</v>
      </c>
      <c r="Q1008" s="149"/>
      <c r="R1008" s="141"/>
      <c r="S1008" s="141"/>
      <c r="T1008" s="141">
        <v>1000000.0</v>
      </c>
      <c r="U1008" s="149"/>
      <c r="V1008" s="149"/>
      <c r="W1008" s="149"/>
      <c r="X1008" s="64" t="s">
        <v>3810</v>
      </c>
      <c r="Y1008" s="64" t="s">
        <v>4515</v>
      </c>
      <c r="Z1008" s="68"/>
    </row>
    <row r="1009" ht="15.0" customHeight="1">
      <c r="A1009" s="206">
        <v>45943.0</v>
      </c>
      <c r="B1009" s="201" t="s">
        <v>5480</v>
      </c>
      <c r="C1009" s="45" t="s">
        <v>5481</v>
      </c>
      <c r="D1009" s="140" t="str">
        <f>IFERROR(VLOOKUP(C1009,Stock,3,FALSE),"")</f>
        <v>Toyota Raize / Daihatsu Rocky 20- (Toyota/Daihatsu)</v>
      </c>
      <c r="E1009" s="45">
        <v>1.0</v>
      </c>
      <c r="F1009" s="198">
        <v>1388000.0</v>
      </c>
      <c r="G1009" s="142">
        <f t="shared" si="40"/>
        <v>1388000</v>
      </c>
      <c r="H1009" s="142"/>
      <c r="I1009" s="143">
        <f t="shared" si="38"/>
        <v>1388000</v>
      </c>
      <c r="J1009" s="144">
        <f t="shared" si="39"/>
        <v>1388000</v>
      </c>
      <c r="K1009" s="108" t="s">
        <v>5482</v>
      </c>
      <c r="L1009" s="199" t="s">
        <v>5483</v>
      </c>
      <c r="M1009" s="17"/>
      <c r="N1009" s="68"/>
      <c r="O1009" s="64" t="s">
        <v>3007</v>
      </c>
      <c r="P1009" s="147" t="s">
        <v>4672</v>
      </c>
      <c r="Q1009" s="149"/>
      <c r="R1009" s="141"/>
      <c r="S1009" s="141"/>
      <c r="T1009" s="141">
        <v>1388000.0</v>
      </c>
      <c r="U1009" s="149"/>
      <c r="V1009" s="149"/>
      <c r="W1009" s="149"/>
      <c r="X1009" s="64" t="s">
        <v>3810</v>
      </c>
      <c r="Y1009" s="64" t="s">
        <v>4515</v>
      </c>
      <c r="Z1009" s="68"/>
    </row>
    <row r="1010" ht="15.0" customHeight="1">
      <c r="A1010" s="206">
        <v>45943.0</v>
      </c>
      <c r="B1010" s="264" t="s">
        <v>5484</v>
      </c>
      <c r="C1010" s="247" t="s">
        <v>2003</v>
      </c>
      <c r="D1010" s="245" t="str">
        <f>IFERROR(VLOOKUP(C1010,Stock,3,FALSE),"")</f>
        <v>Toyota Agya/Ayla 13-22 1st Gen</v>
      </c>
      <c r="E1010" s="280">
        <v>1.0</v>
      </c>
      <c r="F1010" s="248">
        <v>1000000.0</v>
      </c>
      <c r="G1010" s="281">
        <f t="shared" si="40"/>
        <v>1000000</v>
      </c>
      <c r="H1010" s="106"/>
      <c r="I1010" s="281">
        <f t="shared" si="38"/>
        <v>1000000</v>
      </c>
      <c r="J1010" s="282">
        <f t="shared" si="39"/>
        <v>1000000</v>
      </c>
      <c r="K1010" s="204" t="s">
        <v>5485</v>
      </c>
      <c r="L1010" s="205" t="s">
        <v>5486</v>
      </c>
      <c r="M1010" s="245"/>
      <c r="N1010" s="264" t="s">
        <v>5487</v>
      </c>
      <c r="O1010" s="247" t="s">
        <v>5323</v>
      </c>
      <c r="P1010" s="147" t="s">
        <v>4672</v>
      </c>
      <c r="Q1010" s="149"/>
      <c r="R1010" s="141"/>
      <c r="S1010" s="141"/>
      <c r="T1010" s="141">
        <v>30000.0</v>
      </c>
      <c r="U1010" s="149"/>
      <c r="V1010" s="149"/>
      <c r="W1010" s="149"/>
      <c r="X1010" s="64" t="s">
        <v>3810</v>
      </c>
      <c r="Y1010" s="64" t="s">
        <v>4515</v>
      </c>
      <c r="Z1010" s="68"/>
    </row>
    <row r="1011" ht="15.0" customHeight="1">
      <c r="A1011" s="206">
        <v>45943.0</v>
      </c>
      <c r="B1011" s="264" t="s">
        <v>5484</v>
      </c>
      <c r="C1011" s="105" t="s">
        <v>2770</v>
      </c>
      <c r="D1011" s="105" t="str">
        <f>IFERROR(VLOOKUP(C1011,Stock,3,FALSE),"")</f>
        <v>Transport</v>
      </c>
      <c r="E1011" s="283">
        <v>1.0</v>
      </c>
      <c r="F1011" s="248">
        <v>200000.0</v>
      </c>
      <c r="G1011" s="281">
        <f t="shared" si="40"/>
        <v>200000</v>
      </c>
      <c r="H1011" s="106"/>
      <c r="I1011" s="281">
        <f t="shared" si="38"/>
        <v>200000</v>
      </c>
      <c r="J1011" s="282">
        <f t="shared" si="39"/>
        <v>200000</v>
      </c>
      <c r="K1011" s="284" t="s">
        <v>5485</v>
      </c>
      <c r="L1011" s="285" t="s">
        <v>5486</v>
      </c>
      <c r="M1011" s="105"/>
      <c r="N1011" s="264" t="s">
        <v>5487</v>
      </c>
      <c r="O1011" s="105" t="s">
        <v>5323</v>
      </c>
      <c r="P1011" s="147" t="s">
        <v>4672</v>
      </c>
      <c r="Q1011" s="141">
        <v>1170000.0</v>
      </c>
      <c r="R1011" s="68"/>
      <c r="S1011" s="68"/>
      <c r="T1011" s="68"/>
      <c r="U1011" s="149"/>
      <c r="V1011" s="149"/>
      <c r="W1011" s="149"/>
      <c r="X1011" s="64" t="s">
        <v>3810</v>
      </c>
      <c r="Y1011" s="64" t="s">
        <v>4515</v>
      </c>
      <c r="Z1011" s="68"/>
    </row>
    <row r="1012" ht="15.0" customHeight="1">
      <c r="A1012" s="206">
        <v>45943.0</v>
      </c>
      <c r="B1012" s="264" t="s">
        <v>5488</v>
      </c>
      <c r="C1012" s="45" t="s">
        <v>4292</v>
      </c>
      <c r="D1012" s="140" t="str">
        <f>IFERROR(VLOOKUP(C1012,Stock,3,FALSE),"")</f>
        <v>Honda BR-V 22- 2nd Gen / WRV 23- (Honda)</v>
      </c>
      <c r="E1012" s="45">
        <v>1.0</v>
      </c>
      <c r="F1012" s="198">
        <v>2800000.0</v>
      </c>
      <c r="G1012" s="142">
        <f t="shared" si="40"/>
        <v>2800000</v>
      </c>
      <c r="H1012" s="142"/>
      <c r="I1012" s="143">
        <f t="shared" si="38"/>
        <v>2800000</v>
      </c>
      <c r="J1012" s="144">
        <f t="shared" si="39"/>
        <v>2800000</v>
      </c>
      <c r="K1012" s="108" t="s">
        <v>5489</v>
      </c>
      <c r="L1012" s="199" t="s">
        <v>5490</v>
      </c>
      <c r="M1012" s="17"/>
      <c r="N1012" s="64" t="s">
        <v>5491</v>
      </c>
      <c r="O1012" s="64" t="s">
        <v>2813</v>
      </c>
      <c r="P1012" s="147" t="s">
        <v>4672</v>
      </c>
      <c r="Q1012" s="141">
        <v>3604000.0</v>
      </c>
      <c r="R1012" s="149"/>
      <c r="S1012" s="149"/>
      <c r="T1012" s="149"/>
      <c r="U1012" s="149"/>
      <c r="V1012" s="149"/>
      <c r="W1012" s="149"/>
      <c r="X1012" s="64" t="s">
        <v>3810</v>
      </c>
      <c r="Y1012" s="64" t="s">
        <v>4515</v>
      </c>
      <c r="Z1012" s="68"/>
    </row>
    <row r="1013" ht="15.0" customHeight="1">
      <c r="A1013" s="206">
        <v>45943.0</v>
      </c>
      <c r="B1013" s="264" t="s">
        <v>5488</v>
      </c>
      <c r="C1013" s="45" t="s">
        <v>4979</v>
      </c>
      <c r="D1013" s="140" t="str">
        <f>IFERROR(VLOOKUP(C1013,Stock,3,FALSE),"")</f>
        <v>255 Ultra + Actv-100 Application</v>
      </c>
      <c r="E1013" s="45">
        <v>1.0</v>
      </c>
      <c r="F1013" s="198">
        <v>200000.0</v>
      </c>
      <c r="G1013" s="142">
        <f t="shared" si="40"/>
        <v>200000</v>
      </c>
      <c r="H1013" s="142"/>
      <c r="I1013" s="143">
        <f t="shared" si="38"/>
        <v>200000</v>
      </c>
      <c r="J1013" s="144">
        <f t="shared" si="39"/>
        <v>200000</v>
      </c>
      <c r="K1013" s="108" t="s">
        <v>5489</v>
      </c>
      <c r="L1013" s="199" t="s">
        <v>5490</v>
      </c>
      <c r="M1013" s="17"/>
      <c r="N1013" s="64" t="s">
        <v>5491</v>
      </c>
      <c r="O1013" s="64" t="s">
        <v>2813</v>
      </c>
      <c r="P1013" s="147" t="s">
        <v>4672</v>
      </c>
      <c r="Q1013" s="149"/>
      <c r="R1013" s="149"/>
      <c r="S1013" s="149"/>
      <c r="T1013" s="149"/>
      <c r="U1013" s="149"/>
      <c r="V1013" s="149"/>
      <c r="W1013" s="149"/>
      <c r="X1013" s="64" t="s">
        <v>3810</v>
      </c>
      <c r="Y1013" s="64" t="s">
        <v>4515</v>
      </c>
      <c r="Z1013" s="68"/>
    </row>
    <row r="1014" ht="15.0" customHeight="1">
      <c r="A1014" s="206">
        <v>45943.0</v>
      </c>
      <c r="B1014" s="264" t="s">
        <v>5488</v>
      </c>
      <c r="C1014" s="45" t="s">
        <v>5492</v>
      </c>
      <c r="D1014" s="140" t="str">
        <f>IFERROR(VLOOKUP(C1014,Stock,3,FALSE),"")</f>
        <v>Moulding List Honda HR-V 14-21 5D SUV (Upper)</v>
      </c>
      <c r="E1014" s="45">
        <v>1.0</v>
      </c>
      <c r="F1014" s="198">
        <v>296000.0</v>
      </c>
      <c r="G1014" s="142">
        <f t="shared" si="40"/>
        <v>296000</v>
      </c>
      <c r="H1014" s="142"/>
      <c r="I1014" s="143">
        <f t="shared" si="38"/>
        <v>296000</v>
      </c>
      <c r="J1014" s="144">
        <f t="shared" si="39"/>
        <v>296000</v>
      </c>
      <c r="K1014" s="108" t="s">
        <v>5489</v>
      </c>
      <c r="L1014" s="199" t="s">
        <v>5490</v>
      </c>
      <c r="M1014" s="17"/>
      <c r="N1014" s="64" t="s">
        <v>5491</v>
      </c>
      <c r="O1014" s="64" t="s">
        <v>2813</v>
      </c>
      <c r="P1014" s="147" t="s">
        <v>4672</v>
      </c>
      <c r="Q1014" s="149"/>
      <c r="R1014" s="149"/>
      <c r="S1014" s="149"/>
      <c r="T1014" s="149"/>
      <c r="U1014" s="149"/>
      <c r="V1014" s="149"/>
      <c r="W1014" s="149"/>
      <c r="X1014" s="64" t="s">
        <v>3810</v>
      </c>
      <c r="Y1014" s="64" t="s">
        <v>4515</v>
      </c>
      <c r="Z1014" s="68"/>
    </row>
    <row r="1015" ht="15.0" customHeight="1">
      <c r="A1015" s="206">
        <v>45943.0</v>
      </c>
      <c r="B1015" s="264" t="s">
        <v>5488</v>
      </c>
      <c r="C1015" s="45" t="s">
        <v>5493</v>
      </c>
      <c r="D1015" s="140" t="str">
        <f>IFERROR(VLOOKUP(C1015,Stock,3,FALSE),"")</f>
        <v>Moulding List Honda HR-V 14-21 5D SUV (Side)</v>
      </c>
      <c r="E1015" s="45">
        <v>2.0</v>
      </c>
      <c r="F1015" s="198">
        <v>154000.0</v>
      </c>
      <c r="G1015" s="142">
        <f t="shared" si="40"/>
        <v>308000</v>
      </c>
      <c r="H1015" s="142"/>
      <c r="I1015" s="143">
        <f t="shared" si="38"/>
        <v>308000</v>
      </c>
      <c r="J1015" s="144">
        <f t="shared" si="39"/>
        <v>308000</v>
      </c>
      <c r="K1015" s="108" t="s">
        <v>5489</v>
      </c>
      <c r="L1015" s="199" t="s">
        <v>5490</v>
      </c>
      <c r="M1015" s="17"/>
      <c r="N1015" s="64" t="s">
        <v>5491</v>
      </c>
      <c r="O1015" s="64" t="s">
        <v>2813</v>
      </c>
      <c r="P1015" s="147" t="s">
        <v>4672</v>
      </c>
      <c r="Q1015" s="149"/>
      <c r="R1015" s="149"/>
      <c r="S1015" s="149"/>
      <c r="T1015" s="149"/>
      <c r="U1015" s="149"/>
      <c r="V1015" s="149"/>
      <c r="W1015" s="149"/>
      <c r="X1015" s="64" t="s">
        <v>3810</v>
      </c>
      <c r="Y1015" s="64" t="s">
        <v>4515</v>
      </c>
      <c r="Z1015" s="68"/>
    </row>
    <row r="1016" ht="15.0" customHeight="1">
      <c r="A1016" s="206">
        <v>45943.0</v>
      </c>
      <c r="B1016" s="201" t="s">
        <v>5494</v>
      </c>
      <c r="C1016" s="45" t="s">
        <v>2830</v>
      </c>
      <c r="D1016" s="286" t="str">
        <f>IFERROR(VLOOKUP(C1016,Stock,3,FALSE),"")</f>
        <v/>
      </c>
      <c r="E1016" s="45"/>
      <c r="F1016" s="198">
        <v>1.5221E7</v>
      </c>
      <c r="G1016" s="142">
        <f t="shared" si="40"/>
        <v>0</v>
      </c>
      <c r="H1016" s="142"/>
      <c r="I1016" s="143">
        <f t="shared" si="38"/>
        <v>0</v>
      </c>
      <c r="J1016" s="144">
        <f t="shared" si="39"/>
        <v>0</v>
      </c>
      <c r="K1016" s="108" t="s">
        <v>5495</v>
      </c>
      <c r="L1016" s="199" t="s">
        <v>5496</v>
      </c>
      <c r="M1016" s="17"/>
      <c r="N1016" s="68"/>
      <c r="O1016" s="64" t="s">
        <v>3341</v>
      </c>
      <c r="P1016" s="147" t="s">
        <v>4672</v>
      </c>
      <c r="Q1016" s="149"/>
      <c r="R1016" s="149"/>
      <c r="S1016" s="149"/>
      <c r="T1016" s="149"/>
      <c r="U1016" s="149"/>
      <c r="V1016" s="149"/>
      <c r="W1016" s="149"/>
      <c r="X1016" s="64" t="s">
        <v>3191</v>
      </c>
      <c r="Y1016" s="64" t="s">
        <v>4515</v>
      </c>
      <c r="Z1016" s="68"/>
    </row>
    <row r="1017" ht="15.0" customHeight="1">
      <c r="A1017" s="206">
        <v>45943.0</v>
      </c>
      <c r="B1017" s="201" t="s">
        <v>5497</v>
      </c>
      <c r="C1017" s="45" t="s">
        <v>5498</v>
      </c>
      <c r="D1017" s="140" t="str">
        <f>IFERROR(VLOOKUP(C1017,Stock,3,FALSE),"")</f>
        <v>Toyota Fortuner 05-15  1st Gen (Toyota)</v>
      </c>
      <c r="E1017" s="45">
        <v>1.0</v>
      </c>
      <c r="F1017" s="198">
        <v>1430000.0</v>
      </c>
      <c r="G1017" s="142">
        <f t="shared" si="40"/>
        <v>1430000</v>
      </c>
      <c r="H1017" s="142"/>
      <c r="I1017" s="143">
        <f t="shared" si="38"/>
        <v>1430000</v>
      </c>
      <c r="J1017" s="144">
        <f t="shared" si="39"/>
        <v>1430000</v>
      </c>
      <c r="K1017" s="108" t="s">
        <v>5499</v>
      </c>
      <c r="L1017" s="199" t="s">
        <v>5500</v>
      </c>
      <c r="M1017" s="17"/>
      <c r="N1017" s="64" t="s">
        <v>5501</v>
      </c>
      <c r="O1017" s="64" t="s">
        <v>5502</v>
      </c>
      <c r="P1017" s="147" t="s">
        <v>4672</v>
      </c>
      <c r="Q1017" s="149"/>
      <c r="R1017" s="141"/>
      <c r="S1017" s="141"/>
      <c r="T1017" s="141">
        <v>30000.0</v>
      </c>
      <c r="U1017" s="149"/>
      <c r="V1017" s="149"/>
      <c r="W1017" s="149"/>
      <c r="X1017" s="64" t="s">
        <v>3810</v>
      </c>
      <c r="Y1017" s="64" t="s">
        <v>4515</v>
      </c>
      <c r="Z1017" s="68"/>
    </row>
    <row r="1018" ht="15.0" customHeight="1">
      <c r="A1018" s="206">
        <v>45943.0</v>
      </c>
      <c r="B1018" s="201" t="s">
        <v>5503</v>
      </c>
      <c r="C1018" s="45" t="s">
        <v>3662</v>
      </c>
      <c r="D1018" s="140" t="str">
        <f>IFERROR(VLOOKUP(C1018,Stock,3,FALSE),"")</f>
        <v>Toyota Innova 15-22 2nd Gen (Toyota)</v>
      </c>
      <c r="E1018" s="45">
        <v>1.0</v>
      </c>
      <c r="F1018" s="198">
        <v>2889000.0</v>
      </c>
      <c r="G1018" s="142">
        <f t="shared" si="40"/>
        <v>2889000</v>
      </c>
      <c r="H1018" s="142"/>
      <c r="I1018" s="143">
        <f t="shared" si="38"/>
        <v>2889000</v>
      </c>
      <c r="J1018" s="144">
        <f t="shared" si="39"/>
        <v>2889000</v>
      </c>
      <c r="K1018" s="108" t="s">
        <v>5053</v>
      </c>
      <c r="L1018" s="199" t="s">
        <v>5504</v>
      </c>
      <c r="M1018" s="17"/>
      <c r="N1018" s="64" t="s">
        <v>5505</v>
      </c>
      <c r="O1018" s="64" t="s">
        <v>2813</v>
      </c>
      <c r="P1018" s="147" t="s">
        <v>4672</v>
      </c>
      <c r="Q1018" s="149"/>
      <c r="R1018" s="141"/>
      <c r="S1018" s="141"/>
      <c r="T1018" s="141">
        <v>30000.0</v>
      </c>
      <c r="U1018" s="149"/>
      <c r="V1018" s="149"/>
      <c r="W1018" s="149"/>
      <c r="X1018" s="64" t="s">
        <v>5304</v>
      </c>
      <c r="Y1018" s="64" t="s">
        <v>4515</v>
      </c>
      <c r="Z1018" s="68"/>
    </row>
    <row r="1019" ht="15.0" customHeight="1">
      <c r="A1019" s="206">
        <v>45943.0</v>
      </c>
      <c r="B1019" s="201" t="s">
        <v>5503</v>
      </c>
      <c r="C1019" s="105" t="s">
        <v>2770</v>
      </c>
      <c r="D1019" s="140" t="str">
        <f>IFERROR(VLOOKUP(C1019,Stock,3,FALSE),"")</f>
        <v>Transport</v>
      </c>
      <c r="E1019" s="45">
        <v>1.0</v>
      </c>
      <c r="F1019" s="198">
        <v>200000.0</v>
      </c>
      <c r="G1019" s="142">
        <f t="shared" si="40"/>
        <v>200000</v>
      </c>
      <c r="H1019" s="142"/>
      <c r="I1019" s="143">
        <f t="shared" si="38"/>
        <v>200000</v>
      </c>
      <c r="J1019" s="144">
        <f t="shared" si="39"/>
        <v>200000</v>
      </c>
      <c r="K1019" s="108" t="s">
        <v>5053</v>
      </c>
      <c r="L1019" s="199" t="s">
        <v>5504</v>
      </c>
      <c r="M1019" s="17"/>
      <c r="N1019" s="64" t="s">
        <v>5505</v>
      </c>
      <c r="O1019" s="64" t="s">
        <v>2813</v>
      </c>
      <c r="P1019" s="147" t="s">
        <v>4672</v>
      </c>
      <c r="Q1019" s="149"/>
      <c r="R1019" s="141"/>
      <c r="S1019" s="141"/>
      <c r="T1019" s="141">
        <v>3059000.0</v>
      </c>
      <c r="U1019" s="149"/>
      <c r="V1019" s="149"/>
      <c r="W1019" s="149"/>
      <c r="X1019" s="64" t="s">
        <v>5304</v>
      </c>
      <c r="Y1019" s="64" t="s">
        <v>4515</v>
      </c>
      <c r="Z1019" s="68"/>
    </row>
    <row r="1020" ht="15.0" customHeight="1">
      <c r="A1020" s="206">
        <v>45944.0</v>
      </c>
      <c r="B1020" s="201" t="s">
        <v>5506</v>
      </c>
      <c r="C1020" s="64" t="s">
        <v>5507</v>
      </c>
      <c r="D1020" s="140" t="str">
        <f>IFERROR(VLOOKUP(C1020,Stock,3,FALSE),"")</f>
        <v>Nissan X-Trail 07-13 T31</v>
      </c>
      <c r="E1020" s="64">
        <v>1.0</v>
      </c>
      <c r="F1020" s="198">
        <v>1894000.0</v>
      </c>
      <c r="G1020" s="142">
        <f t="shared" si="40"/>
        <v>1894000</v>
      </c>
      <c r="H1020" s="143">
        <v>443300.0</v>
      </c>
      <c r="I1020" s="143">
        <f t="shared" si="38"/>
        <v>1450700</v>
      </c>
      <c r="J1020" s="144">
        <f t="shared" si="39"/>
        <v>1450700</v>
      </c>
      <c r="K1020" s="145" t="s">
        <v>5508</v>
      </c>
      <c r="L1020" s="287" t="s">
        <v>5509</v>
      </c>
      <c r="M1020" s="68"/>
      <c r="N1020" s="64" t="s">
        <v>4270</v>
      </c>
      <c r="O1020" s="64" t="s">
        <v>5510</v>
      </c>
      <c r="P1020" s="147" t="s">
        <v>4959</v>
      </c>
      <c r="Q1020" s="149"/>
      <c r="R1020" s="141"/>
      <c r="S1020" s="141"/>
      <c r="T1020" s="141"/>
      <c r="U1020" s="141">
        <v>1650700.0</v>
      </c>
      <c r="V1020" s="68"/>
      <c r="W1020" s="68"/>
      <c r="X1020" s="64" t="s">
        <v>3810</v>
      </c>
      <c r="Y1020" s="64" t="s">
        <v>4515</v>
      </c>
      <c r="Z1020" s="68"/>
    </row>
    <row r="1021" ht="15.0" customHeight="1">
      <c r="A1021" s="206">
        <v>45944.0</v>
      </c>
      <c r="B1021" s="201" t="s">
        <v>5506</v>
      </c>
      <c r="C1021" s="45" t="s">
        <v>2835</v>
      </c>
      <c r="D1021" s="140" t="str">
        <f>IFERROR(VLOOKUP(C1021,Stock,3,FALSE),"")</f>
        <v>Peti Kayu</v>
      </c>
      <c r="E1021" s="45">
        <v>1.0</v>
      </c>
      <c r="F1021" s="198">
        <v>200000.0</v>
      </c>
      <c r="G1021" s="142">
        <f t="shared" si="40"/>
        <v>200000</v>
      </c>
      <c r="H1021" s="143"/>
      <c r="I1021" s="143">
        <f t="shared" si="38"/>
        <v>200000</v>
      </c>
      <c r="J1021" s="144">
        <f t="shared" si="39"/>
        <v>200000</v>
      </c>
      <c r="K1021" s="108" t="s">
        <v>5508</v>
      </c>
      <c r="L1021" s="287" t="s">
        <v>5509</v>
      </c>
      <c r="M1021" s="17"/>
      <c r="N1021" s="64" t="s">
        <v>4270</v>
      </c>
      <c r="O1021" s="64" t="s">
        <v>5510</v>
      </c>
      <c r="P1021" s="170"/>
      <c r="Q1021" s="149"/>
      <c r="R1021" s="141"/>
      <c r="S1021" s="141"/>
      <c r="T1021" s="141"/>
      <c r="U1021" s="149"/>
      <c r="V1021" s="149"/>
      <c r="W1021" s="149"/>
      <c r="X1021" s="64" t="s">
        <v>3810</v>
      </c>
      <c r="Y1021" s="64" t="s">
        <v>4515</v>
      </c>
      <c r="Z1021" s="68"/>
    </row>
    <row r="1022" ht="15.0" customHeight="1">
      <c r="A1022" s="206">
        <v>45944.0</v>
      </c>
      <c r="B1022" s="201" t="s">
        <v>5511</v>
      </c>
      <c r="C1022" s="45" t="s">
        <v>3849</v>
      </c>
      <c r="D1022" s="140" t="str">
        <f>IFERROR(VLOOKUP(C1022,Stock,3,FALSE),"")</f>
        <v>Toyota Yaris 13- 2nd Gen / Vios 14- 3rd Gen</v>
      </c>
      <c r="E1022" s="45">
        <v>1.0</v>
      </c>
      <c r="F1022" s="198">
        <v>1619000.0</v>
      </c>
      <c r="G1022" s="142">
        <f t="shared" si="40"/>
        <v>1619000</v>
      </c>
      <c r="H1022" s="142"/>
      <c r="I1022" s="143">
        <f t="shared" si="38"/>
        <v>1619000</v>
      </c>
      <c r="J1022" s="144">
        <f t="shared" si="39"/>
        <v>1619000</v>
      </c>
      <c r="K1022" s="108" t="s">
        <v>5512</v>
      </c>
      <c r="L1022" s="199" t="s">
        <v>5513</v>
      </c>
      <c r="M1022" s="17"/>
      <c r="N1022" s="64" t="s">
        <v>5514</v>
      </c>
      <c r="O1022" s="64" t="s">
        <v>5515</v>
      </c>
      <c r="P1022" s="147" t="s">
        <v>2795</v>
      </c>
      <c r="Q1022" s="149"/>
      <c r="R1022" s="141"/>
      <c r="S1022" s="141"/>
      <c r="T1022" s="141">
        <v>1819000.0</v>
      </c>
      <c r="U1022" s="149"/>
      <c r="V1022" s="149"/>
      <c r="W1022" s="149"/>
      <c r="X1022" s="64" t="s">
        <v>3810</v>
      </c>
      <c r="Y1022" s="64" t="s">
        <v>4515</v>
      </c>
      <c r="Z1022" s="68"/>
    </row>
    <row r="1023" ht="15.0" customHeight="1">
      <c r="A1023" s="206">
        <v>45944.0</v>
      </c>
      <c r="B1023" s="201" t="s">
        <v>5511</v>
      </c>
      <c r="C1023" s="45" t="s">
        <v>4979</v>
      </c>
      <c r="D1023" s="140" t="str">
        <f>IFERROR(VLOOKUP(C1023,Stock,3,FALSE),"")</f>
        <v>255 Ultra + Actv-100 Application</v>
      </c>
      <c r="E1023" s="45">
        <v>1.0</v>
      </c>
      <c r="F1023" s="198">
        <v>200000.0</v>
      </c>
      <c r="G1023" s="142">
        <f t="shared" si="40"/>
        <v>200000</v>
      </c>
      <c r="H1023" s="142"/>
      <c r="I1023" s="143">
        <f t="shared" si="38"/>
        <v>200000</v>
      </c>
      <c r="J1023" s="144">
        <f t="shared" si="39"/>
        <v>200000</v>
      </c>
      <c r="K1023" s="108" t="s">
        <v>5512</v>
      </c>
      <c r="L1023" s="199" t="s">
        <v>5513</v>
      </c>
      <c r="M1023" s="17"/>
      <c r="N1023" s="64" t="s">
        <v>5514</v>
      </c>
      <c r="O1023" s="64" t="s">
        <v>5515</v>
      </c>
      <c r="P1023" s="147" t="s">
        <v>2795</v>
      </c>
      <c r="Q1023" s="149"/>
      <c r="R1023" s="141"/>
      <c r="S1023" s="141"/>
      <c r="T1023" s="141"/>
      <c r="U1023" s="149"/>
      <c r="V1023" s="149"/>
      <c r="W1023" s="149"/>
      <c r="X1023" s="64" t="s">
        <v>3810</v>
      </c>
      <c r="Y1023" s="64" t="s">
        <v>4515</v>
      </c>
      <c r="Z1023" s="68"/>
    </row>
    <row r="1024" ht="15.0" customHeight="1">
      <c r="A1024" s="206">
        <v>45944.0</v>
      </c>
      <c r="B1024" s="201" t="s">
        <v>5516</v>
      </c>
      <c r="C1024" s="45" t="s">
        <v>4322</v>
      </c>
      <c r="D1024" s="140" t="str">
        <f>IFERROR(VLOOKUP(C1024,Stock,3,FALSE),"")</f>
        <v>Nissan Livina 13-18 L11 (Lubang)</v>
      </c>
      <c r="E1024" s="45">
        <v>1.0</v>
      </c>
      <c r="F1024" s="198">
        <v>1355000.0</v>
      </c>
      <c r="G1024" s="142">
        <f t="shared" si="40"/>
        <v>1355000</v>
      </c>
      <c r="H1024" s="142"/>
      <c r="I1024" s="143">
        <f t="shared" si="38"/>
        <v>1355000</v>
      </c>
      <c r="J1024" s="144">
        <f t="shared" si="39"/>
        <v>1355000</v>
      </c>
      <c r="K1024" s="108" t="s">
        <v>5517</v>
      </c>
      <c r="L1024" s="199" t="s">
        <v>5518</v>
      </c>
      <c r="M1024" s="17"/>
      <c r="N1024" s="64" t="s">
        <v>5519</v>
      </c>
      <c r="O1024" s="64" t="s">
        <v>2942</v>
      </c>
      <c r="P1024" s="147" t="s">
        <v>4672</v>
      </c>
      <c r="Q1024" s="149"/>
      <c r="R1024" s="141"/>
      <c r="S1024" s="141"/>
      <c r="T1024" s="141">
        <v>1355000.0</v>
      </c>
      <c r="U1024" s="149"/>
      <c r="V1024" s="149"/>
      <c r="W1024" s="149"/>
      <c r="X1024" s="64" t="s">
        <v>3810</v>
      </c>
      <c r="Y1024" s="64" t="s">
        <v>4515</v>
      </c>
      <c r="Z1024" s="68"/>
    </row>
    <row r="1025" ht="15.0" customHeight="1">
      <c r="A1025" s="206">
        <v>45944.0</v>
      </c>
      <c r="B1025" s="201" t="s">
        <v>5520</v>
      </c>
      <c r="C1025" s="45" t="s">
        <v>5521</v>
      </c>
      <c r="D1025" s="140" t="str">
        <f>IFERROR(VLOOKUP(C1025,Stock,3,FALSE),"")</f>
        <v>Toyota Sienta 15-</v>
      </c>
      <c r="E1025" s="45">
        <v>1.0</v>
      </c>
      <c r="F1025" s="198">
        <v>665000.0</v>
      </c>
      <c r="G1025" s="142">
        <f t="shared" si="40"/>
        <v>665000</v>
      </c>
      <c r="H1025" s="142"/>
      <c r="I1025" s="143">
        <f t="shared" si="38"/>
        <v>665000</v>
      </c>
      <c r="J1025" s="144">
        <f t="shared" si="39"/>
        <v>665000</v>
      </c>
      <c r="K1025" s="108" t="s">
        <v>5522</v>
      </c>
      <c r="L1025" s="199" t="s">
        <v>5523</v>
      </c>
      <c r="M1025" s="17"/>
      <c r="N1025" s="64" t="s">
        <v>5524</v>
      </c>
      <c r="O1025" s="64" t="s">
        <v>2942</v>
      </c>
      <c r="P1025" s="147" t="s">
        <v>4672</v>
      </c>
      <c r="Q1025" s="149"/>
      <c r="R1025" s="141"/>
      <c r="S1025" s="141"/>
      <c r="T1025" s="141">
        <v>50000.0</v>
      </c>
      <c r="U1025" s="149"/>
      <c r="V1025" s="149"/>
      <c r="W1025" s="149"/>
      <c r="X1025" s="64" t="s">
        <v>3810</v>
      </c>
      <c r="Y1025" s="64" t="s">
        <v>4515</v>
      </c>
      <c r="Z1025" s="68"/>
    </row>
    <row r="1026" ht="15.0" customHeight="1">
      <c r="A1026" s="206">
        <v>45944.0</v>
      </c>
      <c r="B1026" s="201" t="s">
        <v>5520</v>
      </c>
      <c r="C1026" s="105" t="s">
        <v>2770</v>
      </c>
      <c r="D1026" s="140" t="str">
        <f>IFERROR(VLOOKUP(C1026,Stock,3,FALSE),"")</f>
        <v>Transport</v>
      </c>
      <c r="E1026" s="45">
        <v>1.0</v>
      </c>
      <c r="F1026" s="198">
        <v>190000.0</v>
      </c>
      <c r="G1026" s="142">
        <f t="shared" si="40"/>
        <v>190000</v>
      </c>
      <c r="H1026" s="142"/>
      <c r="I1026" s="143">
        <f t="shared" si="38"/>
        <v>190000</v>
      </c>
      <c r="J1026" s="144">
        <f t="shared" si="39"/>
        <v>190000</v>
      </c>
      <c r="K1026" s="108" t="s">
        <v>5522</v>
      </c>
      <c r="L1026" s="199" t="s">
        <v>5523</v>
      </c>
      <c r="M1026" s="17"/>
      <c r="N1026" s="64" t="s">
        <v>5524</v>
      </c>
      <c r="O1026" s="64" t="s">
        <v>2942</v>
      </c>
      <c r="P1026" s="147" t="s">
        <v>4672</v>
      </c>
      <c r="Q1026" s="149"/>
      <c r="R1026" s="141"/>
      <c r="S1026" s="141"/>
      <c r="T1026" s="141">
        <v>805000.0</v>
      </c>
      <c r="U1026" s="149"/>
      <c r="V1026" s="149"/>
      <c r="W1026" s="149"/>
      <c r="X1026" s="64" t="s">
        <v>3810</v>
      </c>
      <c r="Y1026" s="64" t="s">
        <v>4515</v>
      </c>
      <c r="Z1026" s="68"/>
    </row>
    <row r="1027" ht="15.0" customHeight="1">
      <c r="A1027" s="206">
        <v>45944.0</v>
      </c>
      <c r="B1027" s="201" t="s">
        <v>5525</v>
      </c>
      <c r="C1027" s="45" t="s">
        <v>5526</v>
      </c>
      <c r="D1027" s="140" t="str">
        <f>IFERROR(VLOOKUP(C1027,Stock,3,FALSE),"")</f>
        <v>Toyota Fortuner 05-15 1st Gen (Hitam)</v>
      </c>
      <c r="E1027" s="45">
        <v>1.0</v>
      </c>
      <c r="F1027" s="198">
        <v>2250000.0</v>
      </c>
      <c r="G1027" s="142">
        <f t="shared" si="40"/>
        <v>2250000</v>
      </c>
      <c r="H1027" s="142"/>
      <c r="I1027" s="143">
        <f t="shared" si="38"/>
        <v>2250000</v>
      </c>
      <c r="J1027" s="144">
        <f t="shared" si="39"/>
        <v>2250000</v>
      </c>
      <c r="K1027" s="108" t="s">
        <v>5527</v>
      </c>
      <c r="L1027" s="199" t="s">
        <v>5528</v>
      </c>
      <c r="M1027" s="17"/>
      <c r="N1027" s="64" t="s">
        <v>5529</v>
      </c>
      <c r="O1027" s="64" t="s">
        <v>4712</v>
      </c>
      <c r="P1027" s="147" t="s">
        <v>4672</v>
      </c>
      <c r="Q1027" s="149"/>
      <c r="R1027" s="141"/>
      <c r="S1027" s="141"/>
      <c r="T1027" s="141">
        <v>30000.0</v>
      </c>
      <c r="U1027" s="149"/>
      <c r="V1027" s="149"/>
      <c r="W1027" s="149"/>
      <c r="X1027" s="64" t="s">
        <v>3810</v>
      </c>
      <c r="Y1027" s="64" t="s">
        <v>4515</v>
      </c>
      <c r="Z1027" s="68"/>
    </row>
    <row r="1028" ht="15.0" customHeight="1">
      <c r="A1028" s="206">
        <v>45944.0</v>
      </c>
      <c r="B1028" s="201" t="s">
        <v>5525</v>
      </c>
      <c r="C1028" s="105" t="s">
        <v>2770</v>
      </c>
      <c r="D1028" s="140" t="str">
        <f>IFERROR(VLOOKUP(C1028,Stock,3,FALSE),"")</f>
        <v>Transport</v>
      </c>
      <c r="E1028" s="45">
        <v>1.0</v>
      </c>
      <c r="F1028" s="198">
        <v>100000.0</v>
      </c>
      <c r="G1028" s="142">
        <f t="shared" si="40"/>
        <v>100000</v>
      </c>
      <c r="H1028" s="142"/>
      <c r="I1028" s="143">
        <f t="shared" si="38"/>
        <v>100000</v>
      </c>
      <c r="J1028" s="144">
        <f t="shared" si="39"/>
        <v>100000</v>
      </c>
      <c r="K1028" s="108" t="s">
        <v>5527</v>
      </c>
      <c r="L1028" s="199" t="s">
        <v>5528</v>
      </c>
      <c r="M1028" s="17"/>
      <c r="N1028" s="64" t="s">
        <v>5529</v>
      </c>
      <c r="O1028" s="64" t="s">
        <v>4712</v>
      </c>
      <c r="P1028" s="147" t="s">
        <v>4672</v>
      </c>
      <c r="Q1028" s="149"/>
      <c r="R1028" s="141"/>
      <c r="S1028" s="141"/>
      <c r="T1028" s="141">
        <v>2320000.0</v>
      </c>
      <c r="U1028" s="149"/>
      <c r="V1028" s="149"/>
      <c r="W1028" s="149"/>
      <c r="X1028" s="64" t="s">
        <v>3810</v>
      </c>
      <c r="Y1028" s="64" t="s">
        <v>4515</v>
      </c>
      <c r="Z1028" s="68"/>
    </row>
    <row r="1029" ht="15.0" customHeight="1">
      <c r="A1029" s="206">
        <v>45945.0</v>
      </c>
      <c r="B1029" s="201" t="s">
        <v>5530</v>
      </c>
      <c r="C1029" s="45" t="s">
        <v>3142</v>
      </c>
      <c r="D1029" s="140" t="str">
        <f>IFERROR(VLOOKUP(C1029,Stock,3,FALSE),"")</f>
        <v>Mitsubishi Xpander 17-</v>
      </c>
      <c r="E1029" s="45">
        <v>1.0</v>
      </c>
      <c r="F1029" s="198">
        <v>1649000.0</v>
      </c>
      <c r="G1029" s="142">
        <f t="shared" si="40"/>
        <v>1649000</v>
      </c>
      <c r="H1029" s="142"/>
      <c r="I1029" s="143">
        <f t="shared" si="38"/>
        <v>1649000</v>
      </c>
      <c r="J1029" s="144">
        <f t="shared" si="39"/>
        <v>1649000</v>
      </c>
      <c r="K1029" s="108" t="s">
        <v>5531</v>
      </c>
      <c r="L1029" s="199" t="s">
        <v>5532</v>
      </c>
      <c r="M1029" s="17"/>
      <c r="N1029" s="64" t="s">
        <v>5533</v>
      </c>
      <c r="O1029" s="64" t="s">
        <v>3033</v>
      </c>
      <c r="P1029" s="147" t="s">
        <v>4672</v>
      </c>
      <c r="Q1029" s="149"/>
      <c r="R1029" s="141"/>
      <c r="S1029" s="141"/>
      <c r="T1029" s="141">
        <v>30000.0</v>
      </c>
      <c r="U1029" s="149"/>
      <c r="V1029" s="149"/>
      <c r="W1029" s="149"/>
      <c r="X1029" s="64" t="s">
        <v>5304</v>
      </c>
      <c r="Y1029" s="64" t="s">
        <v>4515</v>
      </c>
      <c r="Z1029" s="68"/>
    </row>
    <row r="1030" ht="15.0" customHeight="1">
      <c r="A1030" s="206">
        <v>45945.0</v>
      </c>
      <c r="B1030" s="201" t="s">
        <v>5530</v>
      </c>
      <c r="C1030" s="105" t="s">
        <v>2770</v>
      </c>
      <c r="D1030" s="140" t="str">
        <f>IFERROR(VLOOKUP(C1030,Stock,3,FALSE),"")</f>
        <v>Transport</v>
      </c>
      <c r="E1030" s="45">
        <v>1.0</v>
      </c>
      <c r="F1030" s="198">
        <v>190000.0</v>
      </c>
      <c r="G1030" s="142">
        <f t="shared" si="40"/>
        <v>190000</v>
      </c>
      <c r="H1030" s="142"/>
      <c r="I1030" s="143">
        <f t="shared" si="38"/>
        <v>190000</v>
      </c>
      <c r="J1030" s="144">
        <f t="shared" si="39"/>
        <v>190000</v>
      </c>
      <c r="K1030" s="108" t="s">
        <v>5531</v>
      </c>
      <c r="L1030" s="199" t="s">
        <v>5532</v>
      </c>
      <c r="M1030" s="17"/>
      <c r="N1030" s="64" t="s">
        <v>5533</v>
      </c>
      <c r="O1030" s="64" t="s">
        <v>3033</v>
      </c>
      <c r="P1030" s="147" t="s">
        <v>4672</v>
      </c>
      <c r="Q1030" s="149"/>
      <c r="R1030" s="141"/>
      <c r="S1030" s="141"/>
      <c r="T1030" s="141">
        <v>1809000.0</v>
      </c>
      <c r="U1030" s="149"/>
      <c r="V1030" s="149"/>
      <c r="W1030" s="149"/>
      <c r="X1030" s="64" t="s">
        <v>5304</v>
      </c>
      <c r="Y1030" s="64" t="s">
        <v>4515</v>
      </c>
      <c r="Z1030" s="68"/>
    </row>
    <row r="1031" ht="15.0" customHeight="1">
      <c r="A1031" s="206">
        <v>45945.0</v>
      </c>
      <c r="B1031" s="201" t="s">
        <v>5534</v>
      </c>
      <c r="C1031" s="45" t="s">
        <v>5535</v>
      </c>
      <c r="D1031" s="140" t="str">
        <f>IFERROR(VLOOKUP(C1031,Stock,3,FALSE),"")</f>
        <v>Nissan Livina   07-18 L10/L11</v>
      </c>
      <c r="E1031" s="45">
        <v>1.0</v>
      </c>
      <c r="F1031" s="198">
        <v>682000.0</v>
      </c>
      <c r="G1031" s="142">
        <f t="shared" si="40"/>
        <v>682000</v>
      </c>
      <c r="H1031" s="142"/>
      <c r="I1031" s="143">
        <f t="shared" si="38"/>
        <v>682000</v>
      </c>
      <c r="J1031" s="144">
        <f t="shared" si="39"/>
        <v>682000</v>
      </c>
      <c r="K1031" s="108" t="s">
        <v>4201</v>
      </c>
      <c r="L1031" s="199" t="s">
        <v>5536</v>
      </c>
      <c r="M1031" s="17"/>
      <c r="N1031" s="64" t="s">
        <v>5537</v>
      </c>
      <c r="O1031" s="64" t="s">
        <v>2813</v>
      </c>
      <c r="P1031" s="147" t="s">
        <v>4672</v>
      </c>
      <c r="Q1031" s="149"/>
      <c r="R1031" s="141"/>
      <c r="S1031" s="141"/>
      <c r="T1031" s="141">
        <v>832000.0</v>
      </c>
      <c r="U1031" s="149"/>
      <c r="V1031" s="149"/>
      <c r="W1031" s="149"/>
      <c r="X1031" s="64" t="s">
        <v>5304</v>
      </c>
      <c r="Y1031" s="64" t="s">
        <v>4515</v>
      </c>
      <c r="Z1031" s="68"/>
    </row>
    <row r="1032" ht="15.0" customHeight="1">
      <c r="A1032" s="206">
        <v>45945.0</v>
      </c>
      <c r="B1032" s="201" t="s">
        <v>5534</v>
      </c>
      <c r="C1032" s="45" t="s">
        <v>5254</v>
      </c>
      <c r="D1032" s="140" t="str">
        <f>IFERROR(VLOOKUP(C1032,Stock,3,FALSE),"")</f>
        <v>Automotive Film Standard - Black 40%				</v>
      </c>
      <c r="E1032" s="45">
        <v>1.0</v>
      </c>
      <c r="F1032" s="198">
        <v>150000.0</v>
      </c>
      <c r="G1032" s="142">
        <f t="shared" si="40"/>
        <v>150000</v>
      </c>
      <c r="H1032" s="142"/>
      <c r="I1032" s="143">
        <f t="shared" si="38"/>
        <v>150000</v>
      </c>
      <c r="J1032" s="144">
        <f t="shared" si="39"/>
        <v>150000</v>
      </c>
      <c r="K1032" s="288" t="s">
        <v>4201</v>
      </c>
      <c r="L1032" s="199" t="s">
        <v>5536</v>
      </c>
      <c r="M1032" s="17"/>
      <c r="N1032" s="64" t="s">
        <v>5537</v>
      </c>
      <c r="O1032" s="64" t="s">
        <v>2813</v>
      </c>
      <c r="P1032" s="147" t="s">
        <v>4672</v>
      </c>
      <c r="Q1032" s="149"/>
      <c r="R1032" s="141"/>
      <c r="S1032" s="141"/>
      <c r="T1032" s="141"/>
      <c r="U1032" s="149"/>
      <c r="V1032" s="149"/>
      <c r="W1032" s="149"/>
      <c r="X1032" s="64" t="s">
        <v>5304</v>
      </c>
      <c r="Y1032" s="64" t="s">
        <v>4515</v>
      </c>
      <c r="Z1032" s="68"/>
    </row>
    <row r="1033" ht="15.0" customHeight="1">
      <c r="A1033" s="206">
        <v>45945.0</v>
      </c>
      <c r="B1033" s="201" t="s">
        <v>5538</v>
      </c>
      <c r="C1033" s="45" t="s">
        <v>5539</v>
      </c>
      <c r="D1033" s="140" t="str">
        <f>IFERROR(VLOOKUP(C1033,Stock,3,FALSE),"")</f>
        <v>Honda Jazz 13- 3rd Gen</v>
      </c>
      <c r="E1033" s="45">
        <v>1.0</v>
      </c>
      <c r="F1033" s="198">
        <v>1400000.0</v>
      </c>
      <c r="G1033" s="142">
        <f t="shared" si="40"/>
        <v>1400000</v>
      </c>
      <c r="H1033" s="142"/>
      <c r="I1033" s="143">
        <f t="shared" si="38"/>
        <v>1400000</v>
      </c>
      <c r="J1033" s="144">
        <f t="shared" si="39"/>
        <v>1400000</v>
      </c>
      <c r="K1033" s="108" t="s">
        <v>4189</v>
      </c>
      <c r="L1033" s="199" t="s">
        <v>5540</v>
      </c>
      <c r="M1033" s="17"/>
      <c r="N1033" s="64" t="s">
        <v>5541</v>
      </c>
      <c r="O1033" s="64" t="s">
        <v>2807</v>
      </c>
      <c r="P1033" s="147" t="s">
        <v>4672</v>
      </c>
      <c r="Q1033" s="149"/>
      <c r="R1033" s="141"/>
      <c r="S1033" s="141"/>
      <c r="T1033" s="141">
        <v>1400000.0</v>
      </c>
      <c r="U1033" s="149"/>
      <c r="V1033" s="149"/>
      <c r="W1033" s="149"/>
      <c r="X1033" s="64" t="s">
        <v>5304</v>
      </c>
      <c r="Y1033" s="64" t="s">
        <v>4515</v>
      </c>
      <c r="Z1033" s="68"/>
    </row>
    <row r="1034" ht="15.0" customHeight="1">
      <c r="A1034" s="206">
        <v>45945.0</v>
      </c>
      <c r="B1034" s="201" t="s">
        <v>5542</v>
      </c>
      <c r="C1034" s="45" t="s">
        <v>5543</v>
      </c>
      <c r="D1034" s="140" t="str">
        <f>IFERROR(VLOOKUP(C1034,Stock,3,FALSE),"")</f>
        <v>Mers-Benz E-Class 88-92 W124 4Door</v>
      </c>
      <c r="E1034" s="45">
        <v>1.0</v>
      </c>
      <c r="F1034" s="198">
        <v>2487000.0</v>
      </c>
      <c r="G1034" s="142">
        <f t="shared" si="40"/>
        <v>2487000</v>
      </c>
      <c r="H1034" s="142"/>
      <c r="I1034" s="143">
        <f t="shared" si="38"/>
        <v>2487000</v>
      </c>
      <c r="J1034" s="144">
        <f t="shared" si="39"/>
        <v>2487000</v>
      </c>
      <c r="K1034" s="108" t="s">
        <v>5544</v>
      </c>
      <c r="L1034" s="199" t="s">
        <v>5545</v>
      </c>
      <c r="M1034" s="17"/>
      <c r="N1034" s="64" t="s">
        <v>5546</v>
      </c>
      <c r="O1034" s="64" t="s">
        <v>2760</v>
      </c>
      <c r="P1034" s="147" t="s">
        <v>4672</v>
      </c>
      <c r="Q1034" s="149"/>
      <c r="R1034" s="141"/>
      <c r="S1034" s="141"/>
      <c r="T1034" s="141">
        <v>30000.0</v>
      </c>
      <c r="U1034" s="149"/>
      <c r="V1034" s="149"/>
      <c r="W1034" s="149"/>
      <c r="X1034" s="64" t="s">
        <v>3810</v>
      </c>
      <c r="Y1034" s="64" t="s">
        <v>4515</v>
      </c>
      <c r="Z1034" s="68"/>
    </row>
    <row r="1035" ht="15.0" customHeight="1">
      <c r="A1035" s="206">
        <v>45945.0</v>
      </c>
      <c r="B1035" s="201" t="s">
        <v>5542</v>
      </c>
      <c r="C1035" s="105" t="s">
        <v>2770</v>
      </c>
      <c r="D1035" s="140" t="str">
        <f>IFERROR(VLOOKUP(C1035,Stock,3,FALSE),"")</f>
        <v>Transport</v>
      </c>
      <c r="E1035" s="45">
        <v>1.0</v>
      </c>
      <c r="F1035" s="198">
        <v>140000.0</v>
      </c>
      <c r="G1035" s="142">
        <f t="shared" si="40"/>
        <v>140000</v>
      </c>
      <c r="H1035" s="142"/>
      <c r="I1035" s="143">
        <f t="shared" si="38"/>
        <v>140000</v>
      </c>
      <c r="J1035" s="144">
        <f t="shared" si="39"/>
        <v>140000</v>
      </c>
      <c r="K1035" s="108" t="s">
        <v>5544</v>
      </c>
      <c r="L1035" s="199" t="s">
        <v>5545</v>
      </c>
      <c r="M1035" s="17"/>
      <c r="N1035" s="64" t="s">
        <v>5546</v>
      </c>
      <c r="O1035" s="64" t="s">
        <v>2760</v>
      </c>
      <c r="P1035" s="147" t="s">
        <v>4672</v>
      </c>
      <c r="Q1035" s="149"/>
      <c r="R1035" s="141"/>
      <c r="S1035" s="141"/>
      <c r="T1035" s="141">
        <v>2797000.0</v>
      </c>
      <c r="U1035" s="149"/>
      <c r="V1035" s="149"/>
      <c r="W1035" s="149"/>
      <c r="X1035" s="64" t="s">
        <v>3810</v>
      </c>
      <c r="Y1035" s="64" t="s">
        <v>4515</v>
      </c>
      <c r="Z1035" s="68"/>
    </row>
    <row r="1036" ht="15.0" customHeight="1">
      <c r="A1036" s="206">
        <v>45945.0</v>
      </c>
      <c r="B1036" s="201" t="s">
        <v>5542</v>
      </c>
      <c r="C1036" s="45" t="s">
        <v>4979</v>
      </c>
      <c r="D1036" s="140" t="str">
        <f>IFERROR(VLOOKUP(C1036,Stock,3,FALSE),"")</f>
        <v>255 Ultra + Actv-100 Application</v>
      </c>
      <c r="E1036" s="45">
        <v>1.0</v>
      </c>
      <c r="F1036" s="198">
        <v>200000.0</v>
      </c>
      <c r="G1036" s="142">
        <f t="shared" si="40"/>
        <v>200000</v>
      </c>
      <c r="H1036" s="142"/>
      <c r="I1036" s="143">
        <f t="shared" si="38"/>
        <v>200000</v>
      </c>
      <c r="J1036" s="144">
        <f t="shared" si="39"/>
        <v>200000</v>
      </c>
      <c r="K1036" s="108" t="s">
        <v>5544</v>
      </c>
      <c r="L1036" s="199" t="s">
        <v>5545</v>
      </c>
      <c r="M1036" s="17"/>
      <c r="N1036" s="64" t="s">
        <v>5546</v>
      </c>
      <c r="O1036" s="64" t="s">
        <v>2760</v>
      </c>
      <c r="P1036" s="147" t="s">
        <v>4672</v>
      </c>
      <c r="Q1036" s="149"/>
      <c r="R1036" s="141"/>
      <c r="S1036" s="141"/>
      <c r="T1036" s="141"/>
      <c r="U1036" s="149"/>
      <c r="V1036" s="149"/>
      <c r="W1036" s="149"/>
      <c r="X1036" s="64" t="s">
        <v>3810</v>
      </c>
      <c r="Y1036" s="64" t="s">
        <v>4515</v>
      </c>
      <c r="Z1036" s="68"/>
    </row>
    <row r="1037" ht="15.0" customHeight="1">
      <c r="A1037" s="206">
        <v>45945.0</v>
      </c>
      <c r="B1037" s="201" t="s">
        <v>5547</v>
      </c>
      <c r="C1037" s="64" t="s">
        <v>5548</v>
      </c>
      <c r="D1037" s="140" t="str">
        <f>IFERROR(VLOOKUP(C1037,Stock,3,FALSE),"")</f>
        <v>Toyota Innova 15- 2nd Gen</v>
      </c>
      <c r="E1037" s="45">
        <v>1.0</v>
      </c>
      <c r="F1037" s="198">
        <v>1297000.0</v>
      </c>
      <c r="G1037" s="142">
        <f t="shared" si="40"/>
        <v>1297000</v>
      </c>
      <c r="H1037" s="142"/>
      <c r="I1037" s="143">
        <f t="shared" si="38"/>
        <v>1297000</v>
      </c>
      <c r="J1037" s="144">
        <f t="shared" si="39"/>
        <v>1297000</v>
      </c>
      <c r="K1037" s="108" t="s">
        <v>5549</v>
      </c>
      <c r="L1037" s="199" t="s">
        <v>5550</v>
      </c>
      <c r="M1037" s="17"/>
      <c r="N1037" s="64" t="s">
        <v>5551</v>
      </c>
      <c r="O1037" s="64" t="s">
        <v>2813</v>
      </c>
      <c r="P1037" s="147" t="s">
        <v>4672</v>
      </c>
      <c r="Q1037" s="149"/>
      <c r="R1037" s="141"/>
      <c r="S1037" s="141"/>
      <c r="T1037" s="141">
        <v>1497000.0</v>
      </c>
      <c r="U1037" s="149"/>
      <c r="V1037" s="149"/>
      <c r="W1037" s="149"/>
      <c r="X1037" s="64" t="s">
        <v>5304</v>
      </c>
      <c r="Y1037" s="64" t="s">
        <v>4515</v>
      </c>
      <c r="Z1037" s="68"/>
    </row>
    <row r="1038" ht="15.0" customHeight="1">
      <c r="A1038" s="206">
        <v>45945.0</v>
      </c>
      <c r="B1038" s="201" t="s">
        <v>5547</v>
      </c>
      <c r="C1038" s="45" t="s">
        <v>4979</v>
      </c>
      <c r="D1038" s="140" t="str">
        <f>IFERROR(VLOOKUP(C1038,Stock,3,FALSE),"")</f>
        <v>255 Ultra + Actv-100 Application</v>
      </c>
      <c r="E1038" s="45">
        <v>1.0</v>
      </c>
      <c r="F1038" s="198">
        <v>200000.0</v>
      </c>
      <c r="G1038" s="142">
        <f t="shared" si="40"/>
        <v>200000</v>
      </c>
      <c r="H1038" s="142"/>
      <c r="I1038" s="143">
        <f t="shared" si="38"/>
        <v>200000</v>
      </c>
      <c r="J1038" s="144">
        <f t="shared" si="39"/>
        <v>200000</v>
      </c>
      <c r="K1038" s="108" t="s">
        <v>5549</v>
      </c>
      <c r="L1038" s="199" t="s">
        <v>5550</v>
      </c>
      <c r="M1038" s="17"/>
      <c r="N1038" s="64" t="s">
        <v>5551</v>
      </c>
      <c r="O1038" s="64" t="s">
        <v>2813</v>
      </c>
      <c r="P1038" s="147" t="s">
        <v>4672</v>
      </c>
      <c r="Q1038" s="149"/>
      <c r="R1038" s="141"/>
      <c r="S1038" s="141"/>
      <c r="T1038" s="141"/>
      <c r="U1038" s="149"/>
      <c r="V1038" s="149"/>
      <c r="W1038" s="149"/>
      <c r="X1038" s="64" t="s">
        <v>3810</v>
      </c>
      <c r="Y1038" s="64" t="s">
        <v>4515</v>
      </c>
      <c r="Z1038" s="68"/>
    </row>
    <row r="1039" ht="15.0" customHeight="1">
      <c r="A1039" s="206">
        <v>45946.0</v>
      </c>
      <c r="B1039" s="201" t="s">
        <v>5552</v>
      </c>
      <c r="C1039" s="45" t="s">
        <v>2830</v>
      </c>
      <c r="D1039" s="289" t="s">
        <v>5553</v>
      </c>
      <c r="E1039" s="45"/>
      <c r="F1039" s="198">
        <v>650000.0</v>
      </c>
      <c r="G1039" s="142">
        <f t="shared" si="40"/>
        <v>0</v>
      </c>
      <c r="H1039" s="142"/>
      <c r="I1039" s="143">
        <f t="shared" si="38"/>
        <v>0</v>
      </c>
      <c r="J1039" s="144">
        <f t="shared" si="39"/>
        <v>0</v>
      </c>
      <c r="K1039" s="108" t="s">
        <v>5554</v>
      </c>
      <c r="L1039" s="199" t="s">
        <v>5555</v>
      </c>
      <c r="M1039" s="17"/>
      <c r="N1039" s="64" t="s">
        <v>4270</v>
      </c>
      <c r="O1039" s="64" t="s">
        <v>3007</v>
      </c>
      <c r="P1039" s="147" t="s">
        <v>4672</v>
      </c>
      <c r="Q1039" s="149"/>
      <c r="R1039" s="141"/>
      <c r="S1039" s="141"/>
      <c r="T1039" s="141"/>
      <c r="U1039" s="149"/>
      <c r="V1039" s="149"/>
      <c r="W1039" s="149"/>
      <c r="X1039" s="64" t="s">
        <v>5304</v>
      </c>
      <c r="Y1039" s="64" t="s">
        <v>4515</v>
      </c>
      <c r="Z1039" s="68"/>
    </row>
    <row r="1040" ht="15.0" customHeight="1">
      <c r="A1040" s="206">
        <v>45946.0</v>
      </c>
      <c r="B1040" s="201" t="s">
        <v>5556</v>
      </c>
      <c r="C1040" s="45" t="s">
        <v>3109</v>
      </c>
      <c r="D1040" s="140" t="str">
        <f>IFERROR(VLOOKUP(C1040,Stock,3,FALSE),"")</f>
        <v>Toyota Camry 06-11 XV40 4th Gen</v>
      </c>
      <c r="E1040" s="45">
        <v>1.0</v>
      </c>
      <c r="F1040" s="198">
        <v>3123000.0</v>
      </c>
      <c r="G1040" s="142">
        <f t="shared" si="40"/>
        <v>3123000</v>
      </c>
      <c r="H1040" s="142"/>
      <c r="I1040" s="143">
        <f t="shared" si="38"/>
        <v>3123000</v>
      </c>
      <c r="J1040" s="144">
        <f t="shared" si="39"/>
        <v>3123000</v>
      </c>
      <c r="K1040" s="108" t="s">
        <v>5557</v>
      </c>
      <c r="L1040" s="199" t="s">
        <v>5558</v>
      </c>
      <c r="M1040" s="17"/>
      <c r="N1040" s="64" t="s">
        <v>5559</v>
      </c>
      <c r="O1040" s="64" t="s">
        <v>5560</v>
      </c>
      <c r="P1040" s="147" t="s">
        <v>4672</v>
      </c>
      <c r="Q1040" s="149"/>
      <c r="R1040" s="141"/>
      <c r="S1040" s="141"/>
      <c r="T1040" s="141">
        <v>30000.0</v>
      </c>
      <c r="U1040" s="149"/>
      <c r="V1040" s="149"/>
      <c r="W1040" s="149"/>
      <c r="X1040" s="64" t="s">
        <v>5304</v>
      </c>
      <c r="Y1040" s="64" t="s">
        <v>4515</v>
      </c>
      <c r="Z1040" s="68"/>
    </row>
    <row r="1041" ht="15.0" customHeight="1">
      <c r="A1041" s="206">
        <v>45946.0</v>
      </c>
      <c r="B1041" s="201" t="s">
        <v>5556</v>
      </c>
      <c r="C1041" s="45" t="s">
        <v>4979</v>
      </c>
      <c r="D1041" s="140" t="str">
        <f>IFERROR(VLOOKUP(C1041,Stock,3,FALSE),"")</f>
        <v>255 Ultra + Actv-100 Application</v>
      </c>
      <c r="E1041" s="45">
        <v>1.0</v>
      </c>
      <c r="F1041" s="198">
        <v>200000.0</v>
      </c>
      <c r="G1041" s="142">
        <f t="shared" si="40"/>
        <v>200000</v>
      </c>
      <c r="H1041" s="142"/>
      <c r="I1041" s="143">
        <f t="shared" si="38"/>
        <v>200000</v>
      </c>
      <c r="J1041" s="144">
        <f t="shared" si="39"/>
        <v>200000</v>
      </c>
      <c r="K1041" s="108" t="s">
        <v>5557</v>
      </c>
      <c r="L1041" s="199" t="s">
        <v>5558</v>
      </c>
      <c r="M1041" s="17"/>
      <c r="N1041" s="64" t="s">
        <v>5559</v>
      </c>
      <c r="O1041" s="64" t="s">
        <v>5560</v>
      </c>
      <c r="P1041" s="147" t="s">
        <v>4672</v>
      </c>
      <c r="Q1041" s="141">
        <v>3423000.0</v>
      </c>
      <c r="R1041" s="141"/>
      <c r="S1041" s="141"/>
      <c r="T1041" s="141"/>
      <c r="U1041" s="149"/>
      <c r="V1041" s="149"/>
      <c r="W1041" s="149"/>
      <c r="X1041" s="64" t="s">
        <v>5304</v>
      </c>
      <c r="Y1041" s="64" t="s">
        <v>4515</v>
      </c>
      <c r="Z1041" s="68"/>
    </row>
    <row r="1042" ht="15.0" customHeight="1">
      <c r="A1042" s="206">
        <v>45946.0</v>
      </c>
      <c r="B1042" s="201" t="s">
        <v>5556</v>
      </c>
      <c r="C1042" s="105" t="s">
        <v>2770</v>
      </c>
      <c r="D1042" s="140" t="str">
        <f>IFERROR(VLOOKUP(C1042,Stock,3,FALSE),"")</f>
        <v>Transport</v>
      </c>
      <c r="E1042" s="45">
        <v>1.0</v>
      </c>
      <c r="F1042" s="198">
        <v>130000.0</v>
      </c>
      <c r="G1042" s="142">
        <f t="shared" si="40"/>
        <v>130000</v>
      </c>
      <c r="H1042" s="142"/>
      <c r="I1042" s="143">
        <f t="shared" si="38"/>
        <v>130000</v>
      </c>
      <c r="J1042" s="144">
        <f t="shared" si="39"/>
        <v>130000</v>
      </c>
      <c r="K1042" s="108" t="s">
        <v>5557</v>
      </c>
      <c r="L1042" s="199" t="s">
        <v>5558</v>
      </c>
      <c r="M1042" s="17"/>
      <c r="N1042" s="64" t="s">
        <v>5559</v>
      </c>
      <c r="O1042" s="64" t="s">
        <v>5560</v>
      </c>
      <c r="P1042" s="147" t="s">
        <v>4672</v>
      </c>
      <c r="Q1042" s="149"/>
      <c r="R1042" s="141"/>
      <c r="S1042" s="141"/>
      <c r="T1042" s="141"/>
      <c r="U1042" s="149"/>
      <c r="V1042" s="149"/>
      <c r="W1042" s="149"/>
      <c r="X1042" s="64" t="s">
        <v>5304</v>
      </c>
      <c r="Y1042" s="64" t="s">
        <v>4515</v>
      </c>
      <c r="Z1042" s="68"/>
    </row>
    <row r="1043" ht="15.0" customHeight="1">
      <c r="A1043" s="206">
        <v>45946.0</v>
      </c>
      <c r="B1043" s="201" t="s">
        <v>5561</v>
      </c>
      <c r="C1043" s="45" t="s">
        <v>5562</v>
      </c>
      <c r="D1043" s="140" t="str">
        <f>IFERROR(VLOOKUP(C1043,Stock,3,FALSE),"")</f>
        <v>Honda Jazz 07-13 2nd Gen (Honda)</v>
      </c>
      <c r="E1043" s="45">
        <v>1.0</v>
      </c>
      <c r="F1043" s="198">
        <v>3200000.0</v>
      </c>
      <c r="G1043" s="142">
        <f t="shared" si="40"/>
        <v>3200000</v>
      </c>
      <c r="H1043" s="142"/>
      <c r="I1043" s="143">
        <f t="shared" si="38"/>
        <v>3200000</v>
      </c>
      <c r="J1043" s="144">
        <f t="shared" si="39"/>
        <v>3200000</v>
      </c>
      <c r="K1043" s="108" t="s">
        <v>5563</v>
      </c>
      <c r="L1043" s="199" t="s">
        <v>5564</v>
      </c>
      <c r="M1043" s="17"/>
      <c r="N1043" s="64" t="s">
        <v>5565</v>
      </c>
      <c r="O1043" s="64" t="s">
        <v>3007</v>
      </c>
      <c r="P1043" s="147" t="s">
        <v>4672</v>
      </c>
      <c r="Q1043" s="149"/>
      <c r="R1043" s="141"/>
      <c r="S1043" s="141"/>
      <c r="T1043" s="141">
        <v>50000.0</v>
      </c>
      <c r="U1043" s="149"/>
      <c r="V1043" s="149"/>
      <c r="W1043" s="149"/>
      <c r="X1043" s="64" t="s">
        <v>5304</v>
      </c>
      <c r="Y1043" s="64" t="s">
        <v>4515</v>
      </c>
      <c r="Z1043" s="68"/>
    </row>
    <row r="1044" ht="15.0" customHeight="1">
      <c r="A1044" s="206">
        <v>45946.0</v>
      </c>
      <c r="B1044" s="201" t="s">
        <v>5561</v>
      </c>
      <c r="C1044" s="105" t="s">
        <v>2770</v>
      </c>
      <c r="D1044" s="140" t="str">
        <f>IFERROR(VLOOKUP(C1044,Stock,3,FALSE),"")</f>
        <v>Transport</v>
      </c>
      <c r="E1044" s="45">
        <v>1.0</v>
      </c>
      <c r="F1044" s="198">
        <v>150000.0</v>
      </c>
      <c r="G1044" s="142">
        <f t="shared" si="40"/>
        <v>150000</v>
      </c>
      <c r="H1044" s="142"/>
      <c r="I1044" s="143">
        <f t="shared" si="38"/>
        <v>150000</v>
      </c>
      <c r="J1044" s="144">
        <f t="shared" si="39"/>
        <v>150000</v>
      </c>
      <c r="K1044" s="108" t="s">
        <v>5563</v>
      </c>
      <c r="L1044" s="199" t="s">
        <v>5564</v>
      </c>
      <c r="M1044" s="17"/>
      <c r="N1044" s="290" t="s">
        <v>5565</v>
      </c>
      <c r="O1044" s="64" t="s">
        <v>3007</v>
      </c>
      <c r="P1044" s="147" t="s">
        <v>4672</v>
      </c>
      <c r="Q1044" s="149"/>
      <c r="R1044" s="141"/>
      <c r="S1044" s="141"/>
      <c r="T1044" s="141">
        <v>3500000.0</v>
      </c>
      <c r="U1044" s="149"/>
      <c r="V1044" s="149"/>
      <c r="W1044" s="149"/>
      <c r="X1044" s="64" t="s">
        <v>5304</v>
      </c>
      <c r="Y1044" s="64" t="s">
        <v>4515</v>
      </c>
      <c r="Z1044" s="68"/>
    </row>
    <row r="1045" ht="15.0" customHeight="1">
      <c r="A1045" s="206">
        <v>45946.0</v>
      </c>
      <c r="B1045" s="201" t="s">
        <v>5561</v>
      </c>
      <c r="C1045" s="45" t="s">
        <v>4979</v>
      </c>
      <c r="D1045" s="140" t="str">
        <f>IFERROR(VLOOKUP(C1045,Stock,3,FALSE),"")</f>
        <v>255 Ultra + Actv-100 Application</v>
      </c>
      <c r="E1045" s="45">
        <v>1.0</v>
      </c>
      <c r="F1045" s="198">
        <v>200000.0</v>
      </c>
      <c r="G1045" s="142">
        <f t="shared" si="40"/>
        <v>200000</v>
      </c>
      <c r="H1045" s="142"/>
      <c r="I1045" s="143">
        <f t="shared" si="38"/>
        <v>200000</v>
      </c>
      <c r="J1045" s="144">
        <f t="shared" si="39"/>
        <v>200000</v>
      </c>
      <c r="K1045" s="108" t="s">
        <v>5563</v>
      </c>
      <c r="L1045" s="199" t="s">
        <v>5564</v>
      </c>
      <c r="M1045" s="17"/>
      <c r="N1045" s="290" t="s">
        <v>5565</v>
      </c>
      <c r="O1045" s="64" t="s">
        <v>3007</v>
      </c>
      <c r="P1045" s="147" t="s">
        <v>4672</v>
      </c>
      <c r="Q1045" s="149"/>
      <c r="R1045" s="149"/>
      <c r="S1045" s="149"/>
      <c r="T1045" s="149"/>
      <c r="U1045" s="149"/>
      <c r="V1045" s="149"/>
      <c r="W1045" s="149"/>
      <c r="X1045" s="64" t="s">
        <v>5304</v>
      </c>
      <c r="Y1045" s="64" t="s">
        <v>4515</v>
      </c>
      <c r="Z1045" s="68"/>
    </row>
    <row r="1046" ht="15.0" customHeight="1">
      <c r="A1046" s="206">
        <v>45947.0</v>
      </c>
      <c r="B1046" s="201" t="s">
        <v>5566</v>
      </c>
      <c r="C1046" s="45" t="s">
        <v>4439</v>
      </c>
      <c r="D1046" s="140" t="str">
        <f>IFERROR(VLOOKUP(C1046,Stock,3,FALSE),"")</f>
        <v>Toyota Innova 04-15 1st Gen (Toyota)</v>
      </c>
      <c r="E1046" s="45">
        <v>1.0</v>
      </c>
      <c r="F1046" s="198">
        <v>2680000.0</v>
      </c>
      <c r="G1046" s="142">
        <f t="shared" si="40"/>
        <v>2680000</v>
      </c>
      <c r="H1046" s="142"/>
      <c r="I1046" s="143">
        <f t="shared" si="38"/>
        <v>2680000</v>
      </c>
      <c r="J1046" s="144">
        <f t="shared" si="39"/>
        <v>2680000</v>
      </c>
      <c r="K1046" s="108" t="s">
        <v>5567</v>
      </c>
      <c r="L1046" s="199" t="s">
        <v>5568</v>
      </c>
      <c r="M1046" s="17"/>
      <c r="N1046" s="64" t="s">
        <v>5569</v>
      </c>
      <c r="O1046" s="64" t="s">
        <v>2807</v>
      </c>
      <c r="P1046" s="147" t="s">
        <v>4672</v>
      </c>
      <c r="Q1046" s="149"/>
      <c r="R1046" s="141"/>
      <c r="S1046" s="141"/>
      <c r="T1046" s="141">
        <v>2880000.0</v>
      </c>
      <c r="U1046" s="149"/>
      <c r="V1046" s="149"/>
      <c r="W1046" s="149"/>
      <c r="X1046" s="64" t="s">
        <v>3810</v>
      </c>
      <c r="Y1046" s="64" t="s">
        <v>4515</v>
      </c>
      <c r="Z1046" s="68"/>
    </row>
    <row r="1047" ht="15.0" customHeight="1">
      <c r="A1047" s="206">
        <v>45947.0</v>
      </c>
      <c r="B1047" s="201" t="s">
        <v>5566</v>
      </c>
      <c r="C1047" s="45" t="s">
        <v>4979</v>
      </c>
      <c r="D1047" s="140" t="str">
        <f>IFERROR(VLOOKUP(C1047,Stock,3,FALSE),"")</f>
        <v>255 Ultra + Actv-100 Application</v>
      </c>
      <c r="E1047" s="64">
        <v>1.0</v>
      </c>
      <c r="F1047" s="198">
        <v>200000.0</v>
      </c>
      <c r="G1047" s="142">
        <f t="shared" si="40"/>
        <v>200000</v>
      </c>
      <c r="H1047" s="142"/>
      <c r="I1047" s="143">
        <f t="shared" si="38"/>
        <v>200000</v>
      </c>
      <c r="J1047" s="144">
        <f t="shared" si="39"/>
        <v>200000</v>
      </c>
      <c r="K1047" s="108" t="s">
        <v>5567</v>
      </c>
      <c r="L1047" s="199" t="s">
        <v>5568</v>
      </c>
      <c r="M1047" s="17"/>
      <c r="N1047" s="64" t="s">
        <v>5569</v>
      </c>
      <c r="O1047" s="64" t="s">
        <v>2807</v>
      </c>
      <c r="P1047" s="147" t="s">
        <v>4672</v>
      </c>
      <c r="Q1047" s="68"/>
      <c r="R1047" s="68"/>
      <c r="S1047" s="68"/>
      <c r="T1047" s="68"/>
      <c r="U1047" s="149"/>
      <c r="V1047" s="149"/>
      <c r="W1047" s="149"/>
      <c r="X1047" s="64" t="s">
        <v>3810</v>
      </c>
      <c r="Y1047" s="64" t="s">
        <v>4515</v>
      </c>
      <c r="Z1047" s="68"/>
    </row>
    <row r="1048" ht="15.0" customHeight="1">
      <c r="A1048" s="206">
        <v>45947.0</v>
      </c>
      <c r="B1048" s="201" t="s">
        <v>5570</v>
      </c>
      <c r="C1048" s="45" t="s">
        <v>4178</v>
      </c>
      <c r="D1048" s="140" t="str">
        <f>IFERROR(VLOOKUP(C1048,Stock,3,FALSE),"")</f>
        <v>Toyota Alphard 15-17 ANH30 3rd Gen (Sensor atas keramik)</v>
      </c>
      <c r="E1048" s="45">
        <v>1.0</v>
      </c>
      <c r="F1048" s="198">
        <v>3668000.0</v>
      </c>
      <c r="G1048" s="142">
        <f t="shared" si="40"/>
        <v>3668000</v>
      </c>
      <c r="H1048" s="142"/>
      <c r="I1048" s="143">
        <f t="shared" si="38"/>
        <v>3668000</v>
      </c>
      <c r="J1048" s="144">
        <f t="shared" si="39"/>
        <v>3668000</v>
      </c>
      <c r="K1048" s="108" t="s">
        <v>5571</v>
      </c>
      <c r="L1048" s="199" t="s">
        <v>5572</v>
      </c>
      <c r="M1048" s="17"/>
      <c r="N1048" s="64" t="s">
        <v>5573</v>
      </c>
      <c r="O1048" s="64" t="s">
        <v>5574</v>
      </c>
      <c r="P1048" s="147" t="s">
        <v>4672</v>
      </c>
      <c r="Q1048" s="149"/>
      <c r="R1048" s="141"/>
      <c r="S1048" s="141"/>
      <c r="T1048" s="141">
        <v>30000.0</v>
      </c>
      <c r="U1048" s="149"/>
      <c r="V1048" s="149"/>
      <c r="W1048" s="149"/>
      <c r="X1048" s="64" t="s">
        <v>3810</v>
      </c>
      <c r="Y1048" s="64" t="s">
        <v>4515</v>
      </c>
      <c r="Z1048" s="68"/>
    </row>
    <row r="1049" ht="15.0" customHeight="1">
      <c r="A1049" s="206">
        <v>45947.0</v>
      </c>
      <c r="B1049" s="201" t="s">
        <v>5570</v>
      </c>
      <c r="C1049" s="45" t="s">
        <v>2770</v>
      </c>
      <c r="D1049" s="140" t="str">
        <f>IFERROR(VLOOKUP(C1049,Stock,3,FALSE),"")</f>
        <v>Transport</v>
      </c>
      <c r="E1049" s="45">
        <v>1.0</v>
      </c>
      <c r="F1049" s="198">
        <v>150000.0</v>
      </c>
      <c r="G1049" s="142">
        <f t="shared" si="40"/>
        <v>150000</v>
      </c>
      <c r="H1049" s="142"/>
      <c r="I1049" s="143">
        <f t="shared" si="38"/>
        <v>150000</v>
      </c>
      <c r="J1049" s="144">
        <f t="shared" si="39"/>
        <v>150000</v>
      </c>
      <c r="K1049" s="108" t="s">
        <v>5571</v>
      </c>
      <c r="L1049" s="199" t="s">
        <v>5572</v>
      </c>
      <c r="M1049" s="17"/>
      <c r="N1049" s="64" t="s">
        <v>5573</v>
      </c>
      <c r="O1049" s="64" t="s">
        <v>5574</v>
      </c>
      <c r="P1049" s="147" t="s">
        <v>4672</v>
      </c>
      <c r="Q1049" s="149"/>
      <c r="R1049" s="141"/>
      <c r="S1049" s="141"/>
      <c r="T1049" s="141">
        <v>3988000.0</v>
      </c>
      <c r="U1049" s="149"/>
      <c r="V1049" s="149"/>
      <c r="W1049" s="149"/>
      <c r="X1049" s="64" t="s">
        <v>3810</v>
      </c>
      <c r="Y1049" s="64" t="s">
        <v>4515</v>
      </c>
      <c r="Z1049" s="68"/>
    </row>
    <row r="1050" ht="15.0" customHeight="1">
      <c r="A1050" s="206">
        <v>45947.0</v>
      </c>
      <c r="B1050" s="201" t="s">
        <v>5570</v>
      </c>
      <c r="C1050" s="45" t="s">
        <v>4979</v>
      </c>
      <c r="D1050" s="140" t="str">
        <f>IFERROR(VLOOKUP(C1050,Stock,3,FALSE),"")</f>
        <v>255 Ultra + Actv-100 Application</v>
      </c>
      <c r="E1050" s="45">
        <v>1.0</v>
      </c>
      <c r="F1050" s="198">
        <v>200000.0</v>
      </c>
      <c r="G1050" s="142">
        <f t="shared" si="40"/>
        <v>200000</v>
      </c>
      <c r="H1050" s="142"/>
      <c r="I1050" s="143">
        <f t="shared" si="38"/>
        <v>200000</v>
      </c>
      <c r="J1050" s="144">
        <f t="shared" si="39"/>
        <v>200000</v>
      </c>
      <c r="K1050" s="108" t="s">
        <v>5571</v>
      </c>
      <c r="L1050" s="199" t="s">
        <v>5572</v>
      </c>
      <c r="M1050" s="17"/>
      <c r="N1050" s="64" t="s">
        <v>5573</v>
      </c>
      <c r="O1050" s="64" t="s">
        <v>5574</v>
      </c>
      <c r="P1050" s="147" t="s">
        <v>4672</v>
      </c>
      <c r="Q1050" s="149"/>
      <c r="R1050" s="149"/>
      <c r="S1050" s="149"/>
      <c r="T1050" s="149"/>
      <c r="U1050" s="149"/>
      <c r="V1050" s="149"/>
      <c r="W1050" s="149"/>
      <c r="X1050" s="64" t="s">
        <v>3810</v>
      </c>
      <c r="Y1050" s="64" t="s">
        <v>4515</v>
      </c>
      <c r="Z1050" s="68"/>
    </row>
    <row r="1051" ht="15.0" customHeight="1">
      <c r="A1051" s="206">
        <v>45947.0</v>
      </c>
      <c r="B1051" s="201" t="s">
        <v>5575</v>
      </c>
      <c r="C1051" s="45" t="s">
        <v>5576</v>
      </c>
      <c r="D1051" s="140" t="str">
        <f>IFERROR(VLOOKUP(C1051,Stock,3,FALSE),"")</f>
        <v>Mitsubishi Canter FE300 85- (PS100,120,135 kabin kecil)</v>
      </c>
      <c r="E1051" s="45">
        <v>1.0</v>
      </c>
      <c r="F1051" s="198">
        <v>550000.0</v>
      </c>
      <c r="G1051" s="142">
        <f t="shared" si="40"/>
        <v>550000</v>
      </c>
      <c r="H1051" s="142"/>
      <c r="I1051" s="143">
        <f t="shared" si="38"/>
        <v>550000</v>
      </c>
      <c r="J1051" s="144">
        <f t="shared" si="39"/>
        <v>550000</v>
      </c>
      <c r="K1051" s="108" t="s">
        <v>5577</v>
      </c>
      <c r="L1051" s="199" t="s">
        <v>5578</v>
      </c>
      <c r="M1051" s="17"/>
      <c r="N1051" s="64" t="s">
        <v>5579</v>
      </c>
      <c r="O1051" s="64" t="s">
        <v>3033</v>
      </c>
      <c r="P1051" s="147" t="s">
        <v>4672</v>
      </c>
      <c r="Q1051" s="149"/>
      <c r="R1051" s="141"/>
      <c r="S1051" s="141"/>
      <c r="T1051" s="141">
        <v>30000.0</v>
      </c>
      <c r="U1051" s="149"/>
      <c r="V1051" s="149"/>
      <c r="W1051" s="149"/>
      <c r="X1051" s="64" t="s">
        <v>3810</v>
      </c>
      <c r="Y1051" s="64" t="s">
        <v>4515</v>
      </c>
      <c r="Z1051" s="68"/>
    </row>
    <row r="1052" ht="15.0" customHeight="1">
      <c r="A1052" s="206">
        <v>45947.0</v>
      </c>
      <c r="B1052" s="201" t="s">
        <v>5575</v>
      </c>
      <c r="C1052" s="45" t="s">
        <v>2770</v>
      </c>
      <c r="D1052" s="140" t="str">
        <f>IFERROR(VLOOKUP(C1052,Stock,3,FALSE),"")</f>
        <v>Transport</v>
      </c>
      <c r="E1052" s="64">
        <v>1.0</v>
      </c>
      <c r="F1052" s="198">
        <v>50000.0</v>
      </c>
      <c r="G1052" s="142">
        <f t="shared" si="40"/>
        <v>50000</v>
      </c>
      <c r="H1052" s="142"/>
      <c r="I1052" s="143">
        <f t="shared" si="38"/>
        <v>50000</v>
      </c>
      <c r="J1052" s="144">
        <f t="shared" si="39"/>
        <v>50000</v>
      </c>
      <c r="K1052" s="108" t="s">
        <v>5577</v>
      </c>
      <c r="L1052" s="199" t="s">
        <v>5578</v>
      </c>
      <c r="M1052" s="17"/>
      <c r="N1052" s="64" t="s">
        <v>5579</v>
      </c>
      <c r="O1052" s="64" t="s">
        <v>3033</v>
      </c>
      <c r="P1052" s="147" t="s">
        <v>4672</v>
      </c>
      <c r="Q1052" s="149"/>
      <c r="R1052" s="141"/>
      <c r="S1052" s="141"/>
      <c r="T1052" s="141">
        <v>570000.0</v>
      </c>
      <c r="U1052" s="149"/>
      <c r="V1052" s="149"/>
      <c r="W1052" s="149"/>
      <c r="X1052" s="64" t="s">
        <v>3810</v>
      </c>
      <c r="Y1052" s="64" t="s">
        <v>4515</v>
      </c>
      <c r="Z1052" s="68"/>
    </row>
    <row r="1053" ht="15.0" customHeight="1">
      <c r="A1053" s="206">
        <v>45947.0</v>
      </c>
      <c r="B1053" s="201" t="s">
        <v>5580</v>
      </c>
      <c r="C1053" s="45" t="s">
        <v>2869</v>
      </c>
      <c r="D1053" s="140" t="str">
        <f>IFERROR(VLOOKUP(C1053,Stock,3,FALSE),"")</f>
        <v>Daihatsu Gran Max / Luxio 07-</v>
      </c>
      <c r="E1053" s="45">
        <v>1.0</v>
      </c>
      <c r="F1053" s="198">
        <v>1000000.0</v>
      </c>
      <c r="G1053" s="142">
        <f t="shared" si="40"/>
        <v>1000000</v>
      </c>
      <c r="H1053" s="142"/>
      <c r="I1053" s="143">
        <f t="shared" si="38"/>
        <v>1000000</v>
      </c>
      <c r="J1053" s="144">
        <f t="shared" si="39"/>
        <v>1000000</v>
      </c>
      <c r="K1053" s="108" t="s">
        <v>5581</v>
      </c>
      <c r="L1053" s="199" t="s">
        <v>5582</v>
      </c>
      <c r="M1053" s="17"/>
      <c r="N1053" s="64" t="s">
        <v>5583</v>
      </c>
      <c r="O1053" s="64" t="s">
        <v>4542</v>
      </c>
      <c r="P1053" s="147" t="s">
        <v>4672</v>
      </c>
      <c r="Q1053" s="149"/>
      <c r="R1053" s="141"/>
      <c r="S1053" s="141"/>
      <c r="T1053" s="141">
        <v>30000.0</v>
      </c>
      <c r="U1053" s="149"/>
      <c r="V1053" s="149"/>
      <c r="W1053" s="149"/>
      <c r="X1053" s="64" t="s">
        <v>3810</v>
      </c>
      <c r="Y1053" s="64" t="s">
        <v>4515</v>
      </c>
      <c r="Z1053" s="68"/>
    </row>
    <row r="1054" ht="15.0" customHeight="1">
      <c r="A1054" s="206">
        <v>45947.0</v>
      </c>
      <c r="B1054" s="201" t="s">
        <v>5580</v>
      </c>
      <c r="C1054" s="64" t="s">
        <v>3434</v>
      </c>
      <c r="D1054" s="140" t="str">
        <f>IFERROR(VLOOKUP(C1054,Stock,3,FALSE),"")</f>
        <v>List Kaca Depan Code 04</v>
      </c>
      <c r="E1054" s="45"/>
      <c r="F1054" s="198">
        <v>275000.0</v>
      </c>
      <c r="G1054" s="142">
        <f t="shared" si="40"/>
        <v>0</v>
      </c>
      <c r="H1054" s="142"/>
      <c r="I1054" s="143">
        <f t="shared" si="38"/>
        <v>0</v>
      </c>
      <c r="J1054" s="144">
        <f t="shared" si="39"/>
        <v>0</v>
      </c>
      <c r="K1054" s="108" t="s">
        <v>5581</v>
      </c>
      <c r="L1054" s="45" t="s">
        <v>5584</v>
      </c>
      <c r="M1054" s="17"/>
      <c r="N1054" s="64" t="s">
        <v>5583</v>
      </c>
      <c r="O1054" s="64" t="s">
        <v>4542</v>
      </c>
      <c r="P1054" s="147" t="s">
        <v>4672</v>
      </c>
      <c r="Q1054" s="68"/>
      <c r="R1054" s="141"/>
      <c r="S1054" s="141"/>
      <c r="T1054" s="141">
        <v>1345000.0</v>
      </c>
      <c r="U1054" s="68"/>
      <c r="V1054" s="68"/>
      <c r="W1054" s="68"/>
      <c r="X1054" s="64" t="s">
        <v>3810</v>
      </c>
      <c r="Y1054" s="64" t="s">
        <v>4515</v>
      </c>
      <c r="Z1054" s="68"/>
    </row>
    <row r="1055" ht="15.0" customHeight="1">
      <c r="A1055" s="206">
        <v>45947.0</v>
      </c>
      <c r="B1055" s="201" t="s">
        <v>5580</v>
      </c>
      <c r="C1055" s="45" t="s">
        <v>2770</v>
      </c>
      <c r="D1055" s="140" t="str">
        <f>IFERROR(VLOOKUP(C1055,Stock,3,FALSE),"")</f>
        <v>Transport</v>
      </c>
      <c r="E1055" s="45">
        <v>1.0</v>
      </c>
      <c r="F1055" s="198">
        <v>100000.0</v>
      </c>
      <c r="G1055" s="142">
        <f t="shared" si="40"/>
        <v>100000</v>
      </c>
      <c r="H1055" s="142"/>
      <c r="I1055" s="143">
        <f t="shared" si="38"/>
        <v>100000</v>
      </c>
      <c r="J1055" s="144">
        <f t="shared" si="39"/>
        <v>100000</v>
      </c>
      <c r="K1055" s="108" t="s">
        <v>5581</v>
      </c>
      <c r="L1055" s="199" t="s">
        <v>5582</v>
      </c>
      <c r="M1055" s="17"/>
      <c r="N1055" s="64" t="s">
        <v>5583</v>
      </c>
      <c r="O1055" s="64" t="s">
        <v>4542</v>
      </c>
      <c r="P1055" s="147" t="s">
        <v>4672</v>
      </c>
      <c r="Q1055" s="149"/>
      <c r="R1055" s="149"/>
      <c r="S1055" s="149"/>
      <c r="T1055" s="149"/>
      <c r="U1055" s="149"/>
      <c r="V1055" s="149"/>
      <c r="W1055" s="149"/>
      <c r="X1055" s="64" t="s">
        <v>3810</v>
      </c>
      <c r="Y1055" s="64" t="s">
        <v>4515</v>
      </c>
      <c r="Z1055" s="68"/>
    </row>
    <row r="1056" ht="15.0" customHeight="1">
      <c r="A1056" s="206">
        <v>45947.0</v>
      </c>
      <c r="B1056" s="201" t="s">
        <v>5585</v>
      </c>
      <c r="C1056" s="45" t="s">
        <v>4226</v>
      </c>
      <c r="D1056" s="140" t="str">
        <f>IFERROR(VLOOKUP(C1056,Stock,3,FALSE),"")</f>
        <v>Honda HR-V 14-21 5D SUV (Honda)</v>
      </c>
      <c r="E1056" s="45">
        <v>1.0</v>
      </c>
      <c r="F1056" s="198">
        <v>3000000.0</v>
      </c>
      <c r="G1056" s="142">
        <f t="shared" si="40"/>
        <v>3000000</v>
      </c>
      <c r="H1056" s="142"/>
      <c r="I1056" s="143">
        <f t="shared" si="38"/>
        <v>3000000</v>
      </c>
      <c r="J1056" s="144">
        <f t="shared" si="39"/>
        <v>3000000</v>
      </c>
      <c r="K1056" s="108" t="s">
        <v>5586</v>
      </c>
      <c r="L1056" s="199" t="s">
        <v>5587</v>
      </c>
      <c r="M1056" s="17"/>
      <c r="N1056" s="64" t="s">
        <v>5588</v>
      </c>
      <c r="O1056" s="64" t="s">
        <v>2942</v>
      </c>
      <c r="P1056" s="147" t="s">
        <v>4672</v>
      </c>
      <c r="Q1056" s="149"/>
      <c r="R1056" s="141"/>
      <c r="S1056" s="141"/>
      <c r="T1056" s="141">
        <v>3200000.0</v>
      </c>
      <c r="U1056" s="149"/>
      <c r="V1056" s="149"/>
      <c r="W1056" s="149"/>
      <c r="X1056" s="64" t="s">
        <v>3810</v>
      </c>
      <c r="Y1056" s="64" t="s">
        <v>4515</v>
      </c>
      <c r="Z1056" s="68"/>
    </row>
    <row r="1057" ht="15.0" customHeight="1">
      <c r="A1057" s="206">
        <v>45947.0</v>
      </c>
      <c r="B1057" s="201" t="s">
        <v>5585</v>
      </c>
      <c r="C1057" s="45" t="s">
        <v>4979</v>
      </c>
      <c r="D1057" s="140" t="str">
        <f>IFERROR(VLOOKUP(C1057,Stock,3,FALSE),"")</f>
        <v>255 Ultra + Actv-100 Application</v>
      </c>
      <c r="E1057" s="64">
        <v>1.0</v>
      </c>
      <c r="F1057" s="198">
        <v>200000.0</v>
      </c>
      <c r="G1057" s="142">
        <f t="shared" si="40"/>
        <v>200000</v>
      </c>
      <c r="H1057" s="142"/>
      <c r="I1057" s="143">
        <f t="shared" si="38"/>
        <v>200000</v>
      </c>
      <c r="J1057" s="144">
        <f t="shared" si="39"/>
        <v>200000</v>
      </c>
      <c r="K1057" s="108" t="s">
        <v>5586</v>
      </c>
      <c r="L1057" s="199" t="s">
        <v>5587</v>
      </c>
      <c r="M1057" s="17"/>
      <c r="N1057" s="64" t="s">
        <v>5588</v>
      </c>
      <c r="O1057" s="64" t="s">
        <v>2942</v>
      </c>
      <c r="P1057" s="147" t="s">
        <v>4672</v>
      </c>
      <c r="Q1057" s="68"/>
      <c r="R1057" s="68"/>
      <c r="S1057" s="68"/>
      <c r="T1057" s="68"/>
      <c r="U1057" s="68"/>
      <c r="V1057" s="68"/>
      <c r="W1057" s="68"/>
      <c r="X1057" s="64" t="s">
        <v>3810</v>
      </c>
      <c r="Y1057" s="64" t="s">
        <v>4515</v>
      </c>
      <c r="Z1057" s="68"/>
    </row>
    <row r="1058" ht="15.0" customHeight="1">
      <c r="A1058" s="206">
        <v>45947.0</v>
      </c>
      <c r="B1058" s="201" t="s">
        <v>5589</v>
      </c>
      <c r="C1058" s="45" t="s">
        <v>5590</v>
      </c>
      <c r="D1058" s="140" t="str">
        <f>IFERROR(VLOOKUP(C1058,Stock,3,FALSE),"")</f>
        <v>Kia Caren 3 13-</v>
      </c>
      <c r="E1058" s="45">
        <v>1.0</v>
      </c>
      <c r="F1058" s="198">
        <v>5875000.0</v>
      </c>
      <c r="G1058" s="142">
        <f t="shared" si="40"/>
        <v>5875000</v>
      </c>
      <c r="H1058" s="142"/>
      <c r="I1058" s="143">
        <f t="shared" si="38"/>
        <v>5875000</v>
      </c>
      <c r="J1058" s="144">
        <f t="shared" si="39"/>
        <v>5875000</v>
      </c>
      <c r="K1058" s="108" t="s">
        <v>5591</v>
      </c>
      <c r="L1058" s="199" t="s">
        <v>5592</v>
      </c>
      <c r="M1058" s="17"/>
      <c r="N1058" s="64" t="s">
        <v>5593</v>
      </c>
      <c r="O1058" s="64" t="s">
        <v>3394</v>
      </c>
      <c r="P1058" s="147" t="s">
        <v>4672</v>
      </c>
      <c r="Q1058" s="149"/>
      <c r="R1058" s="141"/>
      <c r="S1058" s="141"/>
      <c r="T1058" s="141">
        <v>6075000.0</v>
      </c>
      <c r="U1058" s="149"/>
      <c r="V1058" s="149"/>
      <c r="W1058" s="149"/>
      <c r="X1058" s="64" t="s">
        <v>3810</v>
      </c>
      <c r="Y1058" s="64" t="s">
        <v>4515</v>
      </c>
      <c r="Z1058" s="68"/>
    </row>
    <row r="1059" ht="15.0" customHeight="1">
      <c r="A1059" s="206">
        <v>45947.0</v>
      </c>
      <c r="B1059" s="201" t="s">
        <v>5589</v>
      </c>
      <c r="C1059" s="45" t="s">
        <v>4979</v>
      </c>
      <c r="D1059" s="140" t="str">
        <f>IFERROR(VLOOKUP(C1059,Stock,3,FALSE),"")</f>
        <v>255 Ultra + Actv-100 Application</v>
      </c>
      <c r="E1059" s="45">
        <v>1.0</v>
      </c>
      <c r="F1059" s="198">
        <v>200000.0</v>
      </c>
      <c r="G1059" s="142">
        <f t="shared" si="40"/>
        <v>200000</v>
      </c>
      <c r="H1059" s="142"/>
      <c r="I1059" s="143">
        <f t="shared" si="38"/>
        <v>200000</v>
      </c>
      <c r="J1059" s="144">
        <f t="shared" si="39"/>
        <v>200000</v>
      </c>
      <c r="K1059" s="108" t="s">
        <v>5591</v>
      </c>
      <c r="L1059" s="199" t="s">
        <v>5592</v>
      </c>
      <c r="M1059" s="17"/>
      <c r="N1059" s="64" t="s">
        <v>5593</v>
      </c>
      <c r="O1059" s="64" t="s">
        <v>3394</v>
      </c>
      <c r="P1059" s="147" t="s">
        <v>4672</v>
      </c>
      <c r="Q1059" s="149"/>
      <c r="R1059" s="149"/>
      <c r="S1059" s="149"/>
      <c r="T1059" s="149"/>
      <c r="U1059" s="149"/>
      <c r="V1059" s="149"/>
      <c r="W1059" s="149"/>
      <c r="X1059" s="64" t="s">
        <v>3810</v>
      </c>
      <c r="Y1059" s="64" t="s">
        <v>4515</v>
      </c>
      <c r="Z1059" s="68"/>
    </row>
    <row r="1060" ht="15.0" customHeight="1">
      <c r="A1060" s="206">
        <v>45948.0</v>
      </c>
      <c r="B1060" s="201" t="s">
        <v>5594</v>
      </c>
      <c r="C1060" s="45" t="s">
        <v>3193</v>
      </c>
      <c r="D1060" s="140" t="str">
        <f>IFERROR(VLOOKUP(C1060,Stock,3,FALSE),"")</f>
        <v>Toyota Avanza / Xenia 11-15 2nd Gen</v>
      </c>
      <c r="E1060" s="45">
        <v>1.0</v>
      </c>
      <c r="F1060" s="198">
        <v>985000.0</v>
      </c>
      <c r="G1060" s="142">
        <f t="shared" si="40"/>
        <v>985000</v>
      </c>
      <c r="H1060" s="142"/>
      <c r="I1060" s="143">
        <f t="shared" si="38"/>
        <v>985000</v>
      </c>
      <c r="J1060" s="144">
        <f t="shared" si="39"/>
        <v>985000</v>
      </c>
      <c r="K1060" s="108" t="s">
        <v>5595</v>
      </c>
      <c r="L1060" s="199" t="s">
        <v>5596</v>
      </c>
      <c r="M1060" s="17"/>
      <c r="N1060" s="64" t="s">
        <v>5597</v>
      </c>
      <c r="O1060" s="64" t="s">
        <v>4712</v>
      </c>
      <c r="P1060" s="147" t="s">
        <v>4672</v>
      </c>
      <c r="Q1060" s="149"/>
      <c r="R1060" s="141"/>
      <c r="S1060" s="141"/>
      <c r="T1060" s="141">
        <v>2485000.0</v>
      </c>
      <c r="U1060" s="149"/>
      <c r="V1060" s="149"/>
      <c r="W1060" s="149"/>
      <c r="X1060" s="64" t="s">
        <v>3810</v>
      </c>
      <c r="Y1060" s="64" t="s">
        <v>4515</v>
      </c>
      <c r="Z1060" s="68"/>
    </row>
    <row r="1061" ht="15.0" customHeight="1">
      <c r="A1061" s="206">
        <v>45948.0</v>
      </c>
      <c r="B1061" s="201" t="s">
        <v>5594</v>
      </c>
      <c r="C1061" s="45" t="s">
        <v>4590</v>
      </c>
      <c r="D1061" s="140" t="str">
        <f>IFERROR(VLOOKUP(C1061,Stock,3,FALSE),"")</f>
        <v>Toyota Avanza / Xenia 11-15 2nd Gen / 15-21 3rd Gen</v>
      </c>
      <c r="E1061" s="45">
        <v>1.0</v>
      </c>
      <c r="F1061" s="198">
        <v>850000.0</v>
      </c>
      <c r="G1061" s="142">
        <f t="shared" si="40"/>
        <v>850000</v>
      </c>
      <c r="H1061" s="142"/>
      <c r="I1061" s="143">
        <f t="shared" si="38"/>
        <v>850000</v>
      </c>
      <c r="J1061" s="144">
        <f t="shared" si="39"/>
        <v>850000</v>
      </c>
      <c r="K1061" s="108" t="s">
        <v>5595</v>
      </c>
      <c r="L1061" s="199" t="s">
        <v>5596</v>
      </c>
      <c r="M1061" s="17"/>
      <c r="N1061" s="64" t="s">
        <v>5597</v>
      </c>
      <c r="O1061" s="64" t="s">
        <v>4712</v>
      </c>
      <c r="P1061" s="147" t="s">
        <v>4672</v>
      </c>
      <c r="Q1061" s="149"/>
      <c r="R1061" s="141"/>
      <c r="S1061" s="141"/>
      <c r="T1061" s="141"/>
      <c r="U1061" s="149"/>
      <c r="V1061" s="149"/>
      <c r="W1061" s="149"/>
      <c r="X1061" s="64" t="s">
        <v>3810</v>
      </c>
      <c r="Y1061" s="64" t="s">
        <v>4515</v>
      </c>
      <c r="Z1061" s="68"/>
    </row>
    <row r="1062" ht="15.0" customHeight="1">
      <c r="A1062" s="206">
        <v>45948.0</v>
      </c>
      <c r="B1062" s="201" t="s">
        <v>5594</v>
      </c>
      <c r="C1062" s="45" t="s">
        <v>4262</v>
      </c>
      <c r="D1062" s="140" t="str">
        <f>IFERROR(VLOOKUP(C1062,Stock,3,FALSE),"")</f>
        <v>Toyota Avanza / Xenia 11-15 2nd Gen / 15-21 3rd Gen</v>
      </c>
      <c r="E1062" s="45">
        <v>1.0</v>
      </c>
      <c r="F1062" s="198">
        <v>375000.0</v>
      </c>
      <c r="G1062" s="142">
        <f t="shared" si="40"/>
        <v>375000</v>
      </c>
      <c r="H1062" s="142"/>
      <c r="I1062" s="143">
        <f t="shared" si="38"/>
        <v>375000</v>
      </c>
      <c r="J1062" s="144">
        <f t="shared" si="39"/>
        <v>375000</v>
      </c>
      <c r="K1062" s="108" t="s">
        <v>5595</v>
      </c>
      <c r="L1062" s="199" t="s">
        <v>5596</v>
      </c>
      <c r="M1062" s="17"/>
      <c r="N1062" s="64" t="s">
        <v>5597</v>
      </c>
      <c r="O1062" s="64" t="s">
        <v>4712</v>
      </c>
      <c r="P1062" s="147" t="s">
        <v>4672</v>
      </c>
      <c r="Q1062" s="149"/>
      <c r="R1062" s="149"/>
      <c r="S1062" s="149"/>
      <c r="T1062" s="149"/>
      <c r="U1062" s="149"/>
      <c r="V1062" s="149"/>
      <c r="W1062" s="149"/>
      <c r="X1062" s="64" t="s">
        <v>3810</v>
      </c>
      <c r="Y1062" s="64" t="s">
        <v>4515</v>
      </c>
      <c r="Z1062" s="68"/>
    </row>
    <row r="1063" ht="15.0" customHeight="1">
      <c r="A1063" s="206">
        <v>45948.0</v>
      </c>
      <c r="B1063" s="201" t="s">
        <v>5594</v>
      </c>
      <c r="C1063" s="64" t="s">
        <v>3456</v>
      </c>
      <c r="D1063" s="140" t="str">
        <f>IFERROR(VLOOKUP(C1063,Stock,3,FALSE),"")</f>
        <v>List Kaca Depan Code 11</v>
      </c>
      <c r="E1063" s="45">
        <v>1.0</v>
      </c>
      <c r="F1063" s="198">
        <v>275000.0</v>
      </c>
      <c r="G1063" s="142">
        <f t="shared" si="40"/>
        <v>275000</v>
      </c>
      <c r="H1063" s="142"/>
      <c r="I1063" s="143">
        <f t="shared" si="38"/>
        <v>275000</v>
      </c>
      <c r="J1063" s="144">
        <f t="shared" si="39"/>
        <v>275000</v>
      </c>
      <c r="K1063" s="108" t="s">
        <v>5595</v>
      </c>
      <c r="L1063" s="199" t="s">
        <v>5596</v>
      </c>
      <c r="M1063" s="17"/>
      <c r="N1063" s="64" t="s">
        <v>5597</v>
      </c>
      <c r="O1063" s="64" t="s">
        <v>4712</v>
      </c>
      <c r="P1063" s="147" t="s">
        <v>4672</v>
      </c>
      <c r="Q1063" s="68"/>
      <c r="R1063" s="68"/>
      <c r="S1063" s="68"/>
      <c r="T1063" s="68"/>
      <c r="U1063" s="68"/>
      <c r="V1063" s="68"/>
      <c r="W1063" s="68"/>
      <c r="X1063" s="64" t="s">
        <v>3810</v>
      </c>
      <c r="Y1063" s="64" t="s">
        <v>4515</v>
      </c>
      <c r="Z1063" s="68"/>
    </row>
    <row r="1064" ht="15.0" customHeight="1">
      <c r="A1064" s="206">
        <v>45948.0</v>
      </c>
      <c r="B1064" s="201" t="s">
        <v>5598</v>
      </c>
      <c r="C1064" s="45" t="s">
        <v>2778</v>
      </c>
      <c r="D1064" s="140" t="str">
        <f>IFERROR(VLOOKUP(C1064,Stock,3,FALSE),"")</f>
        <v>Bongkar Pasang Kaca Mobil Depan</v>
      </c>
      <c r="E1064" s="45">
        <v>1.0</v>
      </c>
      <c r="F1064" s="198">
        <v>650000.0</v>
      </c>
      <c r="G1064" s="142">
        <f t="shared" si="40"/>
        <v>650000</v>
      </c>
      <c r="H1064" s="142"/>
      <c r="I1064" s="143">
        <f t="shared" si="38"/>
        <v>650000</v>
      </c>
      <c r="J1064" s="144">
        <f t="shared" si="39"/>
        <v>650000</v>
      </c>
      <c r="K1064" s="108" t="s">
        <v>5599</v>
      </c>
      <c r="L1064" s="199" t="s">
        <v>5600</v>
      </c>
      <c r="M1064" s="17"/>
      <c r="N1064" s="64" t="s">
        <v>5601</v>
      </c>
      <c r="O1064" s="64" t="s">
        <v>2760</v>
      </c>
      <c r="P1064" s="147" t="s">
        <v>4672</v>
      </c>
      <c r="Q1064" s="149"/>
      <c r="R1064" s="141"/>
      <c r="S1064" s="141"/>
      <c r="T1064" s="141">
        <v>850000.0</v>
      </c>
      <c r="U1064" s="149"/>
      <c r="V1064" s="149"/>
      <c r="W1064" s="149"/>
      <c r="X1064" s="64" t="s">
        <v>3810</v>
      </c>
      <c r="Y1064" s="64" t="s">
        <v>4515</v>
      </c>
      <c r="Z1064" s="68"/>
    </row>
    <row r="1065" ht="15.0" customHeight="1">
      <c r="A1065" s="206">
        <v>45948.0</v>
      </c>
      <c r="B1065" s="201" t="s">
        <v>5598</v>
      </c>
      <c r="C1065" s="45" t="s">
        <v>4979</v>
      </c>
      <c r="D1065" s="140" t="str">
        <f>IFERROR(VLOOKUP(C1065,Stock,3,FALSE),"")</f>
        <v>255 Ultra + Actv-100 Application</v>
      </c>
      <c r="E1065" s="64">
        <v>1.0</v>
      </c>
      <c r="F1065" s="198">
        <v>200000.0</v>
      </c>
      <c r="G1065" s="142">
        <f t="shared" si="40"/>
        <v>200000</v>
      </c>
      <c r="H1065" s="142"/>
      <c r="I1065" s="143">
        <f t="shared" si="38"/>
        <v>200000</v>
      </c>
      <c r="J1065" s="144">
        <f t="shared" si="39"/>
        <v>200000</v>
      </c>
      <c r="K1065" s="108" t="s">
        <v>5599</v>
      </c>
      <c r="L1065" s="45" t="s">
        <v>5602</v>
      </c>
      <c r="M1065" s="17"/>
      <c r="N1065" s="64" t="s">
        <v>5601</v>
      </c>
      <c r="O1065" s="64" t="s">
        <v>2760</v>
      </c>
      <c r="P1065" s="147" t="s">
        <v>4672</v>
      </c>
      <c r="Q1065" s="68"/>
      <c r="R1065" s="68"/>
      <c r="S1065" s="68"/>
      <c r="T1065" s="68"/>
      <c r="U1065" s="68"/>
      <c r="V1065" s="68"/>
      <c r="W1065" s="68"/>
      <c r="X1065" s="64" t="s">
        <v>3810</v>
      </c>
      <c r="Y1065" s="64" t="s">
        <v>4515</v>
      </c>
      <c r="Z1065" s="68"/>
    </row>
    <row r="1066" ht="15.0" customHeight="1">
      <c r="A1066" s="206">
        <v>45948.0</v>
      </c>
      <c r="B1066" s="201" t="s">
        <v>5603</v>
      </c>
      <c r="C1066" s="45" t="s">
        <v>3193</v>
      </c>
      <c r="D1066" s="140" t="str">
        <f>IFERROR(VLOOKUP(C1066,Stock,3,FALSE),"")</f>
        <v>Toyota Avanza / Xenia 11-15 2nd Gen</v>
      </c>
      <c r="E1066" s="45">
        <v>1.0</v>
      </c>
      <c r="F1066" s="198">
        <v>1000000.0</v>
      </c>
      <c r="G1066" s="142">
        <f t="shared" si="40"/>
        <v>1000000</v>
      </c>
      <c r="H1066" s="142"/>
      <c r="I1066" s="143">
        <f t="shared" si="38"/>
        <v>1000000</v>
      </c>
      <c r="J1066" s="144">
        <f t="shared" si="39"/>
        <v>1000000</v>
      </c>
      <c r="K1066" s="108" t="s">
        <v>5604</v>
      </c>
      <c r="L1066" s="199" t="s">
        <v>5605</v>
      </c>
      <c r="M1066" s="17"/>
      <c r="N1066" s="64" t="s">
        <v>5606</v>
      </c>
      <c r="O1066" s="64" t="s">
        <v>2813</v>
      </c>
      <c r="P1066" s="147" t="s">
        <v>2795</v>
      </c>
      <c r="Q1066" s="149"/>
      <c r="R1066" s="141"/>
      <c r="S1066" s="141"/>
      <c r="T1066" s="141">
        <v>1200000.0</v>
      </c>
      <c r="U1066" s="149"/>
      <c r="V1066" s="149"/>
      <c r="W1066" s="149"/>
      <c r="X1066" s="64" t="s">
        <v>3810</v>
      </c>
      <c r="Y1066" s="64" t="s">
        <v>4515</v>
      </c>
      <c r="Z1066" s="68"/>
    </row>
    <row r="1067" ht="15.0" customHeight="1">
      <c r="A1067" s="206">
        <v>45948.0</v>
      </c>
      <c r="B1067" s="201" t="s">
        <v>5603</v>
      </c>
      <c r="C1067" s="45" t="s">
        <v>5254</v>
      </c>
      <c r="D1067" s="140" t="str">
        <f>IFERROR(VLOOKUP(C1067,Stock,3,FALSE),"")</f>
        <v>Automotive Film Standard - Black 40%				</v>
      </c>
      <c r="E1067" s="45">
        <v>1.0</v>
      </c>
      <c r="F1067" s="198">
        <v>200000.0</v>
      </c>
      <c r="G1067" s="142">
        <f t="shared" si="40"/>
        <v>200000</v>
      </c>
      <c r="H1067" s="142"/>
      <c r="I1067" s="143">
        <f t="shared" si="38"/>
        <v>200000</v>
      </c>
      <c r="J1067" s="144">
        <f t="shared" si="39"/>
        <v>200000</v>
      </c>
      <c r="K1067" s="108" t="s">
        <v>5604</v>
      </c>
      <c r="L1067" s="199" t="s">
        <v>5605</v>
      </c>
      <c r="M1067" s="17"/>
      <c r="N1067" s="64" t="s">
        <v>5606</v>
      </c>
      <c r="O1067" s="64" t="s">
        <v>2813</v>
      </c>
      <c r="P1067" s="147" t="s">
        <v>2795</v>
      </c>
      <c r="Q1067" s="149"/>
      <c r="R1067" s="149"/>
      <c r="S1067" s="149"/>
      <c r="T1067" s="149"/>
      <c r="U1067" s="149"/>
      <c r="V1067" s="149"/>
      <c r="W1067" s="149"/>
      <c r="X1067" s="64" t="s">
        <v>3810</v>
      </c>
      <c r="Y1067" s="64" t="s">
        <v>4515</v>
      </c>
      <c r="Z1067" s="68"/>
    </row>
    <row r="1068" ht="15.0" customHeight="1">
      <c r="A1068" s="206">
        <v>45948.0</v>
      </c>
      <c r="B1068" s="201" t="s">
        <v>5607</v>
      </c>
      <c r="C1068" s="45" t="s">
        <v>2792</v>
      </c>
      <c r="D1068" s="140" t="str">
        <f>IFERROR(VLOOKUP(C1068,Stock,3,FALSE),"")</f>
        <v>Toyota Calya / Sigra 16-</v>
      </c>
      <c r="E1068" s="45">
        <v>1.0</v>
      </c>
      <c r="F1068" s="198">
        <v>920000.0</v>
      </c>
      <c r="G1068" s="142">
        <f t="shared" si="40"/>
        <v>920000</v>
      </c>
      <c r="H1068" s="142"/>
      <c r="I1068" s="143">
        <f t="shared" si="38"/>
        <v>920000</v>
      </c>
      <c r="J1068" s="144">
        <f t="shared" si="39"/>
        <v>920000</v>
      </c>
      <c r="K1068" s="108" t="s">
        <v>5608</v>
      </c>
      <c r="L1068" s="199" t="s">
        <v>5609</v>
      </c>
      <c r="M1068" s="17"/>
      <c r="N1068" s="64" t="s">
        <v>5610</v>
      </c>
      <c r="O1068" s="64" t="s">
        <v>2813</v>
      </c>
      <c r="P1068" s="147" t="s">
        <v>2795</v>
      </c>
      <c r="Q1068" s="149"/>
      <c r="R1068" s="141"/>
      <c r="S1068" s="141"/>
      <c r="T1068" s="141">
        <v>920000.0</v>
      </c>
      <c r="U1068" s="149"/>
      <c r="V1068" s="149"/>
      <c r="W1068" s="149"/>
      <c r="X1068" s="64" t="s">
        <v>3810</v>
      </c>
      <c r="Y1068" s="64" t="s">
        <v>4515</v>
      </c>
      <c r="Z1068" s="68"/>
    </row>
    <row r="1069" ht="15.0" customHeight="1">
      <c r="A1069" s="206">
        <v>45950.0</v>
      </c>
      <c r="B1069" s="201" t="s">
        <v>5611</v>
      </c>
      <c r="C1069" s="45" t="s">
        <v>3499</v>
      </c>
      <c r="D1069" s="140" t="str">
        <f>IFERROR(VLOOKUP(C1069,Stock,3,FALSE),"")</f>
        <v>Honda Brio 10- / Mobilio 11-</v>
      </c>
      <c r="E1069" s="45">
        <v>1.0</v>
      </c>
      <c r="F1069" s="198">
        <v>1300000.0</v>
      </c>
      <c r="G1069" s="142">
        <f t="shared" si="40"/>
        <v>1300000</v>
      </c>
      <c r="H1069" s="142"/>
      <c r="I1069" s="143">
        <f t="shared" si="38"/>
        <v>1300000</v>
      </c>
      <c r="J1069" s="144">
        <f t="shared" si="39"/>
        <v>1300000</v>
      </c>
      <c r="K1069" s="108" t="s">
        <v>2979</v>
      </c>
      <c r="L1069" s="199" t="s">
        <v>5612</v>
      </c>
      <c r="M1069" s="17"/>
      <c r="N1069" s="64" t="s">
        <v>5613</v>
      </c>
      <c r="O1069" s="64" t="s">
        <v>2813</v>
      </c>
      <c r="P1069" s="147" t="s">
        <v>4672</v>
      </c>
      <c r="Q1069" s="149"/>
      <c r="R1069" s="141"/>
      <c r="S1069" s="141"/>
      <c r="T1069" s="141">
        <v>1300000.0</v>
      </c>
      <c r="U1069" s="149"/>
      <c r="V1069" s="149"/>
      <c r="W1069" s="149"/>
      <c r="X1069" s="64" t="s">
        <v>5304</v>
      </c>
      <c r="Y1069" s="64" t="s">
        <v>4515</v>
      </c>
      <c r="Z1069" s="68"/>
    </row>
    <row r="1070" ht="15.0" customHeight="1">
      <c r="A1070" s="206">
        <v>45950.0</v>
      </c>
      <c r="B1070" s="201" t="s">
        <v>5614</v>
      </c>
      <c r="C1070" s="45" t="s">
        <v>2881</v>
      </c>
      <c r="D1070" s="140" t="str">
        <f>IFERROR(VLOOKUP(C1070,Stock,3,FALSE),"")</f>
        <v>Mitsubishi Outlander 10-21 GA3</v>
      </c>
      <c r="E1070" s="45">
        <v>1.0</v>
      </c>
      <c r="F1070" s="198">
        <v>2038000.0</v>
      </c>
      <c r="G1070" s="142">
        <f t="shared" si="40"/>
        <v>2038000</v>
      </c>
      <c r="H1070" s="142"/>
      <c r="I1070" s="143">
        <f t="shared" si="38"/>
        <v>2038000</v>
      </c>
      <c r="J1070" s="144">
        <f t="shared" si="39"/>
        <v>2038000</v>
      </c>
      <c r="K1070" s="108" t="s">
        <v>5615</v>
      </c>
      <c r="L1070" s="199" t="s">
        <v>5616</v>
      </c>
      <c r="M1070" s="17"/>
      <c r="N1070" s="64" t="s">
        <v>5617</v>
      </c>
      <c r="O1070" s="64" t="s">
        <v>5618</v>
      </c>
      <c r="P1070" s="147" t="s">
        <v>4672</v>
      </c>
      <c r="Q1070" s="149"/>
      <c r="R1070" s="141"/>
      <c r="S1070" s="141"/>
      <c r="T1070" s="141">
        <v>30000.0</v>
      </c>
      <c r="U1070" s="149"/>
      <c r="V1070" s="149"/>
      <c r="W1070" s="149"/>
      <c r="X1070" s="64" t="s">
        <v>5304</v>
      </c>
      <c r="Y1070" s="64" t="s">
        <v>4515</v>
      </c>
      <c r="Z1070" s="68"/>
    </row>
    <row r="1071" ht="15.0" customHeight="1">
      <c r="A1071" s="206">
        <v>45950.0</v>
      </c>
      <c r="B1071" s="201" t="s">
        <v>5614</v>
      </c>
      <c r="C1071" s="45" t="s">
        <v>2770</v>
      </c>
      <c r="D1071" s="140" t="str">
        <f>IFERROR(VLOOKUP(C1071,Stock,3,FALSE),"")</f>
        <v>Transport</v>
      </c>
      <c r="E1071" s="45">
        <v>1.0</v>
      </c>
      <c r="F1071" s="198">
        <v>62000.0</v>
      </c>
      <c r="G1071" s="142">
        <f t="shared" si="40"/>
        <v>62000</v>
      </c>
      <c r="H1071" s="142"/>
      <c r="I1071" s="143">
        <f t="shared" si="38"/>
        <v>62000</v>
      </c>
      <c r="J1071" s="144">
        <f t="shared" si="39"/>
        <v>62000</v>
      </c>
      <c r="K1071" s="108" t="s">
        <v>5615</v>
      </c>
      <c r="L1071" s="199" t="s">
        <v>5616</v>
      </c>
      <c r="M1071" s="17"/>
      <c r="N1071" s="64" t="s">
        <v>5617</v>
      </c>
      <c r="O1071" s="64" t="s">
        <v>5618</v>
      </c>
      <c r="P1071" s="147" t="s">
        <v>4672</v>
      </c>
      <c r="Q1071" s="141">
        <v>2220000.0</v>
      </c>
      <c r="R1071" s="149"/>
      <c r="S1071" s="149"/>
      <c r="T1071" s="149"/>
      <c r="U1071" s="149"/>
      <c r="V1071" s="149"/>
      <c r="W1071" s="149"/>
      <c r="X1071" s="64" t="s">
        <v>5304</v>
      </c>
      <c r="Y1071" s="64" t="s">
        <v>4515</v>
      </c>
      <c r="Z1071" s="68"/>
    </row>
    <row r="1072" ht="15.0" customHeight="1">
      <c r="A1072" s="206">
        <v>45950.0</v>
      </c>
      <c r="B1072" s="201" t="s">
        <v>5614</v>
      </c>
      <c r="C1072" s="45" t="s">
        <v>4979</v>
      </c>
      <c r="D1072" s="140" t="str">
        <f>IFERROR(VLOOKUP(C1072,Stock,3,FALSE),"")</f>
        <v>255 Ultra + Actv-100 Application</v>
      </c>
      <c r="E1072" s="45">
        <v>1.0</v>
      </c>
      <c r="F1072" s="198">
        <v>150000.0</v>
      </c>
      <c r="G1072" s="142">
        <f t="shared" si="40"/>
        <v>150000</v>
      </c>
      <c r="H1072" s="142"/>
      <c r="I1072" s="143">
        <f t="shared" si="38"/>
        <v>150000</v>
      </c>
      <c r="J1072" s="144">
        <f t="shared" si="39"/>
        <v>150000</v>
      </c>
      <c r="K1072" s="108" t="s">
        <v>5615</v>
      </c>
      <c r="L1072" s="45" t="s">
        <v>5619</v>
      </c>
      <c r="M1072" s="17"/>
      <c r="N1072" s="64" t="s">
        <v>5617</v>
      </c>
      <c r="O1072" s="64" t="s">
        <v>5618</v>
      </c>
      <c r="P1072" s="147" t="s">
        <v>4672</v>
      </c>
      <c r="Q1072" s="68"/>
      <c r="R1072" s="68"/>
      <c r="S1072" s="68"/>
      <c r="T1072" s="68"/>
      <c r="U1072" s="68"/>
      <c r="V1072" s="68"/>
      <c r="W1072" s="68"/>
      <c r="X1072" s="64" t="s">
        <v>3810</v>
      </c>
      <c r="Y1072" s="64" t="s">
        <v>4515</v>
      </c>
      <c r="Z1072" s="68"/>
    </row>
    <row r="1073" ht="15.0" customHeight="1">
      <c r="A1073" s="206">
        <v>45950.0</v>
      </c>
      <c r="B1073" s="201" t="s">
        <v>5620</v>
      </c>
      <c r="C1073" s="45" t="s">
        <v>4017</v>
      </c>
      <c r="D1073" s="140" t="str">
        <f>IFERROR(VLOOKUP(C1073,Stock,3,FALSE),"")</f>
        <v>Black Phantom Solar Gard</v>
      </c>
      <c r="E1073" s="45">
        <v>1.0</v>
      </c>
      <c r="F1073" s="198">
        <v>1375000.0</v>
      </c>
      <c r="G1073" s="142">
        <f t="shared" si="40"/>
        <v>1375000</v>
      </c>
      <c r="H1073" s="142"/>
      <c r="I1073" s="143">
        <f t="shared" si="38"/>
        <v>1375000</v>
      </c>
      <c r="J1073" s="144">
        <f t="shared" si="39"/>
        <v>1375000</v>
      </c>
      <c r="K1073" s="108" t="s">
        <v>5586</v>
      </c>
      <c r="L1073" s="199" t="s">
        <v>5587</v>
      </c>
      <c r="M1073" s="17"/>
      <c r="N1073" s="64" t="s">
        <v>5588</v>
      </c>
      <c r="O1073" s="64" t="s">
        <v>2942</v>
      </c>
      <c r="P1073" s="147" t="s">
        <v>4672</v>
      </c>
      <c r="Q1073" s="149"/>
      <c r="R1073" s="141"/>
      <c r="S1073" s="141"/>
      <c r="T1073" s="141">
        <v>1375000.0</v>
      </c>
      <c r="U1073" s="149"/>
      <c r="V1073" s="149"/>
      <c r="W1073" s="149"/>
      <c r="X1073" s="64" t="s">
        <v>3810</v>
      </c>
      <c r="Y1073" s="64" t="s">
        <v>4515</v>
      </c>
      <c r="Z1073" s="68"/>
    </row>
    <row r="1074" ht="15.0" customHeight="1">
      <c r="A1074" s="206">
        <v>45950.0</v>
      </c>
      <c r="B1074" s="201" t="s">
        <v>5621</v>
      </c>
      <c r="C1074" s="45" t="s">
        <v>2869</v>
      </c>
      <c r="D1074" s="140" t="str">
        <f>IFERROR(VLOOKUP(C1074,Stock,3,FALSE),"")</f>
        <v>Daihatsu Gran Max / Luxio 07-</v>
      </c>
      <c r="E1074" s="45">
        <v>1.0</v>
      </c>
      <c r="F1074" s="198">
        <v>1000000.0</v>
      </c>
      <c r="G1074" s="142">
        <f t="shared" si="40"/>
        <v>1000000</v>
      </c>
      <c r="H1074" s="142"/>
      <c r="I1074" s="143">
        <f t="shared" si="38"/>
        <v>1000000</v>
      </c>
      <c r="J1074" s="144">
        <f t="shared" si="39"/>
        <v>1000000</v>
      </c>
      <c r="K1074" s="108" t="s">
        <v>5622</v>
      </c>
      <c r="L1074" s="199" t="s">
        <v>5623</v>
      </c>
      <c r="M1074" s="17"/>
      <c r="N1074" s="64" t="s">
        <v>5624</v>
      </c>
      <c r="O1074" s="64" t="s">
        <v>2813</v>
      </c>
      <c r="P1074" s="147" t="s">
        <v>4672</v>
      </c>
      <c r="Q1074" s="141">
        <v>1000000.0</v>
      </c>
      <c r="R1074" s="149"/>
      <c r="S1074" s="149"/>
      <c r="T1074" s="149"/>
      <c r="U1074" s="149"/>
      <c r="V1074" s="149"/>
      <c r="W1074" s="149"/>
      <c r="X1074" s="64" t="s">
        <v>3810</v>
      </c>
      <c r="Y1074" s="64" t="s">
        <v>4515</v>
      </c>
      <c r="Z1074" s="68"/>
    </row>
    <row r="1075" ht="15.0" customHeight="1">
      <c r="A1075" s="206">
        <v>45950.0</v>
      </c>
      <c r="B1075" s="201" t="s">
        <v>5625</v>
      </c>
      <c r="C1075" s="45" t="s">
        <v>2797</v>
      </c>
      <c r="D1075" s="140" t="str">
        <f>IFERROR(VLOOKUP(C1075,Stock,3,FALSE),"")</f>
        <v>Toyota Calya / Sigra 16-</v>
      </c>
      <c r="E1075" s="45">
        <v>1.0</v>
      </c>
      <c r="F1075" s="198">
        <v>300000.0</v>
      </c>
      <c r="G1075" s="142">
        <f t="shared" si="40"/>
        <v>300000</v>
      </c>
      <c r="H1075" s="142"/>
      <c r="I1075" s="143">
        <f t="shared" si="38"/>
        <v>300000</v>
      </c>
      <c r="J1075" s="144">
        <f t="shared" si="39"/>
        <v>300000</v>
      </c>
      <c r="K1075" s="108" t="s">
        <v>5626</v>
      </c>
      <c r="L1075" s="199" t="s">
        <v>5627</v>
      </c>
      <c r="M1075" s="17"/>
      <c r="N1075" s="64" t="s">
        <v>4270</v>
      </c>
      <c r="O1075" s="64" t="s">
        <v>2813</v>
      </c>
      <c r="P1075" s="147" t="s">
        <v>4672</v>
      </c>
      <c r="Q1075" s="149"/>
      <c r="R1075" s="141"/>
      <c r="S1075" s="141"/>
      <c r="T1075" s="141">
        <v>300000.0</v>
      </c>
      <c r="U1075" s="149"/>
      <c r="V1075" s="149"/>
      <c r="W1075" s="149"/>
      <c r="X1075" s="64" t="s">
        <v>3810</v>
      </c>
      <c r="Y1075" s="64" t="s">
        <v>4515</v>
      </c>
      <c r="Z1075" s="68"/>
    </row>
    <row r="1076" ht="15.0" customHeight="1">
      <c r="A1076" s="206">
        <v>45950.0</v>
      </c>
      <c r="B1076" s="201" t="s">
        <v>5628</v>
      </c>
      <c r="C1076" s="45" t="s">
        <v>2877</v>
      </c>
      <c r="D1076" s="140" t="str">
        <f>IFERROR(VLOOKUP(C1076,Stock,3,FALSE),"")</f>
        <v>Toyota Dyna/Hino Dutro 00-</v>
      </c>
      <c r="E1076" s="45">
        <v>1.0</v>
      </c>
      <c r="F1076" s="198">
        <v>1200000.0</v>
      </c>
      <c r="G1076" s="142">
        <f t="shared" si="40"/>
        <v>1200000</v>
      </c>
      <c r="H1076" s="142"/>
      <c r="I1076" s="143">
        <f t="shared" si="38"/>
        <v>1200000</v>
      </c>
      <c r="J1076" s="144">
        <f t="shared" si="39"/>
        <v>1200000</v>
      </c>
      <c r="K1076" s="108" t="s">
        <v>5629</v>
      </c>
      <c r="L1076" s="199" t="s">
        <v>5630</v>
      </c>
      <c r="M1076" s="17"/>
      <c r="N1076" s="64" t="s">
        <v>5631</v>
      </c>
      <c r="O1076" s="64" t="s">
        <v>3033</v>
      </c>
      <c r="P1076" s="147" t="s">
        <v>4672</v>
      </c>
      <c r="Q1076" s="149"/>
      <c r="R1076" s="141"/>
      <c r="S1076" s="141"/>
      <c r="T1076" s="141">
        <v>1200000.0</v>
      </c>
      <c r="U1076" s="149"/>
      <c r="V1076" s="149"/>
      <c r="W1076" s="149"/>
      <c r="X1076" s="64" t="s">
        <v>3810</v>
      </c>
      <c r="Y1076" s="64" t="s">
        <v>4515</v>
      </c>
      <c r="Z1076" s="68"/>
    </row>
    <row r="1077" ht="15.0" customHeight="1">
      <c r="A1077" s="206">
        <v>45950.0</v>
      </c>
      <c r="B1077" s="201" t="s">
        <v>5632</v>
      </c>
      <c r="C1077" s="45" t="s">
        <v>5633</v>
      </c>
      <c r="D1077" s="140" t="str">
        <f>IFERROR(VLOOKUP(C1077,Stock,3,FALSE),"")</f>
        <v>Toyota Alphard 02-08 ANH10 1st Gen</v>
      </c>
      <c r="E1077" s="45">
        <v>1.0</v>
      </c>
      <c r="F1077" s="198">
        <v>939000.0</v>
      </c>
      <c r="G1077" s="142">
        <f t="shared" si="40"/>
        <v>939000</v>
      </c>
      <c r="H1077" s="142"/>
      <c r="I1077" s="143">
        <f t="shared" si="38"/>
        <v>939000</v>
      </c>
      <c r="J1077" s="144">
        <f t="shared" si="39"/>
        <v>939000</v>
      </c>
      <c r="K1077" s="108" t="s">
        <v>5634</v>
      </c>
      <c r="L1077" s="199" t="s">
        <v>5635</v>
      </c>
      <c r="M1077" s="17"/>
      <c r="N1077" s="64" t="s">
        <v>5636</v>
      </c>
      <c r="O1077" s="64" t="s">
        <v>3033</v>
      </c>
      <c r="P1077" s="147" t="s">
        <v>4672</v>
      </c>
      <c r="Q1077" s="149"/>
      <c r="R1077" s="141"/>
      <c r="S1077" s="141"/>
      <c r="T1077" s="141">
        <v>939000.0</v>
      </c>
      <c r="U1077" s="149"/>
      <c r="V1077" s="149"/>
      <c r="W1077" s="149"/>
      <c r="X1077" s="64" t="s">
        <v>3810</v>
      </c>
      <c r="Y1077" s="64" t="s">
        <v>4515</v>
      </c>
      <c r="Z1077" s="68"/>
    </row>
    <row r="1078" ht="15.0" customHeight="1">
      <c r="A1078" s="206">
        <v>45950.0</v>
      </c>
      <c r="B1078" s="201" t="s">
        <v>5637</v>
      </c>
      <c r="C1078" s="45" t="s">
        <v>3126</v>
      </c>
      <c r="D1078" s="140" t="str">
        <f>IFERROR(VLOOKUP(C1078,Stock,3,FALSE),"")</f>
        <v>Suzuki Carry New 19-</v>
      </c>
      <c r="E1078" s="45">
        <v>1.0</v>
      </c>
      <c r="F1078" s="198">
        <v>1090000.0</v>
      </c>
      <c r="G1078" s="142">
        <f t="shared" si="40"/>
        <v>1090000</v>
      </c>
      <c r="H1078" s="142"/>
      <c r="I1078" s="143">
        <f t="shared" si="38"/>
        <v>1090000</v>
      </c>
      <c r="J1078" s="144">
        <f t="shared" si="39"/>
        <v>1090000</v>
      </c>
      <c r="K1078" s="108" t="s">
        <v>5327</v>
      </c>
      <c r="L1078" s="199" t="s">
        <v>5638</v>
      </c>
      <c r="M1078" s="17"/>
      <c r="N1078" s="64" t="s">
        <v>5639</v>
      </c>
      <c r="O1078" s="64" t="s">
        <v>3033</v>
      </c>
      <c r="P1078" s="147" t="s">
        <v>4672</v>
      </c>
      <c r="Q1078" s="149"/>
      <c r="R1078" s="141"/>
      <c r="S1078" s="141"/>
      <c r="T1078" s="141">
        <v>1090000.0</v>
      </c>
      <c r="U1078" s="149"/>
      <c r="V1078" s="149"/>
      <c r="W1078" s="149"/>
      <c r="X1078" s="64" t="s">
        <v>3810</v>
      </c>
      <c r="Y1078" s="64" t="s">
        <v>4515</v>
      </c>
      <c r="Z1078" s="68"/>
    </row>
    <row r="1079" ht="15.0" customHeight="1">
      <c r="A1079" s="206">
        <v>45950.0</v>
      </c>
      <c r="B1079" s="201" t="s">
        <v>5640</v>
      </c>
      <c r="C1079" s="45" t="s">
        <v>5641</v>
      </c>
      <c r="D1079" s="140" t="str">
        <f>IFERROR(VLOOKUP(C1079,Stock,3,FALSE),"")</f>
        <v>Nissan Serena 10-19 MKIV C26</v>
      </c>
      <c r="E1079" s="45">
        <v>1.0</v>
      </c>
      <c r="F1079" s="198">
        <v>2927000.0</v>
      </c>
      <c r="G1079" s="142">
        <f t="shared" si="40"/>
        <v>2927000</v>
      </c>
      <c r="H1079" s="142"/>
      <c r="I1079" s="143">
        <f t="shared" si="38"/>
        <v>2927000</v>
      </c>
      <c r="J1079" s="144">
        <f t="shared" si="39"/>
        <v>2927000</v>
      </c>
      <c r="K1079" s="108" t="s">
        <v>5642</v>
      </c>
      <c r="L1079" s="199" t="s">
        <v>5643</v>
      </c>
      <c r="M1079" s="17"/>
      <c r="N1079" s="64" t="s">
        <v>5644</v>
      </c>
      <c r="O1079" s="64" t="s">
        <v>3033</v>
      </c>
      <c r="P1079" s="147" t="s">
        <v>4672</v>
      </c>
      <c r="Q1079" s="149"/>
      <c r="R1079" s="141"/>
      <c r="S1079" s="141"/>
      <c r="T1079" s="141">
        <v>30000.0</v>
      </c>
      <c r="U1079" s="149"/>
      <c r="V1079" s="149"/>
      <c r="W1079" s="149"/>
      <c r="X1079" s="64" t="s">
        <v>3810</v>
      </c>
      <c r="Y1079" s="64" t="s">
        <v>4515</v>
      </c>
      <c r="Z1079" s="68"/>
    </row>
    <row r="1080" ht="15.0" customHeight="1">
      <c r="A1080" s="206">
        <v>45950.0</v>
      </c>
      <c r="B1080" s="201" t="s">
        <v>5640</v>
      </c>
      <c r="C1080" s="45" t="s">
        <v>2770</v>
      </c>
      <c r="D1080" s="140" t="str">
        <f>IFERROR(VLOOKUP(C1080,Stock,3,FALSE),"")</f>
        <v>Transport</v>
      </c>
      <c r="E1080" s="45">
        <v>1.0</v>
      </c>
      <c r="F1080" s="198">
        <v>120000.0</v>
      </c>
      <c r="G1080" s="142">
        <f t="shared" si="40"/>
        <v>120000</v>
      </c>
      <c r="H1080" s="142"/>
      <c r="I1080" s="143">
        <f t="shared" si="38"/>
        <v>120000</v>
      </c>
      <c r="J1080" s="144">
        <f t="shared" si="39"/>
        <v>120000</v>
      </c>
      <c r="K1080" s="108" t="s">
        <v>5642</v>
      </c>
      <c r="L1080" s="199" t="s">
        <v>5643</v>
      </c>
      <c r="M1080" s="17"/>
      <c r="N1080" s="64" t="s">
        <v>5644</v>
      </c>
      <c r="O1080" s="64" t="s">
        <v>3033</v>
      </c>
      <c r="P1080" s="147" t="s">
        <v>4672</v>
      </c>
      <c r="Q1080" s="149"/>
      <c r="R1080" s="141"/>
      <c r="S1080" s="141"/>
      <c r="T1080" s="141">
        <v>3337000.0</v>
      </c>
      <c r="U1080" s="149"/>
      <c r="V1080" s="149"/>
      <c r="W1080" s="149"/>
      <c r="X1080" s="64" t="s">
        <v>3810</v>
      </c>
      <c r="Y1080" s="64" t="s">
        <v>4515</v>
      </c>
      <c r="Z1080" s="68"/>
    </row>
    <row r="1081" ht="15.0" customHeight="1">
      <c r="A1081" s="206">
        <v>45950.0</v>
      </c>
      <c r="B1081" s="201" t="s">
        <v>5640</v>
      </c>
      <c r="C1081" s="45" t="s">
        <v>2962</v>
      </c>
      <c r="D1081" s="140" t="str">
        <f>IFERROR(VLOOKUP(C1081,Stock,3,FALSE),"")</f>
        <v>Lembur</v>
      </c>
      <c r="E1081" s="45">
        <v>1.0</v>
      </c>
      <c r="F1081" s="198">
        <v>120000.0</v>
      </c>
      <c r="G1081" s="142">
        <f t="shared" si="40"/>
        <v>120000</v>
      </c>
      <c r="H1081" s="142"/>
      <c r="I1081" s="143">
        <f t="shared" si="38"/>
        <v>120000</v>
      </c>
      <c r="J1081" s="144">
        <f t="shared" si="39"/>
        <v>120000</v>
      </c>
      <c r="K1081" s="108" t="s">
        <v>5642</v>
      </c>
      <c r="L1081" s="199" t="s">
        <v>5643</v>
      </c>
      <c r="M1081" s="17"/>
      <c r="N1081" s="64" t="s">
        <v>5644</v>
      </c>
      <c r="O1081" s="64" t="s">
        <v>3033</v>
      </c>
      <c r="P1081" s="147" t="s">
        <v>4672</v>
      </c>
      <c r="Q1081" s="149"/>
      <c r="R1081" s="149"/>
      <c r="S1081" s="149"/>
      <c r="T1081" s="149"/>
      <c r="U1081" s="149"/>
      <c r="V1081" s="149"/>
      <c r="W1081" s="149"/>
      <c r="X1081" s="64" t="s">
        <v>3810</v>
      </c>
      <c r="Y1081" s="64" t="s">
        <v>4515</v>
      </c>
      <c r="Z1081" s="68"/>
    </row>
    <row r="1082" ht="15.0" customHeight="1">
      <c r="A1082" s="206">
        <v>45950.0</v>
      </c>
      <c r="B1082" s="201" t="s">
        <v>5640</v>
      </c>
      <c r="C1082" s="45" t="s">
        <v>4979</v>
      </c>
      <c r="D1082" s="140" t="str">
        <f>IFERROR(VLOOKUP(C1082,Stock,3,FALSE),"")</f>
        <v>255 Ultra + Actv-100 Application</v>
      </c>
      <c r="E1082" s="64">
        <v>1.0</v>
      </c>
      <c r="F1082" s="198">
        <v>200000.0</v>
      </c>
      <c r="G1082" s="142">
        <f t="shared" si="40"/>
        <v>200000</v>
      </c>
      <c r="H1082" s="142"/>
      <c r="I1082" s="143">
        <f t="shared" si="38"/>
        <v>200000</v>
      </c>
      <c r="J1082" s="144">
        <f t="shared" si="39"/>
        <v>200000</v>
      </c>
      <c r="K1082" s="108" t="s">
        <v>5642</v>
      </c>
      <c r="L1082" s="45" t="s">
        <v>5645</v>
      </c>
      <c r="M1082" s="17"/>
      <c r="N1082" s="64" t="s">
        <v>5644</v>
      </c>
      <c r="O1082" s="64" t="s">
        <v>3033</v>
      </c>
      <c r="P1082" s="147" t="s">
        <v>4672</v>
      </c>
      <c r="Q1082" s="68"/>
      <c r="R1082" s="68"/>
      <c r="S1082" s="68"/>
      <c r="T1082" s="68"/>
      <c r="U1082" s="68"/>
      <c r="V1082" s="68"/>
      <c r="W1082" s="68"/>
      <c r="X1082" s="64" t="s">
        <v>3810</v>
      </c>
      <c r="Y1082" s="64" t="s">
        <v>4602</v>
      </c>
      <c r="Z1082" s="68"/>
    </row>
    <row r="1083" ht="15.0" customHeight="1">
      <c r="A1083" s="206">
        <v>45950.0</v>
      </c>
      <c r="B1083" s="201" t="s">
        <v>5646</v>
      </c>
      <c r="C1083" s="45" t="s">
        <v>5647</v>
      </c>
      <c r="D1083" s="140" t="str">
        <f>IFERROR(VLOOKUP(C1083,Stock,3,FALSE),"")</f>
        <v>Toyota Land Cruiser GDJ76</v>
      </c>
      <c r="E1083" s="45">
        <v>1.0</v>
      </c>
      <c r="F1083" s="198">
        <v>1.08E7</v>
      </c>
      <c r="G1083" s="142">
        <f t="shared" si="40"/>
        <v>10800000</v>
      </c>
      <c r="H1083" s="142"/>
      <c r="I1083" s="143">
        <f t="shared" si="38"/>
        <v>10800000</v>
      </c>
      <c r="J1083" s="144">
        <f t="shared" si="39"/>
        <v>10800000</v>
      </c>
      <c r="K1083" s="108" t="s">
        <v>5648</v>
      </c>
      <c r="L1083" s="199" t="s">
        <v>5649</v>
      </c>
      <c r="M1083" s="17"/>
      <c r="N1083" s="64" t="s">
        <v>4270</v>
      </c>
      <c r="O1083" s="64" t="s">
        <v>5650</v>
      </c>
      <c r="P1083" s="147" t="s">
        <v>4672</v>
      </c>
      <c r="Q1083" s="149"/>
      <c r="R1083" s="141"/>
      <c r="S1083" s="141"/>
      <c r="T1083" s="141"/>
      <c r="U1083" s="149"/>
      <c r="V1083" s="149"/>
      <c r="W1083" s="149"/>
      <c r="X1083" s="64" t="s">
        <v>3810</v>
      </c>
      <c r="Y1083" s="68"/>
      <c r="Z1083" s="64" t="s">
        <v>5651</v>
      </c>
    </row>
    <row r="1084" ht="15.0" customHeight="1">
      <c r="A1084" s="206">
        <v>45950.0</v>
      </c>
      <c r="B1084" s="201" t="s">
        <v>5646</v>
      </c>
      <c r="C1084" s="45" t="s">
        <v>3446</v>
      </c>
      <c r="D1084" s="140" t="str">
        <f>IFERROR(VLOOKUP(C1084,Stock,3,FALSE),"")</f>
        <v>501 Sealant Application</v>
      </c>
      <c r="E1084" s="45">
        <v>2.0</v>
      </c>
      <c r="F1084" s="198">
        <v>80000.0</v>
      </c>
      <c r="G1084" s="142">
        <f t="shared" si="40"/>
        <v>160000</v>
      </c>
      <c r="H1084" s="142"/>
      <c r="I1084" s="143">
        <f t="shared" si="38"/>
        <v>160000</v>
      </c>
      <c r="J1084" s="144">
        <f t="shared" si="39"/>
        <v>160000</v>
      </c>
      <c r="K1084" s="108" t="s">
        <v>5648</v>
      </c>
      <c r="L1084" s="199" t="s">
        <v>5649</v>
      </c>
      <c r="M1084" s="17"/>
      <c r="N1084" s="64" t="s">
        <v>4270</v>
      </c>
      <c r="O1084" s="64" t="s">
        <v>5650</v>
      </c>
      <c r="P1084" s="147" t="s">
        <v>4672</v>
      </c>
      <c r="Q1084" s="149"/>
      <c r="R1084" s="141"/>
      <c r="S1084" s="141"/>
      <c r="T1084" s="141"/>
      <c r="U1084" s="149"/>
      <c r="V1084" s="149"/>
      <c r="W1084" s="149"/>
      <c r="X1084" s="64" t="s">
        <v>3810</v>
      </c>
      <c r="Y1084" s="68"/>
      <c r="Z1084" s="64" t="s">
        <v>5651</v>
      </c>
    </row>
    <row r="1085" ht="15.0" customHeight="1">
      <c r="A1085" s="206">
        <v>45950.0</v>
      </c>
      <c r="B1085" s="201" t="s">
        <v>5646</v>
      </c>
      <c r="C1085" s="45" t="s">
        <v>2770</v>
      </c>
      <c r="D1085" s="140" t="str">
        <f>IFERROR(VLOOKUP(C1085,Stock,3,FALSE),"")</f>
        <v>Transport</v>
      </c>
      <c r="E1085" s="45">
        <v>1.0</v>
      </c>
      <c r="F1085" s="198">
        <v>643750.0</v>
      </c>
      <c r="G1085" s="142">
        <f t="shared" si="40"/>
        <v>643750</v>
      </c>
      <c r="H1085" s="142"/>
      <c r="I1085" s="143">
        <f t="shared" si="38"/>
        <v>643750</v>
      </c>
      <c r="J1085" s="144">
        <f t="shared" si="39"/>
        <v>643750</v>
      </c>
      <c r="K1085" s="108" t="s">
        <v>5648</v>
      </c>
      <c r="L1085" s="199" t="s">
        <v>5649</v>
      </c>
      <c r="M1085" s="17"/>
      <c r="N1085" s="64" t="s">
        <v>4270</v>
      </c>
      <c r="O1085" s="64" t="s">
        <v>5650</v>
      </c>
      <c r="P1085" s="147" t="s">
        <v>4672</v>
      </c>
      <c r="Q1085" s="149"/>
      <c r="R1085" s="141"/>
      <c r="S1085" s="141"/>
      <c r="T1085" s="141">
        <v>1.1603E7</v>
      </c>
      <c r="U1085" s="149"/>
      <c r="V1085" s="149"/>
      <c r="W1085" s="149"/>
      <c r="X1085" s="64" t="s">
        <v>3810</v>
      </c>
      <c r="Y1085" s="68"/>
      <c r="Z1085" s="64" t="s">
        <v>5651</v>
      </c>
    </row>
    <row r="1086" ht="15.0" customHeight="1">
      <c r="A1086" s="206">
        <v>45950.0</v>
      </c>
      <c r="B1086" s="201" t="s">
        <v>5646</v>
      </c>
      <c r="C1086" s="45" t="s">
        <v>2835</v>
      </c>
      <c r="D1086" s="140" t="str">
        <f>IFERROR(VLOOKUP(C1086,Stock,3,FALSE),"")</f>
        <v>Peti Kayu</v>
      </c>
      <c r="E1086" s="45">
        <v>1.0</v>
      </c>
      <c r="F1086" s="198">
        <v>200000.0</v>
      </c>
      <c r="G1086" s="142">
        <f t="shared" si="40"/>
        <v>200000</v>
      </c>
      <c r="H1086" s="142"/>
      <c r="I1086" s="143">
        <f t="shared" si="38"/>
        <v>200000</v>
      </c>
      <c r="J1086" s="144">
        <f t="shared" si="39"/>
        <v>200000</v>
      </c>
      <c r="K1086" s="108" t="s">
        <v>5648</v>
      </c>
      <c r="L1086" s="199" t="s">
        <v>5649</v>
      </c>
      <c r="M1086" s="17"/>
      <c r="N1086" s="64" t="s">
        <v>4270</v>
      </c>
      <c r="O1086" s="64" t="s">
        <v>5650</v>
      </c>
      <c r="P1086" s="147" t="s">
        <v>4672</v>
      </c>
      <c r="Q1086" s="149"/>
      <c r="R1086" s="149"/>
      <c r="S1086" s="149"/>
      <c r="T1086" s="149"/>
      <c r="U1086" s="149"/>
      <c r="V1086" s="149"/>
      <c r="W1086" s="149"/>
      <c r="X1086" s="64" t="s">
        <v>3810</v>
      </c>
      <c r="Y1086" s="64" t="s">
        <v>4602</v>
      </c>
      <c r="Z1086" s="68"/>
    </row>
    <row r="1087" ht="15.0" customHeight="1">
      <c r="A1087" s="206">
        <v>45951.0</v>
      </c>
      <c r="B1087" s="201" t="s">
        <v>5652</v>
      </c>
      <c r="C1087" s="45" t="s">
        <v>3142</v>
      </c>
      <c r="D1087" s="140" t="str">
        <f>IFERROR(VLOOKUP(C1087,Stock,3,FALSE),"")</f>
        <v>Mitsubishi Xpander 17-</v>
      </c>
      <c r="E1087" s="45">
        <v>1.0</v>
      </c>
      <c r="F1087" s="198">
        <v>1700000.0</v>
      </c>
      <c r="G1087" s="142">
        <f t="shared" si="40"/>
        <v>1700000</v>
      </c>
      <c r="H1087" s="142"/>
      <c r="I1087" s="143">
        <f t="shared" si="38"/>
        <v>1700000</v>
      </c>
      <c r="J1087" s="144">
        <f t="shared" si="39"/>
        <v>1700000</v>
      </c>
      <c r="K1087" s="291" t="s">
        <v>4422</v>
      </c>
      <c r="L1087" s="292" t="s">
        <v>4587</v>
      </c>
      <c r="M1087" s="245"/>
      <c r="N1087" s="64" t="s">
        <v>5653</v>
      </c>
      <c r="O1087" s="64" t="s">
        <v>5654</v>
      </c>
      <c r="P1087" s="147" t="s">
        <v>4672</v>
      </c>
      <c r="Q1087" s="149"/>
      <c r="R1087" s="141"/>
      <c r="S1087" s="141"/>
      <c r="T1087" s="141">
        <v>1700000.0</v>
      </c>
      <c r="U1087" s="149"/>
      <c r="V1087" s="149"/>
      <c r="W1087" s="149"/>
      <c r="X1087" s="64" t="s">
        <v>3810</v>
      </c>
      <c r="Y1087" s="64" t="s">
        <v>4602</v>
      </c>
      <c r="Z1087" s="68"/>
    </row>
    <row r="1088" ht="15.0" customHeight="1">
      <c r="A1088" s="206">
        <v>45952.0</v>
      </c>
      <c r="B1088" s="201" t="s">
        <v>5655</v>
      </c>
      <c r="C1088" s="45" t="s">
        <v>5656</v>
      </c>
      <c r="D1088" s="140" t="str">
        <f>IFERROR(VLOOKUP(C1088,Stock,3,FALSE),"")</f>
        <v>Mitsubishi Outlander 10-21 GA3</v>
      </c>
      <c r="E1088" s="45">
        <v>1.0</v>
      </c>
      <c r="F1088" s="198">
        <v>1888000.0</v>
      </c>
      <c r="G1088" s="142">
        <f t="shared" si="40"/>
        <v>1888000</v>
      </c>
      <c r="H1088" s="143">
        <v>242850.0</v>
      </c>
      <c r="I1088" s="143">
        <f t="shared" si="38"/>
        <v>1645150</v>
      </c>
      <c r="J1088" s="144">
        <f t="shared" si="39"/>
        <v>1645150</v>
      </c>
      <c r="K1088" s="108" t="s">
        <v>5657</v>
      </c>
      <c r="L1088" s="199" t="s">
        <v>5658</v>
      </c>
      <c r="M1088" s="17"/>
      <c r="N1088" s="64"/>
      <c r="O1088" s="64" t="s">
        <v>2942</v>
      </c>
      <c r="P1088" s="147" t="s">
        <v>3480</v>
      </c>
      <c r="Q1088" s="149"/>
      <c r="R1088" s="141"/>
      <c r="S1088" s="141"/>
      <c r="T1088" s="141"/>
      <c r="U1088" s="141">
        <v>1645150.0</v>
      </c>
      <c r="V1088" s="149"/>
      <c r="W1088" s="149"/>
      <c r="X1088" s="64" t="s">
        <v>3067</v>
      </c>
      <c r="Y1088" s="64" t="s">
        <v>4602</v>
      </c>
      <c r="Z1088" s="68"/>
    </row>
    <row r="1089" ht="15.0" customHeight="1">
      <c r="A1089" s="206">
        <v>45952.0</v>
      </c>
      <c r="B1089" s="201" t="s">
        <v>5655</v>
      </c>
      <c r="C1089" s="64" t="s">
        <v>2778</v>
      </c>
      <c r="D1089" s="140" t="str">
        <f>IFERROR(VLOOKUP(C1089,Stock,3,FALSE),"")</f>
        <v>Bongkar Pasang Kaca Mobil Depan</v>
      </c>
      <c r="E1089" s="45">
        <v>1.0</v>
      </c>
      <c r="F1089" s="198">
        <v>400000.0</v>
      </c>
      <c r="G1089" s="142">
        <f t="shared" si="40"/>
        <v>400000</v>
      </c>
      <c r="H1089" s="142"/>
      <c r="I1089" s="143">
        <f t="shared" si="38"/>
        <v>400000</v>
      </c>
      <c r="J1089" s="144">
        <f t="shared" si="39"/>
        <v>400000</v>
      </c>
      <c r="K1089" s="108" t="s">
        <v>5657</v>
      </c>
      <c r="L1089" s="45" t="s">
        <v>5659</v>
      </c>
      <c r="M1089" s="17"/>
      <c r="N1089" s="64"/>
      <c r="O1089" s="64" t="s">
        <v>2942</v>
      </c>
      <c r="P1089" s="147" t="s">
        <v>3480</v>
      </c>
      <c r="Q1089" s="68"/>
      <c r="R1089" s="141"/>
      <c r="S1089" s="141"/>
      <c r="T1089" s="141">
        <v>400000.0</v>
      </c>
      <c r="U1089" s="68"/>
      <c r="V1089" s="68"/>
      <c r="W1089" s="68"/>
      <c r="X1089" s="64" t="s">
        <v>3810</v>
      </c>
      <c r="Y1089" s="64" t="s">
        <v>4602</v>
      </c>
      <c r="Z1089" s="68"/>
    </row>
    <row r="1090" ht="15.0" customHeight="1">
      <c r="A1090" s="206">
        <v>45952.0</v>
      </c>
      <c r="B1090" s="201" t="s">
        <v>5660</v>
      </c>
      <c r="C1090" s="45" t="s">
        <v>3686</v>
      </c>
      <c r="D1090" s="140" t="str">
        <f>IFERROR(VLOOKUP(C1090,Stock,3,FALSE),"")</f>
        <v>Honda Jazz 01-07 1st Gen</v>
      </c>
      <c r="E1090" s="45">
        <v>1.0</v>
      </c>
      <c r="F1090" s="198">
        <v>1250000.0</v>
      </c>
      <c r="G1090" s="142">
        <f t="shared" si="40"/>
        <v>1250000</v>
      </c>
      <c r="H1090" s="142"/>
      <c r="I1090" s="143">
        <f t="shared" si="38"/>
        <v>1250000</v>
      </c>
      <c r="J1090" s="144">
        <f t="shared" si="39"/>
        <v>1250000</v>
      </c>
      <c r="K1090" s="108" t="s">
        <v>5661</v>
      </c>
      <c r="L1090" s="199" t="s">
        <v>5662</v>
      </c>
      <c r="M1090" s="17"/>
      <c r="N1090" s="64" t="s">
        <v>5663</v>
      </c>
      <c r="O1090" s="64" t="s">
        <v>3536</v>
      </c>
      <c r="P1090" s="147" t="s">
        <v>4672</v>
      </c>
      <c r="Q1090" s="141">
        <v>1250000.0</v>
      </c>
      <c r="R1090" s="141"/>
      <c r="S1090" s="141"/>
      <c r="T1090" s="141"/>
      <c r="U1090" s="149"/>
      <c r="V1090" s="149"/>
      <c r="W1090" s="149"/>
      <c r="X1090" s="64" t="s">
        <v>5304</v>
      </c>
      <c r="Y1090" s="64" t="s">
        <v>4602</v>
      </c>
      <c r="Z1090" s="68"/>
    </row>
    <row r="1091" ht="15.0" customHeight="1">
      <c r="A1091" s="206">
        <v>45952.0</v>
      </c>
      <c r="B1091" s="201" t="s">
        <v>5664</v>
      </c>
      <c r="C1091" s="45" t="s">
        <v>5665</v>
      </c>
      <c r="D1091" s="140" t="str">
        <f>IFERROR(VLOOKUP(C1091,Stock,3,FALSE),"")</f>
        <v>Honda Jazz 13-  3rd Gen</v>
      </c>
      <c r="E1091" s="45">
        <v>1.0</v>
      </c>
      <c r="F1091" s="198">
        <v>680000.0</v>
      </c>
      <c r="G1091" s="142">
        <f t="shared" si="40"/>
        <v>680000</v>
      </c>
      <c r="H1091" s="142"/>
      <c r="I1091" s="143">
        <f t="shared" si="38"/>
        <v>680000</v>
      </c>
      <c r="J1091" s="144">
        <f t="shared" si="39"/>
        <v>680000</v>
      </c>
      <c r="K1091" s="108" t="s">
        <v>5666</v>
      </c>
      <c r="L1091" s="199" t="s">
        <v>5667</v>
      </c>
      <c r="M1091" s="17"/>
      <c r="N1091" s="64" t="s">
        <v>5668</v>
      </c>
      <c r="O1091" s="64" t="s">
        <v>2935</v>
      </c>
      <c r="P1091" s="147" t="s">
        <v>4672</v>
      </c>
      <c r="Q1091" s="149"/>
      <c r="R1091" s="141"/>
      <c r="S1091" s="141"/>
      <c r="T1091" s="141">
        <v>30000.0</v>
      </c>
      <c r="U1091" s="149"/>
      <c r="V1091" s="149"/>
      <c r="W1091" s="149"/>
      <c r="X1091" s="64" t="s">
        <v>3810</v>
      </c>
      <c r="Y1091" s="64" t="s">
        <v>4602</v>
      </c>
      <c r="Z1091" s="68"/>
    </row>
    <row r="1092" ht="15.0" customHeight="1">
      <c r="A1092" s="206">
        <v>45952.0</v>
      </c>
      <c r="B1092" s="201" t="s">
        <v>5664</v>
      </c>
      <c r="C1092" s="45" t="s">
        <v>2770</v>
      </c>
      <c r="D1092" s="140" t="str">
        <f>IFERROR(VLOOKUP(C1092,Stock,3,FALSE),"")</f>
        <v>Transport</v>
      </c>
      <c r="E1092" s="45">
        <v>1.0</v>
      </c>
      <c r="F1092" s="198">
        <v>90000.0</v>
      </c>
      <c r="G1092" s="142">
        <f t="shared" si="40"/>
        <v>90000</v>
      </c>
      <c r="H1092" s="142"/>
      <c r="I1092" s="143">
        <f t="shared" si="38"/>
        <v>90000</v>
      </c>
      <c r="J1092" s="144">
        <f t="shared" si="39"/>
        <v>90000</v>
      </c>
      <c r="K1092" s="108" t="s">
        <v>5666</v>
      </c>
      <c r="L1092" s="199" t="s">
        <v>5667</v>
      </c>
      <c r="M1092" s="17"/>
      <c r="N1092" s="64" t="s">
        <v>5668</v>
      </c>
      <c r="O1092" s="64" t="s">
        <v>2935</v>
      </c>
      <c r="P1092" s="147" t="s">
        <v>4672</v>
      </c>
      <c r="Q1092" s="149"/>
      <c r="R1092" s="141"/>
      <c r="S1092" s="141"/>
      <c r="T1092" s="141">
        <v>740000.0</v>
      </c>
      <c r="U1092" s="149"/>
      <c r="V1092" s="149"/>
      <c r="W1092" s="149"/>
      <c r="X1092" s="64" t="s">
        <v>3810</v>
      </c>
      <c r="Y1092" s="64" t="s">
        <v>4602</v>
      </c>
      <c r="Z1092" s="68"/>
    </row>
    <row r="1093" ht="15.0" customHeight="1">
      <c r="A1093" s="206">
        <v>45952.0</v>
      </c>
      <c r="B1093" s="201" t="s">
        <v>5669</v>
      </c>
      <c r="C1093" s="64" t="s">
        <v>5670</v>
      </c>
      <c r="D1093" s="140" t="str">
        <f>IFERROR(VLOOKUP(C1093,Stock,3,FALSE),"")</f>
        <v>Chery QQ 03-15 S11 5D / Spark 98-05</v>
      </c>
      <c r="E1093" s="45">
        <v>1.0</v>
      </c>
      <c r="F1093" s="198">
        <v>1500000.0</v>
      </c>
      <c r="G1093" s="142">
        <f t="shared" si="40"/>
        <v>1500000</v>
      </c>
      <c r="H1093" s="142"/>
      <c r="I1093" s="143">
        <f t="shared" si="38"/>
        <v>1500000</v>
      </c>
      <c r="J1093" s="144">
        <f t="shared" si="39"/>
        <v>1500000</v>
      </c>
      <c r="K1093" s="108" t="s">
        <v>5671</v>
      </c>
      <c r="L1093" s="199" t="s">
        <v>5672</v>
      </c>
      <c r="M1093" s="17"/>
      <c r="N1093" s="64" t="s">
        <v>5673</v>
      </c>
      <c r="O1093" s="64" t="s">
        <v>3007</v>
      </c>
      <c r="P1093" s="147" t="s">
        <v>4672</v>
      </c>
      <c r="Q1093" s="149"/>
      <c r="R1093" s="149"/>
      <c r="S1093" s="149"/>
      <c r="T1093" s="149"/>
      <c r="U1093" s="149"/>
      <c r="V1093" s="149"/>
      <c r="W1093" s="149"/>
      <c r="X1093" s="64" t="s">
        <v>5304</v>
      </c>
      <c r="Y1093" s="64" t="s">
        <v>4602</v>
      </c>
      <c r="Z1093" s="68"/>
    </row>
    <row r="1094" ht="15.0" customHeight="1">
      <c r="A1094" s="206">
        <v>45953.0</v>
      </c>
      <c r="B1094" s="201" t="s">
        <v>5674</v>
      </c>
      <c r="C1094" s="45" t="s">
        <v>5675</v>
      </c>
      <c r="D1094" s="140" t="str">
        <f>IFERROR(VLOOKUP(C1094,Stock,3,FALSE),"")</f>
        <v>Mers-Benz E-Class 09-16 W212 (2 Sensor/ □Δ) Trapes</v>
      </c>
      <c r="E1094" s="45">
        <v>1.0</v>
      </c>
      <c r="F1094" s="198">
        <v>4300000.0</v>
      </c>
      <c r="G1094" s="142">
        <f t="shared" si="40"/>
        <v>4300000</v>
      </c>
      <c r="H1094" s="142"/>
      <c r="I1094" s="143">
        <f t="shared" si="38"/>
        <v>4300000</v>
      </c>
      <c r="J1094" s="144">
        <f t="shared" si="39"/>
        <v>4300000</v>
      </c>
      <c r="K1094" s="108" t="s">
        <v>5676</v>
      </c>
      <c r="L1094" s="199" t="s">
        <v>5677</v>
      </c>
      <c r="M1094" s="17"/>
      <c r="N1094" s="64" t="s">
        <v>5678</v>
      </c>
      <c r="O1094" s="64" t="s">
        <v>2813</v>
      </c>
      <c r="P1094" s="147" t="s">
        <v>4672</v>
      </c>
      <c r="Q1094" s="149"/>
      <c r="R1094" s="141"/>
      <c r="S1094" s="141"/>
      <c r="T1094" s="141">
        <v>50000.0</v>
      </c>
      <c r="U1094" s="149"/>
      <c r="V1094" s="149"/>
      <c r="W1094" s="149"/>
      <c r="X1094" s="64" t="s">
        <v>5304</v>
      </c>
      <c r="Y1094" s="64" t="s">
        <v>4515</v>
      </c>
      <c r="Z1094" s="68"/>
    </row>
    <row r="1095" ht="15.0" customHeight="1">
      <c r="A1095" s="206">
        <v>45953.0</v>
      </c>
      <c r="B1095" s="201" t="s">
        <v>5674</v>
      </c>
      <c r="C1095" s="45" t="s">
        <v>4979</v>
      </c>
      <c r="D1095" s="140" t="str">
        <f>IFERROR(VLOOKUP(C1095,Stock,3,FALSE),"")</f>
        <v>255 Ultra + Actv-100 Application</v>
      </c>
      <c r="E1095" s="45">
        <v>1.0</v>
      </c>
      <c r="F1095" s="198">
        <v>200000.0</v>
      </c>
      <c r="G1095" s="142">
        <f t="shared" si="40"/>
        <v>200000</v>
      </c>
      <c r="H1095" s="142"/>
      <c r="I1095" s="143">
        <f t="shared" si="38"/>
        <v>200000</v>
      </c>
      <c r="J1095" s="144">
        <f t="shared" si="39"/>
        <v>200000</v>
      </c>
      <c r="K1095" s="108" t="s">
        <v>5676</v>
      </c>
      <c r="L1095" s="199" t="s">
        <v>5677</v>
      </c>
      <c r="M1095" s="17"/>
      <c r="N1095" s="64" t="s">
        <v>5678</v>
      </c>
      <c r="O1095" s="64" t="s">
        <v>2813</v>
      </c>
      <c r="P1095" s="147" t="s">
        <v>4672</v>
      </c>
      <c r="Q1095" s="149"/>
      <c r="R1095" s="141"/>
      <c r="S1095" s="141"/>
      <c r="T1095" s="141">
        <v>4450000.0</v>
      </c>
      <c r="U1095" s="149"/>
      <c r="V1095" s="149"/>
      <c r="W1095" s="149"/>
      <c r="X1095" s="64" t="s">
        <v>5304</v>
      </c>
      <c r="Y1095" s="64" t="s">
        <v>4515</v>
      </c>
      <c r="Z1095" s="68"/>
    </row>
    <row r="1096" ht="15.0" customHeight="1">
      <c r="A1096" s="206">
        <v>45953.0</v>
      </c>
      <c r="B1096" s="201" t="s">
        <v>5679</v>
      </c>
      <c r="C1096" s="45" t="s">
        <v>5680</v>
      </c>
      <c r="D1096" s="140" t="str">
        <f>IFERROR(VLOOKUP(C1096,Stock,3,FALSE),"")</f>
        <v>Suzuki Wagon R 12-</v>
      </c>
      <c r="E1096" s="45">
        <v>1.0</v>
      </c>
      <c r="F1096" s="198">
        <v>948000.0</v>
      </c>
      <c r="G1096" s="142">
        <f t="shared" si="40"/>
        <v>948000</v>
      </c>
      <c r="H1096" s="142"/>
      <c r="I1096" s="143">
        <f t="shared" si="38"/>
        <v>948000</v>
      </c>
      <c r="J1096" s="144">
        <f t="shared" si="39"/>
        <v>948000</v>
      </c>
      <c r="K1096" s="108" t="s">
        <v>5681</v>
      </c>
      <c r="L1096" s="199" t="s">
        <v>5682</v>
      </c>
      <c r="M1096" s="17"/>
      <c r="N1096" s="64" t="s">
        <v>5683</v>
      </c>
      <c r="O1096" s="64" t="s">
        <v>2813</v>
      </c>
      <c r="P1096" s="147" t="s">
        <v>4672</v>
      </c>
      <c r="Q1096" s="149"/>
      <c r="R1096" s="141"/>
      <c r="S1096" s="141"/>
      <c r="T1096" s="141">
        <v>948000.0</v>
      </c>
      <c r="U1096" s="149"/>
      <c r="V1096" s="149"/>
      <c r="W1096" s="149"/>
      <c r="X1096" s="64" t="s">
        <v>5304</v>
      </c>
      <c r="Y1096" s="64" t="s">
        <v>4515</v>
      </c>
      <c r="Z1096" s="68"/>
    </row>
    <row r="1097" ht="15.0" customHeight="1">
      <c r="A1097" s="206">
        <v>45953.0</v>
      </c>
      <c r="B1097" s="201" t="s">
        <v>5684</v>
      </c>
      <c r="C1097" s="45" t="s">
        <v>4627</v>
      </c>
      <c r="D1097" s="140" t="str">
        <f>IFERROR(VLOOKUP(C1097,Stock,3,FALSE),"")</f>
        <v>Honda Brio 18- (Honda)</v>
      </c>
      <c r="E1097" s="45">
        <v>1.0</v>
      </c>
      <c r="F1097" s="198">
        <v>685000.0</v>
      </c>
      <c r="G1097" s="142">
        <f t="shared" si="40"/>
        <v>685000</v>
      </c>
      <c r="H1097" s="142"/>
      <c r="I1097" s="143">
        <f t="shared" si="38"/>
        <v>685000</v>
      </c>
      <c r="J1097" s="144">
        <f t="shared" si="39"/>
        <v>685000</v>
      </c>
      <c r="K1097" s="108" t="s">
        <v>5685</v>
      </c>
      <c r="L1097" s="199" t="s">
        <v>5686</v>
      </c>
      <c r="M1097" s="17"/>
      <c r="N1097" s="64" t="s">
        <v>5687</v>
      </c>
      <c r="O1097" s="64" t="s">
        <v>2813</v>
      </c>
      <c r="P1097" s="147" t="s">
        <v>4672</v>
      </c>
      <c r="Q1097" s="149"/>
      <c r="R1097" s="141"/>
      <c r="S1097" s="141"/>
      <c r="T1097" s="141">
        <v>685000.0</v>
      </c>
      <c r="U1097" s="149"/>
      <c r="V1097" s="149"/>
      <c r="W1097" s="149"/>
      <c r="X1097" s="64" t="s">
        <v>3810</v>
      </c>
      <c r="Y1097" s="64" t="s">
        <v>4515</v>
      </c>
      <c r="Z1097" s="68"/>
    </row>
    <row r="1098" ht="15.0" customHeight="1">
      <c r="A1098" s="206">
        <v>45953.0</v>
      </c>
      <c r="B1098" s="201" t="s">
        <v>5688</v>
      </c>
      <c r="C1098" s="45" t="s">
        <v>5689</v>
      </c>
      <c r="D1098" s="140" t="str">
        <f>IFERROR(VLOOKUP(C1098,Stock,3,FALSE),"")</f>
        <v>Toyota Avanza / Xenia 21- 4th Gen ( Sensor)</v>
      </c>
      <c r="E1098" s="45">
        <v>1.0</v>
      </c>
      <c r="F1098" s="198">
        <v>2000000.0</v>
      </c>
      <c r="G1098" s="142">
        <f t="shared" si="40"/>
        <v>2000000</v>
      </c>
      <c r="H1098" s="142"/>
      <c r="I1098" s="143">
        <f t="shared" si="38"/>
        <v>2000000</v>
      </c>
      <c r="J1098" s="144">
        <f t="shared" si="39"/>
        <v>2000000</v>
      </c>
      <c r="K1098" s="108" t="s">
        <v>5690</v>
      </c>
      <c r="L1098" s="199" t="s">
        <v>5691</v>
      </c>
      <c r="M1098" s="17"/>
      <c r="N1098" s="64" t="s">
        <v>5692</v>
      </c>
      <c r="O1098" s="64" t="s">
        <v>2813</v>
      </c>
      <c r="P1098" s="147" t="s">
        <v>4672</v>
      </c>
      <c r="Q1098" s="149"/>
      <c r="R1098" s="141"/>
      <c r="S1098" s="141"/>
      <c r="T1098" s="141">
        <v>2000000.0</v>
      </c>
      <c r="U1098" s="149"/>
      <c r="V1098" s="149"/>
      <c r="W1098" s="149"/>
      <c r="X1098" s="64" t="s">
        <v>3810</v>
      </c>
      <c r="Y1098" s="64" t="s">
        <v>4515</v>
      </c>
      <c r="Z1098" s="68"/>
    </row>
    <row r="1099" ht="15.0" customHeight="1">
      <c r="A1099" s="206">
        <v>45954.0</v>
      </c>
      <c r="B1099" s="201" t="s">
        <v>5693</v>
      </c>
      <c r="C1099" s="45" t="s">
        <v>3475</v>
      </c>
      <c r="D1099" s="140" t="str">
        <f>IFERROR(VLOOKUP(C1099,Stock,3,FALSE),"")</f>
        <v>Toyota Avanza / Xenia 03-11 1st Gen</v>
      </c>
      <c r="E1099" s="45">
        <v>1.0</v>
      </c>
      <c r="F1099" s="198">
        <v>1050000.0</v>
      </c>
      <c r="G1099" s="142">
        <f t="shared" si="40"/>
        <v>1050000</v>
      </c>
      <c r="H1099" s="142"/>
      <c r="I1099" s="143">
        <f t="shared" si="38"/>
        <v>1050000</v>
      </c>
      <c r="J1099" s="144">
        <f t="shared" si="39"/>
        <v>1050000</v>
      </c>
      <c r="K1099" s="108" t="s">
        <v>5694</v>
      </c>
      <c r="L1099" s="199" t="s">
        <v>5695</v>
      </c>
      <c r="M1099" s="17"/>
      <c r="N1099" s="64" t="s">
        <v>5696</v>
      </c>
      <c r="O1099" s="64" t="s">
        <v>2813</v>
      </c>
      <c r="P1099" s="147" t="s">
        <v>4672</v>
      </c>
      <c r="Q1099" s="149"/>
      <c r="R1099" s="149"/>
      <c r="S1099" s="149"/>
      <c r="T1099" s="149"/>
      <c r="U1099" s="149"/>
      <c r="V1099" s="149"/>
      <c r="W1099" s="149"/>
      <c r="X1099" s="64" t="s">
        <v>3810</v>
      </c>
      <c r="Y1099" s="64" t="s">
        <v>4515</v>
      </c>
      <c r="Z1099" s="68"/>
    </row>
    <row r="1100" ht="15.0" customHeight="1">
      <c r="A1100" s="206">
        <v>45954.0</v>
      </c>
      <c r="B1100" s="201" t="s">
        <v>5693</v>
      </c>
      <c r="C1100" s="45" t="s">
        <v>3434</v>
      </c>
      <c r="D1100" s="140" t="str">
        <f>IFERROR(VLOOKUP(C1100,Stock,3,FALSE),"")</f>
        <v>List Kaca Depan Code 04</v>
      </c>
      <c r="E1100" s="45">
        <v>1.0</v>
      </c>
      <c r="F1100" s="198">
        <v>275000.0</v>
      </c>
      <c r="G1100" s="142">
        <f t="shared" si="40"/>
        <v>275000</v>
      </c>
      <c r="H1100" s="142"/>
      <c r="I1100" s="143">
        <f t="shared" si="38"/>
        <v>275000</v>
      </c>
      <c r="J1100" s="144">
        <f t="shared" si="39"/>
        <v>275000</v>
      </c>
      <c r="K1100" s="108" t="s">
        <v>5694</v>
      </c>
      <c r="L1100" s="199" t="s">
        <v>5695</v>
      </c>
      <c r="M1100" s="17"/>
      <c r="N1100" s="64" t="s">
        <v>5696</v>
      </c>
      <c r="O1100" s="64" t="s">
        <v>2813</v>
      </c>
      <c r="P1100" s="147" t="s">
        <v>4672</v>
      </c>
      <c r="Q1100" s="149"/>
      <c r="R1100" s="149"/>
      <c r="S1100" s="149"/>
      <c r="T1100" s="149"/>
      <c r="U1100" s="149"/>
      <c r="V1100" s="149"/>
      <c r="W1100" s="149"/>
      <c r="X1100" s="64" t="s">
        <v>3810</v>
      </c>
      <c r="Y1100" s="64" t="s">
        <v>4515</v>
      </c>
      <c r="Z1100" s="68"/>
    </row>
    <row r="1101" ht="15.0" customHeight="1">
      <c r="A1101" s="206">
        <v>45954.0</v>
      </c>
      <c r="B1101" s="201" t="s">
        <v>5697</v>
      </c>
      <c r="C1101" s="45" t="s">
        <v>5225</v>
      </c>
      <c r="D1101" s="140" t="str">
        <f>IFERROR(VLOOKUP(C1101,Stock,3,FALSE),"")</f>
        <v>Toyota Avanza / Xenia 11-15 2nd Gen/3rd Gen</v>
      </c>
      <c r="E1101" s="45">
        <v>1.0</v>
      </c>
      <c r="F1101" s="198">
        <v>500000.0</v>
      </c>
      <c r="G1101" s="142">
        <f t="shared" si="40"/>
        <v>500000</v>
      </c>
      <c r="H1101" s="142"/>
      <c r="I1101" s="143">
        <f t="shared" si="38"/>
        <v>500000</v>
      </c>
      <c r="J1101" s="144">
        <f t="shared" si="39"/>
        <v>500000</v>
      </c>
      <c r="K1101" s="108" t="s">
        <v>5698</v>
      </c>
      <c r="L1101" s="199" t="s">
        <v>5699</v>
      </c>
      <c r="M1101" s="17"/>
      <c r="N1101" s="64" t="s">
        <v>5700</v>
      </c>
      <c r="O1101" s="64" t="s">
        <v>4542</v>
      </c>
      <c r="P1101" s="147" t="s">
        <v>4672</v>
      </c>
      <c r="Q1101" s="149"/>
      <c r="R1101" s="141"/>
      <c r="S1101" s="141"/>
      <c r="T1101" s="141">
        <v>30000.0</v>
      </c>
      <c r="U1101" s="149"/>
      <c r="V1101" s="149"/>
      <c r="W1101" s="149"/>
      <c r="X1101" s="64" t="s">
        <v>3810</v>
      </c>
      <c r="Y1101" s="64" t="s">
        <v>4515</v>
      </c>
      <c r="Z1101" s="68"/>
    </row>
    <row r="1102" ht="15.0" customHeight="1">
      <c r="A1102" s="206">
        <v>45954.0</v>
      </c>
      <c r="B1102" s="201" t="s">
        <v>5697</v>
      </c>
      <c r="C1102" s="45" t="s">
        <v>2770</v>
      </c>
      <c r="D1102" s="140" t="str">
        <f>IFERROR(VLOOKUP(C1102,Stock,3,FALSE),"")</f>
        <v>Transport</v>
      </c>
      <c r="E1102" s="45">
        <v>1.0</v>
      </c>
      <c r="F1102" s="198">
        <v>150000.0</v>
      </c>
      <c r="G1102" s="142">
        <f t="shared" si="40"/>
        <v>150000</v>
      </c>
      <c r="H1102" s="142"/>
      <c r="I1102" s="143">
        <f t="shared" si="38"/>
        <v>150000</v>
      </c>
      <c r="J1102" s="144">
        <f t="shared" si="39"/>
        <v>150000</v>
      </c>
      <c r="K1102" s="108" t="s">
        <v>5698</v>
      </c>
      <c r="L1102" s="199" t="s">
        <v>5699</v>
      </c>
      <c r="M1102" s="17"/>
      <c r="N1102" s="64" t="s">
        <v>5700</v>
      </c>
      <c r="O1102" s="64" t="s">
        <v>4542</v>
      </c>
      <c r="P1102" s="147" t="s">
        <v>4672</v>
      </c>
      <c r="Q1102" s="141">
        <v>620000.0</v>
      </c>
      <c r="R1102" s="149"/>
      <c r="S1102" s="149"/>
      <c r="T1102" s="149"/>
      <c r="U1102" s="149"/>
      <c r="V1102" s="149"/>
      <c r="W1102" s="149"/>
      <c r="X1102" s="64" t="s">
        <v>3810</v>
      </c>
      <c r="Y1102" s="64" t="s">
        <v>4515</v>
      </c>
      <c r="Z1102" s="68"/>
    </row>
    <row r="1103" ht="15.0" customHeight="1">
      <c r="A1103" s="206">
        <v>45954.0</v>
      </c>
      <c r="B1103" s="201" t="s">
        <v>5701</v>
      </c>
      <c r="C1103" s="45" t="s">
        <v>3193</v>
      </c>
      <c r="D1103" s="140" t="str">
        <f>IFERROR(VLOOKUP(C1103,Stock,3,FALSE),"")</f>
        <v>Toyota Avanza / Xenia 11-15 2nd Gen</v>
      </c>
      <c r="E1103" s="45">
        <v>1.0</v>
      </c>
      <c r="F1103" s="198">
        <v>1000000.0</v>
      </c>
      <c r="G1103" s="142">
        <f t="shared" si="40"/>
        <v>1000000</v>
      </c>
      <c r="H1103" s="142"/>
      <c r="I1103" s="143">
        <f t="shared" si="38"/>
        <v>1000000</v>
      </c>
      <c r="J1103" s="144">
        <f t="shared" si="39"/>
        <v>1000000</v>
      </c>
      <c r="K1103" s="108" t="s">
        <v>4313</v>
      </c>
      <c r="L1103" s="199" t="s">
        <v>5702</v>
      </c>
      <c r="M1103" s="17"/>
      <c r="N1103" s="64" t="s">
        <v>5703</v>
      </c>
      <c r="O1103" s="64" t="s">
        <v>2813</v>
      </c>
      <c r="P1103" s="147" t="s">
        <v>4672</v>
      </c>
      <c r="Q1103" s="149"/>
      <c r="R1103" s="141"/>
      <c r="S1103" s="141"/>
      <c r="T1103" s="141">
        <v>1000000.0</v>
      </c>
      <c r="U1103" s="149"/>
      <c r="V1103" s="149"/>
      <c r="W1103" s="149"/>
      <c r="X1103" s="64" t="s">
        <v>5304</v>
      </c>
      <c r="Y1103" s="64" t="s">
        <v>4515</v>
      </c>
      <c r="Z1103" s="68"/>
    </row>
    <row r="1104" ht="15.0" customHeight="1">
      <c r="A1104" s="206">
        <v>45954.0</v>
      </c>
      <c r="B1104" s="201" t="s">
        <v>5704</v>
      </c>
      <c r="C1104" s="45" t="s">
        <v>5705</v>
      </c>
      <c r="D1104" s="140" t="str">
        <f>IFERROR(VLOOKUP(C1104,Stock,3,FALSE),"")</f>
        <v>Toyota Innova 15-22 2nd Gen (Toyota)</v>
      </c>
      <c r="E1104" s="45">
        <v>1.0</v>
      </c>
      <c r="F1104" s="198">
        <v>750000.0</v>
      </c>
      <c r="G1104" s="142">
        <f t="shared" si="40"/>
        <v>750000</v>
      </c>
      <c r="H1104" s="142"/>
      <c r="I1104" s="143">
        <f t="shared" si="38"/>
        <v>750000</v>
      </c>
      <c r="J1104" s="144">
        <f t="shared" si="39"/>
        <v>750000</v>
      </c>
      <c r="K1104" s="108" t="s">
        <v>5706</v>
      </c>
      <c r="L1104" s="199" t="s">
        <v>5707</v>
      </c>
      <c r="M1104" s="17"/>
      <c r="N1104" s="64" t="s">
        <v>5708</v>
      </c>
      <c r="O1104" s="64" t="s">
        <v>2813</v>
      </c>
      <c r="P1104" s="147" t="s">
        <v>4672</v>
      </c>
      <c r="Q1104" s="149"/>
      <c r="R1104" s="141"/>
      <c r="S1104" s="141"/>
      <c r="T1104" s="141">
        <v>750000.0</v>
      </c>
      <c r="U1104" s="149"/>
      <c r="V1104" s="149"/>
      <c r="W1104" s="149"/>
      <c r="X1104" s="64" t="s">
        <v>5304</v>
      </c>
      <c r="Y1104" s="64" t="s">
        <v>4515</v>
      </c>
      <c r="Z1104" s="68"/>
    </row>
    <row r="1105" ht="15.0" customHeight="1">
      <c r="A1105" s="206">
        <v>45955.0</v>
      </c>
      <c r="B1105" s="201" t="s">
        <v>5709</v>
      </c>
      <c r="C1105" s="45" t="s">
        <v>4380</v>
      </c>
      <c r="D1105" s="140" t="str">
        <f>IFERROR(VLOOKUP(C1105,Stock,3,FALSE),"")</f>
        <v>Nissan Livina 07-12 L10 (Tanpa Lubang)</v>
      </c>
      <c r="E1105" s="45">
        <v>1.0</v>
      </c>
      <c r="F1105" s="198">
        <v>1149000.0</v>
      </c>
      <c r="G1105" s="142">
        <f t="shared" si="40"/>
        <v>1149000</v>
      </c>
      <c r="H1105" s="142"/>
      <c r="I1105" s="143">
        <f t="shared" si="38"/>
        <v>1149000</v>
      </c>
      <c r="J1105" s="144">
        <f t="shared" si="39"/>
        <v>1149000</v>
      </c>
      <c r="K1105" s="108" t="s">
        <v>4201</v>
      </c>
      <c r="L1105" s="199" t="s">
        <v>5710</v>
      </c>
      <c r="M1105" s="17"/>
      <c r="N1105" s="64" t="s">
        <v>5711</v>
      </c>
      <c r="O1105" s="64" t="s">
        <v>2813</v>
      </c>
      <c r="P1105" s="147" t="s">
        <v>4672</v>
      </c>
      <c r="Q1105" s="149"/>
      <c r="R1105" s="141"/>
      <c r="S1105" s="141"/>
      <c r="T1105" s="141">
        <v>100000.0</v>
      </c>
      <c r="U1105" s="149"/>
      <c r="V1105" s="149"/>
      <c r="W1105" s="149"/>
      <c r="X1105" s="64" t="s">
        <v>5304</v>
      </c>
      <c r="Y1105" s="64" t="s">
        <v>4515</v>
      </c>
      <c r="Z1105" s="68"/>
    </row>
    <row r="1106" ht="15.0" customHeight="1">
      <c r="A1106" s="206">
        <v>45955.0</v>
      </c>
      <c r="B1106" s="201" t="s">
        <v>5709</v>
      </c>
      <c r="C1106" s="45" t="s">
        <v>2770</v>
      </c>
      <c r="D1106" s="140" t="str">
        <f>IFERROR(VLOOKUP(C1106,Stock,3,FALSE),"")</f>
        <v>Transport</v>
      </c>
      <c r="E1106" s="45">
        <v>1.0</v>
      </c>
      <c r="F1106" s="198">
        <v>100000.0</v>
      </c>
      <c r="G1106" s="142">
        <f t="shared" si="40"/>
        <v>100000</v>
      </c>
      <c r="H1106" s="142"/>
      <c r="I1106" s="143">
        <f t="shared" si="38"/>
        <v>100000</v>
      </c>
      <c r="J1106" s="144">
        <f t="shared" si="39"/>
        <v>100000</v>
      </c>
      <c r="K1106" s="108" t="s">
        <v>4201</v>
      </c>
      <c r="L1106" s="199" t="s">
        <v>5710</v>
      </c>
      <c r="M1106" s="17"/>
      <c r="N1106" s="64" t="s">
        <v>5711</v>
      </c>
      <c r="O1106" s="64" t="s">
        <v>2813</v>
      </c>
      <c r="P1106" s="147" t="s">
        <v>4672</v>
      </c>
      <c r="Q1106" s="141">
        <v>100000.0</v>
      </c>
      <c r="R1106" s="141"/>
      <c r="S1106" s="141"/>
      <c r="T1106" s="141">
        <v>1050000.0</v>
      </c>
      <c r="U1106" s="149"/>
      <c r="V1106" s="149"/>
      <c r="W1106" s="149"/>
      <c r="X1106" s="64" t="s">
        <v>5304</v>
      </c>
      <c r="Y1106" s="64" t="s">
        <v>4515</v>
      </c>
      <c r="Z1106" s="68"/>
    </row>
    <row r="1107" ht="15.0" customHeight="1">
      <c r="A1107" s="206">
        <v>45955.0</v>
      </c>
      <c r="B1107" s="201" t="s">
        <v>5712</v>
      </c>
      <c r="C1107" s="45" t="s">
        <v>5713</v>
      </c>
      <c r="D1107" s="140" t="str">
        <f>IFERROR(VLOOKUP(C1107,Stock,3,FALSE),"")</f>
        <v>Honda Civic 22- 11th Gen Hatch/Sedan (2 Sensor/ Big /\ O )</v>
      </c>
      <c r="E1107" s="45">
        <v>1.0</v>
      </c>
      <c r="F1107" s="198">
        <v>3100000.0</v>
      </c>
      <c r="G1107" s="142">
        <f t="shared" si="40"/>
        <v>3100000</v>
      </c>
      <c r="H1107" s="142"/>
      <c r="I1107" s="143">
        <f t="shared" si="38"/>
        <v>3100000</v>
      </c>
      <c r="J1107" s="144">
        <f t="shared" si="39"/>
        <v>3100000</v>
      </c>
      <c r="K1107" s="108" t="s">
        <v>5714</v>
      </c>
      <c r="L1107" s="199" t="s">
        <v>5715</v>
      </c>
      <c r="M1107" s="17"/>
      <c r="N1107" s="64" t="s">
        <v>5716</v>
      </c>
      <c r="O1107" s="64" t="s">
        <v>5717</v>
      </c>
      <c r="P1107" s="147" t="s">
        <v>4672</v>
      </c>
      <c r="Q1107" s="149"/>
      <c r="R1107" s="141"/>
      <c r="S1107" s="141"/>
      <c r="T1107" s="141">
        <v>50000.0</v>
      </c>
      <c r="U1107" s="149"/>
      <c r="V1107" s="149"/>
      <c r="W1107" s="149"/>
      <c r="X1107" s="64" t="s">
        <v>3810</v>
      </c>
      <c r="Y1107" s="64" t="s">
        <v>4515</v>
      </c>
      <c r="Z1107" s="68"/>
    </row>
    <row r="1108" ht="15.0" customHeight="1">
      <c r="A1108" s="206">
        <v>45955.0</v>
      </c>
      <c r="B1108" s="201" t="s">
        <v>5712</v>
      </c>
      <c r="C1108" s="45" t="s">
        <v>4979</v>
      </c>
      <c r="D1108" s="140" t="str">
        <f>IFERROR(VLOOKUP(C1108,Stock,3,FALSE),"")</f>
        <v>255 Ultra + Actv-100 Application</v>
      </c>
      <c r="E1108" s="45">
        <v>1.0</v>
      </c>
      <c r="F1108" s="198">
        <v>200000.0</v>
      </c>
      <c r="G1108" s="142">
        <f t="shared" si="40"/>
        <v>200000</v>
      </c>
      <c r="H1108" s="142"/>
      <c r="I1108" s="143">
        <f t="shared" si="38"/>
        <v>200000</v>
      </c>
      <c r="J1108" s="144">
        <f t="shared" si="39"/>
        <v>200000</v>
      </c>
      <c r="K1108" s="108" t="s">
        <v>5714</v>
      </c>
      <c r="L1108" s="199" t="s">
        <v>5715</v>
      </c>
      <c r="M1108" s="17"/>
      <c r="N1108" s="64" t="s">
        <v>5716</v>
      </c>
      <c r="O1108" s="64" t="s">
        <v>5717</v>
      </c>
      <c r="P1108" s="147" t="s">
        <v>4672</v>
      </c>
      <c r="Q1108" s="149"/>
      <c r="R1108" s="141"/>
      <c r="S1108" s="141"/>
      <c r="T1108" s="141">
        <v>3250000.0</v>
      </c>
      <c r="U1108" s="149"/>
      <c r="V1108" s="149"/>
      <c r="W1108" s="149"/>
      <c r="X1108" s="64" t="s">
        <v>3810</v>
      </c>
      <c r="Y1108" s="64" t="s">
        <v>4515</v>
      </c>
      <c r="Z1108" s="68"/>
    </row>
    <row r="1109" ht="15.0" customHeight="1">
      <c r="A1109" s="206">
        <v>45955.0</v>
      </c>
      <c r="B1109" s="201" t="s">
        <v>5718</v>
      </c>
      <c r="C1109" s="45" t="s">
        <v>3930</v>
      </c>
      <c r="D1109" s="140" t="str">
        <f>IFERROR(VLOOKUP(C1109,Stock,3,FALSE),"")</f>
        <v>Suzuki Ertiga 18- 2nd Gen / XL7</v>
      </c>
      <c r="E1109" s="45">
        <v>1.0</v>
      </c>
      <c r="F1109" s="198">
        <v>1404000.0</v>
      </c>
      <c r="G1109" s="142">
        <f t="shared" si="40"/>
        <v>1404000</v>
      </c>
      <c r="H1109" s="142"/>
      <c r="I1109" s="143">
        <f t="shared" si="38"/>
        <v>1404000</v>
      </c>
      <c r="J1109" s="144">
        <f t="shared" si="39"/>
        <v>1404000</v>
      </c>
      <c r="K1109" s="108" t="s">
        <v>3101</v>
      </c>
      <c r="L1109" s="199" t="s">
        <v>5719</v>
      </c>
      <c r="M1109" s="17"/>
      <c r="N1109" s="64" t="s">
        <v>5720</v>
      </c>
      <c r="O1109" s="64" t="s">
        <v>3007</v>
      </c>
      <c r="P1109" s="147" t="s">
        <v>4672</v>
      </c>
      <c r="Q1109" s="149"/>
      <c r="R1109" s="141"/>
      <c r="S1109" s="141"/>
      <c r="T1109" s="141">
        <v>30000.0</v>
      </c>
      <c r="U1109" s="149"/>
      <c r="V1109" s="149"/>
      <c r="W1109" s="149"/>
      <c r="X1109" s="64" t="s">
        <v>3810</v>
      </c>
      <c r="Y1109" s="64" t="s">
        <v>4515</v>
      </c>
      <c r="Z1109" s="68"/>
    </row>
    <row r="1110" ht="15.0" customHeight="1">
      <c r="A1110" s="206">
        <v>45955.0</v>
      </c>
      <c r="B1110" s="201" t="s">
        <v>5718</v>
      </c>
      <c r="C1110" s="45" t="s">
        <v>2770</v>
      </c>
      <c r="D1110" s="140" t="str">
        <f>IFERROR(VLOOKUP(C1110,Stock,3,FALSE),"")</f>
        <v>Transport</v>
      </c>
      <c r="E1110" s="45">
        <v>1.0</v>
      </c>
      <c r="F1110" s="198">
        <v>250000.0</v>
      </c>
      <c r="G1110" s="142">
        <f t="shared" si="40"/>
        <v>250000</v>
      </c>
      <c r="H1110" s="142"/>
      <c r="I1110" s="143">
        <f t="shared" si="38"/>
        <v>250000</v>
      </c>
      <c r="J1110" s="144">
        <f t="shared" si="39"/>
        <v>250000</v>
      </c>
      <c r="K1110" s="108" t="s">
        <v>3101</v>
      </c>
      <c r="L1110" s="199" t="s">
        <v>5719</v>
      </c>
      <c r="M1110" s="17"/>
      <c r="N1110" s="64" t="s">
        <v>5720</v>
      </c>
      <c r="O1110" s="64" t="s">
        <v>3007</v>
      </c>
      <c r="P1110" s="147" t="s">
        <v>4672</v>
      </c>
      <c r="Q1110" s="149"/>
      <c r="R1110" s="141"/>
      <c r="S1110" s="141"/>
      <c r="T1110" s="141">
        <v>1824000.0</v>
      </c>
      <c r="U1110" s="149"/>
      <c r="V1110" s="149"/>
      <c r="W1110" s="149"/>
      <c r="X1110" s="64" t="s">
        <v>3810</v>
      </c>
      <c r="Y1110" s="64" t="s">
        <v>4515</v>
      </c>
      <c r="Z1110" s="68"/>
    </row>
    <row r="1111" ht="15.0" customHeight="1">
      <c r="A1111" s="206">
        <v>45955.0</v>
      </c>
      <c r="B1111" s="201" t="s">
        <v>5718</v>
      </c>
      <c r="C1111" s="45" t="s">
        <v>4979</v>
      </c>
      <c r="D1111" s="140" t="str">
        <f>IFERROR(VLOOKUP(C1111,Stock,3,FALSE),"")</f>
        <v>255 Ultra + Actv-100 Application</v>
      </c>
      <c r="E1111" s="45">
        <v>1.0</v>
      </c>
      <c r="F1111" s="198">
        <v>200000.0</v>
      </c>
      <c r="G1111" s="142">
        <f t="shared" si="40"/>
        <v>200000</v>
      </c>
      <c r="H1111" s="142"/>
      <c r="I1111" s="143">
        <f t="shared" si="38"/>
        <v>200000</v>
      </c>
      <c r="J1111" s="144">
        <f t="shared" si="39"/>
        <v>200000</v>
      </c>
      <c r="K1111" s="108" t="s">
        <v>3101</v>
      </c>
      <c r="L1111" s="199" t="s">
        <v>5719</v>
      </c>
      <c r="M1111" s="17"/>
      <c r="N1111" s="64" t="s">
        <v>5720</v>
      </c>
      <c r="O1111" s="64" t="s">
        <v>3007</v>
      </c>
      <c r="P1111" s="147" t="s">
        <v>4672</v>
      </c>
      <c r="Q1111" s="149"/>
      <c r="R1111" s="149"/>
      <c r="S1111" s="149"/>
      <c r="T1111" s="149"/>
      <c r="U1111" s="149"/>
      <c r="V1111" s="149"/>
      <c r="W1111" s="149"/>
      <c r="X1111" s="64" t="s">
        <v>3810</v>
      </c>
      <c r="Y1111" s="64" t="s">
        <v>4515</v>
      </c>
      <c r="Z1111" s="68"/>
    </row>
    <row r="1112" ht="15.0" customHeight="1">
      <c r="A1112" s="206">
        <v>45955.0</v>
      </c>
      <c r="B1112" s="201" t="s">
        <v>5721</v>
      </c>
      <c r="C1112" s="45" t="s">
        <v>2830</v>
      </c>
      <c r="D1112" s="279" t="s">
        <v>2877</v>
      </c>
      <c r="E1112" s="45"/>
      <c r="F1112" s="198">
        <v>1100000.0</v>
      </c>
      <c r="G1112" s="142">
        <f t="shared" si="40"/>
        <v>0</v>
      </c>
      <c r="H1112" s="142"/>
      <c r="I1112" s="143">
        <f t="shared" si="38"/>
        <v>0</v>
      </c>
      <c r="J1112" s="144">
        <f t="shared" si="39"/>
        <v>0</v>
      </c>
      <c r="K1112" s="108" t="s">
        <v>5722</v>
      </c>
      <c r="L1112" s="199" t="s">
        <v>5723</v>
      </c>
      <c r="M1112" s="17"/>
      <c r="N1112" s="64" t="s">
        <v>5724</v>
      </c>
      <c r="O1112" s="64" t="s">
        <v>5725</v>
      </c>
      <c r="P1112" s="147" t="s">
        <v>4672</v>
      </c>
      <c r="Q1112" s="149"/>
      <c r="R1112" s="141"/>
      <c r="S1112" s="141"/>
      <c r="T1112" s="141"/>
      <c r="U1112" s="149"/>
      <c r="V1112" s="149"/>
      <c r="W1112" s="149"/>
      <c r="X1112" s="64" t="s">
        <v>3810</v>
      </c>
      <c r="Y1112" s="64" t="s">
        <v>4515</v>
      </c>
      <c r="Z1112" s="68"/>
    </row>
    <row r="1113" ht="15.0" customHeight="1">
      <c r="A1113" s="206">
        <v>45955.0</v>
      </c>
      <c r="B1113" s="201" t="s">
        <v>5726</v>
      </c>
      <c r="C1113" s="45" t="s">
        <v>2973</v>
      </c>
      <c r="D1113" s="140" t="str">
        <f>IFERROR(VLOOKUP(C1113,Stock,3,FALSE),"")</f>
        <v>Suzuki Carry New 19-</v>
      </c>
      <c r="E1113" s="45">
        <v>1.0</v>
      </c>
      <c r="F1113" s="198">
        <v>1150000.0</v>
      </c>
      <c r="G1113" s="142">
        <f t="shared" si="40"/>
        <v>1150000</v>
      </c>
      <c r="H1113" s="142"/>
      <c r="I1113" s="143">
        <f t="shared" si="38"/>
        <v>1150000</v>
      </c>
      <c r="J1113" s="144">
        <f t="shared" si="39"/>
        <v>1150000</v>
      </c>
      <c r="K1113" s="108" t="s">
        <v>5727</v>
      </c>
      <c r="L1113" s="199" t="s">
        <v>5728</v>
      </c>
      <c r="M1113" s="17"/>
      <c r="N1113" s="64" t="s">
        <v>5729</v>
      </c>
      <c r="O1113" s="64" t="s">
        <v>2813</v>
      </c>
      <c r="P1113" s="147" t="s">
        <v>4672</v>
      </c>
      <c r="Q1113" s="149"/>
      <c r="R1113" s="141"/>
      <c r="S1113" s="141"/>
      <c r="T1113" s="141">
        <v>100000.0</v>
      </c>
      <c r="U1113" s="149"/>
      <c r="V1113" s="149"/>
      <c r="W1113" s="149"/>
      <c r="X1113" s="64" t="s">
        <v>5304</v>
      </c>
      <c r="Y1113" s="64" t="s">
        <v>4515</v>
      </c>
      <c r="Z1113" s="68"/>
    </row>
    <row r="1114" ht="15.0" customHeight="1">
      <c r="A1114" s="206">
        <v>45955.0</v>
      </c>
      <c r="B1114" s="201" t="s">
        <v>5726</v>
      </c>
      <c r="C1114" s="45" t="s">
        <v>2962</v>
      </c>
      <c r="D1114" s="140" t="str">
        <f>IFERROR(VLOOKUP(C1114,Stock,3,FALSE),"")</f>
        <v>Lembur</v>
      </c>
      <c r="E1114" s="45">
        <v>1.0</v>
      </c>
      <c r="F1114" s="198">
        <v>150000.0</v>
      </c>
      <c r="G1114" s="142">
        <f t="shared" si="40"/>
        <v>150000</v>
      </c>
      <c r="H1114" s="142"/>
      <c r="I1114" s="143">
        <f t="shared" si="38"/>
        <v>150000</v>
      </c>
      <c r="J1114" s="144">
        <f t="shared" si="39"/>
        <v>150000</v>
      </c>
      <c r="K1114" s="108" t="s">
        <v>5727</v>
      </c>
      <c r="L1114" s="199" t="s">
        <v>5728</v>
      </c>
      <c r="M1114" s="17"/>
      <c r="N1114" s="64" t="s">
        <v>5729</v>
      </c>
      <c r="O1114" s="64" t="s">
        <v>2813</v>
      </c>
      <c r="P1114" s="147" t="s">
        <v>4672</v>
      </c>
      <c r="Q1114" s="141">
        <v>1200000.0</v>
      </c>
      <c r="R1114" s="141"/>
      <c r="S1114" s="141"/>
      <c r="T1114" s="141"/>
      <c r="U1114" s="149"/>
      <c r="V1114" s="149"/>
      <c r="W1114" s="149"/>
      <c r="X1114" s="64" t="s">
        <v>5304</v>
      </c>
      <c r="Y1114" s="64" t="s">
        <v>4515</v>
      </c>
      <c r="Z1114" s="68"/>
    </row>
    <row r="1115" ht="15.0" customHeight="1">
      <c r="A1115" s="206">
        <v>45955.0</v>
      </c>
      <c r="B1115" s="201" t="s">
        <v>5730</v>
      </c>
      <c r="C1115" s="45" t="s">
        <v>3193</v>
      </c>
      <c r="D1115" s="140" t="str">
        <f>IFERROR(VLOOKUP(C1115,Stock,3,FALSE),"")</f>
        <v>Toyota Avanza / Xenia 11-15 2nd Gen</v>
      </c>
      <c r="E1115" s="45">
        <v>1.0</v>
      </c>
      <c r="F1115" s="198">
        <v>1000000.0</v>
      </c>
      <c r="G1115" s="142">
        <f t="shared" si="40"/>
        <v>1000000</v>
      </c>
      <c r="H1115" s="142"/>
      <c r="I1115" s="143">
        <f t="shared" si="38"/>
        <v>1000000</v>
      </c>
      <c r="J1115" s="144">
        <f t="shared" si="39"/>
        <v>1000000</v>
      </c>
      <c r="K1115" s="108" t="s">
        <v>5731</v>
      </c>
      <c r="L1115" s="199" t="s">
        <v>5732</v>
      </c>
      <c r="M1115" s="17"/>
      <c r="N1115" s="64" t="s">
        <v>5733</v>
      </c>
      <c r="O1115" s="64" t="s">
        <v>2768</v>
      </c>
      <c r="P1115" s="147" t="s">
        <v>4672</v>
      </c>
      <c r="Q1115" s="149"/>
      <c r="R1115" s="141"/>
      <c r="S1115" s="141"/>
      <c r="T1115" s="141">
        <v>1150000.0</v>
      </c>
      <c r="U1115" s="149"/>
      <c r="V1115" s="149"/>
      <c r="W1115" s="149"/>
      <c r="X1115" s="64" t="s">
        <v>3810</v>
      </c>
      <c r="Y1115" s="64" t="s">
        <v>4515</v>
      </c>
      <c r="Z1115" s="68"/>
    </row>
    <row r="1116" ht="15.0" customHeight="1">
      <c r="A1116" s="206">
        <v>45955.0</v>
      </c>
      <c r="B1116" s="201" t="s">
        <v>5730</v>
      </c>
      <c r="C1116" s="45" t="s">
        <v>5254</v>
      </c>
      <c r="D1116" s="140" t="str">
        <f>IFERROR(VLOOKUP(C1116,Stock,3,FALSE),"")</f>
        <v>Automotive Film Standard - Black 40%				</v>
      </c>
      <c r="E1116" s="45">
        <v>1.0</v>
      </c>
      <c r="F1116" s="198">
        <v>150000.0</v>
      </c>
      <c r="G1116" s="142">
        <f t="shared" si="40"/>
        <v>150000</v>
      </c>
      <c r="H1116" s="142"/>
      <c r="I1116" s="143">
        <f t="shared" si="38"/>
        <v>150000</v>
      </c>
      <c r="J1116" s="144">
        <f t="shared" si="39"/>
        <v>150000</v>
      </c>
      <c r="K1116" s="108" t="s">
        <v>5731</v>
      </c>
      <c r="L1116" s="199" t="s">
        <v>5732</v>
      </c>
      <c r="M1116" s="17"/>
      <c r="N1116" s="64" t="s">
        <v>5733</v>
      </c>
      <c r="O1116" s="64" t="s">
        <v>2768</v>
      </c>
      <c r="P1116" s="147" t="s">
        <v>4672</v>
      </c>
      <c r="Q1116" s="149"/>
      <c r="R1116" s="149"/>
      <c r="S1116" s="149"/>
      <c r="T1116" s="149"/>
      <c r="U1116" s="149"/>
      <c r="V1116" s="149"/>
      <c r="W1116" s="149"/>
      <c r="X1116" s="64" t="s">
        <v>3810</v>
      </c>
      <c r="Y1116" s="64" t="s">
        <v>4515</v>
      </c>
      <c r="Z1116" s="68"/>
    </row>
    <row r="1117" ht="15.0" customHeight="1">
      <c r="A1117" s="206">
        <v>45956.0</v>
      </c>
      <c r="B1117" s="201" t="s">
        <v>5734</v>
      </c>
      <c r="C1117" s="45" t="s">
        <v>5735</v>
      </c>
      <c r="D1117" s="140" t="str">
        <f>IFERROR(VLOOKUP(C1117,Stock,3,FALSE),"")</f>
        <v>Daihatsu Gran Max / Luxio 07-</v>
      </c>
      <c r="E1117" s="45">
        <v>1.0</v>
      </c>
      <c r="F1117" s="198">
        <v>450000.0</v>
      </c>
      <c r="G1117" s="142">
        <f t="shared" si="40"/>
        <v>450000</v>
      </c>
      <c r="H1117" s="142"/>
      <c r="I1117" s="143">
        <f t="shared" si="38"/>
        <v>450000</v>
      </c>
      <c r="J1117" s="144">
        <f t="shared" si="39"/>
        <v>450000</v>
      </c>
      <c r="K1117" s="108" t="s">
        <v>5736</v>
      </c>
      <c r="L1117" s="199" t="s">
        <v>5737</v>
      </c>
      <c r="M1117" s="17"/>
      <c r="N1117" s="64" t="s">
        <v>5738</v>
      </c>
      <c r="O1117" s="64" t="s">
        <v>5739</v>
      </c>
      <c r="P1117" s="147" t="s">
        <v>4672</v>
      </c>
      <c r="Q1117" s="149"/>
      <c r="R1117" s="141"/>
      <c r="S1117" s="141"/>
      <c r="T1117" s="141">
        <v>30000.0</v>
      </c>
      <c r="U1117" s="149"/>
      <c r="V1117" s="149"/>
      <c r="W1117" s="149"/>
      <c r="X1117" s="64" t="s">
        <v>5304</v>
      </c>
      <c r="Y1117" s="64" t="s">
        <v>4515</v>
      </c>
      <c r="Z1117" s="68"/>
    </row>
    <row r="1118" ht="15.0" customHeight="1">
      <c r="A1118" s="206">
        <v>45956.0</v>
      </c>
      <c r="B1118" s="201" t="s">
        <v>5734</v>
      </c>
      <c r="C1118" s="45" t="s">
        <v>5740</v>
      </c>
      <c r="D1118" s="140" t="str">
        <f>IFERROR(VLOOKUP(C1118,Stock,3,FALSE),"")</f>
        <v>Isuzu Elf  93- NKR NHR </v>
      </c>
      <c r="E1118" s="45">
        <v>1.0</v>
      </c>
      <c r="F1118" s="198">
        <v>665000.0</v>
      </c>
      <c r="G1118" s="142">
        <f t="shared" si="40"/>
        <v>665000</v>
      </c>
      <c r="H1118" s="142"/>
      <c r="I1118" s="143">
        <f t="shared" si="38"/>
        <v>665000</v>
      </c>
      <c r="J1118" s="144">
        <f t="shared" si="39"/>
        <v>665000</v>
      </c>
      <c r="K1118" s="108" t="s">
        <v>5736</v>
      </c>
      <c r="L1118" s="199" t="s">
        <v>5737</v>
      </c>
      <c r="M1118" s="17"/>
      <c r="N1118" s="64" t="s">
        <v>5741</v>
      </c>
      <c r="O1118" s="64" t="s">
        <v>5739</v>
      </c>
      <c r="P1118" s="147" t="s">
        <v>4672</v>
      </c>
      <c r="Q1118" s="149"/>
      <c r="R1118" s="141"/>
      <c r="S1118" s="141"/>
      <c r="T1118" s="141">
        <v>1285000.0</v>
      </c>
      <c r="U1118" s="149"/>
      <c r="V1118" s="149"/>
      <c r="W1118" s="149"/>
      <c r="X1118" s="64" t="s">
        <v>5304</v>
      </c>
      <c r="Y1118" s="64" t="s">
        <v>4515</v>
      </c>
      <c r="Z1118" s="68"/>
    </row>
    <row r="1119" ht="15.0" customHeight="1">
      <c r="A1119" s="206">
        <v>45956.0</v>
      </c>
      <c r="B1119" s="201" t="s">
        <v>5734</v>
      </c>
      <c r="C1119" s="45" t="s">
        <v>2962</v>
      </c>
      <c r="D1119" s="140" t="str">
        <f>IFERROR(VLOOKUP(C1119,Stock,3,FALSE),"")</f>
        <v>Lembur</v>
      </c>
      <c r="E1119" s="45">
        <v>2.0</v>
      </c>
      <c r="F1119" s="198">
        <v>100000.0</v>
      </c>
      <c r="G1119" s="142">
        <f t="shared" si="40"/>
        <v>200000</v>
      </c>
      <c r="H1119" s="142"/>
      <c r="I1119" s="143">
        <f t="shared" si="38"/>
        <v>200000</v>
      </c>
      <c r="J1119" s="144">
        <f t="shared" si="39"/>
        <v>200000</v>
      </c>
      <c r="K1119" s="108" t="s">
        <v>5736</v>
      </c>
      <c r="L1119" s="199" t="s">
        <v>5737</v>
      </c>
      <c r="M1119" s="17"/>
      <c r="N1119" s="64" t="s">
        <v>5742</v>
      </c>
      <c r="O1119" s="64" t="s">
        <v>5739</v>
      </c>
      <c r="P1119" s="147" t="s">
        <v>4672</v>
      </c>
      <c r="Q1119" s="149"/>
      <c r="R1119" s="149"/>
      <c r="S1119" s="149"/>
      <c r="T1119" s="149"/>
      <c r="U1119" s="149"/>
      <c r="V1119" s="149"/>
      <c r="W1119" s="149"/>
      <c r="X1119" s="64" t="s">
        <v>5304</v>
      </c>
      <c r="Y1119" s="64" t="s">
        <v>4515</v>
      </c>
      <c r="Z1119" s="68"/>
    </row>
    <row r="1120" ht="15.0" customHeight="1">
      <c r="A1120" s="206">
        <v>45956.0</v>
      </c>
      <c r="B1120" s="201" t="s">
        <v>5743</v>
      </c>
      <c r="C1120" s="64" t="s">
        <v>3205</v>
      </c>
      <c r="D1120" s="140" t="str">
        <f>IFERROR(VLOOKUP(C1120,Stock,3,FALSE),"")</f>
        <v>Toyota Innova 04-15 1st Gen</v>
      </c>
      <c r="E1120" s="45">
        <v>1.0</v>
      </c>
      <c r="F1120" s="198">
        <v>1248000.0</v>
      </c>
      <c r="G1120" s="142">
        <f t="shared" si="40"/>
        <v>1248000</v>
      </c>
      <c r="H1120" s="142"/>
      <c r="I1120" s="143">
        <f t="shared" si="38"/>
        <v>1248000</v>
      </c>
      <c r="J1120" s="144">
        <f t="shared" si="39"/>
        <v>1248000</v>
      </c>
      <c r="K1120" s="108" t="s">
        <v>5744</v>
      </c>
      <c r="L1120" s="199" t="s">
        <v>5745</v>
      </c>
      <c r="M1120" s="17"/>
      <c r="N1120" s="64" t="s">
        <v>5746</v>
      </c>
      <c r="O1120" s="64" t="s">
        <v>3007</v>
      </c>
      <c r="P1120" s="147" t="s">
        <v>4672</v>
      </c>
      <c r="Q1120" s="149"/>
      <c r="R1120" s="141"/>
      <c r="S1120" s="141"/>
      <c r="T1120" s="141">
        <v>1398000.0</v>
      </c>
      <c r="U1120" s="149"/>
      <c r="V1120" s="149"/>
      <c r="W1120" s="149"/>
      <c r="X1120" s="64" t="s">
        <v>5304</v>
      </c>
      <c r="Y1120" s="64" t="s">
        <v>4515</v>
      </c>
      <c r="Z1120" s="68"/>
    </row>
    <row r="1121" ht="15.0" customHeight="1">
      <c r="A1121" s="206">
        <v>45956.0</v>
      </c>
      <c r="B1121" s="201" t="s">
        <v>5743</v>
      </c>
      <c r="C1121" s="45" t="s">
        <v>2962</v>
      </c>
      <c r="D1121" s="140" t="str">
        <f>IFERROR(VLOOKUP(C1121,Stock,3,FALSE),"")</f>
        <v>Lembur</v>
      </c>
      <c r="E1121" s="64">
        <v>1.0</v>
      </c>
      <c r="F1121" s="198">
        <v>150000.0</v>
      </c>
      <c r="G1121" s="142">
        <f t="shared" si="40"/>
        <v>150000</v>
      </c>
      <c r="H1121" s="142"/>
      <c r="I1121" s="143">
        <f t="shared" si="38"/>
        <v>150000</v>
      </c>
      <c r="J1121" s="144">
        <f t="shared" si="39"/>
        <v>150000</v>
      </c>
      <c r="K1121" s="108" t="s">
        <v>5744</v>
      </c>
      <c r="L1121" s="199" t="s">
        <v>5745</v>
      </c>
      <c r="M1121" s="17"/>
      <c r="N1121" s="64" t="s">
        <v>5746</v>
      </c>
      <c r="O1121" s="64" t="s">
        <v>3007</v>
      </c>
      <c r="P1121" s="147" t="s">
        <v>4672</v>
      </c>
      <c r="Q1121" s="68"/>
      <c r="R1121" s="68"/>
      <c r="S1121" s="68"/>
      <c r="T1121" s="68"/>
      <c r="U1121" s="68"/>
      <c r="V1121" s="68"/>
      <c r="W1121" s="68"/>
      <c r="X1121" s="64" t="s">
        <v>5304</v>
      </c>
      <c r="Y1121" s="64" t="s">
        <v>4515</v>
      </c>
      <c r="Z1121" s="68"/>
    </row>
    <row r="1122" ht="15.0" customHeight="1">
      <c r="A1122" s="206">
        <v>45956.0</v>
      </c>
      <c r="B1122" s="201" t="s">
        <v>5747</v>
      </c>
      <c r="C1122" s="45" t="s">
        <v>3073</v>
      </c>
      <c r="D1122" s="140" t="str">
        <f>IFERROR(VLOOKUP(C1122,Stock,3,FALSE),"")</f>
        <v>Toyota Innova 15- 2nd Gen</v>
      </c>
      <c r="E1122" s="45">
        <v>1.0</v>
      </c>
      <c r="F1122" s="198">
        <v>1248000.0</v>
      </c>
      <c r="G1122" s="142">
        <f t="shared" si="40"/>
        <v>1248000</v>
      </c>
      <c r="H1122" s="142"/>
      <c r="I1122" s="143">
        <f t="shared" si="38"/>
        <v>1248000</v>
      </c>
      <c r="J1122" s="144">
        <f t="shared" si="39"/>
        <v>1248000</v>
      </c>
      <c r="K1122" s="108" t="s">
        <v>5748</v>
      </c>
      <c r="L1122" s="199" t="s">
        <v>5749</v>
      </c>
      <c r="M1122" s="17"/>
      <c r="N1122" s="64" t="s">
        <v>5750</v>
      </c>
      <c r="O1122" s="64" t="s">
        <v>2813</v>
      </c>
      <c r="P1122" s="147" t="s">
        <v>4672</v>
      </c>
      <c r="Q1122" s="149"/>
      <c r="R1122" s="141"/>
      <c r="S1122" s="141"/>
      <c r="T1122" s="141">
        <v>1348000.0</v>
      </c>
      <c r="U1122" s="149"/>
      <c r="V1122" s="149"/>
      <c r="W1122" s="149"/>
      <c r="X1122" s="64" t="s">
        <v>5304</v>
      </c>
      <c r="Y1122" s="64" t="s">
        <v>4515</v>
      </c>
      <c r="Z1122" s="68"/>
    </row>
    <row r="1123" ht="15.0" customHeight="1">
      <c r="A1123" s="206">
        <v>45956.0</v>
      </c>
      <c r="B1123" s="201" t="s">
        <v>5747</v>
      </c>
      <c r="C1123" s="45" t="s">
        <v>2962</v>
      </c>
      <c r="D1123" s="140" t="str">
        <f>IFERROR(VLOOKUP(C1123,Stock,3,FALSE),"")</f>
        <v>Lembur</v>
      </c>
      <c r="E1123" s="45">
        <v>1.0</v>
      </c>
      <c r="F1123" s="198">
        <v>100000.0</v>
      </c>
      <c r="G1123" s="142">
        <f t="shared" si="40"/>
        <v>100000</v>
      </c>
      <c r="H1123" s="142"/>
      <c r="I1123" s="143">
        <f t="shared" si="38"/>
        <v>100000</v>
      </c>
      <c r="J1123" s="144">
        <f t="shared" si="39"/>
        <v>100000</v>
      </c>
      <c r="K1123" s="108" t="s">
        <v>5748</v>
      </c>
      <c r="L1123" s="199" t="s">
        <v>5749</v>
      </c>
      <c r="M1123" s="17"/>
      <c r="N1123" s="64" t="s">
        <v>5750</v>
      </c>
      <c r="O1123" s="64" t="s">
        <v>2813</v>
      </c>
      <c r="P1123" s="147" t="s">
        <v>4672</v>
      </c>
      <c r="Q1123" s="149"/>
      <c r="R1123" s="149"/>
      <c r="S1123" s="149"/>
      <c r="T1123" s="149"/>
      <c r="U1123" s="149"/>
      <c r="V1123" s="149"/>
      <c r="W1123" s="149"/>
      <c r="X1123" s="64" t="s">
        <v>5304</v>
      </c>
      <c r="Y1123" s="64" t="s">
        <v>4515</v>
      </c>
      <c r="Z1123" s="68"/>
    </row>
    <row r="1124" ht="15.0" customHeight="1">
      <c r="A1124" s="206">
        <v>45956.0</v>
      </c>
      <c r="B1124" s="201" t="s">
        <v>5751</v>
      </c>
      <c r="C1124" s="45" t="s">
        <v>5752</v>
      </c>
      <c r="D1124" s="140" t="str">
        <f>IFERROR(VLOOKUP(C1124,Stock,3,FALSE),"")</f>
        <v>Honda Brio 10-17 [Lubang Wiper] (Honda)</v>
      </c>
      <c r="E1124" s="45">
        <v>1.0</v>
      </c>
      <c r="F1124" s="198">
        <v>1550000.0</v>
      </c>
      <c r="G1124" s="142">
        <f t="shared" si="40"/>
        <v>1550000</v>
      </c>
      <c r="H1124" s="142"/>
      <c r="I1124" s="143">
        <f t="shared" si="38"/>
        <v>1550000</v>
      </c>
      <c r="J1124" s="144">
        <f t="shared" si="39"/>
        <v>1550000</v>
      </c>
      <c r="K1124" s="108" t="s">
        <v>2912</v>
      </c>
      <c r="L1124" s="199" t="s">
        <v>5753</v>
      </c>
      <c r="M1124" s="17"/>
      <c r="N1124" s="64" t="s">
        <v>5754</v>
      </c>
      <c r="O1124" s="64" t="s">
        <v>2813</v>
      </c>
      <c r="P1124" s="147" t="s">
        <v>4672</v>
      </c>
      <c r="Q1124" s="149"/>
      <c r="R1124" s="141"/>
      <c r="S1124" s="141"/>
      <c r="T1124" s="141">
        <v>50000.0</v>
      </c>
      <c r="U1124" s="149"/>
      <c r="V1124" s="149"/>
      <c r="W1124" s="149"/>
      <c r="X1124" s="64" t="s">
        <v>5304</v>
      </c>
      <c r="Y1124" s="64" t="s">
        <v>4515</v>
      </c>
      <c r="Z1124" s="68"/>
    </row>
    <row r="1125" ht="15.0" customHeight="1">
      <c r="A1125" s="206">
        <v>45956.0</v>
      </c>
      <c r="B1125" s="201" t="s">
        <v>5751</v>
      </c>
      <c r="C1125" s="45" t="s">
        <v>2962</v>
      </c>
      <c r="D1125" s="140" t="str">
        <f>IFERROR(VLOOKUP(C1125,Stock,3,FALSE),"")</f>
        <v>Lembur</v>
      </c>
      <c r="E1125" s="45">
        <v>1.0</v>
      </c>
      <c r="F1125" s="198">
        <v>100000.0</v>
      </c>
      <c r="G1125" s="142">
        <f t="shared" si="40"/>
        <v>100000</v>
      </c>
      <c r="H1125" s="142"/>
      <c r="I1125" s="143">
        <f t="shared" si="38"/>
        <v>100000</v>
      </c>
      <c r="J1125" s="144">
        <f t="shared" si="39"/>
        <v>100000</v>
      </c>
      <c r="K1125" s="108" t="s">
        <v>2912</v>
      </c>
      <c r="L1125" s="199" t="s">
        <v>5753</v>
      </c>
      <c r="M1125" s="17"/>
      <c r="N1125" s="64" t="s">
        <v>5754</v>
      </c>
      <c r="O1125" s="64" t="s">
        <v>2813</v>
      </c>
      <c r="P1125" s="147" t="s">
        <v>4672</v>
      </c>
      <c r="Q1125" s="149"/>
      <c r="R1125" s="141"/>
      <c r="S1125" s="141"/>
      <c r="T1125" s="141">
        <v>1750000.0</v>
      </c>
      <c r="U1125" s="149"/>
      <c r="V1125" s="149"/>
      <c r="W1125" s="149"/>
      <c r="X1125" s="64" t="s">
        <v>5304</v>
      </c>
      <c r="Y1125" s="64" t="s">
        <v>4515</v>
      </c>
      <c r="Z1125" s="68"/>
    </row>
    <row r="1126" ht="15.0" customHeight="1">
      <c r="A1126" s="206">
        <v>45956.0</v>
      </c>
      <c r="B1126" s="201" t="s">
        <v>5751</v>
      </c>
      <c r="C1126" s="45" t="s">
        <v>2770</v>
      </c>
      <c r="D1126" s="140" t="str">
        <f>IFERROR(VLOOKUP(C1126,Stock,3,FALSE),"")</f>
        <v>Transport</v>
      </c>
      <c r="E1126" s="45">
        <v>1.0</v>
      </c>
      <c r="F1126" s="198">
        <v>150000.0</v>
      </c>
      <c r="G1126" s="142">
        <f t="shared" si="40"/>
        <v>150000</v>
      </c>
      <c r="H1126" s="142"/>
      <c r="I1126" s="143">
        <f t="shared" si="38"/>
        <v>150000</v>
      </c>
      <c r="J1126" s="144">
        <f t="shared" si="39"/>
        <v>150000</v>
      </c>
      <c r="K1126" s="108" t="s">
        <v>2912</v>
      </c>
      <c r="L1126" s="199" t="s">
        <v>5753</v>
      </c>
      <c r="M1126" s="17"/>
      <c r="N1126" s="64" t="s">
        <v>5754</v>
      </c>
      <c r="O1126" s="64" t="s">
        <v>2813</v>
      </c>
      <c r="P1126" s="147" t="s">
        <v>4672</v>
      </c>
      <c r="Q1126" s="149"/>
      <c r="R1126" s="149"/>
      <c r="S1126" s="149"/>
      <c r="T1126" s="149"/>
      <c r="U1126" s="149"/>
      <c r="V1126" s="149"/>
      <c r="W1126" s="149"/>
      <c r="X1126" s="64" t="s">
        <v>5304</v>
      </c>
      <c r="Y1126" s="64" t="s">
        <v>4515</v>
      </c>
      <c r="Z1126" s="68"/>
    </row>
    <row r="1127" ht="15.0" customHeight="1">
      <c r="A1127" s="206">
        <v>45957.0</v>
      </c>
      <c r="B1127" s="201" t="s">
        <v>5755</v>
      </c>
      <c r="C1127" s="45" t="s">
        <v>5756</v>
      </c>
      <c r="D1127" s="140" t="str">
        <f>IFERROR(VLOOKUP(C1127,Stock,3,FALSE),"")</f>
        <v>Toyota Yaris 13-17 2nd Gen  / Vios 14-22 3rd Gen (Toyota)</v>
      </c>
      <c r="E1127" s="45">
        <v>1.0</v>
      </c>
      <c r="F1127" s="198">
        <v>4200000.0</v>
      </c>
      <c r="G1127" s="142">
        <f t="shared" si="40"/>
        <v>4200000</v>
      </c>
      <c r="H1127" s="142"/>
      <c r="I1127" s="143">
        <f t="shared" si="38"/>
        <v>4200000</v>
      </c>
      <c r="J1127" s="144">
        <f t="shared" si="39"/>
        <v>4200000</v>
      </c>
      <c r="K1127" s="108" t="s">
        <v>5757</v>
      </c>
      <c r="L1127" s="199" t="s">
        <v>5758</v>
      </c>
      <c r="M1127" s="17"/>
      <c r="N1127" s="64" t="s">
        <v>5759</v>
      </c>
      <c r="O1127" s="64" t="s">
        <v>2813</v>
      </c>
      <c r="P1127" s="147" t="s">
        <v>4672</v>
      </c>
      <c r="Q1127" s="149"/>
      <c r="R1127" s="141"/>
      <c r="S1127" s="141"/>
      <c r="T1127" s="141">
        <v>4200000.0</v>
      </c>
      <c r="U1127" s="149"/>
      <c r="V1127" s="149"/>
      <c r="W1127" s="149"/>
      <c r="X1127" s="64" t="s">
        <v>3810</v>
      </c>
      <c r="Y1127" s="64" t="s">
        <v>4515</v>
      </c>
      <c r="Z1127" s="68"/>
    </row>
    <row r="1128" ht="15.0" customHeight="1">
      <c r="A1128" s="206">
        <v>45957.0</v>
      </c>
      <c r="B1128" s="201" t="s">
        <v>5760</v>
      </c>
      <c r="C1128" s="45" t="s">
        <v>2830</v>
      </c>
      <c r="D1128" s="140" t="str">
        <f>IFERROR(VLOOKUP(C1128,Stock,3,FALSE),"")</f>
        <v/>
      </c>
      <c r="E1128" s="45"/>
      <c r="F1128" s="198">
        <v>2017000.0</v>
      </c>
      <c r="G1128" s="142">
        <f t="shared" si="40"/>
        <v>0</v>
      </c>
      <c r="H1128" s="142"/>
      <c r="I1128" s="143">
        <f t="shared" si="38"/>
        <v>0</v>
      </c>
      <c r="J1128" s="144">
        <f t="shared" si="39"/>
        <v>0</v>
      </c>
      <c r="K1128" s="108" t="s">
        <v>5761</v>
      </c>
      <c r="L1128" s="199" t="s">
        <v>5762</v>
      </c>
      <c r="M1128" s="17"/>
      <c r="N1128" s="68"/>
      <c r="O1128" s="64" t="s">
        <v>2776</v>
      </c>
      <c r="P1128" s="147" t="s">
        <v>4672</v>
      </c>
      <c r="Q1128" s="149"/>
      <c r="R1128" s="149"/>
      <c r="S1128" s="149"/>
      <c r="T1128" s="149"/>
      <c r="U1128" s="149"/>
      <c r="V1128" s="149"/>
      <c r="W1128" s="149"/>
      <c r="X1128" s="64" t="s">
        <v>5304</v>
      </c>
      <c r="Y1128" s="68"/>
      <c r="Z1128" s="68"/>
    </row>
    <row r="1129" ht="15.0" customHeight="1">
      <c r="A1129" s="206">
        <v>45957.0</v>
      </c>
      <c r="B1129" s="201" t="s">
        <v>5763</v>
      </c>
      <c r="C1129" s="45" t="s">
        <v>5764</v>
      </c>
      <c r="D1129" s="140" t="str">
        <f>IFERROR(VLOOKUP(C1129,Stock,3,FALSE),"")</f>
        <v>Toyota Fortuner 15-  2nd Gen (Toyota)</v>
      </c>
      <c r="E1129" s="45">
        <v>1.0</v>
      </c>
      <c r="F1129" s="198">
        <v>2339000.0</v>
      </c>
      <c r="G1129" s="142">
        <f t="shared" si="40"/>
        <v>2339000</v>
      </c>
      <c r="H1129" s="142"/>
      <c r="I1129" s="143">
        <f t="shared" si="38"/>
        <v>2339000</v>
      </c>
      <c r="J1129" s="144">
        <f t="shared" si="39"/>
        <v>2339000</v>
      </c>
      <c r="K1129" s="108" t="s">
        <v>5765</v>
      </c>
      <c r="L1129" s="199" t="s">
        <v>5766</v>
      </c>
      <c r="M1129" s="17"/>
      <c r="N1129" s="64" t="s">
        <v>5767</v>
      </c>
      <c r="O1129" s="64" t="s">
        <v>4692</v>
      </c>
      <c r="P1129" s="147" t="s">
        <v>4672</v>
      </c>
      <c r="Q1129" s="149"/>
      <c r="R1129" s="141"/>
      <c r="S1129" s="141"/>
      <c r="T1129" s="141">
        <v>100000.0</v>
      </c>
      <c r="U1129" s="149"/>
      <c r="V1129" s="149"/>
      <c r="W1129" s="149"/>
      <c r="X1129" s="64" t="s">
        <v>3810</v>
      </c>
      <c r="Y1129" s="64" t="s">
        <v>4515</v>
      </c>
      <c r="Z1129" s="68"/>
    </row>
    <row r="1130" ht="15.0" customHeight="1">
      <c r="A1130" s="206">
        <v>45957.0</v>
      </c>
      <c r="B1130" s="201" t="s">
        <v>5763</v>
      </c>
      <c r="C1130" s="45" t="s">
        <v>4979</v>
      </c>
      <c r="D1130" s="140" t="str">
        <f>IFERROR(VLOOKUP(C1130,Stock,3,FALSE),"")</f>
        <v>255 Ultra + Actv-100 Application</v>
      </c>
      <c r="E1130" s="45">
        <v>1.0</v>
      </c>
      <c r="F1130" s="198">
        <v>200000.0</v>
      </c>
      <c r="G1130" s="142">
        <f t="shared" si="40"/>
        <v>200000</v>
      </c>
      <c r="H1130" s="142"/>
      <c r="I1130" s="143">
        <f t="shared" si="38"/>
        <v>200000</v>
      </c>
      <c r="J1130" s="144">
        <f t="shared" si="39"/>
        <v>200000</v>
      </c>
      <c r="K1130" s="108" t="s">
        <v>5765</v>
      </c>
      <c r="L1130" s="199" t="s">
        <v>5766</v>
      </c>
      <c r="M1130" s="17"/>
      <c r="N1130" s="64" t="s">
        <v>5767</v>
      </c>
      <c r="O1130" s="64" t="s">
        <v>4692</v>
      </c>
      <c r="P1130" s="147" t="s">
        <v>4672</v>
      </c>
      <c r="Q1130" s="149"/>
      <c r="R1130" s="141"/>
      <c r="S1130" s="141"/>
      <c r="T1130" s="141">
        <v>2539000.0</v>
      </c>
      <c r="U1130" s="149"/>
      <c r="V1130" s="149"/>
      <c r="W1130" s="149"/>
      <c r="X1130" s="64" t="s">
        <v>3810</v>
      </c>
      <c r="Y1130" s="64" t="s">
        <v>4515</v>
      </c>
      <c r="Z1130" s="68"/>
    </row>
    <row r="1131" ht="15.0" customHeight="1">
      <c r="A1131" s="206">
        <v>45957.0</v>
      </c>
      <c r="B1131" s="201" t="s">
        <v>5763</v>
      </c>
      <c r="C1131" s="45" t="s">
        <v>2770</v>
      </c>
      <c r="D1131" s="140" t="str">
        <f>IFERROR(VLOOKUP(C1131,Stock,3,FALSE),"")</f>
        <v>Transport</v>
      </c>
      <c r="E1131" s="45">
        <v>1.0</v>
      </c>
      <c r="F1131" s="198">
        <v>100000.0</v>
      </c>
      <c r="G1131" s="142">
        <f t="shared" si="40"/>
        <v>100000</v>
      </c>
      <c r="H1131" s="142"/>
      <c r="I1131" s="143">
        <f t="shared" si="38"/>
        <v>100000</v>
      </c>
      <c r="J1131" s="144">
        <f t="shared" si="39"/>
        <v>100000</v>
      </c>
      <c r="K1131" s="108" t="s">
        <v>5765</v>
      </c>
      <c r="L1131" s="199" t="s">
        <v>5766</v>
      </c>
      <c r="M1131" s="17"/>
      <c r="N1131" s="64" t="s">
        <v>5767</v>
      </c>
      <c r="O1131" s="64" t="s">
        <v>4692</v>
      </c>
      <c r="P1131" s="147" t="s">
        <v>4672</v>
      </c>
      <c r="Q1131" s="149"/>
      <c r="R1131" s="149"/>
      <c r="S1131" s="149"/>
      <c r="T1131" s="149"/>
      <c r="U1131" s="149"/>
      <c r="V1131" s="149"/>
      <c r="W1131" s="149"/>
      <c r="X1131" s="64" t="s">
        <v>3810</v>
      </c>
      <c r="Y1131" s="64" t="s">
        <v>4515</v>
      </c>
      <c r="Z1131" s="68"/>
    </row>
    <row r="1132" ht="15.0" customHeight="1">
      <c r="A1132" s="206">
        <v>45957.0</v>
      </c>
      <c r="B1132" s="201" t="s">
        <v>5768</v>
      </c>
      <c r="C1132" s="45" t="s">
        <v>5346</v>
      </c>
      <c r="D1132" s="140" t="str">
        <f>IFERROR(VLOOKUP(C1132,Stock,3,FALSE),"")</f>
        <v>Isuzu Traga</v>
      </c>
      <c r="E1132" s="45">
        <v>1.0</v>
      </c>
      <c r="F1132" s="198">
        <v>1420000.0</v>
      </c>
      <c r="G1132" s="142">
        <f t="shared" si="40"/>
        <v>1420000</v>
      </c>
      <c r="H1132" s="142"/>
      <c r="I1132" s="143">
        <f t="shared" si="38"/>
        <v>1420000</v>
      </c>
      <c r="J1132" s="144">
        <f t="shared" si="39"/>
        <v>1420000</v>
      </c>
      <c r="K1132" s="108" t="s">
        <v>5769</v>
      </c>
      <c r="L1132" s="199" t="s">
        <v>5770</v>
      </c>
      <c r="M1132" s="17"/>
      <c r="N1132" s="64" t="s">
        <v>5771</v>
      </c>
      <c r="O1132" s="64" t="s">
        <v>5772</v>
      </c>
      <c r="P1132" s="147" t="s">
        <v>4672</v>
      </c>
      <c r="Q1132" s="149"/>
      <c r="R1132" s="141"/>
      <c r="S1132" s="141"/>
      <c r="T1132" s="141">
        <v>1420000.0</v>
      </c>
      <c r="U1132" s="149"/>
      <c r="V1132" s="149"/>
      <c r="W1132" s="149"/>
      <c r="X1132" s="64" t="s">
        <v>5304</v>
      </c>
      <c r="Y1132" s="64" t="s">
        <v>4515</v>
      </c>
      <c r="Z1132" s="68"/>
    </row>
    <row r="1133" ht="15.0" customHeight="1">
      <c r="A1133" s="206">
        <v>45957.0</v>
      </c>
      <c r="B1133" s="201" t="s">
        <v>5773</v>
      </c>
      <c r="C1133" s="45" t="s">
        <v>3193</v>
      </c>
      <c r="D1133" s="140" t="str">
        <f>IFERROR(VLOOKUP(C1133,Stock,3,FALSE),"")</f>
        <v>Toyota Avanza / Xenia 11-15 2nd Gen</v>
      </c>
      <c r="E1133" s="45">
        <v>1.0</v>
      </c>
      <c r="F1133" s="198">
        <v>1000000.0</v>
      </c>
      <c r="G1133" s="142">
        <f t="shared" si="40"/>
        <v>1000000</v>
      </c>
      <c r="H1133" s="142"/>
      <c r="I1133" s="143">
        <f t="shared" si="38"/>
        <v>1000000</v>
      </c>
      <c r="J1133" s="144">
        <f t="shared" si="39"/>
        <v>1000000</v>
      </c>
      <c r="K1133" s="108" t="s">
        <v>5774</v>
      </c>
      <c r="L1133" s="199" t="s">
        <v>5775</v>
      </c>
      <c r="M1133" s="17"/>
      <c r="N1133" s="64" t="s">
        <v>5776</v>
      </c>
      <c r="O1133" s="64" t="s">
        <v>2813</v>
      </c>
      <c r="P1133" s="147" t="s">
        <v>4672</v>
      </c>
      <c r="Q1133" s="149"/>
      <c r="R1133" s="141"/>
      <c r="S1133" s="141"/>
      <c r="T1133" s="141">
        <v>1000000.0</v>
      </c>
      <c r="U1133" s="149"/>
      <c r="V1133" s="149"/>
      <c r="W1133" s="149"/>
      <c r="X1133" s="64" t="s">
        <v>3810</v>
      </c>
      <c r="Y1133" s="64" t="s">
        <v>4515</v>
      </c>
      <c r="Z1133" s="68"/>
    </row>
    <row r="1134" ht="15.0" customHeight="1">
      <c r="A1134" s="293">
        <v>45957.0</v>
      </c>
      <c r="B1134" s="294" t="s">
        <v>5777</v>
      </c>
      <c r="C1134" s="295" t="s">
        <v>5778</v>
      </c>
      <c r="D1134" s="296" t="str">
        <f>IFERROR(VLOOKUP(C1134,Stock,3,FALSE),"")</f>
        <v>Mers-Benz A-Class 13-18 W176 / W156 / W117 (1 Sensor [] )</v>
      </c>
      <c r="E1134" s="295">
        <v>1.0</v>
      </c>
      <c r="F1134" s="297"/>
      <c r="G1134" s="298">
        <f t="shared" si="40"/>
        <v>0</v>
      </c>
      <c r="H1134" s="298"/>
      <c r="I1134" s="299">
        <f t="shared" si="38"/>
        <v>0</v>
      </c>
      <c r="J1134" s="300">
        <f t="shared" si="39"/>
        <v>0</v>
      </c>
      <c r="K1134" s="301" t="s">
        <v>4509</v>
      </c>
      <c r="L1134" s="302"/>
      <c r="M1134" s="302"/>
      <c r="N1134" s="303"/>
      <c r="O1134" s="303"/>
      <c r="P1134" s="304"/>
      <c r="Q1134" s="305"/>
      <c r="R1134" s="305"/>
      <c r="S1134" s="305"/>
      <c r="T1134" s="305"/>
      <c r="U1134" s="305"/>
      <c r="V1134" s="305"/>
      <c r="W1134" s="305"/>
      <c r="X1134" s="306" t="s">
        <v>3810</v>
      </c>
      <c r="Y1134" s="64" t="s">
        <v>4515</v>
      </c>
      <c r="Z1134" s="68"/>
    </row>
    <row r="1135" ht="15.0" customHeight="1">
      <c r="A1135" s="206">
        <v>45958.0</v>
      </c>
      <c r="B1135" s="201" t="s">
        <v>5779</v>
      </c>
      <c r="C1135" s="45" t="s">
        <v>3073</v>
      </c>
      <c r="D1135" s="140" t="str">
        <f>IFERROR(VLOOKUP(C1135,Stock,3,FALSE),"")</f>
        <v>Toyota Innova 15- 2nd Gen</v>
      </c>
      <c r="E1135" s="45">
        <v>1.0</v>
      </c>
      <c r="F1135" s="198">
        <v>1248000.0</v>
      </c>
      <c r="G1135" s="142">
        <f t="shared" si="40"/>
        <v>1248000</v>
      </c>
      <c r="H1135" s="142"/>
      <c r="I1135" s="143">
        <f t="shared" si="38"/>
        <v>1248000</v>
      </c>
      <c r="J1135" s="144">
        <f t="shared" si="39"/>
        <v>1248000</v>
      </c>
      <c r="K1135" s="108" t="s">
        <v>5780</v>
      </c>
      <c r="L1135" s="199" t="s">
        <v>5781</v>
      </c>
      <c r="M1135" s="17"/>
      <c r="N1135" s="64" t="s">
        <v>5782</v>
      </c>
      <c r="O1135" s="64" t="s">
        <v>3033</v>
      </c>
      <c r="P1135" s="147" t="s">
        <v>4672</v>
      </c>
      <c r="Q1135" s="149"/>
      <c r="R1135" s="141"/>
      <c r="S1135" s="141"/>
      <c r="T1135" s="141">
        <v>1448000.0</v>
      </c>
      <c r="U1135" s="149"/>
      <c r="V1135" s="149"/>
      <c r="W1135" s="149"/>
      <c r="X1135" s="64" t="s">
        <v>5304</v>
      </c>
      <c r="Y1135" s="64" t="s">
        <v>4515</v>
      </c>
      <c r="Z1135" s="68"/>
    </row>
    <row r="1136" ht="15.0" customHeight="1">
      <c r="A1136" s="206">
        <v>45958.0</v>
      </c>
      <c r="B1136" s="201" t="s">
        <v>5779</v>
      </c>
      <c r="C1136" s="45" t="s">
        <v>4979</v>
      </c>
      <c r="D1136" s="140" t="str">
        <f>IFERROR(VLOOKUP(C1136,Stock,3,FALSE),"")</f>
        <v>255 Ultra + Actv-100 Application</v>
      </c>
      <c r="E1136" s="45">
        <v>1.0</v>
      </c>
      <c r="F1136" s="198">
        <v>200000.0</v>
      </c>
      <c r="G1136" s="142">
        <f t="shared" si="40"/>
        <v>200000</v>
      </c>
      <c r="H1136" s="142"/>
      <c r="I1136" s="143">
        <f t="shared" si="38"/>
        <v>200000</v>
      </c>
      <c r="J1136" s="144">
        <f t="shared" si="39"/>
        <v>200000</v>
      </c>
      <c r="K1136" s="108" t="s">
        <v>5780</v>
      </c>
      <c r="L1136" s="199" t="s">
        <v>5781</v>
      </c>
      <c r="M1136" s="17"/>
      <c r="N1136" s="64" t="s">
        <v>5782</v>
      </c>
      <c r="O1136" s="64" t="s">
        <v>3033</v>
      </c>
      <c r="P1136" s="147" t="s">
        <v>4672</v>
      </c>
      <c r="Q1136" s="149"/>
      <c r="R1136" s="149"/>
      <c r="S1136" s="149"/>
      <c r="T1136" s="149"/>
      <c r="U1136" s="149"/>
      <c r="V1136" s="149"/>
      <c r="W1136" s="149"/>
      <c r="X1136" s="64" t="s">
        <v>5304</v>
      </c>
      <c r="Y1136" s="64" t="s">
        <v>4515</v>
      </c>
      <c r="Z1136" s="68"/>
    </row>
    <row r="1137" ht="15.0" customHeight="1">
      <c r="A1137" s="206">
        <v>45958.0</v>
      </c>
      <c r="B1137" s="201" t="s">
        <v>5783</v>
      </c>
      <c r="C1137" s="45" t="s">
        <v>3193</v>
      </c>
      <c r="D1137" s="140" t="str">
        <f>IFERROR(VLOOKUP(C1137,Stock,3,FALSE),"")</f>
        <v>Toyota Avanza / Xenia 11-15 2nd Gen</v>
      </c>
      <c r="E1137" s="45">
        <v>1.0</v>
      </c>
      <c r="F1137" s="198">
        <v>985000.0</v>
      </c>
      <c r="G1137" s="142">
        <f t="shared" si="40"/>
        <v>985000</v>
      </c>
      <c r="H1137" s="142"/>
      <c r="I1137" s="143">
        <f t="shared" si="38"/>
        <v>985000</v>
      </c>
      <c r="J1137" s="144">
        <f t="shared" si="39"/>
        <v>985000</v>
      </c>
      <c r="K1137" s="108" t="s">
        <v>5784</v>
      </c>
      <c r="L1137" s="199" t="s">
        <v>5785</v>
      </c>
      <c r="M1137" s="17"/>
      <c r="N1137" s="64" t="s">
        <v>5786</v>
      </c>
      <c r="O1137" s="64" t="s">
        <v>5787</v>
      </c>
      <c r="P1137" s="147" t="s">
        <v>2795</v>
      </c>
      <c r="Q1137" s="141">
        <v>1185000.0</v>
      </c>
      <c r="R1137" s="149"/>
      <c r="S1137" s="149"/>
      <c r="T1137" s="149"/>
      <c r="U1137" s="149"/>
      <c r="V1137" s="149"/>
      <c r="W1137" s="149"/>
      <c r="X1137" s="64" t="s">
        <v>5304</v>
      </c>
      <c r="Y1137" s="64" t="s">
        <v>4515</v>
      </c>
      <c r="Z1137" s="68"/>
    </row>
    <row r="1138" ht="15.0" customHeight="1">
      <c r="A1138" s="206">
        <v>45958.0</v>
      </c>
      <c r="B1138" s="201" t="s">
        <v>5783</v>
      </c>
      <c r="C1138" s="45" t="s">
        <v>4979</v>
      </c>
      <c r="D1138" s="140" t="str">
        <f>IFERROR(VLOOKUP(C1138,Stock,3,FALSE),"")</f>
        <v>255 Ultra + Actv-100 Application</v>
      </c>
      <c r="E1138" s="45">
        <v>1.0</v>
      </c>
      <c r="F1138" s="198">
        <v>200000.0</v>
      </c>
      <c r="G1138" s="142">
        <f t="shared" si="40"/>
        <v>200000</v>
      </c>
      <c r="H1138" s="142"/>
      <c r="I1138" s="143">
        <f t="shared" si="38"/>
        <v>200000</v>
      </c>
      <c r="J1138" s="144">
        <f t="shared" si="39"/>
        <v>200000</v>
      </c>
      <c r="K1138" s="108" t="s">
        <v>5784</v>
      </c>
      <c r="L1138" s="199" t="s">
        <v>5785</v>
      </c>
      <c r="M1138" s="17"/>
      <c r="N1138" s="64" t="s">
        <v>5786</v>
      </c>
      <c r="O1138" s="64" t="s">
        <v>5787</v>
      </c>
      <c r="P1138" s="147" t="s">
        <v>2795</v>
      </c>
      <c r="Q1138" s="149"/>
      <c r="R1138" s="149"/>
      <c r="S1138" s="149"/>
      <c r="T1138" s="149"/>
      <c r="U1138" s="149"/>
      <c r="V1138" s="149"/>
      <c r="W1138" s="149"/>
      <c r="X1138" s="64" t="s">
        <v>5304</v>
      </c>
      <c r="Y1138" s="64" t="s">
        <v>4515</v>
      </c>
      <c r="Z1138" s="68"/>
    </row>
    <row r="1139" ht="15.0" customHeight="1">
      <c r="A1139" s="206">
        <v>45958.0</v>
      </c>
      <c r="B1139" s="201" t="s">
        <v>5788</v>
      </c>
      <c r="C1139" s="64" t="s">
        <v>4447</v>
      </c>
      <c r="D1139" s="140" t="str">
        <f>IFERROR(VLOOKUP(C1139,Stock,3,FALSE),"")</f>
        <v>Isuzu Elf 17- New NMR NLR</v>
      </c>
      <c r="E1139" s="45">
        <v>1.0</v>
      </c>
      <c r="F1139" s="198">
        <v>1320000.0</v>
      </c>
      <c r="G1139" s="142">
        <f t="shared" si="40"/>
        <v>1320000</v>
      </c>
      <c r="H1139" s="142"/>
      <c r="I1139" s="143">
        <f t="shared" si="38"/>
        <v>1320000</v>
      </c>
      <c r="J1139" s="144">
        <f t="shared" si="39"/>
        <v>1320000</v>
      </c>
      <c r="K1139" s="108" t="s">
        <v>4961</v>
      </c>
      <c r="L1139" s="199" t="s">
        <v>5789</v>
      </c>
      <c r="M1139" s="17"/>
      <c r="N1139" s="64" t="s">
        <v>5790</v>
      </c>
      <c r="O1139" s="64" t="s">
        <v>4800</v>
      </c>
      <c r="P1139" s="147" t="s">
        <v>4672</v>
      </c>
      <c r="Q1139" s="149"/>
      <c r="R1139" s="141"/>
      <c r="S1139" s="141"/>
      <c r="T1139" s="141">
        <v>1320000.0</v>
      </c>
      <c r="U1139" s="149"/>
      <c r="V1139" s="149"/>
      <c r="W1139" s="149"/>
      <c r="X1139" s="64" t="s">
        <v>5304</v>
      </c>
      <c r="Y1139" s="64" t="s">
        <v>4515</v>
      </c>
      <c r="Z1139" s="68"/>
    </row>
    <row r="1140" ht="15.0" customHeight="1">
      <c r="A1140" s="206">
        <v>45958.0</v>
      </c>
      <c r="B1140" s="201" t="s">
        <v>5791</v>
      </c>
      <c r="C1140" s="45" t="s">
        <v>3621</v>
      </c>
      <c r="D1140" s="140" t="str">
        <f>IFERROR(VLOOKUP(C1140,Stock,3,FALSE),"")</f>
        <v>Mitsubishi Pajero 08-16</v>
      </c>
      <c r="E1140" s="45">
        <v>1.0</v>
      </c>
      <c r="F1140" s="198">
        <v>1705000.0</v>
      </c>
      <c r="G1140" s="142">
        <f t="shared" si="40"/>
        <v>1705000</v>
      </c>
      <c r="H1140" s="142"/>
      <c r="I1140" s="143">
        <f t="shared" si="38"/>
        <v>1705000</v>
      </c>
      <c r="J1140" s="144">
        <f t="shared" si="39"/>
        <v>1705000</v>
      </c>
      <c r="K1140" s="108" t="s">
        <v>5792</v>
      </c>
      <c r="L1140" s="199" t="s">
        <v>5793</v>
      </c>
      <c r="M1140" s="17"/>
      <c r="N1140" s="64" t="s">
        <v>5794</v>
      </c>
      <c r="O1140" s="64" t="s">
        <v>2760</v>
      </c>
      <c r="P1140" s="147" t="s">
        <v>4672</v>
      </c>
      <c r="Q1140" s="149"/>
      <c r="R1140" s="141"/>
      <c r="S1140" s="141"/>
      <c r="T1140" s="141">
        <v>1855000.0</v>
      </c>
      <c r="U1140" s="149"/>
      <c r="V1140" s="149"/>
      <c r="W1140" s="149"/>
      <c r="X1140" s="64" t="s">
        <v>3810</v>
      </c>
      <c r="Y1140" s="64" t="s">
        <v>4515</v>
      </c>
      <c r="Z1140" s="68"/>
    </row>
    <row r="1141" ht="15.0" customHeight="1">
      <c r="A1141" s="206">
        <v>45958.0</v>
      </c>
      <c r="B1141" s="201" t="s">
        <v>5791</v>
      </c>
      <c r="C1141" s="45" t="s">
        <v>2962</v>
      </c>
      <c r="D1141" s="140" t="str">
        <f>IFERROR(VLOOKUP(C1141,Stock,3,FALSE),"")</f>
        <v>Lembur</v>
      </c>
      <c r="E1141" s="45">
        <v>1.0</v>
      </c>
      <c r="F1141" s="198">
        <v>150000.0</v>
      </c>
      <c r="G1141" s="142">
        <f t="shared" si="40"/>
        <v>150000</v>
      </c>
      <c r="H1141" s="142"/>
      <c r="I1141" s="143">
        <f t="shared" si="38"/>
        <v>150000</v>
      </c>
      <c r="J1141" s="144">
        <f t="shared" si="39"/>
        <v>150000</v>
      </c>
      <c r="K1141" s="108" t="s">
        <v>5792</v>
      </c>
      <c r="L1141" s="199" t="s">
        <v>5793</v>
      </c>
      <c r="M1141" s="17"/>
      <c r="N1141" s="64" t="s">
        <v>5794</v>
      </c>
      <c r="O1141" s="64" t="s">
        <v>2760</v>
      </c>
      <c r="P1141" s="147" t="s">
        <v>4672</v>
      </c>
      <c r="Q1141" s="149"/>
      <c r="R1141" s="149"/>
      <c r="S1141" s="149"/>
      <c r="T1141" s="149"/>
      <c r="U1141" s="149"/>
      <c r="V1141" s="149"/>
      <c r="W1141" s="149"/>
      <c r="X1141" s="64" t="s">
        <v>3810</v>
      </c>
      <c r="Y1141" s="64" t="s">
        <v>4515</v>
      </c>
      <c r="Z1141" s="68"/>
    </row>
    <row r="1142" ht="15.0" customHeight="1">
      <c r="A1142" s="206">
        <v>45959.0</v>
      </c>
      <c r="B1142" s="201" t="s">
        <v>5795</v>
      </c>
      <c r="C1142" s="45" t="s">
        <v>2952</v>
      </c>
      <c r="D1142" s="140" t="str">
        <f>IFERROR(VLOOKUP(C1142,Stock,3,FALSE),"")</f>
        <v/>
      </c>
      <c r="E1142" s="45">
        <v>1.0</v>
      </c>
      <c r="F1142" s="198">
        <v>1000000.0</v>
      </c>
      <c r="G1142" s="142">
        <f t="shared" si="40"/>
        <v>1000000</v>
      </c>
      <c r="H1142" s="142"/>
      <c r="I1142" s="143">
        <f t="shared" si="38"/>
        <v>1000000</v>
      </c>
      <c r="J1142" s="144">
        <f t="shared" si="39"/>
        <v>1000000</v>
      </c>
      <c r="K1142" s="108" t="s">
        <v>5796</v>
      </c>
      <c r="L1142" s="199" t="s">
        <v>5797</v>
      </c>
      <c r="M1142" s="17"/>
      <c r="N1142" s="64" t="s">
        <v>5798</v>
      </c>
      <c r="O1142" s="64" t="s">
        <v>5787</v>
      </c>
      <c r="P1142" s="147" t="s">
        <v>4672</v>
      </c>
      <c r="Q1142" s="149"/>
      <c r="R1142" s="141"/>
      <c r="S1142" s="141"/>
      <c r="T1142" s="141">
        <v>1350000.0</v>
      </c>
      <c r="U1142" s="149"/>
      <c r="V1142" s="149"/>
      <c r="W1142" s="149"/>
      <c r="X1142" s="64" t="s">
        <v>3810</v>
      </c>
      <c r="Y1142" s="64" t="s">
        <v>4515</v>
      </c>
      <c r="Z1142" s="68"/>
    </row>
    <row r="1143" ht="15.0" customHeight="1">
      <c r="A1143" s="206">
        <v>45959.0</v>
      </c>
      <c r="B1143" s="201" t="s">
        <v>5795</v>
      </c>
      <c r="C1143" s="45" t="s">
        <v>5254</v>
      </c>
      <c r="D1143" s="140" t="str">
        <f>IFERROR(VLOOKUP(C1143,Stock,3,FALSE),"")</f>
        <v>Automotive Film Standard - Black 40%				</v>
      </c>
      <c r="E1143" s="45">
        <v>1.0</v>
      </c>
      <c r="F1143" s="198">
        <v>150000.0</v>
      </c>
      <c r="G1143" s="142">
        <f t="shared" si="40"/>
        <v>150000</v>
      </c>
      <c r="H1143" s="142"/>
      <c r="I1143" s="143">
        <f t="shared" si="38"/>
        <v>150000</v>
      </c>
      <c r="J1143" s="144">
        <f t="shared" si="39"/>
        <v>150000</v>
      </c>
      <c r="K1143" s="108" t="s">
        <v>5796</v>
      </c>
      <c r="L1143" s="146" t="s">
        <v>5797</v>
      </c>
      <c r="M1143" s="17"/>
      <c r="N1143" s="64" t="s">
        <v>5798</v>
      </c>
      <c r="O1143" s="64" t="s">
        <v>5787</v>
      </c>
      <c r="P1143" s="147" t="s">
        <v>4672</v>
      </c>
      <c r="Q1143" s="149"/>
      <c r="R1143" s="149"/>
      <c r="S1143" s="149"/>
      <c r="T1143" s="149"/>
      <c r="U1143" s="149"/>
      <c r="V1143" s="149"/>
      <c r="W1143" s="149"/>
      <c r="X1143" s="64" t="s">
        <v>3810</v>
      </c>
      <c r="Y1143" s="64" t="s">
        <v>4515</v>
      </c>
      <c r="Z1143" s="68"/>
    </row>
    <row r="1144" ht="15.0" customHeight="1">
      <c r="A1144" s="206">
        <v>45959.0</v>
      </c>
      <c r="B1144" s="201" t="s">
        <v>5795</v>
      </c>
      <c r="C1144" s="45" t="s">
        <v>4979</v>
      </c>
      <c r="D1144" s="140" t="str">
        <f>IFERROR(VLOOKUP(C1144,Stock,3,FALSE),"")</f>
        <v>255 Ultra + Actv-100 Application</v>
      </c>
      <c r="E1144" s="45">
        <v>1.0</v>
      </c>
      <c r="F1144" s="198">
        <v>200000.0</v>
      </c>
      <c r="G1144" s="142">
        <f t="shared" si="40"/>
        <v>200000</v>
      </c>
      <c r="H1144" s="142"/>
      <c r="I1144" s="143">
        <f t="shared" si="38"/>
        <v>200000</v>
      </c>
      <c r="J1144" s="144">
        <f t="shared" si="39"/>
        <v>200000</v>
      </c>
      <c r="K1144" s="108" t="s">
        <v>5796</v>
      </c>
      <c r="L1144" s="146" t="s">
        <v>5797</v>
      </c>
      <c r="M1144" s="17"/>
      <c r="N1144" s="64" t="s">
        <v>5798</v>
      </c>
      <c r="O1144" s="64" t="s">
        <v>5787</v>
      </c>
      <c r="P1144" s="147" t="s">
        <v>4672</v>
      </c>
      <c r="Q1144" s="149"/>
      <c r="R1144" s="149"/>
      <c r="S1144" s="149"/>
      <c r="T1144" s="149"/>
      <c r="U1144" s="149"/>
      <c r="V1144" s="149"/>
      <c r="W1144" s="149"/>
      <c r="X1144" s="64" t="s">
        <v>3810</v>
      </c>
      <c r="Y1144" s="64" t="s">
        <v>4515</v>
      </c>
      <c r="Z1144" s="68"/>
    </row>
    <row r="1145" ht="15.0" customHeight="1">
      <c r="A1145" s="206">
        <v>45960.0</v>
      </c>
      <c r="B1145" s="201" t="s">
        <v>5799</v>
      </c>
      <c r="C1145" s="45" t="s">
        <v>5800</v>
      </c>
      <c r="D1145" s="140" t="str">
        <f>IFERROR(VLOOKUP(C1145,Stock,3,FALSE),"")</f>
        <v>Toyota Fortuner 15-  2nd Gen (Toyota)</v>
      </c>
      <c r="E1145" s="45">
        <v>1.0</v>
      </c>
      <c r="F1145" s="198">
        <v>2988000.0</v>
      </c>
      <c r="G1145" s="142">
        <f t="shared" si="40"/>
        <v>2988000</v>
      </c>
      <c r="H1145" s="142"/>
      <c r="I1145" s="143">
        <f t="shared" si="38"/>
        <v>2988000</v>
      </c>
      <c r="J1145" s="144">
        <f t="shared" si="39"/>
        <v>2988000</v>
      </c>
      <c r="K1145" s="108" t="s">
        <v>5801</v>
      </c>
      <c r="L1145" s="199" t="s">
        <v>5802</v>
      </c>
      <c r="M1145" s="17"/>
      <c r="N1145" s="64" t="s">
        <v>5803</v>
      </c>
      <c r="O1145" s="64" t="s">
        <v>5787</v>
      </c>
      <c r="P1145" s="147" t="s">
        <v>4672</v>
      </c>
      <c r="Q1145" s="149"/>
      <c r="R1145" s="141"/>
      <c r="S1145" s="141"/>
      <c r="T1145" s="141">
        <v>2988000.0</v>
      </c>
      <c r="U1145" s="149"/>
      <c r="V1145" s="149"/>
      <c r="W1145" s="149"/>
      <c r="X1145" s="64" t="s">
        <v>3810</v>
      </c>
      <c r="Y1145" s="64" t="s">
        <v>4515</v>
      </c>
      <c r="Z1145" s="68"/>
    </row>
    <row r="1146" ht="15.0" customHeight="1">
      <c r="A1146" s="206">
        <v>45960.0</v>
      </c>
      <c r="B1146" s="201" t="s">
        <v>5804</v>
      </c>
      <c r="C1146" s="45" t="s">
        <v>2830</v>
      </c>
      <c r="D1146" s="140" t="str">
        <f>IFERROR(VLOOKUP(C1146,Stock,3,FALSE),"")</f>
        <v/>
      </c>
      <c r="E1146" s="17"/>
      <c r="F1146" s="198">
        <v>900000.0</v>
      </c>
      <c r="G1146" s="142">
        <f t="shared" si="40"/>
        <v>0</v>
      </c>
      <c r="H1146" s="142"/>
      <c r="I1146" s="143">
        <f t="shared" si="38"/>
        <v>0</v>
      </c>
      <c r="J1146" s="144">
        <f t="shared" si="39"/>
        <v>0</v>
      </c>
      <c r="K1146" s="108" t="s">
        <v>5805</v>
      </c>
      <c r="L1146" s="199" t="s">
        <v>5806</v>
      </c>
      <c r="M1146" s="17"/>
      <c r="N1146" s="68"/>
      <c r="O1146" s="64" t="s">
        <v>2813</v>
      </c>
      <c r="P1146" s="147" t="s">
        <v>2795</v>
      </c>
      <c r="Q1146" s="149"/>
      <c r="R1146" s="149"/>
      <c r="S1146" s="149"/>
      <c r="T1146" s="149"/>
      <c r="U1146" s="149"/>
      <c r="V1146" s="149"/>
      <c r="W1146" s="149"/>
      <c r="X1146" s="64" t="s">
        <v>5304</v>
      </c>
      <c r="Y1146" s="68"/>
      <c r="Z1146" s="68"/>
    </row>
    <row r="1147" ht="15.0" customHeight="1">
      <c r="A1147" s="206">
        <v>45960.0</v>
      </c>
      <c r="B1147" s="201" t="s">
        <v>5807</v>
      </c>
      <c r="C1147" s="45" t="s">
        <v>5808</v>
      </c>
      <c r="D1147" s="140" t="str">
        <f>IFERROR(VLOOKUP(C1147,Stock,3,FALSE),"")</f>
        <v>BMW X1 Series 09-14 E84 (1 Sensor / [] )</v>
      </c>
      <c r="E1147" s="45">
        <v>1.0</v>
      </c>
      <c r="F1147" s="198">
        <v>4048000.0</v>
      </c>
      <c r="G1147" s="142">
        <f t="shared" si="40"/>
        <v>4048000</v>
      </c>
      <c r="H1147" s="143">
        <v>419850.0</v>
      </c>
      <c r="I1147" s="143">
        <f t="shared" si="38"/>
        <v>3628150</v>
      </c>
      <c r="J1147" s="144">
        <f t="shared" si="39"/>
        <v>3628150</v>
      </c>
      <c r="K1147" s="108" t="s">
        <v>5809</v>
      </c>
      <c r="L1147" s="307" t="s">
        <v>5810</v>
      </c>
      <c r="M1147" s="17"/>
      <c r="N1147" s="64" t="s">
        <v>4270</v>
      </c>
      <c r="O1147" s="64" t="s">
        <v>5811</v>
      </c>
      <c r="P1147" s="147" t="s">
        <v>3480</v>
      </c>
      <c r="Q1147" s="149"/>
      <c r="R1147" s="149"/>
      <c r="S1147" s="149"/>
      <c r="T1147" s="149"/>
      <c r="U1147" s="141">
        <v>3828150.0</v>
      </c>
      <c r="V1147" s="149"/>
      <c r="W1147" s="149"/>
      <c r="X1147" s="64" t="s">
        <v>5304</v>
      </c>
      <c r="Y1147" s="64" t="s">
        <v>4515</v>
      </c>
      <c r="Z1147" s="68"/>
    </row>
    <row r="1148" ht="15.0" customHeight="1">
      <c r="A1148" s="206">
        <v>45960.0</v>
      </c>
      <c r="B1148" s="201" t="s">
        <v>5807</v>
      </c>
      <c r="C1148" s="45" t="s">
        <v>2835</v>
      </c>
      <c r="D1148" s="140" t="str">
        <f>IFERROR(VLOOKUP(C1148,Stock,3,FALSE),"")</f>
        <v>Peti Kayu</v>
      </c>
      <c r="E1148" s="45">
        <v>1.0</v>
      </c>
      <c r="F1148" s="198">
        <v>200000.0</v>
      </c>
      <c r="G1148" s="142">
        <f t="shared" si="40"/>
        <v>200000</v>
      </c>
      <c r="H1148" s="142"/>
      <c r="I1148" s="143">
        <f t="shared" si="38"/>
        <v>200000</v>
      </c>
      <c r="J1148" s="144">
        <f t="shared" si="39"/>
        <v>200000</v>
      </c>
      <c r="K1148" s="108" t="s">
        <v>5809</v>
      </c>
      <c r="L1148" s="307" t="s">
        <v>5812</v>
      </c>
      <c r="M1148" s="17"/>
      <c r="N1148" s="64" t="s">
        <v>4270</v>
      </c>
      <c r="O1148" s="64" t="s">
        <v>5813</v>
      </c>
      <c r="P1148" s="147" t="s">
        <v>3480</v>
      </c>
      <c r="Q1148" s="149"/>
      <c r="R1148" s="149"/>
      <c r="S1148" s="149"/>
      <c r="T1148" s="149"/>
      <c r="U1148" s="149"/>
      <c r="V1148" s="149"/>
      <c r="W1148" s="149"/>
      <c r="X1148" s="64" t="s">
        <v>5304</v>
      </c>
      <c r="Y1148" s="64" t="s">
        <v>4515</v>
      </c>
      <c r="Z1148" s="68"/>
    </row>
    <row r="1149" ht="15.0" customHeight="1">
      <c r="A1149" s="206">
        <v>45960.0</v>
      </c>
      <c r="B1149" s="201" t="s">
        <v>5814</v>
      </c>
      <c r="C1149" s="64" t="s">
        <v>4192</v>
      </c>
      <c r="D1149" s="140" t="str">
        <f>IFERROR(VLOOKUP(C1149,Stock,3,FALSE),"")</f>
        <v>Kia Sonet 21-</v>
      </c>
      <c r="E1149" s="45">
        <v>1.0</v>
      </c>
      <c r="F1149" s="198">
        <v>1950000.0</v>
      </c>
      <c r="G1149" s="142">
        <f t="shared" si="40"/>
        <v>1950000</v>
      </c>
      <c r="H1149" s="142"/>
      <c r="I1149" s="143">
        <f t="shared" si="38"/>
        <v>1950000</v>
      </c>
      <c r="J1149" s="144">
        <f t="shared" si="39"/>
        <v>1950000</v>
      </c>
      <c r="K1149" s="108" t="s">
        <v>5815</v>
      </c>
      <c r="L1149" s="199" t="s">
        <v>5816</v>
      </c>
      <c r="M1149" s="17"/>
      <c r="N1149" s="64" t="s">
        <v>5817</v>
      </c>
      <c r="O1149" s="64" t="s">
        <v>2760</v>
      </c>
      <c r="P1149" s="147" t="s">
        <v>4672</v>
      </c>
      <c r="Q1149" s="149"/>
      <c r="R1149" s="141"/>
      <c r="S1149" s="141"/>
      <c r="T1149" s="141">
        <v>30000.0</v>
      </c>
      <c r="U1149" s="149"/>
      <c r="V1149" s="149"/>
      <c r="W1149" s="149"/>
      <c r="X1149" s="64" t="s">
        <v>3810</v>
      </c>
      <c r="Y1149" s="64" t="s">
        <v>4515</v>
      </c>
      <c r="Z1149" s="68"/>
    </row>
    <row r="1150" ht="15.0" customHeight="1">
      <c r="A1150" s="206">
        <v>45960.0</v>
      </c>
      <c r="B1150" s="201" t="s">
        <v>5814</v>
      </c>
      <c r="C1150" s="45" t="s">
        <v>2770</v>
      </c>
      <c r="D1150" s="140" t="str">
        <f>IFERROR(VLOOKUP(C1150,Stock,3,FALSE),"")</f>
        <v>Transport</v>
      </c>
      <c r="E1150" s="45">
        <v>1.0</v>
      </c>
      <c r="F1150" s="198">
        <v>150000.0</v>
      </c>
      <c r="G1150" s="142">
        <f t="shared" si="40"/>
        <v>150000</v>
      </c>
      <c r="H1150" s="142"/>
      <c r="I1150" s="143">
        <f t="shared" si="38"/>
        <v>150000</v>
      </c>
      <c r="J1150" s="144">
        <f t="shared" si="39"/>
        <v>150000</v>
      </c>
      <c r="K1150" s="108" t="s">
        <v>5815</v>
      </c>
      <c r="L1150" s="199" t="s">
        <v>5816</v>
      </c>
      <c r="M1150" s="17"/>
      <c r="N1150" s="64" t="s">
        <v>5817</v>
      </c>
      <c r="O1150" s="64" t="s">
        <v>2760</v>
      </c>
      <c r="P1150" s="147" t="s">
        <v>4672</v>
      </c>
      <c r="Q1150" s="149"/>
      <c r="R1150" s="141"/>
      <c r="S1150" s="141"/>
      <c r="T1150" s="141">
        <v>2070000.0</v>
      </c>
      <c r="U1150" s="149"/>
      <c r="V1150" s="149"/>
      <c r="W1150" s="149"/>
      <c r="X1150" s="64" t="s">
        <v>3810</v>
      </c>
      <c r="Y1150" s="64" t="s">
        <v>4515</v>
      </c>
      <c r="Z1150" s="68"/>
    </row>
    <row r="1151" ht="15.0" customHeight="1">
      <c r="A1151" s="206">
        <v>45960.0</v>
      </c>
      <c r="B1151" s="201" t="s">
        <v>5818</v>
      </c>
      <c r="C1151" s="45" t="s">
        <v>5819</v>
      </c>
      <c r="D1151" s="140" t="str">
        <f>IFERROR(VLOOKUP(C1151,Stock,3,FALSE),"")</f>
        <v>Nissan Terra 18- (1 Sensor / /\ )</v>
      </c>
      <c r="E1151" s="45">
        <v>1.0</v>
      </c>
      <c r="F1151" s="198">
        <v>3199000.0</v>
      </c>
      <c r="G1151" s="142">
        <f t="shared" si="40"/>
        <v>3199000</v>
      </c>
      <c r="H1151" s="142"/>
      <c r="I1151" s="143">
        <f t="shared" si="38"/>
        <v>3199000</v>
      </c>
      <c r="J1151" s="144">
        <f t="shared" si="39"/>
        <v>3199000</v>
      </c>
      <c r="K1151" s="108" t="s">
        <v>5820</v>
      </c>
      <c r="L1151" s="199" t="s">
        <v>5821</v>
      </c>
      <c r="M1151" s="17"/>
      <c r="N1151" s="64" t="s">
        <v>5822</v>
      </c>
      <c r="O1151" s="64" t="s">
        <v>2807</v>
      </c>
      <c r="P1151" s="147" t="s">
        <v>4672</v>
      </c>
      <c r="Q1151" s="149"/>
      <c r="R1151" s="141"/>
      <c r="S1151" s="141"/>
      <c r="T1151" s="141">
        <v>3399000.0</v>
      </c>
      <c r="U1151" s="149"/>
      <c r="V1151" s="149"/>
      <c r="W1151" s="149"/>
      <c r="X1151" s="64" t="s">
        <v>3810</v>
      </c>
      <c r="Y1151" s="64" t="s">
        <v>4515</v>
      </c>
      <c r="Z1151" s="68"/>
    </row>
    <row r="1152" ht="15.0" customHeight="1">
      <c r="A1152" s="206">
        <v>45960.0</v>
      </c>
      <c r="B1152" s="201" t="s">
        <v>5818</v>
      </c>
      <c r="C1152" s="45" t="s">
        <v>4979</v>
      </c>
      <c r="D1152" s="140" t="str">
        <f>IFERROR(VLOOKUP(C1152,Stock,3,FALSE),"")</f>
        <v>255 Ultra + Actv-100 Application</v>
      </c>
      <c r="E1152" s="64">
        <v>1.0</v>
      </c>
      <c r="F1152" s="198">
        <v>200000.0</v>
      </c>
      <c r="G1152" s="142">
        <f t="shared" si="40"/>
        <v>200000</v>
      </c>
      <c r="H1152" s="142"/>
      <c r="I1152" s="143">
        <f t="shared" si="38"/>
        <v>200000</v>
      </c>
      <c r="J1152" s="144">
        <f t="shared" si="39"/>
        <v>200000</v>
      </c>
      <c r="K1152" s="108" t="s">
        <v>5820</v>
      </c>
      <c r="L1152" s="45" t="s">
        <v>5823</v>
      </c>
      <c r="M1152" s="17"/>
      <c r="N1152" s="64" t="s">
        <v>5822</v>
      </c>
      <c r="O1152" s="64" t="s">
        <v>2807</v>
      </c>
      <c r="P1152" s="147" t="s">
        <v>4672</v>
      </c>
      <c r="Q1152" s="68"/>
      <c r="R1152" s="68"/>
      <c r="S1152" s="68"/>
      <c r="T1152" s="68"/>
      <c r="U1152" s="68"/>
      <c r="V1152" s="68"/>
      <c r="W1152" s="68"/>
      <c r="X1152" s="64" t="s">
        <v>3810</v>
      </c>
      <c r="Y1152" s="64" t="s">
        <v>4515</v>
      </c>
      <c r="Z1152" s="68"/>
    </row>
    <row r="1153" ht="15.0" customHeight="1">
      <c r="A1153" s="206">
        <v>45960.0</v>
      </c>
      <c r="B1153" s="201" t="s">
        <v>5824</v>
      </c>
      <c r="C1153" s="45" t="s">
        <v>5825</v>
      </c>
      <c r="D1153" s="140" t="str">
        <f>IFERROR(VLOOKUP(C1153,Stock,3,FALSE),"")</f>
        <v>Toyota Alphard 18- ANH30 3rd Gen (2 Sensor / □Δ )</v>
      </c>
      <c r="E1153" s="45">
        <v>1.0</v>
      </c>
      <c r="F1153" s="198">
        <v>4449000.0</v>
      </c>
      <c r="G1153" s="142">
        <f t="shared" si="40"/>
        <v>4449000</v>
      </c>
      <c r="H1153" s="142"/>
      <c r="I1153" s="143">
        <f t="shared" si="38"/>
        <v>4449000</v>
      </c>
      <c r="J1153" s="144">
        <f t="shared" si="39"/>
        <v>4449000</v>
      </c>
      <c r="K1153" s="145" t="s">
        <v>4675</v>
      </c>
      <c r="L1153" s="199" t="s">
        <v>5826</v>
      </c>
      <c r="M1153" s="17"/>
      <c r="N1153" s="64" t="s">
        <v>5827</v>
      </c>
      <c r="O1153" s="64" t="s">
        <v>2982</v>
      </c>
      <c r="P1153" s="147" t="s">
        <v>4672</v>
      </c>
      <c r="Q1153" s="149"/>
      <c r="R1153" s="141"/>
      <c r="S1153" s="141"/>
      <c r="T1153" s="141">
        <v>30000.0</v>
      </c>
      <c r="U1153" s="149"/>
      <c r="V1153" s="149"/>
      <c r="W1153" s="149"/>
      <c r="X1153" s="64" t="s">
        <v>5304</v>
      </c>
      <c r="Y1153" s="64" t="s">
        <v>4515</v>
      </c>
      <c r="Z1153" s="68"/>
    </row>
    <row r="1154" ht="15.0" customHeight="1">
      <c r="A1154" s="206">
        <v>45960.0</v>
      </c>
      <c r="B1154" s="201" t="s">
        <v>5824</v>
      </c>
      <c r="C1154" s="45" t="s">
        <v>2770</v>
      </c>
      <c r="D1154" s="140" t="str">
        <f>IFERROR(VLOOKUP(C1154,Stock,3,FALSE),"")</f>
        <v>Transport</v>
      </c>
      <c r="E1154" s="45">
        <v>1.0</v>
      </c>
      <c r="F1154" s="198">
        <v>190000.0</v>
      </c>
      <c r="G1154" s="142">
        <f t="shared" si="40"/>
        <v>190000</v>
      </c>
      <c r="H1154" s="142"/>
      <c r="I1154" s="143">
        <f t="shared" si="38"/>
        <v>190000</v>
      </c>
      <c r="J1154" s="144">
        <f t="shared" si="39"/>
        <v>190000</v>
      </c>
      <c r="K1154" s="145" t="s">
        <v>4675</v>
      </c>
      <c r="L1154" s="199" t="s">
        <v>5826</v>
      </c>
      <c r="M1154" s="17"/>
      <c r="N1154" s="64" t="s">
        <v>5827</v>
      </c>
      <c r="O1154" s="64" t="s">
        <v>2982</v>
      </c>
      <c r="P1154" s="147" t="s">
        <v>4672</v>
      </c>
      <c r="Q1154" s="149"/>
      <c r="R1154" s="141"/>
      <c r="S1154" s="141"/>
      <c r="T1154" s="141">
        <v>4929000.0</v>
      </c>
      <c r="U1154" s="149"/>
      <c r="V1154" s="149"/>
      <c r="W1154" s="149"/>
      <c r="X1154" s="64" t="s">
        <v>5304</v>
      </c>
      <c r="Y1154" s="64" t="s">
        <v>4515</v>
      </c>
      <c r="Z1154" s="68"/>
    </row>
    <row r="1155" ht="15.0" customHeight="1">
      <c r="A1155" s="206">
        <v>45960.0</v>
      </c>
      <c r="B1155" s="201" t="s">
        <v>5824</v>
      </c>
      <c r="C1155" s="45" t="s">
        <v>2962</v>
      </c>
      <c r="D1155" s="140" t="str">
        <f>IFERROR(VLOOKUP(C1155,Stock,3,FALSE),"")</f>
        <v>Lembur</v>
      </c>
      <c r="E1155" s="45">
        <v>1.0</v>
      </c>
      <c r="F1155" s="198">
        <v>120000.0</v>
      </c>
      <c r="G1155" s="142">
        <f t="shared" si="40"/>
        <v>120000</v>
      </c>
      <c r="H1155" s="142"/>
      <c r="I1155" s="143">
        <f t="shared" si="38"/>
        <v>120000</v>
      </c>
      <c r="J1155" s="144">
        <f t="shared" si="39"/>
        <v>120000</v>
      </c>
      <c r="K1155" s="145" t="s">
        <v>4675</v>
      </c>
      <c r="L1155" s="199" t="s">
        <v>5826</v>
      </c>
      <c r="M1155" s="17"/>
      <c r="N1155" s="64" t="s">
        <v>5827</v>
      </c>
      <c r="O1155" s="64" t="s">
        <v>2982</v>
      </c>
      <c r="P1155" s="147" t="s">
        <v>4672</v>
      </c>
      <c r="Q1155" s="149"/>
      <c r="R1155" s="141"/>
      <c r="S1155" s="141"/>
      <c r="T1155" s="141"/>
      <c r="U1155" s="149"/>
      <c r="V1155" s="149"/>
      <c r="W1155" s="149"/>
      <c r="X1155" s="64" t="s">
        <v>5304</v>
      </c>
      <c r="Y1155" s="64" t="s">
        <v>4515</v>
      </c>
      <c r="Z1155" s="68"/>
    </row>
    <row r="1156" ht="15.0" customHeight="1">
      <c r="A1156" s="206">
        <v>45960.0</v>
      </c>
      <c r="B1156" s="201" t="s">
        <v>5824</v>
      </c>
      <c r="C1156" s="45" t="s">
        <v>4979</v>
      </c>
      <c r="D1156" s="140" t="str">
        <f>IFERROR(VLOOKUP(C1156,Stock,3,FALSE),"")</f>
        <v>255 Ultra + Actv-100 Application</v>
      </c>
      <c r="E1156" s="45">
        <v>1.0</v>
      </c>
      <c r="F1156" s="198">
        <v>200000.0</v>
      </c>
      <c r="G1156" s="142">
        <f t="shared" si="40"/>
        <v>200000</v>
      </c>
      <c r="H1156" s="142"/>
      <c r="I1156" s="143">
        <f t="shared" si="38"/>
        <v>200000</v>
      </c>
      <c r="J1156" s="144">
        <f t="shared" si="39"/>
        <v>200000</v>
      </c>
      <c r="K1156" s="145" t="s">
        <v>4675</v>
      </c>
      <c r="L1156" s="199" t="s">
        <v>5826</v>
      </c>
      <c r="M1156" s="17"/>
      <c r="N1156" s="64" t="s">
        <v>5827</v>
      </c>
      <c r="O1156" s="64" t="s">
        <v>2982</v>
      </c>
      <c r="P1156" s="147" t="s">
        <v>4672</v>
      </c>
      <c r="Q1156" s="149"/>
      <c r="R1156" s="141"/>
      <c r="S1156" s="141"/>
      <c r="T1156" s="141"/>
      <c r="U1156" s="149"/>
      <c r="V1156" s="149"/>
      <c r="W1156" s="149"/>
      <c r="X1156" s="64" t="s">
        <v>5304</v>
      </c>
      <c r="Y1156" s="64" t="s">
        <v>4515</v>
      </c>
      <c r="Z1156" s="68"/>
    </row>
    <row r="1157" ht="15.0" customHeight="1">
      <c r="A1157" s="206">
        <v>45961.0</v>
      </c>
      <c r="B1157" s="201" t="s">
        <v>5828</v>
      </c>
      <c r="C1157" s="45" t="s">
        <v>3700</v>
      </c>
      <c r="D1157" s="140" t="str">
        <f>IFERROR(VLOOKUP(C1157,Stock,3,FALSE),"")</f>
        <v>Toyota Avanza / Xenia 11-15 2nd Gen / 15-21 3rd Gen</v>
      </c>
      <c r="E1157" s="45">
        <v>1.0</v>
      </c>
      <c r="F1157" s="198">
        <v>899000.0</v>
      </c>
      <c r="G1157" s="142">
        <f t="shared" si="40"/>
        <v>899000</v>
      </c>
      <c r="H1157" s="142"/>
      <c r="I1157" s="143">
        <f t="shared" si="38"/>
        <v>899000</v>
      </c>
      <c r="J1157" s="144">
        <f t="shared" si="39"/>
        <v>899000</v>
      </c>
      <c r="K1157" s="108" t="s">
        <v>5829</v>
      </c>
      <c r="L1157" s="199" t="s">
        <v>5830</v>
      </c>
      <c r="M1157" s="17"/>
      <c r="N1157" s="64" t="s">
        <v>5831</v>
      </c>
      <c r="O1157" s="64" t="s">
        <v>2807</v>
      </c>
      <c r="P1157" s="147" t="s">
        <v>4672</v>
      </c>
      <c r="Q1157" s="149"/>
      <c r="R1157" s="141"/>
      <c r="S1157" s="141"/>
      <c r="T1157" s="141">
        <v>899000.0</v>
      </c>
      <c r="U1157" s="149"/>
      <c r="V1157" s="149"/>
      <c r="W1157" s="149"/>
      <c r="X1157" s="64" t="s">
        <v>3810</v>
      </c>
      <c r="Y1157" s="64" t="s">
        <v>4515</v>
      </c>
      <c r="Z1157" s="68"/>
    </row>
    <row r="1158" ht="15.0" customHeight="1">
      <c r="A1158" s="206">
        <v>45961.0</v>
      </c>
      <c r="B1158" s="201" t="s">
        <v>5832</v>
      </c>
      <c r="C1158" s="45" t="s">
        <v>5548</v>
      </c>
      <c r="D1158" s="140" t="str">
        <f>IFERROR(VLOOKUP(C1158,Stock,3,FALSE),"")</f>
        <v>Toyota Innova 15- 2nd Gen</v>
      </c>
      <c r="E1158" s="45">
        <v>1.0</v>
      </c>
      <c r="F1158" s="198">
        <v>1307000.0</v>
      </c>
      <c r="G1158" s="142">
        <f t="shared" si="40"/>
        <v>1307000</v>
      </c>
      <c r="H1158" s="142"/>
      <c r="I1158" s="143">
        <f t="shared" si="38"/>
        <v>1307000</v>
      </c>
      <c r="J1158" s="144">
        <f t="shared" si="39"/>
        <v>1307000</v>
      </c>
      <c r="K1158" s="108" t="s">
        <v>5833</v>
      </c>
      <c r="L1158" s="199" t="s">
        <v>5834</v>
      </c>
      <c r="M1158" s="17"/>
      <c r="N1158" s="64" t="s">
        <v>5835</v>
      </c>
      <c r="O1158" s="64" t="s">
        <v>2813</v>
      </c>
      <c r="P1158" s="147" t="s">
        <v>4672</v>
      </c>
      <c r="Q1158" s="149"/>
      <c r="R1158" s="141"/>
      <c r="S1158" s="141"/>
      <c r="T1158" s="141">
        <v>1507000.0</v>
      </c>
      <c r="U1158" s="149"/>
      <c r="V1158" s="149"/>
      <c r="W1158" s="149"/>
      <c r="X1158" s="64" t="s">
        <v>3810</v>
      </c>
      <c r="Y1158" s="64" t="s">
        <v>4515</v>
      </c>
      <c r="Z1158" s="68"/>
    </row>
    <row r="1159" ht="15.0" customHeight="1">
      <c r="A1159" s="206">
        <v>45961.0</v>
      </c>
      <c r="B1159" s="201" t="s">
        <v>5832</v>
      </c>
      <c r="C1159" s="45" t="s">
        <v>4979</v>
      </c>
      <c r="D1159" s="140" t="str">
        <f>IFERROR(VLOOKUP(C1159,Stock,3,FALSE),"")</f>
        <v>255 Ultra + Actv-100 Application</v>
      </c>
      <c r="E1159" s="45">
        <v>1.0</v>
      </c>
      <c r="F1159" s="198">
        <v>200000.0</v>
      </c>
      <c r="G1159" s="142">
        <f t="shared" si="40"/>
        <v>200000</v>
      </c>
      <c r="H1159" s="142"/>
      <c r="I1159" s="143">
        <f t="shared" si="38"/>
        <v>200000</v>
      </c>
      <c r="J1159" s="144">
        <f t="shared" si="39"/>
        <v>200000</v>
      </c>
      <c r="K1159" s="108" t="s">
        <v>5833</v>
      </c>
      <c r="L1159" s="45" t="s">
        <v>5836</v>
      </c>
      <c r="M1159" s="17"/>
      <c r="N1159" s="64" t="s">
        <v>5835</v>
      </c>
      <c r="O1159" s="64" t="s">
        <v>2813</v>
      </c>
      <c r="P1159" s="147" t="s">
        <v>4672</v>
      </c>
      <c r="Q1159" s="68"/>
      <c r="R1159" s="141"/>
      <c r="S1159" s="141"/>
      <c r="T1159" s="141"/>
      <c r="U1159" s="68"/>
      <c r="V1159" s="68"/>
      <c r="W1159" s="68"/>
      <c r="X1159" s="64" t="s">
        <v>3810</v>
      </c>
      <c r="Y1159" s="64" t="s">
        <v>4515</v>
      </c>
      <c r="Z1159" s="68"/>
    </row>
    <row r="1160" ht="15.0" customHeight="1">
      <c r="A1160" s="206">
        <v>45961.0</v>
      </c>
      <c r="B1160" s="201" t="s">
        <v>5837</v>
      </c>
      <c r="C1160" s="45" t="s">
        <v>2778</v>
      </c>
      <c r="D1160" s="140" t="str">
        <f>IFERROR(VLOOKUP(C1160,Stock,3,FALSE),"")</f>
        <v>Bongkar Pasang Kaca Mobil Depan</v>
      </c>
      <c r="E1160" s="45">
        <v>1.0</v>
      </c>
      <c r="F1160" s="198">
        <v>300000.0</v>
      </c>
      <c r="G1160" s="142">
        <f t="shared" si="40"/>
        <v>300000</v>
      </c>
      <c r="H1160" s="142"/>
      <c r="I1160" s="143">
        <f t="shared" si="38"/>
        <v>300000</v>
      </c>
      <c r="J1160" s="144">
        <f t="shared" si="39"/>
        <v>300000</v>
      </c>
      <c r="K1160" s="108" t="s">
        <v>5838</v>
      </c>
      <c r="L1160" s="199" t="s">
        <v>5839</v>
      </c>
      <c r="M1160" s="17"/>
      <c r="N1160" s="64" t="s">
        <v>5840</v>
      </c>
      <c r="O1160" s="64" t="s">
        <v>2813</v>
      </c>
      <c r="P1160" s="147" t="s">
        <v>5841</v>
      </c>
      <c r="Q1160" s="149"/>
      <c r="R1160" s="141"/>
      <c r="S1160" s="141"/>
      <c r="T1160" s="141">
        <v>300000.0</v>
      </c>
      <c r="U1160" s="149"/>
      <c r="V1160" s="149"/>
      <c r="W1160" s="149"/>
      <c r="X1160" s="64" t="s">
        <v>3810</v>
      </c>
      <c r="Y1160" s="64" t="s">
        <v>4515</v>
      </c>
      <c r="Z1160" s="68"/>
    </row>
    <row r="1161" ht="15.0" customHeight="1">
      <c r="A1161" s="206">
        <v>45961.0</v>
      </c>
      <c r="B1161" s="201" t="s">
        <v>5842</v>
      </c>
      <c r="C1161" s="45" t="s">
        <v>5843</v>
      </c>
      <c r="D1161" s="140" t="str">
        <f>IFERROR(VLOOKUP(C1161,Stock,3,FALSE),"")</f>
        <v>Isuzu Panther 91-99 1st Gen Kotak</v>
      </c>
      <c r="E1161" s="45">
        <v>1.0</v>
      </c>
      <c r="F1161" s="198">
        <v>1338000.0</v>
      </c>
      <c r="G1161" s="142">
        <f t="shared" si="40"/>
        <v>1338000</v>
      </c>
      <c r="H1161" s="142"/>
      <c r="I1161" s="143">
        <f t="shared" si="38"/>
        <v>1338000</v>
      </c>
      <c r="J1161" s="144">
        <f t="shared" si="39"/>
        <v>1338000</v>
      </c>
      <c r="K1161" s="145" t="s">
        <v>5844</v>
      </c>
      <c r="L1161" s="199" t="s">
        <v>5845</v>
      </c>
      <c r="M1161" s="17"/>
      <c r="N1161" s="64" t="s">
        <v>5846</v>
      </c>
      <c r="O1161" s="64" t="s">
        <v>2813</v>
      </c>
      <c r="P1161" s="147" t="s">
        <v>5841</v>
      </c>
      <c r="Q1161" s="149"/>
      <c r="R1161" s="141"/>
      <c r="S1161" s="141"/>
      <c r="T1161" s="141">
        <v>50000.0</v>
      </c>
      <c r="U1161" s="149"/>
      <c r="V1161" s="149"/>
      <c r="W1161" s="149"/>
      <c r="X1161" s="64" t="s">
        <v>3810</v>
      </c>
      <c r="Y1161" s="64" t="s">
        <v>4515</v>
      </c>
      <c r="Z1161" s="68"/>
    </row>
    <row r="1162" ht="15.0" customHeight="1">
      <c r="A1162" s="206">
        <v>45961.0</v>
      </c>
      <c r="B1162" s="201" t="s">
        <v>5842</v>
      </c>
      <c r="C1162" s="45" t="s">
        <v>4829</v>
      </c>
      <c r="D1162" s="140" t="str">
        <f>IFERROR(VLOOKUP(C1162,Stock,3,FALSE),"")</f>
        <v>Daihatsu Gran Max</v>
      </c>
      <c r="E1162" s="45">
        <v>1.0</v>
      </c>
      <c r="F1162" s="198">
        <v>450000.0</v>
      </c>
      <c r="G1162" s="142">
        <f t="shared" si="40"/>
        <v>450000</v>
      </c>
      <c r="H1162" s="142"/>
      <c r="I1162" s="143">
        <f t="shared" si="38"/>
        <v>450000</v>
      </c>
      <c r="J1162" s="144">
        <f t="shared" si="39"/>
        <v>450000</v>
      </c>
      <c r="K1162" s="145" t="s">
        <v>5844</v>
      </c>
      <c r="L1162" s="199" t="s">
        <v>5845</v>
      </c>
      <c r="M1162" s="17"/>
      <c r="N1162" s="64" t="s">
        <v>5847</v>
      </c>
      <c r="O1162" s="64" t="s">
        <v>2813</v>
      </c>
      <c r="P1162" s="147" t="s">
        <v>5841</v>
      </c>
      <c r="Q1162" s="149"/>
      <c r="R1162" s="141"/>
      <c r="S1162" s="141"/>
      <c r="T1162" s="141">
        <v>1738000.0</v>
      </c>
      <c r="U1162" s="149"/>
      <c r="V1162" s="149"/>
      <c r="W1162" s="149"/>
      <c r="X1162" s="64" t="s">
        <v>3810</v>
      </c>
      <c r="Y1162" s="64" t="s">
        <v>4515</v>
      </c>
      <c r="Z1162" s="68"/>
    </row>
    <row r="1163" ht="15.0" customHeight="1">
      <c r="A1163" s="206">
        <v>45961.0</v>
      </c>
      <c r="B1163" s="201" t="s">
        <v>5848</v>
      </c>
      <c r="C1163" s="45" t="s">
        <v>2869</v>
      </c>
      <c r="D1163" s="140" t="str">
        <f>IFERROR(VLOOKUP(C1163,Stock,3,FALSE),"")</f>
        <v>Daihatsu Gran Max / Luxio 07-</v>
      </c>
      <c r="E1163" s="45">
        <v>1.0</v>
      </c>
      <c r="F1163" s="198">
        <v>1000000.0</v>
      </c>
      <c r="G1163" s="142">
        <f t="shared" si="40"/>
        <v>1000000</v>
      </c>
      <c r="H1163" s="142"/>
      <c r="I1163" s="143">
        <f t="shared" si="38"/>
        <v>1000000</v>
      </c>
      <c r="J1163" s="144">
        <f t="shared" si="39"/>
        <v>1000000</v>
      </c>
      <c r="K1163" s="108" t="s">
        <v>5849</v>
      </c>
      <c r="L1163" s="199" t="s">
        <v>5850</v>
      </c>
      <c r="M1163" s="17"/>
      <c r="N1163" s="64" t="s">
        <v>5851</v>
      </c>
      <c r="O1163" s="64" t="s">
        <v>3007</v>
      </c>
      <c r="P1163" s="147" t="s">
        <v>4672</v>
      </c>
      <c r="Q1163" s="149"/>
      <c r="R1163" s="141"/>
      <c r="S1163" s="141"/>
      <c r="T1163" s="141">
        <v>1000000.0</v>
      </c>
      <c r="U1163" s="149"/>
      <c r="V1163" s="149"/>
      <c r="W1163" s="149"/>
      <c r="X1163" s="64" t="s">
        <v>3810</v>
      </c>
      <c r="Y1163" s="64" t="s">
        <v>4515</v>
      </c>
      <c r="Z1163" s="68"/>
    </row>
    <row r="1164" ht="15.0" customHeight="1">
      <c r="A1164" s="206">
        <v>45961.0</v>
      </c>
      <c r="B1164" s="201" t="s">
        <v>5852</v>
      </c>
      <c r="C1164" s="45" t="s">
        <v>5853</v>
      </c>
      <c r="D1164" s="140" t="str">
        <f>IFERROR(VLOOKUP(C1164,Stock,3,FALSE),"")</f>
        <v>Wuling Cortez</v>
      </c>
      <c r="E1164" s="45">
        <v>1.0</v>
      </c>
      <c r="F1164" s="198">
        <v>2237000.0</v>
      </c>
      <c r="G1164" s="142">
        <f t="shared" si="40"/>
        <v>2237000</v>
      </c>
      <c r="H1164" s="142"/>
      <c r="I1164" s="143">
        <f t="shared" si="38"/>
        <v>2237000</v>
      </c>
      <c r="J1164" s="144">
        <f t="shared" si="39"/>
        <v>2237000</v>
      </c>
      <c r="K1164" s="108" t="s">
        <v>5854</v>
      </c>
      <c r="L1164" s="199" t="s">
        <v>5855</v>
      </c>
      <c r="M1164" s="17"/>
      <c r="N1164" s="64" t="s">
        <v>5856</v>
      </c>
      <c r="O1164" s="64" t="s">
        <v>2813</v>
      </c>
      <c r="P1164" s="147" t="s">
        <v>4672</v>
      </c>
      <c r="Q1164" s="149"/>
      <c r="R1164" s="141"/>
      <c r="S1164" s="141"/>
      <c r="T1164" s="141">
        <v>2437000.0</v>
      </c>
      <c r="U1164" s="149"/>
      <c r="V1164" s="149"/>
      <c r="W1164" s="149"/>
      <c r="X1164" s="64" t="s">
        <v>3810</v>
      </c>
      <c r="Y1164" s="64" t="s">
        <v>4515</v>
      </c>
      <c r="Z1164" s="68"/>
    </row>
    <row r="1165" ht="15.0" customHeight="1">
      <c r="A1165" s="206">
        <v>45961.0</v>
      </c>
      <c r="B1165" s="201" t="s">
        <v>5852</v>
      </c>
      <c r="C1165" s="45" t="s">
        <v>4979</v>
      </c>
      <c r="D1165" s="140" t="str">
        <f>IFERROR(VLOOKUP(C1165,Stock,3,FALSE),"")</f>
        <v>255 Ultra + Actv-100 Application</v>
      </c>
      <c r="E1165" s="45">
        <v>1.0</v>
      </c>
      <c r="F1165" s="198">
        <v>200000.0</v>
      </c>
      <c r="G1165" s="142">
        <f t="shared" si="40"/>
        <v>200000</v>
      </c>
      <c r="H1165" s="142"/>
      <c r="I1165" s="143">
        <f t="shared" si="38"/>
        <v>200000</v>
      </c>
      <c r="J1165" s="144">
        <f t="shared" si="39"/>
        <v>200000</v>
      </c>
      <c r="K1165" s="108" t="s">
        <v>5854</v>
      </c>
      <c r="L1165" s="199" t="s">
        <v>5855</v>
      </c>
      <c r="M1165" s="17"/>
      <c r="N1165" s="64" t="s">
        <v>5856</v>
      </c>
      <c r="O1165" s="64" t="s">
        <v>2813</v>
      </c>
      <c r="P1165" s="147" t="s">
        <v>4672</v>
      </c>
      <c r="Q1165" s="149"/>
      <c r="R1165" s="149"/>
      <c r="S1165" s="149"/>
      <c r="T1165" s="149"/>
      <c r="U1165" s="149"/>
      <c r="V1165" s="149"/>
      <c r="W1165" s="149"/>
      <c r="X1165" s="64" t="s">
        <v>3810</v>
      </c>
      <c r="Y1165" s="64" t="s">
        <v>4515</v>
      </c>
      <c r="Z1165" s="68"/>
    </row>
    <row r="1166" ht="15.0" customHeight="1">
      <c r="A1166" s="308">
        <v>45961.0</v>
      </c>
      <c r="B1166" s="309" t="s">
        <v>5857</v>
      </c>
      <c r="C1166" s="310" t="s">
        <v>5843</v>
      </c>
      <c r="D1166" s="160" t="str">
        <f>IFERROR(VLOOKUP(C1166,Stock,3,FALSE),"")</f>
        <v>Isuzu Panther 91-99 1st Gen Kotak</v>
      </c>
      <c r="E1166" s="310">
        <v>1.0</v>
      </c>
      <c r="F1166" s="311">
        <v>487000.0</v>
      </c>
      <c r="G1166" s="162">
        <f t="shared" si="40"/>
        <v>487000</v>
      </c>
      <c r="H1166" s="163">
        <v>100000.0</v>
      </c>
      <c r="I1166" s="163">
        <f t="shared" si="38"/>
        <v>387000</v>
      </c>
      <c r="J1166" s="164">
        <f t="shared" si="39"/>
        <v>387000</v>
      </c>
      <c r="K1166" s="312" t="s">
        <v>5858</v>
      </c>
      <c r="L1166" s="313"/>
      <c r="M1166" s="313"/>
      <c r="N1166" s="166"/>
      <c r="O1166" s="64" t="s">
        <v>2813</v>
      </c>
      <c r="P1166" s="314" t="s">
        <v>5859</v>
      </c>
      <c r="Q1166" s="168"/>
      <c r="R1166" s="168"/>
      <c r="S1166" s="168"/>
      <c r="T1166" s="168"/>
      <c r="U1166" s="168"/>
      <c r="V1166" s="168"/>
      <c r="W1166" s="168"/>
      <c r="X1166" s="159"/>
      <c r="Y1166" s="166"/>
      <c r="Z1166" s="166"/>
    </row>
    <row r="1167" ht="15.0" customHeight="1">
      <c r="A1167" s="315">
        <v>45962.0</v>
      </c>
      <c r="B1167" s="316" t="s">
        <v>5860</v>
      </c>
      <c r="C1167" s="245" t="s">
        <v>5861</v>
      </c>
      <c r="D1167" s="245" t="str">
        <f>IFERROR(VLOOKUP(C1167,Stock,3,FALSE),"")</f>
        <v>Honda CR-V 07-11 3rd Gen (Honda)</v>
      </c>
      <c r="E1167" s="317">
        <v>1.0</v>
      </c>
      <c r="F1167" s="248">
        <v>3729000.0</v>
      </c>
      <c r="G1167" s="281">
        <f t="shared" si="40"/>
        <v>3729000</v>
      </c>
      <c r="H1167" s="106"/>
      <c r="I1167" s="281">
        <f t="shared" si="38"/>
        <v>3729000</v>
      </c>
      <c r="J1167" s="282">
        <f t="shared" si="39"/>
        <v>3729000</v>
      </c>
      <c r="K1167" s="291" t="s">
        <v>5862</v>
      </c>
      <c r="L1167" s="318" t="s">
        <v>5863</v>
      </c>
      <c r="M1167" s="245"/>
      <c r="N1167" s="264" t="s">
        <v>5864</v>
      </c>
      <c r="O1167" s="105" t="s">
        <v>2813</v>
      </c>
      <c r="P1167" s="147" t="s">
        <v>4672</v>
      </c>
      <c r="Q1167" s="149"/>
      <c r="R1167" s="141"/>
      <c r="S1167" s="141"/>
      <c r="T1167" s="141">
        <v>3729000.0</v>
      </c>
      <c r="U1167" s="149"/>
      <c r="V1167" s="149"/>
      <c r="W1167" s="149"/>
      <c r="X1167" s="64" t="s">
        <v>5304</v>
      </c>
      <c r="Y1167" s="64" t="s">
        <v>4515</v>
      </c>
      <c r="Z1167" s="68"/>
    </row>
    <row r="1168" ht="15.0" customHeight="1">
      <c r="A1168" s="315">
        <v>45962.0</v>
      </c>
      <c r="B1168" s="316" t="s">
        <v>5865</v>
      </c>
      <c r="C1168" s="45" t="s">
        <v>3193</v>
      </c>
      <c r="D1168" s="245" t="str">
        <f>IFERROR(VLOOKUP(C1168,Stock,3,FALSE),"")</f>
        <v>Toyota Avanza / Xenia 11-15 2nd Gen</v>
      </c>
      <c r="E1168" s="45">
        <v>1.0</v>
      </c>
      <c r="F1168" s="198">
        <v>1000000.0</v>
      </c>
      <c r="G1168" s="281">
        <f t="shared" si="40"/>
        <v>1000000</v>
      </c>
      <c r="H1168" s="106"/>
      <c r="I1168" s="281">
        <f t="shared" si="38"/>
        <v>1000000</v>
      </c>
      <c r="J1168" s="282">
        <f t="shared" si="39"/>
        <v>1000000</v>
      </c>
      <c r="K1168" s="108" t="s">
        <v>5866</v>
      </c>
      <c r="L1168" s="199" t="s">
        <v>5867</v>
      </c>
      <c r="M1168" s="17"/>
      <c r="N1168" s="64" t="s">
        <v>5868</v>
      </c>
      <c r="O1168" s="105" t="s">
        <v>2813</v>
      </c>
      <c r="P1168" s="147" t="s">
        <v>4672</v>
      </c>
      <c r="Q1168" s="149"/>
      <c r="R1168" s="141"/>
      <c r="S1168" s="141"/>
      <c r="T1168" s="141">
        <v>50000.0</v>
      </c>
      <c r="U1168" s="149"/>
      <c r="V1168" s="149"/>
      <c r="W1168" s="149"/>
      <c r="X1168" s="64" t="s">
        <v>5304</v>
      </c>
      <c r="Y1168" s="64" t="s">
        <v>4515</v>
      </c>
      <c r="Z1168" s="68"/>
    </row>
    <row r="1169" ht="15.0" customHeight="1">
      <c r="A1169" s="315">
        <v>45962.0</v>
      </c>
      <c r="B1169" s="316" t="s">
        <v>5865</v>
      </c>
      <c r="C1169" s="45" t="s">
        <v>5254</v>
      </c>
      <c r="D1169" s="140" t="str">
        <f>IFERROR(VLOOKUP(C1169,Stock,3,FALSE),"")</f>
        <v>Automotive Film Standard - Black 40%				</v>
      </c>
      <c r="E1169" s="45">
        <v>1.0</v>
      </c>
      <c r="F1169" s="198">
        <v>150000.0</v>
      </c>
      <c r="G1169" s="281">
        <f t="shared" si="40"/>
        <v>150000</v>
      </c>
      <c r="H1169" s="106"/>
      <c r="I1169" s="281">
        <f t="shared" si="38"/>
        <v>150000</v>
      </c>
      <c r="J1169" s="282">
        <f t="shared" si="39"/>
        <v>150000</v>
      </c>
      <c r="K1169" s="108" t="s">
        <v>5866</v>
      </c>
      <c r="L1169" s="146" t="s">
        <v>5867</v>
      </c>
      <c r="M1169" s="17"/>
      <c r="N1169" s="64" t="s">
        <v>5868</v>
      </c>
      <c r="O1169" s="105" t="s">
        <v>2813</v>
      </c>
      <c r="P1169" s="147" t="s">
        <v>4672</v>
      </c>
      <c r="Q1169" s="149"/>
      <c r="R1169" s="141"/>
      <c r="S1169" s="141"/>
      <c r="T1169" s="141">
        <v>1100000.0</v>
      </c>
      <c r="U1169" s="149"/>
      <c r="V1169" s="149"/>
      <c r="W1169" s="149"/>
      <c r="X1169" s="64" t="s">
        <v>5304</v>
      </c>
      <c r="Y1169" s="64" t="s">
        <v>4515</v>
      </c>
      <c r="Z1169" s="68"/>
    </row>
    <row r="1170" ht="15.0" customHeight="1">
      <c r="A1170" s="315">
        <v>45962.0</v>
      </c>
      <c r="B1170" s="316" t="s">
        <v>5869</v>
      </c>
      <c r="C1170" s="45" t="s">
        <v>2778</v>
      </c>
      <c r="D1170" s="140" t="str">
        <f>IFERROR(VLOOKUP(C1170,Stock,3,FALSE),"")</f>
        <v>Bongkar Pasang Kaca Mobil Depan</v>
      </c>
      <c r="E1170" s="45">
        <v>1.0</v>
      </c>
      <c r="F1170" s="198">
        <v>600000.0</v>
      </c>
      <c r="G1170" s="142">
        <f t="shared" si="40"/>
        <v>600000</v>
      </c>
      <c r="H1170" s="142"/>
      <c r="I1170" s="143">
        <f t="shared" si="38"/>
        <v>600000</v>
      </c>
      <c r="J1170" s="144">
        <f t="shared" si="39"/>
        <v>600000</v>
      </c>
      <c r="K1170" s="108" t="s">
        <v>5870</v>
      </c>
      <c r="L1170" s="199" t="s">
        <v>5871</v>
      </c>
      <c r="M1170" s="17"/>
      <c r="N1170" s="64" t="s">
        <v>5872</v>
      </c>
      <c r="O1170" s="105" t="s">
        <v>2813</v>
      </c>
      <c r="P1170" s="147" t="s">
        <v>2795</v>
      </c>
      <c r="Q1170" s="149"/>
      <c r="R1170" s="141"/>
      <c r="S1170" s="141"/>
      <c r="T1170" s="141">
        <v>915000.0</v>
      </c>
      <c r="U1170" s="149"/>
      <c r="V1170" s="149"/>
      <c r="W1170" s="149"/>
      <c r="X1170" s="64" t="s">
        <v>3810</v>
      </c>
      <c r="Y1170" s="64" t="s">
        <v>4515</v>
      </c>
      <c r="Z1170" s="68"/>
    </row>
    <row r="1171" ht="15.0" customHeight="1">
      <c r="A1171" s="315">
        <v>45962.0</v>
      </c>
      <c r="B1171" s="316" t="s">
        <v>5869</v>
      </c>
      <c r="C1171" s="64" t="s">
        <v>3434</v>
      </c>
      <c r="D1171" s="140" t="str">
        <f>IFERROR(VLOOKUP(C1171,Stock,3,FALSE),"")</f>
        <v>List Kaca Depan Code 04</v>
      </c>
      <c r="E1171" s="45">
        <v>1.0</v>
      </c>
      <c r="F1171" s="198">
        <v>315000.0</v>
      </c>
      <c r="G1171" s="142">
        <f t="shared" si="40"/>
        <v>315000</v>
      </c>
      <c r="H1171" s="142"/>
      <c r="I1171" s="143">
        <f t="shared" si="38"/>
        <v>315000</v>
      </c>
      <c r="J1171" s="144">
        <f t="shared" si="39"/>
        <v>315000</v>
      </c>
      <c r="K1171" s="108" t="s">
        <v>5870</v>
      </c>
      <c r="L1171" s="199" t="s">
        <v>5871</v>
      </c>
      <c r="M1171" s="17"/>
      <c r="N1171" s="64" t="s">
        <v>5872</v>
      </c>
      <c r="O1171" s="105" t="s">
        <v>2813</v>
      </c>
      <c r="P1171" s="147" t="s">
        <v>2795</v>
      </c>
      <c r="Q1171" s="149"/>
      <c r="R1171" s="149"/>
      <c r="S1171" s="149"/>
      <c r="T1171" s="149"/>
      <c r="U1171" s="149"/>
      <c r="V1171" s="149"/>
      <c r="W1171" s="149"/>
      <c r="X1171" s="64" t="s">
        <v>3810</v>
      </c>
      <c r="Y1171" s="64" t="s">
        <v>4515</v>
      </c>
      <c r="Z1171" s="68"/>
    </row>
    <row r="1172" ht="15.0" customHeight="1">
      <c r="A1172" s="315">
        <v>45962.0</v>
      </c>
      <c r="B1172" s="316" t="s">
        <v>5873</v>
      </c>
      <c r="C1172" s="45" t="s">
        <v>2003</v>
      </c>
      <c r="D1172" s="140" t="str">
        <f>IFERROR(VLOOKUP(C1172,Stock,3,FALSE),"")</f>
        <v>Toyota Agya/Ayla 13-22 1st Gen</v>
      </c>
      <c r="E1172" s="45">
        <v>1.0</v>
      </c>
      <c r="F1172" s="198">
        <v>1000000.0</v>
      </c>
      <c r="G1172" s="142">
        <f t="shared" si="40"/>
        <v>1000000</v>
      </c>
      <c r="H1172" s="142"/>
      <c r="I1172" s="143">
        <f t="shared" si="38"/>
        <v>1000000</v>
      </c>
      <c r="J1172" s="144">
        <f t="shared" si="39"/>
        <v>1000000</v>
      </c>
      <c r="K1172" s="108" t="s">
        <v>5874</v>
      </c>
      <c r="L1172" s="199" t="s">
        <v>5875</v>
      </c>
      <c r="M1172" s="17"/>
      <c r="N1172" s="64" t="s">
        <v>5876</v>
      </c>
      <c r="O1172" s="105" t="s">
        <v>2813</v>
      </c>
      <c r="P1172" s="147" t="s">
        <v>4672</v>
      </c>
      <c r="Q1172" s="149"/>
      <c r="R1172" s="141"/>
      <c r="S1172" s="141"/>
      <c r="T1172" s="141">
        <v>1000000.0</v>
      </c>
      <c r="U1172" s="149"/>
      <c r="V1172" s="149"/>
      <c r="W1172" s="149"/>
      <c r="X1172" s="64" t="s">
        <v>3810</v>
      </c>
      <c r="Y1172" s="64" t="s">
        <v>4515</v>
      </c>
      <c r="Z1172" s="68"/>
    </row>
    <row r="1173" ht="15.0" customHeight="1">
      <c r="A1173" s="315">
        <v>45962.0</v>
      </c>
      <c r="B1173" s="316" t="s">
        <v>5877</v>
      </c>
      <c r="C1173" s="45" t="s">
        <v>5878</v>
      </c>
      <c r="D1173" s="140" t="str">
        <f>IFERROR(VLOOKUP(C1173,Stock,3,FALSE),"")</f>
        <v>Toyota Hi-Ace 04-20 Commuter With Frame</v>
      </c>
      <c r="E1173" s="45">
        <v>1.0</v>
      </c>
      <c r="F1173" s="198">
        <v>2695000.0</v>
      </c>
      <c r="G1173" s="142">
        <f t="shared" si="40"/>
        <v>2695000</v>
      </c>
      <c r="H1173" s="142"/>
      <c r="I1173" s="143">
        <f t="shared" si="38"/>
        <v>2695000</v>
      </c>
      <c r="J1173" s="144">
        <f t="shared" si="39"/>
        <v>2695000</v>
      </c>
      <c r="K1173" s="108" t="s">
        <v>5879</v>
      </c>
      <c r="L1173" s="199" t="s">
        <v>5880</v>
      </c>
      <c r="M1173" s="17"/>
      <c r="N1173" s="64" t="s">
        <v>4270</v>
      </c>
      <c r="O1173" s="105" t="s">
        <v>2813</v>
      </c>
      <c r="P1173" s="147" t="s">
        <v>4672</v>
      </c>
      <c r="Q1173" s="149"/>
      <c r="R1173" s="141"/>
      <c r="S1173" s="141"/>
      <c r="T1173" s="141">
        <v>2695000.0</v>
      </c>
      <c r="U1173" s="149"/>
      <c r="V1173" s="149"/>
      <c r="W1173" s="149"/>
      <c r="X1173" s="64" t="s">
        <v>5304</v>
      </c>
      <c r="Y1173" s="64" t="s">
        <v>4515</v>
      </c>
      <c r="Z1173" s="68"/>
    </row>
    <row r="1174" ht="15.0" customHeight="1">
      <c r="A1174" s="315">
        <v>45962.0</v>
      </c>
      <c r="B1174" s="316" t="s">
        <v>5881</v>
      </c>
      <c r="C1174" s="45" t="s">
        <v>3193</v>
      </c>
      <c r="D1174" s="140" t="str">
        <f>IFERROR(VLOOKUP(C1174,Stock,3,FALSE),"")</f>
        <v>Toyota Avanza / Xenia 11-15 2nd Gen</v>
      </c>
      <c r="E1174" s="45">
        <v>1.0</v>
      </c>
      <c r="F1174" s="198">
        <v>1000000.0</v>
      </c>
      <c r="G1174" s="142">
        <f t="shared" si="40"/>
        <v>1000000</v>
      </c>
      <c r="H1174" s="142"/>
      <c r="I1174" s="143">
        <f t="shared" si="38"/>
        <v>1000000</v>
      </c>
      <c r="J1174" s="144">
        <f t="shared" si="39"/>
        <v>1000000</v>
      </c>
      <c r="K1174" s="108" t="s">
        <v>5882</v>
      </c>
      <c r="L1174" s="199" t="s">
        <v>5883</v>
      </c>
      <c r="M1174" s="17"/>
      <c r="N1174" s="64" t="s">
        <v>5884</v>
      </c>
      <c r="O1174" s="105" t="s">
        <v>2813</v>
      </c>
      <c r="P1174" s="147" t="s">
        <v>4672</v>
      </c>
      <c r="Q1174" s="149"/>
      <c r="R1174" s="141"/>
      <c r="S1174" s="141"/>
      <c r="T1174" s="141">
        <v>1200000.0</v>
      </c>
      <c r="U1174" s="149"/>
      <c r="V1174" s="149"/>
      <c r="W1174" s="149"/>
      <c r="X1174" s="64" t="s">
        <v>5304</v>
      </c>
      <c r="Y1174" s="64" t="s">
        <v>4515</v>
      </c>
      <c r="Z1174" s="68"/>
    </row>
    <row r="1175" ht="15.0" customHeight="1">
      <c r="A1175" s="315">
        <v>45962.0</v>
      </c>
      <c r="B1175" s="316" t="s">
        <v>5881</v>
      </c>
      <c r="C1175" s="45" t="s">
        <v>4979</v>
      </c>
      <c r="D1175" s="140" t="str">
        <f>IFERROR(VLOOKUP(C1175,Stock,3,FALSE),"")</f>
        <v>255 Ultra + Actv-100 Application</v>
      </c>
      <c r="E1175" s="45">
        <v>1.0</v>
      </c>
      <c r="F1175" s="198">
        <v>200000.0</v>
      </c>
      <c r="G1175" s="142">
        <f t="shared" si="40"/>
        <v>200000</v>
      </c>
      <c r="H1175" s="142"/>
      <c r="I1175" s="143">
        <f t="shared" si="38"/>
        <v>200000</v>
      </c>
      <c r="J1175" s="144">
        <f t="shared" si="39"/>
        <v>200000</v>
      </c>
      <c r="K1175" s="108" t="s">
        <v>5882</v>
      </c>
      <c r="L1175" s="199" t="s">
        <v>5883</v>
      </c>
      <c r="M1175" s="17"/>
      <c r="N1175" s="64" t="s">
        <v>5884</v>
      </c>
      <c r="O1175" s="105" t="s">
        <v>2813</v>
      </c>
      <c r="P1175" s="147" t="s">
        <v>4672</v>
      </c>
      <c r="Q1175" s="149"/>
      <c r="R1175" s="141"/>
      <c r="S1175" s="141"/>
      <c r="T1175" s="141"/>
      <c r="U1175" s="149"/>
      <c r="V1175" s="149"/>
      <c r="W1175" s="149"/>
      <c r="X1175" s="64" t="s">
        <v>5304</v>
      </c>
      <c r="Y1175" s="64" t="s">
        <v>4515</v>
      </c>
      <c r="Z1175" s="68"/>
    </row>
    <row r="1176" ht="15.0" customHeight="1">
      <c r="A1176" s="315">
        <v>45962.0</v>
      </c>
      <c r="B1176" s="316" t="s">
        <v>5885</v>
      </c>
      <c r="C1176" s="45" t="s">
        <v>3700</v>
      </c>
      <c r="D1176" s="140" t="str">
        <f>IFERROR(VLOOKUP(C1176,Stock,3,FALSE),"")</f>
        <v>Toyota Avanza / Xenia 11-15 2nd Gen / 15-21 3rd Gen</v>
      </c>
      <c r="E1176" s="64">
        <v>1.0</v>
      </c>
      <c r="F1176" s="198">
        <v>839000.0</v>
      </c>
      <c r="G1176" s="142">
        <f t="shared" si="40"/>
        <v>839000</v>
      </c>
      <c r="H1176" s="142"/>
      <c r="I1176" s="143">
        <f t="shared" si="38"/>
        <v>839000</v>
      </c>
      <c r="J1176" s="144">
        <f t="shared" si="39"/>
        <v>839000</v>
      </c>
      <c r="K1176" s="145" t="s">
        <v>5886</v>
      </c>
      <c r="L1176" s="146" t="s">
        <v>5887</v>
      </c>
      <c r="M1176" s="68"/>
      <c r="N1176" s="64" t="s">
        <v>5888</v>
      </c>
      <c r="O1176" s="105" t="s">
        <v>2813</v>
      </c>
      <c r="P1176" s="147" t="s">
        <v>4672</v>
      </c>
      <c r="Q1176" s="68"/>
      <c r="R1176" s="141"/>
      <c r="S1176" s="141"/>
      <c r="T1176" s="141">
        <v>839000.0</v>
      </c>
      <c r="U1176" s="149"/>
      <c r="V1176" s="149"/>
      <c r="W1176" s="149"/>
      <c r="X1176" s="64" t="s">
        <v>3810</v>
      </c>
      <c r="Y1176" s="64" t="s">
        <v>4515</v>
      </c>
      <c r="Z1176" s="68"/>
    </row>
    <row r="1177" ht="15.0" customHeight="1">
      <c r="A1177" s="315">
        <v>45962.0</v>
      </c>
      <c r="B1177" s="316" t="s">
        <v>5889</v>
      </c>
      <c r="C1177" s="45" t="s">
        <v>4001</v>
      </c>
      <c r="D1177" s="140" t="str">
        <f>IFERROR(VLOOKUP(C1177,Stock,3,FALSE),"")</f>
        <v>Daihatsu Gran Max Minibus/Van</v>
      </c>
      <c r="E1177" s="45">
        <v>1.0</v>
      </c>
      <c r="F1177" s="198">
        <v>799000.0</v>
      </c>
      <c r="G1177" s="142">
        <f t="shared" si="40"/>
        <v>799000</v>
      </c>
      <c r="H1177" s="142"/>
      <c r="I1177" s="143">
        <f t="shared" si="38"/>
        <v>799000</v>
      </c>
      <c r="J1177" s="144">
        <f t="shared" si="39"/>
        <v>799000</v>
      </c>
      <c r="K1177" s="108" t="s">
        <v>5890</v>
      </c>
      <c r="L1177" s="199" t="s">
        <v>5891</v>
      </c>
      <c r="M1177" s="17"/>
      <c r="N1177" s="64" t="s">
        <v>5892</v>
      </c>
      <c r="O1177" s="105" t="s">
        <v>2813</v>
      </c>
      <c r="P1177" s="147" t="s">
        <v>4672</v>
      </c>
      <c r="Q1177" s="149"/>
      <c r="R1177" s="141"/>
      <c r="S1177" s="141"/>
      <c r="T1177" s="141">
        <v>100000.0</v>
      </c>
      <c r="U1177" s="149"/>
      <c r="V1177" s="149"/>
      <c r="W1177" s="149"/>
      <c r="X1177" s="64" t="s">
        <v>3810</v>
      </c>
      <c r="Y1177" s="64" t="s">
        <v>4515</v>
      </c>
      <c r="Z1177" s="68"/>
    </row>
    <row r="1178" ht="15.0" customHeight="1">
      <c r="A1178" s="315">
        <v>45962.0</v>
      </c>
      <c r="B1178" s="316" t="s">
        <v>5889</v>
      </c>
      <c r="C1178" s="45" t="s">
        <v>5254</v>
      </c>
      <c r="D1178" s="140" t="str">
        <f>IFERROR(VLOOKUP(C1178,Stock,3,FALSE),"")</f>
        <v>Automotive Film Standard - Black 40%				</v>
      </c>
      <c r="E1178" s="45">
        <v>1.0</v>
      </c>
      <c r="F1178" s="198">
        <v>200000.0</v>
      </c>
      <c r="G1178" s="142">
        <f t="shared" si="40"/>
        <v>200000</v>
      </c>
      <c r="H1178" s="142"/>
      <c r="I1178" s="143">
        <f t="shared" si="38"/>
        <v>200000</v>
      </c>
      <c r="J1178" s="144">
        <f t="shared" si="39"/>
        <v>200000</v>
      </c>
      <c r="K1178" s="108" t="s">
        <v>5890</v>
      </c>
      <c r="L1178" s="199" t="s">
        <v>5891</v>
      </c>
      <c r="M1178" s="17"/>
      <c r="N1178" s="64" t="s">
        <v>5892</v>
      </c>
      <c r="O1178" s="105" t="s">
        <v>2813</v>
      </c>
      <c r="P1178" s="147" t="s">
        <v>4672</v>
      </c>
      <c r="Q1178" s="149"/>
      <c r="R1178" s="141"/>
      <c r="S1178" s="141"/>
      <c r="T1178" s="141">
        <v>899000.0</v>
      </c>
      <c r="U1178" s="149"/>
      <c r="V1178" s="149"/>
      <c r="W1178" s="149"/>
      <c r="X1178" s="64" t="s">
        <v>3810</v>
      </c>
      <c r="Y1178" s="64" t="s">
        <v>4515</v>
      </c>
      <c r="Z1178" s="68"/>
    </row>
    <row r="1179" ht="15.0" customHeight="1">
      <c r="A1179" s="319">
        <v>45885.0</v>
      </c>
      <c r="B1179" s="320" t="s">
        <v>5893</v>
      </c>
      <c r="C1179" s="321" t="s">
        <v>4112</v>
      </c>
      <c r="D1179" s="322" t="str">
        <f>IFERROR(VLOOKUP(C1179,Stock,3,FALSE),"")</f>
        <v>Wuling Air EV 22-</v>
      </c>
      <c r="E1179" s="321">
        <v>1.0</v>
      </c>
      <c r="F1179" s="323"/>
      <c r="G1179" s="324">
        <f t="shared" si="40"/>
        <v>0</v>
      </c>
      <c r="H1179" s="324"/>
      <c r="I1179" s="325">
        <f t="shared" si="38"/>
        <v>0</v>
      </c>
      <c r="J1179" s="326">
        <f t="shared" si="39"/>
        <v>0</v>
      </c>
      <c r="K1179" s="327" t="s">
        <v>4509</v>
      </c>
      <c r="L1179" s="328"/>
      <c r="M1179" s="328"/>
      <c r="N1179" s="329"/>
      <c r="O1179" s="329"/>
      <c r="P1179" s="330"/>
      <c r="Q1179" s="331"/>
      <c r="R1179" s="331"/>
      <c r="S1179" s="331"/>
      <c r="T1179" s="331"/>
      <c r="U1179" s="331"/>
      <c r="V1179" s="331"/>
      <c r="W1179" s="331"/>
      <c r="X1179" s="332" t="s">
        <v>5894</v>
      </c>
      <c r="Y1179" s="64" t="s">
        <v>4515</v>
      </c>
      <c r="Z1179" s="68"/>
    </row>
    <row r="1180" ht="15.0" customHeight="1">
      <c r="A1180" s="319">
        <v>45885.0</v>
      </c>
      <c r="B1180" s="320" t="s">
        <v>5893</v>
      </c>
      <c r="C1180" s="321" t="s">
        <v>4337</v>
      </c>
      <c r="D1180" s="322" t="str">
        <f>IFERROR(VLOOKUP(C1180,Stock,3,FALSE),"")</f>
        <v>Mitsubishi Pajero 16- (Mitsubishi)</v>
      </c>
      <c r="E1180" s="321">
        <v>1.0</v>
      </c>
      <c r="F1180" s="323"/>
      <c r="G1180" s="324">
        <f t="shared" si="40"/>
        <v>0</v>
      </c>
      <c r="H1180" s="324"/>
      <c r="I1180" s="325">
        <f t="shared" si="38"/>
        <v>0</v>
      </c>
      <c r="J1180" s="326">
        <f t="shared" si="39"/>
        <v>0</v>
      </c>
      <c r="K1180" s="327" t="s">
        <v>4509</v>
      </c>
      <c r="L1180" s="328"/>
      <c r="M1180" s="328"/>
      <c r="N1180" s="329"/>
      <c r="O1180" s="329"/>
      <c r="P1180" s="330"/>
      <c r="Q1180" s="331"/>
      <c r="R1180" s="331"/>
      <c r="S1180" s="331"/>
      <c r="T1180" s="331"/>
      <c r="U1180" s="331"/>
      <c r="V1180" s="331"/>
      <c r="W1180" s="331"/>
      <c r="X1180" s="332" t="s">
        <v>5894</v>
      </c>
      <c r="Y1180" s="64" t="s">
        <v>4515</v>
      </c>
      <c r="Z1180" s="68"/>
    </row>
    <row r="1181" ht="15.0" customHeight="1">
      <c r="A1181" s="333">
        <v>45964.0</v>
      </c>
      <c r="B1181" s="316" t="s">
        <v>5895</v>
      </c>
      <c r="C1181" s="45" t="s">
        <v>4112</v>
      </c>
      <c r="D1181" s="140" t="str">
        <f>IFERROR(VLOOKUP(C1181,Stock,3,FALSE),"")</f>
        <v>Wuling Air EV 22-</v>
      </c>
      <c r="E1181" s="45">
        <v>1.0</v>
      </c>
      <c r="F1181" s="198">
        <v>1799000.0</v>
      </c>
      <c r="G1181" s="142">
        <f t="shared" si="40"/>
        <v>1799000</v>
      </c>
      <c r="H1181" s="142"/>
      <c r="I1181" s="143">
        <f t="shared" si="38"/>
        <v>1799000</v>
      </c>
      <c r="J1181" s="144">
        <f t="shared" si="39"/>
        <v>1799000</v>
      </c>
      <c r="K1181" s="108" t="s">
        <v>5896</v>
      </c>
      <c r="L1181" s="199" t="s">
        <v>5897</v>
      </c>
      <c r="M1181" s="17"/>
      <c r="N1181" s="64" t="s">
        <v>5898</v>
      </c>
      <c r="O1181" s="105" t="s">
        <v>2813</v>
      </c>
      <c r="P1181" s="147" t="s">
        <v>4672</v>
      </c>
      <c r="Q1181" s="149"/>
      <c r="R1181" s="141"/>
      <c r="S1181" s="141"/>
      <c r="T1181" s="141">
        <v>1949000.0</v>
      </c>
      <c r="U1181" s="149"/>
      <c r="V1181" s="149"/>
      <c r="W1181" s="149"/>
      <c r="X1181" s="64" t="s">
        <v>3810</v>
      </c>
      <c r="Y1181" s="64" t="s">
        <v>4515</v>
      </c>
      <c r="Z1181" s="68"/>
    </row>
    <row r="1182" ht="15.0" customHeight="1">
      <c r="A1182" s="333">
        <v>45964.0</v>
      </c>
      <c r="B1182" s="316" t="s">
        <v>5895</v>
      </c>
      <c r="C1182" s="45" t="s">
        <v>4979</v>
      </c>
      <c r="D1182" s="140" t="str">
        <f>IFERROR(VLOOKUP(C1182,Stock,3,FALSE),"")</f>
        <v>255 Ultra + Actv-100 Application</v>
      </c>
      <c r="E1182" s="45">
        <v>1.0</v>
      </c>
      <c r="F1182" s="198">
        <v>200000.0</v>
      </c>
      <c r="G1182" s="142">
        <f t="shared" si="40"/>
        <v>200000</v>
      </c>
      <c r="H1182" s="143">
        <v>50000.0</v>
      </c>
      <c r="I1182" s="143">
        <f t="shared" si="38"/>
        <v>150000</v>
      </c>
      <c r="J1182" s="144">
        <f t="shared" si="39"/>
        <v>150000</v>
      </c>
      <c r="K1182" s="108" t="s">
        <v>5896</v>
      </c>
      <c r="L1182" s="199" t="s">
        <v>5897</v>
      </c>
      <c r="M1182" s="17"/>
      <c r="N1182" s="64" t="s">
        <v>5898</v>
      </c>
      <c r="O1182" s="105" t="s">
        <v>2813</v>
      </c>
      <c r="P1182" s="147" t="s">
        <v>4672</v>
      </c>
      <c r="Q1182" s="149"/>
      <c r="R1182" s="149"/>
      <c r="S1182" s="149"/>
      <c r="T1182" s="149"/>
      <c r="U1182" s="149"/>
      <c r="V1182" s="149"/>
      <c r="W1182" s="149"/>
      <c r="X1182" s="64" t="s">
        <v>3810</v>
      </c>
      <c r="Y1182" s="64" t="s">
        <v>4515</v>
      </c>
      <c r="Z1182" s="68"/>
    </row>
    <row r="1183" ht="15.0" customHeight="1">
      <c r="A1183" s="333">
        <v>45964.0</v>
      </c>
      <c r="B1183" s="316" t="s">
        <v>5899</v>
      </c>
      <c r="C1183" s="45" t="s">
        <v>5752</v>
      </c>
      <c r="D1183" s="140" t="str">
        <f>IFERROR(VLOOKUP(C1183,Stock,3,FALSE),"")</f>
        <v>Honda Brio 10-17 [Lubang Wiper] (Honda)</v>
      </c>
      <c r="E1183" s="45">
        <v>1.0</v>
      </c>
      <c r="F1183" s="198">
        <v>1650000.0</v>
      </c>
      <c r="G1183" s="142">
        <f t="shared" si="40"/>
        <v>1650000</v>
      </c>
      <c r="H1183" s="142"/>
      <c r="I1183" s="143">
        <f t="shared" si="38"/>
        <v>1650000</v>
      </c>
      <c r="J1183" s="144">
        <f t="shared" si="39"/>
        <v>1650000</v>
      </c>
      <c r="K1183" s="108" t="s">
        <v>5900</v>
      </c>
      <c r="L1183" s="199" t="s">
        <v>5901</v>
      </c>
      <c r="M1183" s="17"/>
      <c r="N1183" s="64" t="s">
        <v>5902</v>
      </c>
      <c r="O1183" s="64" t="s">
        <v>2935</v>
      </c>
      <c r="P1183" s="147" t="s">
        <v>4672</v>
      </c>
      <c r="Q1183" s="149"/>
      <c r="R1183" s="141"/>
      <c r="S1183" s="141"/>
      <c r="T1183" s="141">
        <v>50000.0</v>
      </c>
      <c r="U1183" s="149"/>
      <c r="V1183" s="149"/>
      <c r="W1183" s="149"/>
      <c r="X1183" s="64" t="s">
        <v>3810</v>
      </c>
      <c r="Y1183" s="64" t="s">
        <v>4515</v>
      </c>
      <c r="Z1183" s="68"/>
    </row>
    <row r="1184" ht="15.0" customHeight="1">
      <c r="A1184" s="333">
        <v>45964.0</v>
      </c>
      <c r="B1184" s="316" t="s">
        <v>5899</v>
      </c>
      <c r="C1184" s="45" t="s">
        <v>2770</v>
      </c>
      <c r="D1184" s="140" t="str">
        <f>IFERROR(VLOOKUP(C1184,Stock,3,FALSE),"")</f>
        <v>Transport</v>
      </c>
      <c r="E1184" s="45">
        <v>1.0</v>
      </c>
      <c r="F1184" s="198">
        <v>170000.0</v>
      </c>
      <c r="G1184" s="142">
        <f t="shared" si="40"/>
        <v>170000</v>
      </c>
      <c r="H1184" s="142"/>
      <c r="I1184" s="143">
        <f t="shared" si="38"/>
        <v>170000</v>
      </c>
      <c r="J1184" s="144">
        <f t="shared" si="39"/>
        <v>170000</v>
      </c>
      <c r="K1184" s="108" t="s">
        <v>5900</v>
      </c>
      <c r="L1184" s="199" t="s">
        <v>5901</v>
      </c>
      <c r="M1184" s="17"/>
      <c r="N1184" s="64" t="s">
        <v>5902</v>
      </c>
      <c r="O1184" s="64" t="s">
        <v>2935</v>
      </c>
      <c r="P1184" s="147" t="s">
        <v>4672</v>
      </c>
      <c r="Q1184" s="149"/>
      <c r="R1184" s="141"/>
      <c r="S1184" s="141"/>
      <c r="T1184" s="141">
        <v>1770000.0</v>
      </c>
      <c r="U1184" s="149"/>
      <c r="V1184" s="149"/>
      <c r="W1184" s="149"/>
      <c r="X1184" s="64" t="s">
        <v>3810</v>
      </c>
      <c r="Y1184" s="64" t="s">
        <v>4515</v>
      </c>
      <c r="Z1184" s="68"/>
    </row>
    <row r="1185" ht="15.0" customHeight="1">
      <c r="A1185" s="333">
        <v>45964.0</v>
      </c>
      <c r="B1185" s="316" t="s">
        <v>5903</v>
      </c>
      <c r="C1185" s="45" t="s">
        <v>4112</v>
      </c>
      <c r="D1185" s="140" t="str">
        <f>IFERROR(VLOOKUP(C1185,Stock,3,FALSE),"")</f>
        <v>Wuling Air EV 22-</v>
      </c>
      <c r="E1185" s="45">
        <v>1.0</v>
      </c>
      <c r="F1185" s="198">
        <v>1850000.0</v>
      </c>
      <c r="G1185" s="142">
        <f t="shared" si="40"/>
        <v>1850000</v>
      </c>
      <c r="H1185" s="142"/>
      <c r="I1185" s="143">
        <f t="shared" si="38"/>
        <v>1850000</v>
      </c>
      <c r="J1185" s="144">
        <f t="shared" si="39"/>
        <v>1850000</v>
      </c>
      <c r="K1185" s="108" t="s">
        <v>5904</v>
      </c>
      <c r="L1185" s="199" t="s">
        <v>5905</v>
      </c>
      <c r="M1185" s="17"/>
      <c r="N1185" s="64" t="s">
        <v>5906</v>
      </c>
      <c r="O1185" s="64" t="s">
        <v>2987</v>
      </c>
      <c r="P1185" s="147" t="s">
        <v>4672</v>
      </c>
      <c r="Q1185" s="149"/>
      <c r="R1185" s="141"/>
      <c r="S1185" s="141"/>
      <c r="T1185" s="141">
        <v>30000.0</v>
      </c>
      <c r="U1185" s="149"/>
      <c r="V1185" s="149"/>
      <c r="W1185" s="149"/>
      <c r="X1185" s="64" t="s">
        <v>3810</v>
      </c>
      <c r="Y1185" s="64" t="s">
        <v>4515</v>
      </c>
      <c r="Z1185" s="68"/>
    </row>
    <row r="1186" ht="15.0" customHeight="1">
      <c r="A1186" s="333">
        <v>45964.0</v>
      </c>
      <c r="B1186" s="316" t="s">
        <v>5903</v>
      </c>
      <c r="C1186" s="45" t="s">
        <v>2770</v>
      </c>
      <c r="D1186" s="140" t="str">
        <f>IFERROR(VLOOKUP(C1186,Stock,3,FALSE),"")</f>
        <v>Transport</v>
      </c>
      <c r="E1186" s="45">
        <v>1.0</v>
      </c>
      <c r="F1186" s="198">
        <v>190000.0</v>
      </c>
      <c r="G1186" s="142">
        <f t="shared" si="40"/>
        <v>190000</v>
      </c>
      <c r="H1186" s="142"/>
      <c r="I1186" s="143">
        <f t="shared" si="38"/>
        <v>190000</v>
      </c>
      <c r="J1186" s="144">
        <f t="shared" si="39"/>
        <v>190000</v>
      </c>
      <c r="K1186" s="108" t="s">
        <v>5904</v>
      </c>
      <c r="L1186" s="199" t="s">
        <v>5905</v>
      </c>
      <c r="M1186" s="17"/>
      <c r="N1186" s="64" t="s">
        <v>5906</v>
      </c>
      <c r="O1186" s="64" t="s">
        <v>2987</v>
      </c>
      <c r="P1186" s="147" t="s">
        <v>4672</v>
      </c>
      <c r="Q1186" s="149"/>
      <c r="R1186" s="149"/>
      <c r="S1186" s="149"/>
      <c r="T1186" s="149"/>
      <c r="U1186" s="149"/>
      <c r="V1186" s="149"/>
      <c r="W1186" s="149"/>
      <c r="X1186" s="64" t="s">
        <v>3810</v>
      </c>
      <c r="Y1186" s="64" t="s">
        <v>4515</v>
      </c>
      <c r="Z1186" s="68"/>
    </row>
    <row r="1187" ht="15.0" customHeight="1">
      <c r="A1187" s="333">
        <v>45964.0</v>
      </c>
      <c r="B1187" s="316" t="s">
        <v>5907</v>
      </c>
      <c r="C1187" s="45" t="s">
        <v>3193</v>
      </c>
      <c r="D1187" s="140" t="str">
        <f>IFERROR(VLOOKUP(C1187,Stock,3,FALSE),"")</f>
        <v>Toyota Avanza / Xenia 11-15 2nd Gen</v>
      </c>
      <c r="E1187" s="45">
        <v>1.0</v>
      </c>
      <c r="F1187" s="198">
        <v>1000000.0</v>
      </c>
      <c r="G1187" s="142">
        <f t="shared" si="40"/>
        <v>1000000</v>
      </c>
      <c r="H1187" s="142"/>
      <c r="I1187" s="143">
        <f t="shared" si="38"/>
        <v>1000000</v>
      </c>
      <c r="J1187" s="144">
        <f t="shared" si="39"/>
        <v>1000000</v>
      </c>
      <c r="K1187" s="108" t="s">
        <v>5908</v>
      </c>
      <c r="L1187" s="199" t="s">
        <v>5909</v>
      </c>
      <c r="M1187" s="17"/>
      <c r="N1187" s="64" t="s">
        <v>5910</v>
      </c>
      <c r="O1187" s="105" t="s">
        <v>2813</v>
      </c>
      <c r="P1187" s="147" t="s">
        <v>4672</v>
      </c>
      <c r="Q1187" s="149"/>
      <c r="R1187" s="141"/>
      <c r="S1187" s="141"/>
      <c r="T1187" s="141">
        <v>1150000.0</v>
      </c>
      <c r="U1187" s="149"/>
      <c r="V1187" s="149"/>
      <c r="W1187" s="149"/>
      <c r="X1187" s="64" t="s">
        <v>3810</v>
      </c>
      <c r="Y1187" s="64" t="s">
        <v>4515</v>
      </c>
      <c r="Z1187" s="68"/>
    </row>
    <row r="1188" ht="15.0" customHeight="1">
      <c r="A1188" s="333">
        <v>45964.0</v>
      </c>
      <c r="B1188" s="316" t="s">
        <v>5907</v>
      </c>
      <c r="C1188" s="45" t="s">
        <v>4979</v>
      </c>
      <c r="D1188" s="140" t="str">
        <f>IFERROR(VLOOKUP(C1188,Stock,3,FALSE),"")</f>
        <v>255 Ultra + Actv-100 Application</v>
      </c>
      <c r="E1188" s="45">
        <v>1.0</v>
      </c>
      <c r="F1188" s="198">
        <v>200000.0</v>
      </c>
      <c r="G1188" s="142">
        <f t="shared" si="40"/>
        <v>200000</v>
      </c>
      <c r="H1188" s="143">
        <v>50000.0</v>
      </c>
      <c r="I1188" s="143">
        <f t="shared" si="38"/>
        <v>150000</v>
      </c>
      <c r="J1188" s="144">
        <f t="shared" si="39"/>
        <v>150000</v>
      </c>
      <c r="K1188" s="108" t="s">
        <v>5908</v>
      </c>
      <c r="L1188" s="199" t="s">
        <v>5909</v>
      </c>
      <c r="M1188" s="17"/>
      <c r="N1188" s="64" t="s">
        <v>5910</v>
      </c>
      <c r="O1188" s="105" t="s">
        <v>2813</v>
      </c>
      <c r="P1188" s="147" t="s">
        <v>4672</v>
      </c>
      <c r="Q1188" s="149"/>
      <c r="R1188" s="149"/>
      <c r="S1188" s="149"/>
      <c r="T1188" s="149"/>
      <c r="U1188" s="149"/>
      <c r="V1188" s="149"/>
      <c r="W1188" s="149"/>
      <c r="X1188" s="64" t="s">
        <v>3810</v>
      </c>
      <c r="Y1188" s="64" t="s">
        <v>4515</v>
      </c>
      <c r="Z1188" s="68"/>
    </row>
    <row r="1189" ht="15.0" customHeight="1">
      <c r="A1189" s="333">
        <v>45965.0</v>
      </c>
      <c r="B1189" s="264" t="s">
        <v>5911</v>
      </c>
      <c r="C1189" s="45" t="s">
        <v>5912</v>
      </c>
      <c r="D1189" s="140" t="str">
        <f>IFERROR(VLOOKUP(C1189,Stock,3,FALSE),"")</f>
        <v>Kia Picanto 04-11 1st Gen (Spion Hitam)</v>
      </c>
      <c r="E1189" s="45">
        <v>1.0</v>
      </c>
      <c r="F1189" s="198">
        <v>1820000.0</v>
      </c>
      <c r="G1189" s="142">
        <f t="shared" si="40"/>
        <v>1820000</v>
      </c>
      <c r="H1189" s="142"/>
      <c r="I1189" s="143">
        <f t="shared" si="38"/>
        <v>1820000</v>
      </c>
      <c r="J1189" s="144">
        <f t="shared" si="39"/>
        <v>1820000</v>
      </c>
      <c r="K1189" s="108" t="s">
        <v>5913</v>
      </c>
      <c r="L1189" s="199" t="s">
        <v>5914</v>
      </c>
      <c r="M1189" s="17"/>
      <c r="N1189" s="64" t="s">
        <v>5915</v>
      </c>
      <c r="O1189" s="64" t="s">
        <v>5916</v>
      </c>
      <c r="P1189" s="147" t="s">
        <v>4672</v>
      </c>
      <c r="Q1189" s="149"/>
      <c r="R1189" s="141"/>
      <c r="S1189" s="141"/>
      <c r="T1189" s="141">
        <v>1820000.0</v>
      </c>
      <c r="U1189" s="149"/>
      <c r="V1189" s="149"/>
      <c r="W1189" s="149"/>
      <c r="X1189" s="64" t="s">
        <v>3810</v>
      </c>
      <c r="Y1189" s="64" t="s">
        <v>4515</v>
      </c>
      <c r="Z1189" s="68"/>
    </row>
    <row r="1190" ht="15.0" customHeight="1">
      <c r="A1190" s="333">
        <v>45965.0</v>
      </c>
      <c r="B1190" s="264" t="s">
        <v>5917</v>
      </c>
      <c r="C1190" s="45" t="s">
        <v>4322</v>
      </c>
      <c r="D1190" s="140" t="str">
        <f>IFERROR(VLOOKUP(C1190,Stock,3,FALSE),"")</f>
        <v>Nissan Livina 13-18 L11 (Lubang)</v>
      </c>
      <c r="E1190" s="45">
        <v>1.0</v>
      </c>
      <c r="F1190" s="198">
        <v>1200000.0</v>
      </c>
      <c r="G1190" s="142">
        <f t="shared" si="40"/>
        <v>1200000</v>
      </c>
      <c r="H1190" s="142"/>
      <c r="I1190" s="143">
        <f t="shared" si="38"/>
        <v>1200000</v>
      </c>
      <c r="J1190" s="144">
        <f t="shared" si="39"/>
        <v>1200000</v>
      </c>
      <c r="K1190" s="108" t="s">
        <v>5918</v>
      </c>
      <c r="L1190" s="199" t="s">
        <v>5919</v>
      </c>
      <c r="M1190" s="17"/>
      <c r="N1190" s="64" t="s">
        <v>5920</v>
      </c>
      <c r="O1190" s="64" t="s">
        <v>3007</v>
      </c>
      <c r="P1190" s="147" t="s">
        <v>4672</v>
      </c>
      <c r="Q1190" s="149"/>
      <c r="R1190" s="141"/>
      <c r="S1190" s="141"/>
      <c r="T1190" s="141">
        <v>30000.0</v>
      </c>
      <c r="U1190" s="149"/>
      <c r="V1190" s="149"/>
      <c r="W1190" s="149"/>
      <c r="X1190" s="64" t="s">
        <v>3810</v>
      </c>
      <c r="Y1190" s="64" t="s">
        <v>4515</v>
      </c>
      <c r="Z1190" s="68"/>
    </row>
    <row r="1191" ht="15.0" customHeight="1">
      <c r="A1191" s="333">
        <v>45965.0</v>
      </c>
      <c r="B1191" s="264" t="s">
        <v>5917</v>
      </c>
      <c r="C1191" s="45" t="s">
        <v>2770</v>
      </c>
      <c r="D1191" s="140" t="str">
        <f>IFERROR(VLOOKUP(C1191,Stock,3,FALSE),"")</f>
        <v>Transport</v>
      </c>
      <c r="E1191" s="64">
        <v>1.0</v>
      </c>
      <c r="F1191" s="198">
        <v>200000.0</v>
      </c>
      <c r="G1191" s="142">
        <f t="shared" si="40"/>
        <v>200000</v>
      </c>
      <c r="H1191" s="142"/>
      <c r="I1191" s="143">
        <f t="shared" si="38"/>
        <v>200000</v>
      </c>
      <c r="J1191" s="144">
        <f t="shared" si="39"/>
        <v>200000</v>
      </c>
      <c r="K1191" s="145" t="s">
        <v>5918</v>
      </c>
      <c r="L1191" s="146" t="s">
        <v>5919</v>
      </c>
      <c r="M1191" s="68"/>
      <c r="N1191" s="64" t="s">
        <v>5920</v>
      </c>
      <c r="O1191" s="64" t="s">
        <v>3007</v>
      </c>
      <c r="P1191" s="147" t="s">
        <v>4672</v>
      </c>
      <c r="Q1191" s="68"/>
      <c r="R1191" s="141"/>
      <c r="S1191" s="141"/>
      <c r="T1191" s="141">
        <v>1370000.0</v>
      </c>
      <c r="U1191" s="68"/>
      <c r="V1191" s="68"/>
      <c r="W1191" s="68"/>
      <c r="X1191" s="64" t="s">
        <v>3810</v>
      </c>
      <c r="Y1191" s="64" t="s">
        <v>4515</v>
      </c>
      <c r="Z1191" s="68"/>
    </row>
    <row r="1192" ht="15.0" customHeight="1">
      <c r="A1192" s="333">
        <v>45965.0</v>
      </c>
      <c r="B1192" s="264" t="s">
        <v>5921</v>
      </c>
      <c r="C1192" s="45" t="s">
        <v>5922</v>
      </c>
      <c r="D1192" s="140" t="str">
        <f>IFERROR(VLOOKUP(C1192,Stock,3,FALSE),"")</f>
        <v>Toyota Corolla All New AE111 95-02 8th Gen</v>
      </c>
      <c r="E1192" s="45">
        <v>1.0</v>
      </c>
      <c r="F1192" s="198">
        <v>2650000.0</v>
      </c>
      <c r="G1192" s="142">
        <f t="shared" si="40"/>
        <v>2650000</v>
      </c>
      <c r="H1192" s="142"/>
      <c r="I1192" s="143">
        <f t="shared" si="38"/>
        <v>2650000</v>
      </c>
      <c r="J1192" s="144">
        <f t="shared" si="39"/>
        <v>2650000</v>
      </c>
      <c r="K1192" s="108" t="s">
        <v>5923</v>
      </c>
      <c r="L1192" s="199" t="s">
        <v>5924</v>
      </c>
      <c r="M1192" s="17"/>
      <c r="N1192" s="64" t="s">
        <v>5925</v>
      </c>
      <c r="O1192" s="105" t="s">
        <v>2813</v>
      </c>
      <c r="P1192" s="147" t="s">
        <v>4672</v>
      </c>
      <c r="Q1192" s="141">
        <v>2650000.0</v>
      </c>
      <c r="R1192" s="141"/>
      <c r="S1192" s="141"/>
      <c r="T1192" s="141">
        <v>30000.0</v>
      </c>
      <c r="U1192" s="149"/>
      <c r="V1192" s="149"/>
      <c r="W1192" s="149"/>
      <c r="X1192" s="64" t="s">
        <v>3810</v>
      </c>
      <c r="Y1192" s="64" t="s">
        <v>4515</v>
      </c>
      <c r="Z1192" s="68"/>
    </row>
    <row r="1193" ht="15.0" customHeight="1">
      <c r="A1193" s="333">
        <v>45965.0</v>
      </c>
      <c r="B1193" s="264" t="s">
        <v>5926</v>
      </c>
      <c r="C1193" s="45" t="s">
        <v>3130</v>
      </c>
      <c r="D1193" s="140" t="str">
        <f>IFERROR(VLOOKUP(C1193,Stock,3,FALSE),"")</f>
        <v>Toyota Innova 04-15 1st Gen</v>
      </c>
      <c r="E1193" s="45">
        <v>1.0</v>
      </c>
      <c r="F1193" s="198">
        <v>1272000.0</v>
      </c>
      <c r="G1193" s="142">
        <f t="shared" si="40"/>
        <v>1272000</v>
      </c>
      <c r="H1193" s="142"/>
      <c r="I1193" s="143">
        <f t="shared" si="38"/>
        <v>1272000</v>
      </c>
      <c r="J1193" s="144">
        <f t="shared" si="39"/>
        <v>1272000</v>
      </c>
      <c r="K1193" s="108" t="s">
        <v>4288</v>
      </c>
      <c r="L1193" s="199" t="s">
        <v>5927</v>
      </c>
      <c r="M1193" s="17"/>
      <c r="N1193" s="64" t="s">
        <v>5928</v>
      </c>
      <c r="O1193" s="105" t="s">
        <v>2813</v>
      </c>
      <c r="P1193" s="147" t="s">
        <v>4672</v>
      </c>
      <c r="Q1193" s="141"/>
      <c r="R1193" s="141"/>
      <c r="S1193" s="141"/>
      <c r="T1193" s="141">
        <v>1272000.0</v>
      </c>
      <c r="U1193" s="149"/>
      <c r="V1193" s="149"/>
      <c r="W1193" s="149"/>
      <c r="X1193" s="64" t="s">
        <v>3810</v>
      </c>
      <c r="Y1193" s="64" t="s">
        <v>4515</v>
      </c>
      <c r="Z1193" s="68"/>
    </row>
    <row r="1194" ht="15.0" customHeight="1">
      <c r="A1194" s="333">
        <v>45965.0</v>
      </c>
      <c r="B1194" s="264" t="s">
        <v>5929</v>
      </c>
      <c r="C1194" s="45" t="s">
        <v>3354</v>
      </c>
      <c r="D1194" s="140" t="str">
        <f>IFERROR(VLOOKUP(C1194,Stock,3,FALSE),"")</f>
        <v>Honda Brio 10- / Mobilio 11- (Honda)</v>
      </c>
      <c r="E1194" s="45">
        <v>1.0</v>
      </c>
      <c r="F1194" s="198">
        <v>1772000.0</v>
      </c>
      <c r="G1194" s="142">
        <f t="shared" si="40"/>
        <v>1772000</v>
      </c>
      <c r="H1194" s="142"/>
      <c r="I1194" s="143">
        <f t="shared" si="38"/>
        <v>1772000</v>
      </c>
      <c r="J1194" s="144">
        <f t="shared" si="39"/>
        <v>1772000</v>
      </c>
      <c r="K1194" s="108" t="s">
        <v>5930</v>
      </c>
      <c r="L1194" s="199" t="s">
        <v>5931</v>
      </c>
      <c r="M1194" s="17"/>
      <c r="N1194" s="64" t="s">
        <v>5932</v>
      </c>
      <c r="O1194" s="105" t="s">
        <v>2813</v>
      </c>
      <c r="P1194" s="147" t="s">
        <v>4672</v>
      </c>
      <c r="Q1194" s="149"/>
      <c r="R1194" s="141"/>
      <c r="S1194" s="141"/>
      <c r="T1194" s="141">
        <v>30000.0</v>
      </c>
      <c r="U1194" s="149"/>
      <c r="V1194" s="149"/>
      <c r="W1194" s="149"/>
      <c r="X1194" s="64" t="s">
        <v>3810</v>
      </c>
      <c r="Y1194" s="64" t="s">
        <v>4515</v>
      </c>
      <c r="Z1194" s="68"/>
    </row>
    <row r="1195" ht="15.0" customHeight="1">
      <c r="A1195" s="333">
        <v>45965.0</v>
      </c>
      <c r="B1195" s="264" t="s">
        <v>5929</v>
      </c>
      <c r="C1195" s="45" t="s">
        <v>2770</v>
      </c>
      <c r="D1195" s="140" t="str">
        <f>IFERROR(VLOOKUP(C1195,Stock,3,FALSE),"")</f>
        <v>Transport</v>
      </c>
      <c r="E1195" s="45">
        <v>1.0</v>
      </c>
      <c r="F1195" s="198">
        <v>190000.0</v>
      </c>
      <c r="G1195" s="142">
        <f t="shared" si="40"/>
        <v>190000</v>
      </c>
      <c r="H1195" s="142"/>
      <c r="I1195" s="143">
        <f t="shared" si="38"/>
        <v>190000</v>
      </c>
      <c r="J1195" s="144">
        <f t="shared" si="39"/>
        <v>190000</v>
      </c>
      <c r="K1195" s="108" t="s">
        <v>5930</v>
      </c>
      <c r="L1195" s="199" t="s">
        <v>5931</v>
      </c>
      <c r="M1195" s="17"/>
      <c r="N1195" s="64" t="s">
        <v>5932</v>
      </c>
      <c r="O1195" s="105" t="s">
        <v>2813</v>
      </c>
      <c r="P1195" s="147" t="s">
        <v>4672</v>
      </c>
      <c r="Q1195" s="149"/>
      <c r="R1195" s="141"/>
      <c r="S1195" s="141"/>
      <c r="T1195" s="141">
        <v>1932000.0</v>
      </c>
      <c r="U1195" s="149"/>
      <c r="V1195" s="149"/>
      <c r="W1195" s="149"/>
      <c r="X1195" s="64" t="s">
        <v>3810</v>
      </c>
      <c r="Y1195" s="64" t="s">
        <v>4515</v>
      </c>
      <c r="Z1195" s="68"/>
    </row>
    <row r="1196" ht="15.0" customHeight="1">
      <c r="A1196" s="334">
        <v>45965.0</v>
      </c>
      <c r="B1196" s="335" t="s">
        <v>5933</v>
      </c>
      <c r="C1196" s="336" t="s">
        <v>4017</v>
      </c>
      <c r="D1196" s="337" t="str">
        <f>IFERROR(VLOOKUP(C1196,Stock,3,FALSE),"")</f>
        <v>Black Phantom Solar Gard</v>
      </c>
      <c r="E1196" s="338">
        <v>1.0</v>
      </c>
      <c r="F1196" s="339">
        <v>950000.0</v>
      </c>
      <c r="G1196" s="340">
        <f t="shared" si="40"/>
        <v>950000</v>
      </c>
      <c r="H1196" s="340"/>
      <c r="I1196" s="341">
        <f t="shared" si="38"/>
        <v>950000</v>
      </c>
      <c r="J1196" s="342">
        <f t="shared" si="39"/>
        <v>950000</v>
      </c>
      <c r="K1196" s="343" t="s">
        <v>5900</v>
      </c>
      <c r="L1196" s="344" t="s">
        <v>5901</v>
      </c>
      <c r="M1196" s="345"/>
      <c r="N1196" s="346" t="s">
        <v>5902</v>
      </c>
      <c r="O1196" s="346" t="s">
        <v>2935</v>
      </c>
      <c r="P1196" s="347" t="s">
        <v>4672</v>
      </c>
      <c r="Q1196" s="345"/>
      <c r="R1196" s="348"/>
      <c r="S1196" s="348"/>
      <c r="T1196" s="348">
        <v>950000.0</v>
      </c>
      <c r="U1196" s="345"/>
      <c r="V1196" s="345"/>
      <c r="W1196" s="345"/>
      <c r="X1196" s="338" t="s">
        <v>3810</v>
      </c>
      <c r="Y1196" s="338" t="s">
        <v>4515</v>
      </c>
      <c r="Z1196" s="345"/>
    </row>
    <row r="1197" ht="15.0" customHeight="1">
      <c r="A1197" s="333">
        <v>45965.0</v>
      </c>
      <c r="B1197" s="264" t="s">
        <v>5934</v>
      </c>
      <c r="C1197" s="45" t="s">
        <v>5935</v>
      </c>
      <c r="D1197" s="140" t="str">
        <f>IFERROR(VLOOKUP(C1197,Stock,3,FALSE),"")</f>
        <v>Toyota Innova 04-15 1st Gen</v>
      </c>
      <c r="E1197" s="45">
        <v>1.0</v>
      </c>
      <c r="F1197" s="198">
        <v>515000.0</v>
      </c>
      <c r="G1197" s="142">
        <f t="shared" si="40"/>
        <v>515000</v>
      </c>
      <c r="H1197" s="142"/>
      <c r="I1197" s="143">
        <f t="shared" si="38"/>
        <v>515000</v>
      </c>
      <c r="J1197" s="144">
        <f t="shared" si="39"/>
        <v>515000</v>
      </c>
      <c r="K1197" s="108" t="s">
        <v>5936</v>
      </c>
      <c r="L1197" s="199" t="s">
        <v>5937</v>
      </c>
      <c r="M1197" s="17"/>
      <c r="N1197" s="64" t="s">
        <v>5938</v>
      </c>
      <c r="O1197" s="64" t="s">
        <v>2813</v>
      </c>
      <c r="P1197" s="147" t="s">
        <v>4672</v>
      </c>
      <c r="Q1197" s="141">
        <v>515000.0</v>
      </c>
      <c r="R1197" s="141"/>
      <c r="S1197" s="141"/>
      <c r="T1197" s="141"/>
      <c r="U1197" s="149"/>
      <c r="V1197" s="149"/>
      <c r="W1197" s="149"/>
      <c r="X1197" s="64" t="s">
        <v>3810</v>
      </c>
      <c r="Y1197" s="64" t="s">
        <v>4515</v>
      </c>
      <c r="Z1197" s="68"/>
    </row>
    <row r="1198" ht="15.0" customHeight="1">
      <c r="A1198" s="333">
        <v>45965.0</v>
      </c>
      <c r="B1198" s="264" t="s">
        <v>5939</v>
      </c>
      <c r="C1198" s="45" t="s">
        <v>5940</v>
      </c>
      <c r="D1198" s="140" t="str">
        <f>IFERROR(VLOOKUP(C1198,Stock,3,FALSE),"")</f>
        <v>Honda Civic 96-00 SO4/SO6 (Ferio)</v>
      </c>
      <c r="E1198" s="45">
        <v>1.0</v>
      </c>
      <c r="F1198" s="198">
        <v>2076000.0</v>
      </c>
      <c r="G1198" s="142">
        <f t="shared" si="40"/>
        <v>2076000</v>
      </c>
      <c r="H1198" s="142"/>
      <c r="I1198" s="143">
        <f t="shared" si="38"/>
        <v>2076000</v>
      </c>
      <c r="J1198" s="144">
        <f t="shared" si="39"/>
        <v>2076000</v>
      </c>
      <c r="K1198" s="108" t="s">
        <v>4419</v>
      </c>
      <c r="L1198" s="199" t="s">
        <v>5941</v>
      </c>
      <c r="M1198" s="17"/>
      <c r="N1198" s="64" t="s">
        <v>5942</v>
      </c>
      <c r="O1198" s="64" t="s">
        <v>5943</v>
      </c>
      <c r="P1198" s="147" t="s">
        <v>4672</v>
      </c>
      <c r="Q1198" s="149"/>
      <c r="R1198" s="141"/>
      <c r="S1198" s="141"/>
      <c r="T1198" s="141">
        <v>2676000.0</v>
      </c>
      <c r="U1198" s="149"/>
      <c r="V1198" s="149"/>
      <c r="W1198" s="149"/>
      <c r="X1198" s="64" t="s">
        <v>3810</v>
      </c>
      <c r="Y1198" s="64" t="s">
        <v>4515</v>
      </c>
      <c r="Z1198" s="68"/>
    </row>
    <row r="1199" ht="15.0" customHeight="1">
      <c r="A1199" s="333">
        <v>45965.0</v>
      </c>
      <c r="B1199" s="264" t="s">
        <v>5939</v>
      </c>
      <c r="C1199" s="45" t="s">
        <v>2778</v>
      </c>
      <c r="D1199" s="140" t="str">
        <f>IFERROR(VLOOKUP(C1199,Stock,3,FALSE),"")</f>
        <v>Bongkar Pasang Kaca Mobil Depan</v>
      </c>
      <c r="E1199" s="45">
        <v>1.0</v>
      </c>
      <c r="F1199" s="198">
        <v>600000.0</v>
      </c>
      <c r="G1199" s="142">
        <f t="shared" si="40"/>
        <v>600000</v>
      </c>
      <c r="H1199" s="142"/>
      <c r="I1199" s="143">
        <f t="shared" si="38"/>
        <v>600000</v>
      </c>
      <c r="J1199" s="144">
        <f t="shared" si="39"/>
        <v>600000</v>
      </c>
      <c r="K1199" s="108" t="s">
        <v>4419</v>
      </c>
      <c r="L1199" s="199" t="s">
        <v>5941</v>
      </c>
      <c r="M1199" s="17"/>
      <c r="N1199" s="64" t="s">
        <v>5942</v>
      </c>
      <c r="O1199" s="64" t="s">
        <v>5943</v>
      </c>
      <c r="P1199" s="147" t="s">
        <v>4672</v>
      </c>
      <c r="Q1199" s="149"/>
      <c r="R1199" s="141"/>
      <c r="S1199" s="141"/>
      <c r="T1199" s="141"/>
      <c r="U1199" s="149"/>
      <c r="V1199" s="149"/>
      <c r="W1199" s="149"/>
      <c r="X1199" s="64" t="s">
        <v>3810</v>
      </c>
      <c r="Y1199" s="64" t="s">
        <v>4515</v>
      </c>
      <c r="Z1199" s="68"/>
    </row>
    <row r="1200" ht="15.0" customHeight="1">
      <c r="A1200" s="333">
        <v>45965.0</v>
      </c>
      <c r="B1200" s="264" t="s">
        <v>5944</v>
      </c>
      <c r="C1200" s="45" t="s">
        <v>3234</v>
      </c>
      <c r="D1200" s="140" t="str">
        <f>IFERROR(VLOOKUP(C1200,Stock,3,FALSE),"")</f>
        <v>Toyota Avanza / Xenia 21- 4th Gen (Non sensor)</v>
      </c>
      <c r="E1200" s="45">
        <v>1.0</v>
      </c>
      <c r="F1200" s="198">
        <v>1400000.0</v>
      </c>
      <c r="G1200" s="142">
        <f t="shared" si="40"/>
        <v>1400000</v>
      </c>
      <c r="H1200" s="142"/>
      <c r="I1200" s="143">
        <f t="shared" si="38"/>
        <v>1400000</v>
      </c>
      <c r="J1200" s="144">
        <f t="shared" si="39"/>
        <v>1400000</v>
      </c>
      <c r="K1200" s="108" t="s">
        <v>5945</v>
      </c>
      <c r="L1200" s="199" t="s">
        <v>5946</v>
      </c>
      <c r="M1200" s="17"/>
      <c r="N1200" s="64" t="s">
        <v>5947</v>
      </c>
      <c r="O1200" s="64" t="s">
        <v>5948</v>
      </c>
      <c r="P1200" s="147" t="s">
        <v>4672</v>
      </c>
      <c r="Q1200" s="149"/>
      <c r="R1200" s="141"/>
      <c r="S1200" s="141"/>
      <c r="T1200" s="141">
        <v>1400000.0</v>
      </c>
      <c r="U1200" s="149"/>
      <c r="V1200" s="149"/>
      <c r="W1200" s="149"/>
      <c r="X1200" s="64" t="s">
        <v>3810</v>
      </c>
      <c r="Y1200" s="64" t="s">
        <v>4515</v>
      </c>
      <c r="Z1200" s="68"/>
    </row>
    <row r="1201" ht="15.0" customHeight="1">
      <c r="A1201" s="333">
        <v>45966.0</v>
      </c>
      <c r="B1201" s="264" t="s">
        <v>5949</v>
      </c>
      <c r="C1201" s="45" t="s">
        <v>3246</v>
      </c>
      <c r="D1201" s="140" t="str">
        <f>IFERROR(VLOOKUP(C1201,Stock,3,FALSE),"")</f>
        <v>Toyota Calya / Sigra 16-</v>
      </c>
      <c r="E1201" s="45">
        <v>1.0</v>
      </c>
      <c r="F1201" s="198">
        <v>1220000.0</v>
      </c>
      <c r="G1201" s="142">
        <f t="shared" si="40"/>
        <v>1220000</v>
      </c>
      <c r="H1201" s="142"/>
      <c r="I1201" s="143">
        <f t="shared" si="38"/>
        <v>1220000</v>
      </c>
      <c r="J1201" s="144">
        <f t="shared" si="39"/>
        <v>1220000</v>
      </c>
      <c r="K1201" s="108" t="s">
        <v>5950</v>
      </c>
      <c r="L1201" s="199" t="s">
        <v>5951</v>
      </c>
      <c r="M1201" s="17"/>
      <c r="N1201" s="64" t="s">
        <v>5952</v>
      </c>
      <c r="O1201" s="64" t="s">
        <v>2813</v>
      </c>
      <c r="P1201" s="147" t="s">
        <v>4672</v>
      </c>
      <c r="Q1201" s="149"/>
      <c r="R1201" s="141"/>
      <c r="S1201" s="141"/>
      <c r="T1201" s="141">
        <v>1220000.0</v>
      </c>
      <c r="U1201" s="149"/>
      <c r="V1201" s="149"/>
      <c r="W1201" s="149"/>
      <c r="X1201" s="64" t="s">
        <v>3810</v>
      </c>
      <c r="Y1201" s="64" t="s">
        <v>4515</v>
      </c>
      <c r="Z1201" s="68"/>
    </row>
    <row r="1202" ht="15.0" customHeight="1">
      <c r="A1202" s="333">
        <v>45966.0</v>
      </c>
      <c r="B1202" s="264" t="s">
        <v>5953</v>
      </c>
      <c r="C1202" s="45" t="s">
        <v>5954</v>
      </c>
      <c r="D1202" s="140" t="str">
        <f>IFERROR(VLOOKUP(C1202,Stock,3,FALSE),"")</f>
        <v>Toyota Voxy 17-</v>
      </c>
      <c r="E1202" s="45">
        <v>1.0</v>
      </c>
      <c r="F1202" s="198">
        <v>3626000.0</v>
      </c>
      <c r="G1202" s="142">
        <f t="shared" si="40"/>
        <v>3626000</v>
      </c>
      <c r="H1202" s="142"/>
      <c r="I1202" s="143">
        <f t="shared" si="38"/>
        <v>3626000</v>
      </c>
      <c r="J1202" s="144">
        <f t="shared" si="39"/>
        <v>3626000</v>
      </c>
      <c r="K1202" s="108" t="s">
        <v>4850</v>
      </c>
      <c r="L1202" s="199" t="s">
        <v>5955</v>
      </c>
      <c r="M1202" s="17"/>
      <c r="N1202" s="64" t="s">
        <v>5956</v>
      </c>
      <c r="O1202" s="64" t="s">
        <v>2813</v>
      </c>
      <c r="P1202" s="147" t="s">
        <v>4672</v>
      </c>
      <c r="Q1202" s="149"/>
      <c r="R1202" s="141"/>
      <c r="S1202" s="141"/>
      <c r="T1202" s="141">
        <v>3826000.0</v>
      </c>
      <c r="U1202" s="149"/>
      <c r="V1202" s="149"/>
      <c r="W1202" s="149"/>
      <c r="X1202" s="64" t="s">
        <v>3810</v>
      </c>
      <c r="Y1202" s="64" t="s">
        <v>4515</v>
      </c>
      <c r="Z1202" s="68"/>
    </row>
    <row r="1203" ht="15.0" customHeight="1">
      <c r="A1203" s="333">
        <v>45966.0</v>
      </c>
      <c r="B1203" s="201" t="s">
        <v>5953</v>
      </c>
      <c r="C1203" s="45" t="s">
        <v>4979</v>
      </c>
      <c r="D1203" s="140" t="str">
        <f>IFERROR(VLOOKUP(C1203,Stock,3,FALSE),"")</f>
        <v>255 Ultra + Actv-100 Application</v>
      </c>
      <c r="E1203" s="45">
        <v>1.0</v>
      </c>
      <c r="F1203" s="198">
        <v>200000.0</v>
      </c>
      <c r="G1203" s="142">
        <f t="shared" si="40"/>
        <v>200000</v>
      </c>
      <c r="H1203" s="142"/>
      <c r="I1203" s="143">
        <f t="shared" si="38"/>
        <v>200000</v>
      </c>
      <c r="J1203" s="144">
        <f t="shared" si="39"/>
        <v>200000</v>
      </c>
      <c r="K1203" s="108" t="s">
        <v>4850</v>
      </c>
      <c r="L1203" s="199" t="s">
        <v>5955</v>
      </c>
      <c r="M1203" s="17"/>
      <c r="N1203" s="64" t="s">
        <v>5956</v>
      </c>
      <c r="O1203" s="64" t="s">
        <v>2813</v>
      </c>
      <c r="P1203" s="147" t="s">
        <v>4672</v>
      </c>
      <c r="Q1203" s="149"/>
      <c r="R1203" s="141"/>
      <c r="S1203" s="141"/>
      <c r="T1203" s="141"/>
      <c r="U1203" s="149"/>
      <c r="V1203" s="149"/>
      <c r="W1203" s="149"/>
      <c r="X1203" s="64" t="s">
        <v>3810</v>
      </c>
      <c r="Y1203" s="64" t="s">
        <v>4515</v>
      </c>
      <c r="Z1203" s="68"/>
    </row>
    <row r="1204" ht="15.0" customHeight="1">
      <c r="A1204" s="333">
        <v>45966.0</v>
      </c>
      <c r="B1204" s="201" t="s">
        <v>5957</v>
      </c>
      <c r="C1204" s="45" t="s">
        <v>5958</v>
      </c>
      <c r="D1204" s="140" t="str">
        <f>IFERROR(VLOOKUP(C1204,Stock,3,FALSE),"")</f>
        <v>Hyundai Santa Fe 18-</v>
      </c>
      <c r="E1204" s="45">
        <v>1.0</v>
      </c>
      <c r="F1204" s="198">
        <v>2537000.0</v>
      </c>
      <c r="G1204" s="142">
        <f t="shared" si="40"/>
        <v>2537000</v>
      </c>
      <c r="H1204" s="142"/>
      <c r="I1204" s="143">
        <f t="shared" si="38"/>
        <v>2537000</v>
      </c>
      <c r="J1204" s="144">
        <f t="shared" si="39"/>
        <v>2537000</v>
      </c>
      <c r="K1204" s="108" t="s">
        <v>5959</v>
      </c>
      <c r="L1204" s="199" t="s">
        <v>5960</v>
      </c>
      <c r="M1204" s="17"/>
      <c r="N1204" s="64" t="s">
        <v>5961</v>
      </c>
      <c r="O1204" s="64" t="s">
        <v>4175</v>
      </c>
      <c r="P1204" s="147" t="s">
        <v>4672</v>
      </c>
      <c r="Q1204" s="149"/>
      <c r="R1204" s="141"/>
      <c r="S1204" s="141"/>
      <c r="T1204" s="141">
        <v>2537000.0</v>
      </c>
      <c r="U1204" s="149"/>
      <c r="V1204" s="149"/>
      <c r="W1204" s="149"/>
      <c r="X1204" s="64" t="s">
        <v>3810</v>
      </c>
      <c r="Y1204" s="64" t="s">
        <v>4515</v>
      </c>
      <c r="Z1204" s="68"/>
    </row>
    <row r="1205" ht="15.0" customHeight="1">
      <c r="A1205" s="333">
        <v>45966.0</v>
      </c>
      <c r="B1205" s="201" t="s">
        <v>5962</v>
      </c>
      <c r="C1205" s="64" t="s">
        <v>3704</v>
      </c>
      <c r="D1205" s="140" t="str">
        <f>IFERROR(VLOOKUP(C1205,Stock,3,FALSE),"")</f>
        <v>Honda BR-V 16-21 (Honda)</v>
      </c>
      <c r="E1205" s="45">
        <v>1.0</v>
      </c>
      <c r="F1205" s="198">
        <v>2599000.0</v>
      </c>
      <c r="G1205" s="142">
        <f t="shared" si="40"/>
        <v>2599000</v>
      </c>
      <c r="H1205" s="143"/>
      <c r="I1205" s="143">
        <f t="shared" si="38"/>
        <v>2599000</v>
      </c>
      <c r="J1205" s="144">
        <f t="shared" si="39"/>
        <v>2599000</v>
      </c>
      <c r="K1205" s="108" t="s">
        <v>5963</v>
      </c>
      <c r="L1205" s="199" t="s">
        <v>5964</v>
      </c>
      <c r="M1205" s="17"/>
      <c r="N1205" s="64" t="s">
        <v>5965</v>
      </c>
      <c r="O1205" s="64" t="s">
        <v>2813</v>
      </c>
      <c r="P1205" s="147" t="s">
        <v>4672</v>
      </c>
      <c r="Q1205" s="149"/>
      <c r="R1205" s="141"/>
      <c r="S1205" s="141"/>
      <c r="T1205" s="141">
        <v>50000.0</v>
      </c>
      <c r="U1205" s="149"/>
      <c r="V1205" s="149"/>
      <c r="W1205" s="149"/>
      <c r="X1205" s="64" t="s">
        <v>3810</v>
      </c>
      <c r="Y1205" s="64" t="s">
        <v>4515</v>
      </c>
      <c r="Z1205" s="68"/>
    </row>
    <row r="1206" ht="15.0" customHeight="1">
      <c r="A1206" s="333">
        <v>45966.0</v>
      </c>
      <c r="B1206" s="201" t="s">
        <v>5962</v>
      </c>
      <c r="C1206" s="45" t="s">
        <v>2770</v>
      </c>
      <c r="D1206" s="140" t="str">
        <f>IFERROR(VLOOKUP(C1206,Stock,3,FALSE),"")</f>
        <v>Transport</v>
      </c>
      <c r="E1206" s="45">
        <v>1.0</v>
      </c>
      <c r="F1206" s="198">
        <v>190000.0</v>
      </c>
      <c r="G1206" s="142">
        <f t="shared" si="40"/>
        <v>190000</v>
      </c>
      <c r="H1206" s="143">
        <v>89000.0</v>
      </c>
      <c r="I1206" s="143">
        <f t="shared" si="38"/>
        <v>101000</v>
      </c>
      <c r="J1206" s="144">
        <f t="shared" si="39"/>
        <v>101000</v>
      </c>
      <c r="K1206" s="108" t="s">
        <v>5963</v>
      </c>
      <c r="L1206" s="199" t="s">
        <v>5964</v>
      </c>
      <c r="M1206" s="17"/>
      <c r="N1206" s="64" t="s">
        <v>5965</v>
      </c>
      <c r="O1206" s="64" t="s">
        <v>2813</v>
      </c>
      <c r="P1206" s="147" t="s">
        <v>4672</v>
      </c>
      <c r="Q1206" s="149"/>
      <c r="R1206" s="141"/>
      <c r="S1206" s="141"/>
      <c r="T1206" s="141">
        <v>2650000.0</v>
      </c>
      <c r="U1206" s="149"/>
      <c r="V1206" s="149"/>
      <c r="W1206" s="149"/>
      <c r="X1206" s="64" t="s">
        <v>3810</v>
      </c>
      <c r="Y1206" s="64" t="s">
        <v>4515</v>
      </c>
      <c r="Z1206" s="68"/>
    </row>
    <row r="1207" ht="15.0" customHeight="1">
      <c r="A1207" s="333">
        <v>45966.0</v>
      </c>
      <c r="B1207" s="201" t="s">
        <v>5966</v>
      </c>
      <c r="C1207" s="45" t="s">
        <v>5123</v>
      </c>
      <c r="D1207" s="140" t="str">
        <f>IFERROR(VLOOKUP(C1207,Stock,3,FALSE),"")</f>
        <v>BMW 3 Series 90-99 E36</v>
      </c>
      <c r="E1207" s="45">
        <v>1.0</v>
      </c>
      <c r="F1207" s="198">
        <v>2064000.0</v>
      </c>
      <c r="G1207" s="142">
        <f t="shared" si="40"/>
        <v>2064000</v>
      </c>
      <c r="H1207" s="142"/>
      <c r="I1207" s="143">
        <f t="shared" si="38"/>
        <v>2064000</v>
      </c>
      <c r="J1207" s="144">
        <f t="shared" si="39"/>
        <v>2064000</v>
      </c>
      <c r="K1207" s="108" t="s">
        <v>5967</v>
      </c>
      <c r="L1207" s="199" t="s">
        <v>5968</v>
      </c>
      <c r="M1207" s="17"/>
      <c r="N1207" s="68"/>
      <c r="O1207" s="64" t="s">
        <v>2776</v>
      </c>
      <c r="P1207" s="147" t="s">
        <v>4672</v>
      </c>
      <c r="Q1207" s="149"/>
      <c r="R1207" s="141"/>
      <c r="S1207" s="141"/>
      <c r="T1207" s="141">
        <v>2144000.0</v>
      </c>
      <c r="U1207" s="149"/>
      <c r="V1207" s="149"/>
      <c r="W1207" s="149"/>
      <c r="X1207" s="64" t="s">
        <v>2936</v>
      </c>
      <c r="Y1207" s="64" t="s">
        <v>4515</v>
      </c>
      <c r="Z1207" s="68"/>
    </row>
    <row r="1208" ht="15.0" customHeight="1">
      <c r="A1208" s="333">
        <v>45966.0</v>
      </c>
      <c r="B1208" s="201" t="s">
        <v>5966</v>
      </c>
      <c r="C1208" s="45" t="s">
        <v>2770</v>
      </c>
      <c r="D1208" s="140" t="str">
        <f>IFERROR(VLOOKUP(C1208,Stock,3,FALSE),"")</f>
        <v>Transport</v>
      </c>
      <c r="E1208" s="45">
        <v>1.0</v>
      </c>
      <c r="F1208" s="198">
        <v>80000.0</v>
      </c>
      <c r="G1208" s="142">
        <f t="shared" si="40"/>
        <v>80000</v>
      </c>
      <c r="H1208" s="142"/>
      <c r="I1208" s="143">
        <f t="shared" si="38"/>
        <v>80000</v>
      </c>
      <c r="J1208" s="144">
        <f t="shared" si="39"/>
        <v>80000</v>
      </c>
      <c r="K1208" s="108" t="s">
        <v>5967</v>
      </c>
      <c r="L1208" s="199" t="s">
        <v>5968</v>
      </c>
      <c r="M1208" s="17"/>
      <c r="N1208" s="68"/>
      <c r="O1208" s="64" t="s">
        <v>2776</v>
      </c>
      <c r="P1208" s="147" t="s">
        <v>4672</v>
      </c>
      <c r="Q1208" s="149"/>
      <c r="R1208" s="141"/>
      <c r="S1208" s="141"/>
      <c r="T1208" s="141"/>
      <c r="U1208" s="149"/>
      <c r="V1208" s="149"/>
      <c r="W1208" s="149"/>
      <c r="X1208" s="64" t="s">
        <v>2936</v>
      </c>
      <c r="Y1208" s="64" t="s">
        <v>4515</v>
      </c>
      <c r="Z1208" s="68"/>
    </row>
    <row r="1209" ht="15.0" customHeight="1">
      <c r="A1209" s="333">
        <v>45966.0</v>
      </c>
      <c r="B1209" s="201" t="s">
        <v>5969</v>
      </c>
      <c r="C1209" s="45" t="s">
        <v>5970</v>
      </c>
      <c r="D1209" s="140" t="str">
        <f>IFERROR(VLOOKUP(C1209,Stock,3,FALSE),"")</f>
        <v>Honda CR-V 12-16 4th Gen</v>
      </c>
      <c r="E1209" s="45">
        <v>1.0</v>
      </c>
      <c r="F1209" s="198">
        <v>1899000.0</v>
      </c>
      <c r="G1209" s="142">
        <f t="shared" si="40"/>
        <v>1899000</v>
      </c>
      <c r="H1209" s="142"/>
      <c r="I1209" s="143">
        <f t="shared" si="38"/>
        <v>1899000</v>
      </c>
      <c r="J1209" s="144">
        <f t="shared" si="39"/>
        <v>1899000</v>
      </c>
      <c r="K1209" s="108" t="s">
        <v>5971</v>
      </c>
      <c r="L1209" s="199" t="s">
        <v>5972</v>
      </c>
      <c r="M1209" s="17"/>
      <c r="N1209" s="64" t="s">
        <v>5973</v>
      </c>
      <c r="O1209" s="64" t="s">
        <v>2813</v>
      </c>
      <c r="P1209" s="147" t="s">
        <v>4672</v>
      </c>
      <c r="Q1209" s="149"/>
      <c r="R1209" s="141"/>
      <c r="S1209" s="141"/>
      <c r="T1209" s="141">
        <v>1899000.0</v>
      </c>
      <c r="U1209" s="149"/>
      <c r="V1209" s="149"/>
      <c r="W1209" s="149"/>
      <c r="X1209" s="64" t="s">
        <v>3810</v>
      </c>
      <c r="Y1209" s="64" t="s">
        <v>4515</v>
      </c>
      <c r="Z1209" s="68"/>
    </row>
    <row r="1210" ht="15.0" customHeight="1">
      <c r="A1210" s="333">
        <v>45962.0</v>
      </c>
      <c r="B1210" s="201" t="s">
        <v>5974</v>
      </c>
      <c r="C1210" s="45" t="s">
        <v>5975</v>
      </c>
      <c r="D1210" s="140" t="str">
        <f>IFERROR(VLOOKUP(C1210,Stock,3,FALSE),"")</f>
        <v>Suzuki Baleno 15-22 Hatchback</v>
      </c>
      <c r="E1210" s="45">
        <v>1.0</v>
      </c>
      <c r="F1210" s="198"/>
      <c r="G1210" s="142">
        <f t="shared" si="40"/>
        <v>0</v>
      </c>
      <c r="H1210" s="142"/>
      <c r="I1210" s="143">
        <f t="shared" si="38"/>
        <v>0</v>
      </c>
      <c r="J1210" s="144">
        <f t="shared" si="39"/>
        <v>0</v>
      </c>
      <c r="K1210" s="108" t="s">
        <v>4509</v>
      </c>
      <c r="L1210" s="17"/>
      <c r="M1210" s="17"/>
      <c r="N1210" s="68"/>
      <c r="O1210" s="64" t="s">
        <v>4175</v>
      </c>
      <c r="P1210" s="147"/>
      <c r="Q1210" s="149"/>
      <c r="R1210" s="141"/>
      <c r="S1210" s="141"/>
      <c r="T1210" s="141"/>
      <c r="U1210" s="149"/>
      <c r="V1210" s="149"/>
      <c r="W1210" s="149"/>
      <c r="X1210" s="64" t="s">
        <v>3810</v>
      </c>
      <c r="Y1210" s="64" t="s">
        <v>4515</v>
      </c>
      <c r="Z1210" s="68"/>
    </row>
    <row r="1211" ht="15.0" customHeight="1">
      <c r="A1211" s="333">
        <v>45966.0</v>
      </c>
      <c r="B1211" s="201" t="s">
        <v>5976</v>
      </c>
      <c r="C1211" s="64" t="s">
        <v>2792</v>
      </c>
      <c r="D1211" s="140" t="str">
        <f>IFERROR(VLOOKUP(C1211,Stock,3,FALSE),"")</f>
        <v>Toyota Calya / Sigra 16-</v>
      </c>
      <c r="E1211" s="45">
        <v>10.0</v>
      </c>
      <c r="F1211" s="198"/>
      <c r="G1211" s="142">
        <f t="shared" si="40"/>
        <v>0</v>
      </c>
      <c r="H1211" s="142"/>
      <c r="I1211" s="143">
        <f t="shared" si="38"/>
        <v>0</v>
      </c>
      <c r="J1211" s="144">
        <f t="shared" si="39"/>
        <v>0</v>
      </c>
      <c r="K1211" s="108" t="s">
        <v>4827</v>
      </c>
      <c r="L1211" s="17"/>
      <c r="M1211" s="17"/>
      <c r="N1211" s="68"/>
      <c r="O1211" s="64" t="s">
        <v>4376</v>
      </c>
      <c r="P1211" s="170"/>
      <c r="Q1211" s="149"/>
      <c r="R1211" s="141"/>
      <c r="S1211" s="141"/>
      <c r="T1211" s="141"/>
      <c r="U1211" s="149"/>
      <c r="V1211" s="149"/>
      <c r="W1211" s="149"/>
      <c r="X1211" s="64" t="s">
        <v>3810</v>
      </c>
      <c r="Y1211" s="64" t="s">
        <v>4515</v>
      </c>
      <c r="Z1211" s="68"/>
    </row>
    <row r="1212" ht="15.0" customHeight="1">
      <c r="A1212" s="333">
        <v>45966.0</v>
      </c>
      <c r="B1212" s="201" t="s">
        <v>5976</v>
      </c>
      <c r="C1212" s="45" t="s">
        <v>5977</v>
      </c>
      <c r="D1212" s="140" t="str">
        <f>IFERROR(VLOOKUP(C1212,Stock,3,FALSE),"")</f>
        <v>Nissan Navara (NP300) 4D Pickup 15- D23</v>
      </c>
      <c r="E1212" s="45">
        <v>1.0</v>
      </c>
      <c r="F1212" s="198"/>
      <c r="G1212" s="142">
        <f t="shared" si="40"/>
        <v>0</v>
      </c>
      <c r="H1212" s="142"/>
      <c r="I1212" s="143">
        <f t="shared" si="38"/>
        <v>0</v>
      </c>
      <c r="J1212" s="144">
        <f t="shared" si="39"/>
        <v>0</v>
      </c>
      <c r="K1212" s="108" t="s">
        <v>4827</v>
      </c>
      <c r="L1212" s="17"/>
      <c r="M1212" s="17"/>
      <c r="N1212" s="68"/>
      <c r="O1212" s="64" t="s">
        <v>4376</v>
      </c>
      <c r="P1212" s="170"/>
      <c r="Q1212" s="149"/>
      <c r="R1212" s="141"/>
      <c r="S1212" s="141"/>
      <c r="T1212" s="141"/>
      <c r="U1212" s="149"/>
      <c r="V1212" s="149"/>
      <c r="W1212" s="149"/>
      <c r="X1212" s="64" t="s">
        <v>3810</v>
      </c>
      <c r="Y1212" s="64" t="s">
        <v>4515</v>
      </c>
      <c r="Z1212" s="68"/>
    </row>
    <row r="1213" ht="15.0" customHeight="1">
      <c r="A1213" s="333">
        <v>45966.0</v>
      </c>
      <c r="B1213" s="201" t="s">
        <v>5978</v>
      </c>
      <c r="C1213" s="45" t="s">
        <v>5396</v>
      </c>
      <c r="D1213" s="140" t="str">
        <f>IFERROR(VLOOKUP(C1213,Stock,3,FALSE),"")</f>
        <v>Toyota Camry 06-11 XV40 4th Gen</v>
      </c>
      <c r="E1213" s="45">
        <v>1.0</v>
      </c>
      <c r="F1213" s="198"/>
      <c r="G1213" s="142">
        <f t="shared" si="40"/>
        <v>0</v>
      </c>
      <c r="H1213" s="142"/>
      <c r="I1213" s="143">
        <f t="shared" si="38"/>
        <v>0</v>
      </c>
      <c r="J1213" s="144">
        <f t="shared" si="39"/>
        <v>0</v>
      </c>
      <c r="K1213" s="108" t="s">
        <v>4509</v>
      </c>
      <c r="L1213" s="17"/>
      <c r="M1213" s="17"/>
      <c r="N1213" s="68"/>
      <c r="O1213" s="64" t="s">
        <v>4175</v>
      </c>
      <c r="P1213" s="170"/>
      <c r="Q1213" s="149"/>
      <c r="R1213" s="141"/>
      <c r="S1213" s="141"/>
      <c r="T1213" s="141"/>
      <c r="U1213" s="149"/>
      <c r="V1213" s="149"/>
      <c r="W1213" s="149"/>
      <c r="X1213" s="64" t="s">
        <v>3810</v>
      </c>
      <c r="Y1213" s="64" t="s">
        <v>4602</v>
      </c>
      <c r="Z1213" s="68"/>
    </row>
    <row r="1214" ht="15.0" customHeight="1">
      <c r="A1214" s="333">
        <v>45966.0</v>
      </c>
      <c r="B1214" s="201" t="s">
        <v>5978</v>
      </c>
      <c r="C1214" s="45" t="s">
        <v>5979</v>
      </c>
      <c r="D1214" s="140" t="str">
        <f>IFERROR(VLOOKUP(C1214,Stock,3,FALSE),"")</f>
        <v>Nissan X-Trail 01-07 T30</v>
      </c>
      <c r="E1214" s="45">
        <v>1.0</v>
      </c>
      <c r="F1214" s="198"/>
      <c r="G1214" s="142">
        <f t="shared" si="40"/>
        <v>0</v>
      </c>
      <c r="H1214" s="142"/>
      <c r="I1214" s="143">
        <f t="shared" si="38"/>
        <v>0</v>
      </c>
      <c r="J1214" s="144">
        <f t="shared" si="39"/>
        <v>0</v>
      </c>
      <c r="K1214" s="108" t="s">
        <v>4509</v>
      </c>
      <c r="L1214" s="17"/>
      <c r="M1214" s="17"/>
      <c r="N1214" s="68"/>
      <c r="O1214" s="64" t="s">
        <v>4175</v>
      </c>
      <c r="P1214" s="170"/>
      <c r="Q1214" s="149"/>
      <c r="R1214" s="141"/>
      <c r="S1214" s="141"/>
      <c r="T1214" s="141"/>
      <c r="U1214" s="149"/>
      <c r="V1214" s="149"/>
      <c r="W1214" s="149"/>
      <c r="X1214" s="64" t="s">
        <v>3810</v>
      </c>
      <c r="Y1214" s="64" t="s">
        <v>4602</v>
      </c>
      <c r="Z1214" s="68"/>
    </row>
    <row r="1215" ht="15.0" customHeight="1">
      <c r="A1215" s="333">
        <v>45966.0</v>
      </c>
      <c r="B1215" s="201" t="s">
        <v>5978</v>
      </c>
      <c r="C1215" s="64" t="s">
        <v>5980</v>
      </c>
      <c r="D1215" s="140" t="str">
        <f>IFERROR(VLOOKUP(C1215,Stock,3,FALSE),"")</f>
        <v>Honda Stream 04-06 S7A/RN1 (Spion)</v>
      </c>
      <c r="E1215" s="45">
        <v>1.0</v>
      </c>
      <c r="F1215" s="198"/>
      <c r="G1215" s="142">
        <f t="shared" si="40"/>
        <v>0</v>
      </c>
      <c r="H1215" s="142"/>
      <c r="I1215" s="143">
        <f t="shared" si="38"/>
        <v>0</v>
      </c>
      <c r="J1215" s="144">
        <f t="shared" si="39"/>
        <v>0</v>
      </c>
      <c r="K1215" s="108" t="s">
        <v>4509</v>
      </c>
      <c r="L1215" s="17"/>
      <c r="M1215" s="17"/>
      <c r="N1215" s="68"/>
      <c r="O1215" s="64" t="s">
        <v>4175</v>
      </c>
      <c r="P1215" s="170"/>
      <c r="Q1215" s="149"/>
      <c r="R1215" s="141"/>
      <c r="S1215" s="141"/>
      <c r="T1215" s="141"/>
      <c r="U1215" s="149"/>
      <c r="V1215" s="149"/>
      <c r="W1215" s="149"/>
      <c r="X1215" s="64" t="s">
        <v>3810</v>
      </c>
      <c r="Y1215" s="64" t="s">
        <v>4602</v>
      </c>
      <c r="Z1215" s="68"/>
    </row>
    <row r="1216" ht="15.0" customHeight="1">
      <c r="A1216" s="333">
        <v>45967.0</v>
      </c>
      <c r="B1216" s="201" t="s">
        <v>5981</v>
      </c>
      <c r="C1216" s="45" t="s">
        <v>4644</v>
      </c>
      <c r="D1216" s="140" t="str">
        <f>IFERROR(VLOOKUP(C1216,Stock,3,FALSE),"")</f>
        <v>Toyota Raize / Daihatsu Rocky 20-</v>
      </c>
      <c r="E1216" s="45">
        <v>1.0</v>
      </c>
      <c r="F1216" s="198">
        <v>1449000.0</v>
      </c>
      <c r="G1216" s="142">
        <f t="shared" si="40"/>
        <v>1449000</v>
      </c>
      <c r="H1216" s="142"/>
      <c r="I1216" s="143">
        <f t="shared" si="38"/>
        <v>1449000</v>
      </c>
      <c r="J1216" s="144">
        <f t="shared" si="39"/>
        <v>1449000</v>
      </c>
      <c r="K1216" s="108" t="s">
        <v>5982</v>
      </c>
      <c r="L1216" s="199" t="s">
        <v>5983</v>
      </c>
      <c r="M1216" s="17"/>
      <c r="N1216" s="64" t="s">
        <v>5984</v>
      </c>
      <c r="O1216" s="64" t="s">
        <v>5916</v>
      </c>
      <c r="P1216" s="147" t="s">
        <v>4672</v>
      </c>
      <c r="Q1216" s="149"/>
      <c r="R1216" s="141"/>
      <c r="S1216" s="141"/>
      <c r="T1216" s="141">
        <v>1449000.0</v>
      </c>
      <c r="U1216" s="149"/>
      <c r="V1216" s="149"/>
      <c r="W1216" s="149"/>
      <c r="X1216" s="64" t="s">
        <v>3810</v>
      </c>
      <c r="Y1216" s="64" t="s">
        <v>4602</v>
      </c>
      <c r="Z1216" s="68"/>
    </row>
    <row r="1217" ht="15.0" customHeight="1">
      <c r="A1217" s="333">
        <v>45967.0</v>
      </c>
      <c r="B1217" s="201" t="s">
        <v>5985</v>
      </c>
      <c r="C1217" s="45" t="s">
        <v>3193</v>
      </c>
      <c r="D1217" s="140" t="str">
        <f>IFERROR(VLOOKUP(C1217,Stock,3,FALSE),"")</f>
        <v>Toyota Avanza / Xenia 11-15 2nd Gen</v>
      </c>
      <c r="E1217" s="45">
        <v>1.0</v>
      </c>
      <c r="F1217" s="198">
        <v>1000000.0</v>
      </c>
      <c r="G1217" s="142">
        <f t="shared" si="40"/>
        <v>1000000</v>
      </c>
      <c r="H1217" s="142"/>
      <c r="I1217" s="143">
        <f t="shared" si="38"/>
        <v>1000000</v>
      </c>
      <c r="J1217" s="144">
        <f t="shared" si="39"/>
        <v>1000000</v>
      </c>
      <c r="K1217" s="108" t="s">
        <v>5986</v>
      </c>
      <c r="L1217" s="199" t="s">
        <v>5987</v>
      </c>
      <c r="M1217" s="17"/>
      <c r="N1217" s="64" t="s">
        <v>5988</v>
      </c>
      <c r="O1217" s="64" t="s">
        <v>5989</v>
      </c>
      <c r="P1217" s="147" t="s">
        <v>4672</v>
      </c>
      <c r="Q1217" s="149"/>
      <c r="R1217" s="141"/>
      <c r="S1217" s="141"/>
      <c r="T1217" s="141">
        <v>50000.0</v>
      </c>
      <c r="U1217" s="149"/>
      <c r="V1217" s="149"/>
      <c r="W1217" s="149"/>
      <c r="X1217" s="64" t="s">
        <v>3810</v>
      </c>
      <c r="Y1217" s="64" t="s">
        <v>4602</v>
      </c>
      <c r="Z1217" s="68"/>
    </row>
    <row r="1218" ht="15.0" customHeight="1">
      <c r="A1218" s="333">
        <v>45967.0</v>
      </c>
      <c r="B1218" s="201" t="s">
        <v>5985</v>
      </c>
      <c r="C1218" s="45" t="s">
        <v>2770</v>
      </c>
      <c r="D1218" s="140" t="str">
        <f>IFERROR(VLOOKUP(C1218,Stock,3,FALSE),"")</f>
        <v>Transport</v>
      </c>
      <c r="E1218" s="45">
        <v>1.0</v>
      </c>
      <c r="F1218" s="198">
        <v>120000.0</v>
      </c>
      <c r="G1218" s="142">
        <f t="shared" si="40"/>
        <v>120000</v>
      </c>
      <c r="H1218" s="142"/>
      <c r="I1218" s="143">
        <f t="shared" si="38"/>
        <v>120000</v>
      </c>
      <c r="J1218" s="144">
        <f t="shared" si="39"/>
        <v>120000</v>
      </c>
      <c r="K1218" s="108" t="s">
        <v>5986</v>
      </c>
      <c r="L1218" s="199" t="s">
        <v>5987</v>
      </c>
      <c r="M1218" s="17"/>
      <c r="N1218" s="64" t="s">
        <v>5988</v>
      </c>
      <c r="O1218" s="64" t="s">
        <v>5989</v>
      </c>
      <c r="P1218" s="147" t="s">
        <v>4672</v>
      </c>
      <c r="Q1218" s="141">
        <v>1070000.0</v>
      </c>
      <c r="R1218" s="141"/>
      <c r="S1218" s="141"/>
      <c r="T1218" s="141"/>
      <c r="U1218" s="149"/>
      <c r="V1218" s="149"/>
      <c r="W1218" s="149"/>
      <c r="X1218" s="64" t="s">
        <v>3810</v>
      </c>
      <c r="Y1218" s="64" t="s">
        <v>4602</v>
      </c>
      <c r="Z1218" s="68"/>
    </row>
    <row r="1219" ht="15.0" customHeight="1">
      <c r="A1219" s="333">
        <v>45967.0</v>
      </c>
      <c r="B1219" s="201" t="s">
        <v>5990</v>
      </c>
      <c r="C1219" s="45" t="s">
        <v>3230</v>
      </c>
      <c r="D1219" s="140" t="str">
        <f>IFERROR(VLOOKUP(C1219,Stock,3,FALSE),"")</f>
        <v>Toyota LandCruiser 07- FJ200</v>
      </c>
      <c r="E1219" s="45">
        <v>1.0</v>
      </c>
      <c r="F1219" s="198">
        <v>3330000.0</v>
      </c>
      <c r="G1219" s="142">
        <f t="shared" si="40"/>
        <v>3330000</v>
      </c>
      <c r="H1219" s="142"/>
      <c r="I1219" s="143">
        <f t="shared" si="38"/>
        <v>3330000</v>
      </c>
      <c r="J1219" s="144">
        <f t="shared" si="39"/>
        <v>3330000</v>
      </c>
      <c r="K1219" s="108" t="s">
        <v>5991</v>
      </c>
      <c r="L1219" s="45" t="s">
        <v>5992</v>
      </c>
      <c r="M1219" s="17"/>
      <c r="N1219" s="64" t="s">
        <v>5993</v>
      </c>
      <c r="O1219" s="64" t="s">
        <v>3033</v>
      </c>
      <c r="P1219" s="147" t="s">
        <v>4672</v>
      </c>
      <c r="Q1219" s="149"/>
      <c r="R1219" s="141"/>
      <c r="S1219" s="141"/>
      <c r="T1219" s="141">
        <v>3330000.0</v>
      </c>
      <c r="U1219" s="149"/>
      <c r="V1219" s="149"/>
      <c r="W1219" s="149"/>
      <c r="X1219" s="64" t="s">
        <v>3810</v>
      </c>
      <c r="Y1219" s="64" t="s">
        <v>4602</v>
      </c>
      <c r="Z1219" s="68"/>
    </row>
    <row r="1220" ht="15.0" customHeight="1">
      <c r="A1220" s="333">
        <v>45967.0</v>
      </c>
      <c r="B1220" s="201" t="s">
        <v>5994</v>
      </c>
      <c r="C1220" s="45" t="s">
        <v>5995</v>
      </c>
      <c r="D1220" s="140" t="str">
        <f>IFERROR(VLOOKUP(C1220,Stock,3,FALSE),"")</f>
        <v>Suzuki Ertiga 18- 2nd Gen (ORI MULIA) / XL7</v>
      </c>
      <c r="E1220" s="45">
        <v>1.0</v>
      </c>
      <c r="F1220" s="198">
        <v>650000.0</v>
      </c>
      <c r="G1220" s="142">
        <f t="shared" si="40"/>
        <v>650000</v>
      </c>
      <c r="H1220" s="142"/>
      <c r="I1220" s="143">
        <f t="shared" si="38"/>
        <v>650000</v>
      </c>
      <c r="J1220" s="144">
        <f t="shared" si="39"/>
        <v>650000</v>
      </c>
      <c r="K1220" s="108" t="s">
        <v>5996</v>
      </c>
      <c r="L1220" s="199" t="s">
        <v>5997</v>
      </c>
      <c r="M1220" s="17"/>
      <c r="N1220" s="64" t="s">
        <v>5998</v>
      </c>
      <c r="O1220" s="64" t="s">
        <v>5999</v>
      </c>
      <c r="P1220" s="147" t="s">
        <v>4672</v>
      </c>
      <c r="Q1220" s="149"/>
      <c r="R1220" s="141"/>
      <c r="S1220" s="141"/>
      <c r="T1220" s="141">
        <v>650000.0</v>
      </c>
      <c r="U1220" s="149"/>
      <c r="V1220" s="149"/>
      <c r="W1220" s="149"/>
      <c r="X1220" s="64" t="s">
        <v>3810</v>
      </c>
      <c r="Y1220" s="64" t="s">
        <v>4602</v>
      </c>
      <c r="Z1220" s="68"/>
    </row>
    <row r="1221" ht="15.0" customHeight="1">
      <c r="A1221" s="333">
        <v>45968.0</v>
      </c>
      <c r="B1221" s="201" t="s">
        <v>6000</v>
      </c>
      <c r="C1221" s="45" t="s">
        <v>5160</v>
      </c>
      <c r="D1221" s="140" t="str">
        <f>IFERROR(VLOOKUP(C1221,Stock,3,FALSE),"")</f>
        <v>Honda City 14-18 GM6</v>
      </c>
      <c r="E1221" s="45">
        <v>1.0</v>
      </c>
      <c r="F1221" s="198">
        <v>2069000.0</v>
      </c>
      <c r="G1221" s="142">
        <f t="shared" si="40"/>
        <v>2069000</v>
      </c>
      <c r="H1221" s="142"/>
      <c r="I1221" s="143">
        <f t="shared" si="38"/>
        <v>2069000</v>
      </c>
      <c r="J1221" s="144">
        <f t="shared" si="39"/>
        <v>2069000</v>
      </c>
      <c r="K1221" s="108" t="s">
        <v>6001</v>
      </c>
      <c r="L1221" s="199" t="s">
        <v>6002</v>
      </c>
      <c r="M1221" s="17"/>
      <c r="N1221" s="64" t="s">
        <v>6003</v>
      </c>
      <c r="O1221" s="64" t="s">
        <v>4692</v>
      </c>
      <c r="P1221" s="147" t="s">
        <v>4672</v>
      </c>
      <c r="Q1221" s="149"/>
      <c r="R1221" s="141"/>
      <c r="S1221" s="141"/>
      <c r="T1221" s="141">
        <v>30000.0</v>
      </c>
      <c r="U1221" s="149"/>
      <c r="V1221" s="149"/>
      <c r="W1221" s="149"/>
      <c r="X1221" s="64" t="s">
        <v>3810</v>
      </c>
      <c r="Y1221" s="64" t="s">
        <v>4515</v>
      </c>
      <c r="Z1221" s="68"/>
    </row>
    <row r="1222" ht="15.0" customHeight="1">
      <c r="A1222" s="333">
        <v>45968.0</v>
      </c>
      <c r="B1222" s="201" t="s">
        <v>6000</v>
      </c>
      <c r="C1222" s="45" t="s">
        <v>2770</v>
      </c>
      <c r="D1222" s="140" t="str">
        <f>IFERROR(VLOOKUP(C1222,Stock,3,FALSE),"")</f>
        <v>Transport</v>
      </c>
      <c r="E1222" s="45">
        <v>1.0</v>
      </c>
      <c r="F1222" s="198">
        <v>90000.0</v>
      </c>
      <c r="G1222" s="142">
        <f t="shared" si="40"/>
        <v>90000</v>
      </c>
      <c r="H1222" s="142"/>
      <c r="I1222" s="143">
        <f t="shared" si="38"/>
        <v>90000</v>
      </c>
      <c r="J1222" s="144">
        <f t="shared" si="39"/>
        <v>90000</v>
      </c>
      <c r="K1222" s="108" t="s">
        <v>6001</v>
      </c>
      <c r="L1222" s="199" t="s">
        <v>6002</v>
      </c>
      <c r="M1222" s="17"/>
      <c r="N1222" s="64" t="s">
        <v>6003</v>
      </c>
      <c r="O1222" s="64" t="s">
        <v>4692</v>
      </c>
      <c r="P1222" s="147" t="s">
        <v>4672</v>
      </c>
      <c r="Q1222" s="141">
        <v>2129000.0</v>
      </c>
      <c r="R1222" s="141"/>
      <c r="S1222" s="141"/>
      <c r="T1222" s="141"/>
      <c r="U1222" s="149"/>
      <c r="V1222" s="149"/>
      <c r="W1222" s="149"/>
      <c r="X1222" s="64" t="s">
        <v>3810</v>
      </c>
      <c r="Y1222" s="64" t="s">
        <v>4515</v>
      </c>
      <c r="Z1222" s="68"/>
    </row>
    <row r="1223" ht="15.0" customHeight="1">
      <c r="A1223" s="333">
        <v>45968.0</v>
      </c>
      <c r="B1223" s="201" t="s">
        <v>6004</v>
      </c>
      <c r="C1223" s="45" t="s">
        <v>6005</v>
      </c>
      <c r="D1223" s="140" t="str">
        <f>IFERROR(VLOOKUP(C1223,Stock,3,FALSE),"")</f>
        <v>Mitsubishi Xpander 17- / Livina 19- 2nd Gen</v>
      </c>
      <c r="E1223" s="45">
        <v>1.0</v>
      </c>
      <c r="F1223" s="198">
        <v>595000.0</v>
      </c>
      <c r="G1223" s="142">
        <f t="shared" si="40"/>
        <v>595000</v>
      </c>
      <c r="H1223" s="142"/>
      <c r="I1223" s="143">
        <f t="shared" si="38"/>
        <v>595000</v>
      </c>
      <c r="J1223" s="144">
        <f t="shared" si="39"/>
        <v>595000</v>
      </c>
      <c r="K1223" s="108" t="s">
        <v>2757</v>
      </c>
      <c r="L1223" s="199" t="s">
        <v>6006</v>
      </c>
      <c r="M1223" s="17"/>
      <c r="N1223" s="64" t="s">
        <v>6007</v>
      </c>
      <c r="O1223" s="64" t="s">
        <v>2987</v>
      </c>
      <c r="P1223" s="147" t="s">
        <v>4672</v>
      </c>
      <c r="Q1223" s="149"/>
      <c r="R1223" s="141"/>
      <c r="S1223" s="141"/>
      <c r="T1223" s="141">
        <v>745000.0</v>
      </c>
      <c r="U1223" s="149"/>
      <c r="V1223" s="149"/>
      <c r="W1223" s="149"/>
      <c r="X1223" s="64" t="s">
        <v>3810</v>
      </c>
      <c r="Y1223" s="64" t="s">
        <v>4515</v>
      </c>
      <c r="Z1223" s="68"/>
    </row>
    <row r="1224" ht="15.0" customHeight="1">
      <c r="A1224" s="333">
        <v>45968.0</v>
      </c>
      <c r="B1224" s="201" t="s">
        <v>6004</v>
      </c>
      <c r="C1224" s="45" t="s">
        <v>5254</v>
      </c>
      <c r="D1224" s="140" t="str">
        <f>IFERROR(VLOOKUP(C1224,Stock,3,FALSE),"")</f>
        <v>Automotive Film Standard - Black 40%				</v>
      </c>
      <c r="E1224" s="64">
        <v>1.0</v>
      </c>
      <c r="F1224" s="198">
        <v>150000.0</v>
      </c>
      <c r="G1224" s="142">
        <f t="shared" si="40"/>
        <v>150000</v>
      </c>
      <c r="H1224" s="142"/>
      <c r="I1224" s="143">
        <f t="shared" si="38"/>
        <v>150000</v>
      </c>
      <c r="J1224" s="144">
        <f t="shared" si="39"/>
        <v>150000</v>
      </c>
      <c r="K1224" s="108" t="s">
        <v>2757</v>
      </c>
      <c r="L1224" s="199" t="s">
        <v>6006</v>
      </c>
      <c r="M1224" s="17"/>
      <c r="N1224" s="64" t="s">
        <v>6007</v>
      </c>
      <c r="O1224" s="64" t="s">
        <v>2987</v>
      </c>
      <c r="P1224" s="147" t="s">
        <v>4672</v>
      </c>
      <c r="Q1224" s="68"/>
      <c r="R1224" s="141"/>
      <c r="S1224" s="141"/>
      <c r="T1224" s="141"/>
      <c r="U1224" s="68"/>
      <c r="V1224" s="68"/>
      <c r="W1224" s="68"/>
      <c r="X1224" s="64" t="s">
        <v>3810</v>
      </c>
      <c r="Y1224" s="64" t="s">
        <v>4515</v>
      </c>
      <c r="Z1224" s="68"/>
    </row>
    <row r="1225" ht="15.0" customHeight="1">
      <c r="A1225" s="333">
        <v>45968.0</v>
      </c>
      <c r="B1225" s="201" t="s">
        <v>6008</v>
      </c>
      <c r="C1225" s="45" t="s">
        <v>6009</v>
      </c>
      <c r="D1225" s="140" t="str">
        <f>IFERROR(VLOOKUP(C1225,Stock,3,FALSE),"")</f>
        <v>Mers-Benz C-Class 07-14 W204 (1 Sensor/ □)</v>
      </c>
      <c r="E1225" s="45">
        <v>1.0</v>
      </c>
      <c r="F1225" s="198">
        <v>3572000.0</v>
      </c>
      <c r="G1225" s="142">
        <f t="shared" si="40"/>
        <v>3572000</v>
      </c>
      <c r="H1225" s="142"/>
      <c r="I1225" s="143">
        <f t="shared" si="38"/>
        <v>3572000</v>
      </c>
      <c r="J1225" s="144">
        <f t="shared" si="39"/>
        <v>3572000</v>
      </c>
      <c r="K1225" s="108" t="s">
        <v>6010</v>
      </c>
      <c r="L1225" s="199" t="s">
        <v>6011</v>
      </c>
      <c r="M1225" s="17"/>
      <c r="N1225" s="64" t="s">
        <v>6012</v>
      </c>
      <c r="O1225" s="64" t="s">
        <v>2807</v>
      </c>
      <c r="P1225" s="147" t="s">
        <v>4672</v>
      </c>
      <c r="Q1225" s="149"/>
      <c r="R1225" s="141"/>
      <c r="S1225" s="141"/>
      <c r="T1225" s="141">
        <v>3572000.0</v>
      </c>
      <c r="U1225" s="149"/>
      <c r="V1225" s="149"/>
      <c r="W1225" s="149"/>
      <c r="X1225" s="64" t="s">
        <v>3810</v>
      </c>
      <c r="Y1225" s="64" t="s">
        <v>4515</v>
      </c>
      <c r="Z1225" s="68"/>
    </row>
    <row r="1226" ht="15.0" customHeight="1">
      <c r="A1226" s="333">
        <v>45968.0</v>
      </c>
      <c r="B1226" s="201" t="s">
        <v>6013</v>
      </c>
      <c r="C1226" s="45" t="s">
        <v>5656</v>
      </c>
      <c r="D1226" s="140" t="str">
        <f>IFERROR(VLOOKUP(C1226,Stock,3,FALSE),"")</f>
        <v>Mitsubishi Outlander 10-21 GA3</v>
      </c>
      <c r="E1226" s="45">
        <v>1.0</v>
      </c>
      <c r="F1226" s="248">
        <v>2088000.0</v>
      </c>
      <c r="G1226" s="142">
        <f t="shared" si="40"/>
        <v>2088000</v>
      </c>
      <c r="H1226" s="142"/>
      <c r="I1226" s="143">
        <f t="shared" si="38"/>
        <v>2088000</v>
      </c>
      <c r="J1226" s="144">
        <f t="shared" si="39"/>
        <v>2088000</v>
      </c>
      <c r="K1226" s="108" t="s">
        <v>6014</v>
      </c>
      <c r="L1226" s="199" t="s">
        <v>6015</v>
      </c>
      <c r="M1226" s="17"/>
      <c r="N1226" s="64" t="s">
        <v>6016</v>
      </c>
      <c r="O1226" s="64" t="s">
        <v>2813</v>
      </c>
      <c r="P1226" s="147" t="s">
        <v>4672</v>
      </c>
      <c r="Q1226" s="149"/>
      <c r="R1226" s="141"/>
      <c r="S1226" s="141"/>
      <c r="T1226" s="141">
        <v>50000.0</v>
      </c>
      <c r="U1226" s="149"/>
      <c r="V1226" s="149"/>
      <c r="W1226" s="149"/>
      <c r="X1226" s="64" t="s">
        <v>3810</v>
      </c>
      <c r="Y1226" s="64" t="s">
        <v>4515</v>
      </c>
      <c r="Z1226" s="68"/>
    </row>
    <row r="1227" ht="15.0" customHeight="1">
      <c r="A1227" s="333">
        <v>45968.0</v>
      </c>
      <c r="B1227" s="201" t="s">
        <v>6013</v>
      </c>
      <c r="C1227" s="45" t="s">
        <v>2770</v>
      </c>
      <c r="D1227" s="140" t="str">
        <f>IFERROR(VLOOKUP(C1227,Stock,3,FALSE),"")</f>
        <v>Transport</v>
      </c>
      <c r="E1227" s="45">
        <v>1.0</v>
      </c>
      <c r="F1227" s="248">
        <v>150000.0</v>
      </c>
      <c r="G1227" s="142">
        <f t="shared" si="40"/>
        <v>150000</v>
      </c>
      <c r="H1227" s="143"/>
      <c r="I1227" s="143">
        <f t="shared" si="38"/>
        <v>150000</v>
      </c>
      <c r="J1227" s="144">
        <f t="shared" si="39"/>
        <v>150000</v>
      </c>
      <c r="K1227" s="108" t="s">
        <v>6014</v>
      </c>
      <c r="L1227" s="199" t="s">
        <v>6015</v>
      </c>
      <c r="M1227" s="17"/>
      <c r="N1227" s="64" t="s">
        <v>6016</v>
      </c>
      <c r="O1227" s="64" t="s">
        <v>2813</v>
      </c>
      <c r="P1227" s="147" t="s">
        <v>4672</v>
      </c>
      <c r="Q1227" s="149"/>
      <c r="R1227" s="141"/>
      <c r="S1227" s="141"/>
      <c r="T1227" s="141">
        <v>2308000.0</v>
      </c>
      <c r="U1227" s="149"/>
      <c r="V1227" s="149"/>
      <c r="W1227" s="149"/>
      <c r="X1227" s="64" t="s">
        <v>3810</v>
      </c>
      <c r="Y1227" s="64" t="s">
        <v>4515</v>
      </c>
      <c r="Z1227" s="68"/>
    </row>
    <row r="1228" ht="15.0" customHeight="1">
      <c r="A1228" s="333">
        <v>45968.0</v>
      </c>
      <c r="B1228" s="201" t="s">
        <v>6013</v>
      </c>
      <c r="C1228" s="45" t="s">
        <v>2962</v>
      </c>
      <c r="D1228" s="140" t="str">
        <f>IFERROR(VLOOKUP(C1228,Stock,3,FALSE),"")</f>
        <v>Lembur</v>
      </c>
      <c r="E1228" s="64">
        <v>1.0</v>
      </c>
      <c r="F1228" s="248">
        <v>120000.0</v>
      </c>
      <c r="G1228" s="142">
        <f t="shared" si="40"/>
        <v>120000</v>
      </c>
      <c r="H1228" s="143"/>
      <c r="I1228" s="143">
        <f t="shared" si="38"/>
        <v>120000</v>
      </c>
      <c r="J1228" s="144">
        <f t="shared" si="39"/>
        <v>120000</v>
      </c>
      <c r="K1228" s="108" t="s">
        <v>6014</v>
      </c>
      <c r="L1228" s="146" t="s">
        <v>6015</v>
      </c>
      <c r="M1228" s="68"/>
      <c r="N1228" s="64" t="s">
        <v>6016</v>
      </c>
      <c r="O1228" s="64" t="s">
        <v>2813</v>
      </c>
      <c r="P1228" s="147" t="s">
        <v>4672</v>
      </c>
      <c r="Q1228" s="68"/>
      <c r="R1228" s="68"/>
      <c r="S1228" s="68"/>
      <c r="T1228" s="68"/>
      <c r="U1228" s="68"/>
      <c r="V1228" s="68"/>
      <c r="W1228" s="68"/>
      <c r="X1228" s="64" t="s">
        <v>3810</v>
      </c>
      <c r="Y1228" s="64" t="s">
        <v>4515</v>
      </c>
      <c r="Z1228" s="68"/>
    </row>
    <row r="1229" ht="15.0" customHeight="1">
      <c r="A1229" s="333">
        <v>45968.0</v>
      </c>
      <c r="B1229" s="201" t="s">
        <v>6017</v>
      </c>
      <c r="C1229" s="45" t="s">
        <v>3849</v>
      </c>
      <c r="D1229" s="140" t="str">
        <f>IFERROR(VLOOKUP(C1229,Stock,3,FALSE),"")</f>
        <v>Toyota Yaris 13- 2nd Gen / Vios 14- 3rd Gen</v>
      </c>
      <c r="E1229" s="45">
        <v>1.0</v>
      </c>
      <c r="F1229" s="198">
        <v>1619000.0</v>
      </c>
      <c r="G1229" s="142">
        <f t="shared" si="40"/>
        <v>1619000</v>
      </c>
      <c r="H1229" s="142"/>
      <c r="I1229" s="143">
        <f t="shared" si="38"/>
        <v>1619000</v>
      </c>
      <c r="J1229" s="144">
        <f t="shared" si="39"/>
        <v>1619000</v>
      </c>
      <c r="K1229" s="108" t="s">
        <v>6018</v>
      </c>
      <c r="L1229" s="199" t="s">
        <v>6019</v>
      </c>
      <c r="M1229" s="17"/>
      <c r="N1229" s="64" t="s">
        <v>6020</v>
      </c>
      <c r="O1229" s="64" t="s">
        <v>2813</v>
      </c>
      <c r="P1229" s="147" t="s">
        <v>4672</v>
      </c>
      <c r="Q1229" s="149"/>
      <c r="R1229" s="141"/>
      <c r="S1229" s="141"/>
      <c r="T1229" s="141">
        <v>1619000.0</v>
      </c>
      <c r="U1229" s="149"/>
      <c r="V1229" s="149"/>
      <c r="W1229" s="149"/>
      <c r="X1229" s="64" t="s">
        <v>3810</v>
      </c>
      <c r="Y1229" s="64" t="s">
        <v>4515</v>
      </c>
      <c r="Z1229" s="68"/>
    </row>
    <row r="1230" ht="15.0" customHeight="1">
      <c r="A1230" s="333">
        <v>45968.0</v>
      </c>
      <c r="B1230" s="201" t="s">
        <v>6021</v>
      </c>
      <c r="C1230" s="45" t="s">
        <v>3891</v>
      </c>
      <c r="D1230" s="140" t="str">
        <f>IFERROR(VLOOKUP(C1230,Stock,3,FALSE),"")</f>
        <v>Toyota Rush / Terios 06-17</v>
      </c>
      <c r="E1230" s="45">
        <v>1.0</v>
      </c>
      <c r="F1230" s="198">
        <v>755000.0</v>
      </c>
      <c r="G1230" s="142">
        <f t="shared" si="40"/>
        <v>755000</v>
      </c>
      <c r="H1230" s="142"/>
      <c r="I1230" s="143">
        <f t="shared" si="38"/>
        <v>755000</v>
      </c>
      <c r="J1230" s="144">
        <f t="shared" si="39"/>
        <v>755000</v>
      </c>
      <c r="K1230" s="108" t="s">
        <v>6022</v>
      </c>
      <c r="L1230" s="199" t="s">
        <v>6023</v>
      </c>
      <c r="M1230" s="17"/>
      <c r="N1230" s="64" t="s">
        <v>4270</v>
      </c>
      <c r="O1230" s="64" t="s">
        <v>2813</v>
      </c>
      <c r="P1230" s="147" t="s">
        <v>4672</v>
      </c>
      <c r="Q1230" s="149"/>
      <c r="R1230" s="141"/>
      <c r="S1230" s="141"/>
      <c r="T1230" s="141">
        <v>1853000.0</v>
      </c>
      <c r="U1230" s="149"/>
      <c r="V1230" s="149"/>
      <c r="W1230" s="149"/>
      <c r="X1230" s="64" t="s">
        <v>3810</v>
      </c>
      <c r="Y1230" s="64" t="s">
        <v>4515</v>
      </c>
      <c r="Z1230" s="68"/>
    </row>
    <row r="1231" ht="15.0" customHeight="1">
      <c r="A1231" s="333">
        <v>45968.0</v>
      </c>
      <c r="B1231" s="201" t="s">
        <v>6021</v>
      </c>
      <c r="C1231" s="45" t="s">
        <v>4144</v>
      </c>
      <c r="D1231" s="140" t="str">
        <f>IFERROR(VLOOKUP(C1231,Stock,3,FALSE),"")</f>
        <v>Toyota Rush / Terios 06-17</v>
      </c>
      <c r="E1231" s="45">
        <v>1.0</v>
      </c>
      <c r="F1231" s="198">
        <v>1098000.0</v>
      </c>
      <c r="G1231" s="142">
        <f t="shared" si="40"/>
        <v>1098000</v>
      </c>
      <c r="H1231" s="142"/>
      <c r="I1231" s="143">
        <f t="shared" si="38"/>
        <v>1098000</v>
      </c>
      <c r="J1231" s="144">
        <f t="shared" si="39"/>
        <v>1098000</v>
      </c>
      <c r="K1231" s="108" t="s">
        <v>6022</v>
      </c>
      <c r="L1231" s="199" t="s">
        <v>6023</v>
      </c>
      <c r="M1231" s="17"/>
      <c r="N1231" s="64" t="s">
        <v>4270</v>
      </c>
      <c r="O1231" s="64" t="s">
        <v>2813</v>
      </c>
      <c r="P1231" s="147" t="s">
        <v>4672</v>
      </c>
      <c r="Q1231" s="149"/>
      <c r="R1231" s="141"/>
      <c r="S1231" s="141"/>
      <c r="T1231" s="141"/>
      <c r="U1231" s="149"/>
      <c r="V1231" s="149"/>
      <c r="W1231" s="149"/>
      <c r="X1231" s="64" t="s">
        <v>3810</v>
      </c>
      <c r="Y1231" s="64" t="s">
        <v>4515</v>
      </c>
      <c r="Z1231" s="68"/>
    </row>
    <row r="1232" ht="15.0" customHeight="1">
      <c r="A1232" s="333">
        <v>45969.0</v>
      </c>
      <c r="B1232" s="201" t="s">
        <v>6024</v>
      </c>
      <c r="C1232" s="45" t="s">
        <v>6025</v>
      </c>
      <c r="D1232" s="140" t="str">
        <f>IFERROR(VLOOKUP(C1232,Stock,3,FALSE),"")</f>
        <v>Honda City 02-08 4th Gen Idsi GD8</v>
      </c>
      <c r="E1232" s="45">
        <v>1.0</v>
      </c>
      <c r="F1232" s="198">
        <v>1971000.0</v>
      </c>
      <c r="G1232" s="142">
        <f t="shared" si="40"/>
        <v>1971000</v>
      </c>
      <c r="H1232" s="142"/>
      <c r="I1232" s="143">
        <f t="shared" si="38"/>
        <v>1971000</v>
      </c>
      <c r="J1232" s="144">
        <f t="shared" si="39"/>
        <v>1971000</v>
      </c>
      <c r="K1232" s="108" t="s">
        <v>6026</v>
      </c>
      <c r="L1232" s="199" t="s">
        <v>6027</v>
      </c>
      <c r="M1232" s="17"/>
      <c r="N1232" s="64" t="s">
        <v>6028</v>
      </c>
      <c r="O1232" s="64" t="s">
        <v>2813</v>
      </c>
      <c r="P1232" s="147" t="s">
        <v>4672</v>
      </c>
      <c r="Q1232" s="149"/>
      <c r="R1232" s="141"/>
      <c r="S1232" s="141"/>
      <c r="T1232" s="141">
        <v>50000.0</v>
      </c>
      <c r="U1232" s="149"/>
      <c r="V1232" s="149"/>
      <c r="W1232" s="149"/>
      <c r="X1232" s="64" t="s">
        <v>3810</v>
      </c>
      <c r="Y1232" s="64" t="s">
        <v>4515</v>
      </c>
      <c r="Z1232" s="68"/>
    </row>
    <row r="1233" ht="15.0" customHeight="1">
      <c r="A1233" s="333">
        <v>45969.0</v>
      </c>
      <c r="B1233" s="201" t="s">
        <v>6024</v>
      </c>
      <c r="C1233" s="45" t="s">
        <v>2770</v>
      </c>
      <c r="D1233" s="140" t="str">
        <f>IFERROR(VLOOKUP(C1233,Stock,3,FALSE),"")</f>
        <v>Transport</v>
      </c>
      <c r="E1233" s="45">
        <v>1.0</v>
      </c>
      <c r="F1233" s="198">
        <v>190000.0</v>
      </c>
      <c r="G1233" s="142">
        <f t="shared" si="40"/>
        <v>190000</v>
      </c>
      <c r="H1233" s="142"/>
      <c r="I1233" s="143">
        <f t="shared" si="38"/>
        <v>190000</v>
      </c>
      <c r="J1233" s="144">
        <f t="shared" si="39"/>
        <v>190000</v>
      </c>
      <c r="K1233" s="108" t="s">
        <v>6026</v>
      </c>
      <c r="L1233" s="199" t="s">
        <v>6027</v>
      </c>
      <c r="M1233" s="17"/>
      <c r="N1233" s="64" t="s">
        <v>6028</v>
      </c>
      <c r="O1233" s="64" t="s">
        <v>2813</v>
      </c>
      <c r="P1233" s="147" t="s">
        <v>4672</v>
      </c>
      <c r="Q1233" s="149"/>
      <c r="R1233" s="141"/>
      <c r="S1233" s="141"/>
      <c r="T1233" s="141">
        <v>2111000.0</v>
      </c>
      <c r="U1233" s="149"/>
      <c r="V1233" s="149"/>
      <c r="W1233" s="149"/>
      <c r="X1233" s="64" t="s">
        <v>3810</v>
      </c>
      <c r="Y1233" s="64" t="s">
        <v>4515</v>
      </c>
      <c r="Z1233" s="68"/>
    </row>
    <row r="1234" ht="15.0" customHeight="1">
      <c r="A1234" s="333">
        <v>45969.0</v>
      </c>
      <c r="B1234" s="201" t="s">
        <v>6029</v>
      </c>
      <c r="C1234" s="45" t="s">
        <v>3126</v>
      </c>
      <c r="D1234" s="140" t="str">
        <f>IFERROR(VLOOKUP(C1234,Stock,3,FALSE),"")</f>
        <v>Suzuki Carry New 19-</v>
      </c>
      <c r="E1234" s="45">
        <v>1.0</v>
      </c>
      <c r="F1234" s="198">
        <v>1100000.0</v>
      </c>
      <c r="G1234" s="142">
        <f t="shared" si="40"/>
        <v>1100000</v>
      </c>
      <c r="H1234" s="142"/>
      <c r="I1234" s="143">
        <f t="shared" si="38"/>
        <v>1100000</v>
      </c>
      <c r="J1234" s="144">
        <f t="shared" si="39"/>
        <v>1100000</v>
      </c>
      <c r="K1234" s="108" t="s">
        <v>6030</v>
      </c>
      <c r="L1234" s="199" t="s">
        <v>6031</v>
      </c>
      <c r="M1234" s="17"/>
      <c r="N1234" s="64" t="s">
        <v>6032</v>
      </c>
      <c r="O1234" s="64" t="s">
        <v>2813</v>
      </c>
      <c r="P1234" s="147" t="s">
        <v>4672</v>
      </c>
      <c r="Q1234" s="149"/>
      <c r="R1234" s="141"/>
      <c r="S1234" s="141"/>
      <c r="T1234" s="141">
        <v>1100000.0</v>
      </c>
      <c r="U1234" s="149"/>
      <c r="V1234" s="149"/>
      <c r="W1234" s="149"/>
      <c r="X1234" s="64" t="s">
        <v>3810</v>
      </c>
      <c r="Y1234" s="64" t="s">
        <v>4515</v>
      </c>
      <c r="Z1234" s="68"/>
    </row>
    <row r="1235" ht="15.0" customHeight="1">
      <c r="A1235" s="349">
        <v>45969.0</v>
      </c>
      <c r="B1235" s="350" t="s">
        <v>6033</v>
      </c>
      <c r="C1235" s="351" t="s">
        <v>6034</v>
      </c>
      <c r="D1235" s="352" t="str">
        <f>IFERROR(VLOOKUP(C1235,Stock,3,FALSE),"")</f>
        <v>Honda HR-V 22- 5D SUV (Honda)</v>
      </c>
      <c r="E1235" s="351">
        <v>1.0</v>
      </c>
      <c r="F1235" s="353">
        <v>2929000.0</v>
      </c>
      <c r="G1235" s="354">
        <f t="shared" si="40"/>
        <v>2929000</v>
      </c>
      <c r="H1235" s="354"/>
      <c r="I1235" s="355">
        <f t="shared" si="38"/>
        <v>2929000</v>
      </c>
      <c r="J1235" s="356">
        <f t="shared" si="39"/>
        <v>2929000</v>
      </c>
      <c r="K1235" s="357" t="s">
        <v>6035</v>
      </c>
      <c r="L1235" s="358" t="s">
        <v>6036</v>
      </c>
      <c r="M1235" s="359"/>
      <c r="N1235" s="360" t="s">
        <v>6037</v>
      </c>
      <c r="O1235" s="360" t="s">
        <v>3007</v>
      </c>
      <c r="P1235" s="361" t="s">
        <v>4672</v>
      </c>
      <c r="Q1235" s="362"/>
      <c r="R1235" s="363"/>
      <c r="S1235" s="363"/>
      <c r="T1235" s="363">
        <v>50000.0</v>
      </c>
      <c r="U1235" s="362"/>
      <c r="V1235" s="362"/>
      <c r="W1235" s="362"/>
      <c r="X1235" s="360" t="s">
        <v>3810</v>
      </c>
      <c r="Y1235" s="64" t="s">
        <v>4515</v>
      </c>
      <c r="Z1235" s="68"/>
    </row>
    <row r="1236" ht="15.0" customHeight="1">
      <c r="A1236" s="349">
        <v>45969.0</v>
      </c>
      <c r="B1236" s="350" t="s">
        <v>6033</v>
      </c>
      <c r="C1236" s="351" t="s">
        <v>2770</v>
      </c>
      <c r="D1236" s="352" t="str">
        <f>IFERROR(VLOOKUP(C1236,Stock,3,FALSE),"")</f>
        <v>Transport</v>
      </c>
      <c r="E1236" s="351">
        <v>1.0</v>
      </c>
      <c r="F1236" s="353">
        <v>200000.0</v>
      </c>
      <c r="G1236" s="354">
        <f t="shared" si="40"/>
        <v>200000</v>
      </c>
      <c r="H1236" s="354"/>
      <c r="I1236" s="355">
        <f t="shared" si="38"/>
        <v>200000</v>
      </c>
      <c r="J1236" s="356">
        <f t="shared" si="39"/>
        <v>200000</v>
      </c>
      <c r="K1236" s="357" t="s">
        <v>6035</v>
      </c>
      <c r="L1236" s="358" t="s">
        <v>6036</v>
      </c>
      <c r="M1236" s="359"/>
      <c r="N1236" s="360" t="s">
        <v>6037</v>
      </c>
      <c r="O1236" s="360" t="s">
        <v>3007</v>
      </c>
      <c r="P1236" s="361" t="s">
        <v>4672</v>
      </c>
      <c r="Q1236" s="362"/>
      <c r="R1236" s="363"/>
      <c r="S1236" s="363"/>
      <c r="T1236" s="363">
        <v>3079000.0</v>
      </c>
      <c r="U1236" s="362"/>
      <c r="V1236" s="362"/>
      <c r="W1236" s="362"/>
      <c r="X1236" s="360" t="s">
        <v>3810</v>
      </c>
      <c r="Y1236" s="64" t="s">
        <v>4515</v>
      </c>
      <c r="Z1236" s="68"/>
    </row>
    <row r="1237" ht="15.0" customHeight="1">
      <c r="A1237" s="333">
        <v>45969.0</v>
      </c>
      <c r="B1237" s="201" t="s">
        <v>6038</v>
      </c>
      <c r="C1237" s="45" t="s">
        <v>3193</v>
      </c>
      <c r="D1237" s="140" t="str">
        <f>IFERROR(VLOOKUP(C1237,Stock,3,FALSE),"")</f>
        <v>Toyota Avanza / Xenia 11-15 2nd Gen</v>
      </c>
      <c r="E1237" s="45">
        <v>1.0</v>
      </c>
      <c r="F1237" s="198">
        <v>1000000.0</v>
      </c>
      <c r="G1237" s="142">
        <f t="shared" si="40"/>
        <v>1000000</v>
      </c>
      <c r="H1237" s="142"/>
      <c r="I1237" s="143">
        <f t="shared" si="38"/>
        <v>1000000</v>
      </c>
      <c r="J1237" s="144">
        <f t="shared" si="39"/>
        <v>1000000</v>
      </c>
      <c r="K1237" s="108" t="s">
        <v>6039</v>
      </c>
      <c r="L1237" s="199" t="s">
        <v>6040</v>
      </c>
      <c r="M1237" s="17"/>
      <c r="N1237" s="64" t="s">
        <v>6041</v>
      </c>
      <c r="O1237" s="64" t="s">
        <v>2807</v>
      </c>
      <c r="P1237" s="147" t="s">
        <v>4672</v>
      </c>
      <c r="Q1237" s="149"/>
      <c r="R1237" s="141"/>
      <c r="S1237" s="141"/>
      <c r="T1237" s="141">
        <v>50000.0</v>
      </c>
      <c r="U1237" s="149"/>
      <c r="V1237" s="149"/>
      <c r="W1237" s="149"/>
      <c r="X1237" s="64" t="s">
        <v>3810</v>
      </c>
      <c r="Y1237" s="64" t="s">
        <v>4515</v>
      </c>
      <c r="Z1237" s="68"/>
    </row>
    <row r="1238" ht="15.0" customHeight="1">
      <c r="A1238" s="333">
        <v>45969.0</v>
      </c>
      <c r="B1238" s="201" t="s">
        <v>6038</v>
      </c>
      <c r="C1238" s="45" t="s">
        <v>2770</v>
      </c>
      <c r="D1238" s="140" t="str">
        <f>IFERROR(VLOOKUP(C1238,Stock,3,FALSE),"")</f>
        <v>Transport</v>
      </c>
      <c r="E1238" s="45">
        <v>1.0</v>
      </c>
      <c r="F1238" s="198">
        <v>190000.0</v>
      </c>
      <c r="G1238" s="142">
        <f t="shared" si="40"/>
        <v>190000</v>
      </c>
      <c r="H1238" s="142"/>
      <c r="I1238" s="143">
        <f t="shared" si="38"/>
        <v>190000</v>
      </c>
      <c r="J1238" s="144">
        <f t="shared" si="39"/>
        <v>190000</v>
      </c>
      <c r="K1238" s="108" t="s">
        <v>6039</v>
      </c>
      <c r="L1238" s="199" t="s">
        <v>6040</v>
      </c>
      <c r="M1238" s="17"/>
      <c r="N1238" s="64" t="s">
        <v>6041</v>
      </c>
      <c r="O1238" s="64" t="s">
        <v>2807</v>
      </c>
      <c r="P1238" s="147" t="s">
        <v>4672</v>
      </c>
      <c r="Q1238" s="141">
        <v>1415000.0</v>
      </c>
      <c r="R1238" s="141"/>
      <c r="S1238" s="141"/>
      <c r="T1238" s="141"/>
      <c r="U1238" s="149"/>
      <c r="V1238" s="149"/>
      <c r="W1238" s="149"/>
      <c r="X1238" s="64" t="s">
        <v>3810</v>
      </c>
      <c r="Y1238" s="64" t="s">
        <v>4515</v>
      </c>
      <c r="Z1238" s="68"/>
    </row>
    <row r="1239" ht="15.0" customHeight="1">
      <c r="A1239" s="333">
        <v>45969.0</v>
      </c>
      <c r="B1239" s="201" t="s">
        <v>6038</v>
      </c>
      <c r="C1239" s="64" t="s">
        <v>3456</v>
      </c>
      <c r="D1239" s="140" t="str">
        <f>IFERROR(VLOOKUP(C1239,Stock,3,FALSE),"")</f>
        <v>List Kaca Depan Code 11</v>
      </c>
      <c r="E1239" s="64">
        <v>1.0</v>
      </c>
      <c r="F1239" s="198">
        <v>275000.0</v>
      </c>
      <c r="G1239" s="142">
        <f t="shared" si="40"/>
        <v>275000</v>
      </c>
      <c r="H1239" s="142"/>
      <c r="I1239" s="143">
        <f t="shared" si="38"/>
        <v>275000</v>
      </c>
      <c r="J1239" s="144">
        <f t="shared" si="39"/>
        <v>275000</v>
      </c>
      <c r="K1239" s="108" t="s">
        <v>6039</v>
      </c>
      <c r="L1239" s="199" t="s">
        <v>6040</v>
      </c>
      <c r="M1239" s="17"/>
      <c r="N1239" s="64" t="s">
        <v>6041</v>
      </c>
      <c r="O1239" s="64" t="s">
        <v>2807</v>
      </c>
      <c r="P1239" s="147" t="s">
        <v>4672</v>
      </c>
      <c r="Q1239" s="68"/>
      <c r="R1239" s="68"/>
      <c r="S1239" s="68"/>
      <c r="T1239" s="68"/>
      <c r="U1239" s="68"/>
      <c r="V1239" s="68"/>
      <c r="W1239" s="68"/>
      <c r="X1239" s="64" t="s">
        <v>3810</v>
      </c>
      <c r="Y1239" s="64" t="s">
        <v>4515</v>
      </c>
      <c r="Z1239" s="68"/>
    </row>
    <row r="1240" ht="15.0" customHeight="1">
      <c r="A1240" s="333">
        <v>45969.0</v>
      </c>
      <c r="B1240" s="201" t="s">
        <v>6042</v>
      </c>
      <c r="C1240" s="45" t="s">
        <v>3246</v>
      </c>
      <c r="D1240" s="140" t="str">
        <f>IFERROR(VLOOKUP(C1240,Stock,3,FALSE),"")</f>
        <v>Toyota Calya / Sigra 16-</v>
      </c>
      <c r="E1240" s="45">
        <v>1.0</v>
      </c>
      <c r="F1240" s="198">
        <v>1200000.0</v>
      </c>
      <c r="G1240" s="142">
        <f t="shared" si="40"/>
        <v>1200000</v>
      </c>
      <c r="H1240" s="142"/>
      <c r="I1240" s="143">
        <f t="shared" si="38"/>
        <v>1200000</v>
      </c>
      <c r="J1240" s="144">
        <f t="shared" si="39"/>
        <v>1200000</v>
      </c>
      <c r="K1240" s="108" t="s">
        <v>6043</v>
      </c>
      <c r="L1240" s="199" t="s">
        <v>6044</v>
      </c>
      <c r="M1240" s="17"/>
      <c r="N1240" s="64" t="s">
        <v>6045</v>
      </c>
      <c r="O1240" s="64" t="s">
        <v>5717</v>
      </c>
      <c r="P1240" s="147" t="s">
        <v>4672</v>
      </c>
      <c r="Q1240" s="149"/>
      <c r="R1240" s="141"/>
      <c r="S1240" s="141"/>
      <c r="T1240" s="141">
        <v>30000.0</v>
      </c>
      <c r="U1240" s="149"/>
      <c r="V1240" s="149"/>
      <c r="W1240" s="149"/>
      <c r="X1240" s="64" t="s">
        <v>3810</v>
      </c>
      <c r="Y1240" s="64" t="s">
        <v>4515</v>
      </c>
      <c r="Z1240" s="68"/>
    </row>
    <row r="1241" ht="15.0" customHeight="1">
      <c r="A1241" s="333">
        <v>45969.0</v>
      </c>
      <c r="B1241" s="201" t="s">
        <v>6042</v>
      </c>
      <c r="C1241" s="45" t="s">
        <v>2770</v>
      </c>
      <c r="D1241" s="140" t="str">
        <f>IFERROR(VLOOKUP(C1241,Stock,3,FALSE),"")</f>
        <v>Transport</v>
      </c>
      <c r="E1241" s="45">
        <v>1.0</v>
      </c>
      <c r="F1241" s="198">
        <v>100000.0</v>
      </c>
      <c r="G1241" s="142">
        <f t="shared" si="40"/>
        <v>100000</v>
      </c>
      <c r="H1241" s="142"/>
      <c r="I1241" s="143">
        <f t="shared" si="38"/>
        <v>100000</v>
      </c>
      <c r="J1241" s="144">
        <f t="shared" si="39"/>
        <v>100000</v>
      </c>
      <c r="K1241" s="108" t="s">
        <v>6043</v>
      </c>
      <c r="L1241" s="199" t="s">
        <v>6044</v>
      </c>
      <c r="M1241" s="17"/>
      <c r="N1241" s="64" t="s">
        <v>6045</v>
      </c>
      <c r="O1241" s="64" t="s">
        <v>5717</v>
      </c>
      <c r="P1241" s="147" t="s">
        <v>4672</v>
      </c>
      <c r="Q1241" s="141">
        <v>1270000.0</v>
      </c>
      <c r="R1241" s="68"/>
      <c r="S1241" s="68"/>
      <c r="T1241" s="68"/>
      <c r="U1241" s="149"/>
      <c r="V1241" s="149"/>
      <c r="W1241" s="149"/>
      <c r="X1241" s="64" t="s">
        <v>3810</v>
      </c>
      <c r="Y1241" s="64" t="s">
        <v>4515</v>
      </c>
      <c r="Z1241" s="68"/>
    </row>
    <row r="1242" ht="15.0" customHeight="1">
      <c r="A1242" s="333">
        <v>45969.0</v>
      </c>
      <c r="B1242" s="201" t="s">
        <v>6046</v>
      </c>
      <c r="C1242" s="45" t="s">
        <v>3130</v>
      </c>
      <c r="D1242" s="140" t="str">
        <f>IFERROR(VLOOKUP(C1242,Stock,3,FALSE),"")</f>
        <v>Toyota Innova 04-15 1st Gen</v>
      </c>
      <c r="E1242" s="45">
        <v>1.0</v>
      </c>
      <c r="F1242" s="198">
        <v>1272000.0</v>
      </c>
      <c r="G1242" s="142">
        <f t="shared" si="40"/>
        <v>1272000</v>
      </c>
      <c r="H1242" s="142"/>
      <c r="I1242" s="143">
        <f t="shared" si="38"/>
        <v>1272000</v>
      </c>
      <c r="J1242" s="144">
        <f t="shared" si="39"/>
        <v>1272000</v>
      </c>
      <c r="K1242" s="108" t="s">
        <v>6047</v>
      </c>
      <c r="L1242" s="199" t="s">
        <v>6048</v>
      </c>
      <c r="M1242" s="17"/>
      <c r="N1242" s="64" t="s">
        <v>6049</v>
      </c>
      <c r="O1242" s="64" t="s">
        <v>4376</v>
      </c>
      <c r="P1242" s="147" t="s">
        <v>4672</v>
      </c>
      <c r="Q1242" s="149"/>
      <c r="R1242" s="141"/>
      <c r="S1242" s="141"/>
      <c r="T1242" s="141">
        <v>50000.0</v>
      </c>
      <c r="U1242" s="149"/>
      <c r="V1242" s="149"/>
      <c r="W1242" s="149"/>
      <c r="X1242" s="64" t="s">
        <v>3810</v>
      </c>
      <c r="Y1242" s="64" t="s">
        <v>4515</v>
      </c>
      <c r="Z1242" s="68"/>
    </row>
    <row r="1243" ht="15.0" customHeight="1">
      <c r="A1243" s="333">
        <v>45969.0</v>
      </c>
      <c r="B1243" s="201" t="s">
        <v>6046</v>
      </c>
      <c r="C1243" s="45" t="s">
        <v>5254</v>
      </c>
      <c r="D1243" s="140" t="str">
        <f>IFERROR(VLOOKUP(C1243,Stock,3,FALSE),"")</f>
        <v>Automotive Film Standard - Black 40%				</v>
      </c>
      <c r="E1243" s="45">
        <v>1.0</v>
      </c>
      <c r="F1243" s="198">
        <v>200000.0</v>
      </c>
      <c r="G1243" s="142">
        <f t="shared" si="40"/>
        <v>200000</v>
      </c>
      <c r="H1243" s="143">
        <v>72000.0</v>
      </c>
      <c r="I1243" s="143">
        <f t="shared" si="38"/>
        <v>128000</v>
      </c>
      <c r="J1243" s="144">
        <f t="shared" si="39"/>
        <v>128000</v>
      </c>
      <c r="K1243" s="108" t="s">
        <v>6047</v>
      </c>
      <c r="L1243" s="199" t="s">
        <v>6048</v>
      </c>
      <c r="M1243" s="17"/>
      <c r="N1243" s="64" t="s">
        <v>6049</v>
      </c>
      <c r="O1243" s="64" t="s">
        <v>4376</v>
      </c>
      <c r="P1243" s="147" t="s">
        <v>4672</v>
      </c>
      <c r="Q1243" s="149"/>
      <c r="R1243" s="141"/>
      <c r="S1243" s="141"/>
      <c r="T1243" s="141">
        <v>1350000.0</v>
      </c>
      <c r="U1243" s="149"/>
      <c r="V1243" s="149"/>
      <c r="W1243" s="149"/>
      <c r="X1243" s="64" t="s">
        <v>3810</v>
      </c>
      <c r="Y1243" s="64" t="s">
        <v>4515</v>
      </c>
      <c r="Z1243" s="68"/>
    </row>
    <row r="1244" ht="15.0" customHeight="1">
      <c r="A1244" s="333">
        <v>45969.0</v>
      </c>
      <c r="B1244" s="201" t="s">
        <v>6050</v>
      </c>
      <c r="C1244" s="45" t="s">
        <v>2995</v>
      </c>
      <c r="D1244" s="140" t="str">
        <f>IFERROR(VLOOKUP(C1244,Stock,3,FALSE),"")</f>
        <v>Honda CR-V 02-04 2nd Gen (Spion Jepit)</v>
      </c>
      <c r="E1244" s="45">
        <v>1.0</v>
      </c>
      <c r="F1244" s="198">
        <v>1732000.0</v>
      </c>
      <c r="G1244" s="142">
        <f t="shared" si="40"/>
        <v>1732000</v>
      </c>
      <c r="H1244" s="142"/>
      <c r="I1244" s="143">
        <f t="shared" si="38"/>
        <v>1732000</v>
      </c>
      <c r="J1244" s="144">
        <f t="shared" si="39"/>
        <v>1732000</v>
      </c>
      <c r="K1244" s="108" t="s">
        <v>6051</v>
      </c>
      <c r="L1244" s="199" t="s">
        <v>3593</v>
      </c>
      <c r="M1244" s="17"/>
      <c r="N1244" s="64" t="s">
        <v>6052</v>
      </c>
      <c r="O1244" s="64" t="s">
        <v>2813</v>
      </c>
      <c r="P1244" s="147" t="s">
        <v>4672</v>
      </c>
      <c r="Q1244" s="149"/>
      <c r="R1244" s="141"/>
      <c r="S1244" s="141"/>
      <c r="T1244" s="141">
        <v>1732000.0</v>
      </c>
      <c r="U1244" s="149"/>
      <c r="V1244" s="149"/>
      <c r="W1244" s="149"/>
      <c r="X1244" s="64" t="s">
        <v>3810</v>
      </c>
      <c r="Y1244" s="64" t="s">
        <v>4515</v>
      </c>
      <c r="Z1244" s="68"/>
    </row>
    <row r="1245" ht="15.0" customHeight="1">
      <c r="A1245" s="333">
        <v>45969.0</v>
      </c>
      <c r="B1245" s="201" t="s">
        <v>6053</v>
      </c>
      <c r="C1245" s="45" t="s">
        <v>6054</v>
      </c>
      <c r="D1245" s="140" t="str">
        <f>IFERROR(VLOOKUP(C1245,Stock,3,FALSE),"")</f>
        <v>Mitsubishi Pajero 08-16</v>
      </c>
      <c r="E1245" s="45">
        <v>1.0</v>
      </c>
      <c r="F1245" s="198">
        <v>1480000.0</v>
      </c>
      <c r="G1245" s="142">
        <f t="shared" si="40"/>
        <v>1480000</v>
      </c>
      <c r="H1245" s="142"/>
      <c r="I1245" s="143">
        <f t="shared" si="38"/>
        <v>1480000</v>
      </c>
      <c r="J1245" s="144">
        <f t="shared" si="39"/>
        <v>1480000</v>
      </c>
      <c r="K1245" s="108" t="s">
        <v>4343</v>
      </c>
      <c r="L1245" s="199" t="s">
        <v>6055</v>
      </c>
      <c r="M1245" s="17"/>
      <c r="N1245" s="64" t="s">
        <v>6056</v>
      </c>
      <c r="O1245" s="64" t="s">
        <v>3684</v>
      </c>
      <c r="P1245" s="147" t="s">
        <v>4672</v>
      </c>
      <c r="Q1245" s="149"/>
      <c r="R1245" s="141"/>
      <c r="S1245" s="141"/>
      <c r="T1245" s="141">
        <v>1480000.0</v>
      </c>
      <c r="U1245" s="149"/>
      <c r="V1245" s="149"/>
      <c r="W1245" s="149"/>
      <c r="X1245" s="64" t="s">
        <v>3810</v>
      </c>
      <c r="Y1245" s="64" t="s">
        <v>4515</v>
      </c>
      <c r="Z1245" s="68"/>
    </row>
    <row r="1246" ht="15.0" customHeight="1">
      <c r="A1246" s="333">
        <v>45971.0</v>
      </c>
      <c r="B1246" s="201" t="s">
        <v>6057</v>
      </c>
      <c r="C1246" s="45" t="s">
        <v>4740</v>
      </c>
      <c r="D1246" s="140" t="str">
        <f>IFERROR(VLOOKUP(C1246,Stock,3,FALSE),"")</f>
        <v>Nissan X-Trail 13- T32 (1 Sensor)</v>
      </c>
      <c r="E1246" s="45">
        <v>1.0</v>
      </c>
      <c r="F1246" s="198">
        <v>2379000.0</v>
      </c>
      <c r="G1246" s="142">
        <f t="shared" si="40"/>
        <v>2379000</v>
      </c>
      <c r="H1246" s="142"/>
      <c r="I1246" s="143">
        <f t="shared" si="38"/>
        <v>2379000</v>
      </c>
      <c r="J1246" s="144">
        <f t="shared" si="39"/>
        <v>2379000</v>
      </c>
      <c r="K1246" s="108" t="s">
        <v>6058</v>
      </c>
      <c r="L1246" s="199" t="s">
        <v>6059</v>
      </c>
      <c r="M1246" s="17"/>
      <c r="N1246" s="64" t="s">
        <v>6060</v>
      </c>
      <c r="O1246" s="64" t="s">
        <v>6061</v>
      </c>
      <c r="P1246" s="147" t="s">
        <v>4672</v>
      </c>
      <c r="Q1246" s="149"/>
      <c r="R1246" s="141"/>
      <c r="S1246" s="141"/>
      <c r="T1246" s="141">
        <v>30000.0</v>
      </c>
      <c r="U1246" s="149"/>
      <c r="V1246" s="149"/>
      <c r="W1246" s="149"/>
      <c r="X1246" s="64" t="s">
        <v>3810</v>
      </c>
      <c r="Y1246" s="64" t="s">
        <v>4515</v>
      </c>
      <c r="Z1246" s="68"/>
    </row>
    <row r="1247" ht="15.0" customHeight="1">
      <c r="A1247" s="333">
        <v>45971.0</v>
      </c>
      <c r="B1247" s="201" t="s">
        <v>6057</v>
      </c>
      <c r="C1247" s="45" t="s">
        <v>2770</v>
      </c>
      <c r="D1247" s="140" t="str">
        <f>IFERROR(VLOOKUP(C1247,Stock,3,FALSE),"")</f>
        <v>Transport</v>
      </c>
      <c r="E1247" s="45">
        <v>1.0</v>
      </c>
      <c r="F1247" s="198">
        <v>200000.0</v>
      </c>
      <c r="G1247" s="142">
        <f t="shared" si="40"/>
        <v>200000</v>
      </c>
      <c r="H1247" s="142"/>
      <c r="I1247" s="143">
        <f t="shared" si="38"/>
        <v>200000</v>
      </c>
      <c r="J1247" s="144">
        <f t="shared" si="39"/>
        <v>200000</v>
      </c>
      <c r="K1247" s="108" t="s">
        <v>6058</v>
      </c>
      <c r="L1247" s="199" t="s">
        <v>6059</v>
      </c>
      <c r="M1247" s="17"/>
      <c r="N1247" s="64" t="s">
        <v>6060</v>
      </c>
      <c r="O1247" s="64" t="s">
        <v>6061</v>
      </c>
      <c r="P1247" s="147" t="s">
        <v>4672</v>
      </c>
      <c r="Q1247" s="149"/>
      <c r="R1247" s="141"/>
      <c r="S1247" s="141"/>
      <c r="T1247" s="141">
        <v>2549000.0</v>
      </c>
      <c r="U1247" s="149"/>
      <c r="V1247" s="149"/>
      <c r="W1247" s="149"/>
      <c r="X1247" s="64" t="s">
        <v>3810</v>
      </c>
      <c r="Y1247" s="64" t="s">
        <v>4515</v>
      </c>
      <c r="Z1247" s="68"/>
    </row>
    <row r="1248" ht="15.0" customHeight="1">
      <c r="A1248" s="333">
        <v>45971.0</v>
      </c>
      <c r="B1248" s="201" t="s">
        <v>6062</v>
      </c>
      <c r="C1248" s="45" t="s">
        <v>2869</v>
      </c>
      <c r="D1248" s="140" t="str">
        <f>IFERROR(VLOOKUP(C1248,Stock,3,FALSE),"")</f>
        <v>Daihatsu Gran Max / Luxio 07-</v>
      </c>
      <c r="E1248" s="45">
        <v>1.0</v>
      </c>
      <c r="F1248" s="198">
        <v>1000000.0</v>
      </c>
      <c r="G1248" s="142">
        <f t="shared" si="40"/>
        <v>1000000</v>
      </c>
      <c r="H1248" s="142"/>
      <c r="I1248" s="143">
        <f t="shared" si="38"/>
        <v>1000000</v>
      </c>
      <c r="J1248" s="144">
        <f t="shared" si="39"/>
        <v>1000000</v>
      </c>
      <c r="K1248" s="108" t="s">
        <v>6063</v>
      </c>
      <c r="L1248" s="199" t="s">
        <v>6064</v>
      </c>
      <c r="M1248" s="17"/>
      <c r="N1248" s="64" t="s">
        <v>6065</v>
      </c>
      <c r="O1248" s="64" t="s">
        <v>2813</v>
      </c>
      <c r="P1248" s="147" t="s">
        <v>4672</v>
      </c>
      <c r="Q1248" s="141">
        <v>1000000.0</v>
      </c>
      <c r="R1248" s="149"/>
      <c r="S1248" s="149"/>
      <c r="T1248" s="149"/>
      <c r="U1248" s="149"/>
      <c r="V1248" s="149"/>
      <c r="W1248" s="149"/>
      <c r="X1248" s="64" t="s">
        <v>3810</v>
      </c>
      <c r="Y1248" s="64" t="s">
        <v>4515</v>
      </c>
      <c r="Z1248" s="68"/>
    </row>
    <row r="1249" ht="15.0" customHeight="1">
      <c r="A1249" s="333">
        <v>45971.0</v>
      </c>
      <c r="B1249" s="201" t="s">
        <v>6066</v>
      </c>
      <c r="C1249" s="45" t="s">
        <v>3225</v>
      </c>
      <c r="D1249" s="140" t="str">
        <f>IFERROR(VLOOKUP(C1249,Stock,3,FALSE),"")</f>
        <v>Toyota Rush / Terios 18-</v>
      </c>
      <c r="E1249" s="45">
        <v>1.0</v>
      </c>
      <c r="F1249" s="198">
        <v>1200000.0</v>
      </c>
      <c r="G1249" s="142">
        <f t="shared" si="40"/>
        <v>1200000</v>
      </c>
      <c r="H1249" s="142"/>
      <c r="I1249" s="143">
        <f t="shared" si="38"/>
        <v>1200000</v>
      </c>
      <c r="J1249" s="144">
        <f t="shared" si="39"/>
        <v>1200000</v>
      </c>
      <c r="K1249" s="145" t="s">
        <v>6067</v>
      </c>
      <c r="L1249" s="199" t="s">
        <v>6068</v>
      </c>
      <c r="M1249" s="17"/>
      <c r="N1249" s="64" t="s">
        <v>6069</v>
      </c>
      <c r="O1249" s="64" t="s">
        <v>2813</v>
      </c>
      <c r="P1249" s="147" t="s">
        <v>4672</v>
      </c>
      <c r="Q1249" s="141"/>
      <c r="R1249" s="141"/>
      <c r="S1249" s="141"/>
      <c r="T1249" s="141">
        <v>50000.0</v>
      </c>
      <c r="U1249" s="149"/>
      <c r="V1249" s="149"/>
      <c r="W1249" s="149"/>
      <c r="X1249" s="64" t="s">
        <v>3810</v>
      </c>
      <c r="Y1249" s="64" t="s">
        <v>4515</v>
      </c>
      <c r="Z1249" s="68"/>
    </row>
    <row r="1250" ht="15.0" customHeight="1">
      <c r="A1250" s="333">
        <v>45971.0</v>
      </c>
      <c r="B1250" s="201" t="s">
        <v>6066</v>
      </c>
      <c r="C1250" s="45" t="s">
        <v>2962</v>
      </c>
      <c r="D1250" s="140" t="str">
        <f>IFERROR(VLOOKUP(C1250,Stock,3,FALSE),"")</f>
        <v>Lembur</v>
      </c>
      <c r="E1250" s="45">
        <v>1.0</v>
      </c>
      <c r="F1250" s="198">
        <v>125000.0</v>
      </c>
      <c r="G1250" s="142">
        <f t="shared" si="40"/>
        <v>125000</v>
      </c>
      <c r="H1250" s="142"/>
      <c r="I1250" s="143">
        <f t="shared" si="38"/>
        <v>125000</v>
      </c>
      <c r="J1250" s="144">
        <f t="shared" si="39"/>
        <v>125000</v>
      </c>
      <c r="K1250" s="145" t="s">
        <v>6067</v>
      </c>
      <c r="L1250" s="199" t="s">
        <v>6068</v>
      </c>
      <c r="M1250" s="17"/>
      <c r="N1250" s="64" t="s">
        <v>6069</v>
      </c>
      <c r="O1250" s="64" t="s">
        <v>2813</v>
      </c>
      <c r="P1250" s="147" t="s">
        <v>4672</v>
      </c>
      <c r="Q1250" s="141">
        <v>1275000.0</v>
      </c>
      <c r="R1250" s="149"/>
      <c r="S1250" s="149"/>
      <c r="T1250" s="149"/>
      <c r="U1250" s="149"/>
      <c r="V1250" s="149"/>
      <c r="W1250" s="149"/>
      <c r="X1250" s="64" t="s">
        <v>3810</v>
      </c>
      <c r="Y1250" s="64" t="s">
        <v>4515</v>
      </c>
      <c r="Z1250" s="68"/>
    </row>
    <row r="1251" ht="15.0" customHeight="1">
      <c r="A1251" s="333">
        <v>45972.0</v>
      </c>
      <c r="B1251" s="201" t="s">
        <v>6070</v>
      </c>
      <c r="C1251" s="45" t="s">
        <v>2962</v>
      </c>
      <c r="D1251" s="140" t="str">
        <f>IFERROR(VLOOKUP(C1251,Stock,3,FALSE),"")</f>
        <v>Lembur</v>
      </c>
      <c r="E1251" s="45">
        <v>1.0</v>
      </c>
      <c r="F1251" s="198">
        <v>1350000.0</v>
      </c>
      <c r="G1251" s="142">
        <f t="shared" si="40"/>
        <v>1350000</v>
      </c>
      <c r="H1251" s="142"/>
      <c r="I1251" s="143">
        <f t="shared" si="38"/>
        <v>1350000</v>
      </c>
      <c r="J1251" s="144">
        <f t="shared" si="39"/>
        <v>1350000</v>
      </c>
      <c r="K1251" s="108" t="s">
        <v>6071</v>
      </c>
      <c r="L1251" s="199" t="s">
        <v>6072</v>
      </c>
      <c r="M1251" s="17"/>
      <c r="N1251" s="64" t="s">
        <v>6073</v>
      </c>
      <c r="O1251" s="64" t="s">
        <v>5717</v>
      </c>
      <c r="P1251" s="147" t="s">
        <v>4672</v>
      </c>
      <c r="Q1251" s="149"/>
      <c r="R1251" s="141"/>
      <c r="S1251" s="141"/>
      <c r="T1251" s="141">
        <v>50000.0</v>
      </c>
      <c r="U1251" s="149"/>
      <c r="V1251" s="149"/>
      <c r="W1251" s="149"/>
      <c r="X1251" s="64" t="s">
        <v>3810</v>
      </c>
      <c r="Y1251" s="64" t="s">
        <v>4515</v>
      </c>
      <c r="Z1251" s="68"/>
    </row>
    <row r="1252" ht="15.0" customHeight="1">
      <c r="A1252" s="333">
        <v>45972.0</v>
      </c>
      <c r="B1252" s="201" t="s">
        <v>6070</v>
      </c>
      <c r="C1252" s="45" t="s">
        <v>2770</v>
      </c>
      <c r="D1252" s="140" t="str">
        <f>IFERROR(VLOOKUP(C1252,Stock,3,FALSE),"")</f>
        <v>Transport</v>
      </c>
      <c r="E1252" s="45">
        <v>1.0</v>
      </c>
      <c r="F1252" s="198">
        <v>300000.0</v>
      </c>
      <c r="G1252" s="142">
        <f t="shared" si="40"/>
        <v>300000</v>
      </c>
      <c r="H1252" s="142"/>
      <c r="I1252" s="143">
        <f t="shared" si="38"/>
        <v>300000</v>
      </c>
      <c r="J1252" s="144">
        <f t="shared" si="39"/>
        <v>300000</v>
      </c>
      <c r="K1252" s="108" t="s">
        <v>6071</v>
      </c>
      <c r="L1252" s="199" t="s">
        <v>6072</v>
      </c>
      <c r="M1252" s="17"/>
      <c r="N1252" s="64" t="s">
        <v>6073</v>
      </c>
      <c r="O1252" s="64" t="s">
        <v>5717</v>
      </c>
      <c r="P1252" s="147" t="s">
        <v>4672</v>
      </c>
      <c r="Q1252" s="149"/>
      <c r="R1252" s="141"/>
      <c r="S1252" s="141"/>
      <c r="T1252" s="141">
        <v>1500000.0</v>
      </c>
      <c r="U1252" s="149"/>
      <c r="V1252" s="149"/>
      <c r="W1252" s="149"/>
      <c r="X1252" s="64" t="s">
        <v>3810</v>
      </c>
      <c r="Y1252" s="64" t="s">
        <v>4515</v>
      </c>
      <c r="Z1252" s="68"/>
    </row>
    <row r="1253" ht="15.0" customHeight="1">
      <c r="A1253" s="333">
        <v>45972.0</v>
      </c>
      <c r="B1253" s="201" t="s">
        <v>6074</v>
      </c>
      <c r="C1253" s="45" t="s">
        <v>3246</v>
      </c>
      <c r="D1253" s="140" t="str">
        <f>IFERROR(VLOOKUP(C1253,Stock,3,FALSE),"")</f>
        <v>Toyota Calya / Sigra 16-</v>
      </c>
      <c r="E1253" s="45">
        <v>1.0</v>
      </c>
      <c r="F1253" s="198">
        <v>1169000.0</v>
      </c>
      <c r="G1253" s="142">
        <f t="shared" si="40"/>
        <v>1169000</v>
      </c>
      <c r="H1253" s="142"/>
      <c r="I1253" s="143">
        <f t="shared" si="38"/>
        <v>1169000</v>
      </c>
      <c r="J1253" s="144">
        <f t="shared" si="39"/>
        <v>1169000</v>
      </c>
      <c r="K1253" s="108" t="s">
        <v>6075</v>
      </c>
      <c r="L1253" s="199" t="s">
        <v>6076</v>
      </c>
      <c r="M1253" s="17"/>
      <c r="N1253" s="64" t="s">
        <v>6077</v>
      </c>
      <c r="O1253" s="64" t="s">
        <v>2813</v>
      </c>
      <c r="P1253" s="147" t="s">
        <v>4672</v>
      </c>
      <c r="Q1253" s="149"/>
      <c r="R1253" s="141"/>
      <c r="S1253" s="141"/>
      <c r="T1253" s="141">
        <v>50000.0</v>
      </c>
      <c r="U1253" s="149"/>
      <c r="V1253" s="149"/>
      <c r="W1253" s="149"/>
      <c r="X1253" s="64" t="s">
        <v>3810</v>
      </c>
      <c r="Y1253" s="64" t="s">
        <v>4515</v>
      </c>
      <c r="Z1253" s="68"/>
    </row>
    <row r="1254" ht="15.0" customHeight="1">
      <c r="A1254" s="333">
        <v>45972.0</v>
      </c>
      <c r="B1254" s="201" t="s">
        <v>6074</v>
      </c>
      <c r="C1254" s="45" t="s">
        <v>6078</v>
      </c>
      <c r="D1254" s="140" t="str">
        <f>IFERROR(VLOOKUP(C1254,Stock,3,FALSE),"")</f>
        <v>Toyota Calya / Sigra 16-</v>
      </c>
      <c r="E1254" s="45">
        <v>1.0</v>
      </c>
      <c r="F1254" s="198">
        <v>400000.0</v>
      </c>
      <c r="G1254" s="142">
        <f t="shared" si="40"/>
        <v>400000</v>
      </c>
      <c r="H1254" s="142"/>
      <c r="I1254" s="143">
        <f t="shared" si="38"/>
        <v>400000</v>
      </c>
      <c r="J1254" s="144">
        <f t="shared" si="39"/>
        <v>400000</v>
      </c>
      <c r="K1254" s="108" t="s">
        <v>6075</v>
      </c>
      <c r="L1254" s="199" t="s">
        <v>6076</v>
      </c>
      <c r="M1254" s="17"/>
      <c r="N1254" s="64" t="s">
        <v>6077</v>
      </c>
      <c r="O1254" s="64" t="s">
        <v>2813</v>
      </c>
      <c r="P1254" s="147" t="s">
        <v>4672</v>
      </c>
      <c r="Q1254" s="149"/>
      <c r="R1254" s="141"/>
      <c r="S1254" s="141"/>
      <c r="T1254" s="141">
        <v>2050000.0</v>
      </c>
      <c r="U1254" s="149"/>
      <c r="V1254" s="149"/>
      <c r="W1254" s="149"/>
      <c r="X1254" s="64" t="s">
        <v>3810</v>
      </c>
      <c r="Y1254" s="64" t="s">
        <v>4515</v>
      </c>
      <c r="Z1254" s="68"/>
    </row>
    <row r="1255" ht="15.0" customHeight="1">
      <c r="A1255" s="333">
        <v>45972.0</v>
      </c>
      <c r="B1255" s="201" t="s">
        <v>6074</v>
      </c>
      <c r="C1255" s="45" t="s">
        <v>6079</v>
      </c>
      <c r="D1255" s="140" t="str">
        <f>IFERROR(VLOOKUP(C1255,Stock,3,FALSE),"")</f>
        <v>Toyota Calya / Sigra 16-</v>
      </c>
      <c r="E1255" s="45">
        <v>1.0</v>
      </c>
      <c r="F1255" s="198">
        <v>400000.0</v>
      </c>
      <c r="G1255" s="142">
        <f t="shared" si="40"/>
        <v>400000</v>
      </c>
      <c r="H1255" s="142"/>
      <c r="I1255" s="143">
        <f t="shared" si="38"/>
        <v>400000</v>
      </c>
      <c r="J1255" s="144">
        <f t="shared" si="39"/>
        <v>400000</v>
      </c>
      <c r="K1255" s="108" t="s">
        <v>6075</v>
      </c>
      <c r="L1255" s="199" t="s">
        <v>6076</v>
      </c>
      <c r="M1255" s="17"/>
      <c r="N1255" s="64" t="s">
        <v>6077</v>
      </c>
      <c r="O1255" s="64" t="s">
        <v>2813</v>
      </c>
      <c r="P1255" s="147" t="s">
        <v>4672</v>
      </c>
      <c r="Q1255" s="149"/>
      <c r="R1255" s="149"/>
      <c r="S1255" s="149"/>
      <c r="T1255" s="149"/>
      <c r="U1255" s="149"/>
      <c r="V1255" s="149"/>
      <c r="W1255" s="149"/>
      <c r="X1255" s="64" t="s">
        <v>3810</v>
      </c>
      <c r="Y1255" s="64" t="s">
        <v>4515</v>
      </c>
      <c r="Z1255" s="68"/>
    </row>
    <row r="1256" ht="15.0" customHeight="1">
      <c r="A1256" s="333">
        <v>45972.0</v>
      </c>
      <c r="B1256" s="201" t="s">
        <v>6074</v>
      </c>
      <c r="C1256" s="45" t="s">
        <v>2770</v>
      </c>
      <c r="D1256" s="140" t="str">
        <f>IFERROR(VLOOKUP(C1256,Stock,3,FALSE),"")</f>
        <v>Transport</v>
      </c>
      <c r="E1256" s="45">
        <v>1.0</v>
      </c>
      <c r="F1256" s="198">
        <v>190000.0</v>
      </c>
      <c r="G1256" s="142">
        <f t="shared" si="40"/>
        <v>190000</v>
      </c>
      <c r="H1256" s="143">
        <v>59000.0</v>
      </c>
      <c r="I1256" s="143">
        <f t="shared" si="38"/>
        <v>131000</v>
      </c>
      <c r="J1256" s="144">
        <f t="shared" si="39"/>
        <v>131000</v>
      </c>
      <c r="K1256" s="108" t="s">
        <v>6075</v>
      </c>
      <c r="L1256" s="199" t="s">
        <v>6076</v>
      </c>
      <c r="M1256" s="17"/>
      <c r="N1256" s="64" t="s">
        <v>6077</v>
      </c>
      <c r="O1256" s="64" t="s">
        <v>2813</v>
      </c>
      <c r="P1256" s="147" t="s">
        <v>4672</v>
      </c>
      <c r="Q1256" s="149"/>
      <c r="R1256" s="149"/>
      <c r="S1256" s="149"/>
      <c r="T1256" s="149"/>
      <c r="U1256" s="149"/>
      <c r="V1256" s="149"/>
      <c r="W1256" s="149"/>
      <c r="X1256" s="64" t="s">
        <v>3810</v>
      </c>
      <c r="Y1256" s="64" t="s">
        <v>4515</v>
      </c>
      <c r="Z1256" s="68"/>
    </row>
    <row r="1257" ht="15.0" customHeight="1">
      <c r="A1257" s="333">
        <v>45972.0</v>
      </c>
      <c r="B1257" s="201" t="s">
        <v>6080</v>
      </c>
      <c r="C1257" s="45" t="s">
        <v>2830</v>
      </c>
      <c r="D1257" s="289" t="s">
        <v>6081</v>
      </c>
      <c r="E1257" s="45">
        <v>1.0</v>
      </c>
      <c r="F1257" s="198">
        <v>200000.0</v>
      </c>
      <c r="G1257" s="142">
        <f t="shared" si="40"/>
        <v>200000</v>
      </c>
      <c r="H1257" s="142"/>
      <c r="I1257" s="143">
        <f t="shared" si="38"/>
        <v>200000</v>
      </c>
      <c r="J1257" s="144">
        <f t="shared" si="39"/>
        <v>200000</v>
      </c>
      <c r="K1257" s="108" t="s">
        <v>6082</v>
      </c>
      <c r="L1257" s="199" t="s">
        <v>6083</v>
      </c>
      <c r="M1257" s="17"/>
      <c r="N1257" s="64" t="s">
        <v>6084</v>
      </c>
      <c r="O1257" s="64" t="s">
        <v>6085</v>
      </c>
      <c r="P1257" s="147" t="s">
        <v>4672</v>
      </c>
      <c r="Q1257" s="149"/>
      <c r="R1257" s="141"/>
      <c r="S1257" s="141"/>
      <c r="T1257" s="141">
        <v>200000.0</v>
      </c>
      <c r="U1257" s="149"/>
      <c r="V1257" s="149"/>
      <c r="W1257" s="149"/>
      <c r="X1257" s="64" t="s">
        <v>3810</v>
      </c>
      <c r="Y1257" s="64" t="s">
        <v>4515</v>
      </c>
      <c r="Z1257" s="68"/>
    </row>
    <row r="1258" ht="15.0" customHeight="1">
      <c r="A1258" s="333">
        <v>45973.0</v>
      </c>
      <c r="B1258" s="201" t="s">
        <v>6086</v>
      </c>
      <c r="C1258" s="45" t="s">
        <v>2756</v>
      </c>
      <c r="D1258" s="140" t="str">
        <f>IFERROR(VLOOKUP(C1258,Stock,3,FALSE),"")</f>
        <v>Wuling Almaz (Sensor)</v>
      </c>
      <c r="E1258" s="45">
        <v>1.0</v>
      </c>
      <c r="F1258" s="202"/>
      <c r="G1258" s="142">
        <f t="shared" si="40"/>
        <v>0</v>
      </c>
      <c r="H1258" s="142"/>
      <c r="I1258" s="143">
        <f t="shared" si="38"/>
        <v>0</v>
      </c>
      <c r="J1258" s="144">
        <f t="shared" si="39"/>
        <v>0</v>
      </c>
      <c r="K1258" s="108" t="s">
        <v>4509</v>
      </c>
      <c r="L1258" s="17"/>
      <c r="M1258" s="17"/>
      <c r="N1258" s="68"/>
      <c r="O1258" s="64" t="s">
        <v>4175</v>
      </c>
      <c r="P1258" s="170"/>
      <c r="Q1258" s="149"/>
      <c r="R1258" s="149"/>
      <c r="S1258" s="149"/>
      <c r="T1258" s="149"/>
      <c r="U1258" s="149"/>
      <c r="V1258" s="149"/>
      <c r="W1258" s="149"/>
      <c r="X1258" s="64" t="s">
        <v>3810</v>
      </c>
      <c r="Y1258" s="64" t="s">
        <v>4515</v>
      </c>
      <c r="Z1258" s="68"/>
    </row>
    <row r="1259" ht="15.0" customHeight="1">
      <c r="A1259" s="333">
        <v>45973.0</v>
      </c>
      <c r="B1259" s="201" t="s">
        <v>6086</v>
      </c>
      <c r="C1259" s="45" t="s">
        <v>5853</v>
      </c>
      <c r="D1259" s="140" t="str">
        <f>IFERROR(VLOOKUP(C1259,Stock,3,FALSE),"")</f>
        <v>Wuling Cortez</v>
      </c>
      <c r="E1259" s="45">
        <v>1.0</v>
      </c>
      <c r="F1259" s="202"/>
      <c r="G1259" s="142">
        <f t="shared" si="40"/>
        <v>0</v>
      </c>
      <c r="H1259" s="142"/>
      <c r="I1259" s="143">
        <f t="shared" si="38"/>
        <v>0</v>
      </c>
      <c r="J1259" s="144">
        <f t="shared" si="39"/>
        <v>0</v>
      </c>
      <c r="K1259" s="108" t="s">
        <v>4509</v>
      </c>
      <c r="L1259" s="17"/>
      <c r="M1259" s="17"/>
      <c r="N1259" s="68"/>
      <c r="O1259" s="64" t="s">
        <v>4175</v>
      </c>
      <c r="P1259" s="170"/>
      <c r="Q1259" s="149"/>
      <c r="R1259" s="149"/>
      <c r="S1259" s="149"/>
      <c r="T1259" s="149"/>
      <c r="U1259" s="149"/>
      <c r="V1259" s="149"/>
      <c r="W1259" s="149"/>
      <c r="X1259" s="64" t="s">
        <v>3810</v>
      </c>
      <c r="Y1259" s="64" t="s">
        <v>4515</v>
      </c>
      <c r="Z1259" s="68"/>
    </row>
    <row r="1260" ht="15.0" customHeight="1">
      <c r="A1260" s="333">
        <v>45973.0</v>
      </c>
      <c r="B1260" s="201" t="s">
        <v>6086</v>
      </c>
      <c r="C1260" s="45" t="s">
        <v>2952</v>
      </c>
      <c r="D1260" s="140" t="str">
        <f>IFERROR(VLOOKUP(C1260,Stock,3,FALSE),"")</f>
        <v/>
      </c>
      <c r="E1260" s="45">
        <v>1.0</v>
      </c>
      <c r="F1260" s="202"/>
      <c r="G1260" s="142">
        <f t="shared" si="40"/>
        <v>0</v>
      </c>
      <c r="H1260" s="142"/>
      <c r="I1260" s="143">
        <f t="shared" si="38"/>
        <v>0</v>
      </c>
      <c r="J1260" s="144">
        <f t="shared" si="39"/>
        <v>0</v>
      </c>
      <c r="K1260" s="108" t="s">
        <v>4509</v>
      </c>
      <c r="L1260" s="17"/>
      <c r="M1260" s="17"/>
      <c r="N1260" s="68"/>
      <c r="O1260" s="64" t="s">
        <v>4175</v>
      </c>
      <c r="P1260" s="170"/>
      <c r="Q1260" s="149"/>
      <c r="R1260" s="149"/>
      <c r="S1260" s="149"/>
      <c r="T1260" s="149"/>
      <c r="U1260" s="149"/>
      <c r="V1260" s="149"/>
      <c r="W1260" s="149"/>
      <c r="X1260" s="64" t="s">
        <v>3810</v>
      </c>
      <c r="Y1260" s="64" t="s">
        <v>4515</v>
      </c>
      <c r="Z1260" s="68"/>
    </row>
    <row r="1261" ht="15.0" customHeight="1">
      <c r="A1261" s="333">
        <v>45973.0</v>
      </c>
      <c r="B1261" s="201" t="s">
        <v>6087</v>
      </c>
      <c r="C1261" s="45" t="s">
        <v>4144</v>
      </c>
      <c r="D1261" s="140" t="str">
        <f>IFERROR(VLOOKUP(C1261,Stock,3,FALSE),"")</f>
        <v>Toyota Rush / Terios 06-17</v>
      </c>
      <c r="E1261" s="45">
        <v>1.0</v>
      </c>
      <c r="F1261" s="198">
        <v>1300000.0</v>
      </c>
      <c r="G1261" s="142">
        <f t="shared" si="40"/>
        <v>1300000</v>
      </c>
      <c r="H1261" s="142"/>
      <c r="I1261" s="143">
        <f t="shared" si="38"/>
        <v>1300000</v>
      </c>
      <c r="J1261" s="144">
        <f t="shared" si="39"/>
        <v>1300000</v>
      </c>
      <c r="K1261" s="108" t="s">
        <v>6088</v>
      </c>
      <c r="L1261" s="199" t="s">
        <v>6089</v>
      </c>
      <c r="M1261" s="17"/>
      <c r="N1261" s="64" t="s">
        <v>6090</v>
      </c>
      <c r="O1261" s="64" t="s">
        <v>3033</v>
      </c>
      <c r="P1261" s="147" t="s">
        <v>4672</v>
      </c>
      <c r="Q1261" s="149"/>
      <c r="R1261" s="141"/>
      <c r="S1261" s="141"/>
      <c r="T1261" s="141">
        <v>1300000.0</v>
      </c>
      <c r="U1261" s="149"/>
      <c r="V1261" s="149"/>
      <c r="W1261" s="149"/>
      <c r="X1261" s="64" t="s">
        <v>3810</v>
      </c>
      <c r="Y1261" s="64" t="s">
        <v>4515</v>
      </c>
      <c r="Z1261" s="68"/>
    </row>
    <row r="1262" ht="15.0" customHeight="1">
      <c r="A1262" s="333">
        <v>45973.0</v>
      </c>
      <c r="B1262" s="201" t="s">
        <v>6091</v>
      </c>
      <c r="C1262" s="45" t="s">
        <v>3354</v>
      </c>
      <c r="D1262" s="140" t="str">
        <f>IFERROR(VLOOKUP(C1262,Stock,3,FALSE),"")</f>
        <v>Honda Brio 10- / Mobilio 11- (Honda)</v>
      </c>
      <c r="E1262" s="45">
        <v>1.0</v>
      </c>
      <c r="F1262" s="198">
        <v>1772000.0</v>
      </c>
      <c r="G1262" s="142">
        <f t="shared" si="40"/>
        <v>1772000</v>
      </c>
      <c r="H1262" s="142"/>
      <c r="I1262" s="143">
        <f t="shared" si="38"/>
        <v>1772000</v>
      </c>
      <c r="J1262" s="144">
        <f t="shared" si="39"/>
        <v>1772000</v>
      </c>
      <c r="K1262" s="108" t="s">
        <v>3825</v>
      </c>
      <c r="L1262" s="199" t="s">
        <v>6092</v>
      </c>
      <c r="M1262" s="17"/>
      <c r="N1262" s="64" t="s">
        <v>6093</v>
      </c>
      <c r="O1262" s="64" t="s">
        <v>2760</v>
      </c>
      <c r="P1262" s="147" t="s">
        <v>4672</v>
      </c>
      <c r="Q1262" s="149"/>
      <c r="R1262" s="141"/>
      <c r="S1262" s="141"/>
      <c r="T1262" s="141">
        <v>50000.0</v>
      </c>
      <c r="U1262" s="149"/>
      <c r="V1262" s="149"/>
      <c r="W1262" s="149"/>
      <c r="X1262" s="64" t="s">
        <v>3810</v>
      </c>
      <c r="Y1262" s="64" t="s">
        <v>4515</v>
      </c>
      <c r="Z1262" s="68"/>
    </row>
    <row r="1263" ht="15.0" customHeight="1">
      <c r="A1263" s="333">
        <v>45973.0</v>
      </c>
      <c r="B1263" s="201" t="s">
        <v>6091</v>
      </c>
      <c r="C1263" s="45" t="s">
        <v>2770</v>
      </c>
      <c r="D1263" s="140" t="str">
        <f>IFERROR(VLOOKUP(C1263,Stock,3,FALSE),"")</f>
        <v>Transport</v>
      </c>
      <c r="E1263" s="45">
        <v>1.0</v>
      </c>
      <c r="F1263" s="198">
        <v>78000.0</v>
      </c>
      <c r="G1263" s="142">
        <f t="shared" si="40"/>
        <v>78000</v>
      </c>
      <c r="H1263" s="142"/>
      <c r="I1263" s="143">
        <f t="shared" si="38"/>
        <v>78000</v>
      </c>
      <c r="J1263" s="144">
        <f t="shared" si="39"/>
        <v>78000</v>
      </c>
      <c r="K1263" s="108" t="s">
        <v>3825</v>
      </c>
      <c r="L1263" s="199" t="s">
        <v>6092</v>
      </c>
      <c r="M1263" s="17"/>
      <c r="N1263" s="64" t="s">
        <v>6093</v>
      </c>
      <c r="O1263" s="64" t="s">
        <v>2760</v>
      </c>
      <c r="P1263" s="147" t="s">
        <v>4672</v>
      </c>
      <c r="Q1263" s="149"/>
      <c r="R1263" s="141"/>
      <c r="S1263" s="141"/>
      <c r="T1263" s="141">
        <v>1800000.0</v>
      </c>
      <c r="U1263" s="149"/>
      <c r="V1263" s="149"/>
      <c r="W1263" s="149"/>
      <c r="X1263" s="64" t="s">
        <v>3810</v>
      </c>
      <c r="Y1263" s="64" t="s">
        <v>4515</v>
      </c>
      <c r="Z1263" s="68"/>
    </row>
    <row r="1264" ht="15.0" customHeight="1">
      <c r="A1264" s="333">
        <v>45973.0</v>
      </c>
      <c r="B1264" s="201" t="s">
        <v>6094</v>
      </c>
      <c r="C1264" s="45" t="s">
        <v>6095</v>
      </c>
      <c r="D1264" s="140" t="str">
        <f>IFERROR(VLOOKUP(C1264,Stock,3,FALSE),"")</f>
        <v>BMW 3 Series 12-18 F30/F35</v>
      </c>
      <c r="E1264" s="45">
        <v>1.0</v>
      </c>
      <c r="F1264" s="198">
        <v>2735000.0</v>
      </c>
      <c r="G1264" s="142">
        <f t="shared" si="40"/>
        <v>2735000</v>
      </c>
      <c r="H1264" s="142"/>
      <c r="I1264" s="143">
        <f t="shared" si="38"/>
        <v>2735000</v>
      </c>
      <c r="J1264" s="144">
        <f t="shared" si="39"/>
        <v>2735000</v>
      </c>
      <c r="K1264" s="108" t="s">
        <v>6096</v>
      </c>
      <c r="L1264" s="199" t="s">
        <v>6097</v>
      </c>
      <c r="M1264" s="17"/>
      <c r="N1264" s="64" t="s">
        <v>6098</v>
      </c>
      <c r="O1264" s="64" t="s">
        <v>6099</v>
      </c>
      <c r="P1264" s="147" t="s">
        <v>4672</v>
      </c>
      <c r="Q1264" s="149"/>
      <c r="R1264" s="141"/>
      <c r="S1264" s="141"/>
      <c r="T1264" s="141">
        <v>50000.0</v>
      </c>
      <c r="U1264" s="149"/>
      <c r="V1264" s="149"/>
      <c r="W1264" s="149"/>
      <c r="X1264" s="64" t="s">
        <v>3810</v>
      </c>
      <c r="Y1264" s="64" t="s">
        <v>4515</v>
      </c>
      <c r="Z1264" s="68"/>
    </row>
    <row r="1265" ht="15.0" customHeight="1">
      <c r="A1265" s="333">
        <v>45973.0</v>
      </c>
      <c r="B1265" s="201" t="s">
        <v>6094</v>
      </c>
      <c r="C1265" s="45" t="s">
        <v>2770</v>
      </c>
      <c r="D1265" s="140" t="str">
        <f>IFERROR(VLOOKUP(C1265,Stock,3,FALSE),"")</f>
        <v>Transport</v>
      </c>
      <c r="E1265" s="45">
        <v>1.0</v>
      </c>
      <c r="F1265" s="198">
        <v>100000.0</v>
      </c>
      <c r="G1265" s="142">
        <f t="shared" si="40"/>
        <v>100000</v>
      </c>
      <c r="H1265" s="142"/>
      <c r="I1265" s="143">
        <f t="shared" si="38"/>
        <v>100000</v>
      </c>
      <c r="J1265" s="144">
        <f t="shared" si="39"/>
        <v>100000</v>
      </c>
      <c r="K1265" s="108" t="s">
        <v>6096</v>
      </c>
      <c r="L1265" s="199" t="s">
        <v>6097</v>
      </c>
      <c r="M1265" s="17"/>
      <c r="N1265" s="64" t="s">
        <v>6098</v>
      </c>
      <c r="O1265" s="64" t="s">
        <v>6099</v>
      </c>
      <c r="P1265" s="147" t="s">
        <v>4672</v>
      </c>
      <c r="Q1265" s="149"/>
      <c r="R1265" s="141"/>
      <c r="S1265" s="141"/>
      <c r="T1265" s="141">
        <v>2785000.0</v>
      </c>
      <c r="U1265" s="149"/>
      <c r="V1265" s="149"/>
      <c r="W1265" s="149"/>
      <c r="X1265" s="64" t="s">
        <v>3810</v>
      </c>
      <c r="Y1265" s="64" t="s">
        <v>4515</v>
      </c>
      <c r="Z1265" s="68"/>
    </row>
    <row r="1266" ht="15.0" customHeight="1">
      <c r="A1266" s="333">
        <v>45973.0</v>
      </c>
      <c r="B1266" s="201" t="s">
        <v>6100</v>
      </c>
      <c r="C1266" s="45" t="s">
        <v>2869</v>
      </c>
      <c r="D1266" s="140" t="str">
        <f>IFERROR(VLOOKUP(C1266,Stock,3,FALSE),"")</f>
        <v>Daihatsu Gran Max / Luxio 07-</v>
      </c>
      <c r="E1266" s="45">
        <v>1.0</v>
      </c>
      <c r="F1266" s="198">
        <v>1000000.0</v>
      </c>
      <c r="G1266" s="142">
        <f t="shared" si="40"/>
        <v>1000000</v>
      </c>
      <c r="H1266" s="142"/>
      <c r="I1266" s="143">
        <f t="shared" si="38"/>
        <v>1000000</v>
      </c>
      <c r="J1266" s="144">
        <f t="shared" si="39"/>
        <v>1000000</v>
      </c>
      <c r="K1266" s="108" t="s">
        <v>4885</v>
      </c>
      <c r="L1266" s="199" t="s">
        <v>6101</v>
      </c>
      <c r="M1266" s="17"/>
      <c r="N1266" s="64" t="s">
        <v>6102</v>
      </c>
      <c r="O1266" s="64" t="s">
        <v>2813</v>
      </c>
      <c r="P1266" s="147" t="s">
        <v>4672</v>
      </c>
      <c r="Q1266" s="141">
        <v>1000000.0</v>
      </c>
      <c r="R1266" s="149"/>
      <c r="S1266" s="149"/>
      <c r="T1266" s="149"/>
      <c r="U1266" s="149"/>
      <c r="V1266" s="149"/>
      <c r="W1266" s="149"/>
      <c r="X1266" s="64" t="s">
        <v>3810</v>
      </c>
      <c r="Y1266" s="64" t="s">
        <v>4515</v>
      </c>
      <c r="Z1266" s="68"/>
    </row>
    <row r="1267" ht="15.0" customHeight="1">
      <c r="A1267" s="333">
        <v>45973.0</v>
      </c>
      <c r="B1267" s="201" t="s">
        <v>6103</v>
      </c>
      <c r="C1267" s="45" t="s">
        <v>3354</v>
      </c>
      <c r="D1267" s="140" t="str">
        <f>IFERROR(VLOOKUP(C1267,Stock,3,FALSE),"")</f>
        <v>Honda Brio 10- / Mobilio 11- (Honda)</v>
      </c>
      <c r="E1267" s="45">
        <v>1.0</v>
      </c>
      <c r="F1267" s="198">
        <v>1772000.0</v>
      </c>
      <c r="G1267" s="142">
        <f t="shared" si="40"/>
        <v>1772000</v>
      </c>
      <c r="H1267" s="142"/>
      <c r="I1267" s="143">
        <f t="shared" si="38"/>
        <v>1772000</v>
      </c>
      <c r="J1267" s="144">
        <f t="shared" si="39"/>
        <v>1772000</v>
      </c>
      <c r="K1267" s="108" t="s">
        <v>4241</v>
      </c>
      <c r="L1267" s="199" t="s">
        <v>6104</v>
      </c>
      <c r="M1267" s="17"/>
      <c r="N1267" s="64" t="s">
        <v>6105</v>
      </c>
      <c r="O1267" s="64" t="s">
        <v>2942</v>
      </c>
      <c r="P1267" s="147" t="s">
        <v>4672</v>
      </c>
      <c r="Q1267" s="149"/>
      <c r="R1267" s="141"/>
      <c r="S1267" s="141"/>
      <c r="T1267" s="141">
        <v>50000.0</v>
      </c>
      <c r="U1267" s="149"/>
      <c r="V1267" s="149"/>
      <c r="W1267" s="149"/>
      <c r="X1267" s="64" t="s">
        <v>3810</v>
      </c>
      <c r="Y1267" s="64" t="s">
        <v>4515</v>
      </c>
      <c r="Z1267" s="68"/>
    </row>
    <row r="1268" ht="15.0" customHeight="1">
      <c r="A1268" s="333">
        <v>45973.0</v>
      </c>
      <c r="B1268" s="201" t="s">
        <v>6103</v>
      </c>
      <c r="C1268" s="45" t="s">
        <v>2770</v>
      </c>
      <c r="D1268" s="140" t="str">
        <f>IFERROR(VLOOKUP(C1268,Stock,3,FALSE),"")</f>
        <v>Transport</v>
      </c>
      <c r="E1268" s="45">
        <v>1.0</v>
      </c>
      <c r="F1268" s="198">
        <v>100000.0</v>
      </c>
      <c r="G1268" s="142">
        <f t="shared" si="40"/>
        <v>100000</v>
      </c>
      <c r="H1268" s="142"/>
      <c r="I1268" s="143">
        <f t="shared" si="38"/>
        <v>100000</v>
      </c>
      <c r="J1268" s="144">
        <f t="shared" si="39"/>
        <v>100000</v>
      </c>
      <c r="K1268" s="108" t="s">
        <v>4241</v>
      </c>
      <c r="L1268" s="199" t="s">
        <v>6104</v>
      </c>
      <c r="M1268" s="17"/>
      <c r="N1268" s="64" t="s">
        <v>6105</v>
      </c>
      <c r="O1268" s="64" t="s">
        <v>2942</v>
      </c>
      <c r="P1268" s="147" t="s">
        <v>4672</v>
      </c>
      <c r="Q1268" s="149"/>
      <c r="R1268" s="141"/>
      <c r="S1268" s="141"/>
      <c r="T1268" s="141">
        <v>1822000.0</v>
      </c>
      <c r="U1268" s="149"/>
      <c r="V1268" s="149"/>
      <c r="W1268" s="149"/>
      <c r="X1268" s="64" t="s">
        <v>3810</v>
      </c>
      <c r="Y1268" s="64" t="s">
        <v>4515</v>
      </c>
      <c r="Z1268" s="68"/>
    </row>
    <row r="1269" ht="15.0" customHeight="1">
      <c r="A1269" s="333">
        <v>45973.0</v>
      </c>
      <c r="B1269" s="201" t="s">
        <v>6106</v>
      </c>
      <c r="C1269" s="45" t="s">
        <v>3126</v>
      </c>
      <c r="D1269" s="140" t="str">
        <f>IFERROR(VLOOKUP(C1269,Stock,3,FALSE),"")</f>
        <v>Suzuki Carry New 19-</v>
      </c>
      <c r="E1269" s="45">
        <v>1.0</v>
      </c>
      <c r="F1269" s="198">
        <v>1140000.0</v>
      </c>
      <c r="G1269" s="142">
        <f t="shared" si="40"/>
        <v>1140000</v>
      </c>
      <c r="H1269" s="142"/>
      <c r="I1269" s="143">
        <f t="shared" si="38"/>
        <v>1140000</v>
      </c>
      <c r="J1269" s="144">
        <f t="shared" si="39"/>
        <v>1140000</v>
      </c>
      <c r="K1269" s="108" t="s">
        <v>6107</v>
      </c>
      <c r="L1269" s="199" t="s">
        <v>6108</v>
      </c>
      <c r="M1269" s="17"/>
      <c r="N1269" s="64" t="s">
        <v>6109</v>
      </c>
      <c r="O1269" s="64" t="s">
        <v>3033</v>
      </c>
      <c r="P1269" s="147" t="s">
        <v>4672</v>
      </c>
      <c r="Q1269" s="149"/>
      <c r="R1269" s="141"/>
      <c r="S1269" s="141"/>
      <c r="T1269" s="141">
        <v>1140000.0</v>
      </c>
      <c r="U1269" s="149"/>
      <c r="V1269" s="149"/>
      <c r="W1269" s="149"/>
      <c r="X1269" s="64" t="s">
        <v>3810</v>
      </c>
      <c r="Y1269" s="64" t="s">
        <v>4515</v>
      </c>
      <c r="Z1269" s="68"/>
    </row>
    <row r="1270" ht="15.0" customHeight="1">
      <c r="A1270" s="333">
        <v>45973.0</v>
      </c>
      <c r="B1270" s="201" t="s">
        <v>6110</v>
      </c>
      <c r="C1270" s="45" t="s">
        <v>2823</v>
      </c>
      <c r="D1270" s="140" t="str">
        <f>IFERROR(VLOOKUP(C1270,Stock,3,FALSE),"")</f>
        <v>Honda CR-V 95-01 1st Gen</v>
      </c>
      <c r="E1270" s="45">
        <v>1.0</v>
      </c>
      <c r="F1270" s="198">
        <v>1858000.0</v>
      </c>
      <c r="G1270" s="142">
        <f t="shared" si="40"/>
        <v>1858000</v>
      </c>
      <c r="H1270" s="142"/>
      <c r="I1270" s="143">
        <f t="shared" si="38"/>
        <v>1858000</v>
      </c>
      <c r="J1270" s="144">
        <f t="shared" si="39"/>
        <v>1858000</v>
      </c>
      <c r="K1270" s="108" t="s">
        <v>6111</v>
      </c>
      <c r="L1270" s="146" t="s">
        <v>6112</v>
      </c>
      <c r="M1270" s="17"/>
      <c r="N1270" s="64" t="s">
        <v>6113</v>
      </c>
      <c r="O1270" s="64" t="s">
        <v>6114</v>
      </c>
      <c r="P1270" s="147" t="s">
        <v>4672</v>
      </c>
      <c r="Q1270" s="149"/>
      <c r="R1270" s="141"/>
      <c r="S1270" s="141"/>
      <c r="T1270" s="141">
        <v>50000.0</v>
      </c>
      <c r="U1270" s="149"/>
      <c r="V1270" s="149"/>
      <c r="W1270" s="149"/>
      <c r="X1270" s="64" t="s">
        <v>3810</v>
      </c>
      <c r="Y1270" s="64" t="s">
        <v>4515</v>
      </c>
      <c r="Z1270" s="68"/>
    </row>
    <row r="1271" ht="15.0" customHeight="1">
      <c r="A1271" s="333">
        <v>45973.0</v>
      </c>
      <c r="B1271" s="201" t="s">
        <v>6110</v>
      </c>
      <c r="C1271" s="45" t="s">
        <v>2962</v>
      </c>
      <c r="D1271" s="140" t="str">
        <f>IFERROR(VLOOKUP(C1271,Stock,3,FALSE),"")</f>
        <v>Lembur</v>
      </c>
      <c r="E1271" s="45">
        <v>1.0</v>
      </c>
      <c r="F1271" s="198">
        <v>150000.0</v>
      </c>
      <c r="G1271" s="142">
        <f t="shared" si="40"/>
        <v>150000</v>
      </c>
      <c r="H1271" s="142"/>
      <c r="I1271" s="143">
        <f t="shared" si="38"/>
        <v>150000</v>
      </c>
      <c r="J1271" s="144">
        <f t="shared" si="39"/>
        <v>150000</v>
      </c>
      <c r="K1271" s="108" t="s">
        <v>6111</v>
      </c>
      <c r="L1271" s="146" t="s">
        <v>6112</v>
      </c>
      <c r="M1271" s="17"/>
      <c r="N1271" s="64" t="s">
        <v>6113</v>
      </c>
      <c r="O1271" s="64" t="s">
        <v>6114</v>
      </c>
      <c r="P1271" s="147" t="s">
        <v>4672</v>
      </c>
      <c r="Q1271" s="149"/>
      <c r="R1271" s="141"/>
      <c r="S1271" s="141"/>
      <c r="T1271" s="141">
        <v>1958000.0</v>
      </c>
      <c r="U1271" s="149"/>
      <c r="V1271" s="149"/>
      <c r="W1271" s="149"/>
      <c r="X1271" s="64" t="s">
        <v>3810</v>
      </c>
      <c r="Y1271" s="64" t="s">
        <v>4515</v>
      </c>
      <c r="Z1271" s="68"/>
    </row>
    <row r="1272" ht="15.0" customHeight="1">
      <c r="A1272" s="334">
        <v>45973.0</v>
      </c>
      <c r="B1272" s="364" t="s">
        <v>6115</v>
      </c>
      <c r="C1272" s="336" t="s">
        <v>4017</v>
      </c>
      <c r="D1272" s="337" t="str">
        <f>IFERROR(VLOOKUP(C1272,Stock,3,FALSE),"")</f>
        <v>Black Phantom Solar Gard</v>
      </c>
      <c r="E1272" s="336">
        <v>1.0</v>
      </c>
      <c r="F1272" s="339">
        <v>1375000.0</v>
      </c>
      <c r="G1272" s="340">
        <f t="shared" si="40"/>
        <v>1375000</v>
      </c>
      <c r="H1272" s="340"/>
      <c r="I1272" s="341">
        <f t="shared" si="38"/>
        <v>1375000</v>
      </c>
      <c r="J1272" s="342">
        <f t="shared" si="39"/>
        <v>1375000</v>
      </c>
      <c r="K1272" s="365" t="s">
        <v>5986</v>
      </c>
      <c r="L1272" s="366" t="s">
        <v>5987</v>
      </c>
      <c r="M1272" s="367"/>
      <c r="N1272" s="338" t="s">
        <v>5988</v>
      </c>
      <c r="O1272" s="338" t="s">
        <v>2807</v>
      </c>
      <c r="P1272" s="368" t="s">
        <v>4672</v>
      </c>
      <c r="Q1272" s="369"/>
      <c r="R1272" s="348"/>
      <c r="S1272" s="348"/>
      <c r="T1272" s="348">
        <v>1375000.0</v>
      </c>
      <c r="U1272" s="369"/>
      <c r="V1272" s="369"/>
      <c r="W1272" s="369"/>
      <c r="X1272" s="338" t="s">
        <v>3810</v>
      </c>
      <c r="Y1272" s="338" t="s">
        <v>4515</v>
      </c>
      <c r="Z1272" s="345"/>
    </row>
    <row r="1273" ht="15.0" customHeight="1">
      <c r="A1273" s="333">
        <v>45974.0</v>
      </c>
      <c r="B1273" s="201" t="s">
        <v>6116</v>
      </c>
      <c r="C1273" s="45" t="s">
        <v>2944</v>
      </c>
      <c r="D1273" s="140" t="str">
        <f>IFERROR(VLOOKUP(C1273,Stock,3,FALSE),"")</f>
        <v>Toyota Innova 04-15 1st Gen</v>
      </c>
      <c r="E1273" s="45">
        <v>1.0</v>
      </c>
      <c r="F1273" s="198">
        <v>1300000.0</v>
      </c>
      <c r="G1273" s="142">
        <f t="shared" si="40"/>
        <v>1300000</v>
      </c>
      <c r="H1273" s="142"/>
      <c r="I1273" s="143">
        <f t="shared" si="38"/>
        <v>1300000</v>
      </c>
      <c r="J1273" s="144">
        <f t="shared" si="39"/>
        <v>1300000</v>
      </c>
      <c r="K1273" s="108" t="s">
        <v>6117</v>
      </c>
      <c r="L1273" s="199" t="s">
        <v>6118</v>
      </c>
      <c r="M1273" s="17"/>
      <c r="N1273" s="64" t="s">
        <v>6119</v>
      </c>
      <c r="O1273" s="64" t="s">
        <v>2813</v>
      </c>
      <c r="P1273" s="147" t="s">
        <v>4672</v>
      </c>
      <c r="Q1273" s="149"/>
      <c r="R1273" s="141"/>
      <c r="S1273" s="141"/>
      <c r="T1273" s="141">
        <v>1300000.0</v>
      </c>
      <c r="U1273" s="149"/>
      <c r="V1273" s="149"/>
      <c r="W1273" s="149"/>
      <c r="X1273" s="64" t="s">
        <v>3810</v>
      </c>
      <c r="Y1273" s="64" t="s">
        <v>4515</v>
      </c>
      <c r="Z1273" s="68"/>
    </row>
    <row r="1274" ht="15.0" customHeight="1">
      <c r="A1274" s="333">
        <v>45974.0</v>
      </c>
      <c r="B1274" s="201" t="s">
        <v>6120</v>
      </c>
      <c r="C1274" s="45" t="s">
        <v>4322</v>
      </c>
      <c r="D1274" s="140" t="str">
        <f>IFERROR(VLOOKUP(C1274,Stock,3,FALSE),"")</f>
        <v>Nissan Livina 13-18 L11 (Lubang)</v>
      </c>
      <c r="E1274" s="45">
        <v>1.0</v>
      </c>
      <c r="F1274" s="198">
        <v>1255000.0</v>
      </c>
      <c r="G1274" s="142">
        <f t="shared" si="40"/>
        <v>1255000</v>
      </c>
      <c r="H1274" s="142"/>
      <c r="I1274" s="143">
        <f t="shared" si="38"/>
        <v>1255000</v>
      </c>
      <c r="J1274" s="144">
        <f t="shared" si="39"/>
        <v>1255000</v>
      </c>
      <c r="K1274" s="108" t="s">
        <v>6121</v>
      </c>
      <c r="L1274" s="199" t="s">
        <v>6122</v>
      </c>
      <c r="M1274" s="17"/>
      <c r="N1274" s="64" t="s">
        <v>6123</v>
      </c>
      <c r="O1274" s="64" t="s">
        <v>2813</v>
      </c>
      <c r="P1274" s="147" t="s">
        <v>4672</v>
      </c>
      <c r="Q1274" s="149"/>
      <c r="R1274" s="141"/>
      <c r="S1274" s="141"/>
      <c r="T1274" s="141">
        <v>1255000.0</v>
      </c>
      <c r="U1274" s="149"/>
      <c r="V1274" s="149"/>
      <c r="W1274" s="149"/>
      <c r="X1274" s="64" t="s">
        <v>3810</v>
      </c>
      <c r="Y1274" s="64" t="s">
        <v>4515</v>
      </c>
      <c r="Z1274" s="68"/>
    </row>
    <row r="1275" ht="15.0" customHeight="1">
      <c r="A1275" s="333">
        <v>45974.0</v>
      </c>
      <c r="B1275" s="201" t="s">
        <v>6124</v>
      </c>
      <c r="C1275" s="45" t="s">
        <v>2948</v>
      </c>
      <c r="D1275" s="140" t="str">
        <f>IFERROR(VLOOKUP(C1275,Stock,3,FALSE),"")</f>
        <v>Nissan March 10- K13</v>
      </c>
      <c r="E1275" s="45">
        <v>1.0</v>
      </c>
      <c r="F1275" s="198">
        <v>1443000.0</v>
      </c>
      <c r="G1275" s="142">
        <f t="shared" si="40"/>
        <v>1443000</v>
      </c>
      <c r="H1275" s="142"/>
      <c r="I1275" s="143">
        <f t="shared" si="38"/>
        <v>1443000</v>
      </c>
      <c r="J1275" s="144">
        <f t="shared" si="39"/>
        <v>1443000</v>
      </c>
      <c r="K1275" s="108" t="s">
        <v>6125</v>
      </c>
      <c r="L1275" s="199" t="s">
        <v>6126</v>
      </c>
      <c r="M1275" s="17"/>
      <c r="N1275" s="64" t="s">
        <v>6127</v>
      </c>
      <c r="O1275" s="64" t="s">
        <v>2935</v>
      </c>
      <c r="P1275" s="147" t="s">
        <v>4672</v>
      </c>
      <c r="Q1275" s="149"/>
      <c r="R1275" s="141"/>
      <c r="S1275" s="141"/>
      <c r="T1275" s="141">
        <v>50000.0</v>
      </c>
      <c r="U1275" s="149"/>
      <c r="V1275" s="149"/>
      <c r="W1275" s="149"/>
      <c r="X1275" s="64" t="s">
        <v>3810</v>
      </c>
      <c r="Y1275" s="64" t="s">
        <v>4515</v>
      </c>
      <c r="Z1275" s="68"/>
    </row>
    <row r="1276" ht="15.0" customHeight="1">
      <c r="A1276" s="333">
        <v>45974.0</v>
      </c>
      <c r="B1276" s="201" t="s">
        <v>6124</v>
      </c>
      <c r="C1276" s="45" t="s">
        <v>2770</v>
      </c>
      <c r="D1276" s="140" t="str">
        <f>IFERROR(VLOOKUP(C1276,Stock,3,FALSE),"")</f>
        <v>Transport</v>
      </c>
      <c r="E1276" s="45">
        <v>1.0</v>
      </c>
      <c r="F1276" s="198">
        <v>190000.0</v>
      </c>
      <c r="G1276" s="142">
        <f t="shared" si="40"/>
        <v>190000</v>
      </c>
      <c r="H1276" s="142"/>
      <c r="I1276" s="143">
        <f t="shared" si="38"/>
        <v>190000</v>
      </c>
      <c r="J1276" s="144">
        <f t="shared" si="39"/>
        <v>190000</v>
      </c>
      <c r="K1276" s="108" t="s">
        <v>6125</v>
      </c>
      <c r="L1276" s="199" t="s">
        <v>6126</v>
      </c>
      <c r="M1276" s="17"/>
      <c r="N1276" s="64" t="s">
        <v>6127</v>
      </c>
      <c r="O1276" s="64" t="s">
        <v>2935</v>
      </c>
      <c r="P1276" s="147" t="s">
        <v>4672</v>
      </c>
      <c r="Q1276" s="149"/>
      <c r="R1276" s="141"/>
      <c r="S1276" s="141"/>
      <c r="T1276" s="141">
        <v>1583000.0</v>
      </c>
      <c r="U1276" s="149"/>
      <c r="V1276" s="149"/>
      <c r="W1276" s="149"/>
      <c r="X1276" s="64" t="s">
        <v>3810</v>
      </c>
      <c r="Y1276" s="64" t="s">
        <v>4515</v>
      </c>
      <c r="Z1276" s="68"/>
    </row>
    <row r="1277" ht="15.0" customHeight="1">
      <c r="A1277" s="333">
        <v>45974.0</v>
      </c>
      <c r="B1277" s="201" t="s">
        <v>6128</v>
      </c>
      <c r="C1277" s="45" t="s">
        <v>6129</v>
      </c>
      <c r="D1277" s="140" t="str">
        <f>IFERROR(VLOOKUP(C1277,Stock,3,FALSE),"")</f>
        <v>Toyota Innova 04-15 1st Gen (Toyota)</v>
      </c>
      <c r="E1277" s="45">
        <v>1.0</v>
      </c>
      <c r="F1277" s="198">
        <v>2697000.0</v>
      </c>
      <c r="G1277" s="142">
        <f t="shared" si="40"/>
        <v>2697000</v>
      </c>
      <c r="H1277" s="142"/>
      <c r="I1277" s="143">
        <f t="shared" si="38"/>
        <v>2697000</v>
      </c>
      <c r="J1277" s="144">
        <f t="shared" si="39"/>
        <v>2697000</v>
      </c>
      <c r="K1277" s="108" t="s">
        <v>6130</v>
      </c>
      <c r="L1277" s="199" t="s">
        <v>6131</v>
      </c>
      <c r="M1277" s="17"/>
      <c r="N1277" s="64" t="s">
        <v>6132</v>
      </c>
      <c r="O1277" s="64" t="s">
        <v>2813</v>
      </c>
      <c r="P1277" s="147" t="s">
        <v>4672</v>
      </c>
      <c r="Q1277" s="141">
        <v>2697000.0</v>
      </c>
      <c r="R1277" s="149"/>
      <c r="S1277" s="149"/>
      <c r="T1277" s="149"/>
      <c r="U1277" s="149"/>
      <c r="V1277" s="149"/>
      <c r="W1277" s="149"/>
      <c r="X1277" s="64" t="s">
        <v>3810</v>
      </c>
      <c r="Y1277" s="64" t="s">
        <v>4515</v>
      </c>
      <c r="Z1277" s="68"/>
    </row>
    <row r="1278" ht="15.0" customHeight="1">
      <c r="A1278" s="333">
        <v>45974.0</v>
      </c>
      <c r="B1278" s="201" t="s">
        <v>6133</v>
      </c>
      <c r="C1278" s="45" t="s">
        <v>3126</v>
      </c>
      <c r="D1278" s="140" t="str">
        <f>IFERROR(VLOOKUP(C1278,Stock,3,FALSE),"")</f>
        <v>Suzuki Carry New 19-</v>
      </c>
      <c r="E1278" s="45">
        <v>1.0</v>
      </c>
      <c r="F1278" s="198">
        <v>1140000.0</v>
      </c>
      <c r="G1278" s="142">
        <f t="shared" si="40"/>
        <v>1140000</v>
      </c>
      <c r="H1278" s="142"/>
      <c r="I1278" s="143">
        <f t="shared" si="38"/>
        <v>1140000</v>
      </c>
      <c r="J1278" s="144">
        <f t="shared" si="39"/>
        <v>1140000</v>
      </c>
      <c r="K1278" s="108" t="s">
        <v>6134</v>
      </c>
      <c r="L1278" s="199" t="s">
        <v>6135</v>
      </c>
      <c r="M1278" s="17"/>
      <c r="N1278" s="64" t="s">
        <v>6136</v>
      </c>
      <c r="O1278" s="64" t="s">
        <v>2813</v>
      </c>
      <c r="P1278" s="147" t="s">
        <v>4672</v>
      </c>
      <c r="Q1278" s="149"/>
      <c r="R1278" s="141"/>
      <c r="S1278" s="141"/>
      <c r="T1278" s="141">
        <v>1140000.0</v>
      </c>
      <c r="U1278" s="149"/>
      <c r="V1278" s="149"/>
      <c r="W1278" s="149"/>
      <c r="X1278" s="64" t="s">
        <v>3810</v>
      </c>
      <c r="Y1278" s="64" t="s">
        <v>4515</v>
      </c>
      <c r="Z1278" s="68"/>
    </row>
    <row r="1279" ht="15.0" customHeight="1">
      <c r="A1279" s="333">
        <v>45974.0</v>
      </c>
      <c r="B1279" s="201" t="s">
        <v>6137</v>
      </c>
      <c r="C1279" s="45" t="s">
        <v>5216</v>
      </c>
      <c r="D1279" s="140" t="str">
        <f>IFERROR(VLOOKUP(C1279,Stock,3,FALSE),"")</f>
        <v>Honda Jazz 13- 3rd Gen</v>
      </c>
      <c r="E1279" s="45">
        <v>1.0</v>
      </c>
      <c r="F1279" s="198">
        <v>1300000.0</v>
      </c>
      <c r="G1279" s="142">
        <f t="shared" si="40"/>
        <v>1300000</v>
      </c>
      <c r="H1279" s="142"/>
      <c r="I1279" s="143">
        <f t="shared" si="38"/>
        <v>1300000</v>
      </c>
      <c r="J1279" s="144">
        <f t="shared" si="39"/>
        <v>1300000</v>
      </c>
      <c r="K1279" s="108" t="s">
        <v>6138</v>
      </c>
      <c r="L1279" s="199" t="s">
        <v>6139</v>
      </c>
      <c r="M1279" s="17"/>
      <c r="N1279" s="64" t="s">
        <v>6140</v>
      </c>
      <c r="O1279" s="64" t="s">
        <v>6141</v>
      </c>
      <c r="P1279" s="147" t="s">
        <v>4672</v>
      </c>
      <c r="Q1279" s="149"/>
      <c r="R1279" s="141"/>
      <c r="S1279" s="141"/>
      <c r="T1279" s="141">
        <v>50000.0</v>
      </c>
      <c r="U1279" s="149"/>
      <c r="V1279" s="149"/>
      <c r="W1279" s="149"/>
      <c r="X1279" s="64" t="s">
        <v>3810</v>
      </c>
      <c r="Y1279" s="64" t="s">
        <v>4515</v>
      </c>
      <c r="Z1279" s="68"/>
    </row>
    <row r="1280" ht="15.0" customHeight="1">
      <c r="A1280" s="333">
        <v>45974.0</v>
      </c>
      <c r="B1280" s="201" t="s">
        <v>6137</v>
      </c>
      <c r="C1280" s="45" t="s">
        <v>2962</v>
      </c>
      <c r="D1280" s="140" t="str">
        <f>IFERROR(VLOOKUP(C1280,Stock,3,FALSE),"")</f>
        <v>Lembur</v>
      </c>
      <c r="E1280" s="45">
        <v>1.0</v>
      </c>
      <c r="F1280" s="198">
        <v>150000.0</v>
      </c>
      <c r="G1280" s="142">
        <f t="shared" si="40"/>
        <v>150000</v>
      </c>
      <c r="H1280" s="142"/>
      <c r="I1280" s="143">
        <f t="shared" si="38"/>
        <v>150000</v>
      </c>
      <c r="J1280" s="144">
        <f t="shared" si="39"/>
        <v>150000</v>
      </c>
      <c r="K1280" s="108" t="s">
        <v>6138</v>
      </c>
      <c r="L1280" s="199" t="s">
        <v>6139</v>
      </c>
      <c r="M1280" s="17"/>
      <c r="N1280" s="64" t="s">
        <v>6140</v>
      </c>
      <c r="O1280" s="64" t="s">
        <v>6141</v>
      </c>
      <c r="P1280" s="147" t="s">
        <v>4672</v>
      </c>
      <c r="Q1280" s="149"/>
      <c r="R1280" s="141"/>
      <c r="S1280" s="141"/>
      <c r="T1280" s="141">
        <v>1400000.0</v>
      </c>
      <c r="U1280" s="149"/>
      <c r="V1280" s="149"/>
      <c r="W1280" s="149"/>
      <c r="X1280" s="64" t="s">
        <v>3810</v>
      </c>
      <c r="Y1280" s="64" t="s">
        <v>4515</v>
      </c>
      <c r="Z1280" s="68"/>
    </row>
    <row r="1281" ht="15.0" customHeight="1">
      <c r="A1281" s="333">
        <v>45975.0</v>
      </c>
      <c r="B1281" s="201" t="s">
        <v>6142</v>
      </c>
      <c r="C1281" s="45" t="s">
        <v>3029</v>
      </c>
      <c r="D1281" s="140" t="str">
        <f>IFERROR(VLOOKUP(C1281,Stock,3,FALSE),"")</f>
        <v>Mitsubishi Canter FE700 01- (PS110,125)</v>
      </c>
      <c r="E1281" s="45">
        <v>1.0</v>
      </c>
      <c r="F1281" s="198">
        <v>1194000.0</v>
      </c>
      <c r="G1281" s="142">
        <f t="shared" si="40"/>
        <v>1194000</v>
      </c>
      <c r="H1281" s="142"/>
      <c r="I1281" s="143">
        <f t="shared" si="38"/>
        <v>1194000</v>
      </c>
      <c r="J1281" s="144">
        <f t="shared" si="39"/>
        <v>1194000</v>
      </c>
      <c r="K1281" s="108" t="s">
        <v>6143</v>
      </c>
      <c r="L1281" s="199" t="s">
        <v>6144</v>
      </c>
      <c r="M1281" s="17"/>
      <c r="N1281" s="64" t="s">
        <v>6145</v>
      </c>
      <c r="O1281" s="64" t="s">
        <v>2813</v>
      </c>
      <c r="P1281" s="147" t="s">
        <v>4672</v>
      </c>
      <c r="Q1281" s="149"/>
      <c r="R1281" s="141"/>
      <c r="S1281" s="141"/>
      <c r="T1281" s="141">
        <v>1194000.0</v>
      </c>
      <c r="U1281" s="149"/>
      <c r="V1281" s="149"/>
      <c r="W1281" s="149"/>
      <c r="X1281" s="64" t="s">
        <v>3810</v>
      </c>
      <c r="Y1281" s="64" t="s">
        <v>4515</v>
      </c>
      <c r="Z1281" s="68"/>
    </row>
    <row r="1282" ht="15.0" customHeight="1">
      <c r="A1282" s="333">
        <v>45975.0</v>
      </c>
      <c r="B1282" s="201" t="s">
        <v>6146</v>
      </c>
      <c r="C1282" s="45" t="s">
        <v>3048</v>
      </c>
      <c r="D1282" s="140" t="str">
        <f>IFERROR(VLOOKUP(C1282,Stock,3,FALSE),"")</f>
        <v>Biaya Pengecekan</v>
      </c>
      <c r="E1282" s="45">
        <v>1.0</v>
      </c>
      <c r="F1282" s="198">
        <v>150000.0</v>
      </c>
      <c r="G1282" s="142">
        <f t="shared" si="40"/>
        <v>150000</v>
      </c>
      <c r="H1282" s="142"/>
      <c r="I1282" s="143">
        <f t="shared" si="38"/>
        <v>150000</v>
      </c>
      <c r="J1282" s="144">
        <f t="shared" si="39"/>
        <v>150000</v>
      </c>
      <c r="K1282" s="108" t="s">
        <v>5890</v>
      </c>
      <c r="L1282" s="199" t="s">
        <v>5891</v>
      </c>
      <c r="M1282" s="17"/>
      <c r="N1282" s="64" t="s">
        <v>6147</v>
      </c>
      <c r="O1282" s="64" t="s">
        <v>2813</v>
      </c>
      <c r="P1282" s="147" t="s">
        <v>4672</v>
      </c>
      <c r="Q1282" s="149"/>
      <c r="R1282" s="141"/>
      <c r="S1282" s="141"/>
      <c r="T1282" s="141">
        <v>150000.0</v>
      </c>
      <c r="U1282" s="149"/>
      <c r="V1282" s="149"/>
      <c r="W1282" s="149"/>
      <c r="X1282" s="64" t="s">
        <v>3810</v>
      </c>
      <c r="Y1282" s="64" t="s">
        <v>4515</v>
      </c>
      <c r="Z1282" s="68"/>
    </row>
    <row r="1283" ht="15.0" customHeight="1">
      <c r="A1283" s="333">
        <v>45975.0</v>
      </c>
      <c r="B1283" s="201" t="s">
        <v>6148</v>
      </c>
      <c r="C1283" s="45" t="s">
        <v>3225</v>
      </c>
      <c r="D1283" s="140" t="str">
        <f>IFERROR(VLOOKUP(C1283,Stock,3,FALSE),"")</f>
        <v>Toyota Rush / Terios 18-</v>
      </c>
      <c r="E1283" s="45">
        <v>1.0</v>
      </c>
      <c r="F1283" s="198">
        <v>1260000.0</v>
      </c>
      <c r="G1283" s="142">
        <f t="shared" si="40"/>
        <v>1260000</v>
      </c>
      <c r="H1283" s="142"/>
      <c r="I1283" s="143">
        <f t="shared" si="38"/>
        <v>1260000</v>
      </c>
      <c r="J1283" s="144">
        <f t="shared" si="39"/>
        <v>1260000</v>
      </c>
      <c r="K1283" s="108" t="s">
        <v>4135</v>
      </c>
      <c r="L1283" s="199" t="s">
        <v>4136</v>
      </c>
      <c r="M1283" s="17"/>
      <c r="N1283" s="64" t="s">
        <v>6149</v>
      </c>
      <c r="O1283" s="64" t="s">
        <v>2813</v>
      </c>
      <c r="P1283" s="147" t="s">
        <v>4672</v>
      </c>
      <c r="Q1283" s="149"/>
      <c r="R1283" s="141"/>
      <c r="S1283" s="141"/>
      <c r="T1283" s="141">
        <v>100000.0</v>
      </c>
      <c r="U1283" s="149"/>
      <c r="V1283" s="149"/>
      <c r="W1283" s="149"/>
      <c r="X1283" s="64" t="s">
        <v>3810</v>
      </c>
      <c r="Y1283" s="64" t="s">
        <v>4515</v>
      </c>
      <c r="Z1283" s="68"/>
    </row>
    <row r="1284" ht="15.0" customHeight="1">
      <c r="A1284" s="333">
        <v>45975.0</v>
      </c>
      <c r="B1284" s="201" t="s">
        <v>6148</v>
      </c>
      <c r="C1284" s="45" t="s">
        <v>2770</v>
      </c>
      <c r="D1284" s="140" t="str">
        <f>IFERROR(VLOOKUP(C1284,Stock,3,FALSE),"")</f>
        <v>Transport</v>
      </c>
      <c r="E1284" s="45">
        <v>1.0</v>
      </c>
      <c r="F1284" s="198">
        <v>100000.0</v>
      </c>
      <c r="G1284" s="142">
        <f t="shared" si="40"/>
        <v>100000</v>
      </c>
      <c r="H1284" s="142"/>
      <c r="I1284" s="143">
        <f t="shared" si="38"/>
        <v>100000</v>
      </c>
      <c r="J1284" s="144">
        <f t="shared" si="39"/>
        <v>100000</v>
      </c>
      <c r="K1284" s="108" t="s">
        <v>4135</v>
      </c>
      <c r="L1284" s="199" t="s">
        <v>4136</v>
      </c>
      <c r="M1284" s="17"/>
      <c r="N1284" s="64" t="s">
        <v>6149</v>
      </c>
      <c r="O1284" s="64" t="s">
        <v>2813</v>
      </c>
      <c r="P1284" s="147" t="s">
        <v>4672</v>
      </c>
      <c r="Q1284" s="149"/>
      <c r="R1284" s="141"/>
      <c r="S1284" s="141"/>
      <c r="T1284" s="141">
        <v>1260000.0</v>
      </c>
      <c r="U1284" s="149"/>
      <c r="V1284" s="149"/>
      <c r="W1284" s="149"/>
      <c r="X1284" s="64" t="s">
        <v>3810</v>
      </c>
      <c r="Y1284" s="64" t="s">
        <v>4515</v>
      </c>
      <c r="Z1284" s="68"/>
    </row>
    <row r="1285" ht="15.0" customHeight="1">
      <c r="A1285" s="333">
        <v>45975.0</v>
      </c>
      <c r="B1285" s="201" t="s">
        <v>6150</v>
      </c>
      <c r="C1285" s="45" t="s">
        <v>2770</v>
      </c>
      <c r="D1285" s="140" t="str">
        <f>IFERROR(VLOOKUP(C1285,Stock,3,FALSE),"")</f>
        <v>Transport</v>
      </c>
      <c r="E1285" s="45">
        <v>1.0</v>
      </c>
      <c r="F1285" s="198">
        <v>80000.0</v>
      </c>
      <c r="G1285" s="142">
        <f t="shared" si="40"/>
        <v>80000</v>
      </c>
      <c r="H1285" s="142"/>
      <c r="I1285" s="143">
        <f t="shared" si="38"/>
        <v>80000</v>
      </c>
      <c r="J1285" s="144">
        <f t="shared" si="39"/>
        <v>80000</v>
      </c>
      <c r="K1285" s="108" t="s">
        <v>5967</v>
      </c>
      <c r="L1285" s="199" t="s">
        <v>5968</v>
      </c>
      <c r="M1285" s="17"/>
      <c r="N1285" s="68"/>
      <c r="O1285" s="64" t="s">
        <v>2776</v>
      </c>
      <c r="P1285" s="147" t="s">
        <v>4672</v>
      </c>
      <c r="Q1285" s="149"/>
      <c r="R1285" s="141"/>
      <c r="S1285" s="141"/>
      <c r="T1285" s="141">
        <v>80000.0</v>
      </c>
      <c r="U1285" s="149"/>
      <c r="V1285" s="149"/>
      <c r="W1285" s="149"/>
      <c r="X1285" s="64" t="s">
        <v>3810</v>
      </c>
      <c r="Y1285" s="64" t="s">
        <v>4515</v>
      </c>
      <c r="Z1285" s="68"/>
    </row>
    <row r="1286" ht="15.0" customHeight="1">
      <c r="A1286" s="333">
        <v>45975.0</v>
      </c>
      <c r="B1286" s="201" t="s">
        <v>6151</v>
      </c>
      <c r="C1286" s="45" t="s">
        <v>3126</v>
      </c>
      <c r="D1286" s="140" t="str">
        <f>IFERROR(VLOOKUP(C1286,Stock,3,FALSE),"")</f>
        <v>Suzuki Carry New 19-</v>
      </c>
      <c r="E1286" s="45">
        <v>1.0</v>
      </c>
      <c r="F1286" s="198">
        <v>1140000.0</v>
      </c>
      <c r="G1286" s="142">
        <f t="shared" si="40"/>
        <v>1140000</v>
      </c>
      <c r="H1286" s="142"/>
      <c r="I1286" s="143">
        <f t="shared" si="38"/>
        <v>1140000</v>
      </c>
      <c r="J1286" s="144">
        <f t="shared" si="39"/>
        <v>1140000</v>
      </c>
      <c r="K1286" s="108" t="s">
        <v>6152</v>
      </c>
      <c r="L1286" s="199" t="s">
        <v>6153</v>
      </c>
      <c r="M1286" s="17"/>
      <c r="N1286" s="64" t="s">
        <v>6154</v>
      </c>
      <c r="O1286" s="64" t="s">
        <v>2813</v>
      </c>
      <c r="P1286" s="147" t="s">
        <v>4672</v>
      </c>
      <c r="Q1286" s="149"/>
      <c r="R1286" s="141"/>
      <c r="S1286" s="141"/>
      <c r="T1286" s="141">
        <v>1140000.0</v>
      </c>
      <c r="U1286" s="149"/>
      <c r="V1286" s="149"/>
      <c r="W1286" s="149"/>
      <c r="X1286" s="64" t="s">
        <v>3810</v>
      </c>
      <c r="Y1286" s="64" t="s">
        <v>4515</v>
      </c>
      <c r="Z1286" s="68"/>
    </row>
    <row r="1287" ht="15.0" customHeight="1">
      <c r="A1287" s="333">
        <v>45975.0</v>
      </c>
      <c r="B1287" s="201" t="s">
        <v>6155</v>
      </c>
      <c r="C1287" s="45" t="s">
        <v>3029</v>
      </c>
      <c r="D1287" s="140" t="str">
        <f>IFERROR(VLOOKUP(C1287,Stock,3,FALSE),"")</f>
        <v>Mitsubishi Canter FE700 01- (PS110,125)</v>
      </c>
      <c r="E1287" s="45">
        <v>1.0</v>
      </c>
      <c r="F1287" s="198">
        <v>994000.0</v>
      </c>
      <c r="G1287" s="142">
        <f t="shared" si="40"/>
        <v>994000</v>
      </c>
      <c r="H1287" s="142"/>
      <c r="I1287" s="143">
        <f t="shared" si="38"/>
        <v>994000</v>
      </c>
      <c r="J1287" s="144">
        <f t="shared" si="39"/>
        <v>994000</v>
      </c>
      <c r="K1287" s="108" t="s">
        <v>6156</v>
      </c>
      <c r="L1287" s="199" t="s">
        <v>6157</v>
      </c>
      <c r="M1287" s="17"/>
      <c r="N1287" s="64" t="s">
        <v>4270</v>
      </c>
      <c r="O1287" s="64" t="s">
        <v>6158</v>
      </c>
      <c r="P1287" s="147" t="s">
        <v>4672</v>
      </c>
      <c r="Q1287" s="149"/>
      <c r="R1287" s="141"/>
      <c r="S1287" s="141"/>
      <c r="T1287" s="141">
        <v>994000.0</v>
      </c>
      <c r="U1287" s="149"/>
      <c r="V1287" s="149"/>
      <c r="W1287" s="149"/>
      <c r="X1287" s="64" t="s">
        <v>3810</v>
      </c>
      <c r="Y1287" s="64" t="s">
        <v>4515</v>
      </c>
      <c r="Z1287" s="68"/>
    </row>
    <row r="1288" ht="15.0" customHeight="1">
      <c r="A1288" s="333">
        <v>45975.0</v>
      </c>
      <c r="B1288" s="201" t="s">
        <v>6159</v>
      </c>
      <c r="C1288" s="45" t="s">
        <v>6160</v>
      </c>
      <c r="D1288" s="140" t="str">
        <f>IFERROR(VLOOKUP(C1288,Stock,3,FALSE),"")</f>
        <v>Toyota Innova 04-15 1st Gen</v>
      </c>
      <c r="E1288" s="45">
        <v>1.0</v>
      </c>
      <c r="F1288" s="198">
        <v>850000.0</v>
      </c>
      <c r="G1288" s="142">
        <f t="shared" si="40"/>
        <v>850000</v>
      </c>
      <c r="H1288" s="142"/>
      <c r="I1288" s="143">
        <f t="shared" si="38"/>
        <v>850000</v>
      </c>
      <c r="J1288" s="144">
        <f t="shared" si="39"/>
        <v>850000</v>
      </c>
      <c r="K1288" s="108" t="s">
        <v>6161</v>
      </c>
      <c r="L1288" s="199" t="s">
        <v>6162</v>
      </c>
      <c r="M1288" s="17"/>
      <c r="N1288" s="64" t="s">
        <v>6163</v>
      </c>
      <c r="O1288" s="64" t="s">
        <v>2813</v>
      </c>
      <c r="P1288" s="147" t="s">
        <v>4672</v>
      </c>
      <c r="Q1288" s="149"/>
      <c r="R1288" s="141"/>
      <c r="S1288" s="141"/>
      <c r="T1288" s="141">
        <v>50000.0</v>
      </c>
      <c r="U1288" s="149"/>
      <c r="V1288" s="149"/>
      <c r="W1288" s="149"/>
      <c r="X1288" s="64" t="s">
        <v>3810</v>
      </c>
      <c r="Y1288" s="64" t="s">
        <v>4515</v>
      </c>
      <c r="Z1288" s="68"/>
    </row>
    <row r="1289" ht="15.0" customHeight="1">
      <c r="A1289" s="333">
        <v>45975.0</v>
      </c>
      <c r="B1289" s="201" t="s">
        <v>6159</v>
      </c>
      <c r="C1289" s="45" t="s">
        <v>5254</v>
      </c>
      <c r="D1289" s="140" t="str">
        <f>IFERROR(VLOOKUP(C1289,Stock,3,FALSE),"")</f>
        <v>Automotive Film Standard - Black 40%				</v>
      </c>
      <c r="E1289" s="45">
        <v>1.0</v>
      </c>
      <c r="F1289" s="198">
        <v>200000.0</v>
      </c>
      <c r="G1289" s="142">
        <f t="shared" si="40"/>
        <v>200000</v>
      </c>
      <c r="H1289" s="142"/>
      <c r="I1289" s="143">
        <f t="shared" si="38"/>
        <v>200000</v>
      </c>
      <c r="J1289" s="144">
        <f t="shared" si="39"/>
        <v>200000</v>
      </c>
      <c r="K1289" s="108" t="s">
        <v>6161</v>
      </c>
      <c r="L1289" s="199" t="s">
        <v>6162</v>
      </c>
      <c r="M1289" s="17"/>
      <c r="N1289" s="64" t="s">
        <v>6163</v>
      </c>
      <c r="O1289" s="64" t="s">
        <v>2813</v>
      </c>
      <c r="P1289" s="147" t="s">
        <v>4672</v>
      </c>
      <c r="Q1289" s="149"/>
      <c r="R1289" s="141"/>
      <c r="S1289" s="141"/>
      <c r="T1289" s="141">
        <v>1180000.0</v>
      </c>
      <c r="U1289" s="149"/>
      <c r="V1289" s="149"/>
      <c r="W1289" s="149"/>
      <c r="X1289" s="64" t="s">
        <v>3810</v>
      </c>
      <c r="Y1289" s="64" t="s">
        <v>4515</v>
      </c>
      <c r="Z1289" s="68"/>
    </row>
    <row r="1290" ht="15.0" customHeight="1">
      <c r="A1290" s="333">
        <v>45975.0</v>
      </c>
      <c r="B1290" s="201" t="s">
        <v>6159</v>
      </c>
      <c r="C1290" s="45" t="s">
        <v>2770</v>
      </c>
      <c r="D1290" s="140" t="str">
        <f>IFERROR(VLOOKUP(C1290,Stock,3,FALSE),"")</f>
        <v>Transport</v>
      </c>
      <c r="E1290" s="45">
        <v>1.0</v>
      </c>
      <c r="F1290" s="198">
        <v>180000.0</v>
      </c>
      <c r="G1290" s="142">
        <f t="shared" si="40"/>
        <v>180000</v>
      </c>
      <c r="H1290" s="142"/>
      <c r="I1290" s="143">
        <f t="shared" si="38"/>
        <v>180000</v>
      </c>
      <c r="J1290" s="144">
        <f t="shared" si="39"/>
        <v>180000</v>
      </c>
      <c r="K1290" s="108" t="s">
        <v>6161</v>
      </c>
      <c r="L1290" s="199" t="s">
        <v>6162</v>
      </c>
      <c r="M1290" s="17"/>
      <c r="N1290" s="64" t="s">
        <v>6163</v>
      </c>
      <c r="O1290" s="64" t="s">
        <v>2813</v>
      </c>
      <c r="P1290" s="147" t="s">
        <v>4672</v>
      </c>
      <c r="Q1290" s="149"/>
      <c r="R1290" s="149"/>
      <c r="S1290" s="149"/>
      <c r="T1290" s="149"/>
      <c r="U1290" s="149"/>
      <c r="V1290" s="149"/>
      <c r="W1290" s="149"/>
      <c r="X1290" s="64" t="s">
        <v>3810</v>
      </c>
      <c r="Y1290" s="64" t="s">
        <v>4515</v>
      </c>
      <c r="Z1290" s="68"/>
    </row>
    <row r="1291" ht="15.0" customHeight="1">
      <c r="A1291" s="333">
        <v>45975.0</v>
      </c>
      <c r="B1291" s="201" t="s">
        <v>6164</v>
      </c>
      <c r="C1291" s="45" t="s">
        <v>3849</v>
      </c>
      <c r="D1291" s="140" t="str">
        <f>IFERROR(VLOOKUP(C1291,Stock,3,FALSE),"")</f>
        <v>Toyota Yaris 13- 2nd Gen / Vios 14- 3rd Gen</v>
      </c>
      <c r="E1291" s="45">
        <v>1.0</v>
      </c>
      <c r="F1291" s="198">
        <v>1720000.0</v>
      </c>
      <c r="G1291" s="142">
        <f t="shared" si="40"/>
        <v>1720000</v>
      </c>
      <c r="H1291" s="142"/>
      <c r="I1291" s="143">
        <f t="shared" si="38"/>
        <v>1720000</v>
      </c>
      <c r="J1291" s="144">
        <f t="shared" si="39"/>
        <v>1720000</v>
      </c>
      <c r="K1291" s="108" t="s">
        <v>6165</v>
      </c>
      <c r="L1291" s="199" t="s">
        <v>6166</v>
      </c>
      <c r="M1291" s="17"/>
      <c r="N1291" s="64" t="s">
        <v>6167</v>
      </c>
      <c r="O1291" s="64" t="s">
        <v>2813</v>
      </c>
      <c r="P1291" s="147" t="s">
        <v>4672</v>
      </c>
      <c r="Q1291" s="149"/>
      <c r="R1291" s="141"/>
      <c r="S1291" s="141"/>
      <c r="T1291" s="141">
        <v>50000.0</v>
      </c>
      <c r="U1291" s="149"/>
      <c r="V1291" s="149"/>
      <c r="W1291" s="149"/>
      <c r="X1291" s="64" t="s">
        <v>3810</v>
      </c>
      <c r="Y1291" s="64" t="s">
        <v>4515</v>
      </c>
      <c r="Z1291" s="68"/>
    </row>
    <row r="1292" ht="15.0" customHeight="1">
      <c r="A1292" s="333">
        <v>45975.0</v>
      </c>
      <c r="B1292" s="201" t="s">
        <v>6164</v>
      </c>
      <c r="C1292" s="45" t="s">
        <v>2962</v>
      </c>
      <c r="D1292" s="140" t="str">
        <f>IFERROR(VLOOKUP(C1292,Stock,3,FALSE),"")</f>
        <v>Lembur</v>
      </c>
      <c r="E1292" s="45">
        <v>1.0</v>
      </c>
      <c r="F1292" s="198">
        <v>120000.0</v>
      </c>
      <c r="G1292" s="142">
        <f t="shared" si="40"/>
        <v>120000</v>
      </c>
      <c r="H1292" s="142"/>
      <c r="I1292" s="143">
        <f t="shared" si="38"/>
        <v>120000</v>
      </c>
      <c r="J1292" s="144">
        <f t="shared" si="39"/>
        <v>120000</v>
      </c>
      <c r="K1292" s="108" t="s">
        <v>6165</v>
      </c>
      <c r="L1292" s="199" t="s">
        <v>6166</v>
      </c>
      <c r="M1292" s="17"/>
      <c r="N1292" s="64" t="s">
        <v>6167</v>
      </c>
      <c r="O1292" s="64" t="s">
        <v>2813</v>
      </c>
      <c r="P1292" s="147" t="s">
        <v>4672</v>
      </c>
      <c r="Q1292" s="149"/>
      <c r="R1292" s="141"/>
      <c r="S1292" s="141"/>
      <c r="T1292" s="141">
        <v>1790000.0</v>
      </c>
      <c r="U1292" s="149"/>
      <c r="V1292" s="149"/>
      <c r="W1292" s="149"/>
      <c r="X1292" s="64" t="s">
        <v>3810</v>
      </c>
      <c r="Y1292" s="64" t="s">
        <v>4515</v>
      </c>
      <c r="Z1292" s="68"/>
    </row>
    <row r="1293" ht="15.0" customHeight="1">
      <c r="A1293" s="333">
        <v>45976.0</v>
      </c>
      <c r="B1293" s="201" t="s">
        <v>6168</v>
      </c>
      <c r="C1293" s="45" t="s">
        <v>2770</v>
      </c>
      <c r="D1293" s="140" t="str">
        <f>IFERROR(VLOOKUP(C1293,Stock,3,FALSE),"")</f>
        <v>Transport</v>
      </c>
      <c r="E1293" s="45">
        <v>1.0</v>
      </c>
      <c r="F1293" s="198">
        <v>150000.0</v>
      </c>
      <c r="G1293" s="142">
        <f t="shared" si="40"/>
        <v>150000</v>
      </c>
      <c r="H1293" s="142"/>
      <c r="I1293" s="143">
        <f t="shared" si="38"/>
        <v>150000</v>
      </c>
      <c r="J1293" s="144">
        <f t="shared" si="39"/>
        <v>150000</v>
      </c>
      <c r="K1293" s="108" t="s">
        <v>6169</v>
      </c>
      <c r="L1293" s="199" t="s">
        <v>6170</v>
      </c>
      <c r="M1293" s="17"/>
      <c r="N1293" s="64" t="s">
        <v>6171</v>
      </c>
      <c r="O1293" s="64" t="s">
        <v>6172</v>
      </c>
      <c r="P1293" s="147" t="s">
        <v>4672</v>
      </c>
      <c r="Q1293" s="149"/>
      <c r="R1293" s="141"/>
      <c r="S1293" s="141"/>
      <c r="T1293" s="141">
        <v>150000.0</v>
      </c>
      <c r="U1293" s="149"/>
      <c r="V1293" s="149"/>
      <c r="W1293" s="149"/>
      <c r="X1293" s="64" t="s">
        <v>3810</v>
      </c>
      <c r="Y1293" s="64" t="s">
        <v>4515</v>
      </c>
      <c r="Z1293" s="68"/>
    </row>
    <row r="1294" ht="15.0" customHeight="1">
      <c r="A1294" s="333">
        <v>45976.0</v>
      </c>
      <c r="B1294" s="201" t="s">
        <v>6173</v>
      </c>
      <c r="C1294" s="45" t="s">
        <v>3021</v>
      </c>
      <c r="D1294" s="140" t="str">
        <f>IFERROR(VLOOKUP(C1294,Stock,3,FALSE),"")</f>
        <v>Honda Freed 08-16 1st gen</v>
      </c>
      <c r="E1294" s="45">
        <v>1.0</v>
      </c>
      <c r="F1294" s="198">
        <v>1140000.0</v>
      </c>
      <c r="G1294" s="142">
        <f t="shared" si="40"/>
        <v>1140000</v>
      </c>
      <c r="H1294" s="142"/>
      <c r="I1294" s="143">
        <f t="shared" si="38"/>
        <v>1140000</v>
      </c>
      <c r="J1294" s="144">
        <f t="shared" si="39"/>
        <v>1140000</v>
      </c>
      <c r="K1294" s="108" t="s">
        <v>6174</v>
      </c>
      <c r="L1294" s="199" t="s">
        <v>6175</v>
      </c>
      <c r="M1294" s="17"/>
      <c r="N1294" s="64" t="s">
        <v>6176</v>
      </c>
      <c r="O1294" s="64" t="s">
        <v>3007</v>
      </c>
      <c r="P1294" s="147" t="s">
        <v>4672</v>
      </c>
      <c r="Q1294" s="149"/>
      <c r="R1294" s="141"/>
      <c r="S1294" s="141"/>
      <c r="T1294" s="141">
        <v>50000.0</v>
      </c>
      <c r="U1294" s="149"/>
      <c r="V1294" s="149"/>
      <c r="W1294" s="149"/>
      <c r="X1294" s="64" t="s">
        <v>3810</v>
      </c>
      <c r="Y1294" s="64" t="s">
        <v>4515</v>
      </c>
      <c r="Z1294" s="68"/>
    </row>
    <row r="1295" ht="15.0" customHeight="1">
      <c r="A1295" s="333">
        <v>45976.0</v>
      </c>
      <c r="B1295" s="201" t="s">
        <v>6173</v>
      </c>
      <c r="C1295" s="45" t="s">
        <v>2770</v>
      </c>
      <c r="D1295" s="140" t="str">
        <f>IFERROR(VLOOKUP(C1295,Stock,3,FALSE),"")</f>
        <v>Transport</v>
      </c>
      <c r="E1295" s="45">
        <v>1.0</v>
      </c>
      <c r="F1295" s="198">
        <v>190000.0</v>
      </c>
      <c r="G1295" s="142">
        <f t="shared" si="40"/>
        <v>190000</v>
      </c>
      <c r="H1295" s="142"/>
      <c r="I1295" s="143">
        <f t="shared" si="38"/>
        <v>190000</v>
      </c>
      <c r="J1295" s="144">
        <f t="shared" si="39"/>
        <v>190000</v>
      </c>
      <c r="K1295" s="108" t="s">
        <v>6174</v>
      </c>
      <c r="L1295" s="199" t="s">
        <v>6175</v>
      </c>
      <c r="M1295" s="17"/>
      <c r="N1295" s="64" t="s">
        <v>6176</v>
      </c>
      <c r="O1295" s="64" t="s">
        <v>3007</v>
      </c>
      <c r="P1295" s="147" t="s">
        <v>4672</v>
      </c>
      <c r="Q1295" s="149"/>
      <c r="R1295" s="141"/>
      <c r="S1295" s="141"/>
      <c r="T1295" s="141">
        <v>1280000.0</v>
      </c>
      <c r="U1295" s="149"/>
      <c r="V1295" s="149"/>
      <c r="W1295" s="149"/>
      <c r="X1295" s="64" t="s">
        <v>3810</v>
      </c>
      <c r="Y1295" s="64" t="s">
        <v>4515</v>
      </c>
      <c r="Z1295" s="68"/>
    </row>
    <row r="1296" ht="15.0" customHeight="1">
      <c r="A1296" s="333">
        <v>45976.0</v>
      </c>
      <c r="B1296" s="201" t="s">
        <v>6177</v>
      </c>
      <c r="C1296" s="45" t="s">
        <v>2952</v>
      </c>
      <c r="D1296" s="140" t="str">
        <f>IFERROR(VLOOKUP(C1296,Stock,3,FALSE),"")</f>
        <v/>
      </c>
      <c r="E1296" s="45">
        <v>1.0</v>
      </c>
      <c r="F1296" s="198">
        <v>1000000.0</v>
      </c>
      <c r="G1296" s="142">
        <f t="shared" si="40"/>
        <v>1000000</v>
      </c>
      <c r="H1296" s="142"/>
      <c r="I1296" s="143">
        <f t="shared" si="38"/>
        <v>1000000</v>
      </c>
      <c r="J1296" s="144">
        <f t="shared" si="39"/>
        <v>1000000</v>
      </c>
      <c r="K1296" s="108" t="s">
        <v>6178</v>
      </c>
      <c r="L1296" s="199" t="s">
        <v>6179</v>
      </c>
      <c r="M1296" s="17"/>
      <c r="N1296" s="64" t="s">
        <v>6180</v>
      </c>
      <c r="O1296" s="64" t="s">
        <v>2813</v>
      </c>
      <c r="P1296" s="147" t="s">
        <v>4672</v>
      </c>
      <c r="Q1296" s="141">
        <v>1000000.0</v>
      </c>
      <c r="R1296" s="149"/>
      <c r="S1296" s="149"/>
      <c r="T1296" s="149"/>
      <c r="U1296" s="149"/>
      <c r="V1296" s="149"/>
      <c r="W1296" s="149"/>
      <c r="X1296" s="64" t="s">
        <v>3810</v>
      </c>
      <c r="Y1296" s="64" t="s">
        <v>4515</v>
      </c>
      <c r="Z1296" s="68"/>
    </row>
    <row r="1297" ht="15.0" customHeight="1">
      <c r="A1297" s="333">
        <v>45976.0</v>
      </c>
      <c r="B1297" s="201" t="s">
        <v>6181</v>
      </c>
      <c r="C1297" s="64" t="s">
        <v>3662</v>
      </c>
      <c r="D1297" s="140" t="str">
        <f>IFERROR(VLOOKUP(C1297,Stock,3,FALSE),"")</f>
        <v>Toyota Innova 15-22 2nd Gen (Toyota)</v>
      </c>
      <c r="E1297" s="64">
        <v>1.0</v>
      </c>
      <c r="F1297" s="141">
        <v>2889000.0</v>
      </c>
      <c r="G1297" s="142">
        <f t="shared" si="40"/>
        <v>2889000</v>
      </c>
      <c r="H1297" s="142"/>
      <c r="I1297" s="143">
        <f t="shared" si="38"/>
        <v>2889000</v>
      </c>
      <c r="J1297" s="144">
        <f t="shared" si="39"/>
        <v>2889000</v>
      </c>
      <c r="K1297" s="145" t="s">
        <v>6182</v>
      </c>
      <c r="L1297" s="146" t="s">
        <v>6183</v>
      </c>
      <c r="M1297" s="68"/>
      <c r="N1297" s="64" t="s">
        <v>6184</v>
      </c>
      <c r="O1297" s="64" t="s">
        <v>6185</v>
      </c>
      <c r="P1297" s="147" t="s">
        <v>4672</v>
      </c>
      <c r="Q1297" s="68"/>
      <c r="R1297" s="141"/>
      <c r="S1297" s="141"/>
      <c r="T1297" s="141">
        <v>50000.0</v>
      </c>
      <c r="U1297" s="68"/>
      <c r="V1297" s="68"/>
      <c r="W1297" s="68"/>
      <c r="X1297" s="64" t="s">
        <v>3810</v>
      </c>
      <c r="Y1297" s="64" t="s">
        <v>4515</v>
      </c>
      <c r="Z1297" s="68"/>
    </row>
    <row r="1298" ht="15.0" customHeight="1">
      <c r="A1298" s="333">
        <v>45976.0</v>
      </c>
      <c r="B1298" s="201" t="s">
        <v>6181</v>
      </c>
      <c r="C1298" s="45" t="s">
        <v>2770</v>
      </c>
      <c r="D1298" s="140" t="str">
        <f>IFERROR(VLOOKUP(C1298,Stock,3,FALSE),"")</f>
        <v>Transport</v>
      </c>
      <c r="E1298" s="45">
        <v>1.0</v>
      </c>
      <c r="F1298" s="198">
        <v>150000.0</v>
      </c>
      <c r="G1298" s="142">
        <f t="shared" si="40"/>
        <v>150000</v>
      </c>
      <c r="H1298" s="142"/>
      <c r="I1298" s="143">
        <f t="shared" si="38"/>
        <v>150000</v>
      </c>
      <c r="J1298" s="144">
        <f t="shared" si="39"/>
        <v>150000</v>
      </c>
      <c r="K1298" s="145" t="s">
        <v>6182</v>
      </c>
      <c r="L1298" s="146" t="s">
        <v>6183</v>
      </c>
      <c r="M1298" s="68"/>
      <c r="N1298" s="64" t="s">
        <v>6184</v>
      </c>
      <c r="O1298" s="64" t="s">
        <v>6185</v>
      </c>
      <c r="P1298" s="147" t="s">
        <v>4672</v>
      </c>
      <c r="Q1298" s="149"/>
      <c r="R1298" s="141"/>
      <c r="S1298" s="141"/>
      <c r="T1298" s="141">
        <v>2989000.0</v>
      </c>
      <c r="U1298" s="149"/>
      <c r="V1298" s="149"/>
      <c r="W1298" s="149"/>
      <c r="X1298" s="64" t="s">
        <v>3810</v>
      </c>
      <c r="Y1298" s="64" t="s">
        <v>4515</v>
      </c>
      <c r="Z1298" s="68"/>
    </row>
    <row r="1299" ht="15.0" customHeight="1">
      <c r="A1299" s="333">
        <v>45976.0</v>
      </c>
      <c r="B1299" s="201" t="s">
        <v>6186</v>
      </c>
      <c r="C1299" s="45" t="s">
        <v>6187</v>
      </c>
      <c r="D1299" s="140" t="str">
        <f>IFERROR(VLOOKUP(C1299,Stock,3,FALSE),"")</f>
        <v>Honda Freed 08-16 1st Gen (Honda)</v>
      </c>
      <c r="E1299" s="45">
        <v>1.0</v>
      </c>
      <c r="F1299" s="198">
        <v>2882000.0</v>
      </c>
      <c r="G1299" s="142">
        <f t="shared" si="40"/>
        <v>2882000</v>
      </c>
      <c r="H1299" s="142"/>
      <c r="I1299" s="143">
        <f t="shared" si="38"/>
        <v>2882000</v>
      </c>
      <c r="J1299" s="144">
        <f t="shared" si="39"/>
        <v>2882000</v>
      </c>
      <c r="K1299" s="108" t="s">
        <v>6188</v>
      </c>
      <c r="L1299" s="199" t="s">
        <v>6189</v>
      </c>
      <c r="M1299" s="17"/>
      <c r="N1299" s="64" t="s">
        <v>6190</v>
      </c>
      <c r="O1299" s="64" t="s">
        <v>6191</v>
      </c>
      <c r="P1299" s="147" t="s">
        <v>4672</v>
      </c>
      <c r="Q1299" s="149"/>
      <c r="R1299" s="141"/>
      <c r="S1299" s="141"/>
      <c r="T1299" s="141">
        <v>2882000.0</v>
      </c>
      <c r="U1299" s="149"/>
      <c r="V1299" s="149"/>
      <c r="W1299" s="149"/>
      <c r="X1299" s="64" t="s">
        <v>3810</v>
      </c>
      <c r="Y1299" s="64" t="s">
        <v>4515</v>
      </c>
      <c r="Z1299" s="68"/>
    </row>
    <row r="1300" ht="15.0" customHeight="1">
      <c r="A1300" s="333">
        <v>45977.0</v>
      </c>
      <c r="B1300" s="201" t="s">
        <v>6192</v>
      </c>
      <c r="C1300" s="45" t="s">
        <v>3160</v>
      </c>
      <c r="D1300" s="140" t="str">
        <f>IFERROR(VLOOKUP(C1300,Stock,3,FALSE),"")</f>
        <v>Honda Brio 10- (Honda)</v>
      </c>
      <c r="E1300" s="45">
        <v>1.0</v>
      </c>
      <c r="F1300" s="198">
        <v>715000.0</v>
      </c>
      <c r="G1300" s="142">
        <f t="shared" si="40"/>
        <v>715000</v>
      </c>
      <c r="H1300" s="142"/>
      <c r="I1300" s="143">
        <f t="shared" si="38"/>
        <v>715000</v>
      </c>
      <c r="J1300" s="144">
        <f t="shared" si="39"/>
        <v>715000</v>
      </c>
      <c r="K1300" s="108" t="s">
        <v>6193</v>
      </c>
      <c r="L1300" s="199" t="s">
        <v>6194</v>
      </c>
      <c r="M1300" s="17"/>
      <c r="N1300" s="64" t="s">
        <v>6195</v>
      </c>
      <c r="O1300" s="64" t="s">
        <v>6196</v>
      </c>
      <c r="P1300" s="147" t="s">
        <v>4672</v>
      </c>
      <c r="Q1300" s="149"/>
      <c r="R1300" s="141"/>
      <c r="S1300" s="141"/>
      <c r="T1300" s="141">
        <v>75000.0</v>
      </c>
      <c r="U1300" s="149"/>
      <c r="V1300" s="149"/>
      <c r="W1300" s="149"/>
      <c r="X1300" s="64" t="s">
        <v>3810</v>
      </c>
      <c r="Y1300" s="64" t="s">
        <v>4515</v>
      </c>
      <c r="Z1300" s="68"/>
    </row>
    <row r="1301" ht="15.0" customHeight="1">
      <c r="A1301" s="333">
        <v>45977.0</v>
      </c>
      <c r="B1301" s="201" t="s">
        <v>6192</v>
      </c>
      <c r="C1301" s="45" t="s">
        <v>2770</v>
      </c>
      <c r="D1301" s="140" t="str">
        <f>IFERROR(VLOOKUP(C1301,Stock,3,FALSE),"")</f>
        <v>Transport</v>
      </c>
      <c r="E1301" s="45">
        <v>1.0</v>
      </c>
      <c r="F1301" s="198">
        <v>180000.0</v>
      </c>
      <c r="G1301" s="142">
        <f t="shared" si="40"/>
        <v>180000</v>
      </c>
      <c r="H1301" s="142"/>
      <c r="I1301" s="143">
        <f t="shared" si="38"/>
        <v>180000</v>
      </c>
      <c r="J1301" s="144">
        <f t="shared" si="39"/>
        <v>180000</v>
      </c>
      <c r="K1301" s="108" t="s">
        <v>6193</v>
      </c>
      <c r="L1301" s="199" t="s">
        <v>6194</v>
      </c>
      <c r="M1301" s="17"/>
      <c r="N1301" s="64" t="s">
        <v>6195</v>
      </c>
      <c r="O1301" s="64" t="s">
        <v>6196</v>
      </c>
      <c r="P1301" s="147" t="s">
        <v>4672</v>
      </c>
      <c r="Q1301" s="149"/>
      <c r="R1301" s="141"/>
      <c r="S1301" s="141"/>
      <c r="T1301" s="141">
        <v>970000.0</v>
      </c>
      <c r="U1301" s="149"/>
      <c r="V1301" s="149"/>
      <c r="W1301" s="149"/>
      <c r="X1301" s="64" t="s">
        <v>3810</v>
      </c>
      <c r="Y1301" s="64" t="s">
        <v>4515</v>
      </c>
      <c r="Z1301" s="68"/>
    </row>
    <row r="1302" ht="15.0" customHeight="1">
      <c r="A1302" s="333">
        <v>45977.0</v>
      </c>
      <c r="B1302" s="201" t="s">
        <v>6192</v>
      </c>
      <c r="C1302" s="45" t="s">
        <v>2962</v>
      </c>
      <c r="D1302" s="140" t="str">
        <f>IFERROR(VLOOKUP(C1302,Stock,3,FALSE),"")</f>
        <v>Lembur</v>
      </c>
      <c r="E1302" s="45">
        <v>1.0</v>
      </c>
      <c r="F1302" s="198">
        <v>150000.0</v>
      </c>
      <c r="G1302" s="142">
        <f t="shared" si="40"/>
        <v>150000</v>
      </c>
      <c r="H1302" s="142"/>
      <c r="I1302" s="143">
        <f t="shared" si="38"/>
        <v>150000</v>
      </c>
      <c r="J1302" s="144">
        <f t="shared" si="39"/>
        <v>150000</v>
      </c>
      <c r="K1302" s="108" t="s">
        <v>6193</v>
      </c>
      <c r="L1302" s="199" t="s">
        <v>6194</v>
      </c>
      <c r="M1302" s="17"/>
      <c r="N1302" s="64" t="s">
        <v>6195</v>
      </c>
      <c r="O1302" s="64" t="s">
        <v>6196</v>
      </c>
      <c r="P1302" s="147" t="s">
        <v>4672</v>
      </c>
      <c r="Q1302" s="149"/>
      <c r="R1302" s="149"/>
      <c r="S1302" s="149"/>
      <c r="T1302" s="149"/>
      <c r="U1302" s="149"/>
      <c r="V1302" s="149"/>
      <c r="W1302" s="149"/>
      <c r="X1302" s="64" t="s">
        <v>3810</v>
      </c>
      <c r="Y1302" s="64" t="s">
        <v>4515</v>
      </c>
      <c r="Z1302" s="68"/>
    </row>
    <row r="1303" ht="15.0" customHeight="1">
      <c r="A1303" s="333">
        <v>45977.0</v>
      </c>
      <c r="B1303" s="201" t="s">
        <v>6197</v>
      </c>
      <c r="C1303" s="45" t="s">
        <v>3142</v>
      </c>
      <c r="D1303" s="140" t="str">
        <f>IFERROR(VLOOKUP(C1303,Stock,3,FALSE),"")</f>
        <v>Mitsubishi Xpander 17-</v>
      </c>
      <c r="E1303" s="45">
        <v>1.0</v>
      </c>
      <c r="F1303" s="198">
        <v>1598000.0</v>
      </c>
      <c r="G1303" s="142">
        <f t="shared" si="40"/>
        <v>1598000</v>
      </c>
      <c r="H1303" s="142"/>
      <c r="I1303" s="143">
        <f t="shared" si="38"/>
        <v>1598000</v>
      </c>
      <c r="J1303" s="144">
        <f t="shared" si="39"/>
        <v>1598000</v>
      </c>
      <c r="K1303" s="108" t="s">
        <v>6198</v>
      </c>
      <c r="L1303" s="199" t="s">
        <v>6199</v>
      </c>
      <c r="M1303" s="17"/>
      <c r="N1303" s="64" t="s">
        <v>6200</v>
      </c>
      <c r="O1303" s="64" t="s">
        <v>6201</v>
      </c>
      <c r="P1303" s="147" t="s">
        <v>4672</v>
      </c>
      <c r="Q1303" s="149"/>
      <c r="R1303" s="141"/>
      <c r="S1303" s="141"/>
      <c r="T1303" s="141">
        <v>50000.0</v>
      </c>
      <c r="U1303" s="149"/>
      <c r="V1303" s="149"/>
      <c r="W1303" s="149"/>
      <c r="X1303" s="64" t="s">
        <v>3810</v>
      </c>
      <c r="Y1303" s="64" t="s">
        <v>4515</v>
      </c>
      <c r="Z1303" s="68"/>
    </row>
    <row r="1304" ht="15.0" customHeight="1">
      <c r="A1304" s="333">
        <v>45977.0</v>
      </c>
      <c r="B1304" s="201" t="s">
        <v>6197</v>
      </c>
      <c r="C1304" s="45" t="s">
        <v>2770</v>
      </c>
      <c r="D1304" s="140" t="str">
        <f>IFERROR(VLOOKUP(C1304,Stock,3,FALSE),"")</f>
        <v>Transport</v>
      </c>
      <c r="E1304" s="45">
        <v>1.0</v>
      </c>
      <c r="F1304" s="198">
        <v>200000.0</v>
      </c>
      <c r="G1304" s="142">
        <f t="shared" si="40"/>
        <v>200000</v>
      </c>
      <c r="H1304" s="142"/>
      <c r="I1304" s="143">
        <f t="shared" si="38"/>
        <v>200000</v>
      </c>
      <c r="J1304" s="144">
        <f t="shared" si="39"/>
        <v>200000</v>
      </c>
      <c r="K1304" s="108" t="s">
        <v>6198</v>
      </c>
      <c r="L1304" s="199" t="s">
        <v>6199</v>
      </c>
      <c r="M1304" s="17"/>
      <c r="N1304" s="64" t="s">
        <v>6200</v>
      </c>
      <c r="O1304" s="64" t="s">
        <v>6201</v>
      </c>
      <c r="P1304" s="147" t="s">
        <v>4672</v>
      </c>
      <c r="Q1304" s="149"/>
      <c r="R1304" s="141"/>
      <c r="S1304" s="141"/>
      <c r="T1304" s="141">
        <v>1898000.0</v>
      </c>
      <c r="U1304" s="149"/>
      <c r="V1304" s="149"/>
      <c r="W1304" s="149"/>
      <c r="X1304" s="64" t="s">
        <v>3810</v>
      </c>
      <c r="Y1304" s="64" t="s">
        <v>4515</v>
      </c>
      <c r="Z1304" s="68"/>
    </row>
    <row r="1305" ht="15.0" customHeight="1">
      <c r="A1305" s="333">
        <v>45977.0</v>
      </c>
      <c r="B1305" s="201" t="s">
        <v>6197</v>
      </c>
      <c r="C1305" s="45" t="s">
        <v>2962</v>
      </c>
      <c r="D1305" s="140" t="str">
        <f>IFERROR(VLOOKUP(C1305,Stock,3,FALSE),"")</f>
        <v>Lembur</v>
      </c>
      <c r="E1305" s="45">
        <v>1.0</v>
      </c>
      <c r="F1305" s="198">
        <v>150000.0</v>
      </c>
      <c r="G1305" s="142">
        <f t="shared" si="40"/>
        <v>150000</v>
      </c>
      <c r="H1305" s="142"/>
      <c r="I1305" s="143">
        <f t="shared" si="38"/>
        <v>150000</v>
      </c>
      <c r="J1305" s="144">
        <f t="shared" si="39"/>
        <v>150000</v>
      </c>
      <c r="K1305" s="108" t="s">
        <v>6198</v>
      </c>
      <c r="L1305" s="199" t="s">
        <v>6199</v>
      </c>
      <c r="M1305" s="17"/>
      <c r="N1305" s="64" t="s">
        <v>6200</v>
      </c>
      <c r="O1305" s="64" t="s">
        <v>6201</v>
      </c>
      <c r="P1305" s="147" t="s">
        <v>4672</v>
      </c>
      <c r="Q1305" s="149"/>
      <c r="R1305" s="149"/>
      <c r="S1305" s="149"/>
      <c r="T1305" s="149"/>
      <c r="U1305" s="149"/>
      <c r="V1305" s="149"/>
      <c r="W1305" s="149"/>
      <c r="X1305" s="64" t="s">
        <v>3810</v>
      </c>
      <c r="Y1305" s="64" t="s">
        <v>4515</v>
      </c>
      <c r="Z1305" s="68"/>
    </row>
    <row r="1306" ht="15.0" customHeight="1">
      <c r="A1306" s="333">
        <v>45977.0</v>
      </c>
      <c r="B1306" s="201" t="s">
        <v>6202</v>
      </c>
      <c r="C1306" s="64" t="s">
        <v>4720</v>
      </c>
      <c r="D1306" s="140" t="str">
        <f>IFERROR(VLOOKUP(C1306,Stock,3,FALSE),"")</f>
        <v>Honda Jazz 13-  3rd Gen (Honda)</v>
      </c>
      <c r="E1306" s="45">
        <v>1.0</v>
      </c>
      <c r="F1306" s="198">
        <v>2599000.0</v>
      </c>
      <c r="G1306" s="142">
        <f t="shared" si="40"/>
        <v>2599000</v>
      </c>
      <c r="H1306" s="142"/>
      <c r="I1306" s="143">
        <f t="shared" si="38"/>
        <v>2599000</v>
      </c>
      <c r="J1306" s="144">
        <f t="shared" si="39"/>
        <v>2599000</v>
      </c>
      <c r="K1306" s="108" t="s">
        <v>6203</v>
      </c>
      <c r="L1306" s="45" t="s">
        <v>6204</v>
      </c>
      <c r="M1306" s="17"/>
      <c r="N1306" s="64" t="s">
        <v>6205</v>
      </c>
      <c r="O1306" s="64" t="s">
        <v>2813</v>
      </c>
      <c r="P1306" s="147" t="s">
        <v>4672</v>
      </c>
      <c r="Q1306" s="149"/>
      <c r="R1306" s="141"/>
      <c r="S1306" s="141"/>
      <c r="T1306" s="141">
        <v>2599000.0</v>
      </c>
      <c r="U1306" s="149"/>
      <c r="V1306" s="149"/>
      <c r="W1306" s="149"/>
      <c r="X1306" s="64" t="s">
        <v>3810</v>
      </c>
      <c r="Y1306" s="64" t="s">
        <v>4515</v>
      </c>
      <c r="Z1306" s="68"/>
    </row>
    <row r="1307" ht="15.0" customHeight="1">
      <c r="A1307" s="333">
        <v>45977.0</v>
      </c>
      <c r="B1307" s="201" t="s">
        <v>6202</v>
      </c>
      <c r="C1307" s="45" t="s">
        <v>2962</v>
      </c>
      <c r="D1307" s="140" t="str">
        <f>IFERROR(VLOOKUP(C1307,Stock,3,FALSE),"")</f>
        <v>Lembur</v>
      </c>
      <c r="E1307" s="45">
        <v>1.0</v>
      </c>
      <c r="F1307" s="198">
        <v>100000.0</v>
      </c>
      <c r="G1307" s="142">
        <f t="shared" si="40"/>
        <v>100000</v>
      </c>
      <c r="H1307" s="142"/>
      <c r="I1307" s="143">
        <f t="shared" si="38"/>
        <v>100000</v>
      </c>
      <c r="J1307" s="144">
        <f t="shared" si="39"/>
        <v>100000</v>
      </c>
      <c r="K1307" s="108" t="s">
        <v>6203</v>
      </c>
      <c r="L1307" s="45" t="s">
        <v>6204</v>
      </c>
      <c r="M1307" s="17"/>
      <c r="N1307" s="64" t="s">
        <v>6205</v>
      </c>
      <c r="O1307" s="64" t="s">
        <v>2813</v>
      </c>
      <c r="P1307" s="147" t="s">
        <v>4672</v>
      </c>
      <c r="Q1307" s="149"/>
      <c r="R1307" s="149"/>
      <c r="S1307" s="149"/>
      <c r="T1307" s="149"/>
      <c r="U1307" s="149"/>
      <c r="V1307" s="149"/>
      <c r="W1307" s="149"/>
      <c r="X1307" s="64" t="s">
        <v>3810</v>
      </c>
      <c r="Y1307" s="64" t="s">
        <v>4515</v>
      </c>
      <c r="Z1307" s="68"/>
    </row>
    <row r="1308" ht="15.0" customHeight="1">
      <c r="A1308" s="333">
        <v>45978.0</v>
      </c>
      <c r="B1308" s="201" t="s">
        <v>6206</v>
      </c>
      <c r="C1308" s="45" t="s">
        <v>3515</v>
      </c>
      <c r="D1308" s="140" t="str">
        <f>IFERROR(VLOOKUP(C1308,Stock,3,FALSE),"")</f>
        <v>Suzuki Ertiga 18- 2nd Gen / XL7 (Suzuki)</v>
      </c>
      <c r="E1308" s="45">
        <v>1.0</v>
      </c>
      <c r="F1308" s="198">
        <v>1022000.0</v>
      </c>
      <c r="G1308" s="142">
        <f t="shared" si="40"/>
        <v>1022000</v>
      </c>
      <c r="H1308" s="142"/>
      <c r="I1308" s="143">
        <f t="shared" si="38"/>
        <v>1022000</v>
      </c>
      <c r="J1308" s="144">
        <f t="shared" si="39"/>
        <v>1022000</v>
      </c>
      <c r="K1308" s="108" t="s">
        <v>2979</v>
      </c>
      <c r="L1308" s="199" t="s">
        <v>6207</v>
      </c>
      <c r="M1308" s="17"/>
      <c r="N1308" s="64" t="s">
        <v>6208</v>
      </c>
      <c r="O1308" s="64" t="s">
        <v>3007</v>
      </c>
      <c r="P1308" s="147" t="s">
        <v>4672</v>
      </c>
      <c r="Q1308" s="149"/>
      <c r="R1308" s="141"/>
      <c r="S1308" s="141"/>
      <c r="T1308" s="141">
        <v>50000.0</v>
      </c>
      <c r="U1308" s="149"/>
      <c r="V1308" s="149"/>
      <c r="W1308" s="149"/>
      <c r="X1308" s="64" t="s">
        <v>3810</v>
      </c>
      <c r="Y1308" s="64" t="s">
        <v>4515</v>
      </c>
      <c r="Z1308" s="68"/>
    </row>
    <row r="1309" ht="15.0" customHeight="1">
      <c r="A1309" s="333">
        <v>45978.0</v>
      </c>
      <c r="B1309" s="201" t="s">
        <v>6206</v>
      </c>
      <c r="C1309" s="45" t="s">
        <v>2770</v>
      </c>
      <c r="D1309" s="140" t="str">
        <f>IFERROR(VLOOKUP(C1309,Stock,3,FALSE),"")</f>
        <v>Transport</v>
      </c>
      <c r="E1309" s="45">
        <v>1.0</v>
      </c>
      <c r="F1309" s="198">
        <v>300000.0</v>
      </c>
      <c r="G1309" s="142">
        <f t="shared" si="40"/>
        <v>300000</v>
      </c>
      <c r="H1309" s="142"/>
      <c r="I1309" s="143">
        <f t="shared" si="38"/>
        <v>300000</v>
      </c>
      <c r="J1309" s="144">
        <f t="shared" si="39"/>
        <v>300000</v>
      </c>
      <c r="K1309" s="108" t="s">
        <v>2979</v>
      </c>
      <c r="L1309" s="199" t="s">
        <v>6207</v>
      </c>
      <c r="M1309" s="17"/>
      <c r="N1309" s="64" t="s">
        <v>6208</v>
      </c>
      <c r="O1309" s="64" t="s">
        <v>3007</v>
      </c>
      <c r="P1309" s="147" t="s">
        <v>4672</v>
      </c>
      <c r="Q1309" s="149"/>
      <c r="R1309" s="141"/>
      <c r="S1309" s="141"/>
      <c r="T1309" s="141">
        <v>1272000.0</v>
      </c>
      <c r="U1309" s="149"/>
      <c r="V1309" s="149"/>
      <c r="W1309" s="149"/>
      <c r="X1309" s="64" t="s">
        <v>3810</v>
      </c>
      <c r="Y1309" s="64" t="s">
        <v>4515</v>
      </c>
      <c r="Z1309" s="68"/>
    </row>
    <row r="1310" ht="15.0" customHeight="1">
      <c r="A1310" s="333">
        <v>45978.0</v>
      </c>
      <c r="B1310" s="201" t="s">
        <v>6209</v>
      </c>
      <c r="C1310" s="45" t="s">
        <v>3727</v>
      </c>
      <c r="D1310" s="140" t="str">
        <f>IFERROR(VLOOKUP(C1310,Stock,3,FALSE),"")</f>
        <v>Toyota Innova 15- 2nd Gen</v>
      </c>
      <c r="E1310" s="45">
        <v>1.0</v>
      </c>
      <c r="F1310" s="198">
        <v>1614000.0</v>
      </c>
      <c r="G1310" s="142">
        <f t="shared" si="40"/>
        <v>1614000</v>
      </c>
      <c r="H1310" s="142"/>
      <c r="I1310" s="143">
        <f t="shared" si="38"/>
        <v>1614000</v>
      </c>
      <c r="J1310" s="144">
        <f t="shared" si="39"/>
        <v>1614000</v>
      </c>
      <c r="K1310" s="108" t="s">
        <v>6210</v>
      </c>
      <c r="L1310" s="199" t="s">
        <v>6211</v>
      </c>
      <c r="M1310" s="17"/>
      <c r="N1310" s="64" t="s">
        <v>6212</v>
      </c>
      <c r="O1310" s="64" t="s">
        <v>2813</v>
      </c>
      <c r="P1310" s="147" t="s">
        <v>4672</v>
      </c>
      <c r="Q1310" s="149"/>
      <c r="R1310" s="141"/>
      <c r="S1310" s="141"/>
      <c r="T1310" s="141">
        <v>1614000.0</v>
      </c>
      <c r="U1310" s="149"/>
      <c r="V1310" s="149"/>
      <c r="W1310" s="149"/>
      <c r="X1310" s="64" t="s">
        <v>3810</v>
      </c>
      <c r="Y1310" s="64" t="s">
        <v>4515</v>
      </c>
      <c r="Z1310" s="68"/>
    </row>
    <row r="1311" ht="15.0" customHeight="1">
      <c r="A1311" s="333">
        <v>45978.0</v>
      </c>
      <c r="B1311" s="201" t="s">
        <v>6213</v>
      </c>
      <c r="C1311" s="45" t="s">
        <v>4144</v>
      </c>
      <c r="D1311" s="140" t="str">
        <f>IFERROR(VLOOKUP(C1311,Stock,3,FALSE),"")</f>
        <v>Toyota Rush / Terios 06-17</v>
      </c>
      <c r="E1311" s="45">
        <v>1.0</v>
      </c>
      <c r="F1311" s="198">
        <v>1250000.0</v>
      </c>
      <c r="G1311" s="142">
        <f t="shared" si="40"/>
        <v>1250000</v>
      </c>
      <c r="H1311" s="142"/>
      <c r="I1311" s="143">
        <f t="shared" si="38"/>
        <v>1250000</v>
      </c>
      <c r="J1311" s="144">
        <f t="shared" si="39"/>
        <v>1250000</v>
      </c>
      <c r="K1311" s="108" t="s">
        <v>6214</v>
      </c>
      <c r="L1311" s="199" t="s">
        <v>6215</v>
      </c>
      <c r="M1311" s="17"/>
      <c r="N1311" s="64" t="s">
        <v>6216</v>
      </c>
      <c r="O1311" s="64" t="s">
        <v>3033</v>
      </c>
      <c r="P1311" s="147" t="s">
        <v>4672</v>
      </c>
      <c r="Q1311" s="149"/>
      <c r="R1311" s="141"/>
      <c r="S1311" s="141"/>
      <c r="T1311" s="141">
        <v>1250000.0</v>
      </c>
      <c r="U1311" s="149"/>
      <c r="V1311" s="149"/>
      <c r="W1311" s="149"/>
      <c r="X1311" s="64" t="s">
        <v>3810</v>
      </c>
      <c r="Y1311" s="64" t="s">
        <v>4515</v>
      </c>
      <c r="Z1311" s="68"/>
    </row>
    <row r="1312" ht="15.0" customHeight="1">
      <c r="A1312" s="333">
        <v>45978.0</v>
      </c>
      <c r="B1312" s="201" t="s">
        <v>6217</v>
      </c>
      <c r="C1312" s="45" t="s">
        <v>3378</v>
      </c>
      <c r="D1312" s="140" t="str">
        <f>IFERROR(VLOOKUP(C1312,Stock,3,FALSE),"")</f>
        <v>Suzuki APV 03- Pickup/ Van</v>
      </c>
      <c r="E1312" s="45">
        <v>1.0</v>
      </c>
      <c r="F1312" s="198">
        <v>1327000.0</v>
      </c>
      <c r="G1312" s="142">
        <f t="shared" si="40"/>
        <v>1327000</v>
      </c>
      <c r="H1312" s="142"/>
      <c r="I1312" s="143">
        <f t="shared" si="38"/>
        <v>1327000</v>
      </c>
      <c r="J1312" s="144">
        <f t="shared" si="39"/>
        <v>1327000</v>
      </c>
      <c r="K1312" s="108" t="s">
        <v>6218</v>
      </c>
      <c r="L1312" s="199" t="s">
        <v>6219</v>
      </c>
      <c r="M1312" s="17"/>
      <c r="N1312" s="64" t="s">
        <v>6220</v>
      </c>
      <c r="O1312" s="64" t="s">
        <v>2813</v>
      </c>
      <c r="P1312" s="147" t="s">
        <v>4672</v>
      </c>
      <c r="Q1312" s="149"/>
      <c r="R1312" s="141"/>
      <c r="S1312" s="141"/>
      <c r="T1312" s="141">
        <v>50000.0</v>
      </c>
      <c r="U1312" s="149"/>
      <c r="V1312" s="149"/>
      <c r="W1312" s="149"/>
      <c r="X1312" s="64" t="s">
        <v>3810</v>
      </c>
      <c r="Y1312" s="64" t="s">
        <v>4515</v>
      </c>
      <c r="Z1312" s="68"/>
    </row>
    <row r="1313" ht="15.0" customHeight="1">
      <c r="A1313" s="333">
        <v>45978.0</v>
      </c>
      <c r="B1313" s="201" t="s">
        <v>6217</v>
      </c>
      <c r="C1313" s="45" t="s">
        <v>2770</v>
      </c>
      <c r="D1313" s="140" t="str">
        <f>IFERROR(VLOOKUP(C1313,Stock,3,FALSE),"")</f>
        <v>Transport</v>
      </c>
      <c r="E1313" s="45">
        <v>1.0</v>
      </c>
      <c r="F1313" s="198">
        <v>50000.0</v>
      </c>
      <c r="G1313" s="142">
        <f t="shared" si="40"/>
        <v>50000</v>
      </c>
      <c r="H1313" s="142"/>
      <c r="I1313" s="143">
        <f t="shared" si="38"/>
        <v>50000</v>
      </c>
      <c r="J1313" s="144">
        <f t="shared" si="39"/>
        <v>50000</v>
      </c>
      <c r="K1313" s="108" t="s">
        <v>6218</v>
      </c>
      <c r="L1313" s="199" t="s">
        <v>6219</v>
      </c>
      <c r="M1313" s="17"/>
      <c r="N1313" s="64" t="s">
        <v>6220</v>
      </c>
      <c r="O1313" s="64" t="s">
        <v>2813</v>
      </c>
      <c r="P1313" s="147" t="s">
        <v>4672</v>
      </c>
      <c r="Q1313" s="141">
        <v>1327000.0</v>
      </c>
      <c r="R1313" s="149"/>
      <c r="S1313" s="149"/>
      <c r="T1313" s="149"/>
      <c r="U1313" s="149"/>
      <c r="V1313" s="149"/>
      <c r="W1313" s="149"/>
      <c r="X1313" s="64" t="s">
        <v>3810</v>
      </c>
      <c r="Y1313" s="64" t="s">
        <v>4515</v>
      </c>
      <c r="Z1313" s="68"/>
    </row>
    <row r="1314" ht="15.0" customHeight="1">
      <c r="A1314" s="333">
        <v>45978.0</v>
      </c>
      <c r="B1314" s="201" t="s">
        <v>6221</v>
      </c>
      <c r="C1314" s="45" t="s">
        <v>3142</v>
      </c>
      <c r="D1314" s="140" t="str">
        <f>IFERROR(VLOOKUP(C1314,Stock,3,FALSE),"")</f>
        <v>Mitsubishi Xpander 17-</v>
      </c>
      <c r="E1314" s="45">
        <v>1.0</v>
      </c>
      <c r="F1314" s="198">
        <v>1598000.0</v>
      </c>
      <c r="G1314" s="142">
        <f t="shared" si="40"/>
        <v>1598000</v>
      </c>
      <c r="H1314" s="142"/>
      <c r="I1314" s="143">
        <f t="shared" si="38"/>
        <v>1598000</v>
      </c>
      <c r="J1314" s="144">
        <f t="shared" si="39"/>
        <v>1598000</v>
      </c>
      <c r="K1314" s="108" t="s">
        <v>6222</v>
      </c>
      <c r="L1314" s="199" t="s">
        <v>6223</v>
      </c>
      <c r="M1314" s="17"/>
      <c r="N1314" s="64" t="s">
        <v>6224</v>
      </c>
      <c r="O1314" s="64" t="s">
        <v>2813</v>
      </c>
      <c r="P1314" s="147" t="s">
        <v>4672</v>
      </c>
      <c r="Q1314" s="149"/>
      <c r="R1314" s="141"/>
      <c r="S1314" s="141"/>
      <c r="T1314" s="141">
        <v>1798000.0</v>
      </c>
      <c r="U1314" s="149"/>
      <c r="V1314" s="149"/>
      <c r="W1314" s="149"/>
      <c r="X1314" s="64" t="s">
        <v>3810</v>
      </c>
      <c r="Y1314" s="64" t="s">
        <v>4515</v>
      </c>
      <c r="Z1314" s="68"/>
    </row>
    <row r="1315" ht="15.0" customHeight="1">
      <c r="A1315" s="333">
        <v>45978.0</v>
      </c>
      <c r="B1315" s="201" t="s">
        <v>6221</v>
      </c>
      <c r="C1315" s="45" t="s">
        <v>4979</v>
      </c>
      <c r="D1315" s="140" t="str">
        <f>IFERROR(VLOOKUP(C1315,Stock,3,FALSE),"")</f>
        <v>255 Ultra + Actv-100 Application</v>
      </c>
      <c r="E1315" s="45">
        <v>1.0</v>
      </c>
      <c r="F1315" s="198">
        <v>200000.0</v>
      </c>
      <c r="G1315" s="142">
        <f t="shared" si="40"/>
        <v>200000</v>
      </c>
      <c r="H1315" s="142"/>
      <c r="I1315" s="143">
        <f t="shared" si="38"/>
        <v>200000</v>
      </c>
      <c r="J1315" s="144">
        <f t="shared" si="39"/>
        <v>200000</v>
      </c>
      <c r="K1315" s="108" t="s">
        <v>6222</v>
      </c>
      <c r="L1315" s="199" t="s">
        <v>6223</v>
      </c>
      <c r="M1315" s="17"/>
      <c r="N1315" s="64" t="s">
        <v>6224</v>
      </c>
      <c r="O1315" s="64" t="s">
        <v>2813</v>
      </c>
      <c r="P1315" s="147" t="s">
        <v>4672</v>
      </c>
      <c r="Q1315" s="149"/>
      <c r="R1315" s="149"/>
      <c r="S1315" s="149"/>
      <c r="T1315" s="149"/>
      <c r="U1315" s="149"/>
      <c r="V1315" s="149"/>
      <c r="W1315" s="149"/>
      <c r="X1315" s="64" t="s">
        <v>3810</v>
      </c>
      <c r="Y1315" s="64" t="s">
        <v>4515</v>
      </c>
      <c r="Z1315" s="68"/>
    </row>
    <row r="1316" ht="15.0" customHeight="1">
      <c r="A1316" s="333">
        <v>45979.0</v>
      </c>
      <c r="B1316" s="201" t="s">
        <v>6225</v>
      </c>
      <c r="C1316" s="45" t="s">
        <v>5970</v>
      </c>
      <c r="D1316" s="140" t="str">
        <f>IFERROR(VLOOKUP(C1316,Stock,3,FALSE),"")</f>
        <v>Honda CR-V 12-16 4th Gen</v>
      </c>
      <c r="E1316" s="45">
        <v>1.0</v>
      </c>
      <c r="F1316" s="198">
        <v>1849000.0</v>
      </c>
      <c r="G1316" s="142">
        <f t="shared" si="40"/>
        <v>1849000</v>
      </c>
      <c r="H1316" s="142"/>
      <c r="I1316" s="143">
        <f t="shared" si="38"/>
        <v>1849000</v>
      </c>
      <c r="J1316" s="144">
        <f t="shared" si="39"/>
        <v>1849000</v>
      </c>
      <c r="K1316" s="108" t="s">
        <v>6226</v>
      </c>
      <c r="L1316" s="199" t="s">
        <v>6227</v>
      </c>
      <c r="M1316" s="17"/>
      <c r="N1316" s="64" t="s">
        <v>6228</v>
      </c>
      <c r="O1316" s="64" t="s">
        <v>4868</v>
      </c>
      <c r="P1316" s="147" t="s">
        <v>4672</v>
      </c>
      <c r="Q1316" s="149"/>
      <c r="R1316" s="141"/>
      <c r="S1316" s="141"/>
      <c r="T1316" s="141">
        <v>50000.0</v>
      </c>
      <c r="U1316" s="149"/>
      <c r="V1316" s="149"/>
      <c r="W1316" s="149"/>
      <c r="X1316" s="64" t="s">
        <v>3810</v>
      </c>
      <c r="Y1316" s="64" t="s">
        <v>4515</v>
      </c>
      <c r="Z1316" s="68"/>
    </row>
    <row r="1317" ht="15.0" customHeight="1">
      <c r="A1317" s="333">
        <v>45979.0</v>
      </c>
      <c r="B1317" s="201" t="s">
        <v>6225</v>
      </c>
      <c r="C1317" s="45" t="s">
        <v>2770</v>
      </c>
      <c r="D1317" s="140" t="str">
        <f>IFERROR(VLOOKUP(C1317,Stock,3,FALSE),"")</f>
        <v>Transport</v>
      </c>
      <c r="E1317" s="45">
        <v>1.0</v>
      </c>
      <c r="F1317" s="198">
        <v>151000.0</v>
      </c>
      <c r="G1317" s="142">
        <f t="shared" si="40"/>
        <v>151000</v>
      </c>
      <c r="H1317" s="142"/>
      <c r="I1317" s="143">
        <f t="shared" si="38"/>
        <v>151000</v>
      </c>
      <c r="J1317" s="144">
        <f t="shared" si="39"/>
        <v>151000</v>
      </c>
      <c r="K1317" s="108" t="s">
        <v>6226</v>
      </c>
      <c r="L1317" s="199" t="s">
        <v>6227</v>
      </c>
      <c r="M1317" s="17"/>
      <c r="N1317" s="64" t="s">
        <v>6228</v>
      </c>
      <c r="O1317" s="64" t="s">
        <v>4868</v>
      </c>
      <c r="P1317" s="147" t="s">
        <v>4672</v>
      </c>
      <c r="Q1317" s="141">
        <v>1950000.0</v>
      </c>
      <c r="R1317" s="149"/>
      <c r="S1317" s="149"/>
      <c r="T1317" s="149"/>
      <c r="U1317" s="149"/>
      <c r="V1317" s="149"/>
      <c r="W1317" s="149"/>
      <c r="X1317" s="64" t="s">
        <v>3810</v>
      </c>
      <c r="Y1317" s="64" t="s">
        <v>4515</v>
      </c>
      <c r="Z1317" s="68"/>
    </row>
    <row r="1318" ht="15.0" customHeight="1">
      <c r="A1318" s="333">
        <v>45979.0</v>
      </c>
      <c r="B1318" s="201" t="s">
        <v>6229</v>
      </c>
      <c r="C1318" s="45" t="s">
        <v>6230</v>
      </c>
      <c r="D1318" s="140" t="str">
        <f>IFERROR(VLOOKUP(C1318,Stock,3,FALSE),"")</f>
        <v>Mitsubishi Canter FE700 01- (PS110,125)</v>
      </c>
      <c r="E1318" s="45">
        <v>1.0</v>
      </c>
      <c r="F1318" s="198">
        <v>600000.0</v>
      </c>
      <c r="G1318" s="142">
        <f t="shared" si="40"/>
        <v>600000</v>
      </c>
      <c r="H1318" s="142"/>
      <c r="I1318" s="143">
        <f t="shared" si="38"/>
        <v>600000</v>
      </c>
      <c r="J1318" s="144">
        <f t="shared" si="39"/>
        <v>600000</v>
      </c>
      <c r="K1318" s="108" t="s">
        <v>6231</v>
      </c>
      <c r="L1318" s="199" t="s">
        <v>6232</v>
      </c>
      <c r="M1318" s="45"/>
      <c r="N1318" s="64" t="s">
        <v>6233</v>
      </c>
      <c r="O1318" s="64" t="s">
        <v>2813</v>
      </c>
      <c r="P1318" s="147" t="s">
        <v>4672</v>
      </c>
      <c r="Q1318" s="149"/>
      <c r="R1318" s="141"/>
      <c r="S1318" s="141"/>
      <c r="T1318" s="141">
        <v>50000.0</v>
      </c>
      <c r="U1318" s="149"/>
      <c r="V1318" s="149"/>
      <c r="W1318" s="149"/>
      <c r="X1318" s="64" t="s">
        <v>3810</v>
      </c>
      <c r="Y1318" s="64" t="s">
        <v>4515</v>
      </c>
      <c r="Z1318" s="68"/>
    </row>
    <row r="1319" ht="15.0" customHeight="1">
      <c r="A1319" s="333">
        <v>45979.0</v>
      </c>
      <c r="B1319" s="201" t="s">
        <v>6229</v>
      </c>
      <c r="C1319" s="45" t="s">
        <v>2770</v>
      </c>
      <c r="D1319" s="140" t="str">
        <f>IFERROR(VLOOKUP(C1319,Stock,3,FALSE),"")</f>
        <v>Transport</v>
      </c>
      <c r="E1319" s="45">
        <v>1.0</v>
      </c>
      <c r="F1319" s="198">
        <v>70000.0</v>
      </c>
      <c r="G1319" s="142">
        <f t="shared" si="40"/>
        <v>70000</v>
      </c>
      <c r="H1319" s="142"/>
      <c r="I1319" s="143">
        <f t="shared" si="38"/>
        <v>70000</v>
      </c>
      <c r="J1319" s="144">
        <f t="shared" si="39"/>
        <v>70000</v>
      </c>
      <c r="K1319" s="108" t="s">
        <v>6231</v>
      </c>
      <c r="L1319" s="199" t="s">
        <v>6232</v>
      </c>
      <c r="M1319" s="17"/>
      <c r="N1319" s="64" t="s">
        <v>6233</v>
      </c>
      <c r="O1319" s="64" t="s">
        <v>2813</v>
      </c>
      <c r="P1319" s="147" t="s">
        <v>4672</v>
      </c>
      <c r="Q1319" s="141">
        <v>620000.0</v>
      </c>
      <c r="R1319" s="149"/>
      <c r="S1319" s="149"/>
      <c r="T1319" s="149"/>
      <c r="U1319" s="149"/>
      <c r="V1319" s="149"/>
      <c r="W1319" s="149"/>
      <c r="X1319" s="64" t="s">
        <v>3810</v>
      </c>
      <c r="Y1319" s="64" t="s">
        <v>4515</v>
      </c>
      <c r="Z1319" s="68"/>
    </row>
    <row r="1320" ht="15.0" customHeight="1">
      <c r="A1320" s="333">
        <v>45975.0</v>
      </c>
      <c r="B1320" s="201" t="s">
        <v>6234</v>
      </c>
      <c r="C1320" s="45" t="s">
        <v>4327</v>
      </c>
      <c r="D1320" s="140" t="str">
        <f>IFERROR(VLOOKUP(C1320,Stock,3,FALSE),"")</f>
        <v>Isuzu Giga Long (PS240,285) FVR34 (Lebar 215cm)</v>
      </c>
      <c r="E1320" s="45">
        <v>1.0</v>
      </c>
      <c r="F1320" s="202"/>
      <c r="G1320" s="142">
        <f t="shared" si="40"/>
        <v>0</v>
      </c>
      <c r="H1320" s="142"/>
      <c r="I1320" s="143">
        <f t="shared" si="38"/>
        <v>0</v>
      </c>
      <c r="J1320" s="144">
        <f t="shared" si="39"/>
        <v>0</v>
      </c>
      <c r="K1320" s="108" t="s">
        <v>4509</v>
      </c>
      <c r="L1320" s="17"/>
      <c r="M1320" s="17"/>
      <c r="N1320" s="68"/>
      <c r="O1320" s="64" t="s">
        <v>4175</v>
      </c>
      <c r="P1320" s="170"/>
      <c r="Q1320" s="149"/>
      <c r="R1320" s="149"/>
      <c r="S1320" s="149"/>
      <c r="T1320" s="149"/>
      <c r="U1320" s="149"/>
      <c r="V1320" s="149"/>
      <c r="W1320" s="149"/>
      <c r="X1320" s="64" t="s">
        <v>3810</v>
      </c>
      <c r="Y1320" s="64" t="s">
        <v>4515</v>
      </c>
      <c r="Z1320" s="68"/>
    </row>
    <row r="1321" ht="15.0" customHeight="1">
      <c r="A1321" s="333">
        <v>45975.0</v>
      </c>
      <c r="B1321" s="201" t="s">
        <v>6234</v>
      </c>
      <c r="C1321" s="45" t="s">
        <v>6235</v>
      </c>
      <c r="D1321" s="140" t="str">
        <f>IFERROR(VLOOKUP(C1321,Stock,3,FALSE),"")</f>
        <v>Mazda CX-3 15-</v>
      </c>
      <c r="E1321" s="45">
        <v>1.0</v>
      </c>
      <c r="F1321" s="202"/>
      <c r="G1321" s="142">
        <f t="shared" si="40"/>
        <v>0</v>
      </c>
      <c r="H1321" s="142"/>
      <c r="I1321" s="143">
        <f t="shared" si="38"/>
        <v>0</v>
      </c>
      <c r="J1321" s="144">
        <f t="shared" si="39"/>
        <v>0</v>
      </c>
      <c r="K1321" s="108" t="s">
        <v>4509</v>
      </c>
      <c r="L1321" s="17"/>
      <c r="M1321" s="17"/>
      <c r="N1321" s="68"/>
      <c r="O1321" s="64" t="s">
        <v>4175</v>
      </c>
      <c r="P1321" s="170"/>
      <c r="Q1321" s="149"/>
      <c r="R1321" s="149"/>
      <c r="S1321" s="149"/>
      <c r="T1321" s="149"/>
      <c r="U1321" s="149"/>
      <c r="V1321" s="149"/>
      <c r="W1321" s="149"/>
      <c r="X1321" s="64" t="s">
        <v>3810</v>
      </c>
      <c r="Y1321" s="64" t="s">
        <v>4515</v>
      </c>
      <c r="Z1321" s="68"/>
    </row>
    <row r="1322" ht="15.0" customHeight="1">
      <c r="A1322" s="333">
        <v>45979.0</v>
      </c>
      <c r="B1322" s="201" t="s">
        <v>6236</v>
      </c>
      <c r="C1322" s="45" t="s">
        <v>6237</v>
      </c>
      <c r="D1322" s="140" t="str">
        <f>IFERROR(VLOOKUP(C1322,Stock,3,FALSE),"")</f>
        <v>Nissan Quester / Cw445 Quon 05-</v>
      </c>
      <c r="E1322" s="45">
        <v>1.0</v>
      </c>
      <c r="F1322" s="202"/>
      <c r="G1322" s="142">
        <f t="shared" si="40"/>
        <v>0</v>
      </c>
      <c r="H1322" s="142"/>
      <c r="I1322" s="143">
        <f t="shared" si="38"/>
        <v>0</v>
      </c>
      <c r="J1322" s="144">
        <f t="shared" si="39"/>
        <v>0</v>
      </c>
      <c r="K1322" s="108" t="s">
        <v>4509</v>
      </c>
      <c r="L1322" s="17"/>
      <c r="M1322" s="17"/>
      <c r="N1322" s="68"/>
      <c r="O1322" s="64" t="s">
        <v>4175</v>
      </c>
      <c r="P1322" s="170"/>
      <c r="Q1322" s="149"/>
      <c r="R1322" s="149"/>
      <c r="S1322" s="149"/>
      <c r="T1322" s="149"/>
      <c r="U1322" s="149"/>
      <c r="V1322" s="149"/>
      <c r="W1322" s="149"/>
      <c r="X1322" s="64" t="s">
        <v>3810</v>
      </c>
      <c r="Y1322" s="64" t="s">
        <v>4515</v>
      </c>
      <c r="Z1322" s="68"/>
    </row>
    <row r="1323" ht="15.0" customHeight="1">
      <c r="A1323" s="333">
        <v>45979.0</v>
      </c>
      <c r="B1323" s="201" t="s">
        <v>6236</v>
      </c>
      <c r="C1323" s="45" t="s">
        <v>6238</v>
      </c>
      <c r="D1323" s="140" t="str">
        <f>IFERROR(VLOOKUP(C1323,Stock,3,FALSE),"")</f>
        <v>Audi Q7 06-15</v>
      </c>
      <c r="E1323" s="45">
        <v>1.0</v>
      </c>
      <c r="F1323" s="202"/>
      <c r="G1323" s="142">
        <f t="shared" si="40"/>
        <v>0</v>
      </c>
      <c r="H1323" s="142"/>
      <c r="I1323" s="143">
        <f t="shared" si="38"/>
        <v>0</v>
      </c>
      <c r="J1323" s="144">
        <f t="shared" si="39"/>
        <v>0</v>
      </c>
      <c r="K1323" s="108" t="s">
        <v>4509</v>
      </c>
      <c r="L1323" s="17"/>
      <c r="M1323" s="17"/>
      <c r="N1323" s="68"/>
      <c r="O1323" s="64" t="s">
        <v>4175</v>
      </c>
      <c r="P1323" s="170"/>
      <c r="Q1323" s="149"/>
      <c r="R1323" s="149"/>
      <c r="S1323" s="149"/>
      <c r="T1323" s="149"/>
      <c r="U1323" s="149"/>
      <c r="V1323" s="149"/>
      <c r="W1323" s="149"/>
      <c r="X1323" s="64" t="s">
        <v>3810</v>
      </c>
      <c r="Y1323" s="64" t="s">
        <v>4515</v>
      </c>
      <c r="Z1323" s="68"/>
    </row>
    <row r="1324" ht="15.0" customHeight="1">
      <c r="A1324" s="333">
        <v>45979.0</v>
      </c>
      <c r="B1324" s="201" t="s">
        <v>6236</v>
      </c>
      <c r="C1324" s="45" t="s">
        <v>5047</v>
      </c>
      <c r="D1324" s="140" t="str">
        <f>IFERROR(VLOOKUP(C1324,Stock,3,FALSE),"")</f>
        <v>Toyota Innova 15-22 2nd Gen (Toyota)</v>
      </c>
      <c r="E1324" s="45">
        <v>1.0</v>
      </c>
      <c r="F1324" s="202"/>
      <c r="G1324" s="142">
        <f t="shared" si="40"/>
        <v>0</v>
      </c>
      <c r="H1324" s="142"/>
      <c r="I1324" s="143">
        <f t="shared" si="38"/>
        <v>0</v>
      </c>
      <c r="J1324" s="144">
        <f t="shared" si="39"/>
        <v>0</v>
      </c>
      <c r="K1324" s="108" t="s">
        <v>4509</v>
      </c>
      <c r="L1324" s="17"/>
      <c r="M1324" s="17"/>
      <c r="N1324" s="68"/>
      <c r="O1324" s="64" t="s">
        <v>4175</v>
      </c>
      <c r="P1324" s="170"/>
      <c r="Q1324" s="149"/>
      <c r="R1324" s="149"/>
      <c r="S1324" s="149"/>
      <c r="T1324" s="149"/>
      <c r="U1324" s="149"/>
      <c r="V1324" s="149"/>
      <c r="W1324" s="149"/>
      <c r="X1324" s="64" t="s">
        <v>3810</v>
      </c>
      <c r="Y1324" s="64" t="s">
        <v>4515</v>
      </c>
      <c r="Z1324" s="68"/>
    </row>
    <row r="1325" ht="15.0" customHeight="1">
      <c r="A1325" s="333">
        <v>45979.0</v>
      </c>
      <c r="B1325" s="201" t="s">
        <v>6239</v>
      </c>
      <c r="C1325" s="45" t="s">
        <v>2916</v>
      </c>
      <c r="D1325" s="140" t="str">
        <f>IFERROR(VLOOKUP(C1325,Stock,3,FALSE),"")</f>
        <v>Toyota Alphard 08-15 ANH20 2nd Gen (Hitam)</v>
      </c>
      <c r="E1325" s="45">
        <v>1.0</v>
      </c>
      <c r="F1325" s="198">
        <v>2794000.0</v>
      </c>
      <c r="G1325" s="142">
        <f t="shared" si="40"/>
        <v>2794000</v>
      </c>
      <c r="H1325" s="142"/>
      <c r="I1325" s="143">
        <f t="shared" si="38"/>
        <v>2794000</v>
      </c>
      <c r="J1325" s="144">
        <f t="shared" si="39"/>
        <v>2794000</v>
      </c>
      <c r="K1325" s="108" t="s">
        <v>6240</v>
      </c>
      <c r="L1325" s="199" t="s">
        <v>6241</v>
      </c>
      <c r="M1325" s="17"/>
      <c r="N1325" s="64" t="s">
        <v>6242</v>
      </c>
      <c r="O1325" s="64" t="s">
        <v>2987</v>
      </c>
      <c r="P1325" s="147" t="s">
        <v>4672</v>
      </c>
      <c r="Q1325" s="149"/>
      <c r="R1325" s="141"/>
      <c r="S1325" s="141"/>
      <c r="T1325" s="141">
        <v>50000.0</v>
      </c>
      <c r="U1325" s="149"/>
      <c r="V1325" s="149"/>
      <c r="W1325" s="149"/>
      <c r="X1325" s="64" t="s">
        <v>3810</v>
      </c>
      <c r="Y1325" s="64" t="s">
        <v>4515</v>
      </c>
      <c r="Z1325" s="68"/>
    </row>
    <row r="1326" ht="15.0" customHeight="1">
      <c r="A1326" s="333">
        <v>45979.0</v>
      </c>
      <c r="B1326" s="201" t="s">
        <v>6239</v>
      </c>
      <c r="C1326" s="45" t="s">
        <v>2770</v>
      </c>
      <c r="D1326" s="140" t="str">
        <f>IFERROR(VLOOKUP(C1326,Stock,3,FALSE),"")</f>
        <v>Transport</v>
      </c>
      <c r="E1326" s="45">
        <v>1.0</v>
      </c>
      <c r="F1326" s="198">
        <v>150000.0</v>
      </c>
      <c r="G1326" s="142">
        <f t="shared" si="40"/>
        <v>150000</v>
      </c>
      <c r="H1326" s="142"/>
      <c r="I1326" s="143">
        <f t="shared" si="38"/>
        <v>150000</v>
      </c>
      <c r="J1326" s="144">
        <f t="shared" si="39"/>
        <v>150000</v>
      </c>
      <c r="K1326" s="108" t="s">
        <v>6240</v>
      </c>
      <c r="L1326" s="199" t="s">
        <v>6241</v>
      </c>
      <c r="M1326" s="17"/>
      <c r="N1326" s="64" t="s">
        <v>6242</v>
      </c>
      <c r="O1326" s="64" t="s">
        <v>2987</v>
      </c>
      <c r="P1326" s="147" t="s">
        <v>4672</v>
      </c>
      <c r="Q1326" s="149"/>
      <c r="R1326" s="141"/>
      <c r="S1326" s="141"/>
      <c r="T1326" s="141">
        <v>2894000.0</v>
      </c>
      <c r="U1326" s="149"/>
      <c r="V1326" s="149"/>
      <c r="W1326" s="149"/>
      <c r="X1326" s="64" t="s">
        <v>3810</v>
      </c>
      <c r="Y1326" s="64" t="s">
        <v>4515</v>
      </c>
      <c r="Z1326" s="68"/>
    </row>
    <row r="1327" ht="15.0" customHeight="1">
      <c r="A1327" s="333">
        <v>45979.0</v>
      </c>
      <c r="B1327" s="201" t="s">
        <v>6243</v>
      </c>
      <c r="C1327" s="45" t="s">
        <v>6244</v>
      </c>
      <c r="D1327" s="140" t="str">
        <f>IFERROR(VLOOKUP(C1327,Stock,3,FALSE),"")</f>
        <v>Honda BR-V 16-21 (Honda)</v>
      </c>
      <c r="E1327" s="45">
        <v>1.0</v>
      </c>
      <c r="F1327" s="198">
        <v>915000.0</v>
      </c>
      <c r="G1327" s="142">
        <f t="shared" si="40"/>
        <v>915000</v>
      </c>
      <c r="H1327" s="142"/>
      <c r="I1327" s="143">
        <f t="shared" si="38"/>
        <v>915000</v>
      </c>
      <c r="J1327" s="144">
        <f t="shared" si="39"/>
        <v>915000</v>
      </c>
      <c r="K1327" s="108" t="s">
        <v>6245</v>
      </c>
      <c r="L1327" s="199" t="s">
        <v>6246</v>
      </c>
      <c r="M1327" s="17"/>
      <c r="N1327" s="64" t="s">
        <v>6247</v>
      </c>
      <c r="O1327" s="64" t="s">
        <v>5739</v>
      </c>
      <c r="P1327" s="147" t="s">
        <v>4672</v>
      </c>
      <c r="Q1327" s="149"/>
      <c r="R1327" s="141"/>
      <c r="S1327" s="141"/>
      <c r="T1327" s="141">
        <v>915000.0</v>
      </c>
      <c r="U1327" s="149"/>
      <c r="V1327" s="149"/>
      <c r="W1327" s="149"/>
      <c r="X1327" s="64" t="s">
        <v>3810</v>
      </c>
      <c r="Y1327" s="64" t="s">
        <v>4515</v>
      </c>
      <c r="Z1327" s="68"/>
    </row>
    <row r="1328" ht="15.0" customHeight="1">
      <c r="A1328" s="333">
        <v>45980.0</v>
      </c>
      <c r="B1328" s="201" t="s">
        <v>6248</v>
      </c>
      <c r="C1328" s="45" t="s">
        <v>6249</v>
      </c>
      <c r="D1328" s="140" t="str">
        <f>IFERROR(VLOOKUP(C1328,Stock,3,FALSE),"")</f>
        <v>Mitsubishi Pajero 08-16</v>
      </c>
      <c r="E1328" s="45">
        <v>1.0</v>
      </c>
      <c r="F1328" s="198">
        <v>865000.0</v>
      </c>
      <c r="G1328" s="142">
        <f t="shared" si="40"/>
        <v>865000</v>
      </c>
      <c r="H1328" s="142"/>
      <c r="I1328" s="143">
        <f t="shared" si="38"/>
        <v>865000</v>
      </c>
      <c r="J1328" s="144">
        <f t="shared" si="39"/>
        <v>865000</v>
      </c>
      <c r="K1328" s="108" t="s">
        <v>4768</v>
      </c>
      <c r="L1328" s="199" t="s">
        <v>6250</v>
      </c>
      <c r="M1328" s="17"/>
      <c r="N1328" s="64" t="s">
        <v>6251</v>
      </c>
      <c r="O1328" s="64" t="s">
        <v>3007</v>
      </c>
      <c r="P1328" s="147" t="s">
        <v>4672</v>
      </c>
      <c r="Q1328" s="149"/>
      <c r="R1328" s="141"/>
      <c r="S1328" s="141"/>
      <c r="T1328" s="141">
        <v>865000.0</v>
      </c>
      <c r="U1328" s="149"/>
      <c r="V1328" s="149"/>
      <c r="W1328" s="149"/>
      <c r="X1328" s="64" t="s">
        <v>3810</v>
      </c>
      <c r="Y1328" s="64" t="s">
        <v>4515</v>
      </c>
      <c r="Z1328" s="68"/>
    </row>
    <row r="1329" ht="15.0" customHeight="1">
      <c r="A1329" s="333">
        <v>45980.0</v>
      </c>
      <c r="B1329" s="201" t="s">
        <v>6252</v>
      </c>
      <c r="C1329" s="45" t="s">
        <v>6253</v>
      </c>
      <c r="D1329" s="140" t="str">
        <f>IFERROR(VLOOKUP(C1329,Stock,3,FALSE),"")</f>
        <v>Toyota Rush / Terios 06-17</v>
      </c>
      <c r="E1329" s="45">
        <v>1.0</v>
      </c>
      <c r="F1329" s="198">
        <v>937000.0</v>
      </c>
      <c r="G1329" s="142">
        <f t="shared" si="40"/>
        <v>937000</v>
      </c>
      <c r="H1329" s="142"/>
      <c r="I1329" s="143">
        <f t="shared" si="38"/>
        <v>937000</v>
      </c>
      <c r="J1329" s="144">
        <f t="shared" si="39"/>
        <v>937000</v>
      </c>
      <c r="K1329" s="108" t="s">
        <v>6254</v>
      </c>
      <c r="L1329" s="199" t="s">
        <v>6255</v>
      </c>
      <c r="M1329" s="17"/>
      <c r="N1329" s="64" t="s">
        <v>6256</v>
      </c>
      <c r="O1329" s="64" t="s">
        <v>5948</v>
      </c>
      <c r="P1329" s="147" t="s">
        <v>4672</v>
      </c>
      <c r="Q1329" s="149"/>
      <c r="R1329" s="141"/>
      <c r="S1329" s="141"/>
      <c r="T1329" s="141">
        <v>937000.0</v>
      </c>
      <c r="U1329" s="149"/>
      <c r="V1329" s="149"/>
      <c r="W1329" s="149"/>
      <c r="X1329" s="64" t="s">
        <v>3810</v>
      </c>
      <c r="Y1329" s="64" t="s">
        <v>4515</v>
      </c>
      <c r="Z1329" s="68"/>
    </row>
    <row r="1330" ht="15.0" customHeight="1">
      <c r="A1330" s="333">
        <v>45980.0</v>
      </c>
      <c r="B1330" s="201" t="s">
        <v>6257</v>
      </c>
      <c r="C1330" s="45" t="s">
        <v>3806</v>
      </c>
      <c r="D1330" s="140" t="str">
        <f>IFERROR(VLOOKUP(C1330,Stock,3,FALSE),"")</f>
        <v>Honda CR-V 12-16 4th Gen [Lengkung]</v>
      </c>
      <c r="E1330" s="45">
        <v>1.0</v>
      </c>
      <c r="F1330" s="198">
        <v>1400000.0</v>
      </c>
      <c r="G1330" s="142">
        <f t="shared" si="40"/>
        <v>1400000</v>
      </c>
      <c r="H1330" s="142"/>
      <c r="I1330" s="143">
        <f t="shared" si="38"/>
        <v>1400000</v>
      </c>
      <c r="J1330" s="144">
        <f t="shared" si="39"/>
        <v>1400000</v>
      </c>
      <c r="K1330" s="108" t="s">
        <v>6258</v>
      </c>
      <c r="L1330" s="199" t="s">
        <v>6259</v>
      </c>
      <c r="M1330" s="17"/>
      <c r="N1330" s="64" t="s">
        <v>6260</v>
      </c>
      <c r="O1330" s="64" t="s">
        <v>2942</v>
      </c>
      <c r="P1330" s="147" t="s">
        <v>4672</v>
      </c>
      <c r="Q1330" s="141">
        <v>1400000.0</v>
      </c>
      <c r="R1330" s="149"/>
      <c r="S1330" s="149"/>
      <c r="T1330" s="149"/>
      <c r="U1330" s="149"/>
      <c r="V1330" s="149"/>
      <c r="W1330" s="149"/>
      <c r="X1330" s="64" t="s">
        <v>3810</v>
      </c>
      <c r="Y1330" s="64" t="s">
        <v>4515</v>
      </c>
      <c r="Z1330" s="68"/>
    </row>
    <row r="1331" ht="15.0" customHeight="1">
      <c r="A1331" s="333">
        <v>45980.0</v>
      </c>
      <c r="B1331" s="201" t="s">
        <v>6261</v>
      </c>
      <c r="C1331" s="45" t="s">
        <v>6262</v>
      </c>
      <c r="D1331" s="140" t="str">
        <f>IFERROR(VLOOKUP(C1331,Stock,3,FALSE),"")</f>
        <v>BMW X6 Series 08-14 (Sensor 1) (BMW)</v>
      </c>
      <c r="E1331" s="45">
        <v>1.0</v>
      </c>
      <c r="F1331" s="198">
        <v>1.9827E7</v>
      </c>
      <c r="G1331" s="142">
        <f t="shared" si="40"/>
        <v>19827000</v>
      </c>
      <c r="H1331" s="142"/>
      <c r="I1331" s="143">
        <f t="shared" si="38"/>
        <v>19827000</v>
      </c>
      <c r="J1331" s="144">
        <f t="shared" si="39"/>
        <v>19827000</v>
      </c>
      <c r="K1331" s="108" t="s">
        <v>6263</v>
      </c>
      <c r="L1331" s="199" t="s">
        <v>6264</v>
      </c>
      <c r="M1331" s="17"/>
      <c r="N1331" s="64" t="s">
        <v>6265</v>
      </c>
      <c r="O1331" s="64" t="s">
        <v>2813</v>
      </c>
      <c r="P1331" s="147" t="s">
        <v>4672</v>
      </c>
      <c r="Q1331" s="141">
        <v>5000000.0</v>
      </c>
      <c r="R1331" s="141"/>
      <c r="S1331" s="141"/>
      <c r="T1331" s="141">
        <v>1.4827E7</v>
      </c>
      <c r="U1331" s="149"/>
      <c r="V1331" s="149"/>
      <c r="W1331" s="149"/>
      <c r="X1331" s="64" t="s">
        <v>3810</v>
      </c>
      <c r="Y1331" s="64" t="s">
        <v>4515</v>
      </c>
      <c r="Z1331" s="68"/>
    </row>
    <row r="1332" ht="15.0" customHeight="1">
      <c r="A1332" s="333">
        <v>45980.0</v>
      </c>
      <c r="B1332" s="201" t="s">
        <v>6266</v>
      </c>
      <c r="C1332" s="45" t="s">
        <v>2952</v>
      </c>
      <c r="D1332" s="140" t="str">
        <f>IFERROR(VLOOKUP(C1332,Stock,3,FALSE),"")</f>
        <v/>
      </c>
      <c r="E1332" s="45">
        <v>1.0</v>
      </c>
      <c r="F1332" s="198">
        <v>1000000.0</v>
      </c>
      <c r="G1332" s="142">
        <f t="shared" si="40"/>
        <v>1000000</v>
      </c>
      <c r="H1332" s="142"/>
      <c r="I1332" s="143">
        <f t="shared" si="38"/>
        <v>1000000</v>
      </c>
      <c r="J1332" s="144">
        <f t="shared" si="39"/>
        <v>1000000</v>
      </c>
      <c r="K1332" s="108" t="s">
        <v>6267</v>
      </c>
      <c r="L1332" s="199" t="s">
        <v>6268</v>
      </c>
      <c r="M1332" s="17"/>
      <c r="N1332" s="64" t="s">
        <v>6269</v>
      </c>
      <c r="O1332" s="64" t="s">
        <v>2813</v>
      </c>
      <c r="P1332" s="147" t="s">
        <v>4672</v>
      </c>
      <c r="Q1332" s="141">
        <v>1000000.0</v>
      </c>
      <c r="R1332" s="149"/>
      <c r="S1332" s="149"/>
      <c r="T1332" s="149"/>
      <c r="U1332" s="149"/>
      <c r="V1332" s="149"/>
      <c r="W1332" s="149"/>
      <c r="X1332" s="64" t="s">
        <v>3810</v>
      </c>
      <c r="Y1332" s="64" t="s">
        <v>4515</v>
      </c>
      <c r="Z1332" s="68"/>
    </row>
    <row r="1333" ht="15.0" customHeight="1">
      <c r="A1333" s="333">
        <v>45980.0</v>
      </c>
      <c r="B1333" s="201" t="s">
        <v>6270</v>
      </c>
      <c r="C1333" s="45" t="s">
        <v>6271</v>
      </c>
      <c r="D1333" s="140" t="str">
        <f>IFERROR(VLOOKUP(C1333,Stock,3,FALSE),"")</f>
        <v>Toyota Hilux Pickup 15- (Revo)</v>
      </c>
      <c r="E1333" s="45">
        <v>1.0</v>
      </c>
      <c r="F1333" s="198">
        <v>1550000.0</v>
      </c>
      <c r="G1333" s="142">
        <f t="shared" si="40"/>
        <v>1550000</v>
      </c>
      <c r="H1333" s="142"/>
      <c r="I1333" s="143">
        <f t="shared" si="38"/>
        <v>1550000</v>
      </c>
      <c r="J1333" s="144">
        <f t="shared" si="39"/>
        <v>1550000</v>
      </c>
      <c r="K1333" s="108" t="s">
        <v>6272</v>
      </c>
      <c r="L1333" s="199" t="s">
        <v>6273</v>
      </c>
      <c r="M1333" s="17"/>
      <c r="N1333" s="64" t="s">
        <v>4270</v>
      </c>
      <c r="O1333" s="64" t="s">
        <v>2813</v>
      </c>
      <c r="P1333" s="147" t="s">
        <v>4672</v>
      </c>
      <c r="Q1333" s="149"/>
      <c r="R1333" s="141"/>
      <c r="S1333" s="141"/>
      <c r="T1333" s="141">
        <v>1550000.0</v>
      </c>
      <c r="U1333" s="149"/>
      <c r="V1333" s="149"/>
      <c r="W1333" s="149"/>
      <c r="X1333" s="64" t="s">
        <v>3810</v>
      </c>
      <c r="Y1333" s="64" t="s">
        <v>4515</v>
      </c>
      <c r="Z1333" s="68"/>
    </row>
    <row r="1334" ht="15.0" customHeight="1">
      <c r="A1334" s="333">
        <v>45981.0</v>
      </c>
      <c r="B1334" s="201" t="s">
        <v>6274</v>
      </c>
      <c r="C1334" s="45" t="s">
        <v>4262</v>
      </c>
      <c r="D1334" s="140" t="str">
        <f>IFERROR(VLOOKUP(C1334,Stock,3,FALSE),"")</f>
        <v>Toyota Avanza / Xenia 11-15 2nd Gen / 15-21 3rd Gen</v>
      </c>
      <c r="E1334" s="45">
        <v>1.0</v>
      </c>
      <c r="F1334" s="198">
        <v>575000.0</v>
      </c>
      <c r="G1334" s="142">
        <f t="shared" si="40"/>
        <v>575000</v>
      </c>
      <c r="H1334" s="142"/>
      <c r="I1334" s="143">
        <f t="shared" si="38"/>
        <v>575000</v>
      </c>
      <c r="J1334" s="144">
        <f t="shared" si="39"/>
        <v>575000</v>
      </c>
      <c r="K1334" s="108" t="s">
        <v>6275</v>
      </c>
      <c r="L1334" s="199" t="s">
        <v>6276</v>
      </c>
      <c r="M1334" s="17"/>
      <c r="N1334" s="64" t="s">
        <v>6277</v>
      </c>
      <c r="O1334" s="64" t="s">
        <v>2813</v>
      </c>
      <c r="P1334" s="147" t="s">
        <v>4672</v>
      </c>
      <c r="Q1334" s="141">
        <v>575000.0</v>
      </c>
      <c r="R1334" s="149"/>
      <c r="S1334" s="149"/>
      <c r="T1334" s="149"/>
      <c r="U1334" s="149"/>
      <c r="V1334" s="149"/>
      <c r="W1334" s="149"/>
      <c r="X1334" s="64" t="s">
        <v>3810</v>
      </c>
      <c r="Y1334" s="64" t="s">
        <v>4515</v>
      </c>
      <c r="Z1334" s="68"/>
    </row>
    <row r="1335" ht="15.0" customHeight="1">
      <c r="A1335" s="333">
        <v>45981.0</v>
      </c>
      <c r="B1335" s="201" t="s">
        <v>6278</v>
      </c>
      <c r="C1335" s="45" t="s">
        <v>5656</v>
      </c>
      <c r="D1335" s="140" t="str">
        <f>IFERROR(VLOOKUP(C1335,Stock,3,FALSE),"")</f>
        <v>Mitsubishi Outlander 10-21 GA3</v>
      </c>
      <c r="E1335" s="45">
        <v>1.0</v>
      </c>
      <c r="F1335" s="198">
        <v>2088000.0</v>
      </c>
      <c r="G1335" s="142">
        <f t="shared" si="40"/>
        <v>2088000</v>
      </c>
      <c r="H1335" s="142"/>
      <c r="I1335" s="143">
        <f t="shared" si="38"/>
        <v>2088000</v>
      </c>
      <c r="J1335" s="144">
        <f t="shared" si="39"/>
        <v>2088000</v>
      </c>
      <c r="K1335" s="108" t="s">
        <v>6279</v>
      </c>
      <c r="L1335" s="199" t="s">
        <v>6280</v>
      </c>
      <c r="M1335" s="17"/>
      <c r="N1335" s="64" t="s">
        <v>6281</v>
      </c>
      <c r="O1335" s="64" t="s">
        <v>2813</v>
      </c>
      <c r="P1335" s="147" t="s">
        <v>4672</v>
      </c>
      <c r="Q1335" s="149"/>
      <c r="R1335" s="141"/>
      <c r="S1335" s="141"/>
      <c r="T1335" s="141">
        <v>2088000.0</v>
      </c>
      <c r="U1335" s="149"/>
      <c r="V1335" s="149"/>
      <c r="W1335" s="149"/>
      <c r="X1335" s="64" t="s">
        <v>3810</v>
      </c>
      <c r="Y1335" s="64" t="s">
        <v>4515</v>
      </c>
      <c r="Z1335" s="68"/>
    </row>
    <row r="1336" ht="15.0" customHeight="1">
      <c r="A1336" s="333">
        <v>45981.0</v>
      </c>
      <c r="B1336" s="201" t="s">
        <v>6282</v>
      </c>
      <c r="C1336" s="45" t="s">
        <v>6283</v>
      </c>
      <c r="D1336" s="140" t="str">
        <f>IFERROR(VLOOKUP(C1336,Stock,3,FALSE),"")</f>
        <v>Toyota Rush / Terios 18- (Toyota/Daihatsu)</v>
      </c>
      <c r="E1336" s="45">
        <v>1.0</v>
      </c>
      <c r="F1336" s="198">
        <v>750000.0</v>
      </c>
      <c r="G1336" s="142">
        <f t="shared" si="40"/>
        <v>750000</v>
      </c>
      <c r="H1336" s="142"/>
      <c r="I1336" s="143">
        <f t="shared" si="38"/>
        <v>750000</v>
      </c>
      <c r="J1336" s="144">
        <f t="shared" si="39"/>
        <v>750000</v>
      </c>
      <c r="K1336" s="108" t="s">
        <v>6284</v>
      </c>
      <c r="L1336" s="199" t="s">
        <v>6285</v>
      </c>
      <c r="M1336" s="17"/>
      <c r="N1336" s="64" t="s">
        <v>6286</v>
      </c>
      <c r="O1336" s="64" t="s">
        <v>2813</v>
      </c>
      <c r="P1336" s="147" t="s">
        <v>4672</v>
      </c>
      <c r="Q1336" s="149"/>
      <c r="R1336" s="141"/>
      <c r="S1336" s="141"/>
      <c r="T1336" s="141">
        <v>900000.0</v>
      </c>
      <c r="U1336" s="149"/>
      <c r="V1336" s="149"/>
      <c r="W1336" s="149"/>
      <c r="X1336" s="64" t="s">
        <v>3810</v>
      </c>
      <c r="Y1336" s="64" t="s">
        <v>4515</v>
      </c>
      <c r="Z1336" s="68"/>
    </row>
    <row r="1337" ht="15.0" customHeight="1">
      <c r="A1337" s="333">
        <v>45981.0</v>
      </c>
      <c r="B1337" s="201" t="s">
        <v>6282</v>
      </c>
      <c r="C1337" s="45" t="s">
        <v>5254</v>
      </c>
      <c r="D1337" s="140" t="str">
        <f>IFERROR(VLOOKUP(C1337,Stock,3,FALSE),"")</f>
        <v>Automotive Film Standard - Black 40%				</v>
      </c>
      <c r="E1337" s="45">
        <v>1.0</v>
      </c>
      <c r="F1337" s="198">
        <v>150000.0</v>
      </c>
      <c r="G1337" s="142">
        <f t="shared" si="40"/>
        <v>150000</v>
      </c>
      <c r="H1337" s="142"/>
      <c r="I1337" s="143">
        <f t="shared" si="38"/>
        <v>150000</v>
      </c>
      <c r="J1337" s="144">
        <f t="shared" si="39"/>
        <v>150000</v>
      </c>
      <c r="K1337" s="108" t="s">
        <v>6284</v>
      </c>
      <c r="L1337" s="199" t="s">
        <v>6285</v>
      </c>
      <c r="M1337" s="17"/>
      <c r="N1337" s="64" t="s">
        <v>6286</v>
      </c>
      <c r="O1337" s="64" t="s">
        <v>2813</v>
      </c>
      <c r="P1337" s="147" t="s">
        <v>4672</v>
      </c>
      <c r="Q1337" s="149"/>
      <c r="R1337" s="149"/>
      <c r="S1337" s="149"/>
      <c r="T1337" s="149"/>
      <c r="U1337" s="149"/>
      <c r="V1337" s="149"/>
      <c r="W1337" s="149"/>
      <c r="X1337" s="64" t="s">
        <v>3810</v>
      </c>
      <c r="Y1337" s="64" t="s">
        <v>4515</v>
      </c>
      <c r="Z1337" s="68"/>
    </row>
    <row r="1338" ht="15.0" customHeight="1">
      <c r="A1338" s="333">
        <v>45981.0</v>
      </c>
      <c r="B1338" s="201" t="s">
        <v>6287</v>
      </c>
      <c r="C1338" s="45" t="s">
        <v>3354</v>
      </c>
      <c r="D1338" s="140" t="str">
        <f>IFERROR(VLOOKUP(C1338,Stock,3,FALSE),"")</f>
        <v>Honda Brio 10- / Mobilio 11- (Honda)</v>
      </c>
      <c r="E1338" s="45">
        <v>1.0</v>
      </c>
      <c r="F1338" s="198">
        <v>1720000.0</v>
      </c>
      <c r="G1338" s="142">
        <f t="shared" si="40"/>
        <v>1720000</v>
      </c>
      <c r="H1338" s="142"/>
      <c r="I1338" s="143">
        <f t="shared" si="38"/>
        <v>1720000</v>
      </c>
      <c r="J1338" s="144">
        <f t="shared" si="39"/>
        <v>1720000</v>
      </c>
      <c r="K1338" s="108" t="s">
        <v>6288</v>
      </c>
      <c r="L1338" s="199" t="s">
        <v>6289</v>
      </c>
      <c r="M1338" s="17"/>
      <c r="N1338" s="64" t="s">
        <v>6290</v>
      </c>
      <c r="O1338" s="64" t="s">
        <v>2813</v>
      </c>
      <c r="P1338" s="147" t="s">
        <v>2795</v>
      </c>
      <c r="Q1338" s="149"/>
      <c r="R1338" s="141"/>
      <c r="S1338" s="141"/>
      <c r="T1338" s="141">
        <v>1720000.0</v>
      </c>
      <c r="U1338" s="149"/>
      <c r="V1338" s="149"/>
      <c r="W1338" s="149"/>
      <c r="X1338" s="64" t="s">
        <v>3810</v>
      </c>
      <c r="Y1338" s="64" t="s">
        <v>4515</v>
      </c>
      <c r="Z1338" s="68"/>
    </row>
    <row r="1339" ht="15.0" customHeight="1">
      <c r="A1339" s="333">
        <v>45981.0</v>
      </c>
      <c r="B1339" s="201" t="s">
        <v>6291</v>
      </c>
      <c r="C1339" s="45" t="s">
        <v>3634</v>
      </c>
      <c r="D1339" s="140" t="str">
        <f>IFERROR(VLOOKUP(C1339,Stock,3,FALSE),"")</f>
        <v>Toyota Agya/Ayla 13-22 1st Gen (Toyota/Daihatsu)</v>
      </c>
      <c r="E1339" s="45">
        <v>1.0</v>
      </c>
      <c r="F1339" s="198">
        <v>839000.0</v>
      </c>
      <c r="G1339" s="142">
        <f t="shared" si="40"/>
        <v>839000</v>
      </c>
      <c r="H1339" s="142"/>
      <c r="I1339" s="143">
        <f t="shared" si="38"/>
        <v>839000</v>
      </c>
      <c r="J1339" s="144">
        <f t="shared" si="39"/>
        <v>839000</v>
      </c>
      <c r="K1339" s="108" t="s">
        <v>6292</v>
      </c>
      <c r="L1339" s="199" t="s">
        <v>6293</v>
      </c>
      <c r="M1339" s="17"/>
      <c r="N1339" s="64" t="s">
        <v>6294</v>
      </c>
      <c r="O1339" s="64" t="s">
        <v>2813</v>
      </c>
      <c r="P1339" s="147" t="s">
        <v>4672</v>
      </c>
      <c r="Q1339" s="141">
        <v>839000.0</v>
      </c>
      <c r="R1339" s="149"/>
      <c r="S1339" s="149"/>
      <c r="T1339" s="149"/>
      <c r="U1339" s="149"/>
      <c r="V1339" s="149"/>
      <c r="W1339" s="149"/>
      <c r="X1339" s="64" t="s">
        <v>3810</v>
      </c>
      <c r="Y1339" s="64" t="s">
        <v>4515</v>
      </c>
      <c r="Z1339" s="68"/>
    </row>
    <row r="1340" ht="15.0" customHeight="1">
      <c r="A1340" s="333">
        <v>45981.0</v>
      </c>
      <c r="B1340" s="201" t="s">
        <v>6295</v>
      </c>
      <c r="C1340" s="45" t="s">
        <v>3475</v>
      </c>
      <c r="D1340" s="140" t="str">
        <f>IFERROR(VLOOKUP(C1340,Stock,3,FALSE),"")</f>
        <v>Toyota Avanza / Xenia 03-11 1st Gen</v>
      </c>
      <c r="E1340" s="45">
        <v>1.0</v>
      </c>
      <c r="F1340" s="198">
        <v>995000.0</v>
      </c>
      <c r="G1340" s="142">
        <f t="shared" si="40"/>
        <v>995000</v>
      </c>
      <c r="H1340" s="142"/>
      <c r="I1340" s="143">
        <f t="shared" si="38"/>
        <v>995000</v>
      </c>
      <c r="J1340" s="144">
        <f t="shared" si="39"/>
        <v>995000</v>
      </c>
      <c r="K1340" s="108" t="s">
        <v>5913</v>
      </c>
      <c r="L1340" s="199" t="s">
        <v>6296</v>
      </c>
      <c r="M1340" s="17"/>
      <c r="N1340" s="64" t="s">
        <v>6297</v>
      </c>
      <c r="O1340" s="64" t="s">
        <v>2813</v>
      </c>
      <c r="P1340" s="147" t="s">
        <v>4672</v>
      </c>
      <c r="Q1340" s="141">
        <v>995000.0</v>
      </c>
      <c r="R1340" s="149"/>
      <c r="S1340" s="149"/>
      <c r="T1340" s="149"/>
      <c r="U1340" s="149"/>
      <c r="V1340" s="149"/>
      <c r="W1340" s="149"/>
      <c r="X1340" s="64" t="s">
        <v>3810</v>
      </c>
      <c r="Y1340" s="64" t="s">
        <v>4515</v>
      </c>
      <c r="Z1340" s="68"/>
    </row>
    <row r="1341" ht="15.0" customHeight="1">
      <c r="A1341" s="333">
        <v>45981.0</v>
      </c>
      <c r="B1341" s="201" t="s">
        <v>6298</v>
      </c>
      <c r="C1341" s="45" t="s">
        <v>6299</v>
      </c>
      <c r="D1341" s="140" t="str">
        <f>IFERROR(VLOOKUP(C1341,Stock,3,FALSE),"")</f>
        <v>Hino Ranger Louhan 03- / Hino 500</v>
      </c>
      <c r="E1341" s="45">
        <v>1.0</v>
      </c>
      <c r="F1341" s="198">
        <v>1500000.0</v>
      </c>
      <c r="G1341" s="142">
        <f t="shared" si="40"/>
        <v>1500000</v>
      </c>
      <c r="H1341" s="142"/>
      <c r="I1341" s="143">
        <f t="shared" si="38"/>
        <v>1500000</v>
      </c>
      <c r="J1341" s="144">
        <f t="shared" si="39"/>
        <v>1500000</v>
      </c>
      <c r="K1341" s="108" t="s">
        <v>6300</v>
      </c>
      <c r="L1341" s="199" t="s">
        <v>6301</v>
      </c>
      <c r="M1341" s="17"/>
      <c r="N1341" s="64" t="s">
        <v>4270</v>
      </c>
      <c r="O1341" s="64" t="s">
        <v>2813</v>
      </c>
      <c r="P1341" s="147" t="s">
        <v>4672</v>
      </c>
      <c r="Q1341" s="149"/>
      <c r="R1341" s="141"/>
      <c r="S1341" s="141"/>
      <c r="T1341" s="141">
        <v>1500000.0</v>
      </c>
      <c r="U1341" s="149"/>
      <c r="V1341" s="149"/>
      <c r="W1341" s="149"/>
      <c r="X1341" s="64" t="s">
        <v>3810</v>
      </c>
      <c r="Y1341" s="64" t="s">
        <v>4515</v>
      </c>
      <c r="Z1341" s="68"/>
    </row>
    <row r="1342" ht="15.0" customHeight="1">
      <c r="A1342" s="333">
        <v>45981.0</v>
      </c>
      <c r="B1342" s="201" t="s">
        <v>6302</v>
      </c>
      <c r="C1342" s="45" t="s">
        <v>3700</v>
      </c>
      <c r="D1342" s="140" t="str">
        <f>IFERROR(VLOOKUP(C1342,Stock,3,FALSE),"")</f>
        <v>Toyota Avanza / Xenia 11-15 2nd Gen / 15-21 3rd Gen</v>
      </c>
      <c r="E1342" s="45">
        <v>1.0</v>
      </c>
      <c r="F1342" s="198">
        <v>841000.0</v>
      </c>
      <c r="G1342" s="142">
        <f t="shared" si="40"/>
        <v>841000</v>
      </c>
      <c r="H1342" s="142"/>
      <c r="I1342" s="143">
        <f t="shared" si="38"/>
        <v>841000</v>
      </c>
      <c r="J1342" s="144">
        <f t="shared" si="39"/>
        <v>841000</v>
      </c>
      <c r="K1342" s="108" t="s">
        <v>6303</v>
      </c>
      <c r="L1342" s="199" t="s">
        <v>6304</v>
      </c>
      <c r="M1342" s="17"/>
      <c r="N1342" s="64" t="s">
        <v>6305</v>
      </c>
      <c r="O1342" s="64" t="s">
        <v>3394</v>
      </c>
      <c r="P1342" s="147" t="s">
        <v>4672</v>
      </c>
      <c r="Q1342" s="68"/>
      <c r="R1342" s="141"/>
      <c r="S1342" s="141"/>
      <c r="T1342" s="141">
        <v>841000.0</v>
      </c>
      <c r="U1342" s="149"/>
      <c r="V1342" s="149"/>
      <c r="W1342" s="149"/>
      <c r="X1342" s="64" t="s">
        <v>3810</v>
      </c>
      <c r="Y1342" s="64" t="s">
        <v>4515</v>
      </c>
      <c r="Z1342" s="68"/>
    </row>
    <row r="1343" ht="15.0" customHeight="1">
      <c r="A1343" s="333">
        <v>45981.0</v>
      </c>
      <c r="B1343" s="201" t="s">
        <v>6306</v>
      </c>
      <c r="C1343" s="45" t="s">
        <v>4089</v>
      </c>
      <c r="D1343" s="140" t="str">
        <f>IFERROR(VLOOKUP(C1343,Stock,3,FALSE),"")</f>
        <v>Hyundai Ioniq 5 SUV 22- (2 Sensor / O /\ )</v>
      </c>
      <c r="E1343" s="45">
        <v>1.0</v>
      </c>
      <c r="F1343" s="202"/>
      <c r="G1343" s="142">
        <f t="shared" si="40"/>
        <v>0</v>
      </c>
      <c r="H1343" s="142"/>
      <c r="I1343" s="143">
        <f t="shared" si="38"/>
        <v>0</v>
      </c>
      <c r="J1343" s="144">
        <f t="shared" si="39"/>
        <v>0</v>
      </c>
      <c r="K1343" s="108" t="s">
        <v>4509</v>
      </c>
      <c r="L1343" s="17"/>
      <c r="M1343" s="17"/>
      <c r="N1343" s="68"/>
      <c r="O1343" s="64" t="s">
        <v>4175</v>
      </c>
      <c r="P1343" s="170"/>
      <c r="Q1343" s="149"/>
      <c r="R1343" s="149"/>
      <c r="S1343" s="149"/>
      <c r="T1343" s="149"/>
      <c r="U1343" s="149"/>
      <c r="V1343" s="149"/>
      <c r="W1343" s="149"/>
      <c r="X1343" s="64" t="s">
        <v>3810</v>
      </c>
      <c r="Y1343" s="64" t="s">
        <v>4515</v>
      </c>
      <c r="Z1343" s="68"/>
    </row>
    <row r="1344" ht="15.0" customHeight="1">
      <c r="A1344" s="333">
        <v>45981.0</v>
      </c>
      <c r="B1344" s="201" t="s">
        <v>6306</v>
      </c>
      <c r="C1344" s="45" t="s">
        <v>6307</v>
      </c>
      <c r="D1344" s="140" t="str">
        <f>IFERROR(VLOOKUP(C1344,Stock,3,FALSE),"")</f>
        <v>Kia Rio 11-17 UB Hatchback</v>
      </c>
      <c r="E1344" s="45">
        <v>1.0</v>
      </c>
      <c r="F1344" s="202"/>
      <c r="G1344" s="142">
        <f t="shared" si="40"/>
        <v>0</v>
      </c>
      <c r="H1344" s="142"/>
      <c r="I1344" s="143">
        <f t="shared" si="38"/>
        <v>0</v>
      </c>
      <c r="J1344" s="144">
        <f t="shared" si="39"/>
        <v>0</v>
      </c>
      <c r="K1344" s="108" t="s">
        <v>4509</v>
      </c>
      <c r="L1344" s="17"/>
      <c r="M1344" s="17"/>
      <c r="N1344" s="68"/>
      <c r="O1344" s="64" t="s">
        <v>4175</v>
      </c>
      <c r="P1344" s="170"/>
      <c r="Q1344" s="149"/>
      <c r="R1344" s="149"/>
      <c r="S1344" s="149"/>
      <c r="T1344" s="149"/>
      <c r="U1344" s="149"/>
      <c r="V1344" s="149"/>
      <c r="W1344" s="149"/>
      <c r="X1344" s="64" t="s">
        <v>3810</v>
      </c>
      <c r="Y1344" s="64" t="s">
        <v>4515</v>
      </c>
      <c r="Z1344" s="68"/>
    </row>
    <row r="1345" ht="15.0" customHeight="1">
      <c r="A1345" s="333">
        <v>45981.0</v>
      </c>
      <c r="B1345" s="201" t="s">
        <v>6306</v>
      </c>
      <c r="C1345" s="45" t="s">
        <v>6308</v>
      </c>
      <c r="D1345" s="140" t="str">
        <f>IFERROR(VLOOKUP(C1345,Stock,3,FALSE),"")</f>
        <v>Ford Fiesta 09-17 (Sensor Bulat)</v>
      </c>
      <c r="E1345" s="45">
        <v>1.0</v>
      </c>
      <c r="F1345" s="202"/>
      <c r="G1345" s="142">
        <f t="shared" si="40"/>
        <v>0</v>
      </c>
      <c r="H1345" s="142"/>
      <c r="I1345" s="143">
        <f t="shared" si="38"/>
        <v>0</v>
      </c>
      <c r="J1345" s="144">
        <f t="shared" si="39"/>
        <v>0</v>
      </c>
      <c r="K1345" s="108" t="s">
        <v>4509</v>
      </c>
      <c r="L1345" s="17"/>
      <c r="M1345" s="17"/>
      <c r="N1345" s="68"/>
      <c r="O1345" s="64" t="s">
        <v>4175</v>
      </c>
      <c r="P1345" s="170"/>
      <c r="Q1345" s="149"/>
      <c r="R1345" s="149"/>
      <c r="S1345" s="149"/>
      <c r="T1345" s="149"/>
      <c r="U1345" s="149"/>
      <c r="V1345" s="149"/>
      <c r="W1345" s="149"/>
      <c r="X1345" s="64" t="s">
        <v>3810</v>
      </c>
      <c r="Y1345" s="64" t="s">
        <v>4515</v>
      </c>
      <c r="Z1345" s="68"/>
    </row>
    <row r="1346" ht="15.0" customHeight="1">
      <c r="A1346" s="333">
        <v>45981.0</v>
      </c>
      <c r="B1346" s="201" t="s">
        <v>6306</v>
      </c>
      <c r="C1346" s="64" t="s">
        <v>3700</v>
      </c>
      <c r="D1346" s="140" t="str">
        <f>IFERROR(VLOOKUP(C1346,Stock,3,FALSE),"")</f>
        <v>Toyota Avanza / Xenia 11-15 2nd Gen / 15-21 3rd Gen</v>
      </c>
      <c r="E1346" s="45">
        <v>2.0</v>
      </c>
      <c r="F1346" s="202"/>
      <c r="G1346" s="142">
        <f t="shared" si="40"/>
        <v>0</v>
      </c>
      <c r="H1346" s="142"/>
      <c r="I1346" s="143">
        <f t="shared" si="38"/>
        <v>0</v>
      </c>
      <c r="J1346" s="144">
        <f t="shared" si="39"/>
        <v>0</v>
      </c>
      <c r="K1346" s="108" t="s">
        <v>4509</v>
      </c>
      <c r="L1346" s="17"/>
      <c r="M1346" s="17"/>
      <c r="N1346" s="68"/>
      <c r="O1346" s="64" t="s">
        <v>4175</v>
      </c>
      <c r="P1346" s="170"/>
      <c r="Q1346" s="149"/>
      <c r="R1346" s="149"/>
      <c r="S1346" s="149"/>
      <c r="T1346" s="149"/>
      <c r="U1346" s="149"/>
      <c r="V1346" s="149"/>
      <c r="W1346" s="149"/>
      <c r="X1346" s="64" t="s">
        <v>3810</v>
      </c>
      <c r="Y1346" s="64" t="s">
        <v>4515</v>
      </c>
      <c r="Z1346" s="68"/>
    </row>
    <row r="1347" ht="15.0" customHeight="1">
      <c r="A1347" s="333">
        <v>45978.0</v>
      </c>
      <c r="B1347" s="201" t="s">
        <v>6309</v>
      </c>
      <c r="C1347" s="45" t="s">
        <v>3021</v>
      </c>
      <c r="D1347" s="140" t="str">
        <f>IFERROR(VLOOKUP(C1347,Stock,3,FALSE),"")</f>
        <v>Honda Freed 08-16 1st gen</v>
      </c>
      <c r="E1347" s="45">
        <v>1.0</v>
      </c>
      <c r="F1347" s="202"/>
      <c r="G1347" s="142">
        <f t="shared" si="40"/>
        <v>0</v>
      </c>
      <c r="H1347" s="142"/>
      <c r="I1347" s="143">
        <f t="shared" si="38"/>
        <v>0</v>
      </c>
      <c r="J1347" s="144">
        <f t="shared" si="39"/>
        <v>0</v>
      </c>
      <c r="K1347" s="108" t="s">
        <v>4509</v>
      </c>
      <c r="L1347" s="17"/>
      <c r="M1347" s="17"/>
      <c r="N1347" s="68"/>
      <c r="O1347" s="64" t="s">
        <v>4175</v>
      </c>
      <c r="P1347" s="170"/>
      <c r="Q1347" s="149"/>
      <c r="R1347" s="149"/>
      <c r="S1347" s="149"/>
      <c r="T1347" s="149"/>
      <c r="U1347" s="149"/>
      <c r="V1347" s="149"/>
      <c r="W1347" s="149"/>
      <c r="X1347" s="64" t="s">
        <v>3810</v>
      </c>
      <c r="Y1347" s="64" t="s">
        <v>4515</v>
      </c>
      <c r="Z1347" s="68"/>
    </row>
    <row r="1348" ht="15.0" customHeight="1">
      <c r="A1348" s="333">
        <v>45978.0</v>
      </c>
      <c r="B1348" s="201" t="s">
        <v>6309</v>
      </c>
      <c r="C1348" s="45" t="s">
        <v>4176</v>
      </c>
      <c r="D1348" s="140" t="str">
        <f>IFERROR(VLOOKUP(C1348,Stock,3,FALSE),"")</f>
        <v>Honda HR-V 22- 5D SUV (Honda)</v>
      </c>
      <c r="E1348" s="45">
        <v>1.0</v>
      </c>
      <c r="F1348" s="202"/>
      <c r="G1348" s="142">
        <f t="shared" si="40"/>
        <v>0</v>
      </c>
      <c r="H1348" s="142"/>
      <c r="I1348" s="143">
        <f t="shared" si="38"/>
        <v>0</v>
      </c>
      <c r="J1348" s="144">
        <f t="shared" si="39"/>
        <v>0</v>
      </c>
      <c r="K1348" s="108" t="s">
        <v>4509</v>
      </c>
      <c r="L1348" s="17"/>
      <c r="M1348" s="17"/>
      <c r="N1348" s="68"/>
      <c r="O1348" s="64" t="s">
        <v>4175</v>
      </c>
      <c r="P1348" s="170"/>
      <c r="Q1348" s="149"/>
      <c r="R1348" s="149"/>
      <c r="S1348" s="149"/>
      <c r="T1348" s="149"/>
      <c r="U1348" s="149"/>
      <c r="V1348" s="149"/>
      <c r="W1348" s="149"/>
      <c r="X1348" s="64" t="s">
        <v>3810</v>
      </c>
      <c r="Y1348" s="64" t="s">
        <v>4515</v>
      </c>
      <c r="Z1348" s="68"/>
    </row>
    <row r="1349" ht="15.0" customHeight="1">
      <c r="A1349" s="333">
        <v>45982.0</v>
      </c>
      <c r="B1349" s="201" t="s">
        <v>6310</v>
      </c>
      <c r="C1349" s="45" t="s">
        <v>6311</v>
      </c>
      <c r="D1349" s="140" t="str">
        <f>IFERROR(VLOOKUP(C1349,Stock,3,FALSE),"")</f>
        <v>Mitsubishi Pajero 23- (1 Sensor / □ ) (Mitsubishi)</v>
      </c>
      <c r="E1349" s="45">
        <v>1.0</v>
      </c>
      <c r="F1349" s="198">
        <v>4200000.0</v>
      </c>
      <c r="G1349" s="142">
        <f t="shared" si="40"/>
        <v>4200000</v>
      </c>
      <c r="H1349" s="142"/>
      <c r="I1349" s="143">
        <f t="shared" si="38"/>
        <v>4200000</v>
      </c>
      <c r="J1349" s="144">
        <f t="shared" si="39"/>
        <v>4200000</v>
      </c>
      <c r="K1349" s="108" t="s">
        <v>6312</v>
      </c>
      <c r="L1349" s="199" t="s">
        <v>6313</v>
      </c>
      <c r="M1349" s="17"/>
      <c r="N1349" s="64" t="s">
        <v>6314</v>
      </c>
      <c r="O1349" s="64" t="s">
        <v>2987</v>
      </c>
      <c r="P1349" s="147" t="s">
        <v>4672</v>
      </c>
      <c r="Q1349" s="149"/>
      <c r="R1349" s="141"/>
      <c r="S1349" s="141"/>
      <c r="T1349" s="141">
        <v>4200000.0</v>
      </c>
      <c r="U1349" s="149"/>
      <c r="V1349" s="149"/>
      <c r="W1349" s="149"/>
      <c r="X1349" s="64" t="s">
        <v>3810</v>
      </c>
      <c r="Y1349" s="64" t="s">
        <v>4515</v>
      </c>
      <c r="Z1349" s="68"/>
    </row>
    <row r="1350" ht="15.0" customHeight="1">
      <c r="A1350" s="333">
        <v>45982.0</v>
      </c>
      <c r="B1350" s="201" t="s">
        <v>6315</v>
      </c>
      <c r="C1350" s="45" t="s">
        <v>6316</v>
      </c>
      <c r="D1350" s="140" t="str">
        <f>IFERROR(VLOOKUP(C1350,Stock,3,FALSE),"")</f>
        <v>Mazda CX-5 12-17 1st Gen KE</v>
      </c>
      <c r="E1350" s="45">
        <v>1.0</v>
      </c>
      <c r="F1350" s="198">
        <v>854000.0</v>
      </c>
      <c r="G1350" s="142">
        <f t="shared" si="40"/>
        <v>854000</v>
      </c>
      <c r="H1350" s="142"/>
      <c r="I1350" s="143">
        <f t="shared" si="38"/>
        <v>854000</v>
      </c>
      <c r="J1350" s="144">
        <f t="shared" si="39"/>
        <v>854000</v>
      </c>
      <c r="K1350" s="108" t="s">
        <v>6317</v>
      </c>
      <c r="L1350" s="199" t="s">
        <v>6318</v>
      </c>
      <c r="M1350" s="17"/>
      <c r="N1350" s="64" t="s">
        <v>4270</v>
      </c>
      <c r="O1350" s="64" t="s">
        <v>6319</v>
      </c>
      <c r="P1350" s="147" t="s">
        <v>4672</v>
      </c>
      <c r="Q1350" s="149"/>
      <c r="R1350" s="141"/>
      <c r="S1350" s="141"/>
      <c r="T1350" s="141">
        <v>854000.0</v>
      </c>
      <c r="U1350" s="149"/>
      <c r="V1350" s="149"/>
      <c r="W1350" s="149"/>
      <c r="X1350" s="64" t="s">
        <v>3810</v>
      </c>
      <c r="Y1350" s="64" t="s">
        <v>4515</v>
      </c>
      <c r="Z1350" s="68"/>
    </row>
    <row r="1351" ht="15.0" customHeight="1">
      <c r="A1351" s="333">
        <v>45982.0</v>
      </c>
      <c r="B1351" s="201" t="s">
        <v>6320</v>
      </c>
      <c r="C1351" s="45" t="s">
        <v>3029</v>
      </c>
      <c r="D1351" s="140" t="str">
        <f>IFERROR(VLOOKUP(C1351,Stock,3,FALSE),"")</f>
        <v>Mitsubishi Canter FE700 01- (PS110,125)</v>
      </c>
      <c r="E1351" s="45">
        <v>1.0</v>
      </c>
      <c r="F1351" s="198">
        <v>1144000.0</v>
      </c>
      <c r="G1351" s="142">
        <f t="shared" si="40"/>
        <v>1144000</v>
      </c>
      <c r="H1351" s="142"/>
      <c r="I1351" s="143">
        <f t="shared" si="38"/>
        <v>1144000</v>
      </c>
      <c r="J1351" s="144">
        <f t="shared" si="39"/>
        <v>1144000</v>
      </c>
      <c r="K1351" s="108" t="s">
        <v>6321</v>
      </c>
      <c r="L1351" s="199" t="s">
        <v>6322</v>
      </c>
      <c r="M1351" s="17"/>
      <c r="N1351" s="64" t="s">
        <v>6323</v>
      </c>
      <c r="O1351" s="64" t="s">
        <v>2813</v>
      </c>
      <c r="P1351" s="147" t="s">
        <v>4672</v>
      </c>
      <c r="Q1351" s="149"/>
      <c r="R1351" s="141"/>
      <c r="S1351" s="141"/>
      <c r="T1351" s="141">
        <v>50000.0</v>
      </c>
      <c r="U1351" s="149"/>
      <c r="V1351" s="149"/>
      <c r="W1351" s="149"/>
      <c r="X1351" s="64" t="s">
        <v>3810</v>
      </c>
      <c r="Y1351" s="64" t="s">
        <v>4515</v>
      </c>
      <c r="Z1351" s="68"/>
    </row>
    <row r="1352" ht="15.0" customHeight="1">
      <c r="A1352" s="333">
        <v>45982.0</v>
      </c>
      <c r="B1352" s="201" t="s">
        <v>6320</v>
      </c>
      <c r="C1352" s="45" t="s">
        <v>2770</v>
      </c>
      <c r="D1352" s="140" t="str">
        <f>IFERROR(VLOOKUP(C1352,Stock,3,FALSE),"")</f>
        <v>Transport</v>
      </c>
      <c r="E1352" s="45">
        <v>1.0</v>
      </c>
      <c r="F1352" s="198">
        <v>150000.0</v>
      </c>
      <c r="G1352" s="142">
        <f t="shared" si="40"/>
        <v>150000</v>
      </c>
      <c r="H1352" s="142"/>
      <c r="I1352" s="143">
        <f t="shared" si="38"/>
        <v>150000</v>
      </c>
      <c r="J1352" s="144">
        <f t="shared" si="39"/>
        <v>150000</v>
      </c>
      <c r="K1352" s="108" t="s">
        <v>6321</v>
      </c>
      <c r="L1352" s="199" t="s">
        <v>6322</v>
      </c>
      <c r="M1352" s="17"/>
      <c r="N1352" s="64" t="s">
        <v>6323</v>
      </c>
      <c r="O1352" s="64" t="s">
        <v>2813</v>
      </c>
      <c r="P1352" s="147" t="s">
        <v>4672</v>
      </c>
      <c r="Q1352" s="141">
        <v>1244000.0</v>
      </c>
      <c r="R1352" s="149"/>
      <c r="S1352" s="149"/>
      <c r="T1352" s="149"/>
      <c r="U1352" s="149"/>
      <c r="V1352" s="149"/>
      <c r="W1352" s="149"/>
      <c r="X1352" s="64" t="s">
        <v>3810</v>
      </c>
      <c r="Y1352" s="64" t="s">
        <v>4515</v>
      </c>
      <c r="Z1352" s="68"/>
    </row>
    <row r="1353" ht="15.0" customHeight="1">
      <c r="A1353" s="333">
        <v>45982.0</v>
      </c>
      <c r="B1353" s="201" t="s">
        <v>6324</v>
      </c>
      <c r="C1353" s="45" t="s">
        <v>2869</v>
      </c>
      <c r="D1353" s="140" t="str">
        <f>IFERROR(VLOOKUP(C1353,Stock,3,FALSE),"")</f>
        <v>Daihatsu Gran Max / Luxio 07-</v>
      </c>
      <c r="E1353" s="45">
        <v>1.0</v>
      </c>
      <c r="F1353" s="198">
        <v>1000000.0</v>
      </c>
      <c r="G1353" s="142">
        <f t="shared" si="40"/>
        <v>1000000</v>
      </c>
      <c r="H1353" s="142"/>
      <c r="I1353" s="143">
        <f t="shared" si="38"/>
        <v>1000000</v>
      </c>
      <c r="J1353" s="144">
        <f t="shared" si="39"/>
        <v>1000000</v>
      </c>
      <c r="K1353" s="108" t="s">
        <v>6325</v>
      </c>
      <c r="L1353" s="199" t="s">
        <v>6326</v>
      </c>
      <c r="M1353" s="17"/>
      <c r="N1353" s="64" t="s">
        <v>6327</v>
      </c>
      <c r="O1353" s="64" t="s">
        <v>2807</v>
      </c>
      <c r="P1353" s="147" t="s">
        <v>4672</v>
      </c>
      <c r="Q1353" s="149"/>
      <c r="R1353" s="141"/>
      <c r="S1353" s="141"/>
      <c r="T1353" s="141">
        <v>50000.0</v>
      </c>
      <c r="U1353" s="149"/>
      <c r="V1353" s="149"/>
      <c r="W1353" s="149"/>
      <c r="X1353" s="64" t="s">
        <v>3810</v>
      </c>
      <c r="Y1353" s="64" t="s">
        <v>4515</v>
      </c>
      <c r="Z1353" s="68"/>
    </row>
    <row r="1354" ht="15.0" customHeight="1">
      <c r="A1354" s="333">
        <v>45982.0</v>
      </c>
      <c r="B1354" s="201" t="s">
        <v>6324</v>
      </c>
      <c r="C1354" s="45" t="s">
        <v>2770</v>
      </c>
      <c r="D1354" s="140" t="str">
        <f>IFERROR(VLOOKUP(C1354,Stock,3,FALSE),"")</f>
        <v>Transport</v>
      </c>
      <c r="E1354" s="45">
        <v>1.0</v>
      </c>
      <c r="F1354" s="198">
        <v>190000.0</v>
      </c>
      <c r="G1354" s="142">
        <f t="shared" si="40"/>
        <v>190000</v>
      </c>
      <c r="H1354" s="142"/>
      <c r="I1354" s="143">
        <f t="shared" si="38"/>
        <v>190000</v>
      </c>
      <c r="J1354" s="144">
        <f t="shared" si="39"/>
        <v>190000</v>
      </c>
      <c r="K1354" s="108" t="s">
        <v>6325</v>
      </c>
      <c r="L1354" s="199" t="s">
        <v>6326</v>
      </c>
      <c r="M1354" s="17"/>
      <c r="N1354" s="64" t="s">
        <v>6327</v>
      </c>
      <c r="O1354" s="64" t="s">
        <v>2807</v>
      </c>
      <c r="P1354" s="147" t="s">
        <v>4672</v>
      </c>
      <c r="Q1354" s="149"/>
      <c r="R1354" s="141"/>
      <c r="S1354" s="141"/>
      <c r="T1354" s="141">
        <v>1140000.0</v>
      </c>
      <c r="U1354" s="149"/>
      <c r="V1354" s="149"/>
      <c r="W1354" s="149"/>
      <c r="X1354" s="64" t="s">
        <v>3810</v>
      </c>
      <c r="Y1354" s="64" t="s">
        <v>4515</v>
      </c>
      <c r="Z1354" s="68"/>
    </row>
    <row r="1355" ht="15.0" customHeight="1">
      <c r="A1355" s="333">
        <v>45982.0</v>
      </c>
      <c r="B1355" s="201" t="s">
        <v>6328</v>
      </c>
      <c r="C1355" s="45" t="s">
        <v>3913</v>
      </c>
      <c r="D1355" s="140" t="str">
        <f>IFERROR(VLOOKUP(C1355,Stock,3,FALSE),"")</f>
        <v>BYD Seal 23- (2 Sensor / /\ O )</v>
      </c>
      <c r="E1355" s="45">
        <v>1.0</v>
      </c>
      <c r="F1355" s="198">
        <v>4200000.0</v>
      </c>
      <c r="G1355" s="142">
        <f t="shared" si="40"/>
        <v>4200000</v>
      </c>
      <c r="H1355" s="142"/>
      <c r="I1355" s="143">
        <f t="shared" si="38"/>
        <v>4200000</v>
      </c>
      <c r="J1355" s="144">
        <f t="shared" si="39"/>
        <v>4200000</v>
      </c>
      <c r="K1355" s="108" t="s">
        <v>6329</v>
      </c>
      <c r="L1355" s="199" t="s">
        <v>6330</v>
      </c>
      <c r="M1355" s="17"/>
      <c r="N1355" s="64" t="s">
        <v>6331</v>
      </c>
      <c r="O1355" s="64" t="s">
        <v>6332</v>
      </c>
      <c r="P1355" s="147" t="s">
        <v>4672</v>
      </c>
      <c r="Q1355" s="149"/>
      <c r="R1355" s="141"/>
      <c r="S1355" s="141"/>
      <c r="T1355" s="141">
        <v>4200000.0</v>
      </c>
      <c r="U1355" s="149"/>
      <c r="V1355" s="149"/>
      <c r="W1355" s="149"/>
      <c r="X1355" s="64" t="s">
        <v>3810</v>
      </c>
      <c r="Y1355" s="64" t="s">
        <v>4515</v>
      </c>
      <c r="Z1355" s="68"/>
    </row>
    <row r="1356" ht="15.0" customHeight="1">
      <c r="A1356" s="333">
        <v>45982.0</v>
      </c>
      <c r="B1356" s="201" t="s">
        <v>6333</v>
      </c>
      <c r="C1356" s="45" t="s">
        <v>2869</v>
      </c>
      <c r="D1356" s="140" t="str">
        <f>IFERROR(VLOOKUP(C1356,Stock,3,FALSE),"")</f>
        <v>Daihatsu Gran Max / Luxio 07-</v>
      </c>
      <c r="E1356" s="45">
        <v>1.0</v>
      </c>
      <c r="F1356" s="202"/>
      <c r="G1356" s="142">
        <f t="shared" si="40"/>
        <v>0</v>
      </c>
      <c r="H1356" s="142"/>
      <c r="I1356" s="143">
        <f t="shared" si="38"/>
        <v>0</v>
      </c>
      <c r="J1356" s="144">
        <f t="shared" si="39"/>
        <v>0</v>
      </c>
      <c r="K1356" s="108" t="s">
        <v>4509</v>
      </c>
      <c r="L1356" s="17"/>
      <c r="M1356" s="17"/>
      <c r="N1356" s="68"/>
      <c r="O1356" s="64" t="s">
        <v>4175</v>
      </c>
      <c r="P1356" s="170"/>
      <c r="Q1356" s="149"/>
      <c r="R1356" s="149"/>
      <c r="S1356" s="149"/>
      <c r="T1356" s="149"/>
      <c r="U1356" s="149"/>
      <c r="V1356" s="149"/>
      <c r="W1356" s="149"/>
      <c r="X1356" s="64" t="s">
        <v>3810</v>
      </c>
      <c r="Y1356" s="64" t="s">
        <v>4515</v>
      </c>
      <c r="Z1356" s="68"/>
    </row>
    <row r="1357" ht="15.0" customHeight="1">
      <c r="A1357" s="333">
        <v>45983.0</v>
      </c>
      <c r="B1357" s="201" t="s">
        <v>6334</v>
      </c>
      <c r="C1357" s="45" t="s">
        <v>6335</v>
      </c>
      <c r="D1357" s="140" t="str">
        <f>IFERROR(VLOOKUP(C1357,Stock,3,FALSE),"")</f>
        <v>Toyota LandCruiser  98-07 FJ100 (Signus) [No Sensor]</v>
      </c>
      <c r="E1357" s="45">
        <v>1.0</v>
      </c>
      <c r="F1357" s="198">
        <v>3437000.0</v>
      </c>
      <c r="G1357" s="142">
        <f t="shared" si="40"/>
        <v>3437000</v>
      </c>
      <c r="H1357" s="142"/>
      <c r="I1357" s="143">
        <f t="shared" si="38"/>
        <v>3437000</v>
      </c>
      <c r="J1357" s="144">
        <f t="shared" si="39"/>
        <v>3437000</v>
      </c>
      <c r="K1357" s="108" t="s">
        <v>6336</v>
      </c>
      <c r="L1357" s="199" t="s">
        <v>6337</v>
      </c>
      <c r="M1357" s="17"/>
      <c r="N1357" s="68"/>
      <c r="O1357" s="64" t="s">
        <v>4607</v>
      </c>
      <c r="P1357" s="147" t="s">
        <v>4672</v>
      </c>
      <c r="Q1357" s="149"/>
      <c r="R1357" s="141"/>
      <c r="S1357" s="141"/>
      <c r="T1357" s="141">
        <v>200000.0</v>
      </c>
      <c r="U1357" s="149"/>
      <c r="V1357" s="149"/>
      <c r="W1357" s="149"/>
      <c r="X1357" s="64" t="s">
        <v>5894</v>
      </c>
      <c r="Y1357" s="64" t="s">
        <v>4515</v>
      </c>
      <c r="Z1357" s="68"/>
    </row>
    <row r="1358" ht="15.0" customHeight="1">
      <c r="A1358" s="333">
        <v>45983.0</v>
      </c>
      <c r="B1358" s="201" t="s">
        <v>6334</v>
      </c>
      <c r="C1358" s="45" t="s">
        <v>2770</v>
      </c>
      <c r="D1358" s="140" t="str">
        <f>IFERROR(VLOOKUP(C1358,Stock,3,FALSE),"")</f>
        <v>Transport</v>
      </c>
      <c r="E1358" s="45">
        <v>1.0</v>
      </c>
      <c r="F1358" s="198">
        <v>190000.0</v>
      </c>
      <c r="G1358" s="142">
        <f t="shared" si="40"/>
        <v>190000</v>
      </c>
      <c r="H1358" s="142"/>
      <c r="I1358" s="143">
        <f t="shared" si="38"/>
        <v>190000</v>
      </c>
      <c r="J1358" s="144">
        <f t="shared" si="39"/>
        <v>190000</v>
      </c>
      <c r="K1358" s="108" t="s">
        <v>6336</v>
      </c>
      <c r="L1358" s="199" t="s">
        <v>6337</v>
      </c>
      <c r="M1358" s="17"/>
      <c r="N1358" s="68"/>
      <c r="O1358" s="64" t="s">
        <v>4607</v>
      </c>
      <c r="P1358" s="147" t="s">
        <v>4672</v>
      </c>
      <c r="Q1358" s="149"/>
      <c r="R1358" s="141"/>
      <c r="S1358" s="141"/>
      <c r="T1358" s="141">
        <v>3427000.0</v>
      </c>
      <c r="U1358" s="149"/>
      <c r="V1358" s="149"/>
      <c r="W1358" s="149"/>
      <c r="X1358" s="64" t="s">
        <v>5894</v>
      </c>
      <c r="Y1358" s="64" t="s">
        <v>4515</v>
      </c>
      <c r="Z1358" s="68"/>
    </row>
    <row r="1359" ht="15.0" customHeight="1">
      <c r="A1359" s="333">
        <v>45983.0</v>
      </c>
      <c r="B1359" s="201" t="s">
        <v>6338</v>
      </c>
      <c r="C1359" s="45" t="s">
        <v>4134</v>
      </c>
      <c r="D1359" s="140" t="str">
        <f>IFERROR(VLOOKUP(C1359,Stock,3,FALSE),"")</f>
        <v>Mazda 2 14- Skyactiv 4th Gen</v>
      </c>
      <c r="E1359" s="45">
        <v>1.0</v>
      </c>
      <c r="F1359" s="198">
        <v>2500000.0</v>
      </c>
      <c r="G1359" s="142">
        <f t="shared" si="40"/>
        <v>2500000</v>
      </c>
      <c r="H1359" s="142"/>
      <c r="I1359" s="143">
        <f t="shared" si="38"/>
        <v>2500000</v>
      </c>
      <c r="J1359" s="144">
        <f t="shared" si="39"/>
        <v>2500000</v>
      </c>
      <c r="K1359" s="108" t="s">
        <v>2979</v>
      </c>
      <c r="L1359" s="199" t="s">
        <v>6339</v>
      </c>
      <c r="M1359" s="17"/>
      <c r="N1359" s="64" t="s">
        <v>6340</v>
      </c>
      <c r="O1359" s="64" t="s">
        <v>2813</v>
      </c>
      <c r="P1359" s="147" t="s">
        <v>4672</v>
      </c>
      <c r="Q1359" s="149"/>
      <c r="R1359" s="141"/>
      <c r="S1359" s="141"/>
      <c r="T1359" s="141">
        <v>2500000.0</v>
      </c>
      <c r="U1359" s="149"/>
      <c r="V1359" s="149"/>
      <c r="W1359" s="149"/>
      <c r="X1359" s="64" t="s">
        <v>3810</v>
      </c>
      <c r="Y1359" s="64" t="s">
        <v>4515</v>
      </c>
      <c r="Z1359" s="68"/>
    </row>
    <row r="1360" ht="15.0" customHeight="1">
      <c r="A1360" s="333">
        <v>45983.0</v>
      </c>
      <c r="B1360" s="201" t="s">
        <v>6341</v>
      </c>
      <c r="C1360" s="45" t="s">
        <v>3225</v>
      </c>
      <c r="D1360" s="140" t="str">
        <f>IFERROR(VLOOKUP(C1360,Stock,3,FALSE),"")</f>
        <v>Toyota Rush / Terios 18-</v>
      </c>
      <c r="E1360" s="45">
        <v>1.0</v>
      </c>
      <c r="F1360" s="198">
        <v>1260000.0</v>
      </c>
      <c r="G1360" s="142">
        <f t="shared" si="40"/>
        <v>1260000</v>
      </c>
      <c r="H1360" s="142"/>
      <c r="I1360" s="143">
        <f t="shared" si="38"/>
        <v>1260000</v>
      </c>
      <c r="J1360" s="144">
        <f t="shared" si="39"/>
        <v>1260000</v>
      </c>
      <c r="K1360" s="108" t="s">
        <v>6342</v>
      </c>
      <c r="L1360" s="199" t="s">
        <v>6343</v>
      </c>
      <c r="M1360" s="17"/>
      <c r="N1360" s="64" t="s">
        <v>6344</v>
      </c>
      <c r="O1360" s="64" t="s">
        <v>2813</v>
      </c>
      <c r="P1360" s="147" t="s">
        <v>4672</v>
      </c>
      <c r="Q1360" s="141">
        <v>1260000.0</v>
      </c>
      <c r="R1360" s="149"/>
      <c r="S1360" s="149"/>
      <c r="T1360" s="149"/>
      <c r="U1360" s="149"/>
      <c r="V1360" s="149"/>
      <c r="W1360" s="149"/>
      <c r="X1360" s="64" t="s">
        <v>5894</v>
      </c>
      <c r="Y1360" s="64" t="s">
        <v>4515</v>
      </c>
      <c r="Z1360" s="68"/>
    </row>
    <row r="1361" ht="15.0" customHeight="1">
      <c r="A1361" s="333">
        <v>45983.0</v>
      </c>
      <c r="B1361" s="201" t="s">
        <v>6345</v>
      </c>
      <c r="C1361" s="45" t="s">
        <v>3225</v>
      </c>
      <c r="D1361" s="140" t="str">
        <f>IFERROR(VLOOKUP(C1361,Stock,3,FALSE),"")</f>
        <v>Toyota Rush / Terios 18-</v>
      </c>
      <c r="E1361" s="45">
        <v>1.0</v>
      </c>
      <c r="F1361" s="198">
        <v>1260000.0</v>
      </c>
      <c r="G1361" s="142">
        <f t="shared" si="40"/>
        <v>1260000</v>
      </c>
      <c r="H1361" s="142"/>
      <c r="I1361" s="143">
        <f t="shared" si="38"/>
        <v>1260000</v>
      </c>
      <c r="J1361" s="144">
        <f t="shared" si="39"/>
        <v>1260000</v>
      </c>
      <c r="K1361" s="108" t="s">
        <v>6346</v>
      </c>
      <c r="L1361" s="199" t="s">
        <v>6347</v>
      </c>
      <c r="M1361" s="17"/>
      <c r="N1361" s="64" t="s">
        <v>6348</v>
      </c>
      <c r="O1361" s="64" t="s">
        <v>2813</v>
      </c>
      <c r="P1361" s="147" t="s">
        <v>4672</v>
      </c>
      <c r="Q1361" s="149"/>
      <c r="R1361" s="141"/>
      <c r="S1361" s="141"/>
      <c r="T1361" s="141">
        <v>1260000.0</v>
      </c>
      <c r="U1361" s="149"/>
      <c r="V1361" s="149"/>
      <c r="W1361" s="149"/>
      <c r="X1361" s="64" t="s">
        <v>5894</v>
      </c>
      <c r="Y1361" s="64" t="s">
        <v>4515</v>
      </c>
      <c r="Z1361" s="68"/>
    </row>
    <row r="1362" ht="15.0" customHeight="1">
      <c r="A1362" s="333">
        <v>45983.0</v>
      </c>
      <c r="B1362" s="201" t="s">
        <v>6349</v>
      </c>
      <c r="C1362" s="45" t="s">
        <v>4176</v>
      </c>
      <c r="D1362" s="140" t="str">
        <f>IFERROR(VLOOKUP(C1362,Stock,3,FALSE),"")</f>
        <v>Honda HR-V 22- 5D SUV (Honda)</v>
      </c>
      <c r="E1362" s="45">
        <v>1.0</v>
      </c>
      <c r="F1362" s="198">
        <v>3232000.0</v>
      </c>
      <c r="G1362" s="142">
        <f t="shared" si="40"/>
        <v>3232000</v>
      </c>
      <c r="H1362" s="142"/>
      <c r="I1362" s="143">
        <f t="shared" si="38"/>
        <v>3232000</v>
      </c>
      <c r="J1362" s="144">
        <f t="shared" si="39"/>
        <v>3232000</v>
      </c>
      <c r="K1362" s="108" t="s">
        <v>6350</v>
      </c>
      <c r="L1362" s="199" t="s">
        <v>6351</v>
      </c>
      <c r="M1362" s="45"/>
      <c r="N1362" s="45" t="s">
        <v>6352</v>
      </c>
      <c r="O1362" s="64" t="s">
        <v>2813</v>
      </c>
      <c r="P1362" s="147" t="s">
        <v>4672</v>
      </c>
      <c r="Q1362" s="149"/>
      <c r="R1362" s="141"/>
      <c r="S1362" s="141"/>
      <c r="T1362" s="141">
        <v>3232000.0</v>
      </c>
      <c r="U1362" s="149"/>
      <c r="V1362" s="149"/>
      <c r="W1362" s="149"/>
      <c r="X1362" s="64" t="s">
        <v>5894</v>
      </c>
      <c r="Y1362" s="64" t="s">
        <v>4515</v>
      </c>
      <c r="Z1362" s="68"/>
    </row>
    <row r="1363" ht="15.0" customHeight="1">
      <c r="A1363" s="333">
        <v>45983.0</v>
      </c>
      <c r="B1363" s="201" t="s">
        <v>6353</v>
      </c>
      <c r="C1363" s="45" t="s">
        <v>4001</v>
      </c>
      <c r="D1363" s="140" t="str">
        <f>IFERROR(VLOOKUP(C1363,Stock,3,FALSE),"")</f>
        <v>Daihatsu Gran Max Minibus/Van</v>
      </c>
      <c r="E1363" s="45">
        <v>1.0</v>
      </c>
      <c r="F1363" s="198">
        <v>799000.0</v>
      </c>
      <c r="G1363" s="142">
        <f t="shared" si="40"/>
        <v>799000</v>
      </c>
      <c r="H1363" s="142"/>
      <c r="I1363" s="143">
        <f t="shared" si="38"/>
        <v>799000</v>
      </c>
      <c r="J1363" s="144">
        <f t="shared" si="39"/>
        <v>799000</v>
      </c>
      <c r="K1363" s="108" t="s">
        <v>6354</v>
      </c>
      <c r="L1363" s="199" t="s">
        <v>6355</v>
      </c>
      <c r="M1363" s="17"/>
      <c r="N1363" s="64" t="s">
        <v>6356</v>
      </c>
      <c r="O1363" s="64" t="s">
        <v>2813</v>
      </c>
      <c r="P1363" s="147" t="s">
        <v>4672</v>
      </c>
      <c r="Q1363" s="149"/>
      <c r="R1363" s="141"/>
      <c r="S1363" s="141"/>
      <c r="T1363" s="141">
        <v>1049000.0</v>
      </c>
      <c r="U1363" s="149"/>
      <c r="V1363" s="149"/>
      <c r="W1363" s="149"/>
      <c r="X1363" s="64" t="s">
        <v>5894</v>
      </c>
      <c r="Y1363" s="64" t="s">
        <v>4515</v>
      </c>
      <c r="Z1363" s="68"/>
    </row>
    <row r="1364" ht="15.0" customHeight="1">
      <c r="A1364" s="333">
        <v>45983.0</v>
      </c>
      <c r="B1364" s="201" t="s">
        <v>6353</v>
      </c>
      <c r="C1364" s="45" t="s">
        <v>5254</v>
      </c>
      <c r="D1364" s="140" t="str">
        <f>IFERROR(VLOOKUP(C1364,Stock,3,FALSE),"")</f>
        <v>Automotive Film Standard - Black 40%				</v>
      </c>
      <c r="E1364" s="45">
        <v>1.0</v>
      </c>
      <c r="F1364" s="198">
        <v>250000.0</v>
      </c>
      <c r="G1364" s="142">
        <f t="shared" si="40"/>
        <v>250000</v>
      </c>
      <c r="H1364" s="142"/>
      <c r="I1364" s="143">
        <f t="shared" si="38"/>
        <v>250000</v>
      </c>
      <c r="J1364" s="144">
        <f t="shared" si="39"/>
        <v>250000</v>
      </c>
      <c r="K1364" s="108" t="s">
        <v>6354</v>
      </c>
      <c r="L1364" s="199" t="s">
        <v>6355</v>
      </c>
      <c r="M1364" s="17"/>
      <c r="N1364" s="64" t="s">
        <v>6356</v>
      </c>
      <c r="O1364" s="64" t="s">
        <v>2813</v>
      </c>
      <c r="P1364" s="147" t="s">
        <v>4672</v>
      </c>
      <c r="Q1364" s="149"/>
      <c r="R1364" s="149"/>
      <c r="S1364" s="149"/>
      <c r="T1364" s="149"/>
      <c r="U1364" s="149"/>
      <c r="V1364" s="149"/>
      <c r="W1364" s="149"/>
      <c r="X1364" s="64" t="s">
        <v>5894</v>
      </c>
      <c r="Y1364" s="64" t="s">
        <v>4515</v>
      </c>
      <c r="Z1364" s="68"/>
    </row>
    <row r="1365" ht="15.0" customHeight="1">
      <c r="A1365" s="333">
        <v>45984.0</v>
      </c>
      <c r="B1365" s="201" t="s">
        <v>6357</v>
      </c>
      <c r="C1365" s="45" t="s">
        <v>5313</v>
      </c>
      <c r="D1365" s="140" t="str">
        <f>IFERROR(VLOOKUP(C1365,Stock,3,FALSE),"")</f>
        <v>Toyota Yaris 05-13 XP90 1st Gen</v>
      </c>
      <c r="E1365" s="45">
        <v>1.0</v>
      </c>
      <c r="F1365" s="198">
        <v>1449000.0</v>
      </c>
      <c r="G1365" s="142">
        <f t="shared" si="40"/>
        <v>1449000</v>
      </c>
      <c r="H1365" s="142"/>
      <c r="I1365" s="143">
        <f t="shared" si="38"/>
        <v>1449000</v>
      </c>
      <c r="J1365" s="144">
        <f t="shared" si="39"/>
        <v>1449000</v>
      </c>
      <c r="K1365" s="108" t="s">
        <v>6358</v>
      </c>
      <c r="L1365" s="199" t="s">
        <v>6359</v>
      </c>
      <c r="M1365" s="17"/>
      <c r="N1365" s="64" t="s">
        <v>6360</v>
      </c>
      <c r="O1365" s="64" t="s">
        <v>2813</v>
      </c>
      <c r="P1365" s="147" t="s">
        <v>4672</v>
      </c>
      <c r="Q1365" s="149"/>
      <c r="R1365" s="141"/>
      <c r="S1365" s="141"/>
      <c r="T1365" s="141">
        <v>1549000.0</v>
      </c>
      <c r="U1365" s="149"/>
      <c r="V1365" s="149"/>
      <c r="W1365" s="149"/>
      <c r="X1365" s="64" t="s">
        <v>2808</v>
      </c>
      <c r="Y1365" s="64" t="s">
        <v>4515</v>
      </c>
      <c r="Z1365" s="68"/>
    </row>
    <row r="1366" ht="15.0" customHeight="1">
      <c r="A1366" s="333">
        <v>45984.0</v>
      </c>
      <c r="B1366" s="201" t="s">
        <v>6357</v>
      </c>
      <c r="C1366" s="45" t="s">
        <v>2962</v>
      </c>
      <c r="D1366" s="140" t="str">
        <f>IFERROR(VLOOKUP(C1366,Stock,3,FALSE),"")</f>
        <v>Lembur</v>
      </c>
      <c r="E1366" s="45">
        <v>1.0</v>
      </c>
      <c r="F1366" s="198">
        <v>150000.0</v>
      </c>
      <c r="G1366" s="142">
        <f t="shared" si="40"/>
        <v>150000</v>
      </c>
      <c r="H1366" s="142"/>
      <c r="I1366" s="143">
        <f t="shared" si="38"/>
        <v>150000</v>
      </c>
      <c r="J1366" s="144">
        <f t="shared" si="39"/>
        <v>150000</v>
      </c>
      <c r="K1366" s="108" t="s">
        <v>6358</v>
      </c>
      <c r="L1366" s="199" t="s">
        <v>6359</v>
      </c>
      <c r="M1366" s="17"/>
      <c r="N1366" s="64" t="s">
        <v>6360</v>
      </c>
      <c r="O1366" s="64" t="s">
        <v>2813</v>
      </c>
      <c r="P1366" s="147" t="s">
        <v>4672</v>
      </c>
      <c r="Q1366" s="149"/>
      <c r="R1366" s="141"/>
      <c r="S1366" s="141"/>
      <c r="T1366" s="141"/>
      <c r="U1366" s="149"/>
      <c r="V1366" s="149"/>
      <c r="W1366" s="149"/>
      <c r="X1366" s="64" t="s">
        <v>2808</v>
      </c>
      <c r="Y1366" s="64" t="s">
        <v>4515</v>
      </c>
      <c r="Z1366" s="68"/>
    </row>
    <row r="1367" ht="15.0" customHeight="1">
      <c r="A1367" s="333">
        <v>45984.0</v>
      </c>
      <c r="B1367" s="201" t="s">
        <v>6361</v>
      </c>
      <c r="C1367" s="45" t="s">
        <v>6362</v>
      </c>
      <c r="D1367" s="140" t="str">
        <f>IFERROR(VLOOKUP(C1367,Stock,3,FALSE),"")</f>
        <v>Mers-Benz C-Class 07-14 W204 (1 Sensor/ □)</v>
      </c>
      <c r="E1367" s="45">
        <v>1.0</v>
      </c>
      <c r="F1367" s="198">
        <v>3572000.0</v>
      </c>
      <c r="G1367" s="142">
        <f t="shared" si="40"/>
        <v>3572000</v>
      </c>
      <c r="H1367" s="142"/>
      <c r="I1367" s="143">
        <f t="shared" si="38"/>
        <v>3572000</v>
      </c>
      <c r="J1367" s="144">
        <f t="shared" si="39"/>
        <v>3572000</v>
      </c>
      <c r="K1367" s="108" t="s">
        <v>6363</v>
      </c>
      <c r="L1367" s="199" t="s">
        <v>6364</v>
      </c>
      <c r="M1367" s="17"/>
      <c r="N1367" s="64" t="s">
        <v>6365</v>
      </c>
      <c r="O1367" s="64" t="s">
        <v>6366</v>
      </c>
      <c r="P1367" s="147" t="s">
        <v>4672</v>
      </c>
      <c r="Q1367" s="149"/>
      <c r="R1367" s="141"/>
      <c r="S1367" s="141"/>
      <c r="T1367" s="141">
        <v>100000.0</v>
      </c>
      <c r="U1367" s="149"/>
      <c r="V1367" s="149"/>
      <c r="W1367" s="149"/>
      <c r="X1367" s="68"/>
      <c r="Y1367" s="64" t="s">
        <v>4515</v>
      </c>
      <c r="Z1367" s="68"/>
    </row>
    <row r="1368" ht="15.0" customHeight="1">
      <c r="A1368" s="333">
        <v>45984.0</v>
      </c>
      <c r="B1368" s="201" t="s">
        <v>6361</v>
      </c>
      <c r="C1368" s="45" t="s">
        <v>2962</v>
      </c>
      <c r="D1368" s="140" t="str">
        <f>IFERROR(VLOOKUP(C1368,Stock,3,FALSE),"")</f>
        <v>Lembur</v>
      </c>
      <c r="E1368" s="45">
        <v>1.0</v>
      </c>
      <c r="F1368" s="198">
        <v>150000.0</v>
      </c>
      <c r="G1368" s="142">
        <f t="shared" si="40"/>
        <v>150000</v>
      </c>
      <c r="H1368" s="142"/>
      <c r="I1368" s="143">
        <f t="shared" si="38"/>
        <v>150000</v>
      </c>
      <c r="J1368" s="144">
        <f t="shared" si="39"/>
        <v>150000</v>
      </c>
      <c r="K1368" s="108" t="s">
        <v>6363</v>
      </c>
      <c r="L1368" s="199" t="s">
        <v>6364</v>
      </c>
      <c r="M1368" s="17"/>
      <c r="N1368" s="64" t="s">
        <v>6365</v>
      </c>
      <c r="O1368" s="64" t="s">
        <v>6366</v>
      </c>
      <c r="P1368" s="147" t="s">
        <v>4672</v>
      </c>
      <c r="Q1368" s="149"/>
      <c r="R1368" s="141"/>
      <c r="S1368" s="141"/>
      <c r="T1368" s="141">
        <v>3702000.0</v>
      </c>
      <c r="U1368" s="149"/>
      <c r="V1368" s="149"/>
      <c r="W1368" s="149"/>
      <c r="X1368" s="68"/>
      <c r="Y1368" s="64" t="s">
        <v>4515</v>
      </c>
      <c r="Z1368" s="68"/>
    </row>
    <row r="1369" ht="15.0" customHeight="1">
      <c r="A1369" s="333">
        <v>45984.0</v>
      </c>
      <c r="B1369" s="201" t="s">
        <v>6361</v>
      </c>
      <c r="C1369" s="45" t="s">
        <v>2770</v>
      </c>
      <c r="D1369" s="140" t="str">
        <f>IFERROR(VLOOKUP(C1369,Stock,3,FALSE),"")</f>
        <v>Transport</v>
      </c>
      <c r="E1369" s="45">
        <v>1.0</v>
      </c>
      <c r="F1369" s="198">
        <v>80000.0</v>
      </c>
      <c r="G1369" s="142">
        <f t="shared" si="40"/>
        <v>80000</v>
      </c>
      <c r="H1369" s="142"/>
      <c r="I1369" s="143">
        <f t="shared" si="38"/>
        <v>80000</v>
      </c>
      <c r="J1369" s="144">
        <f t="shared" si="39"/>
        <v>80000</v>
      </c>
      <c r="K1369" s="108" t="s">
        <v>6363</v>
      </c>
      <c r="L1369" s="199" t="s">
        <v>6364</v>
      </c>
      <c r="M1369" s="17"/>
      <c r="N1369" s="64" t="s">
        <v>6365</v>
      </c>
      <c r="O1369" s="64" t="s">
        <v>6366</v>
      </c>
      <c r="P1369" s="147" t="s">
        <v>4672</v>
      </c>
      <c r="Q1369" s="149"/>
      <c r="R1369" s="149"/>
      <c r="S1369" s="149"/>
      <c r="T1369" s="149"/>
      <c r="U1369" s="149"/>
      <c r="V1369" s="149"/>
      <c r="W1369" s="149"/>
      <c r="X1369" s="68"/>
      <c r="Y1369" s="64" t="s">
        <v>4515</v>
      </c>
      <c r="Z1369" s="68"/>
    </row>
    <row r="1370" ht="15.0" customHeight="1">
      <c r="A1370" s="333">
        <v>45985.0</v>
      </c>
      <c r="B1370" s="201" t="s">
        <v>6367</v>
      </c>
      <c r="C1370" s="45" t="s">
        <v>6368</v>
      </c>
      <c r="D1370" s="140" t="str">
        <f>IFERROR(VLOOKUP(C1370,Stock,3,FALSE),"")</f>
        <v>Honda Civic 22- 11th Gen Hatch/Sedan (Honda)</v>
      </c>
      <c r="E1370" s="45">
        <v>1.0</v>
      </c>
      <c r="F1370" s="198">
        <v>1683000.0</v>
      </c>
      <c r="G1370" s="142">
        <f t="shared" si="40"/>
        <v>1683000</v>
      </c>
      <c r="H1370" s="142"/>
      <c r="I1370" s="143">
        <f t="shared" si="38"/>
        <v>1683000</v>
      </c>
      <c r="J1370" s="144">
        <f t="shared" si="39"/>
        <v>1683000</v>
      </c>
      <c r="K1370" s="108" t="s">
        <v>6369</v>
      </c>
      <c r="L1370" s="199" t="s">
        <v>6370</v>
      </c>
      <c r="M1370" s="17"/>
      <c r="N1370" s="64" t="s">
        <v>6371</v>
      </c>
      <c r="O1370" s="64" t="s">
        <v>2813</v>
      </c>
      <c r="P1370" s="147" t="s">
        <v>4672</v>
      </c>
      <c r="Q1370" s="149"/>
      <c r="R1370" s="141"/>
      <c r="S1370" s="141"/>
      <c r="T1370" s="141">
        <v>1683000.0</v>
      </c>
      <c r="U1370" s="149"/>
      <c r="V1370" s="149"/>
      <c r="W1370" s="149"/>
      <c r="X1370" s="64" t="s">
        <v>3810</v>
      </c>
      <c r="Y1370" s="64" t="s">
        <v>4515</v>
      </c>
      <c r="Z1370" s="68"/>
    </row>
    <row r="1371" ht="15.0" customHeight="1">
      <c r="A1371" s="333">
        <v>45985.0</v>
      </c>
      <c r="B1371" s="201" t="s">
        <v>6372</v>
      </c>
      <c r="C1371" s="45" t="s">
        <v>6373</v>
      </c>
      <c r="D1371" s="140" t="str">
        <f>IFERROR(VLOOKUP(C1371,Stock,3,FALSE),"")</f>
        <v>Honda Accord 08-12 8th Gen</v>
      </c>
      <c r="E1371" s="45">
        <v>1.0</v>
      </c>
      <c r="F1371" s="198">
        <v>2250000.0</v>
      </c>
      <c r="G1371" s="142">
        <f t="shared" si="40"/>
        <v>2250000</v>
      </c>
      <c r="H1371" s="142"/>
      <c r="I1371" s="143">
        <f t="shared" si="38"/>
        <v>2250000</v>
      </c>
      <c r="J1371" s="144">
        <f t="shared" si="39"/>
        <v>2250000</v>
      </c>
      <c r="K1371" s="108" t="s">
        <v>6374</v>
      </c>
      <c r="L1371" s="199" t="s">
        <v>6375</v>
      </c>
      <c r="M1371" s="17"/>
      <c r="N1371" s="64" t="s">
        <v>6376</v>
      </c>
      <c r="O1371" s="64" t="s">
        <v>5739</v>
      </c>
      <c r="P1371" s="147" t="s">
        <v>4672</v>
      </c>
      <c r="Q1371" s="149"/>
      <c r="R1371" s="141"/>
      <c r="S1371" s="141"/>
      <c r="T1371" s="141">
        <v>2205000.0</v>
      </c>
      <c r="U1371" s="149"/>
      <c r="V1371" s="149"/>
      <c r="W1371" s="149"/>
      <c r="X1371" s="64" t="s">
        <v>3810</v>
      </c>
      <c r="Y1371" s="64" t="s">
        <v>4515</v>
      </c>
      <c r="Z1371" s="68"/>
    </row>
    <row r="1372" ht="15.0" customHeight="1">
      <c r="A1372" s="333">
        <v>45985.0</v>
      </c>
      <c r="B1372" s="201" t="s">
        <v>6377</v>
      </c>
      <c r="C1372" s="45" t="s">
        <v>2770</v>
      </c>
      <c r="D1372" s="140" t="str">
        <f>IFERROR(VLOOKUP(C1372,Stock,3,FALSE),"")</f>
        <v>Transport</v>
      </c>
      <c r="E1372" s="45">
        <v>1.0</v>
      </c>
      <c r="F1372" s="198">
        <v>50000.0</v>
      </c>
      <c r="G1372" s="142">
        <f t="shared" si="40"/>
        <v>50000</v>
      </c>
      <c r="H1372" s="142"/>
      <c r="I1372" s="143">
        <f t="shared" si="38"/>
        <v>50000</v>
      </c>
      <c r="J1372" s="144">
        <f t="shared" si="39"/>
        <v>50000</v>
      </c>
      <c r="K1372" s="108" t="s">
        <v>6378</v>
      </c>
      <c r="L1372" s="199" t="s">
        <v>6379</v>
      </c>
      <c r="M1372" s="17"/>
      <c r="N1372" s="64" t="s">
        <v>6380</v>
      </c>
      <c r="O1372" s="64" t="s">
        <v>2828</v>
      </c>
      <c r="P1372" s="147" t="s">
        <v>4672</v>
      </c>
      <c r="Q1372" s="149"/>
      <c r="R1372" s="141"/>
      <c r="S1372" s="141"/>
      <c r="T1372" s="141">
        <v>50000.0</v>
      </c>
      <c r="U1372" s="149"/>
      <c r="V1372" s="149"/>
      <c r="W1372" s="149"/>
      <c r="X1372" s="64" t="s">
        <v>3810</v>
      </c>
      <c r="Y1372" s="64" t="s">
        <v>4515</v>
      </c>
      <c r="Z1372" s="68"/>
    </row>
    <row r="1373" ht="15.0" customHeight="1">
      <c r="A1373" s="333">
        <v>45985.0</v>
      </c>
      <c r="B1373" s="201" t="s">
        <v>6381</v>
      </c>
      <c r="C1373" s="45" t="s">
        <v>4342</v>
      </c>
      <c r="D1373" s="140" t="str">
        <f>IFERROR(VLOOKUP(C1373,Stock,3,FALSE),"")</f>
        <v>Toyota Voxy 17- (Hitam)</v>
      </c>
      <c r="E1373" s="45">
        <v>1.0</v>
      </c>
      <c r="F1373" s="198">
        <v>3017000.0</v>
      </c>
      <c r="G1373" s="142">
        <f t="shared" si="40"/>
        <v>3017000</v>
      </c>
      <c r="H1373" s="142"/>
      <c r="I1373" s="143">
        <f t="shared" si="38"/>
        <v>3017000</v>
      </c>
      <c r="J1373" s="144">
        <f t="shared" si="39"/>
        <v>3017000</v>
      </c>
      <c r="K1373" s="108" t="s">
        <v>3825</v>
      </c>
      <c r="L1373" s="199" t="s">
        <v>6382</v>
      </c>
      <c r="M1373" s="17"/>
      <c r="N1373" s="64" t="s">
        <v>6383</v>
      </c>
      <c r="O1373" s="64" t="s">
        <v>2813</v>
      </c>
      <c r="P1373" s="147" t="s">
        <v>4672</v>
      </c>
      <c r="Q1373" s="149"/>
      <c r="R1373" s="141"/>
      <c r="S1373" s="141"/>
      <c r="T1373" s="141">
        <v>3017000.0</v>
      </c>
      <c r="U1373" s="149"/>
      <c r="V1373" s="149"/>
      <c r="W1373" s="149"/>
      <c r="X1373" s="64" t="s">
        <v>3810</v>
      </c>
      <c r="Y1373" s="64" t="s">
        <v>4515</v>
      </c>
      <c r="Z1373" s="68"/>
    </row>
    <row r="1374" ht="15.0" customHeight="1">
      <c r="A1374" s="333">
        <v>45985.0</v>
      </c>
      <c r="B1374" s="201" t="s">
        <v>6384</v>
      </c>
      <c r="C1374" s="45" t="s">
        <v>4144</v>
      </c>
      <c r="D1374" s="140" t="str">
        <f>IFERROR(VLOOKUP(C1374,Stock,3,FALSE),"")</f>
        <v>Toyota Rush / Terios 06-17</v>
      </c>
      <c r="E1374" s="45">
        <v>1.0</v>
      </c>
      <c r="F1374" s="198">
        <v>1348000.0</v>
      </c>
      <c r="G1374" s="142">
        <f t="shared" si="40"/>
        <v>1348000</v>
      </c>
      <c r="H1374" s="142"/>
      <c r="I1374" s="143">
        <f t="shared" si="38"/>
        <v>1348000</v>
      </c>
      <c r="J1374" s="144">
        <f t="shared" si="39"/>
        <v>1348000</v>
      </c>
      <c r="K1374" s="108" t="s">
        <v>6385</v>
      </c>
      <c r="L1374" s="199" t="s">
        <v>6386</v>
      </c>
      <c r="M1374" s="17"/>
      <c r="N1374" s="64" t="s">
        <v>6387</v>
      </c>
      <c r="O1374" s="64" t="s">
        <v>2813</v>
      </c>
      <c r="P1374" s="147" t="s">
        <v>4672</v>
      </c>
      <c r="Q1374" s="149"/>
      <c r="R1374" s="141"/>
      <c r="S1374" s="141"/>
      <c r="T1374" s="141">
        <v>1348000.0</v>
      </c>
      <c r="U1374" s="149"/>
      <c r="V1374" s="149"/>
      <c r="W1374" s="149"/>
      <c r="X1374" s="64" t="s">
        <v>3810</v>
      </c>
      <c r="Y1374" s="64" t="s">
        <v>4515</v>
      </c>
      <c r="Z1374" s="68"/>
    </row>
    <row r="1375" ht="15.0" customHeight="1">
      <c r="A1375" s="333">
        <v>45985.0</v>
      </c>
      <c r="B1375" s="201" t="s">
        <v>6388</v>
      </c>
      <c r="C1375" s="45" t="s">
        <v>3230</v>
      </c>
      <c r="D1375" s="140" t="str">
        <f>IFERROR(VLOOKUP(C1375,Stock,3,FALSE),"")</f>
        <v>Toyota LandCruiser 07- FJ200</v>
      </c>
      <c r="E1375" s="45">
        <v>1.0</v>
      </c>
      <c r="F1375" s="198">
        <v>3430000.0</v>
      </c>
      <c r="G1375" s="142">
        <f t="shared" si="40"/>
        <v>3430000</v>
      </c>
      <c r="H1375" s="142"/>
      <c r="I1375" s="143">
        <f t="shared" si="38"/>
        <v>3430000</v>
      </c>
      <c r="J1375" s="144">
        <f t="shared" si="39"/>
        <v>3430000</v>
      </c>
      <c r="K1375" s="108" t="s">
        <v>5571</v>
      </c>
      <c r="L1375" s="199" t="s">
        <v>5572</v>
      </c>
      <c r="M1375" s="17"/>
      <c r="N1375" s="68"/>
      <c r="O1375" s="64" t="s">
        <v>6389</v>
      </c>
      <c r="P1375" s="147" t="s">
        <v>4672</v>
      </c>
      <c r="Q1375" s="149"/>
      <c r="R1375" s="141"/>
      <c r="S1375" s="141"/>
      <c r="T1375" s="141">
        <v>50000.0</v>
      </c>
      <c r="U1375" s="149"/>
      <c r="V1375" s="149"/>
      <c r="W1375" s="149"/>
      <c r="X1375" s="64" t="s">
        <v>3810</v>
      </c>
      <c r="Y1375" s="64" t="s">
        <v>4515</v>
      </c>
      <c r="Z1375" s="68"/>
    </row>
    <row r="1376" ht="15.0" customHeight="1">
      <c r="A1376" s="333">
        <v>45985.0</v>
      </c>
      <c r="B1376" s="201" t="s">
        <v>6388</v>
      </c>
      <c r="C1376" s="45" t="s">
        <v>2770</v>
      </c>
      <c r="D1376" s="140" t="str">
        <f>IFERROR(VLOOKUP(C1376,Stock,3,FALSE),"")</f>
        <v>Transport</v>
      </c>
      <c r="E1376" s="45">
        <v>1.0</v>
      </c>
      <c r="F1376" s="198">
        <v>150000.0</v>
      </c>
      <c r="G1376" s="142">
        <f t="shared" si="40"/>
        <v>150000</v>
      </c>
      <c r="H1376" s="143">
        <v>80000.0</v>
      </c>
      <c r="I1376" s="143">
        <f t="shared" si="38"/>
        <v>70000</v>
      </c>
      <c r="J1376" s="144">
        <f t="shared" si="39"/>
        <v>70000</v>
      </c>
      <c r="K1376" s="108" t="s">
        <v>5571</v>
      </c>
      <c r="L1376" s="199" t="s">
        <v>5572</v>
      </c>
      <c r="M1376" s="17"/>
      <c r="N1376" s="68"/>
      <c r="O1376" s="64" t="s">
        <v>6389</v>
      </c>
      <c r="P1376" s="147" t="s">
        <v>4672</v>
      </c>
      <c r="Q1376" s="149"/>
      <c r="R1376" s="141"/>
      <c r="S1376" s="141"/>
      <c r="T1376" s="141">
        <v>3650000.0</v>
      </c>
      <c r="U1376" s="149"/>
      <c r="V1376" s="149"/>
      <c r="W1376" s="149"/>
      <c r="X1376" s="64" t="s">
        <v>3810</v>
      </c>
      <c r="Y1376" s="64" t="s">
        <v>4515</v>
      </c>
      <c r="Z1376" s="68"/>
    </row>
    <row r="1377" ht="15.0" customHeight="1">
      <c r="A1377" s="333">
        <v>45985.0</v>
      </c>
      <c r="B1377" s="201" t="s">
        <v>6388</v>
      </c>
      <c r="C1377" s="64" t="s">
        <v>4979</v>
      </c>
      <c r="D1377" s="140" t="str">
        <f>IFERROR(VLOOKUP(C1377,Stock,3,FALSE),"")</f>
        <v>255 Ultra + Actv-100 Application</v>
      </c>
      <c r="E1377" s="45">
        <v>1.0</v>
      </c>
      <c r="F1377" s="198">
        <v>200000.0</v>
      </c>
      <c r="G1377" s="142">
        <f t="shared" si="40"/>
        <v>200000</v>
      </c>
      <c r="H1377" s="142"/>
      <c r="I1377" s="143">
        <f t="shared" si="38"/>
        <v>200000</v>
      </c>
      <c r="J1377" s="144">
        <f t="shared" si="39"/>
        <v>200000</v>
      </c>
      <c r="K1377" s="108" t="s">
        <v>5571</v>
      </c>
      <c r="L1377" s="199" t="s">
        <v>5572</v>
      </c>
      <c r="M1377" s="17"/>
      <c r="N1377" s="68"/>
      <c r="O1377" s="64" t="s">
        <v>6389</v>
      </c>
      <c r="P1377" s="147" t="s">
        <v>4672</v>
      </c>
      <c r="Q1377" s="149"/>
      <c r="R1377" s="149"/>
      <c r="S1377" s="149"/>
      <c r="T1377" s="149"/>
      <c r="U1377" s="149"/>
      <c r="V1377" s="149"/>
      <c r="W1377" s="149"/>
      <c r="X1377" s="64" t="s">
        <v>3810</v>
      </c>
      <c r="Y1377" s="64" t="s">
        <v>4515</v>
      </c>
      <c r="Z1377" s="68"/>
    </row>
    <row r="1378" ht="15.0" customHeight="1">
      <c r="A1378" s="333">
        <v>45985.0</v>
      </c>
      <c r="B1378" s="201" t="s">
        <v>6390</v>
      </c>
      <c r="C1378" s="45" t="s">
        <v>2877</v>
      </c>
      <c r="D1378" s="140" t="str">
        <f>IFERROR(VLOOKUP(C1378,Stock,3,FALSE),"")</f>
        <v>Toyota Dyna/Hino Dutro 00-</v>
      </c>
      <c r="E1378" s="45">
        <v>1.0</v>
      </c>
      <c r="F1378" s="198">
        <v>1150000.0</v>
      </c>
      <c r="G1378" s="142">
        <f t="shared" si="40"/>
        <v>1150000</v>
      </c>
      <c r="H1378" s="142"/>
      <c r="I1378" s="143">
        <f t="shared" si="38"/>
        <v>1150000</v>
      </c>
      <c r="J1378" s="144">
        <f t="shared" si="39"/>
        <v>1150000</v>
      </c>
      <c r="K1378" s="108" t="s">
        <v>6391</v>
      </c>
      <c r="L1378" s="199" t="s">
        <v>6392</v>
      </c>
      <c r="M1378" s="17"/>
      <c r="N1378" s="64" t="s">
        <v>6393</v>
      </c>
      <c r="O1378" s="64" t="s">
        <v>2813</v>
      </c>
      <c r="P1378" s="147" t="s">
        <v>4672</v>
      </c>
      <c r="Q1378" s="149"/>
      <c r="R1378" s="141"/>
      <c r="S1378" s="141"/>
      <c r="T1378" s="141">
        <v>50000.0</v>
      </c>
      <c r="U1378" s="149"/>
      <c r="V1378" s="149"/>
      <c r="W1378" s="149"/>
      <c r="X1378" s="64" t="s">
        <v>3810</v>
      </c>
      <c r="Y1378" s="64" t="s">
        <v>4515</v>
      </c>
      <c r="Z1378" s="68"/>
    </row>
    <row r="1379" ht="15.0" customHeight="1">
      <c r="A1379" s="333">
        <v>45985.0</v>
      </c>
      <c r="B1379" s="201" t="s">
        <v>6390</v>
      </c>
      <c r="C1379" s="45" t="s">
        <v>2770</v>
      </c>
      <c r="D1379" s="140" t="str">
        <f>IFERROR(VLOOKUP(C1379,Stock,3,FALSE),"")</f>
        <v>Transport</v>
      </c>
      <c r="E1379" s="45">
        <v>1.0</v>
      </c>
      <c r="F1379" s="198">
        <v>150000.0</v>
      </c>
      <c r="G1379" s="142">
        <f t="shared" si="40"/>
        <v>150000</v>
      </c>
      <c r="H1379" s="142"/>
      <c r="I1379" s="143">
        <f t="shared" si="38"/>
        <v>150000</v>
      </c>
      <c r="J1379" s="144">
        <f t="shared" si="39"/>
        <v>150000</v>
      </c>
      <c r="K1379" s="108" t="s">
        <v>6391</v>
      </c>
      <c r="L1379" s="199" t="s">
        <v>6392</v>
      </c>
      <c r="M1379" s="17"/>
      <c r="N1379" s="64" t="s">
        <v>6393</v>
      </c>
      <c r="O1379" s="64" t="s">
        <v>2813</v>
      </c>
      <c r="P1379" s="147" t="s">
        <v>4672</v>
      </c>
      <c r="Q1379" s="149"/>
      <c r="R1379" s="141"/>
      <c r="S1379" s="141"/>
      <c r="T1379" s="141">
        <v>1250000.0</v>
      </c>
      <c r="U1379" s="149"/>
      <c r="V1379" s="149"/>
      <c r="W1379" s="149"/>
      <c r="X1379" s="64" t="s">
        <v>3810</v>
      </c>
      <c r="Y1379" s="64" t="s">
        <v>4515</v>
      </c>
      <c r="Z1379" s="68"/>
    </row>
    <row r="1380" ht="15.0" customHeight="1">
      <c r="A1380" s="333">
        <v>45986.0</v>
      </c>
      <c r="B1380" s="201" t="s">
        <v>6394</v>
      </c>
      <c r="C1380" s="45" t="s">
        <v>3142</v>
      </c>
      <c r="D1380" s="140" t="str">
        <f>IFERROR(VLOOKUP(C1380,Stock,3,FALSE),"")</f>
        <v>Mitsubishi Xpander 17-</v>
      </c>
      <c r="E1380" s="45">
        <v>1.0</v>
      </c>
      <c r="F1380" s="198">
        <v>1644000.0</v>
      </c>
      <c r="G1380" s="142">
        <f t="shared" si="40"/>
        <v>1644000</v>
      </c>
      <c r="H1380" s="142"/>
      <c r="I1380" s="143">
        <f t="shared" si="38"/>
        <v>1644000</v>
      </c>
      <c r="J1380" s="144">
        <f t="shared" si="39"/>
        <v>1644000</v>
      </c>
      <c r="K1380" s="108" t="s">
        <v>6395</v>
      </c>
      <c r="L1380" s="199" t="s">
        <v>6396</v>
      </c>
      <c r="M1380" s="17"/>
      <c r="N1380" s="64" t="s">
        <v>6397</v>
      </c>
      <c r="O1380" s="64" t="s">
        <v>2813</v>
      </c>
      <c r="P1380" s="147" t="s">
        <v>4672</v>
      </c>
      <c r="Q1380" s="149"/>
      <c r="R1380" s="141"/>
      <c r="S1380" s="141"/>
      <c r="T1380" s="141">
        <v>1644000.0</v>
      </c>
      <c r="U1380" s="149"/>
      <c r="V1380" s="149"/>
      <c r="W1380" s="149"/>
      <c r="X1380" s="64" t="s">
        <v>3810</v>
      </c>
      <c r="Y1380" s="64" t="s">
        <v>4515</v>
      </c>
      <c r="Z1380" s="68"/>
    </row>
    <row r="1381" ht="15.0" customHeight="1">
      <c r="A1381" s="333">
        <v>45986.0</v>
      </c>
      <c r="B1381" s="201" t="s">
        <v>6398</v>
      </c>
      <c r="C1381" s="45" t="s">
        <v>5160</v>
      </c>
      <c r="D1381" s="140" t="str">
        <f>IFERROR(VLOOKUP(C1381,Stock,3,FALSE),"")</f>
        <v>Honda City 14-18 GM6</v>
      </c>
      <c r="E1381" s="45">
        <v>1.0</v>
      </c>
      <c r="F1381" s="198">
        <v>2015000.0</v>
      </c>
      <c r="G1381" s="142">
        <f t="shared" si="40"/>
        <v>2015000</v>
      </c>
      <c r="H1381" s="142"/>
      <c r="I1381" s="143">
        <f t="shared" si="38"/>
        <v>2015000</v>
      </c>
      <c r="J1381" s="144">
        <f t="shared" si="39"/>
        <v>2015000</v>
      </c>
      <c r="K1381" s="108" t="s">
        <v>6399</v>
      </c>
      <c r="L1381" s="199" t="s">
        <v>6400</v>
      </c>
      <c r="M1381" s="17"/>
      <c r="N1381" s="64" t="s">
        <v>6401</v>
      </c>
      <c r="O1381" s="64" t="s">
        <v>3033</v>
      </c>
      <c r="P1381" s="147" t="s">
        <v>4672</v>
      </c>
      <c r="Q1381" s="149"/>
      <c r="R1381" s="141"/>
      <c r="S1381" s="141"/>
      <c r="T1381" s="141">
        <v>50000.0</v>
      </c>
      <c r="U1381" s="149"/>
      <c r="V1381" s="149"/>
      <c r="W1381" s="149"/>
      <c r="X1381" s="64" t="s">
        <v>3810</v>
      </c>
      <c r="Y1381" s="64" t="s">
        <v>4515</v>
      </c>
      <c r="Z1381" s="68"/>
    </row>
    <row r="1382" ht="15.0" customHeight="1">
      <c r="A1382" s="333">
        <v>45986.0</v>
      </c>
      <c r="B1382" s="201" t="s">
        <v>6398</v>
      </c>
      <c r="C1382" s="45" t="s">
        <v>2770</v>
      </c>
      <c r="D1382" s="140" t="str">
        <f>IFERROR(VLOOKUP(C1382,Stock,3,FALSE),"")</f>
        <v>Transport</v>
      </c>
      <c r="E1382" s="45">
        <v>1.0</v>
      </c>
      <c r="F1382" s="198">
        <v>90000.0</v>
      </c>
      <c r="G1382" s="142">
        <f t="shared" si="40"/>
        <v>90000</v>
      </c>
      <c r="H1382" s="142"/>
      <c r="I1382" s="143">
        <f t="shared" si="38"/>
        <v>90000</v>
      </c>
      <c r="J1382" s="144">
        <f t="shared" si="39"/>
        <v>90000</v>
      </c>
      <c r="K1382" s="108" t="s">
        <v>6399</v>
      </c>
      <c r="L1382" s="199" t="s">
        <v>6400</v>
      </c>
      <c r="M1382" s="17"/>
      <c r="N1382" s="64" t="s">
        <v>6401</v>
      </c>
      <c r="O1382" s="64" t="s">
        <v>3033</v>
      </c>
      <c r="P1382" s="147" t="s">
        <v>4672</v>
      </c>
      <c r="Q1382" s="149"/>
      <c r="R1382" s="141"/>
      <c r="S1382" s="141"/>
      <c r="T1382" s="141">
        <v>2055000.0</v>
      </c>
      <c r="U1382" s="149"/>
      <c r="V1382" s="149"/>
      <c r="W1382" s="149"/>
      <c r="X1382" s="64" t="s">
        <v>3810</v>
      </c>
      <c r="Y1382" s="64" t="s">
        <v>4515</v>
      </c>
      <c r="Z1382" s="68"/>
    </row>
    <row r="1383" ht="15.0" customHeight="1">
      <c r="A1383" s="333">
        <v>45986.0</v>
      </c>
      <c r="B1383" s="201" t="s">
        <v>6402</v>
      </c>
      <c r="C1383" s="45" t="s">
        <v>5160</v>
      </c>
      <c r="D1383" s="140" t="str">
        <f>IFERROR(VLOOKUP(C1383,Stock,3,FALSE),"")</f>
        <v>Honda City 14-18 GM6</v>
      </c>
      <c r="E1383" s="45">
        <v>1.0</v>
      </c>
      <c r="F1383" s="198">
        <v>1870000.0</v>
      </c>
      <c r="G1383" s="142">
        <f t="shared" si="40"/>
        <v>1870000</v>
      </c>
      <c r="H1383" s="142"/>
      <c r="I1383" s="143">
        <f t="shared" si="38"/>
        <v>1870000</v>
      </c>
      <c r="J1383" s="144">
        <f t="shared" si="39"/>
        <v>1870000</v>
      </c>
      <c r="K1383" s="108" t="s">
        <v>6403</v>
      </c>
      <c r="L1383" s="199" t="s">
        <v>6404</v>
      </c>
      <c r="M1383" s="17"/>
      <c r="N1383" s="64" t="s">
        <v>6405</v>
      </c>
      <c r="O1383" s="64" t="s">
        <v>2813</v>
      </c>
      <c r="P1383" s="147" t="s">
        <v>4672</v>
      </c>
      <c r="Q1383" s="149"/>
      <c r="R1383" s="141"/>
      <c r="S1383" s="141"/>
      <c r="T1383" s="141">
        <v>50000.0</v>
      </c>
      <c r="U1383" s="149"/>
      <c r="V1383" s="149"/>
      <c r="W1383" s="149"/>
      <c r="X1383" s="64" t="s">
        <v>3810</v>
      </c>
      <c r="Y1383" s="64" t="s">
        <v>4515</v>
      </c>
      <c r="Z1383" s="68"/>
    </row>
    <row r="1384" ht="15.0" customHeight="1">
      <c r="A1384" s="333">
        <v>45986.0</v>
      </c>
      <c r="B1384" s="201" t="s">
        <v>6402</v>
      </c>
      <c r="C1384" s="45" t="s">
        <v>2770</v>
      </c>
      <c r="D1384" s="140" t="str">
        <f>IFERROR(VLOOKUP(C1384,Stock,3,FALSE),"")</f>
        <v>Transport</v>
      </c>
      <c r="E1384" s="45">
        <v>1.0</v>
      </c>
      <c r="F1384" s="198">
        <v>80000.0</v>
      </c>
      <c r="G1384" s="142">
        <f t="shared" si="40"/>
        <v>80000</v>
      </c>
      <c r="H1384" s="142"/>
      <c r="I1384" s="143">
        <f t="shared" si="38"/>
        <v>80000</v>
      </c>
      <c r="J1384" s="144">
        <f t="shared" si="39"/>
        <v>80000</v>
      </c>
      <c r="K1384" s="108" t="s">
        <v>6403</v>
      </c>
      <c r="L1384" s="199" t="s">
        <v>6404</v>
      </c>
      <c r="M1384" s="17"/>
      <c r="N1384" s="64" t="s">
        <v>6405</v>
      </c>
      <c r="O1384" s="64" t="s">
        <v>2813</v>
      </c>
      <c r="P1384" s="147" t="s">
        <v>4672</v>
      </c>
      <c r="Q1384" s="149"/>
      <c r="R1384" s="141"/>
      <c r="S1384" s="141"/>
      <c r="T1384" s="141">
        <v>1900000.0</v>
      </c>
      <c r="U1384" s="149"/>
      <c r="V1384" s="149"/>
      <c r="W1384" s="149"/>
      <c r="X1384" s="64" t="s">
        <v>3810</v>
      </c>
      <c r="Y1384" s="64" t="s">
        <v>4515</v>
      </c>
      <c r="Z1384" s="68"/>
    </row>
    <row r="1385" ht="15.0" customHeight="1">
      <c r="A1385" s="333">
        <v>45986.0</v>
      </c>
      <c r="B1385" s="201" t="s">
        <v>6406</v>
      </c>
      <c r="C1385" s="45" t="s">
        <v>6407</v>
      </c>
      <c r="D1385" s="140" t="str">
        <f>IFERROR(VLOOKUP(C1385,Stock,3,FALSE),"")</f>
        <v>Suzuki Carry 91-17 / Futura 91-18</v>
      </c>
      <c r="E1385" s="45">
        <v>1.0</v>
      </c>
      <c r="F1385" s="198">
        <v>550000.0</v>
      </c>
      <c r="G1385" s="142">
        <f t="shared" si="40"/>
        <v>550000</v>
      </c>
      <c r="H1385" s="142"/>
      <c r="I1385" s="143">
        <f t="shared" si="38"/>
        <v>550000</v>
      </c>
      <c r="J1385" s="144">
        <f t="shared" si="39"/>
        <v>550000</v>
      </c>
      <c r="K1385" s="108" t="s">
        <v>6408</v>
      </c>
      <c r="L1385" s="199" t="s">
        <v>6409</v>
      </c>
      <c r="M1385" s="17"/>
      <c r="N1385" s="64" t="s">
        <v>6410</v>
      </c>
      <c r="O1385" s="64" t="s">
        <v>2813</v>
      </c>
      <c r="P1385" s="147" t="s">
        <v>4672</v>
      </c>
      <c r="Q1385" s="149"/>
      <c r="R1385" s="141"/>
      <c r="S1385" s="141"/>
      <c r="T1385" s="141">
        <v>50000.0</v>
      </c>
      <c r="U1385" s="149"/>
      <c r="V1385" s="149"/>
      <c r="W1385" s="149"/>
      <c r="X1385" s="64" t="s">
        <v>3810</v>
      </c>
      <c r="Y1385" s="64" t="s">
        <v>4515</v>
      </c>
      <c r="Z1385" s="68"/>
    </row>
    <row r="1386" ht="15.0" customHeight="1">
      <c r="A1386" s="333">
        <v>45986.0</v>
      </c>
      <c r="B1386" s="201" t="s">
        <v>6406</v>
      </c>
      <c r="C1386" s="45" t="s">
        <v>2770</v>
      </c>
      <c r="D1386" s="140" t="str">
        <f>IFERROR(VLOOKUP(C1386,Stock,3,FALSE),"")</f>
        <v>Transport</v>
      </c>
      <c r="E1386" s="45">
        <v>1.0</v>
      </c>
      <c r="F1386" s="198">
        <v>50000.0</v>
      </c>
      <c r="G1386" s="142">
        <f t="shared" si="40"/>
        <v>50000</v>
      </c>
      <c r="H1386" s="142"/>
      <c r="I1386" s="143">
        <f t="shared" si="38"/>
        <v>50000</v>
      </c>
      <c r="J1386" s="144">
        <f t="shared" si="39"/>
        <v>50000</v>
      </c>
      <c r="K1386" s="108" t="s">
        <v>6408</v>
      </c>
      <c r="L1386" s="199" t="s">
        <v>6409</v>
      </c>
      <c r="M1386" s="17"/>
      <c r="N1386" s="64" t="s">
        <v>6410</v>
      </c>
      <c r="O1386" s="64" t="s">
        <v>2813</v>
      </c>
      <c r="P1386" s="147" t="s">
        <v>4672</v>
      </c>
      <c r="Q1386" s="149"/>
      <c r="R1386" s="141"/>
      <c r="S1386" s="141"/>
      <c r="T1386" s="141">
        <v>550000.0</v>
      </c>
      <c r="U1386" s="149"/>
      <c r="V1386" s="149"/>
      <c r="W1386" s="149"/>
      <c r="X1386" s="64" t="s">
        <v>3810</v>
      </c>
      <c r="Y1386" s="64" t="s">
        <v>4515</v>
      </c>
      <c r="Z1386" s="68"/>
    </row>
    <row r="1387" ht="15.0" customHeight="1">
      <c r="A1387" s="333">
        <v>45986.0</v>
      </c>
      <c r="B1387" s="201" t="s">
        <v>6411</v>
      </c>
      <c r="C1387" s="45" t="s">
        <v>6412</v>
      </c>
      <c r="D1387" s="140" t="str">
        <f>IFERROR(VLOOKUP(C1387,Stock,3,FALSE),"")</f>
        <v>Honda CR-V 17- 5th Gen</v>
      </c>
      <c r="E1387" s="45">
        <v>1.0</v>
      </c>
      <c r="F1387" s="198">
        <v>2799000.0</v>
      </c>
      <c r="G1387" s="142">
        <f t="shared" si="40"/>
        <v>2799000</v>
      </c>
      <c r="H1387" s="143">
        <v>102150.0</v>
      </c>
      <c r="I1387" s="143">
        <f t="shared" si="38"/>
        <v>2696850</v>
      </c>
      <c r="J1387" s="144">
        <f t="shared" si="39"/>
        <v>2696850</v>
      </c>
      <c r="K1387" s="108" t="s">
        <v>6413</v>
      </c>
      <c r="L1387" s="199" t="s">
        <v>6414</v>
      </c>
      <c r="M1387" s="17"/>
      <c r="N1387" s="64" t="s">
        <v>6415</v>
      </c>
      <c r="O1387" s="64" t="s">
        <v>2813</v>
      </c>
      <c r="P1387" s="147" t="s">
        <v>4672</v>
      </c>
      <c r="Q1387" s="149"/>
      <c r="R1387" s="141"/>
      <c r="S1387" s="141"/>
      <c r="T1387" s="141">
        <v>3881700.0</v>
      </c>
      <c r="U1387" s="149"/>
      <c r="V1387" s="149"/>
      <c r="W1387" s="149"/>
      <c r="X1387" s="64" t="s">
        <v>3810</v>
      </c>
      <c r="Y1387" s="64" t="s">
        <v>4515</v>
      </c>
      <c r="Z1387" s="68"/>
    </row>
    <row r="1388" ht="15.0" customHeight="1">
      <c r="A1388" s="333">
        <v>45986.0</v>
      </c>
      <c r="B1388" s="201" t="s">
        <v>6411</v>
      </c>
      <c r="C1388" s="45" t="s">
        <v>2939</v>
      </c>
      <c r="D1388" s="140" t="str">
        <f>IFERROR(VLOOKUP(C1388,Stock,3,FALSE),"")</f>
        <v>Honda CR-V 17- 5th Gen</v>
      </c>
      <c r="E1388" s="45">
        <v>1.0</v>
      </c>
      <c r="F1388" s="198">
        <v>1287000.0</v>
      </c>
      <c r="G1388" s="142">
        <f t="shared" si="40"/>
        <v>1287000</v>
      </c>
      <c r="H1388" s="143">
        <v>102150.0</v>
      </c>
      <c r="I1388" s="143">
        <f t="shared" si="38"/>
        <v>1184850</v>
      </c>
      <c r="J1388" s="144">
        <f t="shared" si="39"/>
        <v>1184850</v>
      </c>
      <c r="K1388" s="108" t="s">
        <v>6413</v>
      </c>
      <c r="L1388" s="199" t="s">
        <v>6414</v>
      </c>
      <c r="M1388" s="17"/>
      <c r="N1388" s="64" t="s">
        <v>6415</v>
      </c>
      <c r="O1388" s="64" t="s">
        <v>2813</v>
      </c>
      <c r="P1388" s="147" t="s">
        <v>4672</v>
      </c>
      <c r="Q1388" s="149"/>
      <c r="R1388" s="149"/>
      <c r="S1388" s="149"/>
      <c r="T1388" s="149"/>
      <c r="U1388" s="149"/>
      <c r="V1388" s="149"/>
      <c r="W1388" s="149"/>
      <c r="X1388" s="64" t="s">
        <v>3810</v>
      </c>
      <c r="Y1388" s="64" t="s">
        <v>4515</v>
      </c>
      <c r="Z1388" s="68"/>
    </row>
    <row r="1389" ht="15.0" customHeight="1">
      <c r="A1389" s="333">
        <v>45986.0</v>
      </c>
      <c r="B1389" s="201" t="s">
        <v>6416</v>
      </c>
      <c r="C1389" s="45" t="s">
        <v>3930</v>
      </c>
      <c r="D1389" s="140" t="str">
        <f>IFERROR(VLOOKUP(C1389,Stock,3,FALSE),"")</f>
        <v>Suzuki Ertiga 18- 2nd Gen / XL7</v>
      </c>
      <c r="E1389" s="45">
        <v>1.0</v>
      </c>
      <c r="F1389" s="198">
        <v>1459000.0</v>
      </c>
      <c r="G1389" s="142">
        <f t="shared" si="40"/>
        <v>1459000</v>
      </c>
      <c r="H1389" s="142"/>
      <c r="I1389" s="143">
        <f t="shared" si="38"/>
        <v>1459000</v>
      </c>
      <c r="J1389" s="144">
        <f t="shared" si="39"/>
        <v>1459000</v>
      </c>
      <c r="K1389" s="108" t="s">
        <v>6417</v>
      </c>
      <c r="L1389" s="199" t="s">
        <v>6418</v>
      </c>
      <c r="M1389" s="17"/>
      <c r="N1389" s="64" t="s">
        <v>6419</v>
      </c>
      <c r="O1389" s="64" t="s">
        <v>2813</v>
      </c>
      <c r="P1389" s="147" t="s">
        <v>4672</v>
      </c>
      <c r="Q1389" s="149"/>
      <c r="R1389" s="141"/>
      <c r="S1389" s="141"/>
      <c r="T1389" s="141">
        <v>1459000.0</v>
      </c>
      <c r="U1389" s="149"/>
      <c r="V1389" s="149"/>
      <c r="W1389" s="149"/>
      <c r="X1389" s="64" t="s">
        <v>3810</v>
      </c>
      <c r="Y1389" s="64" t="s">
        <v>4515</v>
      </c>
      <c r="Z1389" s="68"/>
    </row>
    <row r="1390" ht="15.0" customHeight="1">
      <c r="A1390" s="333">
        <v>45986.0</v>
      </c>
      <c r="B1390" s="201" t="s">
        <v>6420</v>
      </c>
      <c r="C1390" s="45" t="s">
        <v>4176</v>
      </c>
      <c r="D1390" s="140" t="str">
        <f>IFERROR(VLOOKUP(C1390,Stock,3,FALSE),"")</f>
        <v>Honda HR-V 22- 5D SUV (Honda)</v>
      </c>
      <c r="E1390" s="45">
        <v>1.0</v>
      </c>
      <c r="F1390" s="198">
        <v>3232000.0</v>
      </c>
      <c r="G1390" s="142">
        <f t="shared" si="40"/>
        <v>3232000</v>
      </c>
      <c r="H1390" s="142"/>
      <c r="I1390" s="143">
        <f t="shared" si="38"/>
        <v>3232000</v>
      </c>
      <c r="J1390" s="144">
        <f t="shared" si="39"/>
        <v>3232000</v>
      </c>
      <c r="K1390" s="108" t="s">
        <v>6421</v>
      </c>
      <c r="L1390" s="199" t="s">
        <v>6422</v>
      </c>
      <c r="M1390" s="17"/>
      <c r="N1390" s="64" t="s">
        <v>6423</v>
      </c>
      <c r="O1390" s="64" t="s">
        <v>2813</v>
      </c>
      <c r="P1390" s="147" t="s">
        <v>4672</v>
      </c>
      <c r="Q1390" s="149"/>
      <c r="R1390" s="141"/>
      <c r="S1390" s="141"/>
      <c r="T1390" s="141">
        <v>100000.0</v>
      </c>
      <c r="U1390" s="149"/>
      <c r="V1390" s="149"/>
      <c r="W1390" s="149"/>
      <c r="X1390" s="64" t="s">
        <v>3810</v>
      </c>
      <c r="Y1390" s="64" t="s">
        <v>4515</v>
      </c>
      <c r="Z1390" s="68"/>
    </row>
    <row r="1391" ht="15.0" customHeight="1">
      <c r="A1391" s="333">
        <v>45986.0</v>
      </c>
      <c r="B1391" s="201" t="s">
        <v>6420</v>
      </c>
      <c r="C1391" s="45" t="s">
        <v>2770</v>
      </c>
      <c r="D1391" s="140" t="str">
        <f>IFERROR(VLOOKUP(C1391,Stock,3,FALSE),"")</f>
        <v>Transport</v>
      </c>
      <c r="E1391" s="45">
        <v>1.0</v>
      </c>
      <c r="F1391" s="198">
        <v>70000.0</v>
      </c>
      <c r="G1391" s="142">
        <f t="shared" si="40"/>
        <v>70000</v>
      </c>
      <c r="H1391" s="142"/>
      <c r="I1391" s="143">
        <f t="shared" si="38"/>
        <v>70000</v>
      </c>
      <c r="J1391" s="144">
        <f t="shared" si="39"/>
        <v>70000</v>
      </c>
      <c r="K1391" s="108" t="s">
        <v>6421</v>
      </c>
      <c r="L1391" s="199" t="s">
        <v>6422</v>
      </c>
      <c r="M1391" s="17"/>
      <c r="N1391" s="64" t="s">
        <v>6423</v>
      </c>
      <c r="O1391" s="64" t="s">
        <v>2813</v>
      </c>
      <c r="P1391" s="147" t="s">
        <v>4672</v>
      </c>
      <c r="Q1391" s="149"/>
      <c r="R1391" s="141"/>
      <c r="S1391" s="141"/>
      <c r="T1391" s="141">
        <v>3352000.0</v>
      </c>
      <c r="U1391" s="149"/>
      <c r="V1391" s="149"/>
      <c r="W1391" s="149"/>
      <c r="X1391" s="64" t="s">
        <v>3810</v>
      </c>
      <c r="Y1391" s="64" t="s">
        <v>4515</v>
      </c>
      <c r="Z1391" s="68"/>
    </row>
    <row r="1392" ht="15.0" customHeight="1">
      <c r="A1392" s="333">
        <v>45986.0</v>
      </c>
      <c r="B1392" s="201" t="s">
        <v>6420</v>
      </c>
      <c r="C1392" s="45" t="s">
        <v>2962</v>
      </c>
      <c r="D1392" s="140" t="str">
        <f>IFERROR(VLOOKUP(C1392,Stock,3,FALSE),"")</f>
        <v>Lembur</v>
      </c>
      <c r="E1392" s="45">
        <v>1.0</v>
      </c>
      <c r="F1392" s="198">
        <v>150000.0</v>
      </c>
      <c r="G1392" s="142">
        <f t="shared" si="40"/>
        <v>150000</v>
      </c>
      <c r="H1392" s="142"/>
      <c r="I1392" s="143">
        <f t="shared" si="38"/>
        <v>150000</v>
      </c>
      <c r="J1392" s="144">
        <f t="shared" si="39"/>
        <v>150000</v>
      </c>
      <c r="K1392" s="108" t="s">
        <v>6421</v>
      </c>
      <c r="L1392" s="199" t="s">
        <v>6422</v>
      </c>
      <c r="M1392" s="17"/>
      <c r="N1392" s="64" t="s">
        <v>6423</v>
      </c>
      <c r="O1392" s="64" t="s">
        <v>2813</v>
      </c>
      <c r="P1392" s="147" t="s">
        <v>4672</v>
      </c>
      <c r="Q1392" s="149"/>
      <c r="R1392" s="149"/>
      <c r="S1392" s="149"/>
      <c r="T1392" s="149"/>
      <c r="U1392" s="149"/>
      <c r="V1392" s="149"/>
      <c r="W1392" s="149"/>
      <c r="X1392" s="64" t="s">
        <v>3810</v>
      </c>
      <c r="Y1392" s="64" t="s">
        <v>4515</v>
      </c>
      <c r="Z1392" s="68"/>
    </row>
    <row r="1393" ht="15.0" customHeight="1">
      <c r="A1393" s="333">
        <v>45987.0</v>
      </c>
      <c r="B1393" s="201" t="s">
        <v>6424</v>
      </c>
      <c r="C1393" s="45" t="s">
        <v>6425</v>
      </c>
      <c r="D1393" s="140" t="str">
        <f>IFERROR(VLOOKUP(C1393,Stock,3,FALSE),"")</f>
        <v>Honda Jazz 13- 3rd Gen</v>
      </c>
      <c r="E1393" s="45">
        <v>1.0</v>
      </c>
      <c r="F1393" s="198">
        <v>1457000.0</v>
      </c>
      <c r="G1393" s="142">
        <f t="shared" si="40"/>
        <v>1457000</v>
      </c>
      <c r="H1393" s="142"/>
      <c r="I1393" s="143">
        <f t="shared" si="38"/>
        <v>1457000</v>
      </c>
      <c r="J1393" s="144">
        <f t="shared" si="39"/>
        <v>1457000</v>
      </c>
      <c r="K1393" s="108" t="s">
        <v>6426</v>
      </c>
      <c r="L1393" s="199" t="s">
        <v>6427</v>
      </c>
      <c r="M1393" s="17"/>
      <c r="N1393" s="64" t="s">
        <v>6428</v>
      </c>
      <c r="O1393" s="64" t="s">
        <v>2813</v>
      </c>
      <c r="P1393" s="147" t="s">
        <v>4672</v>
      </c>
      <c r="Q1393" s="149"/>
      <c r="R1393" s="141"/>
      <c r="S1393" s="141"/>
      <c r="T1393" s="141">
        <v>1457000.0</v>
      </c>
      <c r="U1393" s="149"/>
      <c r="V1393" s="149"/>
      <c r="W1393" s="149"/>
      <c r="X1393" s="64" t="s">
        <v>3810</v>
      </c>
      <c r="Y1393" s="64" t="s">
        <v>4515</v>
      </c>
      <c r="Z1393" s="68"/>
    </row>
    <row r="1394" ht="15.0" customHeight="1">
      <c r="A1394" s="333">
        <v>45985.0</v>
      </c>
      <c r="B1394" s="201" t="s">
        <v>6429</v>
      </c>
      <c r="C1394" s="45" t="s">
        <v>3354</v>
      </c>
      <c r="D1394" s="140" t="str">
        <f>IFERROR(VLOOKUP(C1394,Stock,3,FALSE),"")</f>
        <v>Honda Brio 10- / Mobilio 11- (Honda)</v>
      </c>
      <c r="E1394" s="45">
        <v>2.0</v>
      </c>
      <c r="F1394" s="202"/>
      <c r="G1394" s="142">
        <f t="shared" si="40"/>
        <v>0</v>
      </c>
      <c r="H1394" s="142"/>
      <c r="I1394" s="143">
        <f t="shared" si="38"/>
        <v>0</v>
      </c>
      <c r="J1394" s="144">
        <f t="shared" si="39"/>
        <v>0</v>
      </c>
      <c r="K1394" s="108" t="s">
        <v>4509</v>
      </c>
      <c r="L1394" s="17"/>
      <c r="M1394" s="17"/>
      <c r="N1394" s="68"/>
      <c r="O1394" s="64" t="s">
        <v>4175</v>
      </c>
      <c r="P1394" s="170"/>
      <c r="Q1394" s="149"/>
      <c r="R1394" s="149"/>
      <c r="S1394" s="149"/>
      <c r="T1394" s="149"/>
      <c r="U1394" s="149"/>
      <c r="V1394" s="149"/>
      <c r="W1394" s="149"/>
      <c r="X1394" s="64" t="s">
        <v>3810</v>
      </c>
      <c r="Y1394" s="64" t="s">
        <v>4515</v>
      </c>
      <c r="Z1394" s="68"/>
    </row>
    <row r="1395" ht="15.0" customHeight="1">
      <c r="A1395" s="333">
        <v>45985.0</v>
      </c>
      <c r="B1395" s="201" t="s">
        <v>6429</v>
      </c>
      <c r="C1395" s="45" t="s">
        <v>5800</v>
      </c>
      <c r="D1395" s="140" t="str">
        <f>IFERROR(VLOOKUP(C1395,Stock,3,FALSE),"")</f>
        <v>Toyota Fortuner 15-  2nd Gen (Toyota)</v>
      </c>
      <c r="E1395" s="45">
        <v>2.0</v>
      </c>
      <c r="F1395" s="202"/>
      <c r="G1395" s="142">
        <f t="shared" si="40"/>
        <v>0</v>
      </c>
      <c r="H1395" s="142"/>
      <c r="I1395" s="143">
        <f t="shared" si="38"/>
        <v>0</v>
      </c>
      <c r="J1395" s="144">
        <f t="shared" si="39"/>
        <v>0</v>
      </c>
      <c r="K1395" s="108" t="s">
        <v>4509</v>
      </c>
      <c r="L1395" s="17"/>
      <c r="M1395" s="17"/>
      <c r="N1395" s="68"/>
      <c r="O1395" s="64" t="s">
        <v>4175</v>
      </c>
      <c r="P1395" s="170"/>
      <c r="Q1395" s="149"/>
      <c r="R1395" s="149"/>
      <c r="S1395" s="149"/>
      <c r="T1395" s="149"/>
      <c r="U1395" s="149"/>
      <c r="V1395" s="149"/>
      <c r="W1395" s="149"/>
      <c r="X1395" s="64" t="s">
        <v>3810</v>
      </c>
      <c r="Y1395" s="64" t="s">
        <v>4515</v>
      </c>
      <c r="Z1395" s="68"/>
    </row>
    <row r="1396" ht="15.0" customHeight="1">
      <c r="A1396" s="333">
        <v>45988.0</v>
      </c>
      <c r="B1396" s="201" t="s">
        <v>6430</v>
      </c>
      <c r="C1396" s="45" t="s">
        <v>6431</v>
      </c>
      <c r="D1396" s="140" t="str">
        <f>IFERROR(VLOOKUP(C1396,Stock,3,FALSE),"")</f>
        <v>Suzuki Katana 84-</v>
      </c>
      <c r="E1396" s="45">
        <v>2.0</v>
      </c>
      <c r="F1396" s="202"/>
      <c r="G1396" s="142">
        <f t="shared" si="40"/>
        <v>0</v>
      </c>
      <c r="H1396" s="142"/>
      <c r="I1396" s="143">
        <f t="shared" si="38"/>
        <v>0</v>
      </c>
      <c r="J1396" s="144">
        <f t="shared" si="39"/>
        <v>0</v>
      </c>
      <c r="K1396" s="108" t="s">
        <v>4509</v>
      </c>
      <c r="L1396" s="17"/>
      <c r="M1396" s="17"/>
      <c r="N1396" s="68"/>
      <c r="O1396" s="64" t="s">
        <v>4175</v>
      </c>
      <c r="P1396" s="170"/>
      <c r="Q1396" s="149"/>
      <c r="R1396" s="149"/>
      <c r="S1396" s="149"/>
      <c r="T1396" s="149"/>
      <c r="U1396" s="149"/>
      <c r="V1396" s="149"/>
      <c r="W1396" s="149"/>
      <c r="X1396" s="64" t="s">
        <v>3810</v>
      </c>
      <c r="Y1396" s="64" t="s">
        <v>4515</v>
      </c>
      <c r="Z1396" s="68"/>
    </row>
    <row r="1397" ht="15.0" customHeight="1">
      <c r="A1397" s="333">
        <v>45988.0</v>
      </c>
      <c r="B1397" s="201" t="s">
        <v>6430</v>
      </c>
      <c r="C1397" s="45" t="s">
        <v>2952</v>
      </c>
      <c r="D1397" s="140" t="str">
        <f>IFERROR(VLOOKUP(C1397,Stock,3,FALSE),"")</f>
        <v/>
      </c>
      <c r="E1397" s="45">
        <v>1.0</v>
      </c>
      <c r="F1397" s="202"/>
      <c r="G1397" s="142">
        <f t="shared" si="40"/>
        <v>0</v>
      </c>
      <c r="H1397" s="142"/>
      <c r="I1397" s="143">
        <f t="shared" si="38"/>
        <v>0</v>
      </c>
      <c r="J1397" s="144">
        <f t="shared" si="39"/>
        <v>0</v>
      </c>
      <c r="K1397" s="108" t="s">
        <v>4509</v>
      </c>
      <c r="L1397" s="17"/>
      <c r="M1397" s="17"/>
      <c r="N1397" s="68"/>
      <c r="O1397" s="64" t="s">
        <v>4175</v>
      </c>
      <c r="P1397" s="170"/>
      <c r="Q1397" s="149"/>
      <c r="R1397" s="149"/>
      <c r="S1397" s="149"/>
      <c r="T1397" s="149"/>
      <c r="U1397" s="149"/>
      <c r="V1397" s="149"/>
      <c r="W1397" s="149"/>
      <c r="X1397" s="64" t="s">
        <v>3810</v>
      </c>
      <c r="Y1397" s="64" t="s">
        <v>4515</v>
      </c>
      <c r="Z1397" s="68"/>
    </row>
    <row r="1398" ht="15.0" customHeight="1">
      <c r="A1398" s="333">
        <v>45988.0</v>
      </c>
      <c r="B1398" s="201" t="s">
        <v>6432</v>
      </c>
      <c r="C1398" s="45" t="s">
        <v>6433</v>
      </c>
      <c r="D1398" s="140" t="str">
        <f>IFERROR(VLOOKUP(C1398,Stock,3,FALSE),"")</f>
        <v>Toyota Hilux Pickup 15- (Revo)</v>
      </c>
      <c r="E1398" s="45">
        <v>1.0</v>
      </c>
      <c r="F1398" s="198">
        <v>1365000.0</v>
      </c>
      <c r="G1398" s="142">
        <f t="shared" si="40"/>
        <v>1365000</v>
      </c>
      <c r="H1398" s="142"/>
      <c r="I1398" s="143">
        <f t="shared" si="38"/>
        <v>1365000</v>
      </c>
      <c r="J1398" s="144">
        <f t="shared" si="39"/>
        <v>1365000</v>
      </c>
      <c r="K1398" s="108" t="s">
        <v>6434</v>
      </c>
      <c r="L1398" s="199" t="s">
        <v>6435</v>
      </c>
      <c r="M1398" s="17"/>
      <c r="N1398" s="64" t="s">
        <v>4270</v>
      </c>
      <c r="O1398" s="64" t="s">
        <v>2813</v>
      </c>
      <c r="P1398" s="147" t="s">
        <v>4672</v>
      </c>
      <c r="Q1398" s="149"/>
      <c r="R1398" s="141"/>
      <c r="S1398" s="141"/>
      <c r="T1398" s="141">
        <v>100000.0</v>
      </c>
      <c r="U1398" s="149"/>
      <c r="V1398" s="149"/>
      <c r="W1398" s="149"/>
      <c r="X1398" s="64" t="s">
        <v>3810</v>
      </c>
      <c r="Y1398" s="64" t="s">
        <v>4515</v>
      </c>
      <c r="Z1398" s="68"/>
    </row>
    <row r="1399" ht="15.0" customHeight="1">
      <c r="A1399" s="333">
        <v>45988.0</v>
      </c>
      <c r="B1399" s="201" t="s">
        <v>6432</v>
      </c>
      <c r="C1399" s="45" t="s">
        <v>3446</v>
      </c>
      <c r="D1399" s="140" t="str">
        <f>IFERROR(VLOOKUP(C1399,Stock,3,FALSE),"")</f>
        <v>501 Sealant Application</v>
      </c>
      <c r="E1399" s="45">
        <v>2.0</v>
      </c>
      <c r="F1399" s="198">
        <v>75000.0</v>
      </c>
      <c r="G1399" s="142">
        <f t="shared" si="40"/>
        <v>150000</v>
      </c>
      <c r="H1399" s="142"/>
      <c r="I1399" s="143">
        <f t="shared" si="38"/>
        <v>150000</v>
      </c>
      <c r="J1399" s="144">
        <f t="shared" si="39"/>
        <v>150000</v>
      </c>
      <c r="K1399" s="108" t="s">
        <v>6434</v>
      </c>
      <c r="L1399" s="199" t="s">
        <v>6435</v>
      </c>
      <c r="M1399" s="17"/>
      <c r="N1399" s="64" t="s">
        <v>4270</v>
      </c>
      <c r="O1399" s="64" t="s">
        <v>2813</v>
      </c>
      <c r="P1399" s="147" t="s">
        <v>4672</v>
      </c>
      <c r="Q1399" s="149"/>
      <c r="R1399" s="141"/>
      <c r="S1399" s="141"/>
      <c r="T1399" s="141">
        <v>1415000.0</v>
      </c>
      <c r="U1399" s="149"/>
      <c r="V1399" s="149"/>
      <c r="W1399" s="149"/>
      <c r="X1399" s="64" t="s">
        <v>3810</v>
      </c>
      <c r="Y1399" s="64" t="s">
        <v>4515</v>
      </c>
      <c r="Z1399" s="68"/>
    </row>
    <row r="1400" ht="15.0" customHeight="1">
      <c r="A1400" s="333">
        <v>45988.0</v>
      </c>
      <c r="B1400" s="201" t="s">
        <v>6436</v>
      </c>
      <c r="C1400" s="45" t="s">
        <v>6437</v>
      </c>
      <c r="D1400" s="140" t="str">
        <f>IFERROR(VLOOKUP(C1400,Stock,3,FALSE),"")</f>
        <v>Mers-Benz E-Class 17- W213</v>
      </c>
      <c r="E1400" s="45">
        <v>1.0</v>
      </c>
      <c r="F1400" s="198">
        <v>4421000.0</v>
      </c>
      <c r="G1400" s="142">
        <f t="shared" si="40"/>
        <v>4421000</v>
      </c>
      <c r="H1400" s="142"/>
      <c r="I1400" s="143">
        <f t="shared" si="38"/>
        <v>4421000</v>
      </c>
      <c r="J1400" s="144">
        <f t="shared" si="39"/>
        <v>4421000</v>
      </c>
      <c r="K1400" s="108" t="s">
        <v>6438</v>
      </c>
      <c r="L1400" s="199" t="s">
        <v>6439</v>
      </c>
      <c r="M1400" s="17"/>
      <c r="N1400" s="64" t="s">
        <v>6440</v>
      </c>
      <c r="O1400" s="64" t="s">
        <v>2813</v>
      </c>
      <c r="P1400" s="147" t="s">
        <v>4672</v>
      </c>
      <c r="Q1400" s="149"/>
      <c r="R1400" s="141"/>
      <c r="S1400" s="141"/>
      <c r="T1400" s="141">
        <v>4671000.0</v>
      </c>
      <c r="U1400" s="149"/>
      <c r="V1400" s="149"/>
      <c r="W1400" s="149"/>
      <c r="X1400" s="64" t="s">
        <v>3810</v>
      </c>
      <c r="Y1400" s="64" t="s">
        <v>4515</v>
      </c>
      <c r="Z1400" s="68"/>
    </row>
    <row r="1401" ht="15.0" customHeight="1">
      <c r="A1401" s="333">
        <v>45988.0</v>
      </c>
      <c r="B1401" s="201" t="s">
        <v>6436</v>
      </c>
      <c r="C1401" s="45" t="s">
        <v>5254</v>
      </c>
      <c r="D1401" s="140" t="str">
        <f>IFERROR(VLOOKUP(C1401,Stock,3,FALSE),"")</f>
        <v>Automotive Film Standard - Black 40%				</v>
      </c>
      <c r="E1401" s="45">
        <v>1.0</v>
      </c>
      <c r="F1401" s="198">
        <v>250000.0</v>
      </c>
      <c r="G1401" s="142">
        <f t="shared" si="40"/>
        <v>250000</v>
      </c>
      <c r="H1401" s="143"/>
      <c r="I1401" s="143">
        <f t="shared" si="38"/>
        <v>250000</v>
      </c>
      <c r="J1401" s="144">
        <f t="shared" si="39"/>
        <v>250000</v>
      </c>
      <c r="K1401" s="108" t="s">
        <v>6438</v>
      </c>
      <c r="L1401" s="199" t="s">
        <v>6439</v>
      </c>
      <c r="M1401" s="17"/>
      <c r="N1401" s="64" t="s">
        <v>6440</v>
      </c>
      <c r="O1401" s="64" t="s">
        <v>2813</v>
      </c>
      <c r="P1401" s="147" t="s">
        <v>4672</v>
      </c>
      <c r="Q1401" s="149"/>
      <c r="R1401" s="149"/>
      <c r="S1401" s="149"/>
      <c r="T1401" s="149"/>
      <c r="U1401" s="149"/>
      <c r="V1401" s="149"/>
      <c r="W1401" s="149"/>
      <c r="X1401" s="64" t="s">
        <v>3810</v>
      </c>
      <c r="Y1401" s="64" t="s">
        <v>4515</v>
      </c>
      <c r="Z1401" s="68"/>
    </row>
    <row r="1402" ht="15.0" customHeight="1">
      <c r="A1402" s="333">
        <v>45988.0</v>
      </c>
      <c r="B1402" s="201" t="s">
        <v>6441</v>
      </c>
      <c r="C1402" s="45" t="s">
        <v>5123</v>
      </c>
      <c r="D1402" s="140" t="str">
        <f>IFERROR(VLOOKUP(C1402,Stock,3,FALSE),"")</f>
        <v>BMW 3 Series 90-99 E36</v>
      </c>
      <c r="E1402" s="45">
        <v>1.0</v>
      </c>
      <c r="F1402" s="198">
        <v>1765000.0</v>
      </c>
      <c r="G1402" s="142">
        <f t="shared" si="40"/>
        <v>1765000</v>
      </c>
      <c r="H1402" s="142"/>
      <c r="I1402" s="143">
        <f t="shared" si="38"/>
        <v>1765000</v>
      </c>
      <c r="J1402" s="144">
        <f t="shared" si="39"/>
        <v>1765000</v>
      </c>
      <c r="K1402" s="108" t="s">
        <v>4241</v>
      </c>
      <c r="L1402" s="199" t="s">
        <v>6104</v>
      </c>
      <c r="M1402" s="17"/>
      <c r="N1402" s="64" t="s">
        <v>6442</v>
      </c>
      <c r="O1402" s="64" t="s">
        <v>2813</v>
      </c>
      <c r="P1402" s="147" t="s">
        <v>4672</v>
      </c>
      <c r="Q1402" s="149"/>
      <c r="R1402" s="141"/>
      <c r="S1402" s="141"/>
      <c r="T1402" s="141">
        <v>50000.0</v>
      </c>
      <c r="U1402" s="149"/>
      <c r="V1402" s="149"/>
      <c r="W1402" s="149"/>
      <c r="X1402" s="64" t="s">
        <v>3810</v>
      </c>
      <c r="Y1402" s="64" t="s">
        <v>4515</v>
      </c>
      <c r="Z1402" s="68"/>
    </row>
    <row r="1403" ht="15.0" customHeight="1">
      <c r="A1403" s="333">
        <v>45988.0</v>
      </c>
      <c r="B1403" s="201" t="s">
        <v>6441</v>
      </c>
      <c r="C1403" s="45" t="s">
        <v>2770</v>
      </c>
      <c r="D1403" s="140" t="str">
        <f>IFERROR(VLOOKUP(C1403,Stock,3,FALSE),"")</f>
        <v>Transport</v>
      </c>
      <c r="E1403" s="45">
        <v>1.0</v>
      </c>
      <c r="F1403" s="198">
        <v>50000.0</v>
      </c>
      <c r="G1403" s="142">
        <f t="shared" si="40"/>
        <v>50000</v>
      </c>
      <c r="H1403" s="142"/>
      <c r="I1403" s="143">
        <f t="shared" si="38"/>
        <v>50000</v>
      </c>
      <c r="J1403" s="144">
        <f t="shared" si="39"/>
        <v>50000</v>
      </c>
      <c r="K1403" s="108" t="s">
        <v>4241</v>
      </c>
      <c r="L1403" s="199" t="s">
        <v>6104</v>
      </c>
      <c r="M1403" s="17"/>
      <c r="N1403" s="64" t="s">
        <v>6442</v>
      </c>
      <c r="O1403" s="64" t="s">
        <v>2813</v>
      </c>
      <c r="P1403" s="147" t="s">
        <v>4672</v>
      </c>
      <c r="Q1403" s="149"/>
      <c r="R1403" s="141"/>
      <c r="S1403" s="141"/>
      <c r="T1403" s="141">
        <v>1765000.0</v>
      </c>
      <c r="U1403" s="149"/>
      <c r="V1403" s="149"/>
      <c r="W1403" s="149"/>
      <c r="X1403" s="64" t="s">
        <v>3810</v>
      </c>
      <c r="Y1403" s="64" t="s">
        <v>4515</v>
      </c>
      <c r="Z1403" s="68"/>
    </row>
    <row r="1404" ht="15.0" customHeight="1">
      <c r="A1404" s="333">
        <v>45989.0</v>
      </c>
      <c r="B1404" s="201" t="s">
        <v>6443</v>
      </c>
      <c r="C1404" s="45" t="s">
        <v>3333</v>
      </c>
      <c r="D1404" s="140" t="str">
        <f>IFERROR(VLOOKUP(C1404,Stock,3,FALSE),"")</f>
        <v>Toyota Alphard 18- ANH30 3rd Gen (Sensor bwh keramik)</v>
      </c>
      <c r="E1404" s="45">
        <v>1.0</v>
      </c>
      <c r="F1404" s="198">
        <v>3620000.0</v>
      </c>
      <c r="G1404" s="142">
        <f t="shared" si="40"/>
        <v>3620000</v>
      </c>
      <c r="H1404" s="142"/>
      <c r="I1404" s="143">
        <f t="shared" si="38"/>
        <v>3620000</v>
      </c>
      <c r="J1404" s="144">
        <f t="shared" si="39"/>
        <v>3620000</v>
      </c>
      <c r="K1404" s="108" t="s">
        <v>6444</v>
      </c>
      <c r="L1404" s="199" t="s">
        <v>6445</v>
      </c>
      <c r="M1404" s="17"/>
      <c r="N1404" s="68"/>
      <c r="O1404" s="64" t="s">
        <v>2768</v>
      </c>
      <c r="P1404" s="147" t="s">
        <v>4672</v>
      </c>
      <c r="Q1404" s="149"/>
      <c r="R1404" s="141"/>
      <c r="S1404" s="141"/>
      <c r="T1404" s="141">
        <v>50000.0</v>
      </c>
      <c r="U1404" s="149"/>
      <c r="V1404" s="149"/>
      <c r="W1404" s="149"/>
      <c r="X1404" s="64" t="s">
        <v>3810</v>
      </c>
      <c r="Y1404" s="64" t="s">
        <v>4515</v>
      </c>
      <c r="Z1404" s="68"/>
    </row>
    <row r="1405" ht="15.0" customHeight="1">
      <c r="A1405" s="333">
        <v>45989.0</v>
      </c>
      <c r="B1405" s="201" t="s">
        <v>6443</v>
      </c>
      <c r="C1405" s="45" t="s">
        <v>2770</v>
      </c>
      <c r="D1405" s="140" t="str">
        <f>IFERROR(VLOOKUP(C1405,Stock,3,FALSE),"")</f>
        <v>Transport</v>
      </c>
      <c r="E1405" s="45">
        <v>1.0</v>
      </c>
      <c r="F1405" s="198">
        <v>100000.0</v>
      </c>
      <c r="G1405" s="142">
        <f t="shared" si="40"/>
        <v>100000</v>
      </c>
      <c r="H1405" s="142"/>
      <c r="I1405" s="143">
        <f t="shared" si="38"/>
        <v>100000</v>
      </c>
      <c r="J1405" s="144">
        <f t="shared" si="39"/>
        <v>100000</v>
      </c>
      <c r="K1405" s="108" t="s">
        <v>6444</v>
      </c>
      <c r="L1405" s="199" t="s">
        <v>6445</v>
      </c>
      <c r="M1405" s="17"/>
      <c r="N1405" s="68"/>
      <c r="O1405" s="64" t="s">
        <v>2768</v>
      </c>
      <c r="P1405" s="147" t="s">
        <v>4672</v>
      </c>
      <c r="Q1405" s="149"/>
      <c r="R1405" s="141"/>
      <c r="S1405" s="141"/>
      <c r="T1405" s="141">
        <v>3670000.0</v>
      </c>
      <c r="U1405" s="149"/>
      <c r="V1405" s="149"/>
      <c r="W1405" s="149"/>
      <c r="X1405" s="64" t="s">
        <v>3810</v>
      </c>
      <c r="Y1405" s="64" t="s">
        <v>4515</v>
      </c>
      <c r="Z1405" s="68"/>
    </row>
    <row r="1406" ht="15.0" customHeight="1">
      <c r="A1406" s="333">
        <v>45989.0</v>
      </c>
      <c r="B1406" s="201" t="s">
        <v>6446</v>
      </c>
      <c r="C1406" s="45" t="s">
        <v>6447</v>
      </c>
      <c r="D1406" s="140" t="str">
        <f>IFERROR(VLOOKUP(C1406,Stock,3,FALSE),"")</f>
        <v>Toyota Camry 18- XV70 6th Gen</v>
      </c>
      <c r="E1406" s="45">
        <v>1.0</v>
      </c>
      <c r="F1406" s="202"/>
      <c r="G1406" s="142">
        <f t="shared" si="40"/>
        <v>0</v>
      </c>
      <c r="H1406" s="142"/>
      <c r="I1406" s="143">
        <f t="shared" si="38"/>
        <v>0</v>
      </c>
      <c r="J1406" s="144">
        <f t="shared" si="39"/>
        <v>0</v>
      </c>
      <c r="K1406" s="108" t="s">
        <v>4509</v>
      </c>
      <c r="L1406" s="17"/>
      <c r="M1406" s="17"/>
      <c r="N1406" s="68"/>
      <c r="O1406" s="64" t="s">
        <v>4175</v>
      </c>
      <c r="P1406" s="170"/>
      <c r="Q1406" s="149"/>
      <c r="R1406" s="149"/>
      <c r="S1406" s="149"/>
      <c r="T1406" s="149"/>
      <c r="U1406" s="149"/>
      <c r="V1406" s="149"/>
      <c r="W1406" s="149"/>
      <c r="X1406" s="64" t="s">
        <v>3810</v>
      </c>
      <c r="Y1406" s="64" t="s">
        <v>4515</v>
      </c>
      <c r="Z1406" s="68"/>
    </row>
    <row r="1407" ht="15.0" customHeight="1">
      <c r="A1407" s="333">
        <v>45990.0</v>
      </c>
      <c r="B1407" s="201" t="s">
        <v>6448</v>
      </c>
      <c r="C1407" s="45" t="s">
        <v>6449</v>
      </c>
      <c r="D1407" s="140" t="str">
        <f>IFERROR(VLOOKUP(C1407,Stock,3,FALSE),"")</f>
        <v>Hyundai Palisade 20-</v>
      </c>
      <c r="E1407" s="45">
        <v>1.0</v>
      </c>
      <c r="F1407" s="198">
        <v>3900000.0</v>
      </c>
      <c r="G1407" s="142">
        <f t="shared" si="40"/>
        <v>3900000</v>
      </c>
      <c r="H1407" s="142"/>
      <c r="I1407" s="143">
        <f t="shared" si="38"/>
        <v>3900000</v>
      </c>
      <c r="J1407" s="144">
        <f t="shared" si="39"/>
        <v>3900000</v>
      </c>
      <c r="K1407" s="108" t="s">
        <v>6450</v>
      </c>
      <c r="L1407" s="199" t="s">
        <v>6451</v>
      </c>
      <c r="M1407" s="17"/>
      <c r="N1407" s="64" t="s">
        <v>6452</v>
      </c>
      <c r="O1407" s="64" t="s">
        <v>6453</v>
      </c>
      <c r="P1407" s="147" t="s">
        <v>4672</v>
      </c>
      <c r="Q1407" s="149"/>
      <c r="R1407" s="141"/>
      <c r="S1407" s="141"/>
      <c r="T1407" s="141">
        <v>50000.0</v>
      </c>
      <c r="U1407" s="149"/>
      <c r="V1407" s="149"/>
      <c r="W1407" s="149"/>
      <c r="X1407" s="64" t="s">
        <v>3810</v>
      </c>
      <c r="Y1407" s="64" t="s">
        <v>4515</v>
      </c>
      <c r="Z1407" s="68"/>
    </row>
    <row r="1408" ht="15.0" customHeight="1">
      <c r="A1408" s="333">
        <v>45990.0</v>
      </c>
      <c r="B1408" s="201" t="s">
        <v>6448</v>
      </c>
      <c r="C1408" s="45" t="s">
        <v>2770</v>
      </c>
      <c r="D1408" s="140" t="str">
        <f>IFERROR(VLOOKUP(C1408,Stock,3,FALSE),"")</f>
        <v>Transport</v>
      </c>
      <c r="E1408" s="45">
        <v>1.0</v>
      </c>
      <c r="F1408" s="198">
        <v>100000.0</v>
      </c>
      <c r="G1408" s="142">
        <f t="shared" si="40"/>
        <v>100000</v>
      </c>
      <c r="H1408" s="142"/>
      <c r="I1408" s="143">
        <f t="shared" si="38"/>
        <v>100000</v>
      </c>
      <c r="J1408" s="144">
        <f t="shared" si="39"/>
        <v>100000</v>
      </c>
      <c r="K1408" s="108" t="s">
        <v>6450</v>
      </c>
      <c r="L1408" s="199" t="s">
        <v>6451</v>
      </c>
      <c r="M1408" s="17"/>
      <c r="N1408" s="64" t="s">
        <v>6452</v>
      </c>
      <c r="O1408" s="64" t="s">
        <v>6453</v>
      </c>
      <c r="P1408" s="147" t="s">
        <v>4672</v>
      </c>
      <c r="Q1408" s="149"/>
      <c r="R1408" s="141"/>
      <c r="S1408" s="141"/>
      <c r="T1408" s="141">
        <v>3950000.0</v>
      </c>
      <c r="U1408" s="149"/>
      <c r="V1408" s="149"/>
      <c r="W1408" s="149"/>
      <c r="X1408" s="64" t="s">
        <v>3810</v>
      </c>
      <c r="Y1408" s="64" t="s">
        <v>4515</v>
      </c>
      <c r="Z1408" s="68"/>
    </row>
    <row r="1409" ht="15.0" customHeight="1">
      <c r="A1409" s="333">
        <v>45990.0</v>
      </c>
      <c r="B1409" s="201" t="s">
        <v>6454</v>
      </c>
      <c r="C1409" s="45" t="s">
        <v>3100</v>
      </c>
      <c r="D1409" s="140" t="str">
        <f>IFERROR(VLOOKUP(C1409,Stock,3,FALSE),"")</f>
        <v>Toyota Kijang 02-04 Kapsul Lem Efi</v>
      </c>
      <c r="E1409" s="45">
        <v>1.0</v>
      </c>
      <c r="F1409" s="198">
        <v>1350000.0</v>
      </c>
      <c r="G1409" s="142">
        <f t="shared" si="40"/>
        <v>1350000</v>
      </c>
      <c r="H1409" s="142"/>
      <c r="I1409" s="143">
        <f t="shared" si="38"/>
        <v>1350000</v>
      </c>
      <c r="J1409" s="144">
        <f t="shared" si="39"/>
        <v>1350000</v>
      </c>
      <c r="K1409" s="108" t="s">
        <v>6455</v>
      </c>
      <c r="L1409" s="199" t="s">
        <v>6456</v>
      </c>
      <c r="M1409" s="17"/>
      <c r="N1409" s="64" t="s">
        <v>6457</v>
      </c>
      <c r="O1409" s="64" t="s">
        <v>2813</v>
      </c>
      <c r="P1409" s="147" t="s">
        <v>4672</v>
      </c>
      <c r="Q1409" s="149"/>
      <c r="R1409" s="141"/>
      <c r="S1409" s="141"/>
      <c r="T1409" s="141">
        <v>1350000.0</v>
      </c>
      <c r="U1409" s="149"/>
      <c r="V1409" s="149"/>
      <c r="W1409" s="149"/>
      <c r="X1409" s="64" t="s">
        <v>3810</v>
      </c>
      <c r="Y1409" s="64" t="s">
        <v>4515</v>
      </c>
      <c r="Z1409" s="68"/>
    </row>
    <row r="1410" ht="15.0" customHeight="1">
      <c r="A1410" s="333">
        <v>45990.0</v>
      </c>
      <c r="B1410" s="201" t="s">
        <v>6458</v>
      </c>
      <c r="C1410" s="45" t="s">
        <v>3621</v>
      </c>
      <c r="D1410" s="140" t="str">
        <f>IFERROR(VLOOKUP(C1410,Stock,3,FALSE),"")</f>
        <v>Mitsubishi Pajero 08-16</v>
      </c>
      <c r="E1410" s="45">
        <v>1.0</v>
      </c>
      <c r="F1410" s="198">
        <v>1705000.0</v>
      </c>
      <c r="G1410" s="142">
        <f t="shared" si="40"/>
        <v>1705000</v>
      </c>
      <c r="H1410" s="142"/>
      <c r="I1410" s="143">
        <f t="shared" si="38"/>
        <v>1705000</v>
      </c>
      <c r="J1410" s="144">
        <f t="shared" si="39"/>
        <v>1705000</v>
      </c>
      <c r="K1410" s="108" t="s">
        <v>6459</v>
      </c>
      <c r="L1410" s="199" t="s">
        <v>6460</v>
      </c>
      <c r="M1410" s="17"/>
      <c r="N1410" s="64" t="s">
        <v>6461</v>
      </c>
      <c r="O1410" s="64" t="s">
        <v>2813</v>
      </c>
      <c r="P1410" s="147" t="s">
        <v>4672</v>
      </c>
      <c r="Q1410" s="141">
        <v>1705000.0</v>
      </c>
      <c r="R1410" s="149"/>
      <c r="S1410" s="149"/>
      <c r="T1410" s="149"/>
      <c r="U1410" s="149"/>
      <c r="V1410" s="149"/>
      <c r="W1410" s="149"/>
      <c r="X1410" s="64" t="s">
        <v>3810</v>
      </c>
      <c r="Y1410" s="64" t="s">
        <v>4515</v>
      </c>
      <c r="Z1410" s="68"/>
    </row>
    <row r="1411" ht="15.0" customHeight="1">
      <c r="A1411" s="333">
        <v>45990.0</v>
      </c>
      <c r="B1411" s="201" t="s">
        <v>6462</v>
      </c>
      <c r="C1411" s="45" t="s">
        <v>2865</v>
      </c>
      <c r="D1411" s="140" t="str">
        <f>IFERROR(VLOOKUP(C1411,Stock,3,FALSE),"")</f>
        <v>Toyota Fortuner 15- 2nd Gen</v>
      </c>
      <c r="E1411" s="45">
        <v>1.0</v>
      </c>
      <c r="F1411" s="198">
        <v>1750000.0</v>
      </c>
      <c r="G1411" s="142">
        <f t="shared" si="40"/>
        <v>1750000</v>
      </c>
      <c r="H1411" s="142"/>
      <c r="I1411" s="143">
        <f t="shared" si="38"/>
        <v>1750000</v>
      </c>
      <c r="J1411" s="144">
        <f t="shared" si="39"/>
        <v>1750000</v>
      </c>
      <c r="K1411" s="108" t="s">
        <v>6463</v>
      </c>
      <c r="L1411" s="199" t="s">
        <v>6464</v>
      </c>
      <c r="M1411" s="17"/>
      <c r="N1411" s="64" t="s">
        <v>6465</v>
      </c>
      <c r="O1411" s="64" t="s">
        <v>2807</v>
      </c>
      <c r="P1411" s="147" t="s">
        <v>4672</v>
      </c>
      <c r="Q1411" s="149"/>
      <c r="R1411" s="141"/>
      <c r="S1411" s="141"/>
      <c r="T1411" s="141">
        <v>1750000.0</v>
      </c>
      <c r="U1411" s="149"/>
      <c r="V1411" s="149"/>
      <c r="W1411" s="149"/>
      <c r="X1411" s="64" t="s">
        <v>3810</v>
      </c>
      <c r="Y1411" s="64" t="s">
        <v>4515</v>
      </c>
      <c r="Z1411" s="68"/>
    </row>
    <row r="1412" ht="15.0" customHeight="1">
      <c r="A1412" s="333">
        <v>45990.0</v>
      </c>
      <c r="B1412" s="201" t="s">
        <v>6466</v>
      </c>
      <c r="C1412" s="45" t="s">
        <v>4590</v>
      </c>
      <c r="D1412" s="140" t="str">
        <f>IFERROR(VLOOKUP(C1412,Stock,3,FALSE),"")</f>
        <v>Toyota Avanza / Xenia 11-15 2nd Gen / 15-21 3rd Gen</v>
      </c>
      <c r="E1412" s="45">
        <v>1.0</v>
      </c>
      <c r="F1412" s="198">
        <v>900000.0</v>
      </c>
      <c r="G1412" s="142">
        <f t="shared" si="40"/>
        <v>900000</v>
      </c>
      <c r="H1412" s="142"/>
      <c r="I1412" s="143">
        <f t="shared" si="38"/>
        <v>900000</v>
      </c>
      <c r="J1412" s="144">
        <f t="shared" si="39"/>
        <v>900000</v>
      </c>
      <c r="K1412" s="108" t="s">
        <v>6467</v>
      </c>
      <c r="L1412" s="199" t="s">
        <v>6468</v>
      </c>
      <c r="M1412" s="17"/>
      <c r="N1412" s="64" t="s">
        <v>6469</v>
      </c>
      <c r="O1412" s="64" t="s">
        <v>2813</v>
      </c>
      <c r="P1412" s="147" t="s">
        <v>4672</v>
      </c>
      <c r="Q1412" s="141">
        <v>900000.0</v>
      </c>
      <c r="R1412" s="149"/>
      <c r="S1412" s="149"/>
      <c r="T1412" s="149"/>
      <c r="U1412" s="149"/>
      <c r="V1412" s="149"/>
      <c r="W1412" s="149"/>
      <c r="X1412" s="64" t="s">
        <v>3810</v>
      </c>
      <c r="Y1412" s="64" t="s">
        <v>4515</v>
      </c>
      <c r="Z1412" s="68"/>
    </row>
    <row r="1413" ht="15.0" customHeight="1">
      <c r="A1413" s="333">
        <v>45990.0</v>
      </c>
      <c r="B1413" s="201" t="s">
        <v>6470</v>
      </c>
      <c r="C1413" s="45" t="s">
        <v>3246</v>
      </c>
      <c r="D1413" s="140" t="str">
        <f>IFERROR(VLOOKUP(C1413,Stock,3,FALSE),"")</f>
        <v>Toyota Calya / Sigra 16-</v>
      </c>
      <c r="E1413" s="45">
        <v>1.0</v>
      </c>
      <c r="F1413" s="198">
        <v>1220000.0</v>
      </c>
      <c r="G1413" s="142">
        <f t="shared" si="40"/>
        <v>1220000</v>
      </c>
      <c r="H1413" s="142"/>
      <c r="I1413" s="143">
        <f t="shared" si="38"/>
        <v>1220000</v>
      </c>
      <c r="J1413" s="144">
        <f t="shared" si="39"/>
        <v>1220000</v>
      </c>
      <c r="K1413" s="108" t="s">
        <v>4241</v>
      </c>
      <c r="L1413" s="199" t="s">
        <v>6471</v>
      </c>
      <c r="M1413" s="17"/>
      <c r="N1413" s="64" t="s">
        <v>6472</v>
      </c>
      <c r="O1413" s="64" t="s">
        <v>2813</v>
      </c>
      <c r="P1413" s="147" t="s">
        <v>4672</v>
      </c>
      <c r="Q1413" s="149"/>
      <c r="R1413" s="141"/>
      <c r="S1413" s="141"/>
      <c r="T1413" s="141">
        <v>1220000.0</v>
      </c>
      <c r="U1413" s="149"/>
      <c r="V1413" s="149"/>
      <c r="W1413" s="149"/>
      <c r="X1413" s="64" t="s">
        <v>3810</v>
      </c>
      <c r="Y1413" s="64" t="s">
        <v>4515</v>
      </c>
      <c r="Z1413" s="68"/>
    </row>
    <row r="1414" ht="15.0" customHeight="1">
      <c r="A1414" s="333">
        <v>45990.0</v>
      </c>
      <c r="B1414" s="201" t="s">
        <v>6473</v>
      </c>
      <c r="C1414" s="45" t="s">
        <v>5092</v>
      </c>
      <c r="D1414" s="140" t="str">
        <f>IFERROR(VLOOKUP(C1414,Stock,3,FALSE),"")</f>
        <v>Honda BR-V 16-</v>
      </c>
      <c r="E1414" s="45">
        <v>1.0</v>
      </c>
      <c r="F1414" s="198">
        <v>1461000.0</v>
      </c>
      <c r="G1414" s="142">
        <f t="shared" si="40"/>
        <v>1461000</v>
      </c>
      <c r="H1414" s="142"/>
      <c r="I1414" s="143">
        <f t="shared" si="38"/>
        <v>1461000</v>
      </c>
      <c r="J1414" s="144">
        <f t="shared" si="39"/>
        <v>1461000</v>
      </c>
      <c r="K1414" s="108" t="s">
        <v>6474</v>
      </c>
      <c r="L1414" s="199" t="s">
        <v>6475</v>
      </c>
      <c r="M1414" s="17"/>
      <c r="N1414" s="64" t="s">
        <v>6476</v>
      </c>
      <c r="O1414" s="64" t="s">
        <v>2807</v>
      </c>
      <c r="P1414" s="147" t="s">
        <v>4672</v>
      </c>
      <c r="Q1414" s="149"/>
      <c r="R1414" s="141"/>
      <c r="S1414" s="141"/>
      <c r="T1414" s="141">
        <v>1611000.0</v>
      </c>
      <c r="U1414" s="149"/>
      <c r="V1414" s="149"/>
      <c r="W1414" s="149"/>
      <c r="X1414" s="64" t="s">
        <v>3810</v>
      </c>
      <c r="Y1414" s="64" t="s">
        <v>4515</v>
      </c>
      <c r="Z1414" s="68"/>
    </row>
    <row r="1415" ht="15.0" customHeight="1">
      <c r="A1415" s="333">
        <v>45990.0</v>
      </c>
      <c r="B1415" s="201" t="s">
        <v>6473</v>
      </c>
      <c r="C1415" s="45" t="s">
        <v>2962</v>
      </c>
      <c r="D1415" s="140" t="str">
        <f>IFERROR(VLOOKUP(C1415,Stock,3,FALSE),"")</f>
        <v>Lembur</v>
      </c>
      <c r="E1415" s="45">
        <v>1.0</v>
      </c>
      <c r="F1415" s="198">
        <v>150000.0</v>
      </c>
      <c r="G1415" s="142">
        <f t="shared" si="40"/>
        <v>150000</v>
      </c>
      <c r="H1415" s="142"/>
      <c r="I1415" s="143">
        <f t="shared" si="38"/>
        <v>150000</v>
      </c>
      <c r="J1415" s="144">
        <f t="shared" si="39"/>
        <v>150000</v>
      </c>
      <c r="K1415" s="108" t="s">
        <v>6474</v>
      </c>
      <c r="L1415" s="199" t="s">
        <v>6475</v>
      </c>
      <c r="M1415" s="17"/>
      <c r="N1415" s="64" t="s">
        <v>6476</v>
      </c>
      <c r="O1415" s="64" t="s">
        <v>2807</v>
      </c>
      <c r="P1415" s="147" t="s">
        <v>4672</v>
      </c>
      <c r="Q1415" s="149"/>
      <c r="R1415" s="149"/>
      <c r="S1415" s="149"/>
      <c r="T1415" s="149"/>
      <c r="U1415" s="149"/>
      <c r="V1415" s="149"/>
      <c r="W1415" s="149"/>
      <c r="X1415" s="64" t="s">
        <v>3810</v>
      </c>
      <c r="Y1415" s="64" t="s">
        <v>4515</v>
      </c>
      <c r="Z1415" s="68"/>
    </row>
    <row r="1416" ht="15.0" customHeight="1">
      <c r="A1416" s="206">
        <v>45990.0</v>
      </c>
      <c r="B1416" s="201" t="s">
        <v>6477</v>
      </c>
      <c r="C1416" s="45" t="s">
        <v>4317</v>
      </c>
      <c r="D1416" s="140" t="str">
        <f>IFERROR(VLOOKUP(C1416,Stock,3,FALSE),"")</f>
        <v>Wuling Confero (Tanpa Spionnya)</v>
      </c>
      <c r="E1416" s="45">
        <v>1.0</v>
      </c>
      <c r="F1416" s="198">
        <v>1399000.0</v>
      </c>
      <c r="G1416" s="142">
        <f t="shared" si="40"/>
        <v>1399000</v>
      </c>
      <c r="H1416" s="142"/>
      <c r="I1416" s="143">
        <f t="shared" si="38"/>
        <v>1399000</v>
      </c>
      <c r="J1416" s="144">
        <f t="shared" si="39"/>
        <v>1399000</v>
      </c>
      <c r="K1416" s="108" t="s">
        <v>6478</v>
      </c>
      <c r="L1416" s="199" t="s">
        <v>6479</v>
      </c>
      <c r="M1416" s="17"/>
      <c r="N1416" s="64" t="s">
        <v>6480</v>
      </c>
      <c r="O1416" s="68"/>
      <c r="P1416" s="147" t="s">
        <v>4672</v>
      </c>
      <c r="Q1416" s="149"/>
      <c r="R1416" s="141"/>
      <c r="S1416" s="141"/>
      <c r="T1416" s="141">
        <v>50000.0</v>
      </c>
      <c r="U1416" s="149"/>
      <c r="V1416" s="149"/>
      <c r="W1416" s="149"/>
      <c r="X1416" s="68"/>
      <c r="Y1416" s="64" t="s">
        <v>4515</v>
      </c>
      <c r="Z1416" s="68"/>
    </row>
    <row r="1417" ht="15.0" customHeight="1">
      <c r="A1417" s="206">
        <v>45990.0</v>
      </c>
      <c r="B1417" s="201" t="s">
        <v>6477</v>
      </c>
      <c r="C1417" s="45" t="s">
        <v>2962</v>
      </c>
      <c r="D1417" s="140" t="str">
        <f>IFERROR(VLOOKUP(C1417,Stock,3,FALSE),"")</f>
        <v>Lembur</v>
      </c>
      <c r="E1417" s="45">
        <v>1.0</v>
      </c>
      <c r="F1417" s="198">
        <v>150000.0</v>
      </c>
      <c r="G1417" s="142">
        <f t="shared" si="40"/>
        <v>150000</v>
      </c>
      <c r="H1417" s="142"/>
      <c r="I1417" s="143">
        <f t="shared" si="38"/>
        <v>150000</v>
      </c>
      <c r="J1417" s="144">
        <f t="shared" si="39"/>
        <v>150000</v>
      </c>
      <c r="K1417" s="108" t="s">
        <v>6478</v>
      </c>
      <c r="L1417" s="199" t="s">
        <v>6479</v>
      </c>
      <c r="M1417" s="17"/>
      <c r="N1417" s="64" t="s">
        <v>6480</v>
      </c>
      <c r="O1417" s="68"/>
      <c r="P1417" s="147" t="s">
        <v>4672</v>
      </c>
      <c r="Q1417" s="149"/>
      <c r="R1417" s="141"/>
      <c r="S1417" s="141"/>
      <c r="T1417" s="141">
        <v>1499000.0</v>
      </c>
      <c r="U1417" s="149"/>
      <c r="V1417" s="149"/>
      <c r="W1417" s="149"/>
      <c r="X1417" s="68"/>
      <c r="Y1417" s="64" t="s">
        <v>4515</v>
      </c>
      <c r="Z1417" s="68"/>
    </row>
    <row r="1418" ht="15.0" customHeight="1">
      <c r="A1418" s="206">
        <v>45991.0</v>
      </c>
      <c r="B1418" s="201" t="s">
        <v>6481</v>
      </c>
      <c r="C1418" s="64" t="s">
        <v>6482</v>
      </c>
      <c r="D1418" s="140" t="str">
        <f>IFERROR(VLOOKUP(C1418,Stock,3,FALSE),"")</f>
        <v>Honda Mobilio 14- / Honda BR-V 16-21 (Honda)</v>
      </c>
      <c r="E1418" s="45">
        <v>1.0</v>
      </c>
      <c r="F1418" s="202"/>
      <c r="G1418" s="142">
        <f t="shared" si="40"/>
        <v>0</v>
      </c>
      <c r="H1418" s="142"/>
      <c r="I1418" s="143">
        <f t="shared" si="38"/>
        <v>0</v>
      </c>
      <c r="J1418" s="144">
        <f t="shared" si="39"/>
        <v>0</v>
      </c>
      <c r="K1418" s="291" t="s">
        <v>4509</v>
      </c>
      <c r="L1418" s="245"/>
      <c r="M1418" s="17"/>
      <c r="N1418" s="68"/>
      <c r="O1418" s="64" t="s">
        <v>4175</v>
      </c>
      <c r="P1418" s="170"/>
      <c r="Q1418" s="149"/>
      <c r="R1418" s="149"/>
      <c r="S1418" s="149"/>
      <c r="T1418" s="149"/>
      <c r="U1418" s="149"/>
      <c r="V1418" s="149"/>
      <c r="W1418" s="149"/>
      <c r="X1418" s="64" t="s">
        <v>3810</v>
      </c>
      <c r="Y1418" s="64" t="s">
        <v>4515</v>
      </c>
      <c r="Z1418" s="68"/>
    </row>
    <row r="1419" ht="15.0" customHeight="1">
      <c r="A1419" s="206">
        <v>45992.0</v>
      </c>
      <c r="B1419" s="201" t="s">
        <v>6483</v>
      </c>
      <c r="C1419" s="45" t="s">
        <v>6484</v>
      </c>
      <c r="D1419" s="140" t="str">
        <f>IFERROR(VLOOKUP(C1419,Stock,3,FALSE),"")</f>
        <v>DFSK Glory 580 16-21 (DFSK)</v>
      </c>
      <c r="E1419" s="45">
        <v>1.0</v>
      </c>
      <c r="F1419" s="198">
        <v>3366000.0</v>
      </c>
      <c r="G1419" s="142">
        <f t="shared" si="40"/>
        <v>3366000</v>
      </c>
      <c r="H1419" s="142"/>
      <c r="I1419" s="143">
        <f t="shared" si="38"/>
        <v>3366000</v>
      </c>
      <c r="J1419" s="144">
        <f t="shared" si="39"/>
        <v>3366000</v>
      </c>
      <c r="K1419" s="108" t="s">
        <v>6082</v>
      </c>
      <c r="L1419" s="199" t="s">
        <v>6083</v>
      </c>
      <c r="M1419" s="17"/>
      <c r="N1419" s="64" t="s">
        <v>6084</v>
      </c>
      <c r="O1419" s="64" t="s">
        <v>6085</v>
      </c>
      <c r="P1419" s="147" t="s">
        <v>4672</v>
      </c>
      <c r="Q1419" s="149"/>
      <c r="R1419" s="141"/>
      <c r="S1419" s="141"/>
      <c r="T1419" s="141">
        <v>1633000.0</v>
      </c>
      <c r="U1419" s="149"/>
      <c r="V1419" s="149"/>
      <c r="W1419" s="149"/>
      <c r="X1419" s="64" t="s">
        <v>3810</v>
      </c>
      <c r="Y1419" s="64" t="s">
        <v>4602</v>
      </c>
      <c r="Z1419" s="68"/>
    </row>
    <row r="1420" ht="15.0" customHeight="1">
      <c r="A1420" s="206">
        <v>45992.0</v>
      </c>
      <c r="B1420" s="201" t="s">
        <v>6483</v>
      </c>
      <c r="C1420" s="45" t="s">
        <v>2770</v>
      </c>
      <c r="D1420" s="140" t="str">
        <f>IFERROR(VLOOKUP(C1420,Stock,3,FALSE),"")</f>
        <v>Transport</v>
      </c>
      <c r="E1420" s="45">
        <v>1.0</v>
      </c>
      <c r="F1420" s="198">
        <v>200000.0</v>
      </c>
      <c r="G1420" s="142">
        <f t="shared" si="40"/>
        <v>200000</v>
      </c>
      <c r="H1420" s="142"/>
      <c r="I1420" s="143">
        <f t="shared" si="38"/>
        <v>200000</v>
      </c>
      <c r="J1420" s="144">
        <f t="shared" si="39"/>
        <v>200000</v>
      </c>
      <c r="K1420" s="108" t="s">
        <v>6082</v>
      </c>
      <c r="L1420" s="199" t="s">
        <v>6083</v>
      </c>
      <c r="M1420" s="17"/>
      <c r="N1420" s="64" t="s">
        <v>6084</v>
      </c>
      <c r="O1420" s="64" t="s">
        <v>6085</v>
      </c>
      <c r="P1420" s="147" t="s">
        <v>4672</v>
      </c>
      <c r="Q1420" s="149"/>
      <c r="R1420" s="141"/>
      <c r="S1420" s="141"/>
      <c r="T1420" s="141">
        <v>1933000.0</v>
      </c>
      <c r="U1420" s="149"/>
      <c r="V1420" s="149"/>
      <c r="W1420" s="149"/>
      <c r="X1420" s="64" t="s">
        <v>3810</v>
      </c>
      <c r="Y1420" s="64" t="s">
        <v>4602</v>
      </c>
      <c r="Z1420" s="68"/>
    </row>
    <row r="1421" ht="15.0" customHeight="1">
      <c r="A1421" s="206">
        <v>45992.0</v>
      </c>
      <c r="B1421" s="201" t="s">
        <v>6485</v>
      </c>
      <c r="C1421" s="45" t="s">
        <v>3246</v>
      </c>
      <c r="D1421" s="140" t="str">
        <f>IFERROR(VLOOKUP(C1421,Stock,3,FALSE),"")</f>
        <v>Toyota Calya / Sigra 16-</v>
      </c>
      <c r="E1421" s="45">
        <v>1.0</v>
      </c>
      <c r="F1421" s="198">
        <v>1200000.0</v>
      </c>
      <c r="G1421" s="142">
        <f t="shared" si="40"/>
        <v>1200000</v>
      </c>
      <c r="H1421" s="142"/>
      <c r="I1421" s="143">
        <f t="shared" si="38"/>
        <v>1200000</v>
      </c>
      <c r="J1421" s="144">
        <f t="shared" si="39"/>
        <v>1200000</v>
      </c>
      <c r="K1421" s="108" t="s">
        <v>6486</v>
      </c>
      <c r="L1421" s="199" t="s">
        <v>6487</v>
      </c>
      <c r="M1421" s="17"/>
      <c r="N1421" s="64" t="s">
        <v>6488</v>
      </c>
      <c r="O1421" s="64" t="s">
        <v>6158</v>
      </c>
      <c r="P1421" s="147" t="s">
        <v>4672</v>
      </c>
      <c r="Q1421" s="149"/>
      <c r="R1421" s="141"/>
      <c r="S1421" s="141"/>
      <c r="T1421" s="141">
        <v>1200000.0</v>
      </c>
      <c r="U1421" s="149"/>
      <c r="V1421" s="149"/>
      <c r="W1421" s="149"/>
      <c r="X1421" s="64" t="s">
        <v>3810</v>
      </c>
      <c r="Y1421" s="64" t="s">
        <v>4602</v>
      </c>
      <c r="Z1421" s="68"/>
    </row>
    <row r="1422" ht="15.0" customHeight="1">
      <c r="A1422" s="206">
        <v>45992.0</v>
      </c>
      <c r="B1422" s="201" t="s">
        <v>6489</v>
      </c>
      <c r="C1422" s="45" t="s">
        <v>5853</v>
      </c>
      <c r="D1422" s="140" t="str">
        <f>IFERROR(VLOOKUP(C1422,Stock,3,FALSE),"")</f>
        <v>Wuling Cortez</v>
      </c>
      <c r="E1422" s="45">
        <v>1.0</v>
      </c>
      <c r="F1422" s="198">
        <v>2087000.0</v>
      </c>
      <c r="G1422" s="142">
        <f t="shared" si="40"/>
        <v>2087000</v>
      </c>
      <c r="H1422" s="142"/>
      <c r="I1422" s="143">
        <f t="shared" si="38"/>
        <v>2087000</v>
      </c>
      <c r="J1422" s="144">
        <f t="shared" si="39"/>
        <v>2087000</v>
      </c>
      <c r="K1422" s="108" t="s">
        <v>6490</v>
      </c>
      <c r="L1422" s="199" t="s">
        <v>6491</v>
      </c>
      <c r="M1422" s="17"/>
      <c r="N1422" s="64" t="s">
        <v>6492</v>
      </c>
      <c r="O1422" s="64" t="s">
        <v>2813</v>
      </c>
      <c r="P1422" s="147" t="s">
        <v>4672</v>
      </c>
      <c r="Q1422" s="149"/>
      <c r="R1422" s="141"/>
      <c r="S1422" s="141"/>
      <c r="T1422" s="141">
        <v>2087000.0</v>
      </c>
      <c r="U1422" s="149"/>
      <c r="V1422" s="149"/>
      <c r="W1422" s="149"/>
      <c r="X1422" s="64" t="s">
        <v>3810</v>
      </c>
      <c r="Y1422" s="64" t="s">
        <v>4602</v>
      </c>
      <c r="Z1422" s="68"/>
    </row>
    <row r="1423" ht="15.0" customHeight="1">
      <c r="A1423" s="206">
        <v>45992.0</v>
      </c>
      <c r="B1423" s="201" t="s">
        <v>6493</v>
      </c>
      <c r="C1423" s="45" t="s">
        <v>6494</v>
      </c>
      <c r="D1423" s="140" t="str">
        <f>IFERROR(VLOOKUP(C1423,Stock,3,FALSE),"")</f>
        <v>Mitsubishi Mirage 12-</v>
      </c>
      <c r="E1423" s="45">
        <v>1.0</v>
      </c>
      <c r="F1423" s="198">
        <v>1550000.0</v>
      </c>
      <c r="G1423" s="142">
        <f t="shared" si="40"/>
        <v>1550000</v>
      </c>
      <c r="H1423" s="142"/>
      <c r="I1423" s="143">
        <f t="shared" si="38"/>
        <v>1550000</v>
      </c>
      <c r="J1423" s="144">
        <f t="shared" si="39"/>
        <v>1550000</v>
      </c>
      <c r="K1423" s="108" t="s">
        <v>6495</v>
      </c>
      <c r="L1423" s="199" t="s">
        <v>6496</v>
      </c>
      <c r="M1423" s="17"/>
      <c r="N1423" s="64" t="s">
        <v>6497</v>
      </c>
      <c r="O1423" s="64" t="s">
        <v>6498</v>
      </c>
      <c r="P1423" s="147" t="s">
        <v>4672</v>
      </c>
      <c r="Q1423" s="149"/>
      <c r="R1423" s="141"/>
      <c r="S1423" s="141"/>
      <c r="T1423" s="141">
        <v>50000.0</v>
      </c>
      <c r="U1423" s="149"/>
      <c r="V1423" s="149"/>
      <c r="W1423" s="149"/>
      <c r="X1423" s="64" t="s">
        <v>3810</v>
      </c>
      <c r="Y1423" s="64" t="s">
        <v>4602</v>
      </c>
      <c r="Z1423" s="68"/>
    </row>
    <row r="1424" ht="15.0" customHeight="1">
      <c r="A1424" s="206">
        <v>45992.0</v>
      </c>
      <c r="B1424" s="201" t="s">
        <v>6493</v>
      </c>
      <c r="C1424" s="45" t="s">
        <v>2770</v>
      </c>
      <c r="D1424" s="140" t="str">
        <f>IFERROR(VLOOKUP(C1424,Stock,3,FALSE),"")</f>
        <v>Transport</v>
      </c>
      <c r="E1424" s="45">
        <v>1.0</v>
      </c>
      <c r="F1424" s="198">
        <v>190000.0</v>
      </c>
      <c r="G1424" s="142">
        <f t="shared" si="40"/>
        <v>190000</v>
      </c>
      <c r="H1424" s="142"/>
      <c r="I1424" s="143">
        <f t="shared" si="38"/>
        <v>190000</v>
      </c>
      <c r="J1424" s="144">
        <f t="shared" si="39"/>
        <v>190000</v>
      </c>
      <c r="K1424" s="108" t="s">
        <v>6495</v>
      </c>
      <c r="L1424" s="199" t="s">
        <v>6496</v>
      </c>
      <c r="M1424" s="17"/>
      <c r="N1424" s="64" t="s">
        <v>6497</v>
      </c>
      <c r="O1424" s="64" t="s">
        <v>6498</v>
      </c>
      <c r="P1424" s="147" t="s">
        <v>4672</v>
      </c>
      <c r="Q1424" s="149"/>
      <c r="R1424" s="141"/>
      <c r="S1424" s="141"/>
      <c r="T1424" s="141">
        <v>1690000.0</v>
      </c>
      <c r="U1424" s="149"/>
      <c r="V1424" s="149"/>
      <c r="W1424" s="149"/>
      <c r="X1424" s="64" t="s">
        <v>3810</v>
      </c>
      <c r="Y1424" s="64" t="s">
        <v>4602</v>
      </c>
      <c r="Z1424" s="68"/>
    </row>
    <row r="1425" ht="15.0" customHeight="1">
      <c r="A1425" s="206">
        <v>45992.0</v>
      </c>
      <c r="B1425" s="201" t="s">
        <v>6499</v>
      </c>
      <c r="C1425" s="45" t="s">
        <v>4644</v>
      </c>
      <c r="D1425" s="140" t="str">
        <f>IFERROR(VLOOKUP(C1425,Stock,3,FALSE),"")</f>
        <v>Toyota Raize / Daihatsu Rocky 20-</v>
      </c>
      <c r="E1425" s="45">
        <v>1.0</v>
      </c>
      <c r="F1425" s="198">
        <v>1499000.0</v>
      </c>
      <c r="G1425" s="142">
        <f t="shared" si="40"/>
        <v>1499000</v>
      </c>
      <c r="H1425" s="142"/>
      <c r="I1425" s="143">
        <f t="shared" si="38"/>
        <v>1499000</v>
      </c>
      <c r="J1425" s="144">
        <f t="shared" si="39"/>
        <v>1499000</v>
      </c>
      <c r="K1425" s="108" t="s">
        <v>6500</v>
      </c>
      <c r="L1425" s="199" t="s">
        <v>6501</v>
      </c>
      <c r="M1425" s="17"/>
      <c r="N1425" s="64" t="s">
        <v>6502</v>
      </c>
      <c r="O1425" s="64" t="s">
        <v>6332</v>
      </c>
      <c r="P1425" s="147" t="s">
        <v>4672</v>
      </c>
      <c r="Q1425" s="149"/>
      <c r="R1425" s="141"/>
      <c r="S1425" s="141"/>
      <c r="T1425" s="141">
        <v>1499000.0</v>
      </c>
      <c r="U1425" s="149"/>
      <c r="V1425" s="149"/>
      <c r="W1425" s="149"/>
      <c r="X1425" s="64" t="s">
        <v>3810</v>
      </c>
      <c r="Y1425" s="64" t="s">
        <v>4602</v>
      </c>
      <c r="Z1425" s="68"/>
    </row>
    <row r="1426" ht="15.0" customHeight="1">
      <c r="A1426" s="206">
        <v>45992.0</v>
      </c>
      <c r="B1426" s="201" t="s">
        <v>6503</v>
      </c>
      <c r="C1426" s="45" t="s">
        <v>4439</v>
      </c>
      <c r="D1426" s="140" t="str">
        <f>IFERROR(VLOOKUP(C1426,Stock,3,FALSE),"")</f>
        <v>Toyota Innova 04-15 1st Gen (Toyota)</v>
      </c>
      <c r="E1426" s="45">
        <v>1.0</v>
      </c>
      <c r="F1426" s="198">
        <v>2742000.0</v>
      </c>
      <c r="G1426" s="142">
        <f t="shared" si="40"/>
        <v>2742000</v>
      </c>
      <c r="H1426" s="142"/>
      <c r="I1426" s="143">
        <f t="shared" si="38"/>
        <v>2742000</v>
      </c>
      <c r="J1426" s="144">
        <f t="shared" si="39"/>
        <v>2742000</v>
      </c>
      <c r="K1426" s="108" t="s">
        <v>2912</v>
      </c>
      <c r="L1426" s="199" t="s">
        <v>6504</v>
      </c>
      <c r="M1426" s="17"/>
      <c r="N1426" s="64" t="s">
        <v>6505</v>
      </c>
      <c r="O1426" s="64" t="s">
        <v>6453</v>
      </c>
      <c r="P1426" s="147" t="s">
        <v>4672</v>
      </c>
      <c r="Q1426" s="149"/>
      <c r="R1426" s="141"/>
      <c r="S1426" s="141"/>
      <c r="T1426" s="141">
        <v>50000.0</v>
      </c>
      <c r="U1426" s="149"/>
      <c r="V1426" s="149"/>
      <c r="W1426" s="149"/>
      <c r="X1426" s="64" t="s">
        <v>3810</v>
      </c>
      <c r="Y1426" s="64" t="s">
        <v>4602</v>
      </c>
      <c r="Z1426" s="68"/>
    </row>
    <row r="1427" ht="15.0" customHeight="1">
      <c r="A1427" s="206">
        <v>45992.0</v>
      </c>
      <c r="B1427" s="201" t="s">
        <v>6503</v>
      </c>
      <c r="C1427" s="45" t="s">
        <v>2770</v>
      </c>
      <c r="D1427" s="140" t="str">
        <f>IFERROR(VLOOKUP(C1427,Stock,3,FALSE),"")</f>
        <v>Transport</v>
      </c>
      <c r="E1427" s="45">
        <v>1.0</v>
      </c>
      <c r="F1427" s="198">
        <v>180000.0</v>
      </c>
      <c r="G1427" s="142">
        <f t="shared" si="40"/>
        <v>180000</v>
      </c>
      <c r="H1427" s="142"/>
      <c r="I1427" s="143">
        <f t="shared" si="38"/>
        <v>180000</v>
      </c>
      <c r="J1427" s="144">
        <f t="shared" si="39"/>
        <v>180000</v>
      </c>
      <c r="K1427" s="108" t="s">
        <v>2912</v>
      </c>
      <c r="L1427" s="199" t="s">
        <v>6504</v>
      </c>
      <c r="M1427" s="17"/>
      <c r="N1427" s="64" t="s">
        <v>6505</v>
      </c>
      <c r="O1427" s="64" t="s">
        <v>6453</v>
      </c>
      <c r="P1427" s="147" t="s">
        <v>4672</v>
      </c>
      <c r="Q1427" s="149"/>
      <c r="R1427" s="141"/>
      <c r="S1427" s="141"/>
      <c r="T1427" s="141">
        <v>2872000.0</v>
      </c>
      <c r="U1427" s="149"/>
      <c r="V1427" s="149"/>
      <c r="W1427" s="149"/>
      <c r="X1427" s="64" t="s">
        <v>3810</v>
      </c>
      <c r="Y1427" s="68"/>
      <c r="Z1427" s="68"/>
    </row>
    <row r="1428" ht="15.0" customHeight="1">
      <c r="A1428" s="206">
        <v>45992.0</v>
      </c>
      <c r="B1428" s="201" t="s">
        <v>6506</v>
      </c>
      <c r="C1428" s="45" t="s">
        <v>6507</v>
      </c>
      <c r="D1428" s="140" t="str">
        <f>IFERROR(VLOOKUP(C1428,Stock,3,FALSE),"")</f>
        <v>Hyundai Santa Fe 18-</v>
      </c>
      <c r="E1428" s="45">
        <v>1.0</v>
      </c>
      <c r="F1428" s="198">
        <v>2741000.0</v>
      </c>
      <c r="G1428" s="142">
        <f t="shared" si="40"/>
        <v>2741000</v>
      </c>
      <c r="H1428" s="142"/>
      <c r="I1428" s="143">
        <f t="shared" si="38"/>
        <v>2741000</v>
      </c>
      <c r="J1428" s="144">
        <f t="shared" si="39"/>
        <v>2741000</v>
      </c>
      <c r="K1428" s="108" t="s">
        <v>5289</v>
      </c>
      <c r="L1428" s="199" t="s">
        <v>6508</v>
      </c>
      <c r="M1428" s="17"/>
      <c r="N1428" s="64" t="s">
        <v>6509</v>
      </c>
      <c r="O1428" s="64" t="s">
        <v>2768</v>
      </c>
      <c r="P1428" s="147" t="s">
        <v>4672</v>
      </c>
      <c r="Q1428" s="141">
        <v>100000.0</v>
      </c>
      <c r="R1428" s="149"/>
      <c r="S1428" s="149"/>
      <c r="T1428" s="149"/>
      <c r="U1428" s="149"/>
      <c r="V1428" s="149"/>
      <c r="W1428" s="149"/>
      <c r="X1428" s="64" t="s">
        <v>3810</v>
      </c>
      <c r="Y1428" s="64" t="s">
        <v>4602</v>
      </c>
      <c r="Z1428" s="68"/>
    </row>
    <row r="1429" ht="15.0" customHeight="1">
      <c r="A1429" s="206">
        <v>45992.0</v>
      </c>
      <c r="B1429" s="201" t="s">
        <v>6506</v>
      </c>
      <c r="C1429" s="45" t="s">
        <v>2770</v>
      </c>
      <c r="D1429" s="140" t="str">
        <f>IFERROR(VLOOKUP(C1429,Stock,3,FALSE),"")</f>
        <v>Transport</v>
      </c>
      <c r="E1429" s="45">
        <v>1.0</v>
      </c>
      <c r="F1429" s="198">
        <v>100000.0</v>
      </c>
      <c r="G1429" s="142">
        <f t="shared" si="40"/>
        <v>100000</v>
      </c>
      <c r="H1429" s="142"/>
      <c r="I1429" s="143">
        <f t="shared" si="38"/>
        <v>100000</v>
      </c>
      <c r="J1429" s="144">
        <f t="shared" si="39"/>
        <v>100000</v>
      </c>
      <c r="K1429" s="108" t="s">
        <v>5289</v>
      </c>
      <c r="L1429" s="199" t="s">
        <v>6508</v>
      </c>
      <c r="M1429" s="17"/>
      <c r="N1429" s="64" t="s">
        <v>6509</v>
      </c>
      <c r="O1429" s="64" t="s">
        <v>2768</v>
      </c>
      <c r="P1429" s="147" t="s">
        <v>4672</v>
      </c>
      <c r="Q1429" s="149"/>
      <c r="R1429" s="141"/>
      <c r="S1429" s="141"/>
      <c r="T1429" s="141">
        <v>2941000.0</v>
      </c>
      <c r="U1429" s="149"/>
      <c r="V1429" s="149"/>
      <c r="W1429" s="149"/>
      <c r="X1429" s="64" t="s">
        <v>3810</v>
      </c>
      <c r="Y1429" s="64" t="s">
        <v>4602</v>
      </c>
      <c r="Z1429" s="68"/>
    </row>
    <row r="1430" ht="15.0" customHeight="1">
      <c r="A1430" s="206">
        <v>45992.0</v>
      </c>
      <c r="B1430" s="201" t="s">
        <v>6510</v>
      </c>
      <c r="C1430" s="45" t="s">
        <v>4979</v>
      </c>
      <c r="D1430" s="140" t="str">
        <f>IFERROR(VLOOKUP(C1430,Stock,3,FALSE),"")</f>
        <v>255 Ultra + Actv-100 Application</v>
      </c>
      <c r="E1430" s="45">
        <v>1.0</v>
      </c>
      <c r="F1430" s="198">
        <v>200000.0</v>
      </c>
      <c r="G1430" s="142">
        <f t="shared" si="40"/>
        <v>200000</v>
      </c>
      <c r="H1430" s="142"/>
      <c r="I1430" s="143">
        <f t="shared" si="38"/>
        <v>200000</v>
      </c>
      <c r="J1430" s="144">
        <f t="shared" si="39"/>
        <v>200000</v>
      </c>
      <c r="K1430" s="108" t="s">
        <v>5289</v>
      </c>
      <c r="L1430" s="199" t="s">
        <v>6508</v>
      </c>
      <c r="M1430" s="17"/>
      <c r="N1430" s="64" t="s">
        <v>6509</v>
      </c>
      <c r="O1430" s="64" t="s">
        <v>2768</v>
      </c>
      <c r="P1430" s="147" t="s">
        <v>4672</v>
      </c>
      <c r="Q1430" s="149"/>
      <c r="R1430" s="149"/>
      <c r="S1430" s="149"/>
      <c r="T1430" s="149"/>
      <c r="U1430" s="149"/>
      <c r="V1430" s="149"/>
      <c r="W1430" s="149"/>
      <c r="X1430" s="64" t="s">
        <v>3810</v>
      </c>
      <c r="Y1430" s="64" t="s">
        <v>4602</v>
      </c>
      <c r="Z1430" s="68"/>
    </row>
    <row r="1431" ht="15.0" customHeight="1">
      <c r="A1431" s="206">
        <v>45992.0</v>
      </c>
      <c r="B1431" s="201" t="s">
        <v>6510</v>
      </c>
      <c r="C1431" s="45" t="s">
        <v>6511</v>
      </c>
      <c r="D1431" s="140" t="str">
        <f>IFERROR(VLOOKUP(C1431,Stock,3,FALSE),"")</f>
        <v>Mazda 2 09-14 3rd Gen</v>
      </c>
      <c r="E1431" s="45">
        <v>1.0</v>
      </c>
      <c r="F1431" s="198">
        <v>1849000.0</v>
      </c>
      <c r="G1431" s="142">
        <f t="shared" si="40"/>
        <v>1849000</v>
      </c>
      <c r="H1431" s="142"/>
      <c r="I1431" s="143">
        <f t="shared" si="38"/>
        <v>1849000</v>
      </c>
      <c r="J1431" s="144">
        <f t="shared" si="39"/>
        <v>1849000</v>
      </c>
      <c r="K1431" s="108" t="s">
        <v>5369</v>
      </c>
      <c r="L1431" s="199" t="s">
        <v>6512</v>
      </c>
      <c r="M1431" s="17"/>
      <c r="N1431" s="64" t="s">
        <v>6513</v>
      </c>
      <c r="O1431" s="64" t="s">
        <v>2813</v>
      </c>
      <c r="P1431" s="147" t="s">
        <v>4672</v>
      </c>
      <c r="Q1431" s="149"/>
      <c r="R1431" s="141"/>
      <c r="S1431" s="141"/>
      <c r="T1431" s="141">
        <v>1849000.0</v>
      </c>
      <c r="U1431" s="149"/>
      <c r="V1431" s="149"/>
      <c r="W1431" s="149"/>
      <c r="X1431" s="64" t="s">
        <v>3810</v>
      </c>
      <c r="Y1431" s="64" t="s">
        <v>4602</v>
      </c>
      <c r="Z1431" s="68"/>
    </row>
    <row r="1432" ht="15.0" customHeight="1">
      <c r="A1432" s="206">
        <v>45993.0</v>
      </c>
      <c r="B1432" s="201" t="s">
        <v>6514</v>
      </c>
      <c r="C1432" s="45" t="s">
        <v>6078</v>
      </c>
      <c r="D1432" s="140" t="str">
        <f>IFERROR(VLOOKUP(C1432,Stock,3,FALSE),"")</f>
        <v>Toyota Calya / Sigra 16-</v>
      </c>
      <c r="E1432" s="45">
        <v>3.0</v>
      </c>
      <c r="F1432" s="202"/>
      <c r="G1432" s="142">
        <f t="shared" si="40"/>
        <v>0</v>
      </c>
      <c r="H1432" s="142"/>
      <c r="I1432" s="143">
        <f t="shared" si="38"/>
        <v>0</v>
      </c>
      <c r="J1432" s="144">
        <f t="shared" si="39"/>
        <v>0</v>
      </c>
      <c r="K1432" s="291" t="s">
        <v>4509</v>
      </c>
      <c r="L1432" s="245"/>
      <c r="M1432" s="17"/>
      <c r="N1432" s="68"/>
      <c r="O1432" s="64" t="s">
        <v>4175</v>
      </c>
      <c r="P1432" s="170"/>
      <c r="Q1432" s="149"/>
      <c r="R1432" s="149"/>
      <c r="S1432" s="149"/>
      <c r="T1432" s="149"/>
      <c r="U1432" s="149"/>
      <c r="V1432" s="149"/>
      <c r="W1432" s="149"/>
      <c r="X1432" s="64" t="s">
        <v>3810</v>
      </c>
      <c r="Y1432" s="64" t="s">
        <v>4515</v>
      </c>
      <c r="Z1432" s="68"/>
    </row>
    <row r="1433" ht="15.0" customHeight="1">
      <c r="A1433" s="206">
        <v>45993.0</v>
      </c>
      <c r="B1433" s="201" t="s">
        <v>6515</v>
      </c>
      <c r="C1433" s="45" t="s">
        <v>6516</v>
      </c>
      <c r="D1433" s="140" t="str">
        <f>IFERROR(VLOOKUP(C1433,Stock,3,FALSE),"")</f>
        <v>Mitsubishi Outlander 10-21</v>
      </c>
      <c r="E1433" s="45">
        <v>1.0</v>
      </c>
      <c r="F1433" s="202"/>
      <c r="G1433" s="142">
        <f t="shared" si="40"/>
        <v>0</v>
      </c>
      <c r="H1433" s="142"/>
      <c r="I1433" s="143">
        <f t="shared" si="38"/>
        <v>0</v>
      </c>
      <c r="J1433" s="144">
        <f t="shared" si="39"/>
        <v>0</v>
      </c>
      <c r="K1433" s="291" t="s">
        <v>4509</v>
      </c>
      <c r="L1433" s="245"/>
      <c r="M1433" s="17"/>
      <c r="N1433" s="68"/>
      <c r="O1433" s="64" t="s">
        <v>4175</v>
      </c>
      <c r="P1433" s="170"/>
      <c r="Q1433" s="149"/>
      <c r="R1433" s="149"/>
      <c r="S1433" s="149"/>
      <c r="T1433" s="149"/>
      <c r="U1433" s="149"/>
      <c r="V1433" s="149"/>
      <c r="W1433" s="149"/>
      <c r="X1433" s="64" t="s">
        <v>3810</v>
      </c>
      <c r="Y1433" s="64" t="s">
        <v>4515</v>
      </c>
      <c r="Z1433" s="68"/>
    </row>
    <row r="1434" ht="15.0" customHeight="1">
      <c r="A1434" s="206">
        <v>45993.0</v>
      </c>
      <c r="B1434" s="201" t="s">
        <v>6517</v>
      </c>
      <c r="C1434" s="45" t="s">
        <v>4383</v>
      </c>
      <c r="D1434" s="140" t="str">
        <f>IFERROR(VLOOKUP(C1434,Stock,3,FALSE),"")</f>
        <v>Honda HR-V 14-21 5D SUV</v>
      </c>
      <c r="E1434" s="45">
        <v>1.0</v>
      </c>
      <c r="F1434" s="198">
        <v>1800000.0</v>
      </c>
      <c r="G1434" s="142">
        <f t="shared" si="40"/>
        <v>1800000</v>
      </c>
      <c r="H1434" s="142"/>
      <c r="I1434" s="143">
        <f t="shared" si="38"/>
        <v>1800000</v>
      </c>
      <c r="J1434" s="144">
        <f t="shared" si="39"/>
        <v>1800000</v>
      </c>
      <c r="K1434" s="108" t="s">
        <v>6518</v>
      </c>
      <c r="L1434" s="199" t="s">
        <v>6519</v>
      </c>
      <c r="M1434" s="17"/>
      <c r="N1434" s="64" t="s">
        <v>6520</v>
      </c>
      <c r="O1434" s="64" t="s">
        <v>2813</v>
      </c>
      <c r="P1434" s="147" t="s">
        <v>4672</v>
      </c>
      <c r="Q1434" s="149"/>
      <c r="R1434" s="141"/>
      <c r="S1434" s="141"/>
      <c r="T1434" s="141">
        <v>50000.0</v>
      </c>
      <c r="U1434" s="149"/>
      <c r="V1434" s="149"/>
      <c r="W1434" s="149"/>
      <c r="X1434" s="64" t="s">
        <v>3810</v>
      </c>
      <c r="Y1434" s="64" t="s">
        <v>4515</v>
      </c>
      <c r="Z1434" s="68"/>
    </row>
    <row r="1435" ht="15.0" customHeight="1">
      <c r="A1435" s="206">
        <v>45993.0</v>
      </c>
      <c r="B1435" s="201" t="s">
        <v>6517</v>
      </c>
      <c r="C1435" s="45" t="s">
        <v>2770</v>
      </c>
      <c r="D1435" s="140" t="str">
        <f>IFERROR(VLOOKUP(C1435,Stock,3,FALSE),"")</f>
        <v>Transport</v>
      </c>
      <c r="E1435" s="45">
        <v>1.0</v>
      </c>
      <c r="F1435" s="198">
        <v>120000.0</v>
      </c>
      <c r="G1435" s="142">
        <f t="shared" si="40"/>
        <v>120000</v>
      </c>
      <c r="H1435" s="142"/>
      <c r="I1435" s="143">
        <f t="shared" si="38"/>
        <v>120000</v>
      </c>
      <c r="J1435" s="144">
        <f t="shared" si="39"/>
        <v>120000</v>
      </c>
      <c r="K1435" s="108" t="s">
        <v>6518</v>
      </c>
      <c r="L1435" s="199" t="s">
        <v>6519</v>
      </c>
      <c r="M1435" s="17"/>
      <c r="N1435" s="64" t="s">
        <v>6520</v>
      </c>
      <c r="O1435" s="64" t="s">
        <v>2813</v>
      </c>
      <c r="P1435" s="147" t="s">
        <v>4672</v>
      </c>
      <c r="Q1435" s="149"/>
      <c r="R1435" s="141"/>
      <c r="S1435" s="141"/>
      <c r="T1435" s="141">
        <v>1870000.0</v>
      </c>
      <c r="U1435" s="149"/>
      <c r="V1435" s="149"/>
      <c r="W1435" s="149"/>
      <c r="X1435" s="64" t="s">
        <v>3810</v>
      </c>
      <c r="Y1435" s="64" t="s">
        <v>4515</v>
      </c>
      <c r="Z1435" s="68"/>
    </row>
    <row r="1436" ht="15.0" customHeight="1">
      <c r="A1436" s="206">
        <v>45993.0</v>
      </c>
      <c r="B1436" s="201" t="s">
        <v>6521</v>
      </c>
      <c r="C1436" s="45" t="s">
        <v>6522</v>
      </c>
      <c r="D1436" s="140" t="str">
        <f>IFERROR(VLOOKUP(C1436,Stock,3,FALSE),"")</f>
        <v>Mers-Benz S-Class  06-13 W221 4D (2 Sensor/ □ /\ )</v>
      </c>
      <c r="E1436" s="45">
        <v>1.0</v>
      </c>
      <c r="F1436" s="198">
        <v>9645000.0</v>
      </c>
      <c r="G1436" s="142">
        <f t="shared" si="40"/>
        <v>9645000</v>
      </c>
      <c r="H1436" s="142"/>
      <c r="I1436" s="143">
        <f t="shared" si="38"/>
        <v>9645000</v>
      </c>
      <c r="J1436" s="144">
        <f t="shared" si="39"/>
        <v>9645000</v>
      </c>
      <c r="K1436" s="108" t="s">
        <v>6523</v>
      </c>
      <c r="L1436" s="199" t="s">
        <v>6524</v>
      </c>
      <c r="M1436" s="17"/>
      <c r="N1436" s="64" t="s">
        <v>6525</v>
      </c>
      <c r="O1436" s="64" t="s">
        <v>2813</v>
      </c>
      <c r="P1436" s="147" t="s">
        <v>4672</v>
      </c>
      <c r="Q1436" s="149"/>
      <c r="R1436" s="141"/>
      <c r="S1436" s="141"/>
      <c r="T1436" s="141">
        <v>9645000.0</v>
      </c>
      <c r="U1436" s="149"/>
      <c r="V1436" s="149"/>
      <c r="W1436" s="149"/>
      <c r="X1436" s="64" t="s">
        <v>3810</v>
      </c>
      <c r="Y1436" s="64" t="s">
        <v>4515</v>
      </c>
      <c r="Z1436" s="68"/>
    </row>
    <row r="1437" ht="15.0" customHeight="1">
      <c r="A1437" s="206">
        <v>45993.0</v>
      </c>
      <c r="B1437" s="201" t="s">
        <v>6526</v>
      </c>
      <c r="C1437" s="45" t="s">
        <v>4644</v>
      </c>
      <c r="D1437" s="140" t="str">
        <f>IFERROR(VLOOKUP(C1437,Stock,3,FALSE),"")</f>
        <v>Toyota Raize / Daihatsu Rocky 20-</v>
      </c>
      <c r="E1437" s="45">
        <v>1.0</v>
      </c>
      <c r="F1437" s="198">
        <v>1499000.0</v>
      </c>
      <c r="G1437" s="142">
        <f t="shared" si="40"/>
        <v>1499000</v>
      </c>
      <c r="H1437" s="142"/>
      <c r="I1437" s="143">
        <f t="shared" si="38"/>
        <v>1499000</v>
      </c>
      <c r="J1437" s="144">
        <f t="shared" si="39"/>
        <v>1499000</v>
      </c>
      <c r="K1437" s="108" t="s">
        <v>6527</v>
      </c>
      <c r="L1437" s="199" t="s">
        <v>6528</v>
      </c>
      <c r="M1437" s="17"/>
      <c r="N1437" s="64" t="s">
        <v>6529</v>
      </c>
      <c r="O1437" s="64" t="s">
        <v>3007</v>
      </c>
      <c r="P1437" s="147" t="s">
        <v>4672</v>
      </c>
      <c r="Q1437" s="149"/>
      <c r="R1437" s="141"/>
      <c r="S1437" s="141"/>
      <c r="T1437" s="141">
        <v>50000.0</v>
      </c>
      <c r="U1437" s="149"/>
      <c r="V1437" s="149"/>
      <c r="W1437" s="149"/>
      <c r="X1437" s="64" t="s">
        <v>3810</v>
      </c>
      <c r="Y1437" s="64" t="s">
        <v>4515</v>
      </c>
      <c r="Z1437" s="68"/>
    </row>
    <row r="1438" ht="15.0" customHeight="1">
      <c r="A1438" s="206">
        <v>45993.0</v>
      </c>
      <c r="B1438" s="201" t="s">
        <v>6526</v>
      </c>
      <c r="C1438" s="45" t="s">
        <v>2770</v>
      </c>
      <c r="D1438" s="140" t="str">
        <f>IFERROR(VLOOKUP(C1438,Stock,3,FALSE),"")</f>
        <v>Transport</v>
      </c>
      <c r="E1438" s="45">
        <v>1.0</v>
      </c>
      <c r="F1438" s="198">
        <v>180000.0</v>
      </c>
      <c r="G1438" s="142">
        <f t="shared" si="40"/>
        <v>180000</v>
      </c>
      <c r="H1438" s="142"/>
      <c r="I1438" s="143">
        <f t="shared" si="38"/>
        <v>180000</v>
      </c>
      <c r="J1438" s="144">
        <f t="shared" si="39"/>
        <v>180000</v>
      </c>
      <c r="K1438" s="108" t="s">
        <v>6527</v>
      </c>
      <c r="L1438" s="199" t="s">
        <v>6528</v>
      </c>
      <c r="M1438" s="17"/>
      <c r="N1438" s="64" t="s">
        <v>6529</v>
      </c>
      <c r="O1438" s="64" t="s">
        <v>3007</v>
      </c>
      <c r="P1438" s="147" t="s">
        <v>4672</v>
      </c>
      <c r="Q1438" s="149"/>
      <c r="R1438" s="141"/>
      <c r="S1438" s="141"/>
      <c r="T1438" s="141">
        <v>1629000.0</v>
      </c>
      <c r="U1438" s="149"/>
      <c r="V1438" s="149"/>
      <c r="W1438" s="149"/>
      <c r="X1438" s="64" t="s">
        <v>3810</v>
      </c>
      <c r="Y1438" s="64" t="s">
        <v>4515</v>
      </c>
      <c r="Z1438" s="68"/>
    </row>
    <row r="1439" ht="15.0" customHeight="1">
      <c r="A1439" s="206">
        <v>45993.0</v>
      </c>
      <c r="B1439" s="201" t="s">
        <v>6530</v>
      </c>
      <c r="C1439" s="45" t="s">
        <v>3193</v>
      </c>
      <c r="D1439" s="140" t="str">
        <f>IFERROR(VLOOKUP(C1439,Stock,3,FALSE),"")</f>
        <v>Toyota Avanza / Xenia 11-15 2nd Gen</v>
      </c>
      <c r="E1439" s="45">
        <v>1.0</v>
      </c>
      <c r="F1439" s="198">
        <v>1000000.0</v>
      </c>
      <c r="G1439" s="142">
        <f t="shared" si="40"/>
        <v>1000000</v>
      </c>
      <c r="H1439" s="142"/>
      <c r="I1439" s="143">
        <f t="shared" si="38"/>
        <v>1000000</v>
      </c>
      <c r="J1439" s="144">
        <f t="shared" si="39"/>
        <v>1000000</v>
      </c>
      <c r="K1439" s="108" t="s">
        <v>5076</v>
      </c>
      <c r="L1439" s="199" t="s">
        <v>6531</v>
      </c>
      <c r="M1439" s="17"/>
      <c r="N1439" s="64" t="s">
        <v>6532</v>
      </c>
      <c r="O1439" s="64" t="s">
        <v>2813</v>
      </c>
      <c r="P1439" s="147" t="s">
        <v>4672</v>
      </c>
      <c r="Q1439" s="149"/>
      <c r="R1439" s="141"/>
      <c r="S1439" s="141"/>
      <c r="T1439" s="141">
        <v>1275000.0</v>
      </c>
      <c r="U1439" s="149"/>
      <c r="V1439" s="149"/>
      <c r="W1439" s="149"/>
      <c r="X1439" s="64" t="s">
        <v>3810</v>
      </c>
      <c r="Y1439" s="64" t="s">
        <v>4515</v>
      </c>
      <c r="Z1439" s="68"/>
    </row>
    <row r="1440" ht="15.0" customHeight="1">
      <c r="A1440" s="206">
        <v>45993.0</v>
      </c>
      <c r="B1440" s="201" t="s">
        <v>6530</v>
      </c>
      <c r="C1440" s="64" t="s">
        <v>3456</v>
      </c>
      <c r="D1440" s="140" t="str">
        <f>IFERROR(VLOOKUP(C1440,Stock,3,FALSE),"")</f>
        <v>List Kaca Depan Code 11</v>
      </c>
      <c r="E1440" s="64">
        <v>1.0</v>
      </c>
      <c r="F1440" s="198">
        <v>275000.0</v>
      </c>
      <c r="G1440" s="142">
        <f t="shared" si="40"/>
        <v>275000</v>
      </c>
      <c r="H1440" s="142"/>
      <c r="I1440" s="143">
        <f t="shared" si="38"/>
        <v>275000</v>
      </c>
      <c r="J1440" s="144">
        <f t="shared" si="39"/>
        <v>275000</v>
      </c>
      <c r="K1440" s="108" t="s">
        <v>5076</v>
      </c>
      <c r="L1440" s="45" t="s">
        <v>6533</v>
      </c>
      <c r="M1440" s="17"/>
      <c r="N1440" s="64" t="s">
        <v>6532</v>
      </c>
      <c r="O1440" s="64" t="s">
        <v>2813</v>
      </c>
      <c r="P1440" s="147" t="s">
        <v>4672</v>
      </c>
      <c r="Q1440" s="68"/>
      <c r="R1440" s="141"/>
      <c r="S1440" s="141"/>
      <c r="T1440" s="141"/>
      <c r="U1440" s="68"/>
      <c r="V1440" s="68"/>
      <c r="W1440" s="68"/>
      <c r="X1440" s="64" t="s">
        <v>3810</v>
      </c>
      <c r="Y1440" s="64" t="s">
        <v>4515</v>
      </c>
      <c r="Z1440" s="68"/>
    </row>
    <row r="1441" ht="15.0" customHeight="1">
      <c r="A1441" s="206">
        <v>45993.0</v>
      </c>
      <c r="B1441" s="201" t="s">
        <v>6534</v>
      </c>
      <c r="C1441" s="45" t="s">
        <v>3849</v>
      </c>
      <c r="D1441" s="140" t="str">
        <f>IFERROR(VLOOKUP(C1441,Stock,3,FALSE),"")</f>
        <v>Toyota Yaris 13- 2nd Gen / Vios 14- 3rd Gen</v>
      </c>
      <c r="E1441" s="45">
        <v>1.0</v>
      </c>
      <c r="F1441" s="198">
        <v>1570000.0</v>
      </c>
      <c r="G1441" s="142">
        <f t="shared" si="40"/>
        <v>1570000</v>
      </c>
      <c r="H1441" s="142"/>
      <c r="I1441" s="143">
        <f t="shared" si="38"/>
        <v>1570000</v>
      </c>
      <c r="J1441" s="144">
        <f t="shared" si="39"/>
        <v>1570000</v>
      </c>
      <c r="K1441" s="108" t="s">
        <v>6535</v>
      </c>
      <c r="L1441" s="199" t="s">
        <v>6536</v>
      </c>
      <c r="M1441" s="17"/>
      <c r="N1441" s="64" t="s">
        <v>6537</v>
      </c>
      <c r="O1441" s="64" t="s">
        <v>2813</v>
      </c>
      <c r="P1441" s="147" t="s">
        <v>4672</v>
      </c>
      <c r="Q1441" s="149"/>
      <c r="R1441" s="141"/>
      <c r="S1441" s="141"/>
      <c r="T1441" s="141">
        <v>1570000.0</v>
      </c>
      <c r="U1441" s="149"/>
      <c r="V1441" s="149"/>
      <c r="W1441" s="149"/>
      <c r="X1441" s="64" t="s">
        <v>3810</v>
      </c>
      <c r="Y1441" s="64" t="s">
        <v>4515</v>
      </c>
      <c r="Z1441" s="68"/>
    </row>
    <row r="1442" ht="15.0" customHeight="1">
      <c r="A1442" s="206">
        <v>45993.0</v>
      </c>
      <c r="B1442" s="201" t="s">
        <v>6538</v>
      </c>
      <c r="C1442" s="45" t="s">
        <v>3234</v>
      </c>
      <c r="D1442" s="140" t="str">
        <f>IFERROR(VLOOKUP(C1442,Stock,3,FALSE),"")</f>
        <v>Toyota Avanza / Xenia 21- 4th Gen (Non sensor)</v>
      </c>
      <c r="E1442" s="45">
        <v>1.0</v>
      </c>
      <c r="F1442" s="198">
        <v>1440000.0</v>
      </c>
      <c r="G1442" s="142">
        <f t="shared" si="40"/>
        <v>1440000</v>
      </c>
      <c r="H1442" s="142"/>
      <c r="I1442" s="143">
        <f t="shared" si="38"/>
        <v>1440000</v>
      </c>
      <c r="J1442" s="144">
        <f t="shared" si="39"/>
        <v>1440000</v>
      </c>
      <c r="K1442" s="108" t="s">
        <v>6539</v>
      </c>
      <c r="L1442" s="199" t="s">
        <v>6540</v>
      </c>
      <c r="M1442" s="17"/>
      <c r="N1442" s="64" t="s">
        <v>6541</v>
      </c>
      <c r="O1442" s="64" t="s">
        <v>2813</v>
      </c>
      <c r="P1442" s="147" t="s">
        <v>4672</v>
      </c>
      <c r="Q1442" s="149"/>
      <c r="R1442" s="141"/>
      <c r="S1442" s="141"/>
      <c r="T1442" s="141">
        <v>1440000.0</v>
      </c>
      <c r="U1442" s="149"/>
      <c r="V1442" s="149"/>
      <c r="W1442" s="149"/>
      <c r="X1442" s="64" t="s">
        <v>3810</v>
      </c>
      <c r="Y1442" s="64" t="s">
        <v>4515</v>
      </c>
      <c r="Z1442" s="68"/>
    </row>
    <row r="1443" ht="15.0" customHeight="1">
      <c r="A1443" s="206">
        <v>45993.0</v>
      </c>
      <c r="B1443" s="201" t="s">
        <v>6542</v>
      </c>
      <c r="C1443" s="45" t="s">
        <v>4447</v>
      </c>
      <c r="D1443" s="140" t="str">
        <f>IFERROR(VLOOKUP(C1443,Stock,3,FALSE),"")</f>
        <v>Isuzu Elf 17- New NMR NLR</v>
      </c>
      <c r="E1443" s="45">
        <v>1.0</v>
      </c>
      <c r="F1443" s="198">
        <v>1264000.0</v>
      </c>
      <c r="G1443" s="142">
        <f t="shared" si="40"/>
        <v>1264000</v>
      </c>
      <c r="H1443" s="142"/>
      <c r="I1443" s="143">
        <f t="shared" si="38"/>
        <v>1264000</v>
      </c>
      <c r="J1443" s="144">
        <f t="shared" si="39"/>
        <v>1264000</v>
      </c>
      <c r="K1443" s="108" t="s">
        <v>2996</v>
      </c>
      <c r="L1443" s="199" t="s">
        <v>6543</v>
      </c>
      <c r="M1443" s="17"/>
      <c r="N1443" s="64" t="s">
        <v>6544</v>
      </c>
      <c r="O1443" s="64" t="s">
        <v>5948</v>
      </c>
      <c r="P1443" s="147" t="s">
        <v>4672</v>
      </c>
      <c r="Q1443" s="141">
        <v>1264000.0</v>
      </c>
      <c r="R1443" s="141"/>
      <c r="S1443" s="141"/>
      <c r="T1443" s="141"/>
      <c r="U1443" s="149"/>
      <c r="V1443" s="149"/>
      <c r="W1443" s="149"/>
      <c r="X1443" s="64" t="s">
        <v>3810</v>
      </c>
      <c r="Y1443" s="64" t="s">
        <v>4515</v>
      </c>
      <c r="Z1443" s="68"/>
    </row>
    <row r="1444" ht="15.0" customHeight="1">
      <c r="A1444" s="206">
        <v>45993.0</v>
      </c>
      <c r="B1444" s="201" t="s">
        <v>6545</v>
      </c>
      <c r="C1444" s="45" t="s">
        <v>6546</v>
      </c>
      <c r="D1444" s="140" t="str">
        <f>IFERROR(VLOOKUP(C1444,Stock,3,FALSE),"")</f>
        <v>Mers-Benz S-Class 91-98 W140 4D</v>
      </c>
      <c r="E1444" s="45">
        <v>1.0</v>
      </c>
      <c r="F1444" s="202"/>
      <c r="G1444" s="142">
        <f t="shared" si="40"/>
        <v>0</v>
      </c>
      <c r="H1444" s="142"/>
      <c r="I1444" s="143">
        <f t="shared" si="38"/>
        <v>0</v>
      </c>
      <c r="J1444" s="144">
        <f t="shared" si="39"/>
        <v>0</v>
      </c>
      <c r="K1444" s="291" t="s">
        <v>4509</v>
      </c>
      <c r="L1444" s="245"/>
      <c r="M1444" s="17"/>
      <c r="N1444" s="68"/>
      <c r="O1444" s="64" t="s">
        <v>4175</v>
      </c>
      <c r="P1444" s="170"/>
      <c r="Q1444" s="149"/>
      <c r="R1444" s="149"/>
      <c r="S1444" s="149"/>
      <c r="T1444" s="149"/>
      <c r="U1444" s="149"/>
      <c r="V1444" s="149"/>
      <c r="W1444" s="149"/>
      <c r="X1444" s="64" t="s">
        <v>3810</v>
      </c>
      <c r="Y1444" s="64" t="s">
        <v>4515</v>
      </c>
      <c r="Z1444" s="68"/>
    </row>
    <row r="1445" ht="15.0" customHeight="1">
      <c r="A1445" s="206">
        <v>45993.0</v>
      </c>
      <c r="B1445" s="201" t="s">
        <v>6545</v>
      </c>
      <c r="C1445" s="45" t="s">
        <v>3246</v>
      </c>
      <c r="D1445" s="140" t="str">
        <f>IFERROR(VLOOKUP(C1445,Stock,3,FALSE),"")</f>
        <v>Toyota Calya / Sigra 16-</v>
      </c>
      <c r="E1445" s="45">
        <v>2.0</v>
      </c>
      <c r="F1445" s="202"/>
      <c r="G1445" s="142">
        <f t="shared" si="40"/>
        <v>0</v>
      </c>
      <c r="H1445" s="142"/>
      <c r="I1445" s="143">
        <f t="shared" si="38"/>
        <v>0</v>
      </c>
      <c r="J1445" s="144">
        <f t="shared" si="39"/>
        <v>0</v>
      </c>
      <c r="K1445" s="291" t="s">
        <v>4509</v>
      </c>
      <c r="L1445" s="245"/>
      <c r="M1445" s="17"/>
      <c r="N1445" s="68"/>
      <c r="O1445" s="64" t="s">
        <v>4175</v>
      </c>
      <c r="P1445" s="170"/>
      <c r="Q1445" s="149"/>
      <c r="R1445" s="149"/>
      <c r="S1445" s="149"/>
      <c r="T1445" s="149"/>
      <c r="U1445" s="149"/>
      <c r="V1445" s="149"/>
      <c r="W1445" s="149"/>
      <c r="X1445" s="64" t="s">
        <v>3810</v>
      </c>
      <c r="Y1445" s="64" t="s">
        <v>4515</v>
      </c>
      <c r="Z1445" s="68"/>
    </row>
    <row r="1446" ht="15.0" customHeight="1">
      <c r="A1446" s="206">
        <v>45993.0</v>
      </c>
      <c r="B1446" s="201" t="s">
        <v>6545</v>
      </c>
      <c r="C1446" s="45" t="s">
        <v>3193</v>
      </c>
      <c r="D1446" s="140" t="str">
        <f>IFERROR(VLOOKUP(C1446,Stock,3,FALSE),"")</f>
        <v>Toyota Avanza / Xenia 11-15 2nd Gen</v>
      </c>
      <c r="E1446" s="45">
        <v>1.0</v>
      </c>
      <c r="F1446" s="202"/>
      <c r="G1446" s="142">
        <f t="shared" si="40"/>
        <v>0</v>
      </c>
      <c r="H1446" s="142"/>
      <c r="I1446" s="143">
        <f t="shared" si="38"/>
        <v>0</v>
      </c>
      <c r="J1446" s="144">
        <f t="shared" si="39"/>
        <v>0</v>
      </c>
      <c r="K1446" s="291" t="s">
        <v>4509</v>
      </c>
      <c r="L1446" s="245"/>
      <c r="M1446" s="17"/>
      <c r="N1446" s="68"/>
      <c r="O1446" s="64" t="s">
        <v>4175</v>
      </c>
      <c r="P1446" s="170"/>
      <c r="Q1446" s="149"/>
      <c r="R1446" s="149"/>
      <c r="S1446" s="149"/>
      <c r="T1446" s="149"/>
      <c r="U1446" s="149"/>
      <c r="V1446" s="149"/>
      <c r="W1446" s="149"/>
      <c r="X1446" s="64" t="s">
        <v>3810</v>
      </c>
      <c r="Y1446" s="64" t="s">
        <v>4515</v>
      </c>
      <c r="Z1446" s="68"/>
    </row>
    <row r="1447" ht="15.0" customHeight="1">
      <c r="A1447" s="206">
        <v>45993.0</v>
      </c>
      <c r="B1447" s="201" t="s">
        <v>6547</v>
      </c>
      <c r="C1447" s="45" t="s">
        <v>6548</v>
      </c>
      <c r="D1447" s="140" t="str">
        <f>IFERROR(VLOOKUP(C1447,Stock,3,FALSE),"")</f>
        <v/>
      </c>
      <c r="E1447" s="45">
        <v>1.0</v>
      </c>
      <c r="F1447" s="202"/>
      <c r="G1447" s="142">
        <f t="shared" si="40"/>
        <v>0</v>
      </c>
      <c r="H1447" s="142"/>
      <c r="I1447" s="143">
        <f t="shared" si="38"/>
        <v>0</v>
      </c>
      <c r="J1447" s="144">
        <f t="shared" si="39"/>
        <v>0</v>
      </c>
      <c r="K1447" s="108" t="s">
        <v>4827</v>
      </c>
      <c r="L1447" s="17"/>
      <c r="M1447" s="17"/>
      <c r="N1447" s="68"/>
      <c r="O1447" s="64" t="s">
        <v>4376</v>
      </c>
      <c r="P1447" s="170"/>
      <c r="Q1447" s="149"/>
      <c r="R1447" s="149"/>
      <c r="S1447" s="149"/>
      <c r="T1447" s="149"/>
      <c r="U1447" s="149"/>
      <c r="V1447" s="149"/>
      <c r="W1447" s="149"/>
      <c r="X1447" s="64" t="s">
        <v>3810</v>
      </c>
      <c r="Y1447" s="64" t="s">
        <v>4515</v>
      </c>
      <c r="Z1447" s="68"/>
    </row>
    <row r="1448" ht="15.0" customHeight="1">
      <c r="A1448" s="206">
        <v>45994.0</v>
      </c>
      <c r="B1448" s="201" t="s">
        <v>6549</v>
      </c>
      <c r="C1448" s="45" t="s">
        <v>5080</v>
      </c>
      <c r="D1448" s="140" t="str">
        <f>IFERROR(VLOOKUP(C1448,Stock,3,FALSE),"")</f>
        <v>Lexus RX (Harrier) 03-08 XU30</v>
      </c>
      <c r="E1448" s="45">
        <v>1.0</v>
      </c>
      <c r="F1448" s="198">
        <v>4165000.0</v>
      </c>
      <c r="G1448" s="142">
        <f t="shared" si="40"/>
        <v>4165000</v>
      </c>
      <c r="H1448" s="142"/>
      <c r="I1448" s="143">
        <f t="shared" si="38"/>
        <v>4165000</v>
      </c>
      <c r="J1448" s="144">
        <f t="shared" si="39"/>
        <v>4165000</v>
      </c>
      <c r="K1448" s="108" t="s">
        <v>6550</v>
      </c>
      <c r="L1448" s="199" t="s">
        <v>6551</v>
      </c>
      <c r="M1448" s="17"/>
      <c r="N1448" s="64" t="s">
        <v>6552</v>
      </c>
      <c r="O1448" s="64" t="s">
        <v>2813</v>
      </c>
      <c r="P1448" s="147" t="s">
        <v>4672</v>
      </c>
      <c r="Q1448" s="149"/>
      <c r="R1448" s="141"/>
      <c r="S1448" s="141"/>
      <c r="T1448" s="141">
        <v>4165000.0</v>
      </c>
      <c r="U1448" s="149"/>
      <c r="V1448" s="149"/>
      <c r="W1448" s="149"/>
      <c r="X1448" s="64" t="s">
        <v>6553</v>
      </c>
      <c r="Y1448" s="64" t="s">
        <v>4515</v>
      </c>
      <c r="Z1448" s="68"/>
    </row>
    <row r="1449" ht="15.0" customHeight="1">
      <c r="A1449" s="206">
        <v>45994.0</v>
      </c>
      <c r="B1449" s="201" t="s">
        <v>6554</v>
      </c>
      <c r="C1449" s="45" t="s">
        <v>3354</v>
      </c>
      <c r="D1449" s="140" t="str">
        <f>IFERROR(VLOOKUP(C1449,Stock,3,FALSE),"")</f>
        <v>Honda Brio 10- / Mobilio 11- (Honda)</v>
      </c>
      <c r="E1449" s="45">
        <v>1.0</v>
      </c>
      <c r="F1449" s="198">
        <v>1772000.0</v>
      </c>
      <c r="G1449" s="142">
        <f t="shared" si="40"/>
        <v>1772000</v>
      </c>
      <c r="H1449" s="142"/>
      <c r="I1449" s="143">
        <f t="shared" si="38"/>
        <v>1772000</v>
      </c>
      <c r="J1449" s="144">
        <f t="shared" si="39"/>
        <v>1772000</v>
      </c>
      <c r="K1449" s="108" t="s">
        <v>3752</v>
      </c>
      <c r="L1449" s="199" t="s">
        <v>6555</v>
      </c>
      <c r="M1449" s="17"/>
      <c r="N1449" s="64" t="s">
        <v>6556</v>
      </c>
      <c r="O1449" s="64" t="s">
        <v>2813</v>
      </c>
      <c r="P1449" s="147" t="s">
        <v>4672</v>
      </c>
      <c r="Q1449" s="149"/>
      <c r="R1449" s="141"/>
      <c r="S1449" s="141"/>
      <c r="T1449" s="141">
        <v>1772000.0</v>
      </c>
      <c r="U1449" s="149"/>
      <c r="V1449" s="149"/>
      <c r="W1449" s="149"/>
      <c r="X1449" s="64" t="s">
        <v>6553</v>
      </c>
      <c r="Y1449" s="64" t="s">
        <v>4515</v>
      </c>
      <c r="Z1449" s="68"/>
    </row>
    <row r="1450" ht="15.0" customHeight="1">
      <c r="A1450" s="206">
        <v>45994.0</v>
      </c>
      <c r="B1450" s="201" t="s">
        <v>6557</v>
      </c>
      <c r="C1450" s="45" t="s">
        <v>6558</v>
      </c>
      <c r="D1450" s="140" t="str">
        <f>IFERROR(VLOOKUP(C1450,Stock,3,FALSE),"")</f>
        <v>Toyota Yaris 05-13 XP90 1st Gen</v>
      </c>
      <c r="E1450" s="45">
        <v>1.0</v>
      </c>
      <c r="F1450" s="198">
        <v>765000.0</v>
      </c>
      <c r="G1450" s="142">
        <f t="shared" si="40"/>
        <v>765000</v>
      </c>
      <c r="H1450" s="142"/>
      <c r="I1450" s="143">
        <f t="shared" si="38"/>
        <v>765000</v>
      </c>
      <c r="J1450" s="144">
        <f t="shared" si="39"/>
        <v>765000</v>
      </c>
      <c r="K1450" s="108" t="s">
        <v>6559</v>
      </c>
      <c r="L1450" s="199" t="s">
        <v>6560</v>
      </c>
      <c r="M1450" s="17"/>
      <c r="N1450" s="64" t="s">
        <v>6561</v>
      </c>
      <c r="O1450" s="64" t="s">
        <v>6562</v>
      </c>
      <c r="P1450" s="147" t="s">
        <v>4672</v>
      </c>
      <c r="Q1450" s="149"/>
      <c r="R1450" s="141"/>
      <c r="S1450" s="141"/>
      <c r="T1450" s="141">
        <v>30000.0</v>
      </c>
      <c r="U1450" s="149"/>
      <c r="V1450" s="149"/>
      <c r="W1450" s="149"/>
      <c r="X1450" s="64" t="s">
        <v>3810</v>
      </c>
      <c r="Y1450" s="64" t="s">
        <v>4515</v>
      </c>
      <c r="Z1450" s="68"/>
    </row>
    <row r="1451" ht="15.0" customHeight="1">
      <c r="A1451" s="206">
        <v>45994.0</v>
      </c>
      <c r="B1451" s="201" t="s">
        <v>6557</v>
      </c>
      <c r="C1451" s="45" t="s">
        <v>2770</v>
      </c>
      <c r="D1451" s="140" t="str">
        <f>IFERROR(VLOOKUP(C1451,Stock,3,FALSE),"")</f>
        <v>Transport</v>
      </c>
      <c r="E1451" s="45">
        <v>1.0</v>
      </c>
      <c r="F1451" s="198">
        <v>85000.0</v>
      </c>
      <c r="G1451" s="142">
        <f t="shared" si="40"/>
        <v>85000</v>
      </c>
      <c r="H1451" s="142"/>
      <c r="I1451" s="143">
        <f t="shared" si="38"/>
        <v>85000</v>
      </c>
      <c r="J1451" s="144">
        <f t="shared" si="39"/>
        <v>85000</v>
      </c>
      <c r="K1451" s="108" t="s">
        <v>6559</v>
      </c>
      <c r="L1451" s="199" t="s">
        <v>6560</v>
      </c>
      <c r="M1451" s="17"/>
      <c r="N1451" s="64" t="s">
        <v>6561</v>
      </c>
      <c r="O1451" s="64" t="s">
        <v>6562</v>
      </c>
      <c r="P1451" s="147" t="s">
        <v>4672</v>
      </c>
      <c r="Q1451" s="149"/>
      <c r="R1451" s="141"/>
      <c r="S1451" s="141"/>
      <c r="T1451" s="141">
        <v>820000.0</v>
      </c>
      <c r="U1451" s="149"/>
      <c r="V1451" s="149"/>
      <c r="W1451" s="149"/>
      <c r="X1451" s="64" t="s">
        <v>3810</v>
      </c>
      <c r="Y1451" s="64" t="s">
        <v>4515</v>
      </c>
      <c r="Z1451" s="68"/>
    </row>
    <row r="1452" ht="15.0" customHeight="1">
      <c r="A1452" s="206">
        <v>45994.0</v>
      </c>
      <c r="B1452" s="201" t="s">
        <v>6563</v>
      </c>
      <c r="C1452" s="45" t="s">
        <v>4468</v>
      </c>
      <c r="D1452" s="140" t="str">
        <f>IFERROR(VLOOKUP(C1452,Stock,3,FALSE),"")</f>
        <v>Honda CR-V 17-23 5th Gen (Honda)</v>
      </c>
      <c r="E1452" s="45">
        <v>1.0</v>
      </c>
      <c r="F1452" s="198">
        <v>3750000.0</v>
      </c>
      <c r="G1452" s="142">
        <f t="shared" si="40"/>
        <v>3750000</v>
      </c>
      <c r="H1452" s="142"/>
      <c r="I1452" s="143">
        <f t="shared" si="38"/>
        <v>3750000</v>
      </c>
      <c r="J1452" s="144">
        <f t="shared" si="39"/>
        <v>3750000</v>
      </c>
      <c r="K1452" s="108" t="s">
        <v>6564</v>
      </c>
      <c r="L1452" s="199" t="s">
        <v>6565</v>
      </c>
      <c r="M1452" s="17"/>
      <c r="N1452" s="64" t="s">
        <v>6566</v>
      </c>
      <c r="O1452" s="64" t="s">
        <v>6567</v>
      </c>
      <c r="P1452" s="147" t="s">
        <v>4672</v>
      </c>
      <c r="Q1452" s="141">
        <v>3750000.0</v>
      </c>
      <c r="R1452" s="141"/>
      <c r="S1452" s="141"/>
      <c r="T1452" s="141"/>
      <c r="U1452" s="149"/>
      <c r="V1452" s="149"/>
      <c r="W1452" s="149"/>
      <c r="X1452" s="64" t="s">
        <v>3810</v>
      </c>
      <c r="Y1452" s="64" t="s">
        <v>4515</v>
      </c>
      <c r="Z1452" s="68"/>
    </row>
    <row r="1453" ht="15.0" customHeight="1">
      <c r="A1453" s="206">
        <v>45994.0</v>
      </c>
      <c r="B1453" s="201" t="s">
        <v>6568</v>
      </c>
      <c r="C1453" s="64" t="s">
        <v>6569</v>
      </c>
      <c r="D1453" s="140" t="str">
        <f>IFERROR(VLOOKUP(C1453,Stock,3,FALSE),"")</f>
        <v>Mitsubishi Fuso Fighter FK40 82-(PS190,220)</v>
      </c>
      <c r="E1453" s="64">
        <v>1.0</v>
      </c>
      <c r="F1453" s="198">
        <v>1300000.0</v>
      </c>
      <c r="G1453" s="142">
        <f t="shared" si="40"/>
        <v>1300000</v>
      </c>
      <c r="H1453" s="142"/>
      <c r="I1453" s="143">
        <f t="shared" si="38"/>
        <v>1300000</v>
      </c>
      <c r="J1453" s="144">
        <f t="shared" si="39"/>
        <v>1300000</v>
      </c>
      <c r="K1453" s="145" t="s">
        <v>6300</v>
      </c>
      <c r="L1453" s="146" t="s">
        <v>6301</v>
      </c>
      <c r="M1453" s="68"/>
      <c r="N1453" s="64" t="s">
        <v>6570</v>
      </c>
      <c r="O1453" s="64" t="s">
        <v>2813</v>
      </c>
      <c r="P1453" s="147" t="s">
        <v>4672</v>
      </c>
      <c r="Q1453" s="68"/>
      <c r="R1453" s="141"/>
      <c r="S1453" s="141"/>
      <c r="T1453" s="141">
        <v>1300000.0</v>
      </c>
      <c r="U1453" s="68"/>
      <c r="V1453" s="68"/>
      <c r="W1453" s="68"/>
      <c r="X1453" s="64" t="s">
        <v>3810</v>
      </c>
      <c r="Y1453" s="64" t="s">
        <v>4515</v>
      </c>
      <c r="Z1453" s="68"/>
    </row>
    <row r="1454" ht="15.0" customHeight="1">
      <c r="A1454" s="206">
        <v>45995.0</v>
      </c>
      <c r="B1454" s="201" t="s">
        <v>6571</v>
      </c>
      <c r="C1454" s="45" t="s">
        <v>2778</v>
      </c>
      <c r="D1454" s="140" t="str">
        <f>IFERROR(VLOOKUP(C1454,Stock,3,FALSE),"")</f>
        <v>Bongkar Pasang Kaca Mobil Depan</v>
      </c>
      <c r="E1454" s="45">
        <v>1.0</v>
      </c>
      <c r="F1454" s="198">
        <v>250000.0</v>
      </c>
      <c r="G1454" s="142">
        <f t="shared" si="40"/>
        <v>250000</v>
      </c>
      <c r="H1454" s="142"/>
      <c r="I1454" s="143">
        <f t="shared" si="38"/>
        <v>250000</v>
      </c>
      <c r="J1454" s="144">
        <f t="shared" si="39"/>
        <v>250000</v>
      </c>
      <c r="K1454" s="145" t="s">
        <v>6300</v>
      </c>
      <c r="L1454" s="146" t="s">
        <v>6301</v>
      </c>
      <c r="M1454" s="68"/>
      <c r="N1454" s="64" t="s">
        <v>6570</v>
      </c>
      <c r="O1454" s="64" t="s">
        <v>2813</v>
      </c>
      <c r="P1454" s="147" t="s">
        <v>4672</v>
      </c>
      <c r="Q1454" s="149"/>
      <c r="R1454" s="141"/>
      <c r="S1454" s="141"/>
      <c r="T1454" s="141">
        <v>250000.0</v>
      </c>
      <c r="U1454" s="149"/>
      <c r="V1454" s="149"/>
      <c r="W1454" s="149"/>
      <c r="X1454" s="64" t="s">
        <v>3810</v>
      </c>
      <c r="Y1454" s="64" t="s">
        <v>4515</v>
      </c>
      <c r="Z1454" s="68"/>
    </row>
    <row r="1455" ht="15.0" customHeight="1">
      <c r="A1455" s="206">
        <v>45995.0</v>
      </c>
      <c r="B1455" s="201" t="s">
        <v>6572</v>
      </c>
      <c r="C1455" s="45" t="s">
        <v>6573</v>
      </c>
      <c r="D1455" s="140" t="str">
        <f>IFERROR(VLOOKUP(C1455,Stock,3,FALSE),"")</f>
        <v>Mazda 6 18-23 GJ/GL 3rd Gen (2 Sensor / [] /=\ )</v>
      </c>
      <c r="E1455" s="45">
        <v>1.0</v>
      </c>
      <c r="F1455" s="198">
        <v>4502000.0</v>
      </c>
      <c r="G1455" s="142">
        <f t="shared" si="40"/>
        <v>4502000</v>
      </c>
      <c r="H1455" s="142"/>
      <c r="I1455" s="143">
        <f t="shared" si="38"/>
        <v>4502000</v>
      </c>
      <c r="J1455" s="144">
        <f t="shared" si="39"/>
        <v>4502000</v>
      </c>
      <c r="K1455" s="108" t="s">
        <v>6312</v>
      </c>
      <c r="L1455" s="199" t="s">
        <v>6313</v>
      </c>
      <c r="M1455" s="17"/>
      <c r="N1455" s="64" t="s">
        <v>6574</v>
      </c>
      <c r="O1455" s="64" t="s">
        <v>2987</v>
      </c>
      <c r="P1455" s="147" t="s">
        <v>4672</v>
      </c>
      <c r="Q1455" s="149"/>
      <c r="R1455" s="141"/>
      <c r="S1455" s="141"/>
      <c r="T1455" s="141">
        <v>4502000.0</v>
      </c>
      <c r="U1455" s="149"/>
      <c r="V1455" s="149"/>
      <c r="W1455" s="149"/>
      <c r="X1455" s="64" t="s">
        <v>3810</v>
      </c>
      <c r="Y1455" s="64" t="s">
        <v>4515</v>
      </c>
      <c r="Z1455" s="68"/>
    </row>
    <row r="1456" ht="15.0" customHeight="1">
      <c r="A1456" s="206">
        <v>45995.0</v>
      </c>
      <c r="B1456" s="201" t="s">
        <v>6575</v>
      </c>
      <c r="C1456" s="45" t="s">
        <v>6576</v>
      </c>
      <c r="D1456" s="140" t="str">
        <f>IFERROR(VLOOKUP(C1456,Stock,3,FALSE),"")</f>
        <v>Honda Freed 08-16 1st gen</v>
      </c>
      <c r="E1456" s="45">
        <v>1.0</v>
      </c>
      <c r="F1456" s="198">
        <v>800000.0</v>
      </c>
      <c r="G1456" s="142">
        <f t="shared" si="40"/>
        <v>800000</v>
      </c>
      <c r="H1456" s="142"/>
      <c r="I1456" s="143">
        <f t="shared" si="38"/>
        <v>800000</v>
      </c>
      <c r="J1456" s="144">
        <f t="shared" si="39"/>
        <v>800000</v>
      </c>
      <c r="K1456" s="108" t="s">
        <v>6577</v>
      </c>
      <c r="L1456" s="199" t="s">
        <v>6578</v>
      </c>
      <c r="M1456" s="17"/>
      <c r="N1456" s="64" t="s">
        <v>6579</v>
      </c>
      <c r="O1456" s="64" t="s">
        <v>2813</v>
      </c>
      <c r="P1456" s="147" t="s">
        <v>4672</v>
      </c>
      <c r="Q1456" s="149"/>
      <c r="R1456" s="141"/>
      <c r="S1456" s="141"/>
      <c r="T1456" s="141">
        <v>800000.0</v>
      </c>
      <c r="U1456" s="149"/>
      <c r="V1456" s="149"/>
      <c r="W1456" s="149"/>
      <c r="X1456" s="64" t="s">
        <v>3810</v>
      </c>
      <c r="Y1456" s="64" t="s">
        <v>4515</v>
      </c>
      <c r="Z1456" s="68"/>
    </row>
    <row r="1457" ht="15.0" customHeight="1">
      <c r="A1457" s="206">
        <v>45995.0</v>
      </c>
      <c r="B1457" s="201" t="s">
        <v>6580</v>
      </c>
      <c r="C1457" s="45" t="s">
        <v>6581</v>
      </c>
      <c r="D1457" s="140" t="str">
        <f>IFERROR(VLOOKUP(C1457,Stock,3,FALSE),"")</f>
        <v>Nissan X-Trail 01-07 T30</v>
      </c>
      <c r="E1457" s="45">
        <v>1.0</v>
      </c>
      <c r="F1457" s="198">
        <v>1721000.0</v>
      </c>
      <c r="G1457" s="142">
        <f t="shared" si="40"/>
        <v>1721000</v>
      </c>
      <c r="H1457" s="142"/>
      <c r="I1457" s="143">
        <f t="shared" si="38"/>
        <v>1721000</v>
      </c>
      <c r="J1457" s="144">
        <f t="shared" si="39"/>
        <v>1721000</v>
      </c>
      <c r="K1457" s="108" t="s">
        <v>6582</v>
      </c>
      <c r="L1457" s="199" t="s">
        <v>6583</v>
      </c>
      <c r="M1457" s="17"/>
      <c r="N1457" s="64" t="s">
        <v>6584</v>
      </c>
      <c r="O1457" s="64" t="s">
        <v>2760</v>
      </c>
      <c r="P1457" s="147" t="s">
        <v>4672</v>
      </c>
      <c r="Q1457" s="149"/>
      <c r="R1457" s="141"/>
      <c r="S1457" s="141"/>
      <c r="T1457" s="141">
        <v>100000.0</v>
      </c>
      <c r="U1457" s="149"/>
      <c r="V1457" s="149"/>
      <c r="W1457" s="149"/>
      <c r="X1457" s="64" t="s">
        <v>3810</v>
      </c>
      <c r="Y1457" s="64" t="s">
        <v>4515</v>
      </c>
      <c r="Z1457" s="68"/>
    </row>
    <row r="1458" ht="15.0" customHeight="1">
      <c r="A1458" s="206">
        <v>45995.0</v>
      </c>
      <c r="B1458" s="201" t="s">
        <v>6580</v>
      </c>
      <c r="C1458" s="45" t="s">
        <v>2770</v>
      </c>
      <c r="D1458" s="140" t="str">
        <f>IFERROR(VLOOKUP(C1458,Stock,3,FALSE),"")</f>
        <v>Transport</v>
      </c>
      <c r="E1458" s="45">
        <v>1.0</v>
      </c>
      <c r="F1458" s="198">
        <v>179000.0</v>
      </c>
      <c r="G1458" s="142">
        <f t="shared" si="40"/>
        <v>179000</v>
      </c>
      <c r="H1458" s="142"/>
      <c r="I1458" s="143">
        <f t="shared" si="38"/>
        <v>179000</v>
      </c>
      <c r="J1458" s="144">
        <f t="shared" si="39"/>
        <v>179000</v>
      </c>
      <c r="K1458" s="108" t="s">
        <v>6582</v>
      </c>
      <c r="L1458" s="199" t="s">
        <v>6583</v>
      </c>
      <c r="M1458" s="17"/>
      <c r="N1458" s="64" t="s">
        <v>6584</v>
      </c>
      <c r="O1458" s="64" t="s">
        <v>2760</v>
      </c>
      <c r="P1458" s="147" t="s">
        <v>4672</v>
      </c>
      <c r="Q1458" s="141">
        <v>1800000.0</v>
      </c>
      <c r="R1458" s="149"/>
      <c r="S1458" s="149"/>
      <c r="T1458" s="149"/>
      <c r="U1458" s="149"/>
      <c r="V1458" s="149"/>
      <c r="W1458" s="149"/>
      <c r="X1458" s="64" t="s">
        <v>3810</v>
      </c>
      <c r="Y1458" s="64" t="s">
        <v>4515</v>
      </c>
      <c r="Z1458" s="68"/>
    </row>
    <row r="1459" ht="15.0" customHeight="1">
      <c r="A1459" s="206">
        <v>45996.0</v>
      </c>
      <c r="B1459" s="201" t="s">
        <v>6585</v>
      </c>
      <c r="C1459" s="45" t="s">
        <v>3193</v>
      </c>
      <c r="D1459" s="140" t="str">
        <f>IFERROR(VLOOKUP(C1459,Stock,3,FALSE),"")</f>
        <v>Toyota Avanza / Xenia 11-15 2nd Gen</v>
      </c>
      <c r="E1459" s="45">
        <v>1.0</v>
      </c>
      <c r="F1459" s="198">
        <v>1000000.0</v>
      </c>
      <c r="G1459" s="142">
        <f t="shared" si="40"/>
        <v>1000000</v>
      </c>
      <c r="H1459" s="142"/>
      <c r="I1459" s="143">
        <f t="shared" si="38"/>
        <v>1000000</v>
      </c>
      <c r="J1459" s="144">
        <f t="shared" si="39"/>
        <v>1000000</v>
      </c>
      <c r="K1459" s="108" t="s">
        <v>6586</v>
      </c>
      <c r="L1459" s="199" t="s">
        <v>6587</v>
      </c>
      <c r="M1459" s="17"/>
      <c r="N1459" s="64" t="s">
        <v>6588</v>
      </c>
      <c r="O1459" s="64" t="s">
        <v>6589</v>
      </c>
      <c r="P1459" s="147" t="s">
        <v>4672</v>
      </c>
      <c r="Q1459" s="149"/>
      <c r="R1459" s="141"/>
      <c r="S1459" s="141"/>
      <c r="T1459" s="141">
        <v>1000000.0</v>
      </c>
      <c r="U1459" s="149"/>
      <c r="V1459" s="149"/>
      <c r="W1459" s="149"/>
      <c r="X1459" s="64" t="s">
        <v>3810</v>
      </c>
      <c r="Y1459" s="64" t="s">
        <v>4515</v>
      </c>
      <c r="Z1459" s="68"/>
    </row>
    <row r="1460" ht="15.0" customHeight="1">
      <c r="A1460" s="206">
        <v>45996.0</v>
      </c>
      <c r="B1460" s="201" t="s">
        <v>6590</v>
      </c>
      <c r="C1460" s="45" t="s">
        <v>6591</v>
      </c>
      <c r="D1460" s="140" t="str">
        <f>IFERROR(VLOOKUP(C1460,Stock,3,FALSE),"")</f>
        <v>Ford Everest 04-15 / Ranger 04-11 / Mazda BT-50</v>
      </c>
      <c r="E1460" s="45">
        <v>1.0</v>
      </c>
      <c r="F1460" s="198">
        <v>1411000.0</v>
      </c>
      <c r="G1460" s="142">
        <f t="shared" si="40"/>
        <v>1411000</v>
      </c>
      <c r="H1460" s="142"/>
      <c r="I1460" s="143">
        <f t="shared" si="38"/>
        <v>1411000</v>
      </c>
      <c r="J1460" s="144">
        <f t="shared" si="39"/>
        <v>1411000</v>
      </c>
      <c r="K1460" s="108" t="s">
        <v>6592</v>
      </c>
      <c r="L1460" s="199" t="s">
        <v>6593</v>
      </c>
      <c r="M1460" s="17"/>
      <c r="N1460" s="64" t="s">
        <v>6594</v>
      </c>
      <c r="O1460" s="64" t="s">
        <v>2813</v>
      </c>
      <c r="P1460" s="147" t="s">
        <v>4672</v>
      </c>
      <c r="Q1460" s="149"/>
      <c r="R1460" s="141"/>
      <c r="S1460" s="141"/>
      <c r="T1460" s="141">
        <v>1411000.0</v>
      </c>
      <c r="U1460" s="149"/>
      <c r="V1460" s="149"/>
      <c r="W1460" s="149"/>
      <c r="X1460" s="64" t="s">
        <v>3810</v>
      </c>
      <c r="Y1460" s="64" t="s">
        <v>4515</v>
      </c>
      <c r="Z1460" s="68"/>
    </row>
    <row r="1461" ht="15.0" customHeight="1">
      <c r="A1461" s="206">
        <v>45996.0</v>
      </c>
      <c r="B1461" s="201" t="s">
        <v>6595</v>
      </c>
      <c r="C1461" s="45" t="s">
        <v>3193</v>
      </c>
      <c r="D1461" s="140" t="str">
        <f>IFERROR(VLOOKUP(C1461,Stock,3,FALSE),"")</f>
        <v>Toyota Avanza / Xenia 11-15 2nd Gen</v>
      </c>
      <c r="E1461" s="45">
        <v>1.0</v>
      </c>
      <c r="F1461" s="198">
        <v>1000000.0</v>
      </c>
      <c r="G1461" s="142">
        <f t="shared" si="40"/>
        <v>1000000</v>
      </c>
      <c r="H1461" s="142"/>
      <c r="I1461" s="143">
        <f t="shared" si="38"/>
        <v>1000000</v>
      </c>
      <c r="J1461" s="144">
        <f t="shared" si="39"/>
        <v>1000000</v>
      </c>
      <c r="K1461" s="108" t="s">
        <v>6596</v>
      </c>
      <c r="L1461" s="199" t="s">
        <v>6597</v>
      </c>
      <c r="M1461" s="17"/>
      <c r="N1461" s="64" t="s">
        <v>6598</v>
      </c>
      <c r="O1461" s="64" t="s">
        <v>2813</v>
      </c>
      <c r="P1461" s="147" t="s">
        <v>4672</v>
      </c>
      <c r="Q1461" s="141">
        <v>1000000.0</v>
      </c>
      <c r="R1461" s="141"/>
      <c r="S1461" s="141"/>
      <c r="T1461" s="141"/>
      <c r="U1461" s="149"/>
      <c r="V1461" s="149"/>
      <c r="W1461" s="149"/>
      <c r="X1461" s="64" t="s">
        <v>3810</v>
      </c>
      <c r="Y1461" s="64" t="s">
        <v>4515</v>
      </c>
      <c r="Z1461" s="68"/>
    </row>
    <row r="1462" ht="15.0" customHeight="1">
      <c r="A1462" s="206">
        <v>45996.0</v>
      </c>
      <c r="B1462" s="370" t="s">
        <v>6599</v>
      </c>
      <c r="C1462" s="251" t="s">
        <v>2830</v>
      </c>
      <c r="D1462" s="260" t="s">
        <v>6600</v>
      </c>
      <c r="E1462" s="17"/>
      <c r="F1462" s="198">
        <v>1.6249E7</v>
      </c>
      <c r="G1462" s="142">
        <f t="shared" si="40"/>
        <v>0</v>
      </c>
      <c r="H1462" s="142"/>
      <c r="I1462" s="143">
        <f t="shared" si="38"/>
        <v>0</v>
      </c>
      <c r="J1462" s="144">
        <f t="shared" si="39"/>
        <v>0</v>
      </c>
      <c r="K1462" s="108" t="s">
        <v>6601</v>
      </c>
      <c r="L1462" s="199" t="s">
        <v>6602</v>
      </c>
      <c r="M1462" s="17"/>
      <c r="N1462" s="68"/>
      <c r="O1462" s="64" t="s">
        <v>2987</v>
      </c>
      <c r="P1462" s="147" t="s">
        <v>4672</v>
      </c>
      <c r="Q1462" s="149"/>
      <c r="R1462" s="141"/>
      <c r="S1462" s="141"/>
      <c r="T1462" s="141"/>
      <c r="U1462" s="149"/>
      <c r="V1462" s="149"/>
      <c r="W1462" s="149"/>
      <c r="X1462" s="64" t="s">
        <v>3810</v>
      </c>
      <c r="Y1462" s="64" t="s">
        <v>4515</v>
      </c>
      <c r="Z1462" s="68"/>
    </row>
    <row r="1463" ht="15.0" customHeight="1">
      <c r="A1463" s="206">
        <v>45996.0</v>
      </c>
      <c r="B1463" s="201" t="s">
        <v>6603</v>
      </c>
      <c r="C1463" s="45" t="s">
        <v>6604</v>
      </c>
      <c r="D1463" s="140" t="str">
        <f>IFERROR(VLOOKUP(C1463,Stock,3,FALSE),"")</f>
        <v>Toyota Calya /  Sigra 16-</v>
      </c>
      <c r="E1463" s="45">
        <v>1.0</v>
      </c>
      <c r="F1463" s="198">
        <v>470000.0</v>
      </c>
      <c r="G1463" s="142">
        <f t="shared" si="40"/>
        <v>470000</v>
      </c>
      <c r="H1463" s="142"/>
      <c r="I1463" s="143">
        <f t="shared" si="38"/>
        <v>470000</v>
      </c>
      <c r="J1463" s="144">
        <f t="shared" si="39"/>
        <v>470000</v>
      </c>
      <c r="K1463" s="108" t="s">
        <v>5379</v>
      </c>
      <c r="L1463" s="199" t="s">
        <v>6605</v>
      </c>
      <c r="M1463" s="17"/>
      <c r="N1463" s="64" t="s">
        <v>6606</v>
      </c>
      <c r="O1463" s="64" t="s">
        <v>6607</v>
      </c>
      <c r="P1463" s="147" t="s">
        <v>4672</v>
      </c>
      <c r="Q1463" s="141">
        <v>470000.0</v>
      </c>
      <c r="R1463" s="141"/>
      <c r="S1463" s="141"/>
      <c r="T1463" s="141"/>
      <c r="U1463" s="149"/>
      <c r="V1463" s="149"/>
      <c r="W1463" s="149"/>
      <c r="X1463" s="64" t="s">
        <v>3810</v>
      </c>
      <c r="Y1463" s="64" t="s">
        <v>4515</v>
      </c>
      <c r="Z1463" s="68"/>
    </row>
    <row r="1464" ht="15.0" customHeight="1">
      <c r="A1464" s="206">
        <v>45997.0</v>
      </c>
      <c r="B1464" s="201" t="s">
        <v>6608</v>
      </c>
      <c r="C1464" s="45" t="s">
        <v>6609</v>
      </c>
      <c r="D1464" s="140" t="str">
        <f>IFERROR(VLOOKUP(C1464,Stock,3,FALSE),"")</f>
        <v>Suzuki APV 03- Van</v>
      </c>
      <c r="E1464" s="45">
        <v>1.0</v>
      </c>
      <c r="F1464" s="198">
        <v>839000.0</v>
      </c>
      <c r="G1464" s="142">
        <f t="shared" si="40"/>
        <v>839000</v>
      </c>
      <c r="H1464" s="142"/>
      <c r="I1464" s="143">
        <f t="shared" si="38"/>
        <v>839000</v>
      </c>
      <c r="J1464" s="144">
        <f t="shared" si="39"/>
        <v>839000</v>
      </c>
      <c r="K1464" s="108" t="s">
        <v>6610</v>
      </c>
      <c r="L1464" s="199" t="s">
        <v>6611</v>
      </c>
      <c r="M1464" s="17"/>
      <c r="N1464" s="64" t="s">
        <v>6612</v>
      </c>
      <c r="O1464" s="64" t="s">
        <v>2813</v>
      </c>
      <c r="P1464" s="147" t="s">
        <v>4672</v>
      </c>
      <c r="Q1464" s="149"/>
      <c r="R1464" s="141"/>
      <c r="S1464" s="141"/>
      <c r="T1464" s="141">
        <v>839000.0</v>
      </c>
      <c r="U1464" s="149"/>
      <c r="V1464" s="149"/>
      <c r="W1464" s="149"/>
      <c r="X1464" s="64" t="s">
        <v>6553</v>
      </c>
      <c r="Y1464" s="64" t="s">
        <v>4515</v>
      </c>
      <c r="Z1464" s="68"/>
    </row>
    <row r="1465" ht="15.0" customHeight="1">
      <c r="A1465" s="206">
        <v>45997.0</v>
      </c>
      <c r="B1465" s="201" t="s">
        <v>6613</v>
      </c>
      <c r="C1465" s="45" t="s">
        <v>6614</v>
      </c>
      <c r="D1465" s="140" t="str">
        <f>IFERROR(VLOOKUP(C1465,Stock,3,FALSE),"")</f>
        <v>Chery Omoda 5 23-  (Cherry)</v>
      </c>
      <c r="E1465" s="45">
        <v>1.0</v>
      </c>
      <c r="F1465" s="198">
        <v>2470000.0</v>
      </c>
      <c r="G1465" s="142">
        <f t="shared" si="40"/>
        <v>2470000</v>
      </c>
      <c r="H1465" s="143">
        <v>201500.0</v>
      </c>
      <c r="I1465" s="143">
        <f t="shared" si="38"/>
        <v>2268500</v>
      </c>
      <c r="J1465" s="144">
        <f t="shared" si="39"/>
        <v>2268500</v>
      </c>
      <c r="K1465" s="108" t="s">
        <v>6615</v>
      </c>
      <c r="L1465" s="199" t="s">
        <v>6616</v>
      </c>
      <c r="M1465" s="17"/>
      <c r="N1465" s="68"/>
      <c r="O1465" s="64" t="s">
        <v>2813</v>
      </c>
      <c r="P1465" s="147" t="s">
        <v>4672</v>
      </c>
      <c r="Q1465" s="149"/>
      <c r="R1465" s="141"/>
      <c r="S1465" s="141"/>
      <c r="T1465" s="141">
        <v>2355000.0</v>
      </c>
      <c r="U1465" s="149"/>
      <c r="V1465" s="149"/>
      <c r="W1465" s="149"/>
      <c r="X1465" s="64" t="s">
        <v>3810</v>
      </c>
      <c r="Y1465" s="64" t="s">
        <v>4515</v>
      </c>
      <c r="Z1465" s="68"/>
    </row>
    <row r="1466" ht="15.0" customHeight="1">
      <c r="A1466" s="206">
        <v>45997.0</v>
      </c>
      <c r="B1466" s="201" t="s">
        <v>6613</v>
      </c>
      <c r="C1466" s="45" t="s">
        <v>6617</v>
      </c>
      <c r="D1466" s="140" t="str">
        <f>IFERROR(VLOOKUP(C1466,Stock,3,FALSE),"")</f>
        <v>Chery Omoda 5 23-  (Cherry)</v>
      </c>
      <c r="E1466" s="45">
        <v>1.0</v>
      </c>
      <c r="F1466" s="198">
        <v>1265000.0</v>
      </c>
      <c r="G1466" s="142">
        <f t="shared" si="40"/>
        <v>1265000</v>
      </c>
      <c r="H1466" s="143">
        <v>201500.0</v>
      </c>
      <c r="I1466" s="143">
        <f t="shared" si="38"/>
        <v>1063500</v>
      </c>
      <c r="J1466" s="144">
        <f t="shared" si="39"/>
        <v>1063500</v>
      </c>
      <c r="K1466" s="108" t="s">
        <v>6615</v>
      </c>
      <c r="L1466" s="199" t="s">
        <v>6616</v>
      </c>
      <c r="M1466" s="17"/>
      <c r="N1466" s="68"/>
      <c r="O1466" s="64" t="s">
        <v>2813</v>
      </c>
      <c r="P1466" s="147" t="s">
        <v>4672</v>
      </c>
      <c r="Q1466" s="149"/>
      <c r="R1466" s="141"/>
      <c r="S1466" s="141"/>
      <c r="T1466" s="141">
        <v>231500.0</v>
      </c>
      <c r="U1466" s="149"/>
      <c r="V1466" s="149"/>
      <c r="W1466" s="149"/>
      <c r="X1466" s="64" t="s">
        <v>3810</v>
      </c>
      <c r="Y1466" s="64" t="s">
        <v>4515</v>
      </c>
      <c r="Z1466" s="68"/>
    </row>
    <row r="1467" ht="15.0" customHeight="1">
      <c r="A1467" s="206">
        <v>45997.0</v>
      </c>
      <c r="B1467" s="201" t="s">
        <v>6613</v>
      </c>
      <c r="C1467" s="45" t="s">
        <v>6618</v>
      </c>
      <c r="D1467" s="140" t="str">
        <f>IFERROR(VLOOKUP(C1467,Stock,3,FALSE),"")</f>
        <v>Chery Omoda 5 23-  (Cherry)</v>
      </c>
      <c r="E1467" s="45">
        <v>1.0</v>
      </c>
      <c r="F1467" s="198">
        <v>456000.0</v>
      </c>
      <c r="G1467" s="142">
        <f t="shared" si="40"/>
        <v>456000</v>
      </c>
      <c r="H1467" s="143">
        <v>201500.0</v>
      </c>
      <c r="I1467" s="143">
        <f t="shared" si="38"/>
        <v>254500</v>
      </c>
      <c r="J1467" s="144">
        <f t="shared" si="39"/>
        <v>254500</v>
      </c>
      <c r="K1467" s="108" t="s">
        <v>6615</v>
      </c>
      <c r="L1467" s="199" t="s">
        <v>6616</v>
      </c>
      <c r="M1467" s="17"/>
      <c r="N1467" s="68"/>
      <c r="O1467" s="64" t="s">
        <v>2813</v>
      </c>
      <c r="P1467" s="147" t="s">
        <v>4672</v>
      </c>
      <c r="Q1467" s="149"/>
      <c r="R1467" s="149"/>
      <c r="S1467" s="149"/>
      <c r="T1467" s="149"/>
      <c r="U1467" s="149"/>
      <c r="V1467" s="149"/>
      <c r="W1467" s="149"/>
      <c r="X1467" s="64" t="s">
        <v>3810</v>
      </c>
      <c r="Y1467" s="64" t="s">
        <v>4515</v>
      </c>
      <c r="Z1467" s="68"/>
    </row>
    <row r="1468" ht="15.0" customHeight="1">
      <c r="A1468" s="206">
        <v>45997.0</v>
      </c>
      <c r="B1468" s="201" t="s">
        <v>6613</v>
      </c>
      <c r="C1468" s="251" t="s">
        <v>2642</v>
      </c>
      <c r="D1468" s="260" t="s">
        <v>6619</v>
      </c>
      <c r="E1468" s="45"/>
      <c r="F1468" s="198">
        <v>4465000.0</v>
      </c>
      <c r="G1468" s="142">
        <f t="shared" si="40"/>
        <v>0</v>
      </c>
      <c r="H1468" s="142"/>
      <c r="I1468" s="143">
        <f t="shared" si="38"/>
        <v>0</v>
      </c>
      <c r="J1468" s="144">
        <f t="shared" si="39"/>
        <v>0</v>
      </c>
      <c r="K1468" s="108" t="s">
        <v>6615</v>
      </c>
      <c r="L1468" s="199" t="s">
        <v>6616</v>
      </c>
      <c r="M1468" s="17"/>
      <c r="N1468" s="68"/>
      <c r="O1468" s="64" t="s">
        <v>2813</v>
      </c>
      <c r="P1468" s="147" t="s">
        <v>4672</v>
      </c>
      <c r="Q1468" s="149"/>
      <c r="R1468" s="149"/>
      <c r="S1468" s="149"/>
      <c r="T1468" s="149"/>
      <c r="U1468" s="149"/>
      <c r="V1468" s="149"/>
      <c r="W1468" s="149"/>
      <c r="X1468" s="64" t="s">
        <v>3810</v>
      </c>
      <c r="Y1468" s="64" t="s">
        <v>4515</v>
      </c>
      <c r="Z1468" s="68"/>
    </row>
    <row r="1469" ht="15.0" customHeight="1">
      <c r="A1469" s="206">
        <v>45997.0</v>
      </c>
      <c r="B1469" s="201" t="s">
        <v>6620</v>
      </c>
      <c r="C1469" s="45" t="s">
        <v>2968</v>
      </c>
      <c r="D1469" s="140" t="str">
        <f>IFERROR(VLOOKUP(C1469,Stock,3,FALSE),"")</f>
        <v>Toyota Rush / Terios 18-</v>
      </c>
      <c r="E1469" s="45">
        <v>1.0</v>
      </c>
      <c r="F1469" s="198">
        <v>1002000.0</v>
      </c>
      <c r="G1469" s="142">
        <f t="shared" si="40"/>
        <v>1002000</v>
      </c>
      <c r="H1469" s="142"/>
      <c r="I1469" s="143">
        <f t="shared" si="38"/>
        <v>1002000</v>
      </c>
      <c r="J1469" s="144">
        <f t="shared" si="39"/>
        <v>1002000</v>
      </c>
      <c r="K1469" s="108" t="s">
        <v>6621</v>
      </c>
      <c r="L1469" s="199" t="s">
        <v>6622</v>
      </c>
      <c r="M1469" s="17"/>
      <c r="N1469" s="64" t="s">
        <v>6623</v>
      </c>
      <c r="O1469" s="64" t="s">
        <v>2813</v>
      </c>
      <c r="P1469" s="147" t="s">
        <v>4672</v>
      </c>
      <c r="Q1469" s="149"/>
      <c r="R1469" s="141"/>
      <c r="S1469" s="141"/>
      <c r="T1469" s="141">
        <v>1002000.0</v>
      </c>
      <c r="U1469" s="149"/>
      <c r="V1469" s="149"/>
      <c r="W1469" s="149"/>
      <c r="X1469" s="64" t="s">
        <v>3810</v>
      </c>
      <c r="Y1469" s="64" t="s">
        <v>4515</v>
      </c>
      <c r="Z1469" s="68"/>
    </row>
    <row r="1470" ht="15.0" customHeight="1">
      <c r="A1470" s="206">
        <v>45997.0</v>
      </c>
      <c r="B1470" s="201" t="s">
        <v>6624</v>
      </c>
      <c r="C1470" s="45" t="s">
        <v>2792</v>
      </c>
      <c r="D1470" s="140" t="str">
        <f>IFERROR(VLOOKUP(C1470,Stock,3,FALSE),"")</f>
        <v>Toyota Calya / Sigra 16-</v>
      </c>
      <c r="E1470" s="45">
        <v>1.0</v>
      </c>
      <c r="F1470" s="198">
        <v>900000.0</v>
      </c>
      <c r="G1470" s="142">
        <f t="shared" si="40"/>
        <v>900000</v>
      </c>
      <c r="H1470" s="142"/>
      <c r="I1470" s="143">
        <f t="shared" si="38"/>
        <v>900000</v>
      </c>
      <c r="J1470" s="144">
        <f t="shared" si="39"/>
        <v>900000</v>
      </c>
      <c r="K1470" s="108" t="s">
        <v>6258</v>
      </c>
      <c r="L1470" s="199" t="s">
        <v>6625</v>
      </c>
      <c r="M1470" s="17"/>
      <c r="N1470" s="64" t="s">
        <v>6626</v>
      </c>
      <c r="O1470" s="64" t="s">
        <v>2813</v>
      </c>
      <c r="P1470" s="147" t="s">
        <v>4672</v>
      </c>
      <c r="Q1470" s="149"/>
      <c r="R1470" s="141"/>
      <c r="S1470" s="141"/>
      <c r="T1470" s="141">
        <v>1100000.0</v>
      </c>
      <c r="U1470" s="149"/>
      <c r="V1470" s="149"/>
      <c r="W1470" s="149"/>
      <c r="X1470" s="64" t="s">
        <v>3810</v>
      </c>
      <c r="Y1470" s="64" t="s">
        <v>4515</v>
      </c>
      <c r="Z1470" s="68"/>
    </row>
    <row r="1471" ht="15.0" customHeight="1">
      <c r="A1471" s="206">
        <v>45997.0</v>
      </c>
      <c r="B1471" s="201" t="s">
        <v>6624</v>
      </c>
      <c r="C1471" s="45" t="s">
        <v>5254</v>
      </c>
      <c r="D1471" s="140" t="str">
        <f>IFERROR(VLOOKUP(C1471,Stock,3,FALSE),"")</f>
        <v>Automotive Film Standard - Black 40%				</v>
      </c>
      <c r="E1471" s="45">
        <v>1.0</v>
      </c>
      <c r="F1471" s="198">
        <v>200000.0</v>
      </c>
      <c r="G1471" s="142">
        <f t="shared" si="40"/>
        <v>200000</v>
      </c>
      <c r="H1471" s="142"/>
      <c r="I1471" s="143">
        <f t="shared" si="38"/>
        <v>200000</v>
      </c>
      <c r="J1471" s="144">
        <f t="shared" si="39"/>
        <v>200000</v>
      </c>
      <c r="K1471" s="108" t="s">
        <v>6258</v>
      </c>
      <c r="L1471" s="199" t="s">
        <v>6625</v>
      </c>
      <c r="M1471" s="17"/>
      <c r="N1471" s="64" t="s">
        <v>6626</v>
      </c>
      <c r="O1471" s="64" t="s">
        <v>2813</v>
      </c>
      <c r="P1471" s="147" t="s">
        <v>4672</v>
      </c>
      <c r="Q1471" s="149"/>
      <c r="R1471" s="149"/>
      <c r="S1471" s="149"/>
      <c r="T1471" s="149"/>
      <c r="U1471" s="149"/>
      <c r="V1471" s="149"/>
      <c r="W1471" s="149"/>
      <c r="X1471" s="64" t="s">
        <v>3810</v>
      </c>
      <c r="Y1471" s="64" t="s">
        <v>4515</v>
      </c>
      <c r="Z1471" s="68"/>
    </row>
    <row r="1472" ht="15.0" customHeight="1">
      <c r="A1472" s="206">
        <v>45997.0</v>
      </c>
      <c r="B1472" s="201" t="s">
        <v>6627</v>
      </c>
      <c r="C1472" s="45" t="s">
        <v>4112</v>
      </c>
      <c r="D1472" s="140" t="str">
        <f>IFERROR(VLOOKUP(C1472,Stock,3,FALSE),"")</f>
        <v>Wuling Air EV 22-</v>
      </c>
      <c r="E1472" s="45">
        <v>1.0</v>
      </c>
      <c r="F1472" s="198">
        <v>1700000.0</v>
      </c>
      <c r="G1472" s="142">
        <f t="shared" si="40"/>
        <v>1700000</v>
      </c>
      <c r="H1472" s="142"/>
      <c r="I1472" s="143">
        <f t="shared" si="38"/>
        <v>1700000</v>
      </c>
      <c r="J1472" s="144">
        <f t="shared" si="39"/>
        <v>1700000</v>
      </c>
      <c r="K1472" s="108" t="s">
        <v>6628</v>
      </c>
      <c r="L1472" s="199" t="s">
        <v>6629</v>
      </c>
      <c r="M1472" s="17"/>
      <c r="N1472" s="64" t="s">
        <v>6630</v>
      </c>
      <c r="O1472" s="64" t="s">
        <v>6631</v>
      </c>
      <c r="P1472" s="147" t="s">
        <v>4672</v>
      </c>
      <c r="Q1472" s="149"/>
      <c r="R1472" s="141"/>
      <c r="S1472" s="141"/>
      <c r="T1472" s="141">
        <v>50000.0</v>
      </c>
      <c r="U1472" s="149"/>
      <c r="V1472" s="149"/>
      <c r="W1472" s="149"/>
      <c r="X1472" s="64" t="s">
        <v>3810</v>
      </c>
      <c r="Y1472" s="64" t="s">
        <v>4515</v>
      </c>
      <c r="Z1472" s="68"/>
    </row>
    <row r="1473" ht="15.0" customHeight="1">
      <c r="A1473" s="206">
        <v>45997.0</v>
      </c>
      <c r="B1473" s="201" t="s">
        <v>6627</v>
      </c>
      <c r="C1473" s="45" t="s">
        <v>2770</v>
      </c>
      <c r="D1473" s="140" t="str">
        <f>IFERROR(VLOOKUP(C1473,Stock,3,FALSE),"")</f>
        <v>Transport</v>
      </c>
      <c r="E1473" s="45">
        <v>1.0</v>
      </c>
      <c r="F1473" s="198">
        <v>120000.0</v>
      </c>
      <c r="G1473" s="142">
        <f t="shared" si="40"/>
        <v>120000</v>
      </c>
      <c r="H1473" s="142"/>
      <c r="I1473" s="143">
        <f t="shared" si="38"/>
        <v>120000</v>
      </c>
      <c r="J1473" s="144">
        <f t="shared" si="39"/>
        <v>120000</v>
      </c>
      <c r="K1473" s="108" t="s">
        <v>6628</v>
      </c>
      <c r="L1473" s="199" t="s">
        <v>6629</v>
      </c>
      <c r="M1473" s="17"/>
      <c r="N1473" s="64" t="s">
        <v>6630</v>
      </c>
      <c r="O1473" s="64" t="s">
        <v>6631</v>
      </c>
      <c r="P1473" s="147" t="s">
        <v>4672</v>
      </c>
      <c r="Q1473" s="149"/>
      <c r="R1473" s="141"/>
      <c r="S1473" s="141"/>
      <c r="T1473" s="141">
        <v>1770000.0</v>
      </c>
      <c r="U1473" s="149"/>
      <c r="V1473" s="149"/>
      <c r="W1473" s="149"/>
      <c r="X1473" s="64" t="s">
        <v>3810</v>
      </c>
      <c r="Y1473" s="64" t="s">
        <v>4515</v>
      </c>
      <c r="Z1473" s="68"/>
    </row>
    <row r="1474" ht="15.0" customHeight="1">
      <c r="A1474" s="206">
        <v>45997.0</v>
      </c>
      <c r="B1474" s="201" t="s">
        <v>6632</v>
      </c>
      <c r="C1474" s="45" t="s">
        <v>2778</v>
      </c>
      <c r="D1474" s="140" t="str">
        <f>IFERROR(VLOOKUP(C1474,Stock,3,FALSE),"")</f>
        <v>Bongkar Pasang Kaca Mobil Depan</v>
      </c>
      <c r="E1474" s="45">
        <v>1.0</v>
      </c>
      <c r="F1474" s="198">
        <v>600000.0</v>
      </c>
      <c r="G1474" s="142">
        <f t="shared" si="40"/>
        <v>600000</v>
      </c>
      <c r="H1474" s="143">
        <v>300000.0</v>
      </c>
      <c r="I1474" s="143">
        <f t="shared" si="38"/>
        <v>300000</v>
      </c>
      <c r="J1474" s="144">
        <f t="shared" si="39"/>
        <v>300000</v>
      </c>
      <c r="K1474" s="108" t="s">
        <v>6633</v>
      </c>
      <c r="L1474" s="199" t="s">
        <v>6634</v>
      </c>
      <c r="M1474" s="17"/>
      <c r="N1474" s="64" t="s">
        <v>6635</v>
      </c>
      <c r="O1474" s="64" t="s">
        <v>2813</v>
      </c>
      <c r="P1474" s="147" t="s">
        <v>4672</v>
      </c>
      <c r="Q1474" s="149"/>
      <c r="R1474" s="141"/>
      <c r="S1474" s="141"/>
      <c r="T1474" s="141">
        <v>50000.0</v>
      </c>
      <c r="U1474" s="149"/>
      <c r="V1474" s="149"/>
      <c r="W1474" s="149"/>
      <c r="X1474" s="64" t="s">
        <v>3810</v>
      </c>
      <c r="Y1474" s="64" t="s">
        <v>4515</v>
      </c>
      <c r="Z1474" s="68"/>
    </row>
    <row r="1475" ht="15.0" customHeight="1">
      <c r="A1475" s="206">
        <v>45997.0</v>
      </c>
      <c r="B1475" s="201" t="s">
        <v>6632</v>
      </c>
      <c r="C1475" s="45" t="s">
        <v>2770</v>
      </c>
      <c r="D1475" s="140" t="str">
        <f>IFERROR(VLOOKUP(C1475,Stock,3,FALSE),"")</f>
        <v>Transport</v>
      </c>
      <c r="E1475" s="45">
        <v>1.0</v>
      </c>
      <c r="F1475" s="198">
        <v>190000.0</v>
      </c>
      <c r="G1475" s="142">
        <f t="shared" si="40"/>
        <v>190000</v>
      </c>
      <c r="H1475" s="142"/>
      <c r="I1475" s="143">
        <f t="shared" si="38"/>
        <v>190000</v>
      </c>
      <c r="J1475" s="144">
        <f t="shared" si="39"/>
        <v>190000</v>
      </c>
      <c r="K1475" s="108" t="s">
        <v>6633</v>
      </c>
      <c r="L1475" s="199" t="s">
        <v>6634</v>
      </c>
      <c r="M1475" s="17"/>
      <c r="N1475" s="64" t="s">
        <v>6635</v>
      </c>
      <c r="O1475" s="64" t="s">
        <v>2813</v>
      </c>
      <c r="P1475" s="147" t="s">
        <v>4672</v>
      </c>
      <c r="Q1475" s="149"/>
      <c r="R1475" s="141"/>
      <c r="S1475" s="141"/>
      <c r="T1475" s="141">
        <v>440000.0</v>
      </c>
      <c r="U1475" s="149"/>
      <c r="V1475" s="149"/>
      <c r="W1475" s="149"/>
      <c r="X1475" s="64" t="s">
        <v>3810</v>
      </c>
      <c r="Y1475" s="64" t="s">
        <v>4515</v>
      </c>
      <c r="Z1475" s="68"/>
    </row>
    <row r="1476" ht="15.0" customHeight="1">
      <c r="A1476" s="206">
        <v>45997.0</v>
      </c>
      <c r="B1476" s="201" t="s">
        <v>6636</v>
      </c>
      <c r="C1476" s="45" t="s">
        <v>6637</v>
      </c>
      <c r="D1476" s="140" t="str">
        <f>IFERROR(VLOOKUP(C1476,Stock,3,FALSE),"")</f>
        <v>Chery Omoda 5 23- (2 Sensor O /\ )</v>
      </c>
      <c r="E1476" s="45">
        <v>1.0</v>
      </c>
      <c r="F1476" s="198">
        <v>3900000.0</v>
      </c>
      <c r="G1476" s="142">
        <f t="shared" si="40"/>
        <v>3900000</v>
      </c>
      <c r="H1476" s="142"/>
      <c r="I1476" s="143">
        <f t="shared" si="38"/>
        <v>3900000</v>
      </c>
      <c r="J1476" s="144">
        <f t="shared" si="39"/>
        <v>3900000</v>
      </c>
      <c r="K1476" s="108" t="s">
        <v>6615</v>
      </c>
      <c r="L1476" s="199" t="s">
        <v>6616</v>
      </c>
      <c r="M1476" s="17"/>
      <c r="N1476" s="68"/>
      <c r="O1476" s="64" t="s">
        <v>2813</v>
      </c>
      <c r="P1476" s="147" t="s">
        <v>4672</v>
      </c>
      <c r="Q1476" s="149"/>
      <c r="R1476" s="141"/>
      <c r="S1476" s="141"/>
      <c r="T1476" s="141">
        <v>3900000.0</v>
      </c>
      <c r="U1476" s="149"/>
      <c r="V1476" s="149"/>
      <c r="W1476" s="149"/>
      <c r="X1476" s="64" t="s">
        <v>3810</v>
      </c>
      <c r="Y1476" s="64" t="s">
        <v>4515</v>
      </c>
      <c r="Z1476" s="68"/>
    </row>
    <row r="1477" ht="15.0" customHeight="1">
      <c r="A1477" s="206">
        <v>45997.0</v>
      </c>
      <c r="B1477" s="201" t="s">
        <v>6638</v>
      </c>
      <c r="C1477" s="45" t="s">
        <v>6639</v>
      </c>
      <c r="D1477" s="140" t="str">
        <f>IFERROR(VLOOKUP(C1477,Stock,3,FALSE),"")</f>
        <v>Honda Civic 16-21 10th Gen Sedan (Honda)</v>
      </c>
      <c r="E1477" s="45">
        <v>1.0</v>
      </c>
      <c r="F1477" s="198">
        <v>1683000.0</v>
      </c>
      <c r="G1477" s="142">
        <f t="shared" si="40"/>
        <v>1683000</v>
      </c>
      <c r="H1477" s="143">
        <v>100000.0</v>
      </c>
      <c r="I1477" s="143">
        <f t="shared" si="38"/>
        <v>1583000</v>
      </c>
      <c r="J1477" s="144">
        <f t="shared" si="39"/>
        <v>1583000</v>
      </c>
      <c r="K1477" s="108" t="s">
        <v>6640</v>
      </c>
      <c r="L1477" s="199" t="s">
        <v>6641</v>
      </c>
      <c r="M1477" s="17"/>
      <c r="N1477" s="64" t="s">
        <v>6642</v>
      </c>
      <c r="O1477" s="64" t="s">
        <v>2813</v>
      </c>
      <c r="P1477" s="147" t="s">
        <v>4672</v>
      </c>
      <c r="Q1477" s="149"/>
      <c r="R1477" s="141"/>
      <c r="S1477" s="141"/>
      <c r="T1477" s="141">
        <v>1583000.0</v>
      </c>
      <c r="U1477" s="149"/>
      <c r="V1477" s="149"/>
      <c r="W1477" s="149"/>
      <c r="X1477" s="64" t="s">
        <v>3810</v>
      </c>
      <c r="Y1477" s="64" t="s">
        <v>4515</v>
      </c>
      <c r="Z1477" s="68"/>
    </row>
    <row r="1478" ht="15.0" customHeight="1">
      <c r="A1478" s="206">
        <v>45997.0</v>
      </c>
      <c r="B1478" s="201" t="s">
        <v>6643</v>
      </c>
      <c r="C1478" s="45" t="s">
        <v>6644</v>
      </c>
      <c r="D1478" s="140" t="str">
        <f>IFERROR(VLOOKUP(C1478,Stock,3,FALSE),"")</f>
        <v>Honda HR-V 14-21 5D SUV</v>
      </c>
      <c r="E1478" s="45">
        <v>1.0</v>
      </c>
      <c r="F1478" s="198">
        <v>1465000.0</v>
      </c>
      <c r="G1478" s="142">
        <f t="shared" si="40"/>
        <v>1465000</v>
      </c>
      <c r="H1478" s="143">
        <v>200000.0</v>
      </c>
      <c r="I1478" s="143">
        <f t="shared" si="38"/>
        <v>1265000</v>
      </c>
      <c r="J1478" s="144">
        <f t="shared" si="39"/>
        <v>1265000</v>
      </c>
      <c r="K1478" s="108" t="s">
        <v>6645</v>
      </c>
      <c r="L1478" s="199" t="s">
        <v>6646</v>
      </c>
      <c r="M1478" s="17"/>
      <c r="N1478" s="64" t="s">
        <v>6647</v>
      </c>
      <c r="O1478" s="64" t="s">
        <v>6648</v>
      </c>
      <c r="P1478" s="147" t="s">
        <v>4672</v>
      </c>
      <c r="Q1478" s="149"/>
      <c r="R1478" s="143"/>
      <c r="S1478" s="143"/>
      <c r="T1478" s="143">
        <v>1265000.0</v>
      </c>
      <c r="U1478" s="149"/>
      <c r="V1478" s="149"/>
      <c r="W1478" s="149"/>
      <c r="X1478" s="64" t="s">
        <v>3810</v>
      </c>
      <c r="Y1478" s="64" t="s">
        <v>4515</v>
      </c>
      <c r="Z1478" s="68"/>
    </row>
    <row r="1479" ht="15.0" customHeight="1">
      <c r="A1479" s="206">
        <v>45998.0</v>
      </c>
      <c r="B1479" s="201" t="s">
        <v>6649</v>
      </c>
      <c r="C1479" s="45" t="s">
        <v>4317</v>
      </c>
      <c r="D1479" s="140" t="str">
        <f>IFERROR(VLOOKUP(C1479,Stock,3,FALSE),"")</f>
        <v>Wuling Confero (Tanpa Spionnya)</v>
      </c>
      <c r="E1479" s="45">
        <v>1.0</v>
      </c>
      <c r="F1479" s="198">
        <v>1450000.0</v>
      </c>
      <c r="G1479" s="142">
        <f t="shared" si="40"/>
        <v>1450000</v>
      </c>
      <c r="H1479" s="142"/>
      <c r="I1479" s="143">
        <f t="shared" si="38"/>
        <v>1450000</v>
      </c>
      <c r="J1479" s="144">
        <f t="shared" si="39"/>
        <v>1450000</v>
      </c>
      <c r="K1479" s="108" t="s">
        <v>6650</v>
      </c>
      <c r="L1479" s="199" t="s">
        <v>6651</v>
      </c>
      <c r="M1479" s="17"/>
      <c r="N1479" s="64" t="s">
        <v>6652</v>
      </c>
      <c r="O1479" s="64" t="s">
        <v>2813</v>
      </c>
      <c r="P1479" s="147" t="s">
        <v>4672</v>
      </c>
      <c r="Q1479" s="149"/>
      <c r="R1479" s="141"/>
      <c r="S1479" s="141"/>
      <c r="T1479" s="141">
        <v>100000.0</v>
      </c>
      <c r="U1479" s="149"/>
      <c r="V1479" s="149"/>
      <c r="W1479" s="149"/>
      <c r="X1479" s="64" t="s">
        <v>6203</v>
      </c>
      <c r="Y1479" s="64" t="s">
        <v>4515</v>
      </c>
      <c r="Z1479" s="68"/>
    </row>
    <row r="1480" ht="15.0" customHeight="1">
      <c r="A1480" s="206">
        <v>45998.0</v>
      </c>
      <c r="B1480" s="201" t="s">
        <v>6649</v>
      </c>
      <c r="C1480" s="45" t="s">
        <v>2962</v>
      </c>
      <c r="D1480" s="140" t="str">
        <f>IFERROR(VLOOKUP(C1480,Stock,3,FALSE),"")</f>
        <v>Lembur</v>
      </c>
      <c r="E1480" s="45">
        <v>1.0</v>
      </c>
      <c r="F1480" s="198">
        <v>150000.0</v>
      </c>
      <c r="G1480" s="142">
        <f t="shared" si="40"/>
        <v>150000</v>
      </c>
      <c r="H1480" s="142"/>
      <c r="I1480" s="143">
        <f t="shared" si="38"/>
        <v>150000</v>
      </c>
      <c r="J1480" s="144">
        <f t="shared" si="39"/>
        <v>150000</v>
      </c>
      <c r="K1480" s="108" t="s">
        <v>6650</v>
      </c>
      <c r="L1480" s="199" t="s">
        <v>6651</v>
      </c>
      <c r="M1480" s="17"/>
      <c r="N1480" s="64" t="s">
        <v>6652</v>
      </c>
      <c r="O1480" s="64" t="s">
        <v>2813</v>
      </c>
      <c r="P1480" s="147" t="s">
        <v>4672</v>
      </c>
      <c r="Q1480" s="149"/>
      <c r="R1480" s="141"/>
      <c r="S1480" s="141"/>
      <c r="T1480" s="141">
        <v>1500000.0</v>
      </c>
      <c r="U1480" s="149"/>
      <c r="V1480" s="149"/>
      <c r="W1480" s="149"/>
      <c r="X1480" s="64" t="s">
        <v>6203</v>
      </c>
      <c r="Y1480" s="64" t="s">
        <v>4515</v>
      </c>
      <c r="Z1480" s="68"/>
    </row>
    <row r="1481" ht="15.0" customHeight="1">
      <c r="A1481" s="206">
        <v>45999.0</v>
      </c>
      <c r="B1481" s="201" t="s">
        <v>6653</v>
      </c>
      <c r="C1481" s="45" t="s">
        <v>6654</v>
      </c>
      <c r="D1481" s="140" t="str">
        <f>IFERROR(VLOOKUP(C1481,Stock,3,FALSE),"")</f>
        <v>Honda CR-V 12-16  4th Gen (Honda)</v>
      </c>
      <c r="E1481" s="45">
        <v>1.0</v>
      </c>
      <c r="F1481" s="198">
        <v>3669000.0</v>
      </c>
      <c r="G1481" s="142">
        <f t="shared" si="40"/>
        <v>3669000</v>
      </c>
      <c r="H1481" s="142"/>
      <c r="I1481" s="143">
        <f t="shared" si="38"/>
        <v>3669000</v>
      </c>
      <c r="J1481" s="144">
        <f t="shared" si="39"/>
        <v>3669000</v>
      </c>
      <c r="K1481" s="108" t="s">
        <v>6655</v>
      </c>
      <c r="L1481" s="199" t="s">
        <v>6656</v>
      </c>
      <c r="M1481" s="17"/>
      <c r="N1481" s="64" t="s">
        <v>6657</v>
      </c>
      <c r="O1481" s="64" t="s">
        <v>2813</v>
      </c>
      <c r="P1481" s="147" t="s">
        <v>4672</v>
      </c>
      <c r="Q1481" s="149"/>
      <c r="R1481" s="141"/>
      <c r="S1481" s="141"/>
      <c r="T1481" s="141">
        <v>3669000.0</v>
      </c>
      <c r="U1481" s="149"/>
      <c r="V1481" s="149"/>
      <c r="W1481" s="149"/>
      <c r="X1481" s="64" t="s">
        <v>3810</v>
      </c>
      <c r="Y1481" s="64" t="s">
        <v>4515</v>
      </c>
      <c r="Z1481" s="68"/>
    </row>
    <row r="1482" ht="15.0" customHeight="1">
      <c r="A1482" s="206">
        <v>45999.0</v>
      </c>
      <c r="B1482" s="201" t="s">
        <v>6658</v>
      </c>
      <c r="C1482" s="45" t="s">
        <v>3246</v>
      </c>
      <c r="D1482" s="140" t="str">
        <f>IFERROR(VLOOKUP(C1482,Stock,3,FALSE),"")</f>
        <v>Toyota Calya / Sigra 16-</v>
      </c>
      <c r="E1482" s="45">
        <v>1.0</v>
      </c>
      <c r="F1482" s="198">
        <v>1100000.0</v>
      </c>
      <c r="G1482" s="142">
        <f t="shared" si="40"/>
        <v>1100000</v>
      </c>
      <c r="H1482" s="142"/>
      <c r="I1482" s="143">
        <f t="shared" si="38"/>
        <v>1100000</v>
      </c>
      <c r="J1482" s="144">
        <f t="shared" si="39"/>
        <v>1100000</v>
      </c>
      <c r="K1482" s="108" t="s">
        <v>6659</v>
      </c>
      <c r="L1482" s="199" t="s">
        <v>6660</v>
      </c>
      <c r="M1482" s="17"/>
      <c r="N1482" s="64" t="s">
        <v>6661</v>
      </c>
      <c r="O1482" s="64" t="s">
        <v>2813</v>
      </c>
      <c r="P1482" s="147" t="s">
        <v>4672</v>
      </c>
      <c r="Q1482" s="149"/>
      <c r="R1482" s="141"/>
      <c r="S1482" s="141"/>
      <c r="T1482" s="141">
        <v>1100000.0</v>
      </c>
      <c r="U1482" s="149"/>
      <c r="V1482" s="149"/>
      <c r="W1482" s="149"/>
      <c r="X1482" s="64" t="s">
        <v>3810</v>
      </c>
      <c r="Y1482" s="64" t="s">
        <v>4515</v>
      </c>
      <c r="Z1482" s="68"/>
    </row>
    <row r="1483" ht="15.0" customHeight="1">
      <c r="A1483" s="206">
        <v>45999.0</v>
      </c>
      <c r="B1483" s="201" t="s">
        <v>6662</v>
      </c>
      <c r="C1483" s="45" t="s">
        <v>3727</v>
      </c>
      <c r="D1483" s="140" t="str">
        <f>IFERROR(VLOOKUP(C1483,Stock,3,FALSE),"")</f>
        <v>Toyota Innova 15- 2nd Gen</v>
      </c>
      <c r="E1483" s="45">
        <v>1.0</v>
      </c>
      <c r="F1483" s="198">
        <v>1600000.0</v>
      </c>
      <c r="G1483" s="142">
        <f t="shared" si="40"/>
        <v>1600000</v>
      </c>
      <c r="H1483" s="142"/>
      <c r="I1483" s="143">
        <f t="shared" si="38"/>
        <v>1600000</v>
      </c>
      <c r="J1483" s="144">
        <f t="shared" si="39"/>
        <v>1600000</v>
      </c>
      <c r="K1483" s="108" t="s">
        <v>6663</v>
      </c>
      <c r="L1483" s="199" t="s">
        <v>6664</v>
      </c>
      <c r="M1483" s="17"/>
      <c r="N1483" s="64" t="s">
        <v>6665</v>
      </c>
      <c r="O1483" s="64" t="s">
        <v>6666</v>
      </c>
      <c r="P1483" s="147" t="s">
        <v>4672</v>
      </c>
      <c r="Q1483" s="149"/>
      <c r="R1483" s="141"/>
      <c r="S1483" s="141"/>
      <c r="T1483" s="141">
        <v>1600000.0</v>
      </c>
      <c r="U1483" s="149"/>
      <c r="V1483" s="149"/>
      <c r="W1483" s="149"/>
      <c r="X1483" s="64" t="s">
        <v>3810</v>
      </c>
      <c r="Y1483" s="64" t="s">
        <v>4515</v>
      </c>
      <c r="Z1483" s="68"/>
    </row>
    <row r="1484" ht="15.0" customHeight="1">
      <c r="A1484" s="206">
        <v>45999.0</v>
      </c>
      <c r="B1484" s="201" t="s">
        <v>6667</v>
      </c>
      <c r="C1484" s="45" t="s">
        <v>6668</v>
      </c>
      <c r="D1484" s="140" t="str">
        <f>IFERROR(VLOOKUP(C1484,Stock,3,FALSE),"")</f>
        <v>Honda Jazz 13- 3rd Gen</v>
      </c>
      <c r="E1484" s="45">
        <v>1.0</v>
      </c>
      <c r="F1484" s="198">
        <v>1475000.0</v>
      </c>
      <c r="G1484" s="142">
        <f t="shared" si="40"/>
        <v>1475000</v>
      </c>
      <c r="H1484" s="142"/>
      <c r="I1484" s="143">
        <f t="shared" si="38"/>
        <v>1475000</v>
      </c>
      <c r="J1484" s="144">
        <f t="shared" si="39"/>
        <v>1475000</v>
      </c>
      <c r="K1484" s="108" t="s">
        <v>6669</v>
      </c>
      <c r="L1484" s="199" t="s">
        <v>6670</v>
      </c>
      <c r="M1484" s="17"/>
      <c r="N1484" s="64" t="s">
        <v>6671</v>
      </c>
      <c r="O1484" s="64" t="s">
        <v>6672</v>
      </c>
      <c r="P1484" s="147" t="s">
        <v>4672</v>
      </c>
      <c r="Q1484" s="149"/>
      <c r="R1484" s="141"/>
      <c r="S1484" s="141"/>
      <c r="T1484" s="141">
        <v>50000.0</v>
      </c>
      <c r="U1484" s="149"/>
      <c r="V1484" s="149"/>
      <c r="W1484" s="149"/>
      <c r="X1484" s="64" t="s">
        <v>3810</v>
      </c>
      <c r="Y1484" s="64" t="s">
        <v>4515</v>
      </c>
      <c r="Z1484" s="68"/>
    </row>
    <row r="1485" ht="15.0" customHeight="1">
      <c r="A1485" s="206">
        <v>45999.0</v>
      </c>
      <c r="B1485" s="201" t="s">
        <v>6667</v>
      </c>
      <c r="C1485" s="45" t="s">
        <v>2770</v>
      </c>
      <c r="D1485" s="140" t="str">
        <f>IFERROR(VLOOKUP(C1485,Stock,3,FALSE),"")</f>
        <v>Transport</v>
      </c>
      <c r="E1485" s="45">
        <v>1.0</v>
      </c>
      <c r="F1485" s="198">
        <v>200000.0</v>
      </c>
      <c r="G1485" s="142">
        <f t="shared" si="40"/>
        <v>200000</v>
      </c>
      <c r="H1485" s="142"/>
      <c r="I1485" s="143">
        <f t="shared" si="38"/>
        <v>200000</v>
      </c>
      <c r="J1485" s="144">
        <f t="shared" si="39"/>
        <v>200000</v>
      </c>
      <c r="K1485" s="108" t="s">
        <v>6669</v>
      </c>
      <c r="L1485" s="199" t="s">
        <v>6670</v>
      </c>
      <c r="M1485" s="17"/>
      <c r="N1485" s="64" t="s">
        <v>6671</v>
      </c>
      <c r="O1485" s="64" t="s">
        <v>6672</v>
      </c>
      <c r="P1485" s="147" t="s">
        <v>4672</v>
      </c>
      <c r="Q1485" s="149"/>
      <c r="R1485" s="141"/>
      <c r="S1485" s="141"/>
      <c r="T1485" s="141">
        <v>1625000.0</v>
      </c>
      <c r="U1485" s="149"/>
      <c r="V1485" s="149"/>
      <c r="W1485" s="149"/>
      <c r="X1485" s="64" t="s">
        <v>3810</v>
      </c>
      <c r="Y1485" s="64" t="s">
        <v>4515</v>
      </c>
      <c r="Z1485" s="68"/>
    </row>
    <row r="1486" ht="15.0" customHeight="1">
      <c r="A1486" s="206">
        <v>45999.0</v>
      </c>
      <c r="B1486" s="201" t="s">
        <v>6673</v>
      </c>
      <c r="C1486" s="45" t="s">
        <v>6674</v>
      </c>
      <c r="D1486" s="140" t="str">
        <f>IFERROR(VLOOKUP(C1486,Stock,3,FALSE),"")</f>
        <v>Wuling Confero / Formo</v>
      </c>
      <c r="E1486" s="45">
        <v>1.0</v>
      </c>
      <c r="F1486" s="198">
        <v>1252000.0</v>
      </c>
      <c r="G1486" s="142">
        <f t="shared" si="40"/>
        <v>1252000</v>
      </c>
      <c r="H1486" s="142"/>
      <c r="I1486" s="143">
        <f t="shared" si="38"/>
        <v>1252000</v>
      </c>
      <c r="J1486" s="144">
        <f t="shared" si="39"/>
        <v>1252000</v>
      </c>
      <c r="K1486" s="108" t="s">
        <v>6675</v>
      </c>
      <c r="L1486" s="199" t="s">
        <v>6676</v>
      </c>
      <c r="M1486" s="17"/>
      <c r="N1486" s="64" t="s">
        <v>6677</v>
      </c>
      <c r="O1486" s="64" t="s">
        <v>3536</v>
      </c>
      <c r="P1486" s="147" t="s">
        <v>4672</v>
      </c>
      <c r="Q1486" s="149"/>
      <c r="R1486" s="141"/>
      <c r="S1486" s="141"/>
      <c r="T1486" s="141">
        <v>50000.0</v>
      </c>
      <c r="U1486" s="149"/>
      <c r="V1486" s="149"/>
      <c r="W1486" s="149"/>
      <c r="X1486" s="64" t="s">
        <v>3810</v>
      </c>
      <c r="Y1486" s="64" t="s">
        <v>4515</v>
      </c>
      <c r="Z1486" s="68"/>
    </row>
    <row r="1487" ht="15.0" customHeight="1">
      <c r="A1487" s="206">
        <v>45999.0</v>
      </c>
      <c r="B1487" s="201" t="s">
        <v>6673</v>
      </c>
      <c r="C1487" s="45" t="s">
        <v>2770</v>
      </c>
      <c r="D1487" s="140" t="str">
        <f>IFERROR(VLOOKUP(C1487,Stock,3,FALSE),"")</f>
        <v>Transport</v>
      </c>
      <c r="E1487" s="45">
        <v>1.0</v>
      </c>
      <c r="F1487" s="198">
        <v>100000.0</v>
      </c>
      <c r="G1487" s="142">
        <f t="shared" si="40"/>
        <v>100000</v>
      </c>
      <c r="H1487" s="142"/>
      <c r="I1487" s="143">
        <f t="shared" si="38"/>
        <v>100000</v>
      </c>
      <c r="J1487" s="144">
        <f t="shared" si="39"/>
        <v>100000</v>
      </c>
      <c r="K1487" s="108" t="s">
        <v>6675</v>
      </c>
      <c r="L1487" s="199" t="s">
        <v>6676</v>
      </c>
      <c r="M1487" s="17"/>
      <c r="N1487" s="64" t="s">
        <v>6677</v>
      </c>
      <c r="O1487" s="64" t="s">
        <v>3536</v>
      </c>
      <c r="P1487" s="147" t="s">
        <v>4672</v>
      </c>
      <c r="Q1487" s="149"/>
      <c r="R1487" s="141"/>
      <c r="S1487" s="141"/>
      <c r="T1487" s="141">
        <v>1302000.0</v>
      </c>
      <c r="U1487" s="149"/>
      <c r="V1487" s="149"/>
      <c r="W1487" s="149"/>
      <c r="X1487" s="64" t="s">
        <v>3810</v>
      </c>
      <c r="Y1487" s="64" t="s">
        <v>4515</v>
      </c>
      <c r="Z1487" s="68"/>
    </row>
    <row r="1488" ht="15.0" customHeight="1">
      <c r="A1488" s="206">
        <v>45999.0</v>
      </c>
      <c r="B1488" s="201" t="s">
        <v>6678</v>
      </c>
      <c r="C1488" s="45" t="s">
        <v>6078</v>
      </c>
      <c r="D1488" s="140" t="str">
        <f>IFERROR(VLOOKUP(C1488,Stock,3,FALSE),"")</f>
        <v>Toyota Calya / Sigra 16-</v>
      </c>
      <c r="E1488" s="45">
        <v>1.0</v>
      </c>
      <c r="F1488" s="198">
        <v>500000.0</v>
      </c>
      <c r="G1488" s="142">
        <f t="shared" si="40"/>
        <v>500000</v>
      </c>
      <c r="H1488" s="142"/>
      <c r="I1488" s="143">
        <f t="shared" si="38"/>
        <v>500000</v>
      </c>
      <c r="J1488" s="144">
        <f t="shared" si="39"/>
        <v>500000</v>
      </c>
      <c r="K1488" s="108" t="s">
        <v>6434</v>
      </c>
      <c r="L1488" s="199" t="s">
        <v>6679</v>
      </c>
      <c r="M1488" s="17"/>
      <c r="N1488" s="64" t="s">
        <v>6680</v>
      </c>
      <c r="O1488" s="64" t="s">
        <v>2813</v>
      </c>
      <c r="P1488" s="147" t="s">
        <v>4672</v>
      </c>
      <c r="Q1488" s="141">
        <v>500000.0</v>
      </c>
      <c r="R1488" s="149"/>
      <c r="S1488" s="149"/>
      <c r="T1488" s="149"/>
      <c r="U1488" s="149"/>
      <c r="V1488" s="149"/>
      <c r="W1488" s="149"/>
      <c r="X1488" s="64" t="s">
        <v>3810</v>
      </c>
      <c r="Y1488" s="64" t="s">
        <v>4515</v>
      </c>
      <c r="Z1488" s="68"/>
    </row>
    <row r="1489" ht="15.0" customHeight="1">
      <c r="A1489" s="206">
        <v>45999.0</v>
      </c>
      <c r="B1489" s="201" t="s">
        <v>6681</v>
      </c>
      <c r="C1489" s="45" t="s">
        <v>6682</v>
      </c>
      <c r="D1489" s="140" t="str">
        <f>IFERROR(VLOOKUP(C1489,Stock,3,FALSE),"")</f>
        <v>Toyota Raize / Daihatsu Rocky 20- (2 Sensor / /\/\ ) (Toyota/Daihasu)</v>
      </c>
      <c r="E1489" s="45">
        <v>1.0</v>
      </c>
      <c r="F1489" s="198">
        <v>2895000.0</v>
      </c>
      <c r="G1489" s="142">
        <f t="shared" si="40"/>
        <v>2895000</v>
      </c>
      <c r="H1489" s="142"/>
      <c r="I1489" s="143">
        <f t="shared" si="38"/>
        <v>2895000</v>
      </c>
      <c r="J1489" s="144">
        <f t="shared" si="39"/>
        <v>2895000</v>
      </c>
      <c r="K1489" s="108" t="s">
        <v>6683</v>
      </c>
      <c r="L1489" s="199" t="s">
        <v>6684</v>
      </c>
      <c r="M1489" s="17"/>
      <c r="N1489" s="64" t="s">
        <v>6685</v>
      </c>
      <c r="O1489" s="64" t="s">
        <v>6686</v>
      </c>
      <c r="P1489" s="147" t="s">
        <v>4672</v>
      </c>
      <c r="Q1489" s="149"/>
      <c r="R1489" s="141"/>
      <c r="S1489" s="141"/>
      <c r="T1489" s="141">
        <v>2895000.0</v>
      </c>
      <c r="U1489" s="149"/>
      <c r="V1489" s="149"/>
      <c r="W1489" s="149"/>
      <c r="X1489" s="64" t="s">
        <v>3810</v>
      </c>
      <c r="Y1489" s="64" t="s">
        <v>4515</v>
      </c>
      <c r="Z1489" s="68"/>
    </row>
    <row r="1490" ht="15.0" customHeight="1">
      <c r="A1490" s="206">
        <v>45999.0</v>
      </c>
      <c r="B1490" s="201" t="s">
        <v>6687</v>
      </c>
      <c r="C1490" s="45" t="s">
        <v>6688</v>
      </c>
      <c r="D1490" s="140" t="str">
        <f>IFERROR(VLOOKUP(C1490,Stock,3,FALSE),"")</f>
        <v>Ford Escape 00-12</v>
      </c>
      <c r="E1490" s="45">
        <v>1.0</v>
      </c>
      <c r="F1490" s="198">
        <v>1932000.0</v>
      </c>
      <c r="G1490" s="142">
        <f t="shared" si="40"/>
        <v>1932000</v>
      </c>
      <c r="H1490" s="142"/>
      <c r="I1490" s="143">
        <f t="shared" si="38"/>
        <v>1932000</v>
      </c>
      <c r="J1490" s="144">
        <f t="shared" si="39"/>
        <v>1932000</v>
      </c>
      <c r="K1490" s="108" t="s">
        <v>6689</v>
      </c>
      <c r="L1490" s="199" t="s">
        <v>6690</v>
      </c>
      <c r="M1490" s="17"/>
      <c r="N1490" s="64" t="s">
        <v>6691</v>
      </c>
      <c r="O1490" s="64" t="s">
        <v>6692</v>
      </c>
      <c r="P1490" s="147" t="s">
        <v>4672</v>
      </c>
      <c r="Q1490" s="149"/>
      <c r="R1490" s="141"/>
      <c r="S1490" s="141"/>
      <c r="T1490" s="141">
        <v>1932000.0</v>
      </c>
      <c r="U1490" s="149"/>
      <c r="V1490" s="149"/>
      <c r="W1490" s="149"/>
      <c r="X1490" s="64" t="s">
        <v>3810</v>
      </c>
      <c r="Y1490" s="64" t="s">
        <v>4515</v>
      </c>
      <c r="Z1490" s="68"/>
    </row>
    <row r="1491" ht="15.0" customHeight="1">
      <c r="A1491" s="206">
        <v>45999.0</v>
      </c>
      <c r="B1491" s="201" t="s">
        <v>6687</v>
      </c>
      <c r="C1491" s="45" t="s">
        <v>5254</v>
      </c>
      <c r="D1491" s="140" t="str">
        <f>IFERROR(VLOOKUP(C1491,Stock,3,FALSE),"")</f>
        <v>Automotive Film Standard - Black 40%				</v>
      </c>
      <c r="E1491" s="45">
        <v>1.0</v>
      </c>
      <c r="F1491" s="198">
        <v>200000.0</v>
      </c>
      <c r="G1491" s="142">
        <f t="shared" si="40"/>
        <v>200000</v>
      </c>
      <c r="H1491" s="142"/>
      <c r="I1491" s="143">
        <f t="shared" si="38"/>
        <v>200000</v>
      </c>
      <c r="J1491" s="144">
        <f t="shared" si="39"/>
        <v>200000</v>
      </c>
      <c r="K1491" s="108" t="s">
        <v>6689</v>
      </c>
      <c r="L1491" s="199" t="s">
        <v>6690</v>
      </c>
      <c r="M1491" s="17"/>
      <c r="N1491" s="64" t="s">
        <v>6691</v>
      </c>
      <c r="O1491" s="64" t="s">
        <v>6692</v>
      </c>
      <c r="P1491" s="147" t="s">
        <v>4672</v>
      </c>
      <c r="Q1491" s="149"/>
      <c r="R1491" s="141"/>
      <c r="S1491" s="141"/>
      <c r="T1491" s="141"/>
      <c r="U1491" s="149"/>
      <c r="V1491" s="149"/>
      <c r="W1491" s="149"/>
      <c r="X1491" s="64" t="s">
        <v>3810</v>
      </c>
      <c r="Y1491" s="64" t="s">
        <v>4515</v>
      </c>
      <c r="Z1491" s="68"/>
    </row>
    <row r="1492" ht="15.0" customHeight="1">
      <c r="A1492" s="206">
        <v>45999.0</v>
      </c>
      <c r="B1492" s="201" t="s">
        <v>6693</v>
      </c>
      <c r="C1492" s="45" t="s">
        <v>4434</v>
      </c>
      <c r="D1492" s="140" t="str">
        <f>IFERROR(VLOOKUP(C1492,Stock,3,FALSE),"")</f>
        <v>Mitsubishi Xpander 17-21 / Livina 19- 2nd Gen</v>
      </c>
      <c r="E1492" s="45">
        <v>1.0</v>
      </c>
      <c r="F1492" s="198">
        <v>1289000.0</v>
      </c>
      <c r="G1492" s="142">
        <f t="shared" si="40"/>
        <v>1289000</v>
      </c>
      <c r="H1492" s="142"/>
      <c r="I1492" s="143">
        <f t="shared" si="38"/>
        <v>1289000</v>
      </c>
      <c r="J1492" s="144">
        <f t="shared" si="39"/>
        <v>1289000</v>
      </c>
      <c r="K1492" s="108" t="s">
        <v>6694</v>
      </c>
      <c r="L1492" s="199" t="s">
        <v>6695</v>
      </c>
      <c r="M1492" s="17"/>
      <c r="N1492" s="64" t="s">
        <v>6696</v>
      </c>
      <c r="O1492" s="64" t="s">
        <v>2813</v>
      </c>
      <c r="P1492" s="147" t="s">
        <v>4672</v>
      </c>
      <c r="Q1492" s="141">
        <v>1289000.0</v>
      </c>
      <c r="R1492" s="141"/>
      <c r="S1492" s="141"/>
      <c r="T1492" s="141"/>
      <c r="U1492" s="149"/>
      <c r="V1492" s="149"/>
      <c r="W1492" s="141"/>
      <c r="X1492" s="64" t="s">
        <v>3810</v>
      </c>
      <c r="Y1492" s="64" t="s">
        <v>4515</v>
      </c>
      <c r="Z1492" s="68"/>
    </row>
    <row r="1493" ht="15.0" customHeight="1">
      <c r="A1493" s="206">
        <v>45999.0</v>
      </c>
      <c r="B1493" s="201" t="s">
        <v>6697</v>
      </c>
      <c r="C1493" s="45" t="s">
        <v>6698</v>
      </c>
      <c r="D1493" s="140" t="str">
        <f>IFERROR(VLOOKUP(C1493,Stock,3,FALSE),"")</f>
        <v>Mitsubishi Pajero 16-</v>
      </c>
      <c r="E1493" s="45">
        <v>1.0</v>
      </c>
      <c r="F1493" s="198">
        <v>1536000.0</v>
      </c>
      <c r="G1493" s="142">
        <f t="shared" si="40"/>
        <v>1536000</v>
      </c>
      <c r="H1493" s="142"/>
      <c r="I1493" s="143">
        <f t="shared" si="38"/>
        <v>1536000</v>
      </c>
      <c r="J1493" s="144">
        <f t="shared" si="39"/>
        <v>1536000</v>
      </c>
      <c r="K1493" s="108" t="s">
        <v>6699</v>
      </c>
      <c r="L1493" s="199" t="s">
        <v>6700</v>
      </c>
      <c r="M1493" s="17"/>
      <c r="N1493" s="64" t="s">
        <v>6701</v>
      </c>
      <c r="O1493" s="64" t="s">
        <v>6702</v>
      </c>
      <c r="P1493" s="147" t="s">
        <v>4672</v>
      </c>
      <c r="Q1493" s="149"/>
      <c r="R1493" s="141"/>
      <c r="S1493" s="141"/>
      <c r="T1493" s="141">
        <v>1676000.0</v>
      </c>
      <c r="U1493" s="149"/>
      <c r="V1493" s="149"/>
      <c r="W1493" s="149"/>
      <c r="X1493" s="64" t="s">
        <v>3810</v>
      </c>
      <c r="Y1493" s="64" t="s">
        <v>4515</v>
      </c>
      <c r="Z1493" s="68"/>
    </row>
    <row r="1494" ht="15.0" customHeight="1">
      <c r="A1494" s="206">
        <v>45999.0</v>
      </c>
      <c r="B1494" s="201" t="s">
        <v>6697</v>
      </c>
      <c r="C1494" s="45" t="s">
        <v>2770</v>
      </c>
      <c r="D1494" s="140" t="str">
        <f>IFERROR(VLOOKUP(C1494,Stock,3,FALSE),"")</f>
        <v>Transport</v>
      </c>
      <c r="E1494" s="45">
        <v>1.0</v>
      </c>
      <c r="F1494" s="198">
        <v>190000.0</v>
      </c>
      <c r="G1494" s="142">
        <f t="shared" si="40"/>
        <v>190000</v>
      </c>
      <c r="H1494" s="142"/>
      <c r="I1494" s="143">
        <f t="shared" si="38"/>
        <v>190000</v>
      </c>
      <c r="J1494" s="144">
        <f t="shared" si="39"/>
        <v>190000</v>
      </c>
      <c r="K1494" s="108" t="s">
        <v>6699</v>
      </c>
      <c r="L1494" s="199" t="s">
        <v>6700</v>
      </c>
      <c r="M1494" s="17"/>
      <c r="N1494" s="64" t="s">
        <v>6701</v>
      </c>
      <c r="O1494" s="64" t="s">
        <v>6702</v>
      </c>
      <c r="P1494" s="147" t="s">
        <v>4672</v>
      </c>
      <c r="Q1494" s="149"/>
      <c r="R1494" s="141"/>
      <c r="S1494" s="141"/>
      <c r="T1494" s="141">
        <v>50000.0</v>
      </c>
      <c r="U1494" s="149"/>
      <c r="V1494" s="149"/>
      <c r="W1494" s="149"/>
      <c r="X1494" s="64" t="s">
        <v>3810</v>
      </c>
      <c r="Y1494" s="64" t="s">
        <v>4515</v>
      </c>
      <c r="Z1494" s="68"/>
    </row>
    <row r="1495" ht="15.0" customHeight="1">
      <c r="A1495" s="206">
        <v>46000.0</v>
      </c>
      <c r="B1495" s="201" t="s">
        <v>6703</v>
      </c>
      <c r="C1495" s="45" t="s">
        <v>6704</v>
      </c>
      <c r="D1495" s="140" t="str">
        <f>IFERROR(VLOOKUP(C1495,Stock,3,FALSE),"")</f>
        <v>BMW X5 Series 18-25 G05 (2 Sensor / /\ O ) (BMW)</v>
      </c>
      <c r="E1495" s="45">
        <v>1.0</v>
      </c>
      <c r="F1495" s="198">
        <v>2.1422E7</v>
      </c>
      <c r="G1495" s="142">
        <f t="shared" si="40"/>
        <v>21422000</v>
      </c>
      <c r="H1495" s="142"/>
      <c r="I1495" s="143">
        <f t="shared" si="38"/>
        <v>21422000</v>
      </c>
      <c r="J1495" s="144">
        <f t="shared" si="39"/>
        <v>21422000</v>
      </c>
      <c r="K1495" s="108" t="s">
        <v>6705</v>
      </c>
      <c r="L1495" s="199" t="s">
        <v>6706</v>
      </c>
      <c r="M1495" s="17"/>
      <c r="N1495" s="68"/>
      <c r="O1495" s="64" t="s">
        <v>6707</v>
      </c>
      <c r="P1495" s="147" t="s">
        <v>4672</v>
      </c>
      <c r="Q1495" s="149"/>
      <c r="R1495" s="141"/>
      <c r="S1495" s="141"/>
      <c r="T1495" s="141">
        <v>1.0701E7</v>
      </c>
      <c r="U1495" s="149"/>
      <c r="V1495" s="149"/>
      <c r="W1495" s="149"/>
      <c r="X1495" s="64" t="s">
        <v>3810</v>
      </c>
      <c r="Y1495" s="64" t="s">
        <v>4515</v>
      </c>
      <c r="Z1495" s="68"/>
    </row>
    <row r="1496" ht="15.0" customHeight="1">
      <c r="A1496" s="206">
        <v>46000.0</v>
      </c>
      <c r="B1496" s="201" t="s">
        <v>6703</v>
      </c>
      <c r="C1496" s="45" t="s">
        <v>4979</v>
      </c>
      <c r="D1496" s="140" t="str">
        <f>IFERROR(VLOOKUP(C1496,Stock,3,FALSE),"")</f>
        <v>255 Ultra + Actv-100 Application</v>
      </c>
      <c r="E1496" s="45">
        <v>1.0</v>
      </c>
      <c r="F1496" s="198">
        <v>200000.0</v>
      </c>
      <c r="G1496" s="142">
        <f t="shared" si="40"/>
        <v>200000</v>
      </c>
      <c r="H1496" s="142"/>
      <c r="I1496" s="143">
        <f t="shared" si="38"/>
        <v>200000</v>
      </c>
      <c r="J1496" s="144">
        <f t="shared" si="39"/>
        <v>200000</v>
      </c>
      <c r="K1496" s="108" t="s">
        <v>6705</v>
      </c>
      <c r="L1496" s="199" t="s">
        <v>6706</v>
      </c>
      <c r="M1496" s="17"/>
      <c r="N1496" s="68"/>
      <c r="O1496" s="64" t="s">
        <v>6707</v>
      </c>
      <c r="P1496" s="147" t="s">
        <v>4672</v>
      </c>
      <c r="Q1496" s="149"/>
      <c r="R1496" s="141"/>
      <c r="S1496" s="141"/>
      <c r="T1496" s="141">
        <v>1.0921E7</v>
      </c>
      <c r="U1496" s="149"/>
      <c r="V1496" s="149"/>
      <c r="W1496" s="149"/>
      <c r="X1496" s="64" t="s">
        <v>3191</v>
      </c>
      <c r="Y1496" s="64"/>
      <c r="Z1496" s="68"/>
    </row>
    <row r="1497" ht="15.0" customHeight="1">
      <c r="A1497" s="206">
        <v>46000.0</v>
      </c>
      <c r="B1497" s="201" t="s">
        <v>6708</v>
      </c>
      <c r="C1497" s="45" t="s">
        <v>2944</v>
      </c>
      <c r="D1497" s="140" t="str">
        <f>IFERROR(VLOOKUP(C1497,Stock,3,FALSE),"")</f>
        <v>Toyota Innova 04-15 1st Gen</v>
      </c>
      <c r="E1497" s="45">
        <v>1.0</v>
      </c>
      <c r="F1497" s="198">
        <v>1300000.0</v>
      </c>
      <c r="G1497" s="142">
        <f t="shared" si="40"/>
        <v>1300000</v>
      </c>
      <c r="H1497" s="142"/>
      <c r="I1497" s="143">
        <f t="shared" si="38"/>
        <v>1300000</v>
      </c>
      <c r="J1497" s="144">
        <f t="shared" si="39"/>
        <v>1300000</v>
      </c>
      <c r="K1497" s="108" t="s">
        <v>6709</v>
      </c>
      <c r="L1497" s="199" t="s">
        <v>6710</v>
      </c>
      <c r="M1497" s="17"/>
      <c r="N1497" s="64" t="s">
        <v>6711</v>
      </c>
      <c r="O1497" s="64" t="s">
        <v>2813</v>
      </c>
      <c r="P1497" s="147" t="s">
        <v>4672</v>
      </c>
      <c r="Q1497" s="149"/>
      <c r="R1497" s="141"/>
      <c r="S1497" s="141"/>
      <c r="T1497" s="141">
        <v>1300000.0</v>
      </c>
      <c r="U1497" s="149"/>
      <c r="V1497" s="149"/>
      <c r="W1497" s="149"/>
      <c r="X1497" s="64" t="s">
        <v>6553</v>
      </c>
      <c r="Y1497" s="64" t="s">
        <v>4515</v>
      </c>
      <c r="Z1497" s="68"/>
    </row>
    <row r="1498" ht="15.0" customHeight="1">
      <c r="A1498" s="206">
        <v>46000.0</v>
      </c>
      <c r="B1498" s="201" t="s">
        <v>6712</v>
      </c>
      <c r="C1498" s="45" t="s">
        <v>6713</v>
      </c>
      <c r="D1498" s="140" t="str">
        <f>IFERROR(VLOOKUP(C1498,Stock,3,FALSE),"")</f>
        <v>Toyota Rush / Terios 18-</v>
      </c>
      <c r="E1498" s="45">
        <v>1.0</v>
      </c>
      <c r="F1498" s="198">
        <v>750000.0</v>
      </c>
      <c r="G1498" s="142">
        <f t="shared" si="40"/>
        <v>750000</v>
      </c>
      <c r="H1498" s="142"/>
      <c r="I1498" s="143">
        <f t="shared" si="38"/>
        <v>750000</v>
      </c>
      <c r="J1498" s="144">
        <f t="shared" si="39"/>
        <v>750000</v>
      </c>
      <c r="K1498" s="108" t="s">
        <v>6714</v>
      </c>
      <c r="L1498" s="199" t="s">
        <v>6715</v>
      </c>
      <c r="M1498" s="17"/>
      <c r="N1498" s="64" t="s">
        <v>6716</v>
      </c>
      <c r="O1498" s="64" t="s">
        <v>2813</v>
      </c>
      <c r="P1498" s="147" t="s">
        <v>4672</v>
      </c>
      <c r="Q1498" s="149"/>
      <c r="R1498" s="141"/>
      <c r="S1498" s="141"/>
      <c r="T1498" s="141">
        <v>750000.0</v>
      </c>
      <c r="U1498" s="149"/>
      <c r="V1498" s="149"/>
      <c r="W1498" s="149"/>
      <c r="X1498" s="64" t="s">
        <v>6553</v>
      </c>
      <c r="Y1498" s="64" t="s">
        <v>4515</v>
      </c>
      <c r="Z1498" s="68"/>
    </row>
    <row r="1499" ht="15.0" customHeight="1">
      <c r="A1499" s="206">
        <v>46000.0</v>
      </c>
      <c r="B1499" s="201" t="s">
        <v>6717</v>
      </c>
      <c r="C1499" s="45" t="s">
        <v>4579</v>
      </c>
      <c r="D1499" s="140" t="str">
        <f>IFERROR(VLOOKUP(C1499,Stock,3,FALSE),"")</f>
        <v>Honda HR-V 14-21 5D SUV (Honda)</v>
      </c>
      <c r="E1499" s="45">
        <v>1.0</v>
      </c>
      <c r="F1499" s="198">
        <v>985000.0</v>
      </c>
      <c r="G1499" s="142">
        <f t="shared" si="40"/>
        <v>985000</v>
      </c>
      <c r="H1499" s="142"/>
      <c r="I1499" s="143">
        <f t="shared" si="38"/>
        <v>985000</v>
      </c>
      <c r="J1499" s="144">
        <f t="shared" si="39"/>
        <v>985000</v>
      </c>
      <c r="K1499" s="108" t="s">
        <v>6718</v>
      </c>
      <c r="L1499" s="199" t="s">
        <v>6719</v>
      </c>
      <c r="M1499" s="17"/>
      <c r="N1499" s="64" t="s">
        <v>6720</v>
      </c>
      <c r="O1499" s="64" t="s">
        <v>4490</v>
      </c>
      <c r="P1499" s="147" t="s">
        <v>4672</v>
      </c>
      <c r="Q1499" s="149"/>
      <c r="R1499" s="141"/>
      <c r="S1499" s="141"/>
      <c r="T1499" s="141">
        <v>50000.0</v>
      </c>
      <c r="U1499" s="149"/>
      <c r="V1499" s="149"/>
      <c r="W1499" s="149"/>
      <c r="X1499" s="64" t="s">
        <v>6553</v>
      </c>
      <c r="Y1499" s="64" t="s">
        <v>4515</v>
      </c>
      <c r="Z1499" s="68"/>
    </row>
    <row r="1500" ht="15.0" customHeight="1">
      <c r="A1500" s="206">
        <v>46000.0</v>
      </c>
      <c r="B1500" s="201" t="s">
        <v>6717</v>
      </c>
      <c r="C1500" s="45" t="s">
        <v>2770</v>
      </c>
      <c r="D1500" s="140" t="str">
        <f>IFERROR(VLOOKUP(C1500,Stock,3,FALSE),"")</f>
        <v>Transport</v>
      </c>
      <c r="E1500" s="45">
        <v>1.0</v>
      </c>
      <c r="F1500" s="198">
        <v>170000.0</v>
      </c>
      <c r="G1500" s="142">
        <f t="shared" si="40"/>
        <v>170000</v>
      </c>
      <c r="H1500" s="142"/>
      <c r="I1500" s="143">
        <f t="shared" si="38"/>
        <v>170000</v>
      </c>
      <c r="J1500" s="144">
        <f t="shared" si="39"/>
        <v>170000</v>
      </c>
      <c r="K1500" s="108" t="s">
        <v>6718</v>
      </c>
      <c r="L1500" s="199" t="s">
        <v>6719</v>
      </c>
      <c r="M1500" s="17"/>
      <c r="N1500" s="64" t="s">
        <v>6720</v>
      </c>
      <c r="O1500" s="64" t="s">
        <v>4490</v>
      </c>
      <c r="P1500" s="147" t="s">
        <v>4672</v>
      </c>
      <c r="Q1500" s="149"/>
      <c r="R1500" s="141"/>
      <c r="S1500" s="141"/>
      <c r="T1500" s="141">
        <v>1105000.0</v>
      </c>
      <c r="U1500" s="149"/>
      <c r="V1500" s="149"/>
      <c r="W1500" s="149"/>
      <c r="X1500" s="64" t="s">
        <v>6553</v>
      </c>
      <c r="Y1500" s="64" t="s">
        <v>4515</v>
      </c>
      <c r="Z1500" s="68"/>
    </row>
    <row r="1501" ht="15.0" customHeight="1">
      <c r="A1501" s="206">
        <v>46001.0</v>
      </c>
      <c r="B1501" s="201" t="s">
        <v>6721</v>
      </c>
      <c r="C1501" s="45" t="s">
        <v>2869</v>
      </c>
      <c r="D1501" s="140" t="str">
        <f>IFERROR(VLOOKUP(C1501,Stock,3,FALSE),"")</f>
        <v>Daihatsu Gran Max / Luxio 07-</v>
      </c>
      <c r="E1501" s="45">
        <v>1.0</v>
      </c>
      <c r="F1501" s="198">
        <v>1000000.0</v>
      </c>
      <c r="G1501" s="142">
        <f t="shared" si="40"/>
        <v>1000000</v>
      </c>
      <c r="H1501" s="142"/>
      <c r="I1501" s="143">
        <f t="shared" si="38"/>
        <v>1000000</v>
      </c>
      <c r="J1501" s="144">
        <f t="shared" si="39"/>
        <v>1000000</v>
      </c>
      <c r="K1501" s="108" t="s">
        <v>6722</v>
      </c>
      <c r="L1501" s="199" t="s">
        <v>6723</v>
      </c>
      <c r="M1501" s="17"/>
      <c r="N1501" s="64" t="s">
        <v>6724</v>
      </c>
      <c r="O1501" s="64" t="s">
        <v>2813</v>
      </c>
      <c r="P1501" s="147" t="s">
        <v>4672</v>
      </c>
      <c r="Q1501" s="149"/>
      <c r="R1501" s="141"/>
      <c r="S1501" s="141"/>
      <c r="T1501" s="141">
        <v>1000000.0</v>
      </c>
      <c r="U1501" s="149"/>
      <c r="V1501" s="149"/>
      <c r="W1501" s="149"/>
      <c r="X1501" s="64" t="s">
        <v>6553</v>
      </c>
      <c r="Y1501" s="64" t="s">
        <v>4515</v>
      </c>
      <c r="Z1501" s="68"/>
    </row>
    <row r="1502" ht="15.0" customHeight="1">
      <c r="A1502" s="206">
        <v>46001.0</v>
      </c>
      <c r="B1502" s="201" t="s">
        <v>6725</v>
      </c>
      <c r="C1502" s="45" t="s">
        <v>3225</v>
      </c>
      <c r="D1502" s="140" t="str">
        <f>IFERROR(VLOOKUP(C1502,Stock,3,FALSE),"")</f>
        <v>Toyota Rush / Terios 18-</v>
      </c>
      <c r="E1502" s="45">
        <v>1.0</v>
      </c>
      <c r="F1502" s="198">
        <v>1260000.0</v>
      </c>
      <c r="G1502" s="142">
        <f t="shared" si="40"/>
        <v>1260000</v>
      </c>
      <c r="H1502" s="143">
        <v>110000.0</v>
      </c>
      <c r="I1502" s="143">
        <f t="shared" si="38"/>
        <v>1150000</v>
      </c>
      <c r="J1502" s="144">
        <f t="shared" si="39"/>
        <v>1150000</v>
      </c>
      <c r="K1502" s="108" t="s">
        <v>6726</v>
      </c>
      <c r="L1502" s="199" t="s">
        <v>6727</v>
      </c>
      <c r="M1502" s="17"/>
      <c r="N1502" s="64" t="s">
        <v>6728</v>
      </c>
      <c r="O1502" s="64" t="s">
        <v>2813</v>
      </c>
      <c r="P1502" s="147" t="s">
        <v>4672</v>
      </c>
      <c r="Q1502" s="149"/>
      <c r="R1502" s="141"/>
      <c r="S1502" s="141"/>
      <c r="T1502" s="141">
        <v>1400000.0</v>
      </c>
      <c r="U1502" s="149"/>
      <c r="V1502" s="149"/>
      <c r="W1502" s="149"/>
      <c r="X1502" s="64" t="s">
        <v>3810</v>
      </c>
      <c r="Y1502" s="64" t="s">
        <v>4515</v>
      </c>
      <c r="Z1502" s="68"/>
    </row>
    <row r="1503" ht="15.0" customHeight="1">
      <c r="A1503" s="206">
        <v>46001.0</v>
      </c>
      <c r="B1503" s="201" t="s">
        <v>6725</v>
      </c>
      <c r="C1503" s="45" t="s">
        <v>5254</v>
      </c>
      <c r="D1503" s="140" t="str">
        <f>IFERROR(VLOOKUP(C1503,Stock,3,FALSE),"")</f>
        <v>Automotive Film Standard - Black 40%				</v>
      </c>
      <c r="E1503" s="45">
        <v>1.0</v>
      </c>
      <c r="F1503" s="198">
        <v>250000.0</v>
      </c>
      <c r="G1503" s="142">
        <f t="shared" si="40"/>
        <v>250000</v>
      </c>
      <c r="H1503" s="142"/>
      <c r="I1503" s="143">
        <f t="shared" si="38"/>
        <v>250000</v>
      </c>
      <c r="J1503" s="144">
        <f t="shared" si="39"/>
        <v>250000</v>
      </c>
      <c r="K1503" s="108" t="s">
        <v>6726</v>
      </c>
      <c r="L1503" s="199" t="s">
        <v>6727</v>
      </c>
      <c r="M1503" s="17"/>
      <c r="N1503" s="64" t="s">
        <v>6728</v>
      </c>
      <c r="O1503" s="64" t="s">
        <v>2813</v>
      </c>
      <c r="P1503" s="147" t="s">
        <v>4672</v>
      </c>
      <c r="Q1503" s="149"/>
      <c r="R1503" s="149"/>
      <c r="S1503" s="149"/>
      <c r="T1503" s="149"/>
      <c r="U1503" s="149"/>
      <c r="V1503" s="149"/>
      <c r="W1503" s="149"/>
      <c r="X1503" s="64" t="s">
        <v>3810</v>
      </c>
      <c r="Y1503" s="64" t="s">
        <v>4602</v>
      </c>
      <c r="Z1503" s="68"/>
    </row>
    <row r="1504" ht="15.0" customHeight="1">
      <c r="A1504" s="206">
        <v>46001.0</v>
      </c>
      <c r="B1504" s="201" t="s">
        <v>6729</v>
      </c>
      <c r="C1504" s="45" t="s">
        <v>6730</v>
      </c>
      <c r="D1504" s="140" t="str">
        <f>IFERROR(VLOOKUP(C1504,Stock,3,FALSE),"")</f>
        <v>Hyundai H1 08- / Mover</v>
      </c>
      <c r="E1504" s="45">
        <v>1.0</v>
      </c>
      <c r="F1504" s="198">
        <v>2096000.0</v>
      </c>
      <c r="G1504" s="142">
        <f t="shared" si="40"/>
        <v>2096000</v>
      </c>
      <c r="H1504" s="142"/>
      <c r="I1504" s="143">
        <f t="shared" si="38"/>
        <v>2096000</v>
      </c>
      <c r="J1504" s="144">
        <f t="shared" si="39"/>
        <v>2096000</v>
      </c>
      <c r="K1504" s="108" t="s">
        <v>6731</v>
      </c>
      <c r="L1504" s="199" t="s">
        <v>6732</v>
      </c>
      <c r="M1504" s="17"/>
      <c r="N1504" s="64" t="s">
        <v>6733</v>
      </c>
      <c r="O1504" s="64" t="s">
        <v>2813</v>
      </c>
      <c r="P1504" s="147" t="s">
        <v>4672</v>
      </c>
      <c r="Q1504" s="149"/>
      <c r="R1504" s="141"/>
      <c r="S1504" s="141"/>
      <c r="T1504" s="141">
        <v>2096000.0</v>
      </c>
      <c r="U1504" s="149"/>
      <c r="V1504" s="149"/>
      <c r="W1504" s="149"/>
      <c r="X1504" s="64" t="s">
        <v>3810</v>
      </c>
      <c r="Y1504" s="64" t="s">
        <v>4515</v>
      </c>
      <c r="Z1504" s="68"/>
    </row>
    <row r="1505" ht="15.0" customHeight="1">
      <c r="A1505" s="206">
        <v>46001.0</v>
      </c>
      <c r="B1505" s="201" t="s">
        <v>6734</v>
      </c>
      <c r="C1505" s="45" t="s">
        <v>6735</v>
      </c>
      <c r="D1505" s="140" t="str">
        <f>IFERROR(VLOOKUP(C1505,Stock,3,FALSE),"")</f>
        <v>DFSK Glory 560 19- (DFSK)</v>
      </c>
      <c r="E1505" s="45">
        <v>1.0</v>
      </c>
      <c r="F1505" s="198">
        <v>3466000.0</v>
      </c>
      <c r="G1505" s="142">
        <f t="shared" si="40"/>
        <v>3466000</v>
      </c>
      <c r="H1505" s="143">
        <v>361200.0</v>
      </c>
      <c r="I1505" s="143">
        <f t="shared" si="38"/>
        <v>3104800</v>
      </c>
      <c r="J1505" s="144">
        <f t="shared" si="39"/>
        <v>3104800</v>
      </c>
      <c r="K1505" s="108" t="s">
        <v>6736</v>
      </c>
      <c r="L1505" s="199" t="s">
        <v>6737</v>
      </c>
      <c r="M1505" s="17"/>
      <c r="N1505" s="68"/>
      <c r="O1505" s="64" t="s">
        <v>2760</v>
      </c>
      <c r="P1505" s="147" t="s">
        <v>4672</v>
      </c>
      <c r="Q1505" s="149"/>
      <c r="R1505" s="149"/>
      <c r="S1505" s="149"/>
      <c r="T1505" s="149"/>
      <c r="U1505" s="141">
        <v>3104800.0</v>
      </c>
      <c r="V1505" s="149"/>
      <c r="W1505" s="149"/>
      <c r="X1505" s="64" t="s">
        <v>3810</v>
      </c>
      <c r="Y1505" s="64" t="s">
        <v>4515</v>
      </c>
      <c r="Z1505" s="68"/>
    </row>
    <row r="1506" ht="15.0" customHeight="1">
      <c r="A1506" s="206">
        <v>46001.0</v>
      </c>
      <c r="B1506" s="201" t="s">
        <v>6734</v>
      </c>
      <c r="C1506" s="45" t="s">
        <v>2778</v>
      </c>
      <c r="D1506" s="140" t="str">
        <f>IFERROR(VLOOKUP(C1506,Stock,3,FALSE),"")</f>
        <v>Bongkar Pasang Kaca Mobil Depan</v>
      </c>
      <c r="E1506" s="45">
        <v>1.0</v>
      </c>
      <c r="F1506" s="198">
        <v>450000.0</v>
      </c>
      <c r="G1506" s="142">
        <f t="shared" si="40"/>
        <v>450000</v>
      </c>
      <c r="H1506" s="143"/>
      <c r="I1506" s="143">
        <f t="shared" si="38"/>
        <v>450000</v>
      </c>
      <c r="J1506" s="144">
        <f t="shared" si="39"/>
        <v>450000</v>
      </c>
      <c r="K1506" s="108" t="s">
        <v>6736</v>
      </c>
      <c r="L1506" s="199" t="s">
        <v>6737</v>
      </c>
      <c r="M1506" s="17"/>
      <c r="N1506" s="68"/>
      <c r="O1506" s="64" t="s">
        <v>2760</v>
      </c>
      <c r="P1506" s="147" t="s">
        <v>4672</v>
      </c>
      <c r="Q1506" s="149"/>
      <c r="R1506" s="149"/>
      <c r="S1506" s="149"/>
      <c r="T1506" s="149"/>
      <c r="U1506" s="141"/>
      <c r="V1506" s="149"/>
      <c r="W1506" s="149"/>
      <c r="X1506" s="64" t="s">
        <v>3810</v>
      </c>
      <c r="Y1506" s="64"/>
      <c r="Z1506" s="68"/>
    </row>
    <row r="1507" ht="15.0" customHeight="1">
      <c r="A1507" s="206">
        <v>46001.0</v>
      </c>
      <c r="B1507" s="201" t="s">
        <v>6734</v>
      </c>
      <c r="C1507" s="45" t="s">
        <v>2770</v>
      </c>
      <c r="D1507" s="140" t="str">
        <f>IFERROR(VLOOKUP(C1507,Stock,3,FALSE),"")</f>
        <v>Transport</v>
      </c>
      <c r="E1507" s="45">
        <v>1.0</v>
      </c>
      <c r="F1507" s="198">
        <v>190000.0</v>
      </c>
      <c r="G1507" s="142">
        <f t="shared" si="40"/>
        <v>190000</v>
      </c>
      <c r="H1507" s="143"/>
      <c r="I1507" s="143">
        <f t="shared" si="38"/>
        <v>190000</v>
      </c>
      <c r="J1507" s="144">
        <f t="shared" si="39"/>
        <v>190000</v>
      </c>
      <c r="K1507" s="108" t="s">
        <v>6736</v>
      </c>
      <c r="L1507" s="199" t="s">
        <v>6737</v>
      </c>
      <c r="M1507" s="17"/>
      <c r="N1507" s="68"/>
      <c r="O1507" s="64" t="s">
        <v>2760</v>
      </c>
      <c r="P1507" s="147" t="s">
        <v>4672</v>
      </c>
      <c r="Q1507" s="149"/>
      <c r="R1507" s="149"/>
      <c r="S1507" s="149"/>
      <c r="T1507" s="149"/>
      <c r="U1507" s="141"/>
      <c r="V1507" s="149"/>
      <c r="W1507" s="149"/>
      <c r="X1507" s="64"/>
      <c r="Y1507" s="64"/>
      <c r="Z1507" s="68"/>
    </row>
    <row r="1508" ht="15.0" customHeight="1">
      <c r="A1508" s="206">
        <v>46001.0</v>
      </c>
      <c r="B1508" s="201" t="s">
        <v>6738</v>
      </c>
      <c r="C1508" s="45" t="s">
        <v>3126</v>
      </c>
      <c r="D1508" s="140" t="str">
        <f>IFERROR(VLOOKUP(C1508,Stock,3,FALSE),"")</f>
        <v>Suzuki Carry New 19-</v>
      </c>
      <c r="E1508" s="45">
        <v>1.0</v>
      </c>
      <c r="F1508" s="198">
        <v>1100000.0</v>
      </c>
      <c r="G1508" s="142">
        <f t="shared" si="40"/>
        <v>1100000</v>
      </c>
      <c r="H1508" s="142"/>
      <c r="I1508" s="143">
        <f t="shared" si="38"/>
        <v>1100000</v>
      </c>
      <c r="J1508" s="144">
        <f t="shared" si="39"/>
        <v>1100000</v>
      </c>
      <c r="K1508" s="108" t="s">
        <v>6739</v>
      </c>
      <c r="L1508" s="199" t="s">
        <v>4087</v>
      </c>
      <c r="M1508" s="17"/>
      <c r="N1508" s="64" t="s">
        <v>6740</v>
      </c>
      <c r="O1508" s="64" t="s">
        <v>2813</v>
      </c>
      <c r="P1508" s="147" t="s">
        <v>4672</v>
      </c>
      <c r="Q1508" s="149"/>
      <c r="R1508" s="141"/>
      <c r="S1508" s="141"/>
      <c r="T1508" s="141">
        <v>1100000.0</v>
      </c>
      <c r="U1508" s="149"/>
      <c r="V1508" s="149"/>
      <c r="W1508" s="149"/>
      <c r="X1508" s="64" t="s">
        <v>3810</v>
      </c>
      <c r="Y1508" s="64" t="s">
        <v>4515</v>
      </c>
      <c r="Z1508" s="68"/>
    </row>
    <row r="1509" ht="15.0" customHeight="1">
      <c r="A1509" s="206">
        <v>46001.0</v>
      </c>
      <c r="B1509" s="201" t="s">
        <v>6741</v>
      </c>
      <c r="C1509" s="45" t="s">
        <v>3082</v>
      </c>
      <c r="D1509" s="140" t="str">
        <f>IFERROR(VLOOKUP(C1509,Stock,3,FALSE),"")</f>
        <v>BMW X5 Series 13-18 F15 (1 Sensor / O )</v>
      </c>
      <c r="E1509" s="45">
        <v>1.0</v>
      </c>
      <c r="F1509" s="141">
        <v>4510000.0</v>
      </c>
      <c r="G1509" s="142">
        <f t="shared" si="40"/>
        <v>4510000</v>
      </c>
      <c r="H1509" s="142"/>
      <c r="I1509" s="143">
        <f t="shared" si="38"/>
        <v>4510000</v>
      </c>
      <c r="J1509" s="144">
        <f t="shared" si="39"/>
        <v>4510000</v>
      </c>
      <c r="K1509" s="108" t="s">
        <v>6742</v>
      </c>
      <c r="L1509" s="199" t="s">
        <v>6743</v>
      </c>
      <c r="M1509" s="17"/>
      <c r="N1509" s="64" t="s">
        <v>6744</v>
      </c>
      <c r="O1509" s="64" t="s">
        <v>2813</v>
      </c>
      <c r="P1509" s="147" t="s">
        <v>4672</v>
      </c>
      <c r="Q1509" s="149"/>
      <c r="R1509" s="141"/>
      <c r="S1509" s="141"/>
      <c r="T1509" s="141">
        <v>4510000.0</v>
      </c>
      <c r="U1509" s="149"/>
      <c r="V1509" s="149"/>
      <c r="W1509" s="149"/>
      <c r="X1509" s="64" t="s">
        <v>6553</v>
      </c>
      <c r="Y1509" s="64" t="s">
        <v>4515</v>
      </c>
      <c r="Z1509" s="68"/>
    </row>
    <row r="1510" ht="15.0" customHeight="1">
      <c r="A1510" s="206">
        <v>46002.0</v>
      </c>
      <c r="B1510" s="201" t="s">
        <v>6745</v>
      </c>
      <c r="C1510" s="45" t="s">
        <v>6746</v>
      </c>
      <c r="D1510" s="140" t="str">
        <f>IFERROR(VLOOKUP(C1510,Stock,3,FALSE),"")</f>
        <v>Toyota Camry 06-11 XV40 4th Gen</v>
      </c>
      <c r="E1510" s="45">
        <v>1.0</v>
      </c>
      <c r="F1510" s="141">
        <v>3123000.0</v>
      </c>
      <c r="G1510" s="142">
        <f t="shared" si="40"/>
        <v>3123000</v>
      </c>
      <c r="H1510" s="143">
        <v>50000.0</v>
      </c>
      <c r="I1510" s="143">
        <f t="shared" si="38"/>
        <v>3073000</v>
      </c>
      <c r="J1510" s="144">
        <f t="shared" si="39"/>
        <v>3073000</v>
      </c>
      <c r="K1510" s="108" t="s">
        <v>6747</v>
      </c>
      <c r="L1510" s="199" t="s">
        <v>6748</v>
      </c>
      <c r="M1510" s="17"/>
      <c r="N1510" s="64" t="s">
        <v>6749</v>
      </c>
      <c r="O1510" s="64" t="s">
        <v>2813</v>
      </c>
      <c r="P1510" s="147" t="s">
        <v>4672</v>
      </c>
      <c r="Q1510" s="149"/>
      <c r="R1510" s="141"/>
      <c r="S1510" s="141"/>
      <c r="T1510" s="141">
        <v>3073000.0</v>
      </c>
      <c r="U1510" s="149"/>
      <c r="V1510" s="149"/>
      <c r="W1510" s="149"/>
      <c r="X1510" s="64" t="s">
        <v>6553</v>
      </c>
      <c r="Y1510" s="68"/>
      <c r="Z1510" s="68"/>
    </row>
    <row r="1511" ht="15.0" customHeight="1">
      <c r="A1511" s="206">
        <v>46002.0</v>
      </c>
      <c r="B1511" s="201" t="s">
        <v>6750</v>
      </c>
      <c r="C1511" s="45" t="s">
        <v>3048</v>
      </c>
      <c r="D1511" s="140" t="str">
        <f>IFERROR(VLOOKUP(C1511,Stock,3,FALSE),"")</f>
        <v>Biaya Pengecekan</v>
      </c>
      <c r="E1511" s="45">
        <v>1.0</v>
      </c>
      <c r="F1511" s="198">
        <v>100000.0</v>
      </c>
      <c r="G1511" s="142">
        <f t="shared" si="40"/>
        <v>100000</v>
      </c>
      <c r="H1511" s="142"/>
      <c r="I1511" s="143">
        <f t="shared" si="38"/>
        <v>100000</v>
      </c>
      <c r="J1511" s="144">
        <f t="shared" si="39"/>
        <v>100000</v>
      </c>
      <c r="K1511" s="108" t="s">
        <v>6751</v>
      </c>
      <c r="L1511" s="199" t="s">
        <v>6752</v>
      </c>
      <c r="M1511" s="17"/>
      <c r="N1511" s="68"/>
      <c r="O1511" s="64" t="s">
        <v>2813</v>
      </c>
      <c r="P1511" s="147" t="s">
        <v>3190</v>
      </c>
      <c r="Q1511" s="141">
        <v>100000.0</v>
      </c>
      <c r="R1511" s="149"/>
      <c r="S1511" s="149"/>
      <c r="T1511" s="149"/>
      <c r="U1511" s="149"/>
      <c r="V1511" s="149"/>
      <c r="W1511" s="149"/>
      <c r="X1511" s="64" t="s">
        <v>6553</v>
      </c>
      <c r="Y1511" s="68"/>
      <c r="Z1511" s="68"/>
    </row>
    <row r="1512" ht="15.0" customHeight="1">
      <c r="A1512" s="206">
        <v>46003.0</v>
      </c>
      <c r="B1512" s="201" t="s">
        <v>6753</v>
      </c>
      <c r="C1512" s="45" t="s">
        <v>2003</v>
      </c>
      <c r="D1512" s="140" t="str">
        <f>IFERROR(VLOOKUP(C1512,Stock,3,FALSE),"")</f>
        <v>Toyota Agya/Ayla 13-22 1st Gen</v>
      </c>
      <c r="E1512" s="45">
        <v>1.0</v>
      </c>
      <c r="F1512" s="198">
        <v>800000.0</v>
      </c>
      <c r="G1512" s="142">
        <f t="shared" si="40"/>
        <v>800000</v>
      </c>
      <c r="H1512" s="143">
        <v>137250.0</v>
      </c>
      <c r="I1512" s="143">
        <f t="shared" si="38"/>
        <v>662750</v>
      </c>
      <c r="J1512" s="144">
        <f t="shared" si="39"/>
        <v>662750</v>
      </c>
      <c r="K1512" s="108" t="s">
        <v>6754</v>
      </c>
      <c r="L1512" s="199" t="s">
        <v>6755</v>
      </c>
      <c r="M1512" s="17"/>
      <c r="N1512" s="64" t="s">
        <v>6756</v>
      </c>
      <c r="O1512" s="64" t="s">
        <v>2768</v>
      </c>
      <c r="P1512" s="147" t="s">
        <v>2752</v>
      </c>
      <c r="Q1512" s="149"/>
      <c r="R1512" s="149"/>
      <c r="S1512" s="149"/>
      <c r="T1512" s="149"/>
      <c r="U1512" s="141">
        <v>662750.0</v>
      </c>
      <c r="V1512" s="149"/>
      <c r="W1512" s="149"/>
      <c r="X1512" s="64" t="s">
        <v>3810</v>
      </c>
      <c r="Y1512" s="68"/>
      <c r="Z1512" s="68"/>
    </row>
    <row r="1513" ht="15.0" customHeight="1">
      <c r="A1513" s="206">
        <v>46003.0</v>
      </c>
      <c r="B1513" s="201" t="s">
        <v>6753</v>
      </c>
      <c r="C1513" s="45" t="s">
        <v>2770</v>
      </c>
      <c r="D1513" s="140" t="str">
        <f>IFERROR(VLOOKUP(C1513,Stock,3,FALSE),"")</f>
        <v>Transport</v>
      </c>
      <c r="E1513" s="45">
        <v>1.0</v>
      </c>
      <c r="F1513" s="198">
        <v>180000.0</v>
      </c>
      <c r="G1513" s="142">
        <f t="shared" si="40"/>
        <v>180000</v>
      </c>
      <c r="H1513" s="142"/>
      <c r="I1513" s="143">
        <f t="shared" si="38"/>
        <v>180000</v>
      </c>
      <c r="J1513" s="144">
        <f t="shared" si="39"/>
        <v>180000</v>
      </c>
      <c r="K1513" s="108" t="s">
        <v>6754</v>
      </c>
      <c r="L1513" s="199" t="s">
        <v>6755</v>
      </c>
      <c r="M1513" s="17"/>
      <c r="N1513" s="64" t="s">
        <v>6756</v>
      </c>
      <c r="O1513" s="64" t="s">
        <v>2768</v>
      </c>
      <c r="P1513" s="147" t="s">
        <v>2752</v>
      </c>
      <c r="Q1513" s="149"/>
      <c r="R1513" s="141"/>
      <c r="S1513" s="141"/>
      <c r="T1513" s="141">
        <v>580000.0</v>
      </c>
      <c r="U1513" s="149"/>
      <c r="V1513" s="149"/>
      <c r="W1513" s="149"/>
      <c r="X1513" s="64" t="s">
        <v>3810</v>
      </c>
      <c r="Y1513" s="68"/>
      <c r="Z1513" s="68"/>
    </row>
    <row r="1514" ht="15.0" customHeight="1">
      <c r="A1514" s="206">
        <v>46003.0</v>
      </c>
      <c r="B1514" s="201" t="s">
        <v>6753</v>
      </c>
      <c r="C1514" s="45" t="s">
        <v>2778</v>
      </c>
      <c r="D1514" s="140" t="str">
        <f>IFERROR(VLOOKUP(C1514,Stock,3,FALSE),"")</f>
        <v>Bongkar Pasang Kaca Mobil Depan</v>
      </c>
      <c r="E1514" s="45">
        <v>1.0</v>
      </c>
      <c r="F1514" s="198">
        <v>400000.0</v>
      </c>
      <c r="G1514" s="142">
        <f t="shared" si="40"/>
        <v>400000</v>
      </c>
      <c r="H1514" s="142"/>
      <c r="I1514" s="143">
        <f t="shared" si="38"/>
        <v>400000</v>
      </c>
      <c r="J1514" s="144">
        <f t="shared" si="39"/>
        <v>400000</v>
      </c>
      <c r="K1514" s="108" t="s">
        <v>6754</v>
      </c>
      <c r="L1514" s="199" t="s">
        <v>6755</v>
      </c>
      <c r="M1514" s="17"/>
      <c r="N1514" s="64" t="s">
        <v>6756</v>
      </c>
      <c r="O1514" s="64" t="s">
        <v>2768</v>
      </c>
      <c r="P1514" s="147" t="s">
        <v>2752</v>
      </c>
      <c r="Q1514" s="149"/>
      <c r="R1514" s="149"/>
      <c r="S1514" s="149"/>
      <c r="T1514" s="149"/>
      <c r="U1514" s="149"/>
      <c r="V1514" s="149"/>
      <c r="W1514" s="149"/>
      <c r="X1514" s="64" t="s">
        <v>3810</v>
      </c>
      <c r="Y1514" s="68"/>
      <c r="Z1514" s="68"/>
    </row>
    <row r="1515" ht="15.0" customHeight="1">
      <c r="A1515" s="206">
        <v>46003.0</v>
      </c>
      <c r="B1515" s="201" t="s">
        <v>6757</v>
      </c>
      <c r="C1515" s="45" t="s">
        <v>6758</v>
      </c>
      <c r="D1515" s="140" t="str">
        <f>IFERROR(VLOOKUP(C1515,Stock,3,FALSE),"")</f>
        <v>Honda Odyssey 99-03 2nd Gen RA6-RA9</v>
      </c>
      <c r="E1515" s="45">
        <v>1.0</v>
      </c>
      <c r="F1515" s="202"/>
      <c r="G1515" s="142">
        <f t="shared" si="40"/>
        <v>0</v>
      </c>
      <c r="H1515" s="142"/>
      <c r="I1515" s="143">
        <f t="shared" si="38"/>
        <v>0</v>
      </c>
      <c r="J1515" s="144">
        <f t="shared" si="39"/>
        <v>0</v>
      </c>
      <c r="K1515" s="108" t="s">
        <v>4509</v>
      </c>
      <c r="L1515" s="17"/>
      <c r="M1515" s="17"/>
      <c r="N1515" s="68"/>
      <c r="O1515" s="64" t="s">
        <v>4175</v>
      </c>
      <c r="P1515" s="170"/>
      <c r="Q1515" s="149"/>
      <c r="R1515" s="149"/>
      <c r="S1515" s="149"/>
      <c r="T1515" s="149"/>
      <c r="U1515" s="149"/>
      <c r="V1515" s="149"/>
      <c r="W1515" s="149"/>
      <c r="X1515" s="64" t="s">
        <v>3810</v>
      </c>
      <c r="Y1515" s="68"/>
      <c r="Z1515" s="68"/>
    </row>
    <row r="1516" ht="15.0" customHeight="1">
      <c r="A1516" s="206">
        <v>46003.0</v>
      </c>
      <c r="B1516" s="201" t="s">
        <v>6757</v>
      </c>
      <c r="C1516" s="64" t="s">
        <v>3225</v>
      </c>
      <c r="D1516" s="140" t="str">
        <f>IFERROR(VLOOKUP(C1516,Stock,3,FALSE),"")</f>
        <v>Toyota Rush / Terios 18-</v>
      </c>
      <c r="E1516" s="45">
        <v>2.0</v>
      </c>
      <c r="F1516" s="202"/>
      <c r="G1516" s="142">
        <f t="shared" si="40"/>
        <v>0</v>
      </c>
      <c r="H1516" s="142"/>
      <c r="I1516" s="143">
        <f t="shared" si="38"/>
        <v>0</v>
      </c>
      <c r="J1516" s="144">
        <f t="shared" si="39"/>
        <v>0</v>
      </c>
      <c r="K1516" s="108" t="s">
        <v>4509</v>
      </c>
      <c r="L1516" s="17"/>
      <c r="M1516" s="17"/>
      <c r="N1516" s="68"/>
      <c r="O1516" s="64" t="s">
        <v>4175</v>
      </c>
      <c r="P1516" s="170"/>
      <c r="Q1516" s="149"/>
      <c r="R1516" s="149"/>
      <c r="S1516" s="149"/>
      <c r="T1516" s="149"/>
      <c r="U1516" s="149"/>
      <c r="V1516" s="149"/>
      <c r="W1516" s="149"/>
      <c r="X1516" s="64" t="s">
        <v>3810</v>
      </c>
      <c r="Y1516" s="68"/>
      <c r="Z1516" s="68"/>
    </row>
    <row r="1517" ht="15.0" customHeight="1">
      <c r="A1517" s="206">
        <v>46003.0</v>
      </c>
      <c r="B1517" s="201" t="s">
        <v>6757</v>
      </c>
      <c r="C1517" s="64" t="s">
        <v>6759</v>
      </c>
      <c r="D1517" s="140" t="str">
        <f>IFERROR(VLOOKUP(C1517,Stock,3,FALSE),"")</f>
        <v>Suzuki Ignis 17-</v>
      </c>
      <c r="E1517" s="45">
        <v>1.0</v>
      </c>
      <c r="F1517" s="202"/>
      <c r="G1517" s="142">
        <f t="shared" si="40"/>
        <v>0</v>
      </c>
      <c r="H1517" s="142"/>
      <c r="I1517" s="143">
        <f t="shared" si="38"/>
        <v>0</v>
      </c>
      <c r="J1517" s="144">
        <f t="shared" si="39"/>
        <v>0</v>
      </c>
      <c r="K1517" s="108" t="s">
        <v>4509</v>
      </c>
      <c r="L1517" s="17"/>
      <c r="M1517" s="17"/>
      <c r="N1517" s="68"/>
      <c r="O1517" s="64" t="s">
        <v>4175</v>
      </c>
      <c r="P1517" s="170"/>
      <c r="Q1517" s="149"/>
      <c r="R1517" s="149"/>
      <c r="S1517" s="149"/>
      <c r="T1517" s="149"/>
      <c r="U1517" s="149"/>
      <c r="V1517" s="149"/>
      <c r="W1517" s="149"/>
      <c r="X1517" s="64" t="s">
        <v>3810</v>
      </c>
      <c r="Y1517" s="68"/>
      <c r="Z1517" s="68"/>
    </row>
    <row r="1518" ht="15.0" customHeight="1">
      <c r="A1518" s="206">
        <v>46003.0</v>
      </c>
      <c r="B1518" s="201" t="s">
        <v>6757</v>
      </c>
      <c r="C1518" s="45" t="s">
        <v>6760</v>
      </c>
      <c r="D1518" s="140" t="str">
        <f>IFERROR(VLOOKUP(C1518,Stock,3,FALSE),"")</f>
        <v>Nissan Teana 08-12 J32</v>
      </c>
      <c r="E1518" s="45">
        <v>1.0</v>
      </c>
      <c r="F1518" s="202"/>
      <c r="G1518" s="142">
        <f t="shared" si="40"/>
        <v>0</v>
      </c>
      <c r="H1518" s="142"/>
      <c r="I1518" s="143">
        <f t="shared" si="38"/>
        <v>0</v>
      </c>
      <c r="J1518" s="144">
        <f t="shared" si="39"/>
        <v>0</v>
      </c>
      <c r="K1518" s="108" t="s">
        <v>4509</v>
      </c>
      <c r="L1518" s="17"/>
      <c r="M1518" s="17"/>
      <c r="N1518" s="68"/>
      <c r="O1518" s="64" t="s">
        <v>4175</v>
      </c>
      <c r="P1518" s="170"/>
      <c r="Q1518" s="149"/>
      <c r="R1518" s="149"/>
      <c r="S1518" s="149"/>
      <c r="T1518" s="149"/>
      <c r="U1518" s="149"/>
      <c r="V1518" s="149"/>
      <c r="W1518" s="149"/>
      <c r="X1518" s="64" t="s">
        <v>3810</v>
      </c>
      <c r="Y1518" s="68"/>
      <c r="Z1518" s="68"/>
    </row>
    <row r="1519" ht="15.0" customHeight="1">
      <c r="A1519" s="206">
        <v>46003.0</v>
      </c>
      <c r="B1519" s="201" t="s">
        <v>6757</v>
      </c>
      <c r="C1519" s="45" t="s">
        <v>6761</v>
      </c>
      <c r="D1519" s="140" t="str">
        <f>IFERROR(VLOOKUP(C1519,Stock,3,FALSE),"")</f>
        <v>Honda CR-V 17-23 5th Gen (2 Sensor / O /\ ) (Honda)</v>
      </c>
      <c r="E1519" s="45">
        <v>1.0</v>
      </c>
      <c r="F1519" s="202"/>
      <c r="G1519" s="142">
        <f t="shared" si="40"/>
        <v>0</v>
      </c>
      <c r="H1519" s="142"/>
      <c r="I1519" s="143">
        <f t="shared" si="38"/>
        <v>0</v>
      </c>
      <c r="J1519" s="144">
        <f t="shared" si="39"/>
        <v>0</v>
      </c>
      <c r="K1519" s="108" t="s">
        <v>4509</v>
      </c>
      <c r="L1519" s="17"/>
      <c r="M1519" s="17"/>
      <c r="N1519" s="68"/>
      <c r="O1519" s="64" t="s">
        <v>4175</v>
      </c>
      <c r="P1519" s="170"/>
      <c r="Q1519" s="149"/>
      <c r="R1519" s="149"/>
      <c r="S1519" s="149"/>
      <c r="T1519" s="149"/>
      <c r="U1519" s="149"/>
      <c r="V1519" s="149"/>
      <c r="W1519" s="149"/>
      <c r="X1519" s="64" t="s">
        <v>3810</v>
      </c>
      <c r="Y1519" s="68"/>
      <c r="Z1519" s="68"/>
    </row>
    <row r="1520" ht="15.0" customHeight="1">
      <c r="A1520" s="206">
        <v>46003.0</v>
      </c>
      <c r="B1520" s="201" t="s">
        <v>6762</v>
      </c>
      <c r="C1520" s="45" t="s">
        <v>6763</v>
      </c>
      <c r="D1520" s="140" t="str">
        <f>IFERROR(VLOOKUP(C1520,Stock,3,FALSE),"")</f>
        <v>Honda Civic 92-95 3D SR0/SR3 (Estilo)</v>
      </c>
      <c r="E1520" s="45">
        <v>1.0</v>
      </c>
      <c r="F1520" s="198">
        <v>1355000.0</v>
      </c>
      <c r="G1520" s="142">
        <f t="shared" si="40"/>
        <v>1355000</v>
      </c>
      <c r="H1520" s="143">
        <v>202875.0</v>
      </c>
      <c r="I1520" s="143">
        <f t="shared" si="38"/>
        <v>1152125</v>
      </c>
      <c r="J1520" s="144">
        <f t="shared" si="39"/>
        <v>1152125</v>
      </c>
      <c r="K1520" s="108" t="s">
        <v>6764</v>
      </c>
      <c r="L1520" s="17"/>
      <c r="M1520" s="17"/>
      <c r="N1520" s="64" t="s">
        <v>4270</v>
      </c>
      <c r="O1520" s="64" t="s">
        <v>2813</v>
      </c>
      <c r="P1520" s="147" t="s">
        <v>2752</v>
      </c>
      <c r="Q1520" s="149"/>
      <c r="R1520" s="149"/>
      <c r="S1520" s="149"/>
      <c r="T1520" s="149"/>
      <c r="U1520" s="141">
        <v>1152125.0</v>
      </c>
      <c r="V1520" s="149"/>
      <c r="W1520" s="149"/>
      <c r="X1520" s="64" t="s">
        <v>3810</v>
      </c>
      <c r="Y1520" s="68"/>
      <c r="Z1520" s="68"/>
    </row>
    <row r="1521" ht="15.0" customHeight="1">
      <c r="A1521" s="206">
        <v>46003.0</v>
      </c>
      <c r="B1521" s="201" t="s">
        <v>6765</v>
      </c>
      <c r="C1521" s="45" t="s">
        <v>6766</v>
      </c>
      <c r="D1521" s="140" t="str">
        <f>IFERROR(VLOOKUP(C1521,Stock,3,FALSE),"")</f>
        <v>Toyota Camry 11-17 XV50 5th Gen</v>
      </c>
      <c r="E1521" s="45">
        <v>1.0</v>
      </c>
      <c r="F1521" s="198">
        <v>2205000.0</v>
      </c>
      <c r="G1521" s="142">
        <f t="shared" si="40"/>
        <v>2205000</v>
      </c>
      <c r="H1521" s="143">
        <v>50000.0</v>
      </c>
      <c r="I1521" s="143">
        <f t="shared" si="38"/>
        <v>2155000</v>
      </c>
      <c r="J1521" s="144">
        <f t="shared" si="39"/>
        <v>2155000</v>
      </c>
      <c r="K1521" s="108" t="s">
        <v>4095</v>
      </c>
      <c r="L1521" s="199" t="s">
        <v>6767</v>
      </c>
      <c r="M1521" s="17"/>
      <c r="N1521" s="64" t="s">
        <v>6768</v>
      </c>
      <c r="O1521" s="64" t="s">
        <v>2813</v>
      </c>
      <c r="P1521" s="147" t="s">
        <v>4672</v>
      </c>
      <c r="Q1521" s="149"/>
      <c r="R1521" s="141"/>
      <c r="S1521" s="141"/>
      <c r="T1521" s="141">
        <v>2155000.0</v>
      </c>
      <c r="U1521" s="149"/>
      <c r="V1521" s="149"/>
      <c r="W1521" s="149"/>
      <c r="X1521" s="64" t="s">
        <v>6553</v>
      </c>
      <c r="Y1521" s="68"/>
      <c r="Z1521" s="68"/>
    </row>
    <row r="1522" ht="15.0" customHeight="1">
      <c r="A1522" s="206">
        <v>46004.0</v>
      </c>
      <c r="B1522" s="201" t="s">
        <v>6769</v>
      </c>
      <c r="C1522" s="45" t="s">
        <v>6770</v>
      </c>
      <c r="D1522" s="140" t="str">
        <f>IFERROR(VLOOKUP(C1522,Stock,3,FALSE),"")</f>
        <v>Toyota Altis 06-13 E140 10th Gen</v>
      </c>
      <c r="E1522" s="45">
        <v>1.0</v>
      </c>
      <c r="F1522" s="198">
        <v>2250000.0</v>
      </c>
      <c r="G1522" s="142">
        <f t="shared" si="40"/>
        <v>2250000</v>
      </c>
      <c r="H1522" s="143">
        <v>200000.0</v>
      </c>
      <c r="I1522" s="143">
        <f t="shared" si="38"/>
        <v>2050000</v>
      </c>
      <c r="J1522" s="144">
        <f t="shared" si="39"/>
        <v>2050000</v>
      </c>
      <c r="K1522" s="108" t="s">
        <v>3813</v>
      </c>
      <c r="L1522" s="199" t="s">
        <v>6771</v>
      </c>
      <c r="M1522" s="17"/>
      <c r="N1522" s="64" t="s">
        <v>6772</v>
      </c>
      <c r="O1522" s="64" t="s">
        <v>3007</v>
      </c>
      <c r="P1522" s="147" t="s">
        <v>4672</v>
      </c>
      <c r="Q1522" s="149"/>
      <c r="R1522" s="141"/>
      <c r="S1522" s="141"/>
      <c r="T1522" s="141">
        <v>2250000.0</v>
      </c>
      <c r="U1522" s="149"/>
      <c r="V1522" s="149"/>
      <c r="W1522" s="149"/>
      <c r="X1522" s="64" t="s">
        <v>6553</v>
      </c>
      <c r="Y1522" s="68"/>
      <c r="Z1522" s="68"/>
    </row>
    <row r="1523" ht="15.0" customHeight="1">
      <c r="A1523" s="206">
        <v>46004.0</v>
      </c>
      <c r="B1523" s="201" t="s">
        <v>6769</v>
      </c>
      <c r="C1523" s="45" t="s">
        <v>4979</v>
      </c>
      <c r="D1523" s="140" t="str">
        <f>IFERROR(VLOOKUP(C1523,Stock,3,FALSE),"")</f>
        <v>255 Ultra + Actv-100 Application</v>
      </c>
      <c r="E1523" s="64">
        <v>1.0</v>
      </c>
      <c r="F1523" s="198">
        <v>200000.0</v>
      </c>
      <c r="G1523" s="142">
        <f t="shared" si="40"/>
        <v>200000</v>
      </c>
      <c r="H1523" s="142"/>
      <c r="I1523" s="143">
        <f t="shared" si="38"/>
        <v>200000</v>
      </c>
      <c r="J1523" s="144">
        <f t="shared" si="39"/>
        <v>200000</v>
      </c>
      <c r="K1523" s="108" t="s">
        <v>3813</v>
      </c>
      <c r="L1523" s="199" t="s">
        <v>6771</v>
      </c>
      <c r="M1523" s="17"/>
      <c r="N1523" s="64" t="s">
        <v>6772</v>
      </c>
      <c r="O1523" s="64" t="s">
        <v>3007</v>
      </c>
      <c r="P1523" s="147" t="s">
        <v>4672</v>
      </c>
      <c r="Q1523" s="68"/>
      <c r="R1523" s="68"/>
      <c r="S1523" s="68"/>
      <c r="T1523" s="68"/>
      <c r="U1523" s="68"/>
      <c r="V1523" s="68"/>
      <c r="W1523" s="68"/>
      <c r="X1523" s="64" t="s">
        <v>6553</v>
      </c>
      <c r="Y1523" s="68"/>
      <c r="Z1523" s="68"/>
    </row>
    <row r="1524" ht="15.0" customHeight="1">
      <c r="A1524" s="206">
        <v>46004.0</v>
      </c>
      <c r="B1524" s="201" t="s">
        <v>6773</v>
      </c>
      <c r="C1524" s="251" t="s">
        <v>6774</v>
      </c>
      <c r="D1524" s="260" t="s">
        <v>2830</v>
      </c>
      <c r="E1524" s="45"/>
      <c r="F1524" s="198">
        <v>1393000.0</v>
      </c>
      <c r="G1524" s="142">
        <f t="shared" si="40"/>
        <v>0</v>
      </c>
      <c r="H1524" s="142"/>
      <c r="I1524" s="143">
        <f t="shared" si="38"/>
        <v>0</v>
      </c>
      <c r="J1524" s="144">
        <f t="shared" si="39"/>
        <v>0</v>
      </c>
      <c r="K1524" s="108" t="s">
        <v>3687</v>
      </c>
      <c r="L1524" s="199" t="s">
        <v>6775</v>
      </c>
      <c r="M1524" s="17"/>
      <c r="N1524" s="64" t="s">
        <v>6776</v>
      </c>
      <c r="O1524" s="64" t="s">
        <v>3033</v>
      </c>
      <c r="P1524" s="147" t="s">
        <v>4672</v>
      </c>
      <c r="Q1524" s="149"/>
      <c r="R1524" s="141"/>
      <c r="S1524" s="141"/>
      <c r="T1524" s="141">
        <v>50000.0</v>
      </c>
      <c r="U1524" s="149"/>
      <c r="V1524" s="149"/>
      <c r="W1524" s="149"/>
      <c r="X1524" s="64" t="s">
        <v>6553</v>
      </c>
      <c r="Y1524" s="68"/>
      <c r="Z1524" s="68"/>
    </row>
    <row r="1525" ht="15.0" customHeight="1">
      <c r="A1525" s="206">
        <v>46004.0</v>
      </c>
      <c r="B1525" s="201" t="s">
        <v>6773</v>
      </c>
      <c r="C1525" s="251" t="s">
        <v>4979</v>
      </c>
      <c r="D1525" s="260" t="s">
        <v>2830</v>
      </c>
      <c r="E1525" s="45">
        <v>0.0</v>
      </c>
      <c r="F1525" s="198">
        <v>200000.0</v>
      </c>
      <c r="G1525" s="142">
        <f t="shared" si="40"/>
        <v>0</v>
      </c>
      <c r="H1525" s="143">
        <v>-50000.0</v>
      </c>
      <c r="I1525" s="143">
        <f t="shared" si="38"/>
        <v>50000</v>
      </c>
      <c r="J1525" s="144">
        <f t="shared" si="39"/>
        <v>50000</v>
      </c>
      <c r="K1525" s="108" t="s">
        <v>3687</v>
      </c>
      <c r="L1525" s="199" t="s">
        <v>6775</v>
      </c>
      <c r="M1525" s="17"/>
      <c r="N1525" s="64" t="s">
        <v>6776</v>
      </c>
      <c r="O1525" s="64" t="s">
        <v>3033</v>
      </c>
      <c r="P1525" s="147" t="s">
        <v>4672</v>
      </c>
      <c r="Q1525" s="149"/>
      <c r="R1525" s="149"/>
      <c r="S1525" s="149"/>
      <c r="T1525" s="149"/>
      <c r="U1525" s="149"/>
      <c r="V1525" s="149"/>
      <c r="W1525" s="149"/>
      <c r="X1525" s="64" t="s">
        <v>6553</v>
      </c>
      <c r="Y1525" s="68"/>
      <c r="Z1525" s="68"/>
    </row>
    <row r="1526" ht="15.0" customHeight="1">
      <c r="A1526" s="206">
        <v>46004.0</v>
      </c>
      <c r="B1526" s="201" t="s">
        <v>6777</v>
      </c>
      <c r="C1526" s="45" t="s">
        <v>3302</v>
      </c>
      <c r="D1526" s="140" t="str">
        <f>IFERROR(VLOOKUP(C1526,Stock,3,FALSE),"")</f>
        <v>Nissan Livina 07-18 L10/L11</v>
      </c>
      <c r="E1526" s="45">
        <v>1.0</v>
      </c>
      <c r="F1526" s="198">
        <v>1392000.0</v>
      </c>
      <c r="G1526" s="142">
        <f t="shared" si="40"/>
        <v>1392000</v>
      </c>
      <c r="H1526" s="143"/>
      <c r="I1526" s="143">
        <f t="shared" si="38"/>
        <v>1392000</v>
      </c>
      <c r="J1526" s="144">
        <f t="shared" si="39"/>
        <v>1392000</v>
      </c>
      <c r="K1526" s="108" t="s">
        <v>6778</v>
      </c>
      <c r="L1526" s="199" t="s">
        <v>6779</v>
      </c>
      <c r="M1526" s="17"/>
      <c r="N1526" s="45" t="s">
        <v>6780</v>
      </c>
      <c r="O1526" s="64" t="s">
        <v>6781</v>
      </c>
      <c r="P1526" s="147" t="s">
        <v>4672</v>
      </c>
      <c r="Q1526" s="149"/>
      <c r="R1526" s="141"/>
      <c r="S1526" s="141"/>
      <c r="T1526" s="141">
        <v>50000.0</v>
      </c>
      <c r="U1526" s="149"/>
      <c r="V1526" s="149"/>
      <c r="W1526" s="149"/>
      <c r="X1526" s="64" t="s">
        <v>6553</v>
      </c>
      <c r="Y1526" s="68"/>
      <c r="Z1526" s="68"/>
    </row>
    <row r="1527" ht="15.0" customHeight="1">
      <c r="A1527" s="206">
        <v>46004.0</v>
      </c>
      <c r="B1527" s="201" t="s">
        <v>6777</v>
      </c>
      <c r="C1527" s="45" t="s">
        <v>2770</v>
      </c>
      <c r="D1527" s="140" t="str">
        <f>IFERROR(VLOOKUP(C1527,Stock,3,FALSE),"")</f>
        <v>Transport</v>
      </c>
      <c r="E1527" s="45">
        <v>1.0</v>
      </c>
      <c r="F1527" s="198">
        <v>50000.0</v>
      </c>
      <c r="G1527" s="142">
        <f t="shared" si="40"/>
        <v>50000</v>
      </c>
      <c r="H1527" s="142"/>
      <c r="I1527" s="143">
        <f t="shared" si="38"/>
        <v>50000</v>
      </c>
      <c r="J1527" s="144">
        <f t="shared" si="39"/>
        <v>50000</v>
      </c>
      <c r="K1527" s="108" t="s">
        <v>6778</v>
      </c>
      <c r="L1527" s="199" t="s">
        <v>6779</v>
      </c>
      <c r="M1527" s="17"/>
      <c r="N1527" s="45" t="s">
        <v>6780</v>
      </c>
      <c r="O1527" s="64" t="s">
        <v>6781</v>
      </c>
      <c r="P1527" s="147" t="s">
        <v>6782</v>
      </c>
      <c r="Q1527" s="149"/>
      <c r="R1527" s="141"/>
      <c r="S1527" s="141"/>
      <c r="T1527" s="141">
        <v>1392000.0</v>
      </c>
      <c r="U1527" s="149"/>
      <c r="V1527" s="149"/>
      <c r="W1527" s="149"/>
      <c r="X1527" s="64" t="s">
        <v>6553</v>
      </c>
      <c r="Y1527" s="68"/>
      <c r="Z1527" s="68"/>
    </row>
    <row r="1528" ht="15.0" customHeight="1">
      <c r="A1528" s="206">
        <v>46004.0</v>
      </c>
      <c r="B1528" s="201" t="s">
        <v>6783</v>
      </c>
      <c r="C1528" s="45" t="s">
        <v>6784</v>
      </c>
      <c r="D1528" s="140" t="str">
        <f>IFERROR(VLOOKUP(C1528,Stock,3,FALSE),"")</f>
        <v>Toyota Camry 11-17 XV50 5th Gen</v>
      </c>
      <c r="E1528" s="45">
        <v>1.0</v>
      </c>
      <c r="F1528" s="198">
        <v>2205000.0</v>
      </c>
      <c r="G1528" s="142">
        <f t="shared" si="40"/>
        <v>2205000</v>
      </c>
      <c r="H1528" s="143">
        <v>50000.0</v>
      </c>
      <c r="I1528" s="143">
        <f t="shared" si="38"/>
        <v>2155000</v>
      </c>
      <c r="J1528" s="144">
        <f t="shared" si="39"/>
        <v>2155000</v>
      </c>
      <c r="K1528" s="108" t="s">
        <v>6785</v>
      </c>
      <c r="L1528" s="199" t="s">
        <v>6786</v>
      </c>
      <c r="M1528" s="17"/>
      <c r="N1528" s="64" t="s">
        <v>6787</v>
      </c>
      <c r="O1528" s="64" t="s">
        <v>4712</v>
      </c>
      <c r="P1528" s="147" t="s">
        <v>4672</v>
      </c>
      <c r="Q1528" s="149"/>
      <c r="R1528" s="141"/>
      <c r="S1528" s="141"/>
      <c r="T1528" s="141">
        <v>2155000.0</v>
      </c>
      <c r="U1528" s="149"/>
      <c r="V1528" s="149"/>
      <c r="W1528" s="149"/>
      <c r="X1528" s="64" t="s">
        <v>6553</v>
      </c>
      <c r="Y1528" s="68"/>
      <c r="Z1528" s="68"/>
    </row>
    <row r="1529" ht="15.0" customHeight="1">
      <c r="A1529" s="206">
        <v>46004.0</v>
      </c>
      <c r="B1529" s="201" t="s">
        <v>6788</v>
      </c>
      <c r="C1529" s="45" t="s">
        <v>6078</v>
      </c>
      <c r="D1529" s="140" t="str">
        <f>IFERROR(VLOOKUP(C1529,Stock,3,FALSE),"")</f>
        <v>Toyota Calya / Sigra 16-</v>
      </c>
      <c r="E1529" s="45">
        <v>1.0</v>
      </c>
      <c r="F1529" s="198">
        <v>500000.0</v>
      </c>
      <c r="G1529" s="142">
        <f t="shared" si="40"/>
        <v>500000</v>
      </c>
      <c r="H1529" s="142"/>
      <c r="I1529" s="143">
        <f t="shared" si="38"/>
        <v>500000</v>
      </c>
      <c r="J1529" s="144">
        <f t="shared" si="39"/>
        <v>500000</v>
      </c>
      <c r="K1529" s="108" t="s">
        <v>4343</v>
      </c>
      <c r="L1529" s="199" t="s">
        <v>6789</v>
      </c>
      <c r="M1529" s="17"/>
      <c r="N1529" s="64" t="s">
        <v>6790</v>
      </c>
      <c r="O1529" s="64" t="s">
        <v>2813</v>
      </c>
      <c r="P1529" s="147" t="s">
        <v>4672</v>
      </c>
      <c r="Q1529" s="149"/>
      <c r="R1529" s="141"/>
      <c r="S1529" s="141"/>
      <c r="T1529" s="141">
        <v>650000.0</v>
      </c>
      <c r="U1529" s="149"/>
      <c r="V1529" s="149"/>
      <c r="W1529" s="149"/>
      <c r="X1529" s="64" t="s">
        <v>6553</v>
      </c>
      <c r="Y1529" s="68"/>
      <c r="Z1529" s="68"/>
    </row>
    <row r="1530" ht="15.0" customHeight="1">
      <c r="A1530" s="206">
        <v>46004.0</v>
      </c>
      <c r="B1530" s="201" t="s">
        <v>6788</v>
      </c>
      <c r="C1530" s="201" t="s">
        <v>5254</v>
      </c>
      <c r="D1530" s="140" t="str">
        <f>IFERROR(VLOOKUP(C1530,Stock,3,FALSE),"")</f>
        <v>Automotive Film Standard - Black 40%				</v>
      </c>
      <c r="E1530" s="45">
        <v>1.0</v>
      </c>
      <c r="F1530" s="198">
        <v>150000.0</v>
      </c>
      <c r="G1530" s="142">
        <f t="shared" si="40"/>
        <v>150000</v>
      </c>
      <c r="H1530" s="142"/>
      <c r="I1530" s="143">
        <f t="shared" si="38"/>
        <v>150000</v>
      </c>
      <c r="J1530" s="144">
        <f t="shared" si="39"/>
        <v>150000</v>
      </c>
      <c r="K1530" s="108" t="s">
        <v>4343</v>
      </c>
      <c r="L1530" s="199" t="s">
        <v>6789</v>
      </c>
      <c r="M1530" s="17"/>
      <c r="N1530" s="64" t="s">
        <v>6790</v>
      </c>
      <c r="O1530" s="64" t="s">
        <v>2813</v>
      </c>
      <c r="P1530" s="147" t="s">
        <v>4672</v>
      </c>
      <c r="Q1530" s="149"/>
      <c r="R1530" s="149"/>
      <c r="S1530" s="149"/>
      <c r="T1530" s="149"/>
      <c r="U1530" s="149"/>
      <c r="V1530" s="149"/>
      <c r="W1530" s="149"/>
      <c r="X1530" s="64" t="s">
        <v>6553</v>
      </c>
      <c r="Y1530" s="68"/>
      <c r="Z1530" s="68"/>
    </row>
    <row r="1531" ht="15.0" customHeight="1">
      <c r="A1531" s="206">
        <v>46004.0</v>
      </c>
      <c r="B1531" s="201" t="s">
        <v>6791</v>
      </c>
      <c r="C1531" s="45" t="s">
        <v>2778</v>
      </c>
      <c r="D1531" s="140" t="str">
        <f>IFERROR(VLOOKUP(C1531,Stock,3,FALSE),"")</f>
        <v>Bongkar Pasang Kaca Mobil Depan</v>
      </c>
      <c r="E1531" s="45">
        <v>1.0</v>
      </c>
      <c r="F1531" s="198">
        <v>650000.0</v>
      </c>
      <c r="G1531" s="142">
        <f t="shared" si="40"/>
        <v>650000</v>
      </c>
      <c r="H1531" s="142"/>
      <c r="I1531" s="143">
        <f t="shared" si="38"/>
        <v>650000</v>
      </c>
      <c r="J1531" s="144">
        <f t="shared" si="39"/>
        <v>650000</v>
      </c>
      <c r="K1531" s="108" t="s">
        <v>6792</v>
      </c>
      <c r="L1531" s="199" t="s">
        <v>6793</v>
      </c>
      <c r="M1531" s="17"/>
      <c r="N1531" s="64" t="s">
        <v>6794</v>
      </c>
      <c r="O1531" s="64" t="s">
        <v>2813</v>
      </c>
      <c r="P1531" s="147" t="s">
        <v>4672</v>
      </c>
      <c r="Q1531" s="149"/>
      <c r="R1531" s="141"/>
      <c r="S1531" s="141"/>
      <c r="T1531" s="141">
        <v>850000.0</v>
      </c>
      <c r="U1531" s="149"/>
      <c r="V1531" s="149"/>
      <c r="W1531" s="149"/>
      <c r="X1531" s="64" t="s">
        <v>6553</v>
      </c>
      <c r="Y1531" s="68"/>
      <c r="Z1531" s="68"/>
    </row>
    <row r="1532" ht="15.0" customHeight="1">
      <c r="A1532" s="206">
        <v>46004.0</v>
      </c>
      <c r="B1532" s="201" t="s">
        <v>6791</v>
      </c>
      <c r="C1532" s="45" t="s">
        <v>4979</v>
      </c>
      <c r="D1532" s="140" t="str">
        <f>IFERROR(VLOOKUP(C1532,Stock,3,FALSE),"")</f>
        <v>255 Ultra + Actv-100 Application</v>
      </c>
      <c r="E1532" s="45">
        <v>1.0</v>
      </c>
      <c r="F1532" s="198">
        <v>200000.0</v>
      </c>
      <c r="G1532" s="142">
        <f t="shared" si="40"/>
        <v>200000</v>
      </c>
      <c r="H1532" s="142"/>
      <c r="I1532" s="143">
        <f t="shared" si="38"/>
        <v>200000</v>
      </c>
      <c r="J1532" s="144">
        <f t="shared" si="39"/>
        <v>200000</v>
      </c>
      <c r="K1532" s="108" t="s">
        <v>6792</v>
      </c>
      <c r="L1532" s="199" t="s">
        <v>6793</v>
      </c>
      <c r="M1532" s="17"/>
      <c r="N1532" s="64" t="s">
        <v>6794</v>
      </c>
      <c r="O1532" s="64" t="s">
        <v>2813</v>
      </c>
      <c r="P1532" s="147" t="s">
        <v>4672</v>
      </c>
      <c r="Q1532" s="149"/>
      <c r="R1532" s="149"/>
      <c r="S1532" s="149"/>
      <c r="T1532" s="149"/>
      <c r="U1532" s="149"/>
      <c r="V1532" s="149"/>
      <c r="W1532" s="149"/>
      <c r="X1532" s="64" t="s">
        <v>6553</v>
      </c>
      <c r="Y1532" s="68"/>
      <c r="Z1532" s="68"/>
    </row>
    <row r="1533" ht="15.0" customHeight="1">
      <c r="A1533" s="206">
        <v>46004.0</v>
      </c>
      <c r="B1533" s="201" t="s">
        <v>6795</v>
      </c>
      <c r="C1533" s="45" t="s">
        <v>2944</v>
      </c>
      <c r="D1533" s="140" t="str">
        <f>IFERROR(VLOOKUP(C1533,Stock,3,FALSE),"")</f>
        <v>Toyota Innova 04-15 1st Gen</v>
      </c>
      <c r="E1533" s="45">
        <v>1.0</v>
      </c>
      <c r="F1533" s="198">
        <v>1300000.0</v>
      </c>
      <c r="G1533" s="142">
        <f t="shared" si="40"/>
        <v>1300000</v>
      </c>
      <c r="H1533" s="142"/>
      <c r="I1533" s="143">
        <f t="shared" si="38"/>
        <v>1300000</v>
      </c>
      <c r="J1533" s="144">
        <f t="shared" si="39"/>
        <v>1300000</v>
      </c>
      <c r="K1533" s="108" t="s">
        <v>3330</v>
      </c>
      <c r="L1533" s="199" t="s">
        <v>6796</v>
      </c>
      <c r="M1533" s="17"/>
      <c r="N1533" s="64" t="s">
        <v>6797</v>
      </c>
      <c r="O1533" s="64" t="s">
        <v>3033</v>
      </c>
      <c r="P1533" s="147" t="s">
        <v>4672</v>
      </c>
      <c r="Q1533" s="141">
        <v>1300000.0</v>
      </c>
      <c r="R1533" s="149"/>
      <c r="S1533" s="149"/>
      <c r="T1533" s="149"/>
      <c r="U1533" s="149"/>
      <c r="V1533" s="149"/>
      <c r="W1533" s="149"/>
      <c r="X1533" s="64" t="s">
        <v>3810</v>
      </c>
      <c r="Y1533" s="68"/>
      <c r="Z1533" s="68"/>
    </row>
    <row r="1534" ht="15.0" customHeight="1">
      <c r="A1534" s="206">
        <v>46004.0</v>
      </c>
      <c r="B1534" s="201" t="s">
        <v>6798</v>
      </c>
      <c r="C1534" s="371" t="s">
        <v>4001</v>
      </c>
      <c r="D1534" s="140" t="str">
        <f>IFERROR(VLOOKUP(C1534,Stock,3,FALSE),"")</f>
        <v>Daihatsu Gran Max Minibus/Van</v>
      </c>
      <c r="E1534" s="45">
        <v>1.0</v>
      </c>
      <c r="F1534" s="198">
        <v>850000.0</v>
      </c>
      <c r="G1534" s="142">
        <f t="shared" si="40"/>
        <v>850000</v>
      </c>
      <c r="H1534" s="142"/>
      <c r="I1534" s="143">
        <f t="shared" si="38"/>
        <v>850000</v>
      </c>
      <c r="J1534" s="144">
        <f t="shared" si="39"/>
        <v>850000</v>
      </c>
      <c r="K1534" s="108" t="s">
        <v>6799</v>
      </c>
      <c r="L1534" s="199" t="s">
        <v>6800</v>
      </c>
      <c r="M1534" s="17"/>
      <c r="N1534" s="64" t="s">
        <v>6801</v>
      </c>
      <c r="O1534" s="64" t="s">
        <v>2813</v>
      </c>
      <c r="P1534" s="147" t="s">
        <v>3190</v>
      </c>
      <c r="Q1534" s="149"/>
      <c r="R1534" s="141"/>
      <c r="S1534" s="141"/>
      <c r="T1534" s="141">
        <v>850000.0</v>
      </c>
      <c r="U1534" s="149"/>
      <c r="V1534" s="149"/>
      <c r="W1534" s="149"/>
      <c r="X1534" s="64" t="s">
        <v>6553</v>
      </c>
      <c r="Y1534" s="68"/>
      <c r="Z1534" s="68"/>
    </row>
    <row r="1535" ht="15.0" customHeight="1">
      <c r="A1535" s="206">
        <v>46004.0</v>
      </c>
      <c r="B1535" s="201" t="s">
        <v>6802</v>
      </c>
      <c r="C1535" s="45" t="s">
        <v>2944</v>
      </c>
      <c r="D1535" s="140" t="str">
        <f>IFERROR(VLOOKUP(C1535,Stock,3,FALSE),"")</f>
        <v>Toyota Innova 04-15 1st Gen</v>
      </c>
      <c r="E1535" s="45">
        <v>1.0</v>
      </c>
      <c r="F1535" s="198">
        <v>1300000.0</v>
      </c>
      <c r="G1535" s="142">
        <f t="shared" si="40"/>
        <v>1300000</v>
      </c>
      <c r="H1535" s="142"/>
      <c r="I1535" s="143">
        <f t="shared" si="38"/>
        <v>1300000</v>
      </c>
      <c r="J1535" s="144">
        <f t="shared" si="39"/>
        <v>1300000</v>
      </c>
      <c r="K1535" s="108" t="s">
        <v>6803</v>
      </c>
      <c r="L1535" s="199" t="s">
        <v>6804</v>
      </c>
      <c r="M1535" s="17"/>
      <c r="N1535" s="64" t="s">
        <v>6805</v>
      </c>
      <c r="O1535" s="64" t="s">
        <v>2813</v>
      </c>
      <c r="P1535" s="147" t="s">
        <v>4672</v>
      </c>
      <c r="Q1535" s="149"/>
      <c r="R1535" s="141"/>
      <c r="S1535" s="141"/>
      <c r="T1535" s="141">
        <v>1300000.0</v>
      </c>
      <c r="U1535" s="149"/>
      <c r="V1535" s="149"/>
      <c r="W1535" s="149"/>
      <c r="X1535" s="64" t="s">
        <v>3810</v>
      </c>
      <c r="Y1535" s="68"/>
      <c r="Z1535" s="68"/>
    </row>
    <row r="1536" ht="15.0" customHeight="1">
      <c r="A1536" s="206">
        <v>46004.0</v>
      </c>
      <c r="B1536" s="201" t="s">
        <v>6806</v>
      </c>
      <c r="C1536" s="45" t="s">
        <v>2952</v>
      </c>
      <c r="D1536" s="140" t="str">
        <f>IFERROR(VLOOKUP(C1536,Stock,3,FALSE),"")</f>
        <v/>
      </c>
      <c r="E1536" s="45">
        <v>1.0</v>
      </c>
      <c r="F1536" s="198">
        <v>1000000.0</v>
      </c>
      <c r="G1536" s="142">
        <f t="shared" si="40"/>
        <v>1000000</v>
      </c>
      <c r="H1536" s="142"/>
      <c r="I1536" s="143">
        <f t="shared" si="38"/>
        <v>1000000</v>
      </c>
      <c r="J1536" s="144">
        <f t="shared" si="39"/>
        <v>1000000</v>
      </c>
      <c r="K1536" s="108" t="s">
        <v>6807</v>
      </c>
      <c r="L1536" s="199" t="s">
        <v>6808</v>
      </c>
      <c r="M1536" s="17"/>
      <c r="N1536" s="64" t="s">
        <v>6809</v>
      </c>
      <c r="O1536" s="64" t="s">
        <v>2813</v>
      </c>
      <c r="P1536" s="147" t="s">
        <v>4672</v>
      </c>
      <c r="Q1536" s="149"/>
      <c r="R1536" s="141"/>
      <c r="S1536" s="141"/>
      <c r="T1536" s="141">
        <v>1200000.0</v>
      </c>
      <c r="U1536" s="149"/>
      <c r="V1536" s="149"/>
      <c r="W1536" s="149"/>
      <c r="X1536" s="64" t="s">
        <v>3810</v>
      </c>
      <c r="Y1536" s="68"/>
      <c r="Z1536" s="68"/>
    </row>
    <row r="1537" ht="15.0" customHeight="1">
      <c r="A1537" s="206">
        <v>46004.0</v>
      </c>
      <c r="B1537" s="201" t="s">
        <v>6806</v>
      </c>
      <c r="C1537" s="45" t="s">
        <v>4979</v>
      </c>
      <c r="D1537" s="140" t="str">
        <f>IFERROR(VLOOKUP(C1537,Stock,3,FALSE),"")</f>
        <v>255 Ultra + Actv-100 Application</v>
      </c>
      <c r="E1537" s="45">
        <v>1.0</v>
      </c>
      <c r="F1537" s="198">
        <v>200000.0</v>
      </c>
      <c r="G1537" s="142">
        <f t="shared" si="40"/>
        <v>200000</v>
      </c>
      <c r="H1537" s="142"/>
      <c r="I1537" s="143">
        <f t="shared" si="38"/>
        <v>200000</v>
      </c>
      <c r="J1537" s="144">
        <f t="shared" si="39"/>
        <v>200000</v>
      </c>
      <c r="K1537" s="108" t="s">
        <v>6807</v>
      </c>
      <c r="L1537" s="199" t="s">
        <v>6808</v>
      </c>
      <c r="M1537" s="17"/>
      <c r="N1537" s="64" t="s">
        <v>6809</v>
      </c>
      <c r="O1537" s="64" t="s">
        <v>2813</v>
      </c>
      <c r="P1537" s="147" t="s">
        <v>4672</v>
      </c>
      <c r="Q1537" s="68"/>
      <c r="R1537" s="68"/>
      <c r="S1537" s="68"/>
      <c r="T1537" s="68"/>
      <c r="U1537" s="68"/>
      <c r="V1537" s="68"/>
      <c r="W1537" s="68"/>
      <c r="X1537" s="64" t="s">
        <v>3810</v>
      </c>
      <c r="Y1537" s="68"/>
      <c r="Z1537" s="68"/>
    </row>
    <row r="1538" ht="15.0" customHeight="1">
      <c r="A1538" s="206">
        <v>46004.0</v>
      </c>
      <c r="B1538" s="201" t="s">
        <v>6810</v>
      </c>
      <c r="C1538" s="45" t="s">
        <v>4144</v>
      </c>
      <c r="D1538" s="140" t="str">
        <f>IFERROR(VLOOKUP(C1538,Stock,3,FALSE),"")</f>
        <v>Toyota Rush / Terios 06-17</v>
      </c>
      <c r="E1538" s="45">
        <v>1.0</v>
      </c>
      <c r="F1538" s="198">
        <v>1248000.0</v>
      </c>
      <c r="G1538" s="142">
        <f t="shared" si="40"/>
        <v>1248000</v>
      </c>
      <c r="H1538" s="142"/>
      <c r="I1538" s="143">
        <f t="shared" si="38"/>
        <v>1248000</v>
      </c>
      <c r="J1538" s="144">
        <f t="shared" si="39"/>
        <v>1248000</v>
      </c>
      <c r="K1538" s="108" t="s">
        <v>6811</v>
      </c>
      <c r="L1538" s="199" t="s">
        <v>5596</v>
      </c>
      <c r="M1538" s="17"/>
      <c r="N1538" s="64" t="s">
        <v>6812</v>
      </c>
      <c r="O1538" s="64" t="s">
        <v>4712</v>
      </c>
      <c r="P1538" s="147" t="s">
        <v>4672</v>
      </c>
      <c r="Q1538" s="149"/>
      <c r="R1538" s="141"/>
      <c r="S1538" s="141"/>
      <c r="T1538" s="141">
        <v>1248000.0</v>
      </c>
      <c r="U1538" s="149"/>
      <c r="V1538" s="149"/>
      <c r="W1538" s="149"/>
      <c r="X1538" s="64" t="s">
        <v>3810</v>
      </c>
      <c r="Y1538" s="68"/>
      <c r="Z1538" s="68"/>
    </row>
    <row r="1539" ht="15.0" customHeight="1">
      <c r="A1539" s="206">
        <v>46005.0</v>
      </c>
      <c r="B1539" s="201" t="s">
        <v>6813</v>
      </c>
      <c r="C1539" s="45" t="s">
        <v>6814</v>
      </c>
      <c r="D1539" s="140" t="str">
        <f>IFERROR(VLOOKUP(C1539,Stock,3,FALSE),"")</f>
        <v>Honda HR-V 14-21 5D SUV</v>
      </c>
      <c r="E1539" s="45">
        <v>1.0</v>
      </c>
      <c r="F1539" s="198">
        <v>1750000.0</v>
      </c>
      <c r="G1539" s="142">
        <f t="shared" si="40"/>
        <v>1750000</v>
      </c>
      <c r="H1539" s="142"/>
      <c r="I1539" s="143">
        <f t="shared" si="38"/>
        <v>1750000</v>
      </c>
      <c r="J1539" s="144">
        <f t="shared" si="39"/>
        <v>1750000</v>
      </c>
      <c r="K1539" s="108" t="s">
        <v>6815</v>
      </c>
      <c r="L1539" s="45" t="s">
        <v>6816</v>
      </c>
      <c r="M1539" s="17"/>
      <c r="N1539" s="64" t="s">
        <v>6817</v>
      </c>
      <c r="O1539" s="64" t="s">
        <v>2987</v>
      </c>
      <c r="P1539" s="147" t="s">
        <v>4672</v>
      </c>
      <c r="Q1539" s="149"/>
      <c r="R1539" s="141"/>
      <c r="S1539" s="141"/>
      <c r="T1539" s="141">
        <v>2050000.0</v>
      </c>
      <c r="U1539" s="149"/>
      <c r="V1539" s="149"/>
      <c r="W1539" s="149"/>
      <c r="X1539" s="64" t="s">
        <v>6553</v>
      </c>
      <c r="Y1539" s="68"/>
      <c r="Z1539" s="68"/>
    </row>
    <row r="1540" ht="15.0" customHeight="1">
      <c r="A1540" s="206">
        <v>46005.0</v>
      </c>
      <c r="B1540" s="201" t="s">
        <v>6813</v>
      </c>
      <c r="C1540" s="45" t="s">
        <v>2770</v>
      </c>
      <c r="D1540" s="140" t="str">
        <f>IFERROR(VLOOKUP(C1540,Stock,3,FALSE),"")</f>
        <v>Transport</v>
      </c>
      <c r="E1540" s="45">
        <v>1.0</v>
      </c>
      <c r="F1540" s="198">
        <v>300000.0</v>
      </c>
      <c r="G1540" s="142">
        <f t="shared" si="40"/>
        <v>300000</v>
      </c>
      <c r="H1540" s="142"/>
      <c r="I1540" s="143">
        <f t="shared" si="38"/>
        <v>300000</v>
      </c>
      <c r="J1540" s="144">
        <f t="shared" si="39"/>
        <v>300000</v>
      </c>
      <c r="K1540" s="108" t="s">
        <v>6815</v>
      </c>
      <c r="L1540" s="45" t="s">
        <v>6816</v>
      </c>
      <c r="M1540" s="17"/>
      <c r="N1540" s="64" t="s">
        <v>6817</v>
      </c>
      <c r="O1540" s="64" t="s">
        <v>2987</v>
      </c>
      <c r="P1540" s="147" t="s">
        <v>4672</v>
      </c>
      <c r="Q1540" s="149"/>
      <c r="R1540" s="149"/>
      <c r="S1540" s="149"/>
      <c r="T1540" s="149"/>
      <c r="U1540" s="149"/>
      <c r="V1540" s="149"/>
      <c r="W1540" s="149"/>
      <c r="X1540" s="64" t="s">
        <v>6553</v>
      </c>
      <c r="Y1540" s="68"/>
      <c r="Z1540" s="68"/>
    </row>
    <row r="1541" ht="15.0" customHeight="1">
      <c r="A1541" s="206">
        <v>46005.0</v>
      </c>
      <c r="B1541" s="201" t="s">
        <v>6818</v>
      </c>
      <c r="C1541" s="45" t="s">
        <v>3424</v>
      </c>
      <c r="D1541" s="140" t="str">
        <f>IFERROR(VLOOKUP(C1541,Stock,3,FALSE),"")</f>
        <v>Mitsubishi Xpander 22-  (Mitsubishi)</v>
      </c>
      <c r="E1541" s="45">
        <v>1.0</v>
      </c>
      <c r="F1541" s="198">
        <v>1322000.0</v>
      </c>
      <c r="G1541" s="142">
        <f t="shared" si="40"/>
        <v>1322000</v>
      </c>
      <c r="H1541" s="142"/>
      <c r="I1541" s="143">
        <f t="shared" si="38"/>
        <v>1322000</v>
      </c>
      <c r="J1541" s="144">
        <f t="shared" si="39"/>
        <v>1322000</v>
      </c>
      <c r="K1541" s="108" t="s">
        <v>6819</v>
      </c>
      <c r="L1541" s="199" t="s">
        <v>6820</v>
      </c>
      <c r="M1541" s="17"/>
      <c r="N1541" s="64" t="s">
        <v>6821</v>
      </c>
      <c r="O1541" s="64" t="s">
        <v>2813</v>
      </c>
      <c r="P1541" s="147" t="s">
        <v>4672</v>
      </c>
      <c r="Q1541" s="141">
        <v>1372000.0</v>
      </c>
      <c r="R1541" s="141"/>
      <c r="S1541" s="141"/>
      <c r="T1541" s="141">
        <v>50000.0</v>
      </c>
      <c r="U1541" s="149"/>
      <c r="V1541" s="149"/>
      <c r="W1541" s="149"/>
      <c r="X1541" s="64" t="s">
        <v>6553</v>
      </c>
      <c r="Y1541" s="68"/>
      <c r="Z1541" s="68"/>
    </row>
    <row r="1542" ht="15.0" customHeight="1">
      <c r="A1542" s="206">
        <v>46005.0</v>
      </c>
      <c r="B1542" s="201" t="s">
        <v>6818</v>
      </c>
      <c r="C1542" s="45" t="s">
        <v>2962</v>
      </c>
      <c r="D1542" s="140" t="str">
        <f>IFERROR(VLOOKUP(C1542,Stock,3,FALSE),"")</f>
        <v>Lembur</v>
      </c>
      <c r="E1542" s="45">
        <v>1.0</v>
      </c>
      <c r="F1542" s="198">
        <v>100000.0</v>
      </c>
      <c r="G1542" s="142">
        <f t="shared" si="40"/>
        <v>100000</v>
      </c>
      <c r="H1542" s="142"/>
      <c r="I1542" s="143">
        <f t="shared" si="38"/>
        <v>100000</v>
      </c>
      <c r="J1542" s="144">
        <f t="shared" si="39"/>
        <v>100000</v>
      </c>
      <c r="K1542" s="108" t="s">
        <v>6819</v>
      </c>
      <c r="L1542" s="199" t="s">
        <v>6820</v>
      </c>
      <c r="M1542" s="17"/>
      <c r="N1542" s="64" t="s">
        <v>6821</v>
      </c>
      <c r="O1542" s="64" t="s">
        <v>2813</v>
      </c>
      <c r="P1542" s="147" t="s">
        <v>4672</v>
      </c>
      <c r="Q1542" s="149"/>
      <c r="R1542" s="149"/>
      <c r="S1542" s="149"/>
      <c r="T1542" s="149"/>
      <c r="U1542" s="149"/>
      <c r="V1542" s="149"/>
      <c r="W1542" s="149"/>
      <c r="X1542" s="64" t="s">
        <v>6553</v>
      </c>
      <c r="Y1542" s="68"/>
      <c r="Z1542" s="68"/>
    </row>
    <row r="1543" ht="15.0" customHeight="1">
      <c r="A1543" s="206">
        <v>46005.0</v>
      </c>
      <c r="B1543" s="201" t="s">
        <v>6822</v>
      </c>
      <c r="C1543" s="45" t="s">
        <v>6823</v>
      </c>
      <c r="D1543" s="140" t="str">
        <f>IFERROR(VLOOKUP(C1543,Stock,3,FALSE),"")</f>
        <v>Suzuki Ertiga 18- 2nd Gen (ORI MULIA) / XL7</v>
      </c>
      <c r="E1543" s="45">
        <v>1.0</v>
      </c>
      <c r="F1543" s="198">
        <v>748000.0</v>
      </c>
      <c r="G1543" s="142">
        <f t="shared" si="40"/>
        <v>748000</v>
      </c>
      <c r="H1543" s="142"/>
      <c r="I1543" s="143">
        <f t="shared" si="38"/>
        <v>748000</v>
      </c>
      <c r="J1543" s="144">
        <f t="shared" si="39"/>
        <v>748000</v>
      </c>
      <c r="K1543" s="108" t="s">
        <v>6824</v>
      </c>
      <c r="L1543" s="45" t="s">
        <v>6825</v>
      </c>
      <c r="M1543" s="17"/>
      <c r="N1543" s="68"/>
      <c r="O1543" s="64" t="s">
        <v>6826</v>
      </c>
      <c r="P1543" s="147" t="s">
        <v>4672</v>
      </c>
      <c r="Q1543" s="149"/>
      <c r="R1543" s="141"/>
      <c r="S1543" s="141"/>
      <c r="T1543" s="141">
        <v>50000.0</v>
      </c>
      <c r="U1543" s="149"/>
      <c r="V1543" s="149"/>
      <c r="W1543" s="149"/>
      <c r="X1543" s="64" t="s">
        <v>6553</v>
      </c>
      <c r="Y1543" s="68"/>
      <c r="Z1543" s="68"/>
    </row>
    <row r="1544" ht="15.0" customHeight="1">
      <c r="A1544" s="206">
        <v>46005.0</v>
      </c>
      <c r="B1544" s="201" t="s">
        <v>6822</v>
      </c>
      <c r="C1544" s="45" t="s">
        <v>2770</v>
      </c>
      <c r="D1544" s="140" t="str">
        <f>IFERROR(VLOOKUP(C1544,Stock,3,FALSE),"")</f>
        <v>Transport</v>
      </c>
      <c r="E1544" s="45">
        <v>1.0</v>
      </c>
      <c r="F1544" s="198">
        <v>75000.0</v>
      </c>
      <c r="G1544" s="142">
        <f t="shared" si="40"/>
        <v>75000</v>
      </c>
      <c r="H1544" s="142"/>
      <c r="I1544" s="143">
        <f t="shared" si="38"/>
        <v>75000</v>
      </c>
      <c r="J1544" s="144">
        <f t="shared" si="39"/>
        <v>75000</v>
      </c>
      <c r="K1544" s="108" t="s">
        <v>6824</v>
      </c>
      <c r="L1544" s="45" t="s">
        <v>6825</v>
      </c>
      <c r="M1544" s="17"/>
      <c r="N1544" s="68"/>
      <c r="O1544" s="64" t="s">
        <v>6826</v>
      </c>
      <c r="P1544" s="147" t="s">
        <v>4672</v>
      </c>
      <c r="Q1544" s="149"/>
      <c r="R1544" s="141"/>
      <c r="S1544" s="141"/>
      <c r="T1544" s="141">
        <v>873000.0</v>
      </c>
      <c r="U1544" s="149"/>
      <c r="V1544" s="149"/>
      <c r="W1544" s="149"/>
      <c r="X1544" s="64" t="s">
        <v>6553</v>
      </c>
      <c r="Y1544" s="68"/>
      <c r="Z1544" s="68"/>
    </row>
    <row r="1545" ht="15.0" customHeight="1">
      <c r="A1545" s="206">
        <v>46005.0</v>
      </c>
      <c r="B1545" s="201" t="s">
        <v>6822</v>
      </c>
      <c r="C1545" s="45" t="s">
        <v>2962</v>
      </c>
      <c r="D1545" s="140" t="str">
        <f>IFERROR(VLOOKUP(C1545,Stock,3,FALSE),"")</f>
        <v>Lembur</v>
      </c>
      <c r="E1545" s="45">
        <v>1.0</v>
      </c>
      <c r="F1545" s="198">
        <v>100000.0</v>
      </c>
      <c r="G1545" s="142">
        <f t="shared" si="40"/>
        <v>100000</v>
      </c>
      <c r="H1545" s="142"/>
      <c r="I1545" s="143">
        <f t="shared" si="38"/>
        <v>100000</v>
      </c>
      <c r="J1545" s="144">
        <f t="shared" si="39"/>
        <v>100000</v>
      </c>
      <c r="K1545" s="108" t="s">
        <v>6824</v>
      </c>
      <c r="L1545" s="45" t="s">
        <v>6825</v>
      </c>
      <c r="M1545" s="17"/>
      <c r="N1545" s="68"/>
      <c r="O1545" s="64" t="s">
        <v>6826</v>
      </c>
      <c r="P1545" s="147" t="s">
        <v>4672</v>
      </c>
      <c r="Q1545" s="149"/>
      <c r="R1545" s="149"/>
      <c r="S1545" s="149"/>
      <c r="T1545" s="149"/>
      <c r="U1545" s="149"/>
      <c r="V1545" s="149"/>
      <c r="W1545" s="149"/>
      <c r="X1545" s="64" t="s">
        <v>6553</v>
      </c>
      <c r="Y1545" s="68"/>
      <c r="Z1545" s="68"/>
    </row>
    <row r="1546" ht="15.0" customHeight="1">
      <c r="A1546" s="206">
        <v>46005.0</v>
      </c>
      <c r="B1546" s="201" t="s">
        <v>6827</v>
      </c>
      <c r="C1546" s="45" t="s">
        <v>6828</v>
      </c>
      <c r="D1546" s="140" t="str">
        <f>IFERROR(VLOOKUP(C1546,Stock,3,FALSE),"")</f>
        <v>Honda Brio 10-17 [Tanpa Lubang] (Honda)</v>
      </c>
      <c r="E1546" s="45">
        <v>1.0</v>
      </c>
      <c r="F1546" s="198">
        <v>1400000.0</v>
      </c>
      <c r="G1546" s="142">
        <f t="shared" si="40"/>
        <v>1400000</v>
      </c>
      <c r="H1546" s="142"/>
      <c r="I1546" s="143">
        <f t="shared" si="38"/>
        <v>1400000</v>
      </c>
      <c r="J1546" s="144">
        <f t="shared" si="39"/>
        <v>1400000</v>
      </c>
      <c r="K1546" s="108" t="s">
        <v>6829</v>
      </c>
      <c r="L1546" s="199" t="s">
        <v>5596</v>
      </c>
      <c r="M1546" s="17"/>
      <c r="N1546" s="64" t="s">
        <v>6830</v>
      </c>
      <c r="O1546" s="64" t="s">
        <v>4712</v>
      </c>
      <c r="P1546" s="147" t="s">
        <v>4672</v>
      </c>
      <c r="Q1546" s="149"/>
      <c r="R1546" s="141"/>
      <c r="S1546" s="141"/>
      <c r="T1546" s="141">
        <v>1550000.0</v>
      </c>
      <c r="U1546" s="149"/>
      <c r="V1546" s="149"/>
      <c r="W1546" s="149"/>
      <c r="X1546" s="64" t="s">
        <v>6553</v>
      </c>
      <c r="Y1546" s="68"/>
      <c r="Z1546" s="68"/>
    </row>
    <row r="1547" ht="15.0" customHeight="1">
      <c r="A1547" s="206">
        <v>46005.0</v>
      </c>
      <c r="B1547" s="201" t="s">
        <v>6827</v>
      </c>
      <c r="C1547" s="45" t="s">
        <v>2962</v>
      </c>
      <c r="D1547" s="140" t="str">
        <f>IFERROR(VLOOKUP(C1547,Stock,3,FALSE),"")</f>
        <v>Lembur</v>
      </c>
      <c r="E1547" s="45">
        <v>1.0</v>
      </c>
      <c r="F1547" s="198">
        <v>150000.0</v>
      </c>
      <c r="G1547" s="142">
        <f t="shared" si="40"/>
        <v>150000</v>
      </c>
      <c r="H1547" s="142"/>
      <c r="I1547" s="143">
        <f t="shared" si="38"/>
        <v>150000</v>
      </c>
      <c r="J1547" s="144">
        <f t="shared" si="39"/>
        <v>150000</v>
      </c>
      <c r="K1547" s="108" t="s">
        <v>6829</v>
      </c>
      <c r="L1547" s="199" t="s">
        <v>5596</v>
      </c>
      <c r="M1547" s="17"/>
      <c r="N1547" s="64" t="s">
        <v>6830</v>
      </c>
      <c r="O1547" s="64" t="s">
        <v>4712</v>
      </c>
      <c r="P1547" s="147" t="s">
        <v>4672</v>
      </c>
      <c r="Q1547" s="149"/>
      <c r="R1547" s="149"/>
      <c r="S1547" s="149"/>
      <c r="T1547" s="149"/>
      <c r="U1547" s="149"/>
      <c r="V1547" s="149"/>
      <c r="W1547" s="149"/>
      <c r="X1547" s="64" t="s">
        <v>6553</v>
      </c>
      <c r="Y1547" s="68"/>
      <c r="Z1547" s="68"/>
    </row>
    <row r="1548" ht="15.0" customHeight="1">
      <c r="A1548" s="206">
        <v>46006.0</v>
      </c>
      <c r="B1548" s="201" t="s">
        <v>6831</v>
      </c>
      <c r="C1548" s="201" t="s">
        <v>6573</v>
      </c>
      <c r="D1548" s="140" t="str">
        <f>IFERROR(VLOOKUP(C1548,Stock,3,FALSE),"")</f>
        <v>Mazda 6 18-23 GJ/GL 3rd Gen (2 Sensor / [] /=\ )</v>
      </c>
      <c r="E1548" s="45">
        <v>1.0</v>
      </c>
      <c r="F1548" s="198">
        <v>4502000.0</v>
      </c>
      <c r="G1548" s="142">
        <f t="shared" si="40"/>
        <v>4502000</v>
      </c>
      <c r="H1548" s="142"/>
      <c r="I1548" s="143">
        <f t="shared" si="38"/>
        <v>4502000</v>
      </c>
      <c r="J1548" s="144">
        <f t="shared" si="39"/>
        <v>4502000</v>
      </c>
      <c r="K1548" s="108" t="s">
        <v>6832</v>
      </c>
      <c r="L1548" s="199" t="s">
        <v>6833</v>
      </c>
      <c r="M1548" s="17"/>
      <c r="N1548" s="64" t="s">
        <v>3492</v>
      </c>
      <c r="O1548" s="64" t="s">
        <v>6834</v>
      </c>
      <c r="P1548" s="147" t="s">
        <v>4672</v>
      </c>
      <c r="Q1548" s="149"/>
      <c r="R1548" s="141"/>
      <c r="S1548" s="141"/>
      <c r="T1548" s="141">
        <v>4502000.0</v>
      </c>
      <c r="U1548" s="149"/>
      <c r="V1548" s="149"/>
      <c r="W1548" s="149"/>
      <c r="X1548" s="64" t="s">
        <v>6553</v>
      </c>
      <c r="Y1548" s="68"/>
      <c r="Z1548" s="68"/>
    </row>
    <row r="1549" ht="15.0" customHeight="1">
      <c r="A1549" s="206">
        <v>46006.0</v>
      </c>
      <c r="B1549" s="201" t="s">
        <v>6835</v>
      </c>
      <c r="C1549" s="45" t="s">
        <v>3029</v>
      </c>
      <c r="D1549" s="140" t="str">
        <f>IFERROR(VLOOKUP(C1549,Stock,3,FALSE),"")</f>
        <v>Mitsubishi Canter FE700 01- (PS110,125)</v>
      </c>
      <c r="E1549" s="45">
        <v>1.0</v>
      </c>
      <c r="F1549" s="198">
        <v>1244000.0</v>
      </c>
      <c r="G1549" s="142">
        <f t="shared" si="40"/>
        <v>1244000</v>
      </c>
      <c r="H1549" s="142"/>
      <c r="I1549" s="143">
        <f t="shared" si="38"/>
        <v>1244000</v>
      </c>
      <c r="J1549" s="144">
        <f t="shared" si="39"/>
        <v>1244000</v>
      </c>
      <c r="K1549" s="108" t="s">
        <v>6836</v>
      </c>
      <c r="L1549" s="199" t="s">
        <v>6837</v>
      </c>
      <c r="M1549" s="17"/>
      <c r="N1549" s="64" t="s">
        <v>6838</v>
      </c>
      <c r="O1549" s="64" t="s">
        <v>2905</v>
      </c>
      <c r="P1549" s="147" t="s">
        <v>4672</v>
      </c>
      <c r="Q1549" s="149"/>
      <c r="R1549" s="141"/>
      <c r="S1549" s="141"/>
      <c r="T1549" s="141">
        <v>1244000.0</v>
      </c>
      <c r="U1549" s="149"/>
      <c r="V1549" s="149"/>
      <c r="W1549" s="149"/>
      <c r="X1549" s="64" t="s">
        <v>3810</v>
      </c>
      <c r="Y1549" s="68"/>
      <c r="Z1549" s="68"/>
    </row>
    <row r="1550" ht="15.0" customHeight="1">
      <c r="A1550" s="206">
        <v>46006.0</v>
      </c>
      <c r="B1550" s="201" t="s">
        <v>6839</v>
      </c>
      <c r="C1550" s="45" t="s">
        <v>6774</v>
      </c>
      <c r="D1550" s="140" t="str">
        <f>IFERROR(VLOOKUP(C1550,Stock,3,FALSE),"")</f>
        <v>Nissan March 10- K13</v>
      </c>
      <c r="E1550" s="45">
        <v>1.0</v>
      </c>
      <c r="F1550" s="198">
        <v>1393000.0</v>
      </c>
      <c r="G1550" s="142">
        <f t="shared" si="40"/>
        <v>1393000</v>
      </c>
      <c r="H1550" s="142"/>
      <c r="I1550" s="143">
        <f t="shared" si="38"/>
        <v>1393000</v>
      </c>
      <c r="J1550" s="144">
        <f t="shared" si="39"/>
        <v>1393000</v>
      </c>
      <c r="K1550" s="108" t="s">
        <v>6840</v>
      </c>
      <c r="L1550" s="199" t="s">
        <v>6841</v>
      </c>
      <c r="M1550" s="17"/>
      <c r="N1550" s="64" t="s">
        <v>6842</v>
      </c>
      <c r="O1550" s="64" t="s">
        <v>6843</v>
      </c>
      <c r="P1550" s="147" t="s">
        <v>4672</v>
      </c>
      <c r="Q1550" s="149"/>
      <c r="R1550" s="141"/>
      <c r="S1550" s="141"/>
      <c r="T1550" s="141">
        <v>50000.0</v>
      </c>
      <c r="U1550" s="149"/>
      <c r="V1550" s="149"/>
      <c r="W1550" s="149"/>
      <c r="X1550" s="64" t="s">
        <v>3810</v>
      </c>
      <c r="Y1550" s="68"/>
      <c r="Z1550" s="68"/>
    </row>
    <row r="1551" ht="15.0" customHeight="1">
      <c r="A1551" s="206">
        <v>46006.0</v>
      </c>
      <c r="B1551" s="201" t="s">
        <v>6839</v>
      </c>
      <c r="C1551" s="45" t="s">
        <v>2770</v>
      </c>
      <c r="D1551" s="140" t="str">
        <f>IFERROR(VLOOKUP(C1551,Stock,3,FALSE),"")</f>
        <v>Transport</v>
      </c>
      <c r="E1551" s="45">
        <v>1.0</v>
      </c>
      <c r="F1551" s="198">
        <v>65000.0</v>
      </c>
      <c r="G1551" s="142">
        <f t="shared" si="40"/>
        <v>65000</v>
      </c>
      <c r="H1551" s="142"/>
      <c r="I1551" s="143">
        <f t="shared" si="38"/>
        <v>65000</v>
      </c>
      <c r="J1551" s="144">
        <f t="shared" si="39"/>
        <v>65000</v>
      </c>
      <c r="K1551" s="108" t="s">
        <v>6840</v>
      </c>
      <c r="L1551" s="199" t="s">
        <v>6841</v>
      </c>
      <c r="M1551" s="17"/>
      <c r="N1551" s="64" t="s">
        <v>6842</v>
      </c>
      <c r="O1551" s="64" t="s">
        <v>6843</v>
      </c>
      <c r="P1551" s="147" t="s">
        <v>4672</v>
      </c>
      <c r="Q1551" s="141">
        <v>1408000.0</v>
      </c>
      <c r="R1551" s="149"/>
      <c r="S1551" s="149"/>
      <c r="T1551" s="149"/>
      <c r="U1551" s="149"/>
      <c r="V1551" s="149"/>
      <c r="W1551" s="149"/>
      <c r="X1551" s="64" t="s">
        <v>3810</v>
      </c>
      <c r="Y1551" s="68"/>
      <c r="Z1551" s="68"/>
    </row>
    <row r="1552" ht="15.0" customHeight="1">
      <c r="A1552" s="206">
        <v>46006.0</v>
      </c>
      <c r="B1552" s="201" t="s">
        <v>6844</v>
      </c>
      <c r="C1552" s="45" t="s">
        <v>3021</v>
      </c>
      <c r="D1552" s="140" t="str">
        <f>IFERROR(VLOOKUP(C1552,Stock,3,FALSE),"")</f>
        <v>Honda Freed 08-16 1st gen</v>
      </c>
      <c r="E1552" s="45">
        <v>1.0</v>
      </c>
      <c r="F1552" s="198">
        <v>1496000.0</v>
      </c>
      <c r="G1552" s="142">
        <f t="shared" si="40"/>
        <v>1496000</v>
      </c>
      <c r="H1552" s="142"/>
      <c r="I1552" s="143">
        <f t="shared" si="38"/>
        <v>1496000</v>
      </c>
      <c r="J1552" s="144">
        <f t="shared" si="39"/>
        <v>1496000</v>
      </c>
      <c r="K1552" s="108" t="s">
        <v>6845</v>
      </c>
      <c r="L1552" s="199" t="s">
        <v>6846</v>
      </c>
      <c r="M1552" s="17"/>
      <c r="N1552" s="64" t="s">
        <v>6847</v>
      </c>
      <c r="O1552" s="64" t="s">
        <v>6848</v>
      </c>
      <c r="P1552" s="147" t="s">
        <v>4672</v>
      </c>
      <c r="Q1552" s="149"/>
      <c r="R1552" s="141"/>
      <c r="S1552" s="141"/>
      <c r="T1552" s="141">
        <v>50000.0</v>
      </c>
      <c r="U1552" s="149"/>
      <c r="V1552" s="149"/>
      <c r="W1552" s="149"/>
      <c r="X1552" s="64" t="s">
        <v>6553</v>
      </c>
      <c r="Y1552" s="68"/>
      <c r="Z1552" s="68"/>
    </row>
    <row r="1553" ht="15.0" customHeight="1">
      <c r="A1553" s="206">
        <v>46006.0</v>
      </c>
      <c r="B1553" s="201" t="s">
        <v>6844</v>
      </c>
      <c r="C1553" s="45" t="s">
        <v>2770</v>
      </c>
      <c r="D1553" s="140" t="str">
        <f>IFERROR(VLOOKUP(C1553,Stock,3,FALSE),"")</f>
        <v>Transport</v>
      </c>
      <c r="E1553" s="45">
        <v>1.0</v>
      </c>
      <c r="F1553" s="198">
        <v>170000.0</v>
      </c>
      <c r="G1553" s="142">
        <f t="shared" si="40"/>
        <v>170000</v>
      </c>
      <c r="H1553" s="142"/>
      <c r="I1553" s="143">
        <f t="shared" si="38"/>
        <v>170000</v>
      </c>
      <c r="J1553" s="144">
        <f t="shared" si="39"/>
        <v>170000</v>
      </c>
      <c r="K1553" s="108" t="s">
        <v>6845</v>
      </c>
      <c r="L1553" s="199" t="s">
        <v>6846</v>
      </c>
      <c r="M1553" s="17"/>
      <c r="N1553" s="64" t="s">
        <v>6847</v>
      </c>
      <c r="O1553" s="64" t="s">
        <v>6848</v>
      </c>
      <c r="P1553" s="147" t="s">
        <v>4672</v>
      </c>
      <c r="Q1553" s="149"/>
      <c r="R1553" s="141"/>
      <c r="S1553" s="141"/>
      <c r="T1553" s="141">
        <v>1616000.0</v>
      </c>
      <c r="U1553" s="149"/>
      <c r="V1553" s="149"/>
      <c r="W1553" s="149"/>
      <c r="X1553" s="64" t="s">
        <v>6553</v>
      </c>
      <c r="Y1553" s="68"/>
      <c r="Z1553" s="68"/>
    </row>
    <row r="1554" ht="15.0" customHeight="1">
      <c r="A1554" s="206">
        <v>46006.0</v>
      </c>
      <c r="B1554" s="201" t="s">
        <v>6849</v>
      </c>
      <c r="C1554" s="45" t="s">
        <v>6850</v>
      </c>
      <c r="D1554" s="140" t="str">
        <f>IFERROR(VLOOKUP(C1554,Stock,3,FALSE),"")</f>
        <v>Isuzu Elf 17- New NMR NLR / Isuzu Giga </v>
      </c>
      <c r="E1554" s="45">
        <v>1.0</v>
      </c>
      <c r="F1554" s="198">
        <v>300000.0</v>
      </c>
      <c r="G1554" s="142">
        <f t="shared" si="40"/>
        <v>300000</v>
      </c>
      <c r="H1554" s="142"/>
      <c r="I1554" s="143">
        <f t="shared" si="38"/>
        <v>300000</v>
      </c>
      <c r="J1554" s="144">
        <f t="shared" si="39"/>
        <v>300000</v>
      </c>
      <c r="K1554" s="108" t="s">
        <v>6851</v>
      </c>
      <c r="L1554" s="199" t="s">
        <v>6852</v>
      </c>
      <c r="M1554" s="17"/>
      <c r="N1554" s="64" t="s">
        <v>4270</v>
      </c>
      <c r="O1554" s="64" t="s">
        <v>4542</v>
      </c>
      <c r="P1554" s="147" t="s">
        <v>4672</v>
      </c>
      <c r="Q1554" s="149"/>
      <c r="R1554" s="141"/>
      <c r="S1554" s="141"/>
      <c r="T1554" s="141">
        <v>330000.0</v>
      </c>
      <c r="U1554" s="149"/>
      <c r="V1554" s="149"/>
      <c r="W1554" s="149"/>
      <c r="X1554" s="64" t="s">
        <v>3810</v>
      </c>
      <c r="Y1554" s="68"/>
      <c r="Z1554" s="68"/>
    </row>
    <row r="1555" ht="15.0" customHeight="1">
      <c r="A1555" s="206">
        <v>46006.0</v>
      </c>
      <c r="B1555" s="201" t="s">
        <v>6849</v>
      </c>
      <c r="C1555" s="45" t="s">
        <v>6853</v>
      </c>
      <c r="D1555" s="140" t="str">
        <f>IFERROR(VLOOKUP(C1555,Stock,3,FALSE),"")</f>
        <v>Isuzu Elf 17- New NMR NLR / Isuzu Giga </v>
      </c>
      <c r="E1555" s="45">
        <v>1.0</v>
      </c>
      <c r="F1555" s="198">
        <v>300000.0</v>
      </c>
      <c r="G1555" s="142">
        <f t="shared" si="40"/>
        <v>300000</v>
      </c>
      <c r="H1555" s="142"/>
      <c r="I1555" s="143">
        <f t="shared" si="38"/>
        <v>300000</v>
      </c>
      <c r="J1555" s="144">
        <f t="shared" si="39"/>
        <v>300000</v>
      </c>
      <c r="K1555" s="108" t="s">
        <v>6851</v>
      </c>
      <c r="L1555" s="199" t="s">
        <v>6852</v>
      </c>
      <c r="M1555" s="17"/>
      <c r="N1555" s="64" t="s">
        <v>4270</v>
      </c>
      <c r="O1555" s="64" t="s">
        <v>4542</v>
      </c>
      <c r="P1555" s="147" t="s">
        <v>4672</v>
      </c>
      <c r="Q1555" s="141">
        <v>330000.0</v>
      </c>
      <c r="R1555" s="149"/>
      <c r="S1555" s="149"/>
      <c r="T1555" s="149"/>
      <c r="U1555" s="149"/>
      <c r="V1555" s="149"/>
      <c r="W1555" s="149"/>
      <c r="X1555" s="64" t="s">
        <v>3810</v>
      </c>
      <c r="Y1555" s="68"/>
      <c r="Z1555" s="68"/>
    </row>
    <row r="1556" ht="15.0" customHeight="1">
      <c r="A1556" s="206">
        <v>46006.0</v>
      </c>
      <c r="B1556" s="201" t="s">
        <v>6849</v>
      </c>
      <c r="C1556" s="45" t="s">
        <v>2770</v>
      </c>
      <c r="D1556" s="140" t="str">
        <f>IFERROR(VLOOKUP(C1556,Stock,3,FALSE),"")</f>
        <v>Transport</v>
      </c>
      <c r="E1556" s="45">
        <v>1.0</v>
      </c>
      <c r="F1556" s="198">
        <v>60000.0</v>
      </c>
      <c r="G1556" s="142">
        <f t="shared" si="40"/>
        <v>60000</v>
      </c>
      <c r="H1556" s="142"/>
      <c r="I1556" s="143">
        <f t="shared" si="38"/>
        <v>60000</v>
      </c>
      <c r="J1556" s="144">
        <f t="shared" si="39"/>
        <v>60000</v>
      </c>
      <c r="K1556" s="108" t="s">
        <v>6851</v>
      </c>
      <c r="L1556" s="199" t="s">
        <v>6852</v>
      </c>
      <c r="M1556" s="17"/>
      <c r="N1556" s="64" t="s">
        <v>4270</v>
      </c>
      <c r="O1556" s="64" t="s">
        <v>4542</v>
      </c>
      <c r="P1556" s="147" t="s">
        <v>4672</v>
      </c>
      <c r="Q1556" s="149"/>
      <c r="R1556" s="149"/>
      <c r="S1556" s="149"/>
      <c r="T1556" s="149"/>
      <c r="U1556" s="149"/>
      <c r="V1556" s="149"/>
      <c r="W1556" s="149"/>
      <c r="X1556" s="64" t="s">
        <v>3810</v>
      </c>
      <c r="Y1556" s="68"/>
      <c r="Z1556" s="68"/>
    </row>
    <row r="1557" ht="15.0" customHeight="1">
      <c r="A1557" s="206">
        <v>46007.0</v>
      </c>
      <c r="B1557" s="201" t="s">
        <v>6854</v>
      </c>
      <c r="C1557" s="45" t="s">
        <v>3126</v>
      </c>
      <c r="D1557" s="140" t="str">
        <f>IFERROR(VLOOKUP(C1557,Stock,3,FALSE),"")</f>
        <v>Suzuki Carry New 19-</v>
      </c>
      <c r="E1557" s="45">
        <v>1.0</v>
      </c>
      <c r="F1557" s="198">
        <v>1100000.0</v>
      </c>
      <c r="G1557" s="142">
        <f t="shared" si="40"/>
        <v>1100000</v>
      </c>
      <c r="H1557" s="142"/>
      <c r="I1557" s="143">
        <f t="shared" si="38"/>
        <v>1100000</v>
      </c>
      <c r="J1557" s="144">
        <f t="shared" si="39"/>
        <v>1100000</v>
      </c>
      <c r="K1557" s="108" t="s">
        <v>6739</v>
      </c>
      <c r="L1557" s="199" t="s">
        <v>4087</v>
      </c>
      <c r="M1557" s="17"/>
      <c r="N1557" s="64" t="s">
        <v>6855</v>
      </c>
      <c r="O1557" s="64" t="s">
        <v>2813</v>
      </c>
      <c r="P1557" s="147" t="s">
        <v>4672</v>
      </c>
      <c r="Q1557" s="149"/>
      <c r="R1557" s="141"/>
      <c r="S1557" s="141"/>
      <c r="T1557" s="141">
        <v>1100000.0</v>
      </c>
      <c r="U1557" s="149"/>
      <c r="V1557" s="149"/>
      <c r="W1557" s="149"/>
      <c r="X1557" s="64" t="s">
        <v>3810</v>
      </c>
      <c r="Y1557" s="64" t="s">
        <v>4515</v>
      </c>
      <c r="Z1557" s="68"/>
    </row>
    <row r="1558" ht="15.0" customHeight="1">
      <c r="A1558" s="206">
        <v>46007.0</v>
      </c>
      <c r="B1558" s="201" t="s">
        <v>6856</v>
      </c>
      <c r="C1558" s="45" t="s">
        <v>6746</v>
      </c>
      <c r="D1558" s="140" t="str">
        <f>IFERROR(VLOOKUP(C1558,Stock,3,FALSE),"")</f>
        <v>Toyota Camry 06-11 XV40 4th Gen</v>
      </c>
      <c r="E1558" s="45">
        <v>1.0</v>
      </c>
      <c r="F1558" s="198">
        <v>3123000.0</v>
      </c>
      <c r="G1558" s="142">
        <f t="shared" si="40"/>
        <v>3123000</v>
      </c>
      <c r="H1558" s="142"/>
      <c r="I1558" s="143">
        <f t="shared" si="38"/>
        <v>3123000</v>
      </c>
      <c r="J1558" s="144">
        <f t="shared" si="39"/>
        <v>3123000</v>
      </c>
      <c r="K1558" s="108" t="s">
        <v>4343</v>
      </c>
      <c r="L1558" s="199" t="s">
        <v>6857</v>
      </c>
      <c r="M1558" s="17"/>
      <c r="N1558" s="64" t="s">
        <v>6858</v>
      </c>
      <c r="O1558" s="64" t="s">
        <v>2813</v>
      </c>
      <c r="P1558" s="147" t="s">
        <v>4672</v>
      </c>
      <c r="Q1558" s="149"/>
      <c r="R1558" s="141"/>
      <c r="S1558" s="141"/>
      <c r="T1558" s="141">
        <v>3123000.0</v>
      </c>
      <c r="U1558" s="149"/>
      <c r="V1558" s="149"/>
      <c r="W1558" s="149"/>
      <c r="X1558" s="64" t="s">
        <v>3810</v>
      </c>
      <c r="Y1558" s="64" t="s">
        <v>4515</v>
      </c>
      <c r="Z1558" s="68"/>
    </row>
    <row r="1559" ht="15.0" customHeight="1">
      <c r="A1559" s="206">
        <v>46007.0</v>
      </c>
      <c r="B1559" s="201" t="s">
        <v>6859</v>
      </c>
      <c r="C1559" s="45" t="s">
        <v>3246</v>
      </c>
      <c r="D1559" s="140" t="str">
        <f>IFERROR(VLOOKUP(C1559,Stock,3,FALSE),"")</f>
        <v>Toyota Calya / Sigra 16-</v>
      </c>
      <c r="E1559" s="45">
        <v>1.0</v>
      </c>
      <c r="F1559" s="198">
        <v>1200000.0</v>
      </c>
      <c r="G1559" s="142">
        <f t="shared" si="40"/>
        <v>1200000</v>
      </c>
      <c r="H1559" s="142"/>
      <c r="I1559" s="143">
        <f t="shared" si="38"/>
        <v>1200000</v>
      </c>
      <c r="J1559" s="144">
        <f t="shared" si="39"/>
        <v>1200000</v>
      </c>
      <c r="K1559" s="108" t="s">
        <v>6860</v>
      </c>
      <c r="L1559" s="199" t="s">
        <v>6861</v>
      </c>
      <c r="M1559" s="17"/>
      <c r="N1559" s="64" t="s">
        <v>6862</v>
      </c>
      <c r="O1559" s="64" t="s">
        <v>2807</v>
      </c>
      <c r="P1559" s="147" t="s">
        <v>2752</v>
      </c>
      <c r="Q1559" s="149"/>
      <c r="R1559" s="141"/>
      <c r="S1559" s="141"/>
      <c r="T1559" s="141">
        <v>1200000.0</v>
      </c>
      <c r="U1559" s="149"/>
      <c r="V1559" s="149"/>
      <c r="W1559" s="149"/>
      <c r="X1559" s="64" t="s">
        <v>3810</v>
      </c>
      <c r="Y1559" s="64" t="s">
        <v>4515</v>
      </c>
      <c r="Z1559" s="68"/>
    </row>
    <row r="1560" ht="15.0" customHeight="1">
      <c r="A1560" s="206">
        <v>46007.0</v>
      </c>
      <c r="B1560" s="201" t="s">
        <v>6863</v>
      </c>
      <c r="C1560" s="45" t="s">
        <v>6864</v>
      </c>
      <c r="D1560" s="140" t="str">
        <f>IFERROR(VLOOKUP(C1560,Stock,3,FALSE),"")</f>
        <v>Toyota LandCruiser 90-97 FJ80</v>
      </c>
      <c r="E1560" s="45">
        <v>1.0</v>
      </c>
      <c r="F1560" s="202"/>
      <c r="G1560" s="142">
        <f t="shared" si="40"/>
        <v>0</v>
      </c>
      <c r="H1560" s="142"/>
      <c r="I1560" s="143">
        <f t="shared" si="38"/>
        <v>0</v>
      </c>
      <c r="J1560" s="144">
        <f t="shared" si="39"/>
        <v>0</v>
      </c>
      <c r="K1560" s="108" t="s">
        <v>4827</v>
      </c>
      <c r="L1560" s="17"/>
      <c r="M1560" s="17"/>
      <c r="N1560" s="68"/>
      <c r="O1560" s="64" t="s">
        <v>4376</v>
      </c>
      <c r="P1560" s="147"/>
      <c r="Q1560" s="149"/>
      <c r="R1560" s="149"/>
      <c r="S1560" s="149"/>
      <c r="T1560" s="149"/>
      <c r="U1560" s="149"/>
      <c r="V1560" s="149"/>
      <c r="W1560" s="149"/>
      <c r="X1560" s="64" t="s">
        <v>3810</v>
      </c>
      <c r="Y1560" s="64" t="s">
        <v>4515</v>
      </c>
      <c r="Z1560" s="68"/>
    </row>
    <row r="1561" ht="15.0" customHeight="1">
      <c r="A1561" s="206">
        <v>46007.0</v>
      </c>
      <c r="B1561" s="201" t="s">
        <v>6865</v>
      </c>
      <c r="C1561" s="45" t="s">
        <v>6866</v>
      </c>
      <c r="D1561" s="140" t="str">
        <f>IFERROR(VLOOKUP(C1561,Stock,3,FALSE),"")</f>
        <v>Toyota Alphard 15-17 ANH30 3rd Gen (Hitam)</v>
      </c>
      <c r="E1561" s="45">
        <v>1.0</v>
      </c>
      <c r="F1561" s="198">
        <v>2870000.0</v>
      </c>
      <c r="G1561" s="142">
        <f t="shared" si="40"/>
        <v>2870000</v>
      </c>
      <c r="H1561" s="142"/>
      <c r="I1561" s="143">
        <f t="shared" si="38"/>
        <v>2870000</v>
      </c>
      <c r="J1561" s="144">
        <f t="shared" si="39"/>
        <v>2870000</v>
      </c>
      <c r="K1561" s="108" t="s">
        <v>6867</v>
      </c>
      <c r="L1561" s="199" t="s">
        <v>6868</v>
      </c>
      <c r="M1561" s="17"/>
      <c r="N1561" s="64" t="s">
        <v>6869</v>
      </c>
      <c r="O1561" s="64" t="s">
        <v>2813</v>
      </c>
      <c r="P1561" s="147" t="s">
        <v>4672</v>
      </c>
      <c r="Q1561" s="149"/>
      <c r="R1561" s="141"/>
      <c r="S1561" s="141"/>
      <c r="T1561" s="141">
        <v>50000.0</v>
      </c>
      <c r="U1561" s="149"/>
      <c r="V1561" s="149"/>
      <c r="W1561" s="149"/>
      <c r="X1561" s="64" t="s">
        <v>6553</v>
      </c>
      <c r="Y1561" s="64" t="s">
        <v>4515</v>
      </c>
      <c r="Z1561" s="68"/>
    </row>
    <row r="1562" ht="15.0" customHeight="1">
      <c r="A1562" s="206">
        <v>46007.0</v>
      </c>
      <c r="B1562" s="201" t="s">
        <v>6865</v>
      </c>
      <c r="C1562" s="45" t="s">
        <v>2770</v>
      </c>
      <c r="D1562" s="140" t="str">
        <f>IFERROR(VLOOKUP(C1562,Stock,3,FALSE),"")</f>
        <v>Transport</v>
      </c>
      <c r="E1562" s="45">
        <v>1.0</v>
      </c>
      <c r="F1562" s="198">
        <v>70000.0</v>
      </c>
      <c r="G1562" s="142">
        <f t="shared" si="40"/>
        <v>70000</v>
      </c>
      <c r="H1562" s="142"/>
      <c r="I1562" s="143">
        <f t="shared" si="38"/>
        <v>70000</v>
      </c>
      <c r="J1562" s="144">
        <f t="shared" si="39"/>
        <v>70000</v>
      </c>
      <c r="K1562" s="108" t="s">
        <v>6867</v>
      </c>
      <c r="L1562" s="199" t="s">
        <v>6868</v>
      </c>
      <c r="M1562" s="17"/>
      <c r="N1562" s="64" t="s">
        <v>6869</v>
      </c>
      <c r="O1562" s="64" t="s">
        <v>2813</v>
      </c>
      <c r="P1562" s="147" t="s">
        <v>4672</v>
      </c>
      <c r="Q1562" s="149"/>
      <c r="R1562" s="141"/>
      <c r="S1562" s="141"/>
      <c r="T1562" s="141">
        <v>2890000.0</v>
      </c>
      <c r="U1562" s="149"/>
      <c r="V1562" s="149"/>
      <c r="W1562" s="149"/>
      <c r="X1562" s="64" t="s">
        <v>6553</v>
      </c>
      <c r="Y1562" s="64" t="s">
        <v>4515</v>
      </c>
      <c r="Z1562" s="68"/>
    </row>
    <row r="1563" ht="15.0" customHeight="1">
      <c r="A1563" s="206">
        <v>46007.0</v>
      </c>
      <c r="B1563" s="201" t="s">
        <v>6870</v>
      </c>
      <c r="C1563" s="45" t="s">
        <v>6871</v>
      </c>
      <c r="D1563" s="140" t="str">
        <f>IFERROR(VLOOKUP(C1563,Stock,3,FALSE),"")</f>
        <v>Toyota Innova 22- Zenyx 3rd Gen (1 Sensor / /\ )</v>
      </c>
      <c r="E1563" s="45">
        <v>1.0</v>
      </c>
      <c r="F1563" s="198">
        <v>2100000.0</v>
      </c>
      <c r="G1563" s="142">
        <f t="shared" si="40"/>
        <v>2100000</v>
      </c>
      <c r="H1563" s="142"/>
      <c r="I1563" s="143">
        <f t="shared" si="38"/>
        <v>2100000</v>
      </c>
      <c r="J1563" s="144">
        <f t="shared" si="39"/>
        <v>2100000</v>
      </c>
      <c r="K1563" s="108" t="s">
        <v>6872</v>
      </c>
      <c r="L1563" s="199" t="s">
        <v>6873</v>
      </c>
      <c r="M1563" s="17"/>
      <c r="N1563" s="64" t="s">
        <v>6874</v>
      </c>
      <c r="O1563" s="64" t="s">
        <v>5717</v>
      </c>
      <c r="P1563" s="147" t="s">
        <v>4672</v>
      </c>
      <c r="Q1563" s="149"/>
      <c r="R1563" s="141"/>
      <c r="S1563" s="141"/>
      <c r="T1563" s="141">
        <v>50000.0</v>
      </c>
      <c r="U1563" s="149"/>
      <c r="V1563" s="149"/>
      <c r="W1563" s="149"/>
      <c r="X1563" s="64" t="s">
        <v>3810</v>
      </c>
      <c r="Y1563" s="64" t="s">
        <v>4515</v>
      </c>
      <c r="Z1563" s="68"/>
    </row>
    <row r="1564" ht="15.0" customHeight="1">
      <c r="A1564" s="206">
        <v>46007.0</v>
      </c>
      <c r="B1564" s="201" t="s">
        <v>6870</v>
      </c>
      <c r="C1564" s="45" t="s">
        <v>2770</v>
      </c>
      <c r="D1564" s="140" t="str">
        <f>IFERROR(VLOOKUP(C1564,Stock,3,FALSE),"")</f>
        <v>Transport</v>
      </c>
      <c r="E1564" s="64">
        <v>1.0</v>
      </c>
      <c r="F1564" s="198">
        <v>200000.0</v>
      </c>
      <c r="G1564" s="142">
        <f t="shared" si="40"/>
        <v>200000</v>
      </c>
      <c r="H1564" s="142"/>
      <c r="I1564" s="143">
        <f t="shared" si="38"/>
        <v>200000</v>
      </c>
      <c r="J1564" s="144">
        <f t="shared" si="39"/>
        <v>200000</v>
      </c>
      <c r="K1564" s="108" t="s">
        <v>6872</v>
      </c>
      <c r="L1564" s="199" t="s">
        <v>6873</v>
      </c>
      <c r="M1564" s="68"/>
      <c r="N1564" s="64" t="s">
        <v>6874</v>
      </c>
      <c r="O1564" s="64" t="s">
        <v>5717</v>
      </c>
      <c r="P1564" s="147" t="s">
        <v>4672</v>
      </c>
      <c r="Q1564" s="68"/>
      <c r="R1564" s="141"/>
      <c r="S1564" s="141"/>
      <c r="T1564" s="141">
        <v>2450000.0</v>
      </c>
      <c r="U1564" s="68"/>
      <c r="V1564" s="68"/>
      <c r="W1564" s="68"/>
      <c r="X1564" s="64" t="s">
        <v>3810</v>
      </c>
      <c r="Y1564" s="64" t="s">
        <v>4515</v>
      </c>
      <c r="Z1564" s="68"/>
    </row>
    <row r="1565" ht="15.0" customHeight="1">
      <c r="A1565" s="206">
        <v>46007.0</v>
      </c>
      <c r="B1565" s="201" t="s">
        <v>6870</v>
      </c>
      <c r="C1565" s="64" t="s">
        <v>4979</v>
      </c>
      <c r="D1565" s="140" t="str">
        <f>IFERROR(VLOOKUP(C1565,Stock,3,FALSE),"")</f>
        <v>255 Ultra + Actv-100 Application</v>
      </c>
      <c r="E1565" s="64">
        <v>1.0</v>
      </c>
      <c r="F1565" s="198">
        <v>200000.0</v>
      </c>
      <c r="G1565" s="142">
        <f t="shared" si="40"/>
        <v>200000</v>
      </c>
      <c r="H1565" s="142"/>
      <c r="I1565" s="143">
        <f t="shared" si="38"/>
        <v>200000</v>
      </c>
      <c r="J1565" s="144">
        <f t="shared" si="39"/>
        <v>200000</v>
      </c>
      <c r="K1565" s="108" t="s">
        <v>6872</v>
      </c>
      <c r="L1565" s="199" t="s">
        <v>6873</v>
      </c>
      <c r="M1565" s="68"/>
      <c r="N1565" s="64" t="s">
        <v>6874</v>
      </c>
      <c r="O1565" s="64" t="s">
        <v>5717</v>
      </c>
      <c r="P1565" s="147" t="s">
        <v>4672</v>
      </c>
      <c r="Q1565" s="68"/>
      <c r="R1565" s="68"/>
      <c r="S1565" s="68"/>
      <c r="T1565" s="68"/>
      <c r="U1565" s="68"/>
      <c r="V1565" s="68"/>
      <c r="W1565" s="68"/>
      <c r="X1565" s="64" t="s">
        <v>3810</v>
      </c>
      <c r="Y1565" s="64" t="s">
        <v>4515</v>
      </c>
      <c r="Z1565" s="68"/>
    </row>
    <row r="1566" ht="15.0" customHeight="1">
      <c r="A1566" s="206">
        <v>46007.0</v>
      </c>
      <c r="B1566" s="201" t="s">
        <v>6875</v>
      </c>
      <c r="C1566" s="45" t="s">
        <v>6507</v>
      </c>
      <c r="D1566" s="140" t="str">
        <f>IFERROR(VLOOKUP(C1566,Stock,3,FALSE),"")</f>
        <v>Hyundai Santa Fe 18-</v>
      </c>
      <c r="E1566" s="45">
        <v>1.0</v>
      </c>
      <c r="F1566" s="198">
        <v>2764000.0</v>
      </c>
      <c r="G1566" s="142">
        <f t="shared" si="40"/>
        <v>2764000</v>
      </c>
      <c r="H1566" s="143">
        <v>14000.0</v>
      </c>
      <c r="I1566" s="143">
        <f t="shared" si="38"/>
        <v>2750000</v>
      </c>
      <c r="J1566" s="144">
        <f t="shared" si="39"/>
        <v>2750000</v>
      </c>
      <c r="K1566" s="108" t="s">
        <v>6876</v>
      </c>
      <c r="L1566" s="199" t="s">
        <v>6877</v>
      </c>
      <c r="M1566" s="17"/>
      <c r="N1566" s="64" t="s">
        <v>6878</v>
      </c>
      <c r="O1566" s="64" t="s">
        <v>2813</v>
      </c>
      <c r="P1566" s="147" t="s">
        <v>4672</v>
      </c>
      <c r="Q1566" s="149"/>
      <c r="R1566" s="141"/>
      <c r="S1566" s="141"/>
      <c r="T1566" s="141">
        <v>2950000.0</v>
      </c>
      <c r="U1566" s="149"/>
      <c r="V1566" s="149"/>
      <c r="W1566" s="149"/>
      <c r="X1566" s="64" t="s">
        <v>3810</v>
      </c>
      <c r="Y1566" s="64" t="s">
        <v>4515</v>
      </c>
      <c r="Z1566" s="68"/>
    </row>
    <row r="1567" ht="15.0" customHeight="1">
      <c r="A1567" s="206">
        <v>46007.0</v>
      </c>
      <c r="B1567" s="201" t="s">
        <v>6875</v>
      </c>
      <c r="C1567" s="45" t="s">
        <v>4979</v>
      </c>
      <c r="D1567" s="140" t="str">
        <f>IFERROR(VLOOKUP(C1567,Stock,3,FALSE),"")</f>
        <v>255 Ultra + Actv-100 Application</v>
      </c>
      <c r="E1567" s="45">
        <v>1.0</v>
      </c>
      <c r="F1567" s="198">
        <v>200000.0</v>
      </c>
      <c r="G1567" s="142">
        <f t="shared" si="40"/>
        <v>200000</v>
      </c>
      <c r="H1567" s="142"/>
      <c r="I1567" s="143">
        <f t="shared" si="38"/>
        <v>200000</v>
      </c>
      <c r="J1567" s="144">
        <f t="shared" si="39"/>
        <v>200000</v>
      </c>
      <c r="K1567" s="108" t="s">
        <v>6876</v>
      </c>
      <c r="L1567" s="199" t="s">
        <v>6877</v>
      </c>
      <c r="M1567" s="17"/>
      <c r="N1567" s="64" t="s">
        <v>6878</v>
      </c>
      <c r="O1567" s="64" t="s">
        <v>2813</v>
      </c>
      <c r="P1567" s="147" t="s">
        <v>4672</v>
      </c>
      <c r="Q1567" s="149"/>
      <c r="R1567" s="149"/>
      <c r="S1567" s="149"/>
      <c r="T1567" s="149"/>
      <c r="U1567" s="149"/>
      <c r="V1567" s="149"/>
      <c r="W1567" s="149"/>
      <c r="X1567" s="64" t="s">
        <v>3810</v>
      </c>
      <c r="Y1567" s="64" t="s">
        <v>4515</v>
      </c>
      <c r="Z1567" s="68"/>
    </row>
    <row r="1568" ht="15.0" customHeight="1">
      <c r="A1568" s="206">
        <v>46007.0</v>
      </c>
      <c r="B1568" s="201" t="s">
        <v>6879</v>
      </c>
      <c r="C1568" s="45" t="s">
        <v>6407</v>
      </c>
      <c r="D1568" s="140" t="str">
        <f>IFERROR(VLOOKUP(C1568,Stock,3,FALSE),"")</f>
        <v>Suzuki Carry 91-17 / Futura 91-18</v>
      </c>
      <c r="E1568" s="45">
        <v>1.0</v>
      </c>
      <c r="F1568" s="198">
        <v>450000.0</v>
      </c>
      <c r="G1568" s="142">
        <f t="shared" si="40"/>
        <v>450000</v>
      </c>
      <c r="H1568" s="142"/>
      <c r="I1568" s="143">
        <f t="shared" si="38"/>
        <v>450000</v>
      </c>
      <c r="J1568" s="144">
        <f t="shared" si="39"/>
        <v>450000</v>
      </c>
      <c r="K1568" s="108" t="s">
        <v>4492</v>
      </c>
      <c r="L1568" s="199" t="s">
        <v>6880</v>
      </c>
      <c r="M1568" s="17"/>
      <c r="N1568" s="64" t="s">
        <v>6881</v>
      </c>
      <c r="O1568" s="64" t="s">
        <v>2813</v>
      </c>
      <c r="P1568" s="147" t="s">
        <v>4672</v>
      </c>
      <c r="Q1568" s="149"/>
      <c r="R1568" s="141"/>
      <c r="S1568" s="141"/>
      <c r="T1568" s="141">
        <v>450000.0</v>
      </c>
      <c r="U1568" s="149"/>
      <c r="V1568" s="149"/>
      <c r="W1568" s="149"/>
      <c r="X1568" s="64" t="s">
        <v>6553</v>
      </c>
      <c r="Y1568" s="64" t="s">
        <v>4515</v>
      </c>
      <c r="Z1568" s="68"/>
    </row>
    <row r="1569" ht="15.0" customHeight="1">
      <c r="A1569" s="206">
        <v>46007.0</v>
      </c>
      <c r="B1569" s="201" t="s">
        <v>6882</v>
      </c>
      <c r="C1569" s="45" t="s">
        <v>6883</v>
      </c>
      <c r="D1569" s="286" t="str">
        <f>IFERROR(VLOOKUP(C1569,Stock,3,FALSE),"")</f>
        <v>Mitsubishi Xpander 22-</v>
      </c>
      <c r="E1569" s="45">
        <v>1.0</v>
      </c>
      <c r="F1569" s="198">
        <v>1000000.0</v>
      </c>
      <c r="G1569" s="142">
        <f t="shared" si="40"/>
        <v>1000000</v>
      </c>
      <c r="H1569" s="142"/>
      <c r="I1569" s="143">
        <f t="shared" si="38"/>
        <v>1000000</v>
      </c>
      <c r="J1569" s="144">
        <f t="shared" si="39"/>
        <v>1000000</v>
      </c>
      <c r="K1569" s="108" t="s">
        <v>6884</v>
      </c>
      <c r="L1569" s="199" t="s">
        <v>6885</v>
      </c>
      <c r="M1569" s="17"/>
      <c r="N1569" s="64" t="s">
        <v>6886</v>
      </c>
      <c r="O1569" s="64" t="s">
        <v>2813</v>
      </c>
      <c r="P1569" s="147" t="s">
        <v>5841</v>
      </c>
      <c r="Q1569" s="149"/>
      <c r="R1569" s="141"/>
      <c r="S1569" s="141"/>
      <c r="T1569" s="141">
        <v>1000000.0</v>
      </c>
      <c r="U1569" s="149"/>
      <c r="V1569" s="149"/>
      <c r="W1569" s="149"/>
      <c r="X1569" s="64" t="s">
        <v>3810</v>
      </c>
      <c r="Y1569" s="64" t="s">
        <v>4515</v>
      </c>
      <c r="Z1569" s="68"/>
    </row>
    <row r="1570" ht="15.0" customHeight="1">
      <c r="A1570" s="206">
        <v>46007.0</v>
      </c>
      <c r="B1570" s="201" t="s">
        <v>6887</v>
      </c>
      <c r="C1570" s="45" t="s">
        <v>3021</v>
      </c>
      <c r="D1570" s="140" t="str">
        <f>IFERROR(VLOOKUP(C1570,Stock,3,FALSE),"")</f>
        <v>Honda Freed 08-16 1st gen</v>
      </c>
      <c r="E1570" s="45">
        <v>1.0</v>
      </c>
      <c r="F1570" s="198">
        <v>1446000.0</v>
      </c>
      <c r="G1570" s="142">
        <f t="shared" si="40"/>
        <v>1446000</v>
      </c>
      <c r="H1570" s="142"/>
      <c r="I1570" s="143">
        <f t="shared" si="38"/>
        <v>1446000</v>
      </c>
      <c r="J1570" s="144">
        <f t="shared" si="39"/>
        <v>1446000</v>
      </c>
      <c r="K1570" s="108" t="s">
        <v>6888</v>
      </c>
      <c r="L1570" s="199" t="s">
        <v>6889</v>
      </c>
      <c r="M1570" s="17"/>
      <c r="N1570" s="64" t="s">
        <v>6890</v>
      </c>
      <c r="O1570" s="64" t="s">
        <v>2813</v>
      </c>
      <c r="P1570" s="147" t="s">
        <v>5841</v>
      </c>
      <c r="Q1570" s="149"/>
      <c r="R1570" s="141"/>
      <c r="S1570" s="141"/>
      <c r="T1570" s="141">
        <v>1446000.0</v>
      </c>
      <c r="U1570" s="149"/>
      <c r="V1570" s="149"/>
      <c r="W1570" s="149"/>
      <c r="X1570" s="64" t="s">
        <v>3810</v>
      </c>
      <c r="Y1570" s="64" t="s">
        <v>4515</v>
      </c>
      <c r="Z1570" s="68"/>
    </row>
    <row r="1571" ht="15.0" customHeight="1">
      <c r="A1571" s="206">
        <v>46007.0</v>
      </c>
      <c r="B1571" s="201" t="s">
        <v>6891</v>
      </c>
      <c r="C1571" s="45" t="s">
        <v>6892</v>
      </c>
      <c r="D1571" s="140" t="str">
        <f>IFERROR(VLOOKUP(C1571,Stock,3,FALSE),"")</f>
        <v>Toyota Avanza / Xenia 11-15 2nd Gen / 15-21 3rd Gen</v>
      </c>
      <c r="E1571" s="45">
        <v>1.0</v>
      </c>
      <c r="F1571" s="198">
        <v>850000.0</v>
      </c>
      <c r="G1571" s="142">
        <f t="shared" si="40"/>
        <v>850000</v>
      </c>
      <c r="H1571" s="142"/>
      <c r="I1571" s="143">
        <f t="shared" si="38"/>
        <v>850000</v>
      </c>
      <c r="J1571" s="144">
        <f t="shared" si="39"/>
        <v>850000</v>
      </c>
      <c r="K1571" s="108" t="s">
        <v>6893</v>
      </c>
      <c r="L1571" s="199" t="s">
        <v>6894</v>
      </c>
      <c r="M1571" s="17"/>
      <c r="N1571" s="64" t="s">
        <v>6895</v>
      </c>
      <c r="O1571" s="64" t="s">
        <v>2813</v>
      </c>
      <c r="P1571" s="147" t="s">
        <v>4672</v>
      </c>
      <c r="Q1571" s="149"/>
      <c r="R1571" s="141"/>
      <c r="S1571" s="141"/>
      <c r="T1571" s="141">
        <v>850000.0</v>
      </c>
      <c r="U1571" s="149"/>
      <c r="V1571" s="149"/>
      <c r="W1571" s="149"/>
      <c r="X1571" s="64" t="s">
        <v>3810</v>
      </c>
      <c r="Y1571" s="68"/>
      <c r="Z1571" s="68"/>
    </row>
    <row r="1572" ht="15.0" customHeight="1">
      <c r="A1572" s="206">
        <v>46008.0</v>
      </c>
      <c r="B1572" s="201" t="s">
        <v>6896</v>
      </c>
      <c r="C1572" s="45" t="s">
        <v>6078</v>
      </c>
      <c r="D1572" s="140" t="str">
        <f>IFERROR(VLOOKUP(C1572,Stock,3,FALSE),"")</f>
        <v>Toyota Calya / Sigra 16-</v>
      </c>
      <c r="E1572" s="45">
        <v>5.0</v>
      </c>
      <c r="F1572" s="198"/>
      <c r="G1572" s="142">
        <f t="shared" si="40"/>
        <v>0</v>
      </c>
      <c r="H1572" s="143"/>
      <c r="I1572" s="143">
        <f t="shared" si="38"/>
        <v>0</v>
      </c>
      <c r="J1572" s="144">
        <f t="shared" si="39"/>
        <v>0</v>
      </c>
      <c r="K1572" s="108" t="s">
        <v>4827</v>
      </c>
      <c r="L1572" s="45"/>
      <c r="M1572" s="17"/>
      <c r="N1572" s="68"/>
      <c r="O1572" s="64" t="s">
        <v>4376</v>
      </c>
      <c r="P1572" s="147"/>
      <c r="Q1572" s="149"/>
      <c r="R1572" s="149"/>
      <c r="S1572" s="149"/>
      <c r="T1572" s="149"/>
      <c r="U1572" s="149"/>
      <c r="V1572" s="149"/>
      <c r="W1572" s="149"/>
      <c r="X1572" s="64" t="s">
        <v>3810</v>
      </c>
      <c r="Y1572" s="64" t="s">
        <v>4515</v>
      </c>
      <c r="Z1572" s="68"/>
    </row>
    <row r="1573" ht="15.0" customHeight="1">
      <c r="A1573" s="206">
        <v>46008.0</v>
      </c>
      <c r="B1573" s="201" t="s">
        <v>6896</v>
      </c>
      <c r="C1573" s="45" t="s">
        <v>6079</v>
      </c>
      <c r="D1573" s="140" t="str">
        <f>IFERROR(VLOOKUP(C1573,Stock,3,FALSE),"")</f>
        <v>Toyota Calya / Sigra 16-</v>
      </c>
      <c r="E1573" s="45">
        <v>5.0</v>
      </c>
      <c r="F1573" s="198"/>
      <c r="G1573" s="142">
        <f t="shared" si="40"/>
        <v>0</v>
      </c>
      <c r="H1573" s="142"/>
      <c r="I1573" s="143">
        <f t="shared" si="38"/>
        <v>0</v>
      </c>
      <c r="J1573" s="144">
        <f t="shared" si="39"/>
        <v>0</v>
      </c>
      <c r="K1573" s="108" t="s">
        <v>4827</v>
      </c>
      <c r="L1573" s="45"/>
      <c r="M1573" s="17"/>
      <c r="N1573" s="68"/>
      <c r="O1573" s="64" t="s">
        <v>4376</v>
      </c>
      <c r="P1573" s="147"/>
      <c r="Q1573" s="149"/>
      <c r="R1573" s="149"/>
      <c r="S1573" s="149"/>
      <c r="T1573" s="149"/>
      <c r="U1573" s="149"/>
      <c r="V1573" s="149"/>
      <c r="W1573" s="149"/>
      <c r="X1573" s="64" t="s">
        <v>3810</v>
      </c>
      <c r="Y1573" s="64" t="s">
        <v>4515</v>
      </c>
      <c r="Z1573" s="68"/>
    </row>
    <row r="1574" ht="15.0" customHeight="1">
      <c r="A1574" s="206">
        <v>46008.0</v>
      </c>
      <c r="B1574" s="201" t="s">
        <v>6896</v>
      </c>
      <c r="C1574" s="64" t="s">
        <v>4262</v>
      </c>
      <c r="D1574" s="140" t="str">
        <f>IFERROR(VLOOKUP(C1574,Stock,3,FALSE),"")</f>
        <v>Toyota Avanza / Xenia 11-15 2nd Gen / 15-21 3rd Gen</v>
      </c>
      <c r="E1574" s="45">
        <v>5.0</v>
      </c>
      <c r="F1574" s="202"/>
      <c r="G1574" s="142">
        <f t="shared" si="40"/>
        <v>0</v>
      </c>
      <c r="H1574" s="142"/>
      <c r="I1574" s="143">
        <f t="shared" si="38"/>
        <v>0</v>
      </c>
      <c r="J1574" s="144">
        <f t="shared" si="39"/>
        <v>0</v>
      </c>
      <c r="K1574" s="108" t="s">
        <v>4827</v>
      </c>
      <c r="L1574" s="17"/>
      <c r="M1574" s="17"/>
      <c r="N1574" s="68"/>
      <c r="O1574" s="64" t="s">
        <v>4376</v>
      </c>
      <c r="P1574" s="147"/>
      <c r="Q1574" s="149"/>
      <c r="R1574" s="149"/>
      <c r="S1574" s="149"/>
      <c r="T1574" s="149"/>
      <c r="U1574" s="149"/>
      <c r="V1574" s="149"/>
      <c r="W1574" s="149"/>
      <c r="X1574" s="64" t="s">
        <v>3810</v>
      </c>
      <c r="Y1574" s="64" t="s">
        <v>4515</v>
      </c>
      <c r="Z1574" s="68"/>
    </row>
    <row r="1575" ht="15.0" customHeight="1">
      <c r="A1575" s="206">
        <v>46008.0</v>
      </c>
      <c r="B1575" s="201" t="s">
        <v>6896</v>
      </c>
      <c r="C1575" s="64" t="s">
        <v>6897</v>
      </c>
      <c r="D1575" s="140" t="str">
        <f>IFERROR(VLOOKUP(C1575,Stock,3,FALSE),"")</f>
        <v>Toyota Avanza / Xenia 11-15 2nd Gen / 15-21 3rd Gen</v>
      </c>
      <c r="E1575" s="45">
        <v>5.0</v>
      </c>
      <c r="F1575" s="202"/>
      <c r="G1575" s="142">
        <f t="shared" si="40"/>
        <v>0</v>
      </c>
      <c r="H1575" s="142"/>
      <c r="I1575" s="143">
        <f t="shared" si="38"/>
        <v>0</v>
      </c>
      <c r="J1575" s="144">
        <f t="shared" si="39"/>
        <v>0</v>
      </c>
      <c r="K1575" s="108" t="s">
        <v>4827</v>
      </c>
      <c r="L1575" s="17"/>
      <c r="M1575" s="17"/>
      <c r="N1575" s="68"/>
      <c r="O1575" s="64" t="s">
        <v>4376</v>
      </c>
      <c r="P1575" s="147"/>
      <c r="Q1575" s="149"/>
      <c r="R1575" s="149"/>
      <c r="S1575" s="149"/>
      <c r="T1575" s="149"/>
      <c r="U1575" s="149"/>
      <c r="V1575" s="149"/>
      <c r="W1575" s="149"/>
      <c r="X1575" s="64" t="s">
        <v>3810</v>
      </c>
      <c r="Y1575" s="64" t="s">
        <v>4515</v>
      </c>
      <c r="Z1575" s="68"/>
    </row>
    <row r="1576" ht="15.0" customHeight="1">
      <c r="A1576" s="206">
        <v>46008.0</v>
      </c>
      <c r="B1576" s="201" t="s">
        <v>6898</v>
      </c>
      <c r="C1576" s="45" t="s">
        <v>3354</v>
      </c>
      <c r="D1576" s="140" t="str">
        <f>IFERROR(VLOOKUP(C1576,Stock,3,FALSE),"")</f>
        <v>Honda Brio 10- / Mobilio 11- (Honda)</v>
      </c>
      <c r="E1576" s="45">
        <v>1.0</v>
      </c>
      <c r="F1576" s="198">
        <v>1472000.0</v>
      </c>
      <c r="G1576" s="142">
        <f t="shared" si="40"/>
        <v>1472000</v>
      </c>
      <c r="H1576" s="142"/>
      <c r="I1576" s="143">
        <f t="shared" si="38"/>
        <v>1472000</v>
      </c>
      <c r="J1576" s="144">
        <f t="shared" si="39"/>
        <v>1472000</v>
      </c>
      <c r="K1576" s="108" t="s">
        <v>6899</v>
      </c>
      <c r="L1576" s="199" t="s">
        <v>6900</v>
      </c>
      <c r="M1576" s="17"/>
      <c r="N1576" s="64" t="s">
        <v>4270</v>
      </c>
      <c r="O1576" s="64" t="s">
        <v>2987</v>
      </c>
      <c r="P1576" s="147" t="s">
        <v>4672</v>
      </c>
      <c r="Q1576" s="149"/>
      <c r="R1576" s="141"/>
      <c r="S1576" s="141"/>
      <c r="T1576" s="141">
        <v>1472000.0</v>
      </c>
      <c r="U1576" s="149"/>
      <c r="V1576" s="149"/>
      <c r="W1576" s="149"/>
      <c r="X1576" s="64" t="s">
        <v>3810</v>
      </c>
      <c r="Y1576" s="64" t="s">
        <v>4515</v>
      </c>
      <c r="Z1576" s="68"/>
    </row>
    <row r="1577" ht="15.0" customHeight="1">
      <c r="A1577" s="206">
        <v>46008.0</v>
      </c>
      <c r="B1577" s="201" t="s">
        <v>6901</v>
      </c>
      <c r="C1577" s="45" t="s">
        <v>4226</v>
      </c>
      <c r="D1577" s="140" t="str">
        <f>IFERROR(VLOOKUP(C1577,Stock,3,FALSE),"")</f>
        <v>Honda HR-V 14-21 5D SUV (Honda)</v>
      </c>
      <c r="E1577" s="45">
        <v>1.0</v>
      </c>
      <c r="F1577" s="198">
        <v>3000000.0</v>
      </c>
      <c r="G1577" s="142">
        <f t="shared" si="40"/>
        <v>3000000</v>
      </c>
      <c r="H1577" s="142"/>
      <c r="I1577" s="143">
        <f t="shared" si="38"/>
        <v>3000000</v>
      </c>
      <c r="J1577" s="144">
        <f t="shared" si="39"/>
        <v>3000000</v>
      </c>
      <c r="K1577" s="108" t="s">
        <v>6902</v>
      </c>
      <c r="L1577" s="199" t="s">
        <v>6903</v>
      </c>
      <c r="M1577" s="17"/>
      <c r="N1577" s="64" t="s">
        <v>6904</v>
      </c>
      <c r="O1577" s="64" t="s">
        <v>3033</v>
      </c>
      <c r="P1577" s="147" t="s">
        <v>4672</v>
      </c>
      <c r="Q1577" s="149"/>
      <c r="R1577" s="141"/>
      <c r="S1577" s="141"/>
      <c r="T1577" s="141">
        <v>3200000.0</v>
      </c>
      <c r="U1577" s="149"/>
      <c r="V1577" s="149"/>
      <c r="W1577" s="149"/>
      <c r="X1577" s="64" t="s">
        <v>3810</v>
      </c>
      <c r="Y1577" s="64" t="s">
        <v>4515</v>
      </c>
      <c r="Z1577" s="68"/>
    </row>
    <row r="1578" ht="15.0" customHeight="1">
      <c r="A1578" s="206">
        <v>46008.0</v>
      </c>
      <c r="B1578" s="201" t="s">
        <v>6901</v>
      </c>
      <c r="C1578" s="45" t="s">
        <v>4979</v>
      </c>
      <c r="D1578" s="140" t="str">
        <f>IFERROR(VLOOKUP(C1578,Stock,3,FALSE),"")</f>
        <v>255 Ultra + Actv-100 Application</v>
      </c>
      <c r="E1578" s="45">
        <v>1.0</v>
      </c>
      <c r="F1578" s="198">
        <v>200000.0</v>
      </c>
      <c r="G1578" s="142">
        <f t="shared" si="40"/>
        <v>200000</v>
      </c>
      <c r="H1578" s="142"/>
      <c r="I1578" s="143">
        <f t="shared" si="38"/>
        <v>200000</v>
      </c>
      <c r="J1578" s="144">
        <f t="shared" si="39"/>
        <v>200000</v>
      </c>
      <c r="K1578" s="108" t="s">
        <v>6902</v>
      </c>
      <c r="L1578" s="199" t="s">
        <v>6903</v>
      </c>
      <c r="M1578" s="17"/>
      <c r="N1578" s="64" t="s">
        <v>6904</v>
      </c>
      <c r="O1578" s="64" t="s">
        <v>3033</v>
      </c>
      <c r="P1578" s="147" t="s">
        <v>4672</v>
      </c>
      <c r="Q1578" s="149"/>
      <c r="R1578" s="149"/>
      <c r="S1578" s="149"/>
      <c r="T1578" s="149"/>
      <c r="U1578" s="149"/>
      <c r="V1578" s="149"/>
      <c r="W1578" s="149"/>
      <c r="X1578" s="64" t="s">
        <v>3810</v>
      </c>
      <c r="Y1578" s="64" t="s">
        <v>4515</v>
      </c>
      <c r="Z1578" s="68"/>
    </row>
    <row r="1579" ht="15.0" customHeight="1">
      <c r="A1579" s="206">
        <v>46008.0</v>
      </c>
      <c r="B1579" s="201" t="s">
        <v>6905</v>
      </c>
      <c r="C1579" s="45" t="s">
        <v>2877</v>
      </c>
      <c r="D1579" s="140" t="str">
        <f>IFERROR(VLOOKUP(C1579,Stock,3,FALSE),"")</f>
        <v>Toyota Dyna/Hino Dutro 00-</v>
      </c>
      <c r="E1579" s="45">
        <v>1.0</v>
      </c>
      <c r="F1579" s="198">
        <v>1000000.0</v>
      </c>
      <c r="G1579" s="142">
        <f t="shared" si="40"/>
        <v>1000000</v>
      </c>
      <c r="H1579" s="142"/>
      <c r="I1579" s="143">
        <f t="shared" si="38"/>
        <v>1000000</v>
      </c>
      <c r="J1579" s="144">
        <f t="shared" si="39"/>
        <v>1000000</v>
      </c>
      <c r="K1579" s="108" t="s">
        <v>6906</v>
      </c>
      <c r="L1579" s="199" t="s">
        <v>6907</v>
      </c>
      <c r="M1579" s="17"/>
      <c r="N1579" s="64" t="s">
        <v>4270</v>
      </c>
      <c r="O1579" s="64" t="s">
        <v>6908</v>
      </c>
      <c r="P1579" s="147" t="s">
        <v>4672</v>
      </c>
      <c r="Q1579" s="149"/>
      <c r="R1579" s="141"/>
      <c r="S1579" s="141"/>
      <c r="T1579" s="141">
        <v>50000.0</v>
      </c>
      <c r="U1579" s="149"/>
      <c r="V1579" s="149"/>
      <c r="W1579" s="149"/>
      <c r="X1579" s="64" t="s">
        <v>3810</v>
      </c>
      <c r="Y1579" s="64" t="s">
        <v>4515</v>
      </c>
      <c r="Z1579" s="68"/>
    </row>
    <row r="1580" ht="15.0" customHeight="1">
      <c r="A1580" s="206">
        <v>46008.0</v>
      </c>
      <c r="B1580" s="201" t="s">
        <v>6905</v>
      </c>
      <c r="C1580" s="45" t="s">
        <v>2770</v>
      </c>
      <c r="D1580" s="140" t="str">
        <f>IFERROR(VLOOKUP(C1580,Stock,3,FALSE),"")</f>
        <v>Transport</v>
      </c>
      <c r="E1580" s="45">
        <v>1.0</v>
      </c>
      <c r="F1580" s="198">
        <v>100000.0</v>
      </c>
      <c r="G1580" s="142">
        <f t="shared" si="40"/>
        <v>100000</v>
      </c>
      <c r="H1580" s="142"/>
      <c r="I1580" s="143">
        <f t="shared" si="38"/>
        <v>100000</v>
      </c>
      <c r="J1580" s="144">
        <f t="shared" si="39"/>
        <v>100000</v>
      </c>
      <c r="K1580" s="108" t="s">
        <v>6906</v>
      </c>
      <c r="L1580" s="199" t="s">
        <v>6907</v>
      </c>
      <c r="M1580" s="17"/>
      <c r="N1580" s="64" t="s">
        <v>4270</v>
      </c>
      <c r="O1580" s="64" t="s">
        <v>6908</v>
      </c>
      <c r="P1580" s="147" t="s">
        <v>4672</v>
      </c>
      <c r="Q1580" s="149"/>
      <c r="R1580" s="141"/>
      <c r="S1580" s="141"/>
      <c r="T1580" s="141">
        <v>1050000.0</v>
      </c>
      <c r="U1580" s="149"/>
      <c r="V1580" s="149"/>
      <c r="W1580" s="149"/>
      <c r="X1580" s="64" t="s">
        <v>3810</v>
      </c>
      <c r="Y1580" s="64" t="s">
        <v>4515</v>
      </c>
      <c r="Z1580" s="68"/>
    </row>
    <row r="1581" ht="15.0" customHeight="1">
      <c r="A1581" s="206">
        <v>46008.0</v>
      </c>
      <c r="B1581" s="201" t="s">
        <v>6909</v>
      </c>
      <c r="C1581" s="45" t="s">
        <v>6910</v>
      </c>
      <c r="D1581" s="140" t="str">
        <f>IFERROR(VLOOKUP(C1581,Stock,3,FALSE),"")</f>
        <v>Hyundai H1 08- / Mover (Frame)</v>
      </c>
      <c r="E1581" s="45">
        <v>1.0</v>
      </c>
      <c r="F1581" s="198">
        <v>2725000.0</v>
      </c>
      <c r="G1581" s="142">
        <f t="shared" si="40"/>
        <v>2725000</v>
      </c>
      <c r="H1581" s="142"/>
      <c r="I1581" s="143">
        <f t="shared" si="38"/>
        <v>2725000</v>
      </c>
      <c r="J1581" s="144">
        <f t="shared" si="39"/>
        <v>2725000</v>
      </c>
      <c r="K1581" s="108" t="s">
        <v>4135</v>
      </c>
      <c r="L1581" s="199" t="s">
        <v>4136</v>
      </c>
      <c r="M1581" s="17"/>
      <c r="N1581" s="64" t="s">
        <v>6911</v>
      </c>
      <c r="O1581" s="64" t="s">
        <v>6908</v>
      </c>
      <c r="P1581" s="147" t="s">
        <v>4672</v>
      </c>
      <c r="Q1581" s="149"/>
      <c r="R1581" s="141"/>
      <c r="S1581" s="141"/>
      <c r="T1581" s="141">
        <v>100000.0</v>
      </c>
      <c r="U1581" s="149"/>
      <c r="V1581" s="149"/>
      <c r="W1581" s="149"/>
      <c r="X1581" s="64" t="s">
        <v>3810</v>
      </c>
      <c r="Y1581" s="64" t="s">
        <v>4515</v>
      </c>
      <c r="Z1581" s="68"/>
    </row>
    <row r="1582" ht="15.0" customHeight="1">
      <c r="A1582" s="206">
        <v>46008.0</v>
      </c>
      <c r="B1582" s="201" t="s">
        <v>6909</v>
      </c>
      <c r="C1582" s="45" t="s">
        <v>6912</v>
      </c>
      <c r="D1582" s="140" t="str">
        <f>IFERROR(VLOOKUP(C1582,Stock,3,FALSE),"")</f>
        <v>Mitsubishi Xpander 17- / Livina 19- 2nd Gen</v>
      </c>
      <c r="E1582" s="45">
        <v>1.0</v>
      </c>
      <c r="F1582" s="198">
        <v>750000.0</v>
      </c>
      <c r="G1582" s="142">
        <f t="shared" si="40"/>
        <v>750000</v>
      </c>
      <c r="H1582" s="142"/>
      <c r="I1582" s="143">
        <f t="shared" si="38"/>
        <v>750000</v>
      </c>
      <c r="J1582" s="144">
        <f t="shared" si="39"/>
        <v>750000</v>
      </c>
      <c r="K1582" s="108" t="s">
        <v>4135</v>
      </c>
      <c r="L1582" s="199" t="s">
        <v>4136</v>
      </c>
      <c r="M1582" s="17"/>
      <c r="N1582" s="64" t="s">
        <v>6913</v>
      </c>
      <c r="O1582" s="64" t="s">
        <v>6908</v>
      </c>
      <c r="P1582" s="147" t="s">
        <v>4672</v>
      </c>
      <c r="Q1582" s="149"/>
      <c r="R1582" s="141"/>
      <c r="S1582" s="141"/>
      <c r="T1582" s="141">
        <v>3475000.0</v>
      </c>
      <c r="U1582" s="149"/>
      <c r="V1582" s="149"/>
      <c r="W1582" s="149"/>
      <c r="X1582" s="64" t="s">
        <v>3810</v>
      </c>
      <c r="Y1582" s="64" t="s">
        <v>4515</v>
      </c>
      <c r="Z1582" s="68"/>
    </row>
    <row r="1583" ht="15.0" customHeight="1">
      <c r="A1583" s="206">
        <v>46008.0</v>
      </c>
      <c r="B1583" s="201" t="s">
        <v>6909</v>
      </c>
      <c r="C1583" s="45" t="s">
        <v>2770</v>
      </c>
      <c r="D1583" s="140" t="str">
        <f>IFERROR(VLOOKUP(C1583,Stock,3,FALSE),"")</f>
        <v>Transport</v>
      </c>
      <c r="E1583" s="45">
        <v>1.0</v>
      </c>
      <c r="F1583" s="198">
        <v>100000.0</v>
      </c>
      <c r="G1583" s="142">
        <f t="shared" si="40"/>
        <v>100000</v>
      </c>
      <c r="H1583" s="142"/>
      <c r="I1583" s="143">
        <f t="shared" si="38"/>
        <v>100000</v>
      </c>
      <c r="J1583" s="144">
        <f t="shared" si="39"/>
        <v>100000</v>
      </c>
      <c r="K1583" s="108" t="s">
        <v>4135</v>
      </c>
      <c r="L1583" s="199" t="s">
        <v>4136</v>
      </c>
      <c r="M1583" s="17"/>
      <c r="N1583" s="68"/>
      <c r="O1583" s="64" t="s">
        <v>6908</v>
      </c>
      <c r="P1583" s="147" t="s">
        <v>4672</v>
      </c>
      <c r="Q1583" s="149"/>
      <c r="R1583" s="141"/>
      <c r="S1583" s="141"/>
      <c r="T1583" s="141"/>
      <c r="U1583" s="149"/>
      <c r="V1583" s="149"/>
      <c r="W1583" s="149"/>
      <c r="X1583" s="64" t="s">
        <v>3810</v>
      </c>
      <c r="Y1583" s="64" t="s">
        <v>4515</v>
      </c>
      <c r="Z1583" s="68"/>
    </row>
    <row r="1584" ht="15.0" customHeight="1">
      <c r="A1584" s="206">
        <v>46008.0</v>
      </c>
      <c r="B1584" s="201" t="s">
        <v>6914</v>
      </c>
      <c r="C1584" s="45" t="s">
        <v>3515</v>
      </c>
      <c r="D1584" s="140" t="str">
        <f>IFERROR(VLOOKUP(C1584,Stock,3,FALSE),"")</f>
        <v>Suzuki Ertiga 18- 2nd Gen / XL7 (Suzuki)</v>
      </c>
      <c r="E1584" s="45">
        <v>1.0</v>
      </c>
      <c r="F1584" s="198">
        <v>1350000.0</v>
      </c>
      <c r="G1584" s="142">
        <f t="shared" si="40"/>
        <v>1350000</v>
      </c>
      <c r="H1584" s="142"/>
      <c r="I1584" s="143">
        <f t="shared" si="38"/>
        <v>1350000</v>
      </c>
      <c r="J1584" s="144">
        <f t="shared" si="39"/>
        <v>1350000</v>
      </c>
      <c r="K1584" s="108" t="s">
        <v>6829</v>
      </c>
      <c r="L1584" s="199" t="s">
        <v>5596</v>
      </c>
      <c r="M1584" s="17"/>
      <c r="N1584" s="68"/>
      <c r="O1584" s="64" t="s">
        <v>4712</v>
      </c>
      <c r="P1584" s="147" t="s">
        <v>4672</v>
      </c>
      <c r="Q1584" s="149"/>
      <c r="R1584" s="141"/>
      <c r="S1584" s="141"/>
      <c r="T1584" s="141">
        <v>1350000.0</v>
      </c>
      <c r="U1584" s="149"/>
      <c r="V1584" s="149"/>
      <c r="W1584" s="149"/>
      <c r="X1584" s="64" t="s">
        <v>3810</v>
      </c>
      <c r="Y1584" s="64" t="s">
        <v>4515</v>
      </c>
      <c r="Z1584" s="68"/>
    </row>
    <row r="1585" ht="15.0" customHeight="1">
      <c r="A1585" s="206">
        <v>46008.0</v>
      </c>
      <c r="B1585" s="201" t="s">
        <v>6915</v>
      </c>
      <c r="C1585" s="45" t="s">
        <v>5800</v>
      </c>
      <c r="D1585" s="140" t="str">
        <f>IFERROR(VLOOKUP(C1585,Stock,3,FALSE),"")</f>
        <v>Toyota Fortuner 15-  2nd Gen (Toyota)</v>
      </c>
      <c r="E1585" s="45">
        <v>1.0</v>
      </c>
      <c r="F1585" s="202"/>
      <c r="G1585" s="142">
        <f t="shared" si="40"/>
        <v>0</v>
      </c>
      <c r="H1585" s="142"/>
      <c r="I1585" s="143">
        <f t="shared" si="38"/>
        <v>0</v>
      </c>
      <c r="J1585" s="144">
        <f t="shared" si="39"/>
        <v>0</v>
      </c>
      <c r="K1585" s="108" t="s">
        <v>4509</v>
      </c>
      <c r="L1585" s="17"/>
      <c r="M1585" s="17"/>
      <c r="N1585" s="68"/>
      <c r="O1585" s="64" t="s">
        <v>4175</v>
      </c>
      <c r="P1585" s="147"/>
      <c r="Q1585" s="149"/>
      <c r="R1585" s="149"/>
      <c r="S1585" s="149"/>
      <c r="T1585" s="149"/>
      <c r="U1585" s="149"/>
      <c r="V1585" s="149"/>
      <c r="W1585" s="149"/>
      <c r="X1585" s="64" t="s">
        <v>3810</v>
      </c>
      <c r="Y1585" s="64" t="s">
        <v>4515</v>
      </c>
      <c r="Z1585" s="68"/>
    </row>
    <row r="1586" ht="15.0" customHeight="1">
      <c r="A1586" s="249">
        <v>46008.0</v>
      </c>
      <c r="B1586" s="250" t="s">
        <v>6916</v>
      </c>
      <c r="C1586" s="251" t="s">
        <v>3142</v>
      </c>
      <c r="D1586" s="252" t="str">
        <f>IFERROR(VLOOKUP(C1586,Stock,3,FALSE),"")</f>
        <v>Mitsubishi Xpander 17-</v>
      </c>
      <c r="E1586" s="251">
        <v>1.0</v>
      </c>
      <c r="F1586" s="253">
        <v>740000.0</v>
      </c>
      <c r="G1586" s="254">
        <f t="shared" si="40"/>
        <v>740000</v>
      </c>
      <c r="H1586" s="254"/>
      <c r="I1586" s="255">
        <f t="shared" si="38"/>
        <v>740000</v>
      </c>
      <c r="J1586" s="256">
        <f t="shared" si="39"/>
        <v>740000</v>
      </c>
      <c r="K1586" s="257" t="s">
        <v>6917</v>
      </c>
      <c r="L1586" s="259"/>
      <c r="M1586" s="259"/>
      <c r="N1586" s="372"/>
      <c r="O1586" s="260" t="s">
        <v>6918</v>
      </c>
      <c r="P1586" s="373"/>
      <c r="Q1586" s="262"/>
      <c r="R1586" s="262"/>
      <c r="S1586" s="262"/>
      <c r="T1586" s="262"/>
      <c r="U1586" s="262"/>
      <c r="V1586" s="262"/>
      <c r="W1586" s="262"/>
      <c r="X1586" s="260" t="s">
        <v>3810</v>
      </c>
      <c r="Y1586" s="64" t="s">
        <v>4515</v>
      </c>
      <c r="Z1586" s="68"/>
    </row>
    <row r="1587" ht="15.0" customHeight="1">
      <c r="A1587" s="206">
        <v>46009.0</v>
      </c>
      <c r="B1587" s="201" t="s">
        <v>6919</v>
      </c>
      <c r="C1587" s="45" t="s">
        <v>3700</v>
      </c>
      <c r="D1587" s="140" t="str">
        <f>IFERROR(VLOOKUP(C1587,Stock,3,FALSE),"")</f>
        <v>Toyota Avanza / Xenia 11-15 2nd Gen / 15-21 3rd Gen</v>
      </c>
      <c r="E1587" s="45">
        <v>1.0</v>
      </c>
      <c r="F1587" s="198">
        <v>899000.0</v>
      </c>
      <c r="G1587" s="142">
        <f t="shared" si="40"/>
        <v>899000</v>
      </c>
      <c r="H1587" s="142"/>
      <c r="I1587" s="143">
        <f t="shared" si="38"/>
        <v>899000</v>
      </c>
      <c r="J1587" s="144">
        <f t="shared" si="39"/>
        <v>899000</v>
      </c>
      <c r="K1587" s="108" t="s">
        <v>6920</v>
      </c>
      <c r="L1587" s="199" t="s">
        <v>6921</v>
      </c>
      <c r="M1587" s="17"/>
      <c r="N1587" s="64" t="s">
        <v>6922</v>
      </c>
      <c r="O1587" s="64" t="s">
        <v>2813</v>
      </c>
      <c r="P1587" s="147" t="s">
        <v>4672</v>
      </c>
      <c r="Q1587" s="149"/>
      <c r="R1587" s="141"/>
      <c r="S1587" s="141"/>
      <c r="T1587" s="141">
        <v>899000.0</v>
      </c>
      <c r="U1587" s="149"/>
      <c r="V1587" s="149"/>
      <c r="W1587" s="149"/>
      <c r="X1587" s="64" t="s">
        <v>3810</v>
      </c>
      <c r="Y1587" s="64" t="s">
        <v>4515</v>
      </c>
      <c r="Z1587" s="68"/>
    </row>
    <row r="1588" ht="15.0" customHeight="1">
      <c r="A1588" s="206">
        <v>46009.0</v>
      </c>
      <c r="B1588" s="201" t="s">
        <v>6896</v>
      </c>
      <c r="C1588" s="45" t="s">
        <v>4001</v>
      </c>
      <c r="D1588" s="140" t="str">
        <f>IFERROR(VLOOKUP(C1588,Stock,3,FALSE),"")</f>
        <v>Daihatsu Gran Max Minibus/Van</v>
      </c>
      <c r="E1588" s="45">
        <v>5.0</v>
      </c>
      <c r="F1588" s="202"/>
      <c r="G1588" s="142">
        <f t="shared" si="40"/>
        <v>0</v>
      </c>
      <c r="H1588" s="142"/>
      <c r="I1588" s="143">
        <f t="shared" si="38"/>
        <v>0</v>
      </c>
      <c r="J1588" s="144">
        <f t="shared" si="39"/>
        <v>0</v>
      </c>
      <c r="K1588" s="108" t="s">
        <v>4827</v>
      </c>
      <c r="L1588" s="17"/>
      <c r="M1588" s="17"/>
      <c r="N1588" s="68"/>
      <c r="O1588" s="64" t="s">
        <v>4376</v>
      </c>
      <c r="P1588" s="147"/>
      <c r="Q1588" s="149"/>
      <c r="R1588" s="149"/>
      <c r="S1588" s="149"/>
      <c r="T1588" s="149"/>
      <c r="U1588" s="149"/>
      <c r="V1588" s="149"/>
      <c r="W1588" s="149"/>
      <c r="X1588" s="64" t="s">
        <v>3810</v>
      </c>
      <c r="Y1588" s="64" t="s">
        <v>4515</v>
      </c>
      <c r="Z1588" s="68"/>
    </row>
    <row r="1589" ht="15.0" customHeight="1">
      <c r="A1589" s="206">
        <v>46009.0</v>
      </c>
      <c r="B1589" s="201" t="s">
        <v>6896</v>
      </c>
      <c r="C1589" s="45" t="s">
        <v>3858</v>
      </c>
      <c r="D1589" s="140" t="str">
        <f>IFERROR(VLOOKUP(C1589,Stock,3,FALSE),"")</f>
        <v>Daihatsu Luxio 07-</v>
      </c>
      <c r="E1589" s="45">
        <v>5.0</v>
      </c>
      <c r="F1589" s="202"/>
      <c r="G1589" s="142">
        <f t="shared" si="40"/>
        <v>0</v>
      </c>
      <c r="H1589" s="142"/>
      <c r="I1589" s="143">
        <f t="shared" si="38"/>
        <v>0</v>
      </c>
      <c r="J1589" s="144">
        <f t="shared" si="39"/>
        <v>0</v>
      </c>
      <c r="K1589" s="108" t="s">
        <v>4827</v>
      </c>
      <c r="L1589" s="17"/>
      <c r="M1589" s="17"/>
      <c r="N1589" s="68"/>
      <c r="O1589" s="64" t="s">
        <v>4376</v>
      </c>
      <c r="P1589" s="147"/>
      <c r="Q1589" s="149"/>
      <c r="R1589" s="149"/>
      <c r="S1589" s="149"/>
      <c r="T1589" s="149"/>
      <c r="U1589" s="149"/>
      <c r="V1589" s="149"/>
      <c r="W1589" s="149"/>
      <c r="X1589" s="64" t="s">
        <v>3810</v>
      </c>
      <c r="Y1589" s="64" t="s">
        <v>4515</v>
      </c>
      <c r="Z1589" s="68"/>
    </row>
    <row r="1590" ht="15.0" customHeight="1">
      <c r="A1590" s="206">
        <v>46010.0</v>
      </c>
      <c r="B1590" s="201" t="s">
        <v>6923</v>
      </c>
      <c r="C1590" s="201" t="s">
        <v>3354</v>
      </c>
      <c r="D1590" s="140" t="str">
        <f>IFERROR(VLOOKUP(C1590,Stock,3,FALSE),"")</f>
        <v>Honda Brio 10- / Mobilio 11- (Honda)</v>
      </c>
      <c r="E1590" s="45">
        <v>1.0</v>
      </c>
      <c r="F1590" s="198">
        <v>1772000.0</v>
      </c>
      <c r="G1590" s="142">
        <f t="shared" si="40"/>
        <v>1772000</v>
      </c>
      <c r="H1590" s="142"/>
      <c r="I1590" s="143">
        <f t="shared" si="38"/>
        <v>1772000</v>
      </c>
      <c r="J1590" s="144">
        <f t="shared" si="39"/>
        <v>1772000</v>
      </c>
      <c r="K1590" s="108" t="s">
        <v>6924</v>
      </c>
      <c r="L1590" s="199" t="s">
        <v>6925</v>
      </c>
      <c r="M1590" s="17"/>
      <c r="N1590" s="64" t="s">
        <v>6926</v>
      </c>
      <c r="O1590" s="64" t="s">
        <v>2813</v>
      </c>
      <c r="P1590" s="147" t="s">
        <v>4672</v>
      </c>
      <c r="Q1590" s="149"/>
      <c r="R1590" s="141"/>
      <c r="S1590" s="141"/>
      <c r="T1590" s="141">
        <v>1772000.0</v>
      </c>
      <c r="U1590" s="149"/>
      <c r="V1590" s="149"/>
      <c r="W1590" s="149"/>
      <c r="X1590" s="64" t="s">
        <v>4635</v>
      </c>
      <c r="Y1590" s="64" t="s">
        <v>4515</v>
      </c>
      <c r="Z1590" s="68"/>
    </row>
    <row r="1591" ht="15.0" customHeight="1">
      <c r="A1591" s="206">
        <v>46010.0</v>
      </c>
      <c r="B1591" s="201" t="s">
        <v>6927</v>
      </c>
      <c r="C1591" s="45" t="s">
        <v>4447</v>
      </c>
      <c r="D1591" s="140" t="str">
        <f>IFERROR(VLOOKUP(C1591,Stock,3,FALSE),"")</f>
        <v>Isuzu Elf 17- New NMR NLR</v>
      </c>
      <c r="E1591" s="45">
        <v>1.0</v>
      </c>
      <c r="F1591" s="198">
        <v>1164000.0</v>
      </c>
      <c r="G1591" s="142">
        <f t="shared" si="40"/>
        <v>1164000</v>
      </c>
      <c r="H1591" s="142"/>
      <c r="I1591" s="143">
        <f t="shared" si="38"/>
        <v>1164000</v>
      </c>
      <c r="J1591" s="144">
        <f t="shared" si="39"/>
        <v>1164000</v>
      </c>
      <c r="K1591" s="108" t="s">
        <v>6928</v>
      </c>
      <c r="L1591" s="199" t="s">
        <v>6929</v>
      </c>
      <c r="M1591" s="17"/>
      <c r="N1591" s="64" t="s">
        <v>6930</v>
      </c>
      <c r="O1591" s="64" t="s">
        <v>2813</v>
      </c>
      <c r="P1591" s="147" t="s">
        <v>4672</v>
      </c>
      <c r="Q1591" s="149"/>
      <c r="R1591" s="141"/>
      <c r="S1591" s="141"/>
      <c r="T1591" s="141">
        <v>1164000.0</v>
      </c>
      <c r="U1591" s="149"/>
      <c r="V1591" s="149"/>
      <c r="W1591" s="149"/>
      <c r="X1591" s="64" t="s">
        <v>4635</v>
      </c>
      <c r="Y1591" s="64" t="s">
        <v>4515</v>
      </c>
      <c r="Z1591" s="68"/>
    </row>
    <row r="1592" ht="15.0" customHeight="1">
      <c r="A1592" s="206">
        <v>46010.0</v>
      </c>
      <c r="B1592" s="201" t="s">
        <v>6931</v>
      </c>
      <c r="C1592" s="64" t="s">
        <v>3352</v>
      </c>
      <c r="D1592" s="140" t="str">
        <f>IFERROR(VLOOKUP(C1592,Stock,3,FALSE),"")</f>
        <v>List Kaca Depan INV</v>
      </c>
      <c r="E1592" s="45">
        <v>2.0</v>
      </c>
      <c r="F1592" s="198">
        <v>250000.0</v>
      </c>
      <c r="G1592" s="142">
        <f t="shared" si="40"/>
        <v>500000</v>
      </c>
      <c r="H1592" s="142"/>
      <c r="I1592" s="143">
        <f t="shared" si="38"/>
        <v>500000</v>
      </c>
      <c r="J1592" s="144">
        <f t="shared" si="39"/>
        <v>500000</v>
      </c>
      <c r="K1592" s="108" t="s">
        <v>6932</v>
      </c>
      <c r="L1592" s="199" t="s">
        <v>6933</v>
      </c>
      <c r="M1592" s="17"/>
      <c r="N1592" s="64" t="s">
        <v>6934</v>
      </c>
      <c r="O1592" s="64" t="s">
        <v>2813</v>
      </c>
      <c r="P1592" s="147" t="s">
        <v>4672</v>
      </c>
      <c r="Q1592" s="149"/>
      <c r="R1592" s="141"/>
      <c r="S1592" s="141"/>
      <c r="T1592" s="141">
        <v>500000.0</v>
      </c>
      <c r="U1592" s="149"/>
      <c r="V1592" s="149"/>
      <c r="W1592" s="149"/>
      <c r="X1592" s="64" t="s">
        <v>6553</v>
      </c>
      <c r="Y1592" s="64" t="s">
        <v>4515</v>
      </c>
      <c r="Z1592" s="68"/>
    </row>
    <row r="1593" ht="15.0" customHeight="1">
      <c r="A1593" s="206">
        <v>46010.0</v>
      </c>
      <c r="B1593" s="201" t="s">
        <v>6935</v>
      </c>
      <c r="C1593" s="64" t="s">
        <v>6936</v>
      </c>
      <c r="D1593" s="140" t="str">
        <f>IFERROR(VLOOKUP(C1593,Stock,3,FALSE),"")</f>
        <v>Toyota Yaris 18- 3rd Gen (Lampu -) XP151</v>
      </c>
      <c r="E1593" s="45">
        <v>1.0</v>
      </c>
      <c r="F1593" s="198">
        <v>1572000.0</v>
      </c>
      <c r="G1593" s="142">
        <f t="shared" si="40"/>
        <v>1572000</v>
      </c>
      <c r="H1593" s="142"/>
      <c r="I1593" s="143">
        <f t="shared" si="38"/>
        <v>1572000</v>
      </c>
      <c r="J1593" s="144">
        <f t="shared" si="39"/>
        <v>1572000</v>
      </c>
      <c r="K1593" s="108" t="s">
        <v>6937</v>
      </c>
      <c r="L1593" s="199" t="s">
        <v>6938</v>
      </c>
      <c r="M1593" s="17"/>
      <c r="N1593" s="64" t="s">
        <v>6939</v>
      </c>
      <c r="O1593" s="64" t="s">
        <v>6940</v>
      </c>
      <c r="P1593" s="147" t="s">
        <v>4672</v>
      </c>
      <c r="Q1593" s="149"/>
      <c r="R1593" s="141"/>
      <c r="S1593" s="141"/>
      <c r="T1593" s="141">
        <v>1572000.0</v>
      </c>
      <c r="U1593" s="149"/>
      <c r="V1593" s="149"/>
      <c r="W1593" s="149"/>
      <c r="X1593" s="64" t="s">
        <v>6553</v>
      </c>
      <c r="Y1593" s="64" t="s">
        <v>4515</v>
      </c>
      <c r="Z1593" s="68"/>
    </row>
    <row r="1594" ht="15.0" customHeight="1">
      <c r="A1594" s="206">
        <v>46010.0</v>
      </c>
      <c r="B1594" s="201" t="s">
        <v>6941</v>
      </c>
      <c r="C1594" s="45" t="s">
        <v>3048</v>
      </c>
      <c r="D1594" s="140" t="str">
        <f>IFERROR(VLOOKUP(C1594,Stock,3,FALSE),"")</f>
        <v>Biaya Pengecekan</v>
      </c>
      <c r="E1594" s="45">
        <v>1.0</v>
      </c>
      <c r="F1594" s="198">
        <v>300000.0</v>
      </c>
      <c r="G1594" s="142">
        <f t="shared" si="40"/>
        <v>300000</v>
      </c>
      <c r="H1594" s="142"/>
      <c r="I1594" s="143">
        <f t="shared" si="38"/>
        <v>300000</v>
      </c>
      <c r="J1594" s="144">
        <f t="shared" si="39"/>
        <v>300000</v>
      </c>
      <c r="K1594" s="108" t="s">
        <v>5167</v>
      </c>
      <c r="L1594" s="199" t="s">
        <v>6942</v>
      </c>
      <c r="M1594" s="17"/>
      <c r="N1594" s="64" t="s">
        <v>6943</v>
      </c>
      <c r="O1594" s="64" t="s">
        <v>2813</v>
      </c>
      <c r="P1594" s="147" t="s">
        <v>4672</v>
      </c>
      <c r="Q1594" s="149"/>
      <c r="R1594" s="141"/>
      <c r="S1594" s="141"/>
      <c r="T1594" s="141">
        <v>300000.0</v>
      </c>
      <c r="U1594" s="149"/>
      <c r="V1594" s="149"/>
      <c r="W1594" s="149"/>
      <c r="X1594" s="64" t="s">
        <v>6553</v>
      </c>
      <c r="Y1594" s="64" t="s">
        <v>4515</v>
      </c>
      <c r="Z1594" s="68"/>
    </row>
    <row r="1595" ht="15.0" customHeight="1">
      <c r="A1595" s="206">
        <v>46011.0</v>
      </c>
      <c r="B1595" s="201" t="s">
        <v>6944</v>
      </c>
      <c r="C1595" s="45" t="s">
        <v>5207</v>
      </c>
      <c r="D1595" s="140" t="str">
        <f>IFERROR(VLOOKUP(C1595,Stock,3,FALSE),"")</f>
        <v>Toyota Alphard 08-15 ANH20 2nd Gen</v>
      </c>
      <c r="E1595" s="45">
        <v>1.0</v>
      </c>
      <c r="F1595" s="198">
        <v>4602000.0</v>
      </c>
      <c r="G1595" s="142">
        <f t="shared" si="40"/>
        <v>4602000</v>
      </c>
      <c r="H1595" s="142"/>
      <c r="I1595" s="143">
        <f t="shared" si="38"/>
        <v>4602000</v>
      </c>
      <c r="J1595" s="144">
        <f t="shared" si="39"/>
        <v>4602000</v>
      </c>
      <c r="K1595" s="108" t="s">
        <v>6945</v>
      </c>
      <c r="L1595" s="199" t="s">
        <v>6946</v>
      </c>
      <c r="M1595" s="17"/>
      <c r="N1595" s="64" t="s">
        <v>6947</v>
      </c>
      <c r="O1595" s="64" t="s">
        <v>2813</v>
      </c>
      <c r="P1595" s="147" t="s">
        <v>4672</v>
      </c>
      <c r="Q1595" s="141">
        <v>4802000.0</v>
      </c>
      <c r="R1595" s="149"/>
      <c r="S1595" s="149"/>
      <c r="T1595" s="149"/>
      <c r="U1595" s="149"/>
      <c r="V1595" s="149"/>
      <c r="W1595" s="149"/>
      <c r="X1595" s="64" t="s">
        <v>4635</v>
      </c>
      <c r="Y1595" s="64" t="s">
        <v>4515</v>
      </c>
      <c r="Z1595" s="68"/>
    </row>
    <row r="1596" ht="15.0" customHeight="1">
      <c r="A1596" s="206">
        <v>46011.0</v>
      </c>
      <c r="B1596" s="201" t="s">
        <v>6944</v>
      </c>
      <c r="C1596" s="45" t="s">
        <v>4979</v>
      </c>
      <c r="D1596" s="140" t="str">
        <f>IFERROR(VLOOKUP(C1596,Stock,3,FALSE),"")</f>
        <v>255 Ultra + Actv-100 Application</v>
      </c>
      <c r="E1596" s="45">
        <v>1.0</v>
      </c>
      <c r="F1596" s="198">
        <v>200000.0</v>
      </c>
      <c r="G1596" s="142">
        <f t="shared" si="40"/>
        <v>200000</v>
      </c>
      <c r="H1596" s="142"/>
      <c r="I1596" s="143">
        <f t="shared" si="38"/>
        <v>200000</v>
      </c>
      <c r="J1596" s="144">
        <f t="shared" si="39"/>
        <v>200000</v>
      </c>
      <c r="K1596" s="108" t="s">
        <v>6945</v>
      </c>
      <c r="L1596" s="199" t="s">
        <v>6946</v>
      </c>
      <c r="M1596" s="17"/>
      <c r="N1596" s="64" t="s">
        <v>6947</v>
      </c>
      <c r="O1596" s="64" t="s">
        <v>2813</v>
      </c>
      <c r="P1596" s="147" t="s">
        <v>4672</v>
      </c>
      <c r="Q1596" s="141"/>
      <c r="R1596" s="149"/>
      <c r="S1596" s="149"/>
      <c r="T1596" s="149"/>
      <c r="U1596" s="149"/>
      <c r="V1596" s="149"/>
      <c r="W1596" s="149"/>
      <c r="X1596" s="64" t="s">
        <v>4635</v>
      </c>
      <c r="Y1596" s="64" t="s">
        <v>4515</v>
      </c>
      <c r="Z1596" s="68"/>
    </row>
    <row r="1597" ht="15.0" customHeight="1">
      <c r="A1597" s="206">
        <v>46011.0</v>
      </c>
      <c r="B1597" s="201" t="s">
        <v>6948</v>
      </c>
      <c r="C1597" s="45" t="s">
        <v>6949</v>
      </c>
      <c r="D1597" s="140" t="str">
        <f>IFERROR(VLOOKUP(C1597,Stock,3,FALSE),"")</f>
        <v>Honda City 14-18 GM6</v>
      </c>
      <c r="E1597" s="45">
        <v>1.0</v>
      </c>
      <c r="F1597" s="198">
        <v>2065000.0</v>
      </c>
      <c r="G1597" s="142">
        <f t="shared" si="40"/>
        <v>2065000</v>
      </c>
      <c r="H1597" s="142"/>
      <c r="I1597" s="143">
        <f t="shared" si="38"/>
        <v>2065000</v>
      </c>
      <c r="J1597" s="144">
        <f t="shared" si="39"/>
        <v>2065000</v>
      </c>
      <c r="K1597" s="108" t="s">
        <v>6950</v>
      </c>
      <c r="L1597" s="199" t="s">
        <v>6951</v>
      </c>
      <c r="M1597" s="17"/>
      <c r="N1597" s="64" t="s">
        <v>6952</v>
      </c>
      <c r="O1597" s="64" t="s">
        <v>6953</v>
      </c>
      <c r="P1597" s="147" t="s">
        <v>4672</v>
      </c>
      <c r="Q1597" s="149"/>
      <c r="R1597" s="141"/>
      <c r="S1597" s="141"/>
      <c r="T1597" s="141">
        <v>2065000.0</v>
      </c>
      <c r="U1597" s="149"/>
      <c r="V1597" s="149"/>
      <c r="W1597" s="149"/>
      <c r="X1597" s="64" t="s">
        <v>3810</v>
      </c>
      <c r="Y1597" s="64" t="s">
        <v>4515</v>
      </c>
      <c r="Z1597" s="68"/>
    </row>
    <row r="1598" ht="15.0" customHeight="1">
      <c r="A1598" s="206">
        <v>46011.0</v>
      </c>
      <c r="B1598" s="201" t="s">
        <v>6954</v>
      </c>
      <c r="C1598" s="45" t="s">
        <v>3246</v>
      </c>
      <c r="D1598" s="140" t="str">
        <f>IFERROR(VLOOKUP(C1598,Stock,3,FALSE),"")</f>
        <v>Toyota Calya / Sigra 16-</v>
      </c>
      <c r="E1598" s="45">
        <v>1.0</v>
      </c>
      <c r="F1598" s="198">
        <v>1170000.0</v>
      </c>
      <c r="G1598" s="142">
        <f t="shared" si="40"/>
        <v>1170000</v>
      </c>
      <c r="H1598" s="143">
        <v>20000.0</v>
      </c>
      <c r="I1598" s="143">
        <f t="shared" si="38"/>
        <v>1150000</v>
      </c>
      <c r="J1598" s="144">
        <f t="shared" si="39"/>
        <v>1150000</v>
      </c>
      <c r="K1598" s="108" t="s">
        <v>6955</v>
      </c>
      <c r="L1598" s="45" t="s">
        <v>6956</v>
      </c>
      <c r="M1598" s="17"/>
      <c r="N1598" s="64" t="s">
        <v>6957</v>
      </c>
      <c r="O1598" s="64" t="s">
        <v>2813</v>
      </c>
      <c r="P1598" s="147" t="s">
        <v>4672</v>
      </c>
      <c r="Q1598" s="149"/>
      <c r="R1598" s="141"/>
      <c r="S1598" s="141"/>
      <c r="T1598" s="141">
        <v>30000.0</v>
      </c>
      <c r="U1598" s="149"/>
      <c r="V1598" s="149"/>
      <c r="W1598" s="149"/>
      <c r="X1598" s="64" t="s">
        <v>6553</v>
      </c>
      <c r="Y1598" s="64" t="s">
        <v>4515</v>
      </c>
      <c r="Z1598" s="68"/>
    </row>
    <row r="1599" ht="15.0" customHeight="1">
      <c r="A1599" s="206">
        <v>46011.0</v>
      </c>
      <c r="B1599" s="201" t="s">
        <v>6954</v>
      </c>
      <c r="C1599" s="45" t="s">
        <v>5254</v>
      </c>
      <c r="D1599" s="140" t="str">
        <f>IFERROR(VLOOKUP(C1599,Stock,3,FALSE),"")</f>
        <v>Automotive Film Standard - Black 40%				</v>
      </c>
      <c r="E1599" s="45">
        <v>1.0</v>
      </c>
      <c r="F1599" s="198">
        <v>250000.0</v>
      </c>
      <c r="G1599" s="142">
        <f t="shared" si="40"/>
        <v>250000</v>
      </c>
      <c r="H1599" s="142"/>
      <c r="I1599" s="143">
        <f t="shared" si="38"/>
        <v>250000</v>
      </c>
      <c r="J1599" s="144">
        <f t="shared" si="39"/>
        <v>250000</v>
      </c>
      <c r="K1599" s="108" t="s">
        <v>6955</v>
      </c>
      <c r="L1599" s="45" t="s">
        <v>6956</v>
      </c>
      <c r="M1599" s="17"/>
      <c r="N1599" s="64" t="s">
        <v>6957</v>
      </c>
      <c r="O1599" s="64" t="s">
        <v>2813</v>
      </c>
      <c r="P1599" s="147" t="s">
        <v>4672</v>
      </c>
      <c r="Q1599" s="149"/>
      <c r="R1599" s="141"/>
      <c r="S1599" s="141"/>
      <c r="T1599" s="141">
        <v>1370000.0</v>
      </c>
      <c r="U1599" s="149"/>
      <c r="V1599" s="149"/>
      <c r="W1599" s="149"/>
      <c r="X1599" s="64" t="s">
        <v>6553</v>
      </c>
      <c r="Y1599" s="64" t="s">
        <v>4515</v>
      </c>
      <c r="Z1599" s="68"/>
    </row>
    <row r="1600" ht="15.0" customHeight="1">
      <c r="A1600" s="206">
        <v>46011.0</v>
      </c>
      <c r="B1600" s="201" t="s">
        <v>6958</v>
      </c>
      <c r="C1600" s="45" t="s">
        <v>2869</v>
      </c>
      <c r="D1600" s="140" t="str">
        <f>IFERROR(VLOOKUP(C1600,Stock,3,FALSE),"")</f>
        <v>Daihatsu Gran Max / Luxio 07-</v>
      </c>
      <c r="E1600" s="45">
        <v>1.0</v>
      </c>
      <c r="F1600" s="198">
        <v>1000000.0</v>
      </c>
      <c r="G1600" s="142">
        <f t="shared" si="40"/>
        <v>1000000</v>
      </c>
      <c r="H1600" s="142"/>
      <c r="I1600" s="143">
        <f t="shared" si="38"/>
        <v>1000000</v>
      </c>
      <c r="J1600" s="144">
        <f t="shared" si="39"/>
        <v>1000000</v>
      </c>
      <c r="K1600" s="108" t="s">
        <v>6959</v>
      </c>
      <c r="L1600" s="199" t="s">
        <v>6960</v>
      </c>
      <c r="M1600" s="17"/>
      <c r="N1600" s="64" t="s">
        <v>6961</v>
      </c>
      <c r="O1600" s="64" t="s">
        <v>6962</v>
      </c>
      <c r="P1600" s="147" t="s">
        <v>4672</v>
      </c>
      <c r="Q1600" s="149"/>
      <c r="R1600" s="141"/>
      <c r="S1600" s="141"/>
      <c r="T1600" s="141">
        <v>1000000.0</v>
      </c>
      <c r="U1600" s="149"/>
      <c r="V1600" s="149"/>
      <c r="W1600" s="149"/>
      <c r="X1600" s="64" t="s">
        <v>6553</v>
      </c>
      <c r="Y1600" s="64" t="s">
        <v>4515</v>
      </c>
      <c r="Z1600" s="68"/>
    </row>
    <row r="1601" ht="15.0" customHeight="1">
      <c r="A1601" s="206">
        <v>46011.0</v>
      </c>
      <c r="B1601" s="201" t="s">
        <v>6963</v>
      </c>
      <c r="C1601" s="45" t="s">
        <v>2952</v>
      </c>
      <c r="D1601" s="140" t="str">
        <f>IFERROR(VLOOKUP(C1601,Stock,3,FALSE),"")</f>
        <v/>
      </c>
      <c r="E1601" s="45">
        <v>1.0</v>
      </c>
      <c r="F1601" s="198">
        <v>1000000.0</v>
      </c>
      <c r="G1601" s="142">
        <f t="shared" si="40"/>
        <v>1000000</v>
      </c>
      <c r="H1601" s="142"/>
      <c r="I1601" s="143">
        <f t="shared" si="38"/>
        <v>1000000</v>
      </c>
      <c r="J1601" s="144">
        <f t="shared" si="39"/>
        <v>1000000</v>
      </c>
      <c r="K1601" s="108" t="s">
        <v>6964</v>
      </c>
      <c r="L1601" s="199" t="s">
        <v>6965</v>
      </c>
      <c r="M1601" s="17"/>
      <c r="N1601" s="64" t="s">
        <v>6966</v>
      </c>
      <c r="O1601" s="64" t="s">
        <v>2807</v>
      </c>
      <c r="P1601" s="147" t="s">
        <v>4672</v>
      </c>
      <c r="Q1601" s="149"/>
      <c r="R1601" s="141"/>
      <c r="S1601" s="141"/>
      <c r="T1601" s="141">
        <v>1000000.0</v>
      </c>
      <c r="U1601" s="149"/>
      <c r="V1601" s="149"/>
      <c r="W1601" s="149"/>
      <c r="X1601" s="64" t="s">
        <v>3810</v>
      </c>
      <c r="Y1601" s="64" t="s">
        <v>4515</v>
      </c>
      <c r="Z1601" s="68"/>
    </row>
    <row r="1602" ht="15.0" customHeight="1">
      <c r="A1602" s="206">
        <v>46011.0</v>
      </c>
      <c r="B1602" s="201" t="s">
        <v>6967</v>
      </c>
      <c r="C1602" s="45" t="s">
        <v>3078</v>
      </c>
      <c r="D1602" s="140" t="str">
        <f>IFERROR(VLOOKUP(C1602,Stock,3,FALSE),"")</f>
        <v>Suzuki Ertiga 12-18 1st Gen MPV</v>
      </c>
      <c r="E1602" s="45">
        <v>1.0</v>
      </c>
      <c r="F1602" s="198">
        <v>831000.0</v>
      </c>
      <c r="G1602" s="142">
        <f t="shared" si="40"/>
        <v>831000</v>
      </c>
      <c r="H1602" s="142"/>
      <c r="I1602" s="143">
        <f t="shared" si="38"/>
        <v>831000</v>
      </c>
      <c r="J1602" s="144">
        <f t="shared" si="39"/>
        <v>831000</v>
      </c>
      <c r="K1602" s="108" t="s">
        <v>6968</v>
      </c>
      <c r="L1602" s="199" t="s">
        <v>6969</v>
      </c>
      <c r="M1602" s="17"/>
      <c r="N1602" s="64" t="s">
        <v>6970</v>
      </c>
      <c r="O1602" s="64" t="s">
        <v>5574</v>
      </c>
      <c r="P1602" s="147" t="s">
        <v>4672</v>
      </c>
      <c r="Q1602" s="149"/>
      <c r="R1602" s="141"/>
      <c r="S1602" s="141"/>
      <c r="T1602" s="141">
        <v>831000.0</v>
      </c>
      <c r="U1602" s="149"/>
      <c r="V1602" s="149"/>
      <c r="W1602" s="149"/>
      <c r="X1602" s="64" t="s">
        <v>3810</v>
      </c>
      <c r="Y1602" s="64" t="s">
        <v>4515</v>
      </c>
      <c r="Z1602" s="68"/>
    </row>
    <row r="1603" ht="15.0" customHeight="1">
      <c r="A1603" s="206">
        <v>46011.0</v>
      </c>
      <c r="B1603" s="201" t="s">
        <v>6971</v>
      </c>
      <c r="C1603" s="45" t="s">
        <v>3499</v>
      </c>
      <c r="D1603" s="140" t="str">
        <f>IFERROR(VLOOKUP(C1603,Stock,3,FALSE),"")</f>
        <v>Honda Brio 10- / Mobilio 11-</v>
      </c>
      <c r="E1603" s="45">
        <v>1.0</v>
      </c>
      <c r="F1603" s="198">
        <v>1300000.0</v>
      </c>
      <c r="G1603" s="142">
        <f t="shared" si="40"/>
        <v>1300000</v>
      </c>
      <c r="H1603" s="142"/>
      <c r="I1603" s="143">
        <f t="shared" si="38"/>
        <v>1300000</v>
      </c>
      <c r="J1603" s="144">
        <f t="shared" si="39"/>
        <v>1300000</v>
      </c>
      <c r="K1603" s="108" t="s">
        <v>5386</v>
      </c>
      <c r="L1603" s="199" t="s">
        <v>6972</v>
      </c>
      <c r="M1603" s="17"/>
      <c r="N1603" s="64" t="s">
        <v>6973</v>
      </c>
      <c r="O1603" s="64" t="s">
        <v>4175</v>
      </c>
      <c r="P1603" s="147" t="s">
        <v>4672</v>
      </c>
      <c r="Q1603" s="149"/>
      <c r="R1603" s="141"/>
      <c r="S1603" s="141"/>
      <c r="T1603" s="141">
        <v>50000.0</v>
      </c>
      <c r="U1603" s="149"/>
      <c r="V1603" s="149"/>
      <c r="W1603" s="149"/>
      <c r="X1603" s="64" t="s">
        <v>3810</v>
      </c>
      <c r="Y1603" s="64" t="s">
        <v>4515</v>
      </c>
      <c r="Z1603" s="68"/>
    </row>
    <row r="1604" ht="15.0" customHeight="1">
      <c r="A1604" s="206">
        <v>46011.0</v>
      </c>
      <c r="B1604" s="201" t="s">
        <v>6971</v>
      </c>
      <c r="C1604" s="45" t="s">
        <v>2770</v>
      </c>
      <c r="D1604" s="140" t="str">
        <f>IFERROR(VLOOKUP(C1604,Stock,3,FALSE),"")</f>
        <v>Transport</v>
      </c>
      <c r="E1604" s="64">
        <v>1.0</v>
      </c>
      <c r="F1604" s="198">
        <v>100000.0</v>
      </c>
      <c r="G1604" s="142">
        <f t="shared" si="40"/>
        <v>100000</v>
      </c>
      <c r="H1604" s="142"/>
      <c r="I1604" s="143">
        <f t="shared" si="38"/>
        <v>100000</v>
      </c>
      <c r="J1604" s="144">
        <f t="shared" si="39"/>
        <v>100000</v>
      </c>
      <c r="K1604" s="108" t="s">
        <v>5386</v>
      </c>
      <c r="L1604" s="199" t="s">
        <v>6972</v>
      </c>
      <c r="M1604" s="68"/>
      <c r="N1604" s="64" t="s">
        <v>6973</v>
      </c>
      <c r="O1604" s="64" t="s">
        <v>4175</v>
      </c>
      <c r="P1604" s="147" t="s">
        <v>4672</v>
      </c>
      <c r="Q1604" s="141">
        <v>1550000.0</v>
      </c>
      <c r="R1604" s="141"/>
      <c r="S1604" s="141"/>
      <c r="T1604" s="141"/>
      <c r="U1604" s="68"/>
      <c r="V1604" s="68"/>
      <c r="W1604" s="68"/>
      <c r="X1604" s="64" t="s">
        <v>3810</v>
      </c>
      <c r="Y1604" s="64" t="s">
        <v>4515</v>
      </c>
      <c r="Z1604" s="68"/>
    </row>
    <row r="1605" ht="15.0" customHeight="1">
      <c r="A1605" s="206">
        <v>46011.0</v>
      </c>
      <c r="B1605" s="201" t="s">
        <v>6971</v>
      </c>
      <c r="C1605" s="64" t="s">
        <v>2962</v>
      </c>
      <c r="D1605" s="140" t="str">
        <f>IFERROR(VLOOKUP(C1605,Stock,3,FALSE),"")</f>
        <v>Lembur</v>
      </c>
      <c r="E1605" s="64">
        <v>1.0</v>
      </c>
      <c r="F1605" s="198">
        <v>150000.0</v>
      </c>
      <c r="G1605" s="142">
        <f t="shared" si="40"/>
        <v>150000</v>
      </c>
      <c r="H1605" s="142"/>
      <c r="I1605" s="143">
        <f t="shared" si="38"/>
        <v>150000</v>
      </c>
      <c r="J1605" s="144">
        <f t="shared" si="39"/>
        <v>150000</v>
      </c>
      <c r="K1605" s="108" t="s">
        <v>5386</v>
      </c>
      <c r="L1605" s="199" t="s">
        <v>6972</v>
      </c>
      <c r="M1605" s="68"/>
      <c r="N1605" s="64" t="s">
        <v>6973</v>
      </c>
      <c r="O1605" s="64" t="s">
        <v>4175</v>
      </c>
      <c r="P1605" s="147" t="s">
        <v>4672</v>
      </c>
      <c r="Q1605" s="68"/>
      <c r="R1605" s="68"/>
      <c r="S1605" s="68"/>
      <c r="T1605" s="68"/>
      <c r="U1605" s="68"/>
      <c r="V1605" s="68"/>
      <c r="W1605" s="68"/>
      <c r="X1605" s="64" t="s">
        <v>3810</v>
      </c>
      <c r="Y1605" s="64" t="s">
        <v>4515</v>
      </c>
      <c r="Z1605" s="68"/>
    </row>
    <row r="1606" ht="15.0" customHeight="1">
      <c r="A1606" s="206">
        <v>46011.0</v>
      </c>
      <c r="B1606" s="201" t="s">
        <v>6971</v>
      </c>
      <c r="C1606" s="64" t="s">
        <v>4979</v>
      </c>
      <c r="D1606" s="140" t="str">
        <f>IFERROR(VLOOKUP(C1606,Stock,3,FALSE),"")</f>
        <v>255 Ultra + Actv-100 Application</v>
      </c>
      <c r="E1606" s="64">
        <v>1.0</v>
      </c>
      <c r="F1606" s="198">
        <v>200000.0</v>
      </c>
      <c r="G1606" s="142">
        <f t="shared" si="40"/>
        <v>200000</v>
      </c>
      <c r="H1606" s="142"/>
      <c r="I1606" s="143">
        <f t="shared" si="38"/>
        <v>200000</v>
      </c>
      <c r="J1606" s="144">
        <f t="shared" si="39"/>
        <v>200000</v>
      </c>
      <c r="K1606" s="108" t="s">
        <v>5386</v>
      </c>
      <c r="L1606" s="199" t="s">
        <v>6972</v>
      </c>
      <c r="M1606" s="68"/>
      <c r="N1606" s="64" t="s">
        <v>6973</v>
      </c>
      <c r="O1606" s="64" t="s">
        <v>4175</v>
      </c>
      <c r="P1606" s="147" t="s">
        <v>4672</v>
      </c>
      <c r="Q1606" s="68"/>
      <c r="R1606" s="68"/>
      <c r="S1606" s="68"/>
      <c r="T1606" s="68"/>
      <c r="U1606" s="68"/>
      <c r="V1606" s="68"/>
      <c r="W1606" s="68"/>
      <c r="X1606" s="64" t="s">
        <v>3810</v>
      </c>
      <c r="Y1606" s="64" t="s">
        <v>4515</v>
      </c>
      <c r="Z1606" s="68"/>
    </row>
    <row r="1607" ht="15.0" customHeight="1">
      <c r="A1607" s="206">
        <v>46011.0</v>
      </c>
      <c r="B1607" s="201" t="s">
        <v>6974</v>
      </c>
      <c r="C1607" s="45" t="s">
        <v>3193</v>
      </c>
      <c r="D1607" s="140" t="str">
        <f>IFERROR(VLOOKUP(C1607,Stock,3,FALSE),"")</f>
        <v>Toyota Avanza / Xenia 11-15 2nd Gen</v>
      </c>
      <c r="E1607" s="45">
        <v>1.0</v>
      </c>
      <c r="F1607" s="198">
        <v>1000000.0</v>
      </c>
      <c r="G1607" s="142">
        <f t="shared" si="40"/>
        <v>1000000</v>
      </c>
      <c r="H1607" s="142"/>
      <c r="I1607" s="143">
        <f t="shared" si="38"/>
        <v>1000000</v>
      </c>
      <c r="J1607" s="144">
        <f t="shared" si="39"/>
        <v>1000000</v>
      </c>
      <c r="K1607" s="108" t="s">
        <v>6975</v>
      </c>
      <c r="L1607" s="199" t="s">
        <v>6976</v>
      </c>
      <c r="M1607" s="17"/>
      <c r="N1607" s="64" t="s">
        <v>6977</v>
      </c>
      <c r="O1607" s="64" t="s">
        <v>2768</v>
      </c>
      <c r="P1607" s="147" t="s">
        <v>6782</v>
      </c>
      <c r="Q1607" s="149"/>
      <c r="R1607" s="141"/>
      <c r="S1607" s="141"/>
      <c r="T1607" s="141">
        <v>1000000.0</v>
      </c>
      <c r="U1607" s="149"/>
      <c r="V1607" s="149"/>
      <c r="W1607" s="149"/>
      <c r="X1607" s="64" t="s">
        <v>3810</v>
      </c>
      <c r="Y1607" s="64" t="s">
        <v>4515</v>
      </c>
      <c r="Z1607" s="68"/>
    </row>
    <row r="1608" ht="15.0" customHeight="1">
      <c r="A1608" s="206">
        <v>46013.0</v>
      </c>
      <c r="B1608" s="201" t="s">
        <v>6978</v>
      </c>
      <c r="C1608" s="45" t="s">
        <v>4383</v>
      </c>
      <c r="D1608" s="140" t="str">
        <f>IFERROR(VLOOKUP(C1608,Stock,3,FALSE),"")</f>
        <v>Honda HR-V 14-21 5D SUV</v>
      </c>
      <c r="E1608" s="45">
        <v>1.0</v>
      </c>
      <c r="F1608" s="198">
        <v>1906000.0</v>
      </c>
      <c r="G1608" s="142">
        <f t="shared" si="40"/>
        <v>1906000</v>
      </c>
      <c r="H1608" s="142"/>
      <c r="I1608" s="143">
        <f t="shared" si="38"/>
        <v>1906000</v>
      </c>
      <c r="J1608" s="144">
        <f t="shared" si="39"/>
        <v>1906000</v>
      </c>
      <c r="K1608" s="108" t="s">
        <v>2757</v>
      </c>
      <c r="L1608" s="199" t="s">
        <v>6979</v>
      </c>
      <c r="M1608" s="17"/>
      <c r="N1608" s="64" t="s">
        <v>6980</v>
      </c>
      <c r="O1608" s="64" t="s">
        <v>2813</v>
      </c>
      <c r="P1608" s="147" t="s">
        <v>4672</v>
      </c>
      <c r="Q1608" s="149"/>
      <c r="R1608" s="141"/>
      <c r="S1608" s="141"/>
      <c r="T1608" s="141">
        <v>1906000.0</v>
      </c>
      <c r="U1608" s="149"/>
      <c r="V1608" s="149"/>
      <c r="W1608" s="149"/>
      <c r="X1608" s="64" t="s">
        <v>4635</v>
      </c>
      <c r="Y1608" s="64" t="s">
        <v>4515</v>
      </c>
      <c r="Z1608" s="68"/>
    </row>
    <row r="1609" ht="15.0" customHeight="1">
      <c r="A1609" s="206">
        <v>46013.0</v>
      </c>
      <c r="B1609" s="201" t="s">
        <v>6981</v>
      </c>
      <c r="C1609" s="45" t="s">
        <v>3048</v>
      </c>
      <c r="D1609" s="140" t="str">
        <f>IFERROR(VLOOKUP(C1609,Stock,3,FALSE),"")</f>
        <v>Biaya Pengecekan</v>
      </c>
      <c r="E1609" s="45">
        <v>1.0</v>
      </c>
      <c r="F1609" s="198">
        <v>250000.0</v>
      </c>
      <c r="G1609" s="142">
        <f t="shared" si="40"/>
        <v>250000</v>
      </c>
      <c r="H1609" s="142"/>
      <c r="I1609" s="143">
        <f t="shared" si="38"/>
        <v>250000</v>
      </c>
      <c r="J1609" s="144">
        <f t="shared" si="39"/>
        <v>250000</v>
      </c>
      <c r="K1609" s="108" t="s">
        <v>4794</v>
      </c>
      <c r="L1609" s="199" t="s">
        <v>4795</v>
      </c>
      <c r="M1609" s="17"/>
      <c r="N1609" s="64" t="s">
        <v>6982</v>
      </c>
      <c r="O1609" s="64" t="s">
        <v>2760</v>
      </c>
      <c r="P1609" s="147" t="s">
        <v>4672</v>
      </c>
      <c r="Q1609" s="141"/>
      <c r="R1609" s="141"/>
      <c r="S1609" s="141"/>
      <c r="T1609" s="141">
        <v>50000.0</v>
      </c>
      <c r="U1609" s="149"/>
      <c r="V1609" s="149"/>
      <c r="W1609" s="149"/>
      <c r="X1609" s="64" t="s">
        <v>4635</v>
      </c>
      <c r="Y1609" s="64" t="s">
        <v>4515</v>
      </c>
      <c r="Z1609" s="68"/>
    </row>
    <row r="1610" ht="15.0" customHeight="1">
      <c r="A1610" s="206">
        <v>46013.0</v>
      </c>
      <c r="B1610" s="201" t="s">
        <v>6981</v>
      </c>
      <c r="C1610" s="45" t="s">
        <v>2770</v>
      </c>
      <c r="D1610" s="140" t="str">
        <f>IFERROR(VLOOKUP(C1610,Stock,3,FALSE),"")</f>
        <v>Transport</v>
      </c>
      <c r="E1610" s="64">
        <v>1.0</v>
      </c>
      <c r="F1610" s="198">
        <v>130000.0</v>
      </c>
      <c r="G1610" s="142">
        <f t="shared" si="40"/>
        <v>130000</v>
      </c>
      <c r="H1610" s="142"/>
      <c r="I1610" s="143">
        <f t="shared" si="38"/>
        <v>130000</v>
      </c>
      <c r="J1610" s="144">
        <f t="shared" si="39"/>
        <v>130000</v>
      </c>
      <c r="K1610" s="108" t="s">
        <v>4794</v>
      </c>
      <c r="L1610" s="199" t="s">
        <v>4795</v>
      </c>
      <c r="M1610" s="68"/>
      <c r="N1610" s="64" t="s">
        <v>6982</v>
      </c>
      <c r="O1610" s="64" t="s">
        <v>2760</v>
      </c>
      <c r="P1610" s="147" t="s">
        <v>4672</v>
      </c>
      <c r="Q1610" s="141">
        <v>330000.0</v>
      </c>
      <c r="R1610" s="68"/>
      <c r="S1610" s="68"/>
      <c r="T1610" s="68"/>
      <c r="U1610" s="68"/>
      <c r="V1610" s="68"/>
      <c r="W1610" s="68"/>
      <c r="X1610" s="64" t="s">
        <v>4635</v>
      </c>
      <c r="Y1610" s="64" t="s">
        <v>4515</v>
      </c>
      <c r="Z1610" s="68"/>
    </row>
    <row r="1611" ht="15.0" customHeight="1">
      <c r="A1611" s="206">
        <v>46013.0</v>
      </c>
      <c r="B1611" s="201" t="s">
        <v>6983</v>
      </c>
      <c r="C1611" s="45" t="s">
        <v>3499</v>
      </c>
      <c r="D1611" s="140" t="str">
        <f>IFERROR(VLOOKUP(C1611,Stock,3,FALSE),"")</f>
        <v>Honda Brio 10- / Mobilio 11-</v>
      </c>
      <c r="E1611" s="45">
        <v>1.0</v>
      </c>
      <c r="F1611" s="198">
        <v>1300000.0</v>
      </c>
      <c r="G1611" s="142">
        <f t="shared" si="40"/>
        <v>1300000</v>
      </c>
      <c r="H1611" s="142"/>
      <c r="I1611" s="143">
        <f t="shared" si="38"/>
        <v>1300000</v>
      </c>
      <c r="J1611" s="144">
        <f t="shared" si="39"/>
        <v>1300000</v>
      </c>
      <c r="K1611" s="108" t="s">
        <v>6984</v>
      </c>
      <c r="L1611" s="199" t="s">
        <v>6985</v>
      </c>
      <c r="M1611" s="17"/>
      <c r="N1611" s="64" t="s">
        <v>6986</v>
      </c>
      <c r="O1611" s="64" t="s">
        <v>2813</v>
      </c>
      <c r="P1611" s="147" t="s">
        <v>4672</v>
      </c>
      <c r="Q1611" s="149"/>
      <c r="R1611" s="141"/>
      <c r="S1611" s="141"/>
      <c r="T1611" s="141">
        <v>100000.0</v>
      </c>
      <c r="U1611" s="149"/>
      <c r="V1611" s="149"/>
      <c r="W1611" s="149"/>
      <c r="X1611" s="64" t="s">
        <v>4635</v>
      </c>
      <c r="Y1611" s="64" t="s">
        <v>4515</v>
      </c>
      <c r="Z1611" s="68"/>
    </row>
    <row r="1612" ht="15.0" customHeight="1">
      <c r="A1612" s="206">
        <v>46013.0</v>
      </c>
      <c r="B1612" s="201" t="s">
        <v>6983</v>
      </c>
      <c r="C1612" s="201" t="s">
        <v>5254</v>
      </c>
      <c r="D1612" s="140" t="str">
        <f>IFERROR(VLOOKUP(C1612,Stock,3,FALSE),"")</f>
        <v>Automotive Film Standard - Black 40%				</v>
      </c>
      <c r="E1612" s="45">
        <v>1.0</v>
      </c>
      <c r="F1612" s="198">
        <v>300000.0</v>
      </c>
      <c r="G1612" s="142">
        <f t="shared" si="40"/>
        <v>300000</v>
      </c>
      <c r="H1612" s="142"/>
      <c r="I1612" s="143">
        <f t="shared" si="38"/>
        <v>300000</v>
      </c>
      <c r="J1612" s="144">
        <f t="shared" si="39"/>
        <v>300000</v>
      </c>
      <c r="K1612" s="108" t="s">
        <v>6984</v>
      </c>
      <c r="L1612" s="199" t="s">
        <v>6985</v>
      </c>
      <c r="M1612" s="17"/>
      <c r="N1612" s="64" t="s">
        <v>6986</v>
      </c>
      <c r="O1612" s="64" t="s">
        <v>2813</v>
      </c>
      <c r="P1612" s="147" t="s">
        <v>4672</v>
      </c>
      <c r="Q1612" s="149"/>
      <c r="R1612" s="141"/>
      <c r="S1612" s="141"/>
      <c r="T1612" s="141">
        <v>1500000.0</v>
      </c>
      <c r="U1612" s="149"/>
      <c r="V1612" s="149"/>
      <c r="W1612" s="149"/>
      <c r="X1612" s="64" t="s">
        <v>4635</v>
      </c>
      <c r="Y1612" s="64" t="s">
        <v>4515</v>
      </c>
      <c r="Z1612" s="68"/>
    </row>
    <row r="1613" ht="15.0" customHeight="1">
      <c r="A1613" s="374">
        <v>46013.0</v>
      </c>
      <c r="B1613" s="364" t="s">
        <v>6987</v>
      </c>
      <c r="C1613" s="336" t="s">
        <v>4017</v>
      </c>
      <c r="D1613" s="337" t="str">
        <f>IFERROR(VLOOKUP(C1613,Stock,3,FALSE),"")</f>
        <v>Black Phantom Solar Gard</v>
      </c>
      <c r="E1613" s="336">
        <v>1.0</v>
      </c>
      <c r="F1613" s="339">
        <v>1375000.0</v>
      </c>
      <c r="G1613" s="340">
        <f t="shared" si="40"/>
        <v>1375000</v>
      </c>
      <c r="H1613" s="340"/>
      <c r="I1613" s="341">
        <f t="shared" si="38"/>
        <v>1375000</v>
      </c>
      <c r="J1613" s="342">
        <f t="shared" si="39"/>
        <v>1375000</v>
      </c>
      <c r="K1613" s="365" t="s">
        <v>6950</v>
      </c>
      <c r="L1613" s="366" t="s">
        <v>6951</v>
      </c>
      <c r="M1613" s="367"/>
      <c r="N1613" s="338" t="s">
        <v>6952</v>
      </c>
      <c r="O1613" s="338" t="s">
        <v>2935</v>
      </c>
      <c r="P1613" s="368" t="s">
        <v>4672</v>
      </c>
      <c r="Q1613" s="369"/>
      <c r="R1613" s="348"/>
      <c r="S1613" s="348"/>
      <c r="T1613" s="348">
        <v>1425000.0</v>
      </c>
      <c r="U1613" s="369"/>
      <c r="V1613" s="369"/>
      <c r="W1613" s="369"/>
      <c r="X1613" s="338" t="s">
        <v>3810</v>
      </c>
      <c r="Y1613" s="64" t="s">
        <v>4515</v>
      </c>
      <c r="Z1613" s="68"/>
    </row>
    <row r="1614" ht="15.0" customHeight="1">
      <c r="A1614" s="206">
        <v>46013.0</v>
      </c>
      <c r="B1614" s="201" t="s">
        <v>6987</v>
      </c>
      <c r="C1614" s="45" t="s">
        <v>2770</v>
      </c>
      <c r="D1614" s="140" t="str">
        <f>IFERROR(VLOOKUP(C1614,Stock,3,FALSE),"")</f>
        <v>Transport</v>
      </c>
      <c r="E1614" s="45">
        <v>1.0</v>
      </c>
      <c r="F1614" s="198">
        <v>50000.0</v>
      </c>
      <c r="G1614" s="142">
        <f t="shared" si="40"/>
        <v>50000</v>
      </c>
      <c r="H1614" s="142"/>
      <c r="I1614" s="143">
        <f t="shared" si="38"/>
        <v>50000</v>
      </c>
      <c r="J1614" s="144">
        <f t="shared" si="39"/>
        <v>50000</v>
      </c>
      <c r="K1614" s="108" t="s">
        <v>6950</v>
      </c>
      <c r="L1614" s="199" t="s">
        <v>6951</v>
      </c>
      <c r="M1614" s="17"/>
      <c r="N1614" s="64" t="s">
        <v>6952</v>
      </c>
      <c r="O1614" s="64" t="s">
        <v>2935</v>
      </c>
      <c r="P1614" s="147" t="s">
        <v>4672</v>
      </c>
      <c r="Q1614" s="149"/>
      <c r="R1614" s="141"/>
      <c r="S1614" s="141"/>
      <c r="T1614" s="141"/>
      <c r="U1614" s="149"/>
      <c r="V1614" s="149"/>
      <c r="W1614" s="149"/>
      <c r="X1614" s="64" t="s">
        <v>3810</v>
      </c>
      <c r="Y1614" s="64" t="s">
        <v>4515</v>
      </c>
      <c r="Z1614" s="68"/>
    </row>
    <row r="1615" ht="15.0" customHeight="1">
      <c r="A1615" s="206">
        <v>46013.0</v>
      </c>
      <c r="B1615" s="201" t="s">
        <v>6988</v>
      </c>
      <c r="C1615" s="45" t="s">
        <v>3142</v>
      </c>
      <c r="D1615" s="140" t="str">
        <f>IFERROR(VLOOKUP(C1615,Stock,3,FALSE),"")</f>
        <v>Mitsubishi Xpander 17-</v>
      </c>
      <c r="E1615" s="45">
        <v>1.0</v>
      </c>
      <c r="F1615" s="198">
        <v>1700000.0</v>
      </c>
      <c r="G1615" s="142">
        <f t="shared" si="40"/>
        <v>1700000</v>
      </c>
      <c r="H1615" s="142"/>
      <c r="I1615" s="143">
        <f t="shared" si="38"/>
        <v>1700000</v>
      </c>
      <c r="J1615" s="144">
        <f t="shared" si="39"/>
        <v>1700000</v>
      </c>
      <c r="K1615" s="108" t="s">
        <v>6989</v>
      </c>
      <c r="L1615" s="199" t="s">
        <v>6990</v>
      </c>
      <c r="M1615" s="17"/>
      <c r="N1615" s="64" t="s">
        <v>6991</v>
      </c>
      <c r="O1615" s="64" t="s">
        <v>6702</v>
      </c>
      <c r="P1615" s="147" t="s">
        <v>4672</v>
      </c>
      <c r="Q1615" s="149"/>
      <c r="R1615" s="141"/>
      <c r="S1615" s="141"/>
      <c r="T1615" s="141">
        <v>100000.0</v>
      </c>
      <c r="U1615" s="149"/>
      <c r="V1615" s="149"/>
      <c r="W1615" s="149"/>
      <c r="X1615" s="64" t="s">
        <v>6553</v>
      </c>
      <c r="Y1615" s="68"/>
      <c r="Z1615" s="68"/>
    </row>
    <row r="1616" ht="15.0" customHeight="1">
      <c r="A1616" s="206">
        <v>46013.0</v>
      </c>
      <c r="B1616" s="201" t="s">
        <v>6988</v>
      </c>
      <c r="C1616" s="45" t="s">
        <v>2770</v>
      </c>
      <c r="D1616" s="140" t="str">
        <f>IFERROR(VLOOKUP(C1616,Stock,3,FALSE),"")</f>
        <v>Transport</v>
      </c>
      <c r="E1616" s="45">
        <v>1.0</v>
      </c>
      <c r="F1616" s="198">
        <v>190000.0</v>
      </c>
      <c r="G1616" s="142">
        <f t="shared" si="40"/>
        <v>190000</v>
      </c>
      <c r="H1616" s="142"/>
      <c r="I1616" s="143">
        <f t="shared" si="38"/>
        <v>190000</v>
      </c>
      <c r="J1616" s="144">
        <f t="shared" si="39"/>
        <v>190000</v>
      </c>
      <c r="K1616" s="108" t="s">
        <v>6989</v>
      </c>
      <c r="L1616" s="199" t="s">
        <v>6990</v>
      </c>
      <c r="M1616" s="17"/>
      <c r="N1616" s="64" t="s">
        <v>6991</v>
      </c>
      <c r="O1616" s="64" t="s">
        <v>6702</v>
      </c>
      <c r="P1616" s="147" t="s">
        <v>4672</v>
      </c>
      <c r="Q1616" s="149"/>
      <c r="R1616" s="141"/>
      <c r="S1616" s="141"/>
      <c r="T1616" s="141">
        <v>1790000.0</v>
      </c>
      <c r="U1616" s="149"/>
      <c r="V1616" s="149"/>
      <c r="W1616" s="149"/>
      <c r="X1616" s="64" t="s">
        <v>6553</v>
      </c>
      <c r="Y1616" s="64" t="s">
        <v>4515</v>
      </c>
      <c r="Z1616" s="68"/>
    </row>
    <row r="1617" ht="15.0" customHeight="1">
      <c r="A1617" s="375">
        <v>46013.0</v>
      </c>
      <c r="B1617" s="376" t="s">
        <v>6992</v>
      </c>
      <c r="C1617" s="377" t="s">
        <v>2003</v>
      </c>
      <c r="D1617" s="378" t="str">
        <f>IFERROR(VLOOKUP(C1617,Stock,3,FALSE),"")</f>
        <v>Toyota Agya/Ayla 13-22 1st Gen</v>
      </c>
      <c r="E1617" s="377">
        <v>1.0</v>
      </c>
      <c r="F1617" s="379">
        <v>800000.0</v>
      </c>
      <c r="G1617" s="380">
        <f t="shared" si="40"/>
        <v>800000</v>
      </c>
      <c r="H1617" s="381">
        <v>137300.0</v>
      </c>
      <c r="I1617" s="381">
        <f t="shared" si="38"/>
        <v>662700</v>
      </c>
      <c r="J1617" s="382">
        <f t="shared" si="39"/>
        <v>662700</v>
      </c>
      <c r="K1617" s="383" t="s">
        <v>6993</v>
      </c>
      <c r="L1617" s="384"/>
      <c r="M1617" s="384"/>
      <c r="N1617" s="385" t="s">
        <v>4270</v>
      </c>
      <c r="O1617" s="385" t="s">
        <v>5574</v>
      </c>
      <c r="P1617" s="386" t="s">
        <v>2752</v>
      </c>
      <c r="Q1617" s="387"/>
      <c r="R1617" s="388"/>
      <c r="S1617" s="388"/>
      <c r="T1617" s="388"/>
      <c r="U1617" s="388">
        <v>662700.0</v>
      </c>
      <c r="V1617" s="387"/>
      <c r="W1617" s="387"/>
      <c r="X1617" s="385" t="s">
        <v>6553</v>
      </c>
      <c r="Y1617" s="64" t="s">
        <v>4515</v>
      </c>
      <c r="Z1617" s="68"/>
    </row>
    <row r="1618" ht="15.0" customHeight="1">
      <c r="A1618" s="389">
        <v>46014.0</v>
      </c>
      <c r="B1618" s="390" t="s">
        <v>6994</v>
      </c>
      <c r="C1618" s="45" t="s">
        <v>3246</v>
      </c>
      <c r="D1618" s="140" t="str">
        <f>IFERROR(VLOOKUP(C1618,Stock,3,FALSE),"")</f>
        <v>Toyota Calya / Sigra 16-</v>
      </c>
      <c r="E1618" s="45">
        <v>1.0</v>
      </c>
      <c r="F1618" s="198">
        <v>1350000.0</v>
      </c>
      <c r="G1618" s="142">
        <f t="shared" si="40"/>
        <v>1350000</v>
      </c>
      <c r="H1618" s="142"/>
      <c r="I1618" s="143">
        <f t="shared" si="38"/>
        <v>1350000</v>
      </c>
      <c r="J1618" s="144">
        <f t="shared" si="39"/>
        <v>1350000</v>
      </c>
      <c r="K1618" s="108" t="s">
        <v>6995</v>
      </c>
      <c r="L1618" s="199" t="s">
        <v>6996</v>
      </c>
      <c r="M1618" s="17"/>
      <c r="N1618" s="64" t="s">
        <v>6997</v>
      </c>
      <c r="O1618" s="64" t="s">
        <v>2813</v>
      </c>
      <c r="P1618" s="147" t="s">
        <v>4672</v>
      </c>
      <c r="Q1618" s="149"/>
      <c r="R1618" s="141"/>
      <c r="S1618" s="141"/>
      <c r="T1618" s="141">
        <v>1350000.0</v>
      </c>
      <c r="U1618" s="149"/>
      <c r="V1618" s="149"/>
      <c r="W1618" s="149"/>
      <c r="X1618" s="64" t="s">
        <v>4635</v>
      </c>
      <c r="Y1618" s="64" t="s">
        <v>4515</v>
      </c>
      <c r="Z1618" s="68"/>
    </row>
    <row r="1619" ht="15.0" customHeight="1">
      <c r="A1619" s="389">
        <v>46014.0</v>
      </c>
      <c r="B1619" s="390" t="s">
        <v>6998</v>
      </c>
      <c r="C1619" s="45" t="s">
        <v>6999</v>
      </c>
      <c r="D1619" s="140" t="str">
        <f>IFERROR(VLOOKUP(C1619,Stock,3,FALSE),"")</f>
        <v>Audi Q3 12-17 (1 Sensor / O )</v>
      </c>
      <c r="E1619" s="45">
        <v>1.0</v>
      </c>
      <c r="F1619" s="198">
        <v>4981000.0</v>
      </c>
      <c r="G1619" s="142">
        <f t="shared" si="40"/>
        <v>4981000</v>
      </c>
      <c r="H1619" s="143">
        <v>150000.0</v>
      </c>
      <c r="I1619" s="143">
        <f t="shared" si="38"/>
        <v>4831000</v>
      </c>
      <c r="J1619" s="144">
        <f t="shared" si="39"/>
        <v>4831000</v>
      </c>
      <c r="K1619" s="108" t="s">
        <v>7000</v>
      </c>
      <c r="L1619" s="199" t="s">
        <v>7001</v>
      </c>
      <c r="M1619" s="17"/>
      <c r="N1619" s="64" t="s">
        <v>7002</v>
      </c>
      <c r="O1619" s="64" t="s">
        <v>2813</v>
      </c>
      <c r="P1619" s="147" t="s">
        <v>4672</v>
      </c>
      <c r="Q1619" s="149"/>
      <c r="R1619" s="141"/>
      <c r="S1619" s="141"/>
      <c r="T1619" s="141">
        <v>4831000.0</v>
      </c>
      <c r="U1619" s="149"/>
      <c r="V1619" s="149"/>
      <c r="W1619" s="149"/>
      <c r="X1619" s="64" t="s">
        <v>4635</v>
      </c>
      <c r="Y1619" s="64" t="s">
        <v>4515</v>
      </c>
      <c r="Z1619" s="68"/>
    </row>
    <row r="1620" ht="15.0" customHeight="1">
      <c r="A1620" s="389">
        <v>46014.0</v>
      </c>
      <c r="B1620" s="390" t="s">
        <v>7003</v>
      </c>
      <c r="C1620" s="45" t="s">
        <v>3434</v>
      </c>
      <c r="D1620" s="140" t="str">
        <f>IFERROR(VLOOKUP(C1620,Stock,3,FALSE),"")</f>
        <v>List Kaca Depan Code 04</v>
      </c>
      <c r="E1620" s="45">
        <v>1.0</v>
      </c>
      <c r="F1620" s="198">
        <v>275000.0</v>
      </c>
      <c r="G1620" s="142">
        <f t="shared" si="40"/>
        <v>275000</v>
      </c>
      <c r="H1620" s="142"/>
      <c r="I1620" s="143">
        <f t="shared" si="38"/>
        <v>275000</v>
      </c>
      <c r="J1620" s="144">
        <f t="shared" si="39"/>
        <v>275000</v>
      </c>
      <c r="K1620" s="108" t="s">
        <v>7004</v>
      </c>
      <c r="L1620" s="199" t="s">
        <v>7005</v>
      </c>
      <c r="M1620" s="17"/>
      <c r="N1620" s="64" t="s">
        <v>7006</v>
      </c>
      <c r="O1620" s="64" t="s">
        <v>2813</v>
      </c>
      <c r="P1620" s="147" t="s">
        <v>4672</v>
      </c>
      <c r="Q1620" s="149"/>
      <c r="R1620" s="141"/>
      <c r="S1620" s="141"/>
      <c r="T1620" s="141">
        <v>275000.0</v>
      </c>
      <c r="U1620" s="149"/>
      <c r="V1620" s="149"/>
      <c r="W1620" s="149"/>
      <c r="X1620" s="64" t="s">
        <v>4635</v>
      </c>
      <c r="Y1620" s="64" t="s">
        <v>4515</v>
      </c>
      <c r="Z1620" s="68"/>
    </row>
    <row r="1621" ht="15.0" customHeight="1">
      <c r="A1621" s="389">
        <v>46014.0</v>
      </c>
      <c r="B1621" s="390" t="s">
        <v>7007</v>
      </c>
      <c r="C1621" s="45" t="s">
        <v>2792</v>
      </c>
      <c r="D1621" s="140" t="str">
        <f>IFERROR(VLOOKUP(C1621,Stock,3,FALSE),"")</f>
        <v>Toyota Calya / Sigra 16-</v>
      </c>
      <c r="E1621" s="45">
        <v>1.0</v>
      </c>
      <c r="F1621" s="198">
        <v>920000.0</v>
      </c>
      <c r="G1621" s="142">
        <f t="shared" si="40"/>
        <v>920000</v>
      </c>
      <c r="H1621" s="142"/>
      <c r="I1621" s="143">
        <f t="shared" si="38"/>
        <v>920000</v>
      </c>
      <c r="J1621" s="144">
        <f t="shared" si="39"/>
        <v>920000</v>
      </c>
      <c r="K1621" s="108" t="s">
        <v>7008</v>
      </c>
      <c r="L1621" s="199" t="s">
        <v>7009</v>
      </c>
      <c r="M1621" s="17"/>
      <c r="N1621" s="64" t="s">
        <v>7010</v>
      </c>
      <c r="O1621" s="64" t="s">
        <v>2813</v>
      </c>
      <c r="P1621" s="147" t="s">
        <v>4672</v>
      </c>
      <c r="Q1621" s="149"/>
      <c r="R1621" s="141"/>
      <c r="S1621" s="141"/>
      <c r="T1621" s="141">
        <v>1120000.0</v>
      </c>
      <c r="U1621" s="149"/>
      <c r="V1621" s="149"/>
      <c r="W1621" s="149"/>
      <c r="X1621" s="64" t="s">
        <v>4635</v>
      </c>
      <c r="Y1621" s="64" t="s">
        <v>4515</v>
      </c>
      <c r="Z1621" s="68"/>
    </row>
    <row r="1622" ht="15.0" customHeight="1">
      <c r="A1622" s="389">
        <v>46014.0</v>
      </c>
      <c r="B1622" s="390" t="s">
        <v>7007</v>
      </c>
      <c r="C1622" s="45" t="s">
        <v>7011</v>
      </c>
      <c r="D1622" s="140" t="str">
        <f>IFERROR(VLOOKUP(C1622,Stock,3,FALSE),"")</f>
        <v>Automotive Film Standard - Black 40%				</v>
      </c>
      <c r="E1622" s="45">
        <v>1.0</v>
      </c>
      <c r="F1622" s="198">
        <v>200000.0</v>
      </c>
      <c r="G1622" s="142">
        <f t="shared" si="40"/>
        <v>200000</v>
      </c>
      <c r="H1622" s="142"/>
      <c r="I1622" s="143">
        <f t="shared" si="38"/>
        <v>200000</v>
      </c>
      <c r="J1622" s="144">
        <f t="shared" si="39"/>
        <v>200000</v>
      </c>
      <c r="K1622" s="108" t="s">
        <v>7008</v>
      </c>
      <c r="L1622" s="199" t="s">
        <v>7009</v>
      </c>
      <c r="M1622" s="17"/>
      <c r="N1622" s="64" t="s">
        <v>7010</v>
      </c>
      <c r="O1622" s="64" t="s">
        <v>2813</v>
      </c>
      <c r="P1622" s="147" t="s">
        <v>4672</v>
      </c>
      <c r="Q1622" s="149"/>
      <c r="R1622" s="149"/>
      <c r="S1622" s="149"/>
      <c r="T1622" s="149"/>
      <c r="U1622" s="149"/>
      <c r="V1622" s="149"/>
      <c r="W1622" s="149"/>
      <c r="X1622" s="64" t="s">
        <v>4635</v>
      </c>
      <c r="Y1622" s="64" t="s">
        <v>4515</v>
      </c>
      <c r="Z1622" s="68"/>
    </row>
    <row r="1623" ht="15.0" customHeight="1">
      <c r="A1623" s="389">
        <v>46014.0</v>
      </c>
      <c r="B1623" s="390" t="s">
        <v>7012</v>
      </c>
      <c r="C1623" s="45" t="s">
        <v>2877</v>
      </c>
      <c r="D1623" s="140" t="str">
        <f>IFERROR(VLOOKUP(C1623,Stock,3,FALSE),"")</f>
        <v>Toyota Dyna/Hino Dutro 00-</v>
      </c>
      <c r="E1623" s="45">
        <v>1.0</v>
      </c>
      <c r="F1623" s="198">
        <v>1250000.0</v>
      </c>
      <c r="G1623" s="142">
        <f t="shared" si="40"/>
        <v>1250000</v>
      </c>
      <c r="H1623" s="142"/>
      <c r="I1623" s="143">
        <f t="shared" si="38"/>
        <v>1250000</v>
      </c>
      <c r="J1623" s="144">
        <f t="shared" si="39"/>
        <v>1250000</v>
      </c>
      <c r="K1623" s="108" t="s">
        <v>7013</v>
      </c>
      <c r="L1623" s="199" t="s">
        <v>7014</v>
      </c>
      <c r="M1623" s="17"/>
      <c r="N1623" s="64" t="s">
        <v>4270</v>
      </c>
      <c r="O1623" s="64" t="s">
        <v>2813</v>
      </c>
      <c r="P1623" s="147" t="s">
        <v>4672</v>
      </c>
      <c r="Q1623" s="149"/>
      <c r="R1623" s="141"/>
      <c r="S1623" s="141"/>
      <c r="T1623" s="141">
        <v>50000.0</v>
      </c>
      <c r="U1623" s="149"/>
      <c r="V1623" s="149"/>
      <c r="W1623" s="149"/>
      <c r="X1623" s="64" t="s">
        <v>4635</v>
      </c>
      <c r="Y1623" s="64" t="s">
        <v>4515</v>
      </c>
      <c r="Z1623" s="68"/>
    </row>
    <row r="1624" ht="15.0" customHeight="1">
      <c r="A1624" s="389">
        <v>46014.0</v>
      </c>
      <c r="B1624" s="390" t="s">
        <v>7012</v>
      </c>
      <c r="C1624" s="45" t="s">
        <v>2770</v>
      </c>
      <c r="D1624" s="140" t="str">
        <f>IFERROR(VLOOKUP(C1624,Stock,3,FALSE),"")</f>
        <v>Transport</v>
      </c>
      <c r="E1624" s="45">
        <v>1.0</v>
      </c>
      <c r="F1624" s="198">
        <v>100000.0</v>
      </c>
      <c r="G1624" s="142">
        <f t="shared" si="40"/>
        <v>100000</v>
      </c>
      <c r="H1624" s="142"/>
      <c r="I1624" s="143">
        <f t="shared" si="38"/>
        <v>100000</v>
      </c>
      <c r="J1624" s="144">
        <f t="shared" si="39"/>
        <v>100000</v>
      </c>
      <c r="K1624" s="108" t="s">
        <v>7013</v>
      </c>
      <c r="L1624" s="199" t="s">
        <v>7014</v>
      </c>
      <c r="M1624" s="17"/>
      <c r="N1624" s="64" t="s">
        <v>4270</v>
      </c>
      <c r="O1624" s="64" t="s">
        <v>2813</v>
      </c>
      <c r="P1624" s="147" t="s">
        <v>4672</v>
      </c>
      <c r="Q1624" s="149"/>
      <c r="R1624" s="141"/>
      <c r="S1624" s="141"/>
      <c r="T1624" s="141">
        <v>1050000.0</v>
      </c>
      <c r="U1624" s="149"/>
      <c r="V1624" s="149"/>
      <c r="W1624" s="149"/>
      <c r="X1624" s="64" t="s">
        <v>6553</v>
      </c>
      <c r="Y1624" s="64" t="s">
        <v>4515</v>
      </c>
      <c r="Z1624" s="68"/>
    </row>
    <row r="1625" ht="15.0" customHeight="1">
      <c r="A1625" s="389">
        <v>46015.0</v>
      </c>
      <c r="B1625" s="390" t="s">
        <v>7015</v>
      </c>
      <c r="C1625" s="45" t="s">
        <v>3354</v>
      </c>
      <c r="D1625" s="140" t="str">
        <f>IFERROR(VLOOKUP(C1625,Stock,3,FALSE),"")</f>
        <v>Honda Brio 10- / Mobilio 11- (Honda)</v>
      </c>
      <c r="E1625" s="45">
        <v>1.0</v>
      </c>
      <c r="F1625" s="198">
        <v>1772000.0</v>
      </c>
      <c r="G1625" s="142">
        <f t="shared" si="40"/>
        <v>1772000</v>
      </c>
      <c r="H1625" s="142"/>
      <c r="I1625" s="143">
        <f t="shared" si="38"/>
        <v>1772000</v>
      </c>
      <c r="J1625" s="144">
        <f t="shared" si="39"/>
        <v>1772000</v>
      </c>
      <c r="K1625" s="108" t="s">
        <v>7016</v>
      </c>
      <c r="L1625" s="199" t="s">
        <v>7017</v>
      </c>
      <c r="M1625" s="17"/>
      <c r="N1625" s="64" t="s">
        <v>7018</v>
      </c>
      <c r="O1625" s="64" t="s">
        <v>2813</v>
      </c>
      <c r="P1625" s="147" t="s">
        <v>4672</v>
      </c>
      <c r="Q1625" s="141">
        <v>1772000.0</v>
      </c>
      <c r="R1625" s="149"/>
      <c r="S1625" s="149"/>
      <c r="T1625" s="149"/>
      <c r="U1625" s="149"/>
      <c r="V1625" s="149"/>
      <c r="W1625" s="149"/>
      <c r="X1625" s="64" t="s">
        <v>4635</v>
      </c>
      <c r="Y1625" s="64" t="s">
        <v>4515</v>
      </c>
      <c r="Z1625" s="68"/>
    </row>
    <row r="1626" ht="15.0" customHeight="1">
      <c r="A1626" s="389">
        <v>46015.0</v>
      </c>
      <c r="B1626" s="390" t="s">
        <v>7019</v>
      </c>
      <c r="C1626" s="45" t="s">
        <v>7020</v>
      </c>
      <c r="D1626" s="140" t="str">
        <f>IFERROR(VLOOKUP(C1626,Stock,3,FALSE),"")</f>
        <v>Toyota Fortuner 15-  2nd Gen</v>
      </c>
      <c r="E1626" s="45">
        <v>1.0</v>
      </c>
      <c r="F1626" s="198">
        <v>890000.0</v>
      </c>
      <c r="G1626" s="142">
        <f t="shared" si="40"/>
        <v>890000</v>
      </c>
      <c r="H1626" s="142"/>
      <c r="I1626" s="143">
        <f t="shared" si="38"/>
        <v>890000</v>
      </c>
      <c r="J1626" s="144">
        <f t="shared" si="39"/>
        <v>890000</v>
      </c>
      <c r="K1626" s="108" t="s">
        <v>7021</v>
      </c>
      <c r="L1626" s="199" t="s">
        <v>7022</v>
      </c>
      <c r="M1626" s="17"/>
      <c r="N1626" s="64" t="s">
        <v>7023</v>
      </c>
      <c r="O1626" s="64" t="s">
        <v>2813</v>
      </c>
      <c r="P1626" s="147" t="s">
        <v>4672</v>
      </c>
      <c r="Q1626" s="149"/>
      <c r="R1626" s="141"/>
      <c r="S1626" s="141"/>
      <c r="T1626" s="141">
        <v>890000.0</v>
      </c>
      <c r="U1626" s="149"/>
      <c r="V1626" s="149"/>
      <c r="W1626" s="149"/>
      <c r="X1626" s="64" t="s">
        <v>4635</v>
      </c>
      <c r="Y1626" s="64" t="s">
        <v>4515</v>
      </c>
      <c r="Z1626" s="68"/>
    </row>
    <row r="1627" ht="15.0" customHeight="1">
      <c r="A1627" s="389">
        <v>46015.0</v>
      </c>
      <c r="B1627" s="390" t="s">
        <v>7024</v>
      </c>
      <c r="C1627" s="45" t="s">
        <v>7025</v>
      </c>
      <c r="D1627" s="140" t="str">
        <f>IFERROR(VLOOKUP(C1627,Stock,3,FALSE),"")</f>
        <v>Hyundai Creta 22- </v>
      </c>
      <c r="E1627" s="45">
        <v>1.0</v>
      </c>
      <c r="F1627" s="198">
        <v>2600000.0</v>
      </c>
      <c r="G1627" s="142">
        <f t="shared" si="40"/>
        <v>2600000</v>
      </c>
      <c r="H1627" s="142"/>
      <c r="I1627" s="143">
        <f t="shared" si="38"/>
        <v>2600000</v>
      </c>
      <c r="J1627" s="144">
        <f t="shared" si="39"/>
        <v>2600000</v>
      </c>
      <c r="K1627" s="108" t="s">
        <v>7026</v>
      </c>
      <c r="L1627" s="199" t="s">
        <v>7027</v>
      </c>
      <c r="M1627" s="17"/>
      <c r="N1627" s="64" t="s">
        <v>7028</v>
      </c>
      <c r="O1627" s="64" t="s">
        <v>2987</v>
      </c>
      <c r="P1627" s="147" t="s">
        <v>4672</v>
      </c>
      <c r="Q1627" s="149"/>
      <c r="R1627" s="141"/>
      <c r="S1627" s="141"/>
      <c r="T1627" s="141">
        <v>2600000.0</v>
      </c>
      <c r="U1627" s="149"/>
      <c r="V1627" s="149"/>
      <c r="W1627" s="149"/>
      <c r="X1627" s="64" t="s">
        <v>6553</v>
      </c>
      <c r="Y1627" s="64" t="s">
        <v>4515</v>
      </c>
      <c r="Z1627" s="68"/>
    </row>
    <row r="1628" ht="15.0" customHeight="1">
      <c r="A1628" s="389">
        <v>46015.0</v>
      </c>
      <c r="B1628" s="390" t="s">
        <v>7024</v>
      </c>
      <c r="C1628" s="45" t="s">
        <v>2770</v>
      </c>
      <c r="D1628" s="140" t="str">
        <f>IFERROR(VLOOKUP(C1628,Stock,3,FALSE),"")</f>
        <v>Transport</v>
      </c>
      <c r="E1628" s="45">
        <v>1.0</v>
      </c>
      <c r="F1628" s="198">
        <v>100000.0</v>
      </c>
      <c r="G1628" s="142">
        <f t="shared" si="40"/>
        <v>100000</v>
      </c>
      <c r="H1628" s="142"/>
      <c r="I1628" s="143">
        <f t="shared" si="38"/>
        <v>100000</v>
      </c>
      <c r="J1628" s="144">
        <f t="shared" si="39"/>
        <v>100000</v>
      </c>
      <c r="K1628" s="145" t="s">
        <v>7026</v>
      </c>
      <c r="L1628" s="199" t="s">
        <v>7027</v>
      </c>
      <c r="M1628" s="17"/>
      <c r="N1628" s="64" t="s">
        <v>7028</v>
      </c>
      <c r="O1628" s="64" t="s">
        <v>2987</v>
      </c>
      <c r="P1628" s="147" t="s">
        <v>4672</v>
      </c>
      <c r="Q1628" s="149"/>
      <c r="R1628" s="141"/>
      <c r="S1628" s="141"/>
      <c r="T1628" s="141">
        <v>100000.0</v>
      </c>
      <c r="U1628" s="149"/>
      <c r="V1628" s="149"/>
      <c r="W1628" s="149"/>
      <c r="X1628" s="64" t="s">
        <v>6553</v>
      </c>
      <c r="Y1628" s="64" t="s">
        <v>4515</v>
      </c>
      <c r="Z1628" s="68"/>
    </row>
    <row r="1629" ht="15.0" customHeight="1">
      <c r="A1629" s="375">
        <v>46015.0</v>
      </c>
      <c r="B1629" s="376" t="s">
        <v>7029</v>
      </c>
      <c r="C1629" s="377" t="s">
        <v>3193</v>
      </c>
      <c r="D1629" s="378" t="str">
        <f>IFERROR(VLOOKUP(C1629,Stock,3,FALSE),"")</f>
        <v>Toyota Avanza / Xenia 11-15 2nd Gen</v>
      </c>
      <c r="E1629" s="377">
        <v>1.0</v>
      </c>
      <c r="F1629" s="379">
        <v>750000.0</v>
      </c>
      <c r="G1629" s="380">
        <f t="shared" si="40"/>
        <v>750000</v>
      </c>
      <c r="H1629" s="381">
        <v>131250.0</v>
      </c>
      <c r="I1629" s="381">
        <f t="shared" si="38"/>
        <v>618750</v>
      </c>
      <c r="J1629" s="382">
        <f t="shared" si="39"/>
        <v>618750</v>
      </c>
      <c r="K1629" s="383" t="s">
        <v>7030</v>
      </c>
      <c r="L1629" s="391" t="s">
        <v>7031</v>
      </c>
      <c r="M1629" s="384"/>
      <c r="N1629" s="385" t="s">
        <v>4270</v>
      </c>
      <c r="O1629" s="385" t="s">
        <v>2813</v>
      </c>
      <c r="P1629" s="386" t="s">
        <v>2752</v>
      </c>
      <c r="Q1629" s="387"/>
      <c r="R1629" s="387"/>
      <c r="S1629" s="387"/>
      <c r="T1629" s="387"/>
      <c r="U1629" s="388">
        <v>618750.0</v>
      </c>
      <c r="V1629" s="387"/>
      <c r="W1629" s="387"/>
      <c r="X1629" s="385" t="s">
        <v>6553</v>
      </c>
      <c r="Y1629" s="64" t="s">
        <v>4515</v>
      </c>
      <c r="Z1629" s="68"/>
    </row>
    <row r="1630" ht="15.0" customHeight="1">
      <c r="A1630" s="389">
        <v>46015.0</v>
      </c>
      <c r="B1630" s="390" t="s">
        <v>7032</v>
      </c>
      <c r="C1630" s="45" t="s">
        <v>2003</v>
      </c>
      <c r="D1630" s="140" t="str">
        <f>IFERROR(VLOOKUP(C1630,Stock,3,FALSE),"")</f>
        <v>Toyota Agya/Ayla 13-22 1st Gen</v>
      </c>
      <c r="E1630" s="45">
        <v>1.0</v>
      </c>
      <c r="F1630" s="198">
        <v>1000000.0</v>
      </c>
      <c r="G1630" s="142">
        <f t="shared" si="40"/>
        <v>1000000</v>
      </c>
      <c r="H1630" s="142"/>
      <c r="I1630" s="143">
        <f t="shared" si="38"/>
        <v>1000000</v>
      </c>
      <c r="J1630" s="144">
        <f t="shared" si="39"/>
        <v>1000000</v>
      </c>
      <c r="K1630" s="108" t="s">
        <v>7033</v>
      </c>
      <c r="L1630" s="199" t="s">
        <v>7034</v>
      </c>
      <c r="M1630" s="17"/>
      <c r="N1630" s="64" t="s">
        <v>7035</v>
      </c>
      <c r="O1630" s="64" t="s">
        <v>2813</v>
      </c>
      <c r="P1630" s="147" t="s">
        <v>4672</v>
      </c>
      <c r="Q1630" s="149"/>
      <c r="R1630" s="141"/>
      <c r="S1630" s="141"/>
      <c r="T1630" s="141">
        <v>1000000.0</v>
      </c>
      <c r="U1630" s="149"/>
      <c r="V1630" s="149"/>
      <c r="W1630" s="149"/>
      <c r="X1630" s="64" t="s">
        <v>6553</v>
      </c>
      <c r="Y1630" s="64" t="s">
        <v>4515</v>
      </c>
      <c r="Z1630" s="68"/>
    </row>
    <row r="1631" ht="15.0" customHeight="1">
      <c r="A1631" s="389">
        <v>46015.0</v>
      </c>
      <c r="B1631" s="390" t="s">
        <v>7036</v>
      </c>
      <c r="C1631" s="45" t="s">
        <v>2778</v>
      </c>
      <c r="D1631" s="140" t="str">
        <f>IFERROR(VLOOKUP(C1631,Stock,3,FALSE),"")</f>
        <v>Bongkar Pasang Kaca Mobil Depan</v>
      </c>
      <c r="E1631" s="45">
        <v>1.0</v>
      </c>
      <c r="F1631" s="198">
        <v>600000.0</v>
      </c>
      <c r="G1631" s="142">
        <f t="shared" si="40"/>
        <v>600000</v>
      </c>
      <c r="H1631" s="142"/>
      <c r="I1631" s="143">
        <f t="shared" si="38"/>
        <v>600000</v>
      </c>
      <c r="J1631" s="144">
        <f t="shared" si="39"/>
        <v>600000</v>
      </c>
      <c r="K1631" s="108" t="s">
        <v>7037</v>
      </c>
      <c r="L1631" s="199" t="s">
        <v>7038</v>
      </c>
      <c r="M1631" s="17"/>
      <c r="N1631" s="64" t="s">
        <v>7039</v>
      </c>
      <c r="O1631" s="64" t="s">
        <v>3536</v>
      </c>
      <c r="P1631" s="147" t="s">
        <v>4672</v>
      </c>
      <c r="Q1631" s="149"/>
      <c r="R1631" s="141"/>
      <c r="S1631" s="141"/>
      <c r="T1631" s="141">
        <v>50000.0</v>
      </c>
      <c r="U1631" s="149"/>
      <c r="V1631" s="149"/>
      <c r="W1631" s="149"/>
      <c r="X1631" s="64" t="s">
        <v>3810</v>
      </c>
      <c r="Y1631" s="64" t="s">
        <v>4515</v>
      </c>
      <c r="Z1631" s="68"/>
    </row>
    <row r="1632" ht="15.0" customHeight="1">
      <c r="A1632" s="389">
        <v>46015.0</v>
      </c>
      <c r="B1632" s="390" t="s">
        <v>7036</v>
      </c>
      <c r="C1632" s="45" t="s">
        <v>2782</v>
      </c>
      <c r="D1632" s="140" t="str">
        <f>IFERROR(VLOOKUP(C1632,Stock,3,FALSE),"")</f>
        <v>Bongkar Pasang Kaca Mobil Samping</v>
      </c>
      <c r="E1632" s="45">
        <v>4.0</v>
      </c>
      <c r="F1632" s="198">
        <v>350000.0</v>
      </c>
      <c r="G1632" s="142">
        <f t="shared" si="40"/>
        <v>1400000</v>
      </c>
      <c r="H1632" s="143">
        <v>180000.0</v>
      </c>
      <c r="I1632" s="143">
        <f t="shared" si="38"/>
        <v>1220000</v>
      </c>
      <c r="J1632" s="144">
        <f t="shared" si="39"/>
        <v>1220000</v>
      </c>
      <c r="K1632" s="108" t="s">
        <v>7037</v>
      </c>
      <c r="L1632" s="199" t="s">
        <v>7038</v>
      </c>
      <c r="M1632" s="17"/>
      <c r="N1632" s="64" t="s">
        <v>7039</v>
      </c>
      <c r="O1632" s="64" t="s">
        <v>3536</v>
      </c>
      <c r="P1632" s="147" t="s">
        <v>4672</v>
      </c>
      <c r="Q1632" s="149"/>
      <c r="R1632" s="141"/>
      <c r="S1632" s="141"/>
      <c r="T1632" s="141">
        <v>2500000.0</v>
      </c>
      <c r="U1632" s="149"/>
      <c r="V1632" s="149"/>
      <c r="W1632" s="149"/>
      <c r="X1632" s="64" t="s">
        <v>3810</v>
      </c>
      <c r="Y1632" s="64" t="s">
        <v>4515</v>
      </c>
      <c r="Z1632" s="68"/>
    </row>
    <row r="1633" ht="15.0" customHeight="1">
      <c r="A1633" s="389">
        <v>46015.0</v>
      </c>
      <c r="B1633" s="390" t="s">
        <v>7036</v>
      </c>
      <c r="C1633" s="45" t="s">
        <v>2770</v>
      </c>
      <c r="D1633" s="140" t="str">
        <f>IFERROR(VLOOKUP(C1633,Stock,3,FALSE),"")</f>
        <v>Transport</v>
      </c>
      <c r="E1633" s="45">
        <v>1.0</v>
      </c>
      <c r="F1633" s="198">
        <v>130000.0</v>
      </c>
      <c r="G1633" s="142">
        <f t="shared" si="40"/>
        <v>130000</v>
      </c>
      <c r="H1633" s="142"/>
      <c r="I1633" s="143">
        <f t="shared" si="38"/>
        <v>130000</v>
      </c>
      <c r="J1633" s="144">
        <f t="shared" si="39"/>
        <v>130000</v>
      </c>
      <c r="K1633" s="108" t="s">
        <v>7037</v>
      </c>
      <c r="L1633" s="199" t="s">
        <v>7038</v>
      </c>
      <c r="M1633" s="17"/>
      <c r="N1633" s="64" t="s">
        <v>7039</v>
      </c>
      <c r="O1633" s="64" t="s">
        <v>3536</v>
      </c>
      <c r="P1633" s="147" t="s">
        <v>4672</v>
      </c>
      <c r="Q1633" s="149"/>
      <c r="R1633" s="149"/>
      <c r="S1633" s="149"/>
      <c r="T1633" s="149"/>
      <c r="U1633" s="68"/>
      <c r="V1633" s="149"/>
      <c r="W1633" s="149"/>
      <c r="X1633" s="64" t="s">
        <v>3810</v>
      </c>
      <c r="Y1633" s="64" t="s">
        <v>4515</v>
      </c>
      <c r="Z1633" s="68"/>
    </row>
    <row r="1634" ht="15.0" customHeight="1">
      <c r="A1634" s="389">
        <v>46015.0</v>
      </c>
      <c r="B1634" s="390" t="s">
        <v>7036</v>
      </c>
      <c r="C1634" s="45" t="s">
        <v>2885</v>
      </c>
      <c r="D1634" s="140" t="str">
        <f>IFERROR(VLOOKUP(C1634,Stock,3,FALSE),"")</f>
        <v>Bongkar Pasang Kaca Mobil Belakang</v>
      </c>
      <c r="E1634" s="64">
        <v>2.0</v>
      </c>
      <c r="F1634" s="198">
        <v>300000.0</v>
      </c>
      <c r="G1634" s="142">
        <f t="shared" si="40"/>
        <v>600000</v>
      </c>
      <c r="H1634" s="142"/>
      <c r="I1634" s="143">
        <f t="shared" si="38"/>
        <v>600000</v>
      </c>
      <c r="J1634" s="144">
        <f t="shared" si="39"/>
        <v>600000</v>
      </c>
      <c r="K1634" s="108" t="s">
        <v>7037</v>
      </c>
      <c r="L1634" s="199" t="s">
        <v>7038</v>
      </c>
      <c r="M1634" s="17"/>
      <c r="N1634" s="64" t="s">
        <v>7039</v>
      </c>
      <c r="O1634" s="64" t="s">
        <v>3536</v>
      </c>
      <c r="P1634" s="147" t="s">
        <v>4672</v>
      </c>
      <c r="Q1634" s="68"/>
      <c r="R1634" s="68"/>
      <c r="S1634" s="68"/>
      <c r="T1634" s="68"/>
      <c r="U1634" s="68"/>
      <c r="V1634" s="68"/>
      <c r="W1634" s="68"/>
      <c r="X1634" s="64" t="s">
        <v>3810</v>
      </c>
      <c r="Y1634" s="64" t="s">
        <v>4515</v>
      </c>
      <c r="Z1634" s="68"/>
    </row>
    <row r="1635" ht="15.0" customHeight="1">
      <c r="A1635" s="389">
        <v>46015.0</v>
      </c>
      <c r="B1635" s="390" t="s">
        <v>7040</v>
      </c>
      <c r="C1635" s="45" t="s">
        <v>4342</v>
      </c>
      <c r="D1635" s="140" t="str">
        <f>IFERROR(VLOOKUP(C1635,Stock,3,FALSE),"")</f>
        <v>Toyota Voxy 17- (Hitam)</v>
      </c>
      <c r="E1635" s="45">
        <v>1.0</v>
      </c>
      <c r="F1635" s="198">
        <v>3017000.0</v>
      </c>
      <c r="G1635" s="142">
        <f t="shared" si="40"/>
        <v>3017000</v>
      </c>
      <c r="H1635" s="142"/>
      <c r="I1635" s="143">
        <f t="shared" si="38"/>
        <v>3017000</v>
      </c>
      <c r="J1635" s="144">
        <f t="shared" si="39"/>
        <v>3017000</v>
      </c>
      <c r="K1635" s="108" t="s">
        <v>7041</v>
      </c>
      <c r="L1635" s="199" t="s">
        <v>7042</v>
      </c>
      <c r="M1635" s="17"/>
      <c r="N1635" s="64" t="s">
        <v>7043</v>
      </c>
      <c r="O1635" s="64" t="s">
        <v>7044</v>
      </c>
      <c r="P1635" s="147" t="s">
        <v>4672</v>
      </c>
      <c r="Q1635" s="149"/>
      <c r="R1635" s="141"/>
      <c r="S1635" s="141"/>
      <c r="T1635" s="141">
        <v>50000.0</v>
      </c>
      <c r="U1635" s="149"/>
      <c r="V1635" s="149"/>
      <c r="W1635" s="149"/>
      <c r="X1635" s="64" t="s">
        <v>3810</v>
      </c>
      <c r="Y1635" s="64" t="s">
        <v>4515</v>
      </c>
      <c r="Z1635" s="68"/>
    </row>
    <row r="1636" ht="15.0" customHeight="1">
      <c r="A1636" s="389">
        <v>46015.0</v>
      </c>
      <c r="B1636" s="390" t="s">
        <v>7040</v>
      </c>
      <c r="C1636" s="45" t="s">
        <v>2770</v>
      </c>
      <c r="D1636" s="140" t="str">
        <f>IFERROR(VLOOKUP(C1636,Stock,3,FALSE),"")</f>
        <v>Transport</v>
      </c>
      <c r="E1636" s="45">
        <v>1.0</v>
      </c>
      <c r="F1636" s="198">
        <v>190000.0</v>
      </c>
      <c r="G1636" s="142">
        <f t="shared" si="40"/>
        <v>190000</v>
      </c>
      <c r="H1636" s="142"/>
      <c r="I1636" s="143">
        <f t="shared" si="38"/>
        <v>190000</v>
      </c>
      <c r="J1636" s="144">
        <f t="shared" si="39"/>
        <v>190000</v>
      </c>
      <c r="K1636" s="108" t="s">
        <v>7041</v>
      </c>
      <c r="L1636" s="199" t="s">
        <v>7042</v>
      </c>
      <c r="M1636" s="17"/>
      <c r="N1636" s="64" t="s">
        <v>7043</v>
      </c>
      <c r="O1636" s="64" t="s">
        <v>7044</v>
      </c>
      <c r="P1636" s="147" t="s">
        <v>4672</v>
      </c>
      <c r="Q1636" s="149"/>
      <c r="R1636" s="141"/>
      <c r="S1636" s="141"/>
      <c r="T1636" s="141">
        <v>3157000.0</v>
      </c>
      <c r="U1636" s="149"/>
      <c r="V1636" s="149"/>
      <c r="W1636" s="149"/>
      <c r="X1636" s="64" t="s">
        <v>3810</v>
      </c>
      <c r="Y1636" s="64" t="s">
        <v>4515</v>
      </c>
      <c r="Z1636" s="68"/>
    </row>
    <row r="1637" ht="15.0" customHeight="1">
      <c r="A1637" s="389">
        <v>46017.0</v>
      </c>
      <c r="B1637" s="390" t="s">
        <v>7045</v>
      </c>
      <c r="C1637" s="45" t="s">
        <v>6654</v>
      </c>
      <c r="D1637" s="140" t="str">
        <f>IFERROR(VLOOKUP(C1637,Stock,3,FALSE),"")</f>
        <v>Honda CR-V 12-16  4th Gen (Honda)</v>
      </c>
      <c r="E1637" s="45">
        <v>1.0</v>
      </c>
      <c r="F1637" s="198"/>
      <c r="G1637" s="142">
        <f t="shared" si="40"/>
        <v>0</v>
      </c>
      <c r="H1637" s="142"/>
      <c r="I1637" s="143">
        <f t="shared" si="38"/>
        <v>0</v>
      </c>
      <c r="J1637" s="144">
        <f t="shared" si="39"/>
        <v>0</v>
      </c>
      <c r="K1637" s="108" t="s">
        <v>4509</v>
      </c>
      <c r="L1637" s="45"/>
      <c r="M1637" s="17"/>
      <c r="N1637" s="68"/>
      <c r="O1637" s="64" t="s">
        <v>4175</v>
      </c>
      <c r="P1637" s="147"/>
      <c r="Q1637" s="149"/>
      <c r="R1637" s="149"/>
      <c r="S1637" s="149"/>
      <c r="T1637" s="149"/>
      <c r="U1637" s="149"/>
      <c r="V1637" s="149"/>
      <c r="W1637" s="149"/>
      <c r="X1637" s="64" t="s">
        <v>3810</v>
      </c>
      <c r="Y1637" s="68"/>
      <c r="Z1637" s="68"/>
    </row>
    <row r="1638" ht="15.0" customHeight="1">
      <c r="A1638" s="389">
        <v>46017.0</v>
      </c>
      <c r="B1638" s="201" t="s">
        <v>7046</v>
      </c>
      <c r="C1638" s="45" t="s">
        <v>7047</v>
      </c>
      <c r="D1638" s="140" t="str">
        <f>IFERROR(VLOOKUP(C1638,Stock,3,FALSE),"")</f>
        <v>Ford Focus 04-11 Hatchback/Sedan</v>
      </c>
      <c r="E1638" s="45">
        <v>1.0</v>
      </c>
      <c r="F1638" s="198">
        <v>2317000.0</v>
      </c>
      <c r="G1638" s="142">
        <f t="shared" si="40"/>
        <v>2317000</v>
      </c>
      <c r="H1638" s="142"/>
      <c r="I1638" s="143">
        <f t="shared" si="38"/>
        <v>2317000</v>
      </c>
      <c r="J1638" s="144">
        <f t="shared" si="39"/>
        <v>2317000</v>
      </c>
      <c r="K1638" s="108" t="s">
        <v>7048</v>
      </c>
      <c r="L1638" s="199" t="s">
        <v>7049</v>
      </c>
      <c r="M1638" s="17"/>
      <c r="N1638" s="64" t="s">
        <v>7050</v>
      </c>
      <c r="O1638" s="64" t="s">
        <v>2813</v>
      </c>
      <c r="P1638" s="147" t="s">
        <v>4672</v>
      </c>
      <c r="Q1638" s="149"/>
      <c r="R1638" s="141"/>
      <c r="S1638" s="141"/>
      <c r="T1638" s="141">
        <v>2317000.0</v>
      </c>
      <c r="U1638" s="149"/>
      <c r="V1638" s="149"/>
      <c r="W1638" s="149"/>
      <c r="X1638" s="64" t="s">
        <v>3810</v>
      </c>
      <c r="Y1638" s="68"/>
      <c r="Z1638" s="68"/>
    </row>
    <row r="1639" ht="15.0" customHeight="1">
      <c r="A1639" s="389">
        <v>46017.0</v>
      </c>
      <c r="B1639" s="201" t="s">
        <v>7051</v>
      </c>
      <c r="C1639" s="45" t="s">
        <v>7052</v>
      </c>
      <c r="D1639" s="286" t="str">
        <f>IFERROR(VLOOKUP(C1639,Stock,3,FALSE),"")</f>
        <v>Nissan Livina  07-18 L10/L11</v>
      </c>
      <c r="E1639" s="45">
        <v>1.0</v>
      </c>
      <c r="F1639" s="198">
        <v>665000.0</v>
      </c>
      <c r="G1639" s="142">
        <f t="shared" si="40"/>
        <v>665000</v>
      </c>
      <c r="H1639" s="142"/>
      <c r="I1639" s="143">
        <f t="shared" si="38"/>
        <v>665000</v>
      </c>
      <c r="J1639" s="144">
        <f t="shared" si="39"/>
        <v>665000</v>
      </c>
      <c r="K1639" s="108" t="s">
        <v>7053</v>
      </c>
      <c r="L1639" s="199" t="s">
        <v>7054</v>
      </c>
      <c r="M1639" s="17"/>
      <c r="N1639" s="64" t="s">
        <v>7055</v>
      </c>
      <c r="O1639" s="64" t="s">
        <v>7056</v>
      </c>
      <c r="P1639" s="147" t="s">
        <v>4672</v>
      </c>
      <c r="Q1639" s="149"/>
      <c r="R1639" s="141"/>
      <c r="S1639" s="141"/>
      <c r="T1639" s="141">
        <v>50000.0</v>
      </c>
      <c r="U1639" s="149"/>
      <c r="V1639" s="149"/>
      <c r="W1639" s="149"/>
      <c r="X1639" s="64" t="s">
        <v>6553</v>
      </c>
      <c r="Y1639" s="68"/>
      <c r="Z1639" s="68"/>
    </row>
    <row r="1640" ht="15.0" customHeight="1">
      <c r="A1640" s="389">
        <v>46017.0</v>
      </c>
      <c r="B1640" s="201" t="s">
        <v>7051</v>
      </c>
      <c r="C1640" s="45" t="s">
        <v>2770</v>
      </c>
      <c r="D1640" s="140" t="str">
        <f>IFERROR(VLOOKUP(C1640,Stock,3,FALSE),"")</f>
        <v>Transport</v>
      </c>
      <c r="E1640" s="45">
        <v>1.0</v>
      </c>
      <c r="F1640" s="198">
        <v>150000.0</v>
      </c>
      <c r="G1640" s="142">
        <f t="shared" si="40"/>
        <v>150000</v>
      </c>
      <c r="H1640" s="142"/>
      <c r="I1640" s="143">
        <f t="shared" si="38"/>
        <v>150000</v>
      </c>
      <c r="J1640" s="144">
        <f t="shared" si="39"/>
        <v>150000</v>
      </c>
      <c r="K1640" s="108" t="s">
        <v>7053</v>
      </c>
      <c r="L1640" s="199" t="s">
        <v>7054</v>
      </c>
      <c r="M1640" s="17"/>
      <c r="N1640" s="64" t="s">
        <v>7055</v>
      </c>
      <c r="O1640" s="64" t="s">
        <v>7056</v>
      </c>
      <c r="P1640" s="147" t="s">
        <v>4672</v>
      </c>
      <c r="Q1640" s="149"/>
      <c r="R1640" s="141"/>
      <c r="S1640" s="141"/>
      <c r="T1640" s="141">
        <v>765000.0</v>
      </c>
      <c r="U1640" s="149"/>
      <c r="V1640" s="149"/>
      <c r="W1640" s="149"/>
      <c r="X1640" s="64" t="s">
        <v>6553</v>
      </c>
      <c r="Y1640" s="68"/>
      <c r="Z1640" s="68"/>
    </row>
    <row r="1641" ht="15.0" customHeight="1">
      <c r="A1641" s="389">
        <v>46017.0</v>
      </c>
      <c r="B1641" s="201" t="s">
        <v>7057</v>
      </c>
      <c r="C1641" s="64" t="s">
        <v>3475</v>
      </c>
      <c r="D1641" s="140" t="str">
        <f>IFERROR(VLOOKUP(C1641,Stock,3,FALSE),"")</f>
        <v>Toyota Avanza / Xenia 03-11 1st Gen</v>
      </c>
      <c r="E1641" s="45">
        <v>1.0</v>
      </c>
      <c r="F1641" s="198">
        <v>1000000.0</v>
      </c>
      <c r="G1641" s="142">
        <f t="shared" si="40"/>
        <v>1000000</v>
      </c>
      <c r="H1641" s="142"/>
      <c r="I1641" s="143">
        <f t="shared" si="38"/>
        <v>1000000</v>
      </c>
      <c r="J1641" s="144">
        <f t="shared" si="39"/>
        <v>1000000</v>
      </c>
      <c r="K1641" s="108" t="s">
        <v>6845</v>
      </c>
      <c r="L1641" s="199" t="s">
        <v>7058</v>
      </c>
      <c r="M1641" s="17"/>
      <c r="N1641" s="64" t="s">
        <v>7059</v>
      </c>
      <c r="O1641" s="64" t="s">
        <v>2813</v>
      </c>
      <c r="P1641" s="147" t="s">
        <v>4672</v>
      </c>
      <c r="Q1641" s="149"/>
      <c r="R1641" s="141"/>
      <c r="S1641" s="141"/>
      <c r="T1641" s="141">
        <v>1300000.0</v>
      </c>
      <c r="U1641" s="149"/>
      <c r="V1641" s="149"/>
      <c r="W1641" s="149"/>
      <c r="X1641" s="64" t="s">
        <v>6553</v>
      </c>
      <c r="Y1641" s="68"/>
      <c r="Z1641" s="68"/>
    </row>
    <row r="1642" ht="15.0" customHeight="1">
      <c r="A1642" s="389">
        <v>46017.0</v>
      </c>
      <c r="B1642" s="201" t="s">
        <v>7057</v>
      </c>
      <c r="C1642" s="45" t="s">
        <v>5254</v>
      </c>
      <c r="D1642" s="140" t="str">
        <f>IFERROR(VLOOKUP(C1642,Stock,3,FALSE),"")</f>
        <v>Automotive Film Standard - Black 40%				</v>
      </c>
      <c r="E1642" s="45">
        <v>1.0</v>
      </c>
      <c r="F1642" s="198">
        <v>300000.0</v>
      </c>
      <c r="G1642" s="142">
        <f t="shared" si="40"/>
        <v>300000</v>
      </c>
      <c r="H1642" s="142"/>
      <c r="I1642" s="143">
        <f t="shared" si="38"/>
        <v>300000</v>
      </c>
      <c r="J1642" s="144">
        <f t="shared" si="39"/>
        <v>300000</v>
      </c>
      <c r="K1642" s="108" t="s">
        <v>6845</v>
      </c>
      <c r="L1642" s="199" t="s">
        <v>7058</v>
      </c>
      <c r="M1642" s="17"/>
      <c r="N1642" s="64" t="s">
        <v>7059</v>
      </c>
      <c r="O1642" s="64" t="s">
        <v>2813</v>
      </c>
      <c r="P1642" s="147" t="s">
        <v>4672</v>
      </c>
      <c r="Q1642" s="149"/>
      <c r="R1642" s="149"/>
      <c r="S1642" s="149"/>
      <c r="T1642" s="149"/>
      <c r="U1642" s="149"/>
      <c r="V1642" s="149"/>
      <c r="W1642" s="149"/>
      <c r="X1642" s="64" t="s">
        <v>6553</v>
      </c>
      <c r="Y1642" s="68"/>
      <c r="Z1642" s="68"/>
    </row>
    <row r="1643" ht="15.0" customHeight="1">
      <c r="A1643" s="389">
        <v>46017.0</v>
      </c>
      <c r="B1643" s="201" t="s">
        <v>7060</v>
      </c>
      <c r="C1643" s="45" t="s">
        <v>2778</v>
      </c>
      <c r="D1643" s="140" t="str">
        <f>IFERROR(VLOOKUP(C1643,Stock,3,FALSE),"")</f>
        <v>Bongkar Pasang Kaca Mobil Depan</v>
      </c>
      <c r="E1643" s="45">
        <v>1.0</v>
      </c>
      <c r="F1643" s="198">
        <v>600000.0</v>
      </c>
      <c r="G1643" s="142">
        <f t="shared" si="40"/>
        <v>600000</v>
      </c>
      <c r="H1643" s="142"/>
      <c r="I1643" s="143">
        <f t="shared" si="38"/>
        <v>600000</v>
      </c>
      <c r="J1643" s="144">
        <f t="shared" si="39"/>
        <v>600000</v>
      </c>
      <c r="K1643" s="108" t="s">
        <v>7061</v>
      </c>
      <c r="L1643" s="199" t="s">
        <v>7062</v>
      </c>
      <c r="M1643" s="17"/>
      <c r="N1643" s="64" t="s">
        <v>7063</v>
      </c>
      <c r="O1643" s="64" t="s">
        <v>2813</v>
      </c>
      <c r="P1643" s="147" t="s">
        <v>4672</v>
      </c>
      <c r="Q1643" s="149"/>
      <c r="R1643" s="141"/>
      <c r="S1643" s="141"/>
      <c r="T1643" s="141">
        <v>150000.0</v>
      </c>
      <c r="U1643" s="149"/>
      <c r="V1643" s="149"/>
      <c r="W1643" s="149"/>
      <c r="X1643" s="64" t="s">
        <v>7064</v>
      </c>
      <c r="Y1643" s="68"/>
      <c r="Z1643" s="68"/>
    </row>
    <row r="1644" ht="15.0" customHeight="1">
      <c r="A1644" s="389">
        <v>46017.0</v>
      </c>
      <c r="B1644" s="201" t="s">
        <v>7060</v>
      </c>
      <c r="C1644" s="45" t="s">
        <v>2962</v>
      </c>
      <c r="D1644" s="140" t="str">
        <f>IFERROR(VLOOKUP(C1644,Stock,3,FALSE),"")</f>
        <v>Lembur</v>
      </c>
      <c r="E1644" s="45">
        <v>1.0</v>
      </c>
      <c r="F1644" s="198">
        <v>150000.0</v>
      </c>
      <c r="G1644" s="142">
        <f t="shared" si="40"/>
        <v>150000</v>
      </c>
      <c r="H1644" s="142"/>
      <c r="I1644" s="143">
        <f t="shared" si="38"/>
        <v>150000</v>
      </c>
      <c r="J1644" s="144">
        <f t="shared" si="39"/>
        <v>150000</v>
      </c>
      <c r="K1644" s="108" t="s">
        <v>7061</v>
      </c>
      <c r="L1644" s="199" t="s">
        <v>7062</v>
      </c>
      <c r="M1644" s="17"/>
      <c r="N1644" s="64" t="s">
        <v>7063</v>
      </c>
      <c r="O1644" s="64" t="s">
        <v>2813</v>
      </c>
      <c r="P1644" s="147" t="s">
        <v>4672</v>
      </c>
      <c r="Q1644" s="149"/>
      <c r="R1644" s="141"/>
      <c r="S1644" s="141"/>
      <c r="T1644" s="141">
        <v>600000.0</v>
      </c>
      <c r="U1644" s="149"/>
      <c r="V1644" s="149"/>
      <c r="W1644" s="149"/>
      <c r="X1644" s="64" t="s">
        <v>3810</v>
      </c>
      <c r="Y1644" s="68"/>
      <c r="Z1644" s="68"/>
    </row>
    <row r="1645" ht="15.0" customHeight="1">
      <c r="A1645" s="389">
        <v>46017.0</v>
      </c>
      <c r="B1645" s="201" t="s">
        <v>7065</v>
      </c>
      <c r="C1645" s="45" t="s">
        <v>3142</v>
      </c>
      <c r="D1645" s="140" t="str">
        <f>IFERROR(VLOOKUP(C1645,Stock,3,FALSE),"")</f>
        <v>Mitsubishi Xpander 17-</v>
      </c>
      <c r="E1645" s="45">
        <v>1.0</v>
      </c>
      <c r="F1645" s="198">
        <v>1664000.0</v>
      </c>
      <c r="G1645" s="142">
        <f t="shared" si="40"/>
        <v>1664000</v>
      </c>
      <c r="H1645" s="142"/>
      <c r="I1645" s="143">
        <f t="shared" si="38"/>
        <v>1664000</v>
      </c>
      <c r="J1645" s="144">
        <f t="shared" si="39"/>
        <v>1664000</v>
      </c>
      <c r="K1645" s="108" t="s">
        <v>7066</v>
      </c>
      <c r="L1645" s="199" t="s">
        <v>7067</v>
      </c>
      <c r="M1645" s="17"/>
      <c r="N1645" s="64" t="s">
        <v>7068</v>
      </c>
      <c r="O1645" s="64" t="s">
        <v>2987</v>
      </c>
      <c r="P1645" s="147" t="s">
        <v>4672</v>
      </c>
      <c r="Q1645" s="149"/>
      <c r="R1645" s="141"/>
      <c r="S1645" s="141"/>
      <c r="T1645" s="141">
        <v>50000.0</v>
      </c>
      <c r="U1645" s="149"/>
      <c r="V1645" s="149"/>
      <c r="W1645" s="149"/>
      <c r="X1645" s="64" t="s">
        <v>3810</v>
      </c>
      <c r="Y1645" s="68"/>
      <c r="Z1645" s="68"/>
    </row>
    <row r="1646" ht="15.0" customHeight="1">
      <c r="A1646" s="389">
        <v>46017.0</v>
      </c>
      <c r="B1646" s="201" t="s">
        <v>7065</v>
      </c>
      <c r="C1646" s="45" t="s">
        <v>2770</v>
      </c>
      <c r="D1646" s="140" t="str">
        <f>IFERROR(VLOOKUP(C1646,Stock,3,FALSE),"")</f>
        <v>Transport</v>
      </c>
      <c r="E1646" s="45">
        <v>1.0</v>
      </c>
      <c r="F1646" s="198">
        <v>150000.0</v>
      </c>
      <c r="G1646" s="142">
        <f t="shared" si="40"/>
        <v>150000</v>
      </c>
      <c r="H1646" s="142"/>
      <c r="I1646" s="143">
        <f t="shared" si="38"/>
        <v>150000</v>
      </c>
      <c r="J1646" s="144">
        <f t="shared" si="39"/>
        <v>150000</v>
      </c>
      <c r="K1646" s="108" t="s">
        <v>7066</v>
      </c>
      <c r="L1646" s="199" t="s">
        <v>7067</v>
      </c>
      <c r="M1646" s="17"/>
      <c r="N1646" s="64" t="s">
        <v>7068</v>
      </c>
      <c r="O1646" s="64" t="s">
        <v>2987</v>
      </c>
      <c r="P1646" s="147" t="s">
        <v>4672</v>
      </c>
      <c r="Q1646" s="149"/>
      <c r="R1646" s="141"/>
      <c r="S1646" s="141"/>
      <c r="T1646" s="141">
        <v>1764000.0</v>
      </c>
      <c r="U1646" s="149"/>
      <c r="V1646" s="149"/>
      <c r="W1646" s="149"/>
      <c r="X1646" s="64" t="s">
        <v>3810</v>
      </c>
      <c r="Y1646" s="68"/>
      <c r="Z1646" s="68"/>
    </row>
    <row r="1647" ht="15.0" customHeight="1">
      <c r="A1647" s="389">
        <v>46017.0</v>
      </c>
      <c r="B1647" s="201" t="s">
        <v>7069</v>
      </c>
      <c r="C1647" s="45" t="s">
        <v>7070</v>
      </c>
      <c r="D1647" s="140" t="str">
        <f>IFERROR(VLOOKUP(C1647,Stock,3,FALSE),"")</f>
        <v>Hyundai Tucson 10-15 2nd Gen</v>
      </c>
      <c r="E1647" s="45">
        <v>1.0</v>
      </c>
      <c r="F1647" s="198">
        <v>2388000.0</v>
      </c>
      <c r="G1647" s="142">
        <f t="shared" si="40"/>
        <v>2388000</v>
      </c>
      <c r="H1647" s="142"/>
      <c r="I1647" s="143">
        <f t="shared" si="38"/>
        <v>2388000</v>
      </c>
      <c r="J1647" s="144">
        <f t="shared" si="39"/>
        <v>2388000</v>
      </c>
      <c r="K1647" s="108" t="s">
        <v>7071</v>
      </c>
      <c r="L1647" s="199" t="s">
        <v>7072</v>
      </c>
      <c r="M1647" s="17"/>
      <c r="N1647" s="64" t="s">
        <v>7073</v>
      </c>
      <c r="O1647" s="64" t="s">
        <v>2813</v>
      </c>
      <c r="P1647" s="147" t="s">
        <v>4672</v>
      </c>
      <c r="Q1647" s="149"/>
      <c r="R1647" s="141"/>
      <c r="S1647" s="141"/>
      <c r="T1647" s="141">
        <v>2388000.0</v>
      </c>
      <c r="U1647" s="149"/>
      <c r="V1647" s="149"/>
      <c r="W1647" s="149"/>
      <c r="X1647" s="64" t="s">
        <v>3810</v>
      </c>
      <c r="Y1647" s="68"/>
      <c r="Z1647" s="68"/>
    </row>
    <row r="1648" ht="15.0" customHeight="1">
      <c r="A1648" s="389">
        <v>46017.0</v>
      </c>
      <c r="B1648" s="201" t="s">
        <v>7074</v>
      </c>
      <c r="C1648" s="45" t="s">
        <v>7075</v>
      </c>
      <c r="D1648" s="140" t="str">
        <f>IFERROR(VLOOKUP(C1648,Stock,3,FALSE),"")</f>
        <v>Honda Mobilio 11-</v>
      </c>
      <c r="E1648" s="45">
        <v>1.0</v>
      </c>
      <c r="F1648" s="198">
        <v>750000.0</v>
      </c>
      <c r="G1648" s="142">
        <f t="shared" si="40"/>
        <v>750000</v>
      </c>
      <c r="H1648" s="142"/>
      <c r="I1648" s="143">
        <f t="shared" si="38"/>
        <v>750000</v>
      </c>
      <c r="J1648" s="144">
        <f t="shared" si="39"/>
        <v>750000</v>
      </c>
      <c r="K1648" s="108" t="s">
        <v>7076</v>
      </c>
      <c r="L1648" s="199" t="s">
        <v>7077</v>
      </c>
      <c r="M1648" s="17"/>
      <c r="N1648" s="64" t="s">
        <v>7078</v>
      </c>
      <c r="O1648" s="64" t="s">
        <v>2813</v>
      </c>
      <c r="P1648" s="147" t="s">
        <v>4672</v>
      </c>
      <c r="Q1648" s="141">
        <v>750000.0</v>
      </c>
      <c r="R1648" s="141"/>
      <c r="S1648" s="141"/>
      <c r="T1648" s="141"/>
      <c r="U1648" s="149"/>
      <c r="V1648" s="149"/>
      <c r="W1648" s="149"/>
      <c r="X1648" s="64" t="s">
        <v>3810</v>
      </c>
      <c r="Y1648" s="68"/>
      <c r="Z1648" s="68"/>
    </row>
    <row r="1649" ht="15.0" customHeight="1">
      <c r="A1649" s="389">
        <v>46017.0</v>
      </c>
      <c r="B1649" s="201" t="s">
        <v>7079</v>
      </c>
      <c r="C1649" s="45" t="s">
        <v>7080</v>
      </c>
      <c r="D1649" s="140" t="str">
        <f>IFERROR(VLOOKUP(C1649,Stock,3,FALSE),"")</f>
        <v>Hyundai i10 13-19</v>
      </c>
      <c r="E1649" s="45">
        <v>1.0</v>
      </c>
      <c r="F1649" s="202"/>
      <c r="G1649" s="142">
        <f t="shared" si="40"/>
        <v>0</v>
      </c>
      <c r="H1649" s="142"/>
      <c r="I1649" s="143">
        <f t="shared" si="38"/>
        <v>0</v>
      </c>
      <c r="J1649" s="144">
        <f t="shared" si="39"/>
        <v>0</v>
      </c>
      <c r="K1649" s="108" t="s">
        <v>4509</v>
      </c>
      <c r="L1649" s="17"/>
      <c r="M1649" s="17"/>
      <c r="N1649" s="68"/>
      <c r="O1649" s="64" t="s">
        <v>4175</v>
      </c>
      <c r="P1649" s="147"/>
      <c r="Q1649" s="149"/>
      <c r="R1649" s="149"/>
      <c r="S1649" s="149"/>
      <c r="T1649" s="149"/>
      <c r="U1649" s="149"/>
      <c r="V1649" s="149"/>
      <c r="W1649" s="149"/>
      <c r="X1649" s="64" t="s">
        <v>3810</v>
      </c>
      <c r="Y1649" s="68"/>
      <c r="Z1649" s="68"/>
    </row>
    <row r="1650" ht="15.0" customHeight="1">
      <c r="A1650" s="389">
        <v>46018.0</v>
      </c>
      <c r="B1650" s="201" t="s">
        <v>7081</v>
      </c>
      <c r="C1650" s="45" t="s">
        <v>3935</v>
      </c>
      <c r="D1650" s="140" t="str">
        <f>IFERROR(VLOOKUP(C1650,Stock,3,FALSE),"")</f>
        <v>Hyundai Creta 22- </v>
      </c>
      <c r="E1650" s="45">
        <v>1.0</v>
      </c>
      <c r="F1650" s="198">
        <v>2250000.0</v>
      </c>
      <c r="G1650" s="142">
        <f t="shared" si="40"/>
        <v>2250000</v>
      </c>
      <c r="H1650" s="142"/>
      <c r="I1650" s="143">
        <f t="shared" si="38"/>
        <v>2250000</v>
      </c>
      <c r="J1650" s="144">
        <f t="shared" si="39"/>
        <v>2250000</v>
      </c>
      <c r="K1650" s="108" t="s">
        <v>7082</v>
      </c>
      <c r="L1650" s="199" t="s">
        <v>7083</v>
      </c>
      <c r="M1650" s="17"/>
      <c r="N1650" s="64" t="s">
        <v>7084</v>
      </c>
      <c r="O1650" s="64" t="s">
        <v>7085</v>
      </c>
      <c r="P1650" s="147" t="s">
        <v>4672</v>
      </c>
      <c r="Q1650" s="149"/>
      <c r="R1650" s="141"/>
      <c r="S1650" s="141"/>
      <c r="T1650" s="141">
        <v>50000.0</v>
      </c>
      <c r="U1650" s="149"/>
      <c r="V1650" s="149"/>
      <c r="W1650" s="149"/>
      <c r="X1650" s="64" t="s">
        <v>3810</v>
      </c>
      <c r="Y1650" s="68"/>
      <c r="Z1650" s="68"/>
    </row>
    <row r="1651" ht="15.0" customHeight="1">
      <c r="A1651" s="389">
        <v>46018.0</v>
      </c>
      <c r="B1651" s="201" t="s">
        <v>7081</v>
      </c>
      <c r="C1651" s="45" t="s">
        <v>2770</v>
      </c>
      <c r="D1651" s="140" t="str">
        <f>IFERROR(VLOOKUP(C1651,Stock,3,FALSE),"")</f>
        <v>Transport</v>
      </c>
      <c r="E1651" s="45">
        <v>1.0</v>
      </c>
      <c r="F1651" s="198">
        <v>200000.0</v>
      </c>
      <c r="G1651" s="142">
        <f t="shared" si="40"/>
        <v>200000</v>
      </c>
      <c r="H1651" s="142"/>
      <c r="I1651" s="143">
        <f t="shared" si="38"/>
        <v>200000</v>
      </c>
      <c r="J1651" s="144">
        <f t="shared" si="39"/>
        <v>200000</v>
      </c>
      <c r="K1651" s="108" t="s">
        <v>7082</v>
      </c>
      <c r="L1651" s="199" t="s">
        <v>7083</v>
      </c>
      <c r="M1651" s="17"/>
      <c r="N1651" s="64" t="s">
        <v>7084</v>
      </c>
      <c r="O1651" s="64" t="s">
        <v>7085</v>
      </c>
      <c r="P1651" s="147" t="s">
        <v>4672</v>
      </c>
      <c r="Q1651" s="149"/>
      <c r="R1651" s="141"/>
      <c r="S1651" s="141"/>
      <c r="T1651" s="141">
        <v>2600000.0</v>
      </c>
      <c r="U1651" s="149"/>
      <c r="V1651" s="149"/>
      <c r="W1651" s="149"/>
      <c r="X1651" s="64" t="s">
        <v>3810</v>
      </c>
      <c r="Y1651" s="68"/>
      <c r="Z1651" s="68"/>
    </row>
    <row r="1652" ht="15.0" customHeight="1">
      <c r="A1652" s="389">
        <v>46018.0</v>
      </c>
      <c r="B1652" s="201" t="s">
        <v>7081</v>
      </c>
      <c r="C1652" s="45" t="s">
        <v>4979</v>
      </c>
      <c r="D1652" s="140" t="str">
        <f>IFERROR(VLOOKUP(C1652,Stock,3,FALSE),"")</f>
        <v>255 Ultra + Actv-100 Application</v>
      </c>
      <c r="E1652" s="45">
        <v>1.0</v>
      </c>
      <c r="F1652" s="198">
        <v>200000.0</v>
      </c>
      <c r="G1652" s="142">
        <f t="shared" si="40"/>
        <v>200000</v>
      </c>
      <c r="H1652" s="142"/>
      <c r="I1652" s="143">
        <f t="shared" si="38"/>
        <v>200000</v>
      </c>
      <c r="J1652" s="144">
        <f t="shared" si="39"/>
        <v>200000</v>
      </c>
      <c r="K1652" s="108" t="s">
        <v>7082</v>
      </c>
      <c r="L1652" s="199" t="s">
        <v>7083</v>
      </c>
      <c r="M1652" s="17"/>
      <c r="N1652" s="64" t="s">
        <v>7084</v>
      </c>
      <c r="O1652" s="64" t="s">
        <v>7085</v>
      </c>
      <c r="P1652" s="147" t="s">
        <v>4672</v>
      </c>
      <c r="Q1652" s="149"/>
      <c r="R1652" s="149"/>
      <c r="S1652" s="149"/>
      <c r="T1652" s="149"/>
      <c r="U1652" s="149"/>
      <c r="V1652" s="149"/>
      <c r="W1652" s="149"/>
      <c r="X1652" s="64" t="s">
        <v>3810</v>
      </c>
      <c r="Y1652" s="68"/>
      <c r="Z1652" s="68"/>
    </row>
    <row r="1653" ht="15.0" customHeight="1">
      <c r="A1653" s="389">
        <v>46018.0</v>
      </c>
      <c r="B1653" s="201" t="s">
        <v>7086</v>
      </c>
      <c r="C1653" s="45" t="s">
        <v>2003</v>
      </c>
      <c r="D1653" s="140" t="str">
        <f>IFERROR(VLOOKUP(C1653,Stock,3,FALSE),"")</f>
        <v>Toyota Agya/Ayla 13-22 1st Gen</v>
      </c>
      <c r="E1653" s="45">
        <v>1.0</v>
      </c>
      <c r="F1653" s="198">
        <v>1000000.0</v>
      </c>
      <c r="G1653" s="142">
        <f t="shared" si="40"/>
        <v>1000000</v>
      </c>
      <c r="H1653" s="142"/>
      <c r="I1653" s="143">
        <f t="shared" si="38"/>
        <v>1000000</v>
      </c>
      <c r="J1653" s="144">
        <f t="shared" si="39"/>
        <v>1000000</v>
      </c>
      <c r="K1653" s="108" t="s">
        <v>7087</v>
      </c>
      <c r="L1653" s="199" t="s">
        <v>7088</v>
      </c>
      <c r="M1653" s="17"/>
      <c r="N1653" s="64" t="s">
        <v>7089</v>
      </c>
      <c r="O1653" s="64" t="s">
        <v>2813</v>
      </c>
      <c r="P1653" s="147" t="s">
        <v>4672</v>
      </c>
      <c r="Q1653" s="149"/>
      <c r="R1653" s="141"/>
      <c r="S1653" s="141"/>
      <c r="T1653" s="141">
        <v>1000000.0</v>
      </c>
      <c r="U1653" s="149"/>
      <c r="V1653" s="149"/>
      <c r="W1653" s="149"/>
      <c r="X1653" s="64" t="s">
        <v>3810</v>
      </c>
      <c r="Y1653" s="68"/>
      <c r="Z1653" s="68"/>
    </row>
    <row r="1654" ht="15.0" customHeight="1">
      <c r="A1654" s="389">
        <v>46018.0</v>
      </c>
      <c r="B1654" s="201" t="s">
        <v>7090</v>
      </c>
      <c r="C1654" s="45" t="s">
        <v>2881</v>
      </c>
      <c r="D1654" s="140" t="str">
        <f>IFERROR(VLOOKUP(C1654,Stock,3,FALSE),"")</f>
        <v>Mitsubishi Outlander 10-21 GA3</v>
      </c>
      <c r="E1654" s="45">
        <v>1.0</v>
      </c>
      <c r="F1654" s="198">
        <v>2088000.0</v>
      </c>
      <c r="G1654" s="142">
        <f t="shared" si="40"/>
        <v>2088000</v>
      </c>
      <c r="H1654" s="142"/>
      <c r="I1654" s="143">
        <f t="shared" si="38"/>
        <v>2088000</v>
      </c>
      <c r="J1654" s="144">
        <f t="shared" si="39"/>
        <v>2088000</v>
      </c>
      <c r="K1654" s="108" t="s">
        <v>7091</v>
      </c>
      <c r="L1654" s="199" t="s">
        <v>7092</v>
      </c>
      <c r="M1654" s="17"/>
      <c r="N1654" s="64" t="s">
        <v>7093</v>
      </c>
      <c r="O1654" s="64" t="s">
        <v>2813</v>
      </c>
      <c r="P1654" s="147" t="s">
        <v>4672</v>
      </c>
      <c r="Q1654" s="149"/>
      <c r="R1654" s="141"/>
      <c r="S1654" s="141"/>
      <c r="T1654" s="141">
        <v>2288000.0</v>
      </c>
      <c r="U1654" s="149"/>
      <c r="V1654" s="149"/>
      <c r="W1654" s="149"/>
      <c r="X1654" s="64" t="s">
        <v>3810</v>
      </c>
      <c r="Y1654" s="68"/>
      <c r="Z1654" s="68"/>
    </row>
    <row r="1655" ht="15.0" customHeight="1">
      <c r="A1655" s="389">
        <v>46018.0</v>
      </c>
      <c r="B1655" s="201" t="s">
        <v>7090</v>
      </c>
      <c r="C1655" s="45" t="s">
        <v>4979</v>
      </c>
      <c r="D1655" s="140" t="str">
        <f>IFERROR(VLOOKUP(C1655,Stock,3,FALSE),"")</f>
        <v>255 Ultra + Actv-100 Application</v>
      </c>
      <c r="E1655" s="64">
        <v>1.0</v>
      </c>
      <c r="F1655" s="198">
        <v>200000.0</v>
      </c>
      <c r="G1655" s="142">
        <f t="shared" si="40"/>
        <v>200000</v>
      </c>
      <c r="H1655" s="142"/>
      <c r="I1655" s="143">
        <f t="shared" si="38"/>
        <v>200000</v>
      </c>
      <c r="J1655" s="144">
        <f t="shared" si="39"/>
        <v>200000</v>
      </c>
      <c r="K1655" s="108" t="s">
        <v>7091</v>
      </c>
      <c r="L1655" s="199" t="s">
        <v>7092</v>
      </c>
      <c r="M1655" s="17"/>
      <c r="N1655" s="64" t="s">
        <v>7093</v>
      </c>
      <c r="O1655" s="64" t="s">
        <v>2813</v>
      </c>
      <c r="P1655" s="147" t="s">
        <v>4672</v>
      </c>
      <c r="Q1655" s="68"/>
      <c r="R1655" s="68"/>
      <c r="S1655" s="68"/>
      <c r="T1655" s="68"/>
      <c r="U1655" s="68"/>
      <c r="V1655" s="68"/>
      <c r="W1655" s="68"/>
      <c r="X1655" s="64" t="s">
        <v>3810</v>
      </c>
      <c r="Y1655" s="68"/>
      <c r="Z1655" s="68"/>
    </row>
    <row r="1656" ht="15.0" customHeight="1">
      <c r="A1656" s="389">
        <v>46018.0</v>
      </c>
      <c r="B1656" s="201" t="s">
        <v>7094</v>
      </c>
      <c r="C1656" s="45" t="s">
        <v>7095</v>
      </c>
      <c r="D1656" s="140" t="str">
        <f>IFERROR(VLOOKUP(C1656,Stock,3,FALSE),"")</f>
        <v>Suzuki Karimun 99-06 Kotak</v>
      </c>
      <c r="E1656" s="45">
        <v>1.0</v>
      </c>
      <c r="F1656" s="198">
        <v>1200000.0</v>
      </c>
      <c r="G1656" s="142">
        <f t="shared" si="40"/>
        <v>1200000</v>
      </c>
      <c r="H1656" s="142"/>
      <c r="I1656" s="143">
        <f t="shared" si="38"/>
        <v>1200000</v>
      </c>
      <c r="J1656" s="144">
        <f t="shared" si="39"/>
        <v>1200000</v>
      </c>
      <c r="K1656" s="108" t="s">
        <v>7096</v>
      </c>
      <c r="L1656" s="199" t="s">
        <v>7097</v>
      </c>
      <c r="M1656" s="17"/>
      <c r="N1656" s="64" t="s">
        <v>7098</v>
      </c>
      <c r="O1656" s="64" t="s">
        <v>7099</v>
      </c>
      <c r="P1656" s="147" t="s">
        <v>4672</v>
      </c>
      <c r="Q1656" s="149"/>
      <c r="R1656" s="141"/>
      <c r="S1656" s="141"/>
      <c r="T1656" s="141">
        <v>50000.0</v>
      </c>
      <c r="U1656" s="149"/>
      <c r="V1656" s="149"/>
      <c r="W1656" s="149"/>
      <c r="X1656" s="64" t="s">
        <v>3810</v>
      </c>
      <c r="Y1656" s="68"/>
      <c r="Z1656" s="68"/>
    </row>
    <row r="1657" ht="15.0" customHeight="1">
      <c r="A1657" s="389">
        <v>46018.0</v>
      </c>
      <c r="B1657" s="201" t="s">
        <v>7094</v>
      </c>
      <c r="C1657" s="45" t="s">
        <v>2770</v>
      </c>
      <c r="D1657" s="140" t="str">
        <f>IFERROR(VLOOKUP(C1657,Stock,3,FALSE),"")</f>
        <v>Transport</v>
      </c>
      <c r="E1657" s="45">
        <v>1.0</v>
      </c>
      <c r="F1657" s="198">
        <v>120000.0</v>
      </c>
      <c r="G1657" s="142">
        <f t="shared" si="40"/>
        <v>120000</v>
      </c>
      <c r="H1657" s="142"/>
      <c r="I1657" s="143">
        <f t="shared" si="38"/>
        <v>120000</v>
      </c>
      <c r="J1657" s="144">
        <f t="shared" si="39"/>
        <v>120000</v>
      </c>
      <c r="K1657" s="108" t="s">
        <v>7096</v>
      </c>
      <c r="L1657" s="199" t="s">
        <v>7097</v>
      </c>
      <c r="M1657" s="17"/>
      <c r="N1657" s="64" t="s">
        <v>7098</v>
      </c>
      <c r="O1657" s="64" t="s">
        <v>7099</v>
      </c>
      <c r="P1657" s="147" t="s">
        <v>4672</v>
      </c>
      <c r="Q1657" s="149"/>
      <c r="R1657" s="141"/>
      <c r="S1657" s="141"/>
      <c r="T1657" s="141">
        <v>1270000.0</v>
      </c>
      <c r="U1657" s="149"/>
      <c r="V1657" s="149"/>
      <c r="W1657" s="149"/>
      <c r="X1657" s="64" t="s">
        <v>3810</v>
      </c>
      <c r="Y1657" s="68"/>
      <c r="Z1657" s="68"/>
    </row>
    <row r="1658" ht="15.0" customHeight="1">
      <c r="A1658" s="389">
        <v>46020.0</v>
      </c>
      <c r="B1658" s="201" t="s">
        <v>7100</v>
      </c>
      <c r="C1658" s="45" t="s">
        <v>5062</v>
      </c>
      <c r="D1658" s="140" t="str">
        <f>IFERROR(VLOOKUP(C1658,Stock,3,FALSE),"")</f>
        <v>Honda CR-V 17-23 5th Gen (Honda)</v>
      </c>
      <c r="E1658" s="45">
        <v>1.0</v>
      </c>
      <c r="F1658" s="198">
        <v>2799000.0</v>
      </c>
      <c r="G1658" s="142">
        <f t="shared" si="40"/>
        <v>2799000</v>
      </c>
      <c r="H1658" s="142"/>
      <c r="I1658" s="143">
        <f t="shared" si="38"/>
        <v>2799000</v>
      </c>
      <c r="J1658" s="144">
        <f t="shared" si="39"/>
        <v>2799000</v>
      </c>
      <c r="K1658" s="108" t="s">
        <v>3968</v>
      </c>
      <c r="L1658" s="199" t="s">
        <v>7101</v>
      </c>
      <c r="M1658" s="17"/>
      <c r="N1658" s="64" t="s">
        <v>7102</v>
      </c>
      <c r="O1658" s="64" t="s">
        <v>2813</v>
      </c>
      <c r="P1658" s="147" t="s">
        <v>4672</v>
      </c>
      <c r="Q1658" s="149"/>
      <c r="R1658" s="141"/>
      <c r="S1658" s="141"/>
      <c r="T1658" s="141">
        <v>2799000.0</v>
      </c>
      <c r="U1658" s="149"/>
      <c r="V1658" s="149"/>
      <c r="W1658" s="149"/>
      <c r="X1658" s="64" t="s">
        <v>6553</v>
      </c>
      <c r="Y1658" s="68"/>
      <c r="Z1658" s="68"/>
    </row>
    <row r="1659" ht="15.0" customHeight="1">
      <c r="A1659" s="389">
        <v>46020.0</v>
      </c>
      <c r="B1659" s="201" t="s">
        <v>7103</v>
      </c>
      <c r="C1659" s="45" t="s">
        <v>2770</v>
      </c>
      <c r="D1659" s="140" t="str">
        <f>IFERROR(VLOOKUP(C1659,Stock,3,FALSE),"")</f>
        <v>Transport</v>
      </c>
      <c r="E1659" s="45">
        <v>1.0</v>
      </c>
      <c r="F1659" s="198">
        <v>250000.0</v>
      </c>
      <c r="G1659" s="142">
        <f t="shared" si="40"/>
        <v>250000</v>
      </c>
      <c r="H1659" s="142"/>
      <c r="I1659" s="143">
        <f t="shared" si="38"/>
        <v>250000</v>
      </c>
      <c r="J1659" s="144">
        <f t="shared" si="39"/>
        <v>250000</v>
      </c>
      <c r="K1659" s="108" t="s">
        <v>7104</v>
      </c>
      <c r="L1659" s="199" t="s">
        <v>7105</v>
      </c>
      <c r="M1659" s="17"/>
      <c r="N1659" s="68"/>
      <c r="O1659" s="64" t="s">
        <v>2807</v>
      </c>
      <c r="P1659" s="147" t="s">
        <v>4672</v>
      </c>
      <c r="Q1659" s="149"/>
      <c r="R1659" s="141"/>
      <c r="S1659" s="141"/>
      <c r="T1659" s="141">
        <v>250000.0</v>
      </c>
      <c r="U1659" s="149"/>
      <c r="V1659" s="149"/>
      <c r="W1659" s="149"/>
      <c r="X1659" s="64" t="s">
        <v>6553</v>
      </c>
      <c r="Y1659" s="68"/>
      <c r="Z1659" s="68"/>
    </row>
    <row r="1660" ht="15.0" customHeight="1">
      <c r="A1660" s="389">
        <v>46020.0</v>
      </c>
      <c r="B1660" s="201" t="s">
        <v>7106</v>
      </c>
      <c r="C1660" s="45" t="s">
        <v>7107</v>
      </c>
      <c r="D1660" s="140" t="str">
        <f>IFERROR(VLOOKUP(C1660,Stock,3,FALSE),"")</f>
        <v>Toyota Alphard 08-15 ANH20 2nd Gen</v>
      </c>
      <c r="E1660" s="45">
        <v>1.0</v>
      </c>
      <c r="F1660" s="198">
        <v>4452000.0</v>
      </c>
      <c r="G1660" s="142">
        <f t="shared" si="40"/>
        <v>4452000</v>
      </c>
      <c r="H1660" s="143">
        <v>152000.0</v>
      </c>
      <c r="I1660" s="143">
        <f t="shared" si="38"/>
        <v>4300000</v>
      </c>
      <c r="J1660" s="144">
        <f t="shared" si="39"/>
        <v>4300000</v>
      </c>
      <c r="K1660" s="108" t="s">
        <v>7108</v>
      </c>
      <c r="L1660" s="199" t="s">
        <v>7109</v>
      </c>
      <c r="M1660" s="17"/>
      <c r="N1660" s="64" t="s">
        <v>7110</v>
      </c>
      <c r="O1660" s="64" t="s">
        <v>2813</v>
      </c>
      <c r="P1660" s="147" t="s">
        <v>4672</v>
      </c>
      <c r="Q1660" s="149"/>
      <c r="R1660" s="141"/>
      <c r="S1660" s="141"/>
      <c r="T1660" s="141">
        <v>4300000.0</v>
      </c>
      <c r="U1660" s="149"/>
      <c r="V1660" s="149"/>
      <c r="W1660" s="149"/>
      <c r="X1660" s="64" t="s">
        <v>6553</v>
      </c>
      <c r="Y1660" s="68"/>
      <c r="Z1660" s="68"/>
    </row>
    <row r="1661" ht="15.0" customHeight="1">
      <c r="A1661" s="389">
        <v>46020.0</v>
      </c>
      <c r="B1661" s="201" t="s">
        <v>7111</v>
      </c>
      <c r="C1661" s="45" t="s">
        <v>3048</v>
      </c>
      <c r="D1661" s="140" t="str">
        <f>IFERROR(VLOOKUP(C1661,Stock,3,FALSE),"")</f>
        <v>Biaya Pengecekan</v>
      </c>
      <c r="E1661" s="45">
        <v>1.0</v>
      </c>
      <c r="F1661" s="198">
        <v>300000.0</v>
      </c>
      <c r="G1661" s="142">
        <f t="shared" si="40"/>
        <v>300000</v>
      </c>
      <c r="H1661" s="142"/>
      <c r="I1661" s="143">
        <f t="shared" si="38"/>
        <v>300000</v>
      </c>
      <c r="J1661" s="144">
        <f t="shared" si="39"/>
        <v>300000</v>
      </c>
      <c r="K1661" s="108" t="s">
        <v>7112</v>
      </c>
      <c r="L1661" s="199" t="s">
        <v>7113</v>
      </c>
      <c r="M1661" s="17"/>
      <c r="N1661" s="64" t="s">
        <v>7114</v>
      </c>
      <c r="O1661" s="64" t="s">
        <v>2813</v>
      </c>
      <c r="P1661" s="147" t="s">
        <v>4672</v>
      </c>
      <c r="Q1661" s="149"/>
      <c r="R1661" s="141"/>
      <c r="S1661" s="141"/>
      <c r="T1661" s="141">
        <v>300000.0</v>
      </c>
      <c r="U1661" s="149"/>
      <c r="V1661" s="149"/>
      <c r="W1661" s="149"/>
      <c r="X1661" s="64" t="s">
        <v>6553</v>
      </c>
      <c r="Y1661" s="68"/>
      <c r="Z1661" s="68"/>
    </row>
    <row r="1662" ht="15.0" customHeight="1">
      <c r="A1662" s="389">
        <v>46020.0</v>
      </c>
      <c r="B1662" s="201" t="s">
        <v>7115</v>
      </c>
      <c r="C1662" s="45" t="s">
        <v>2907</v>
      </c>
      <c r="D1662" s="140" t="str">
        <f>IFERROR(VLOOKUP(C1662,Stock,3,FALSE),"")</f>
        <v>Honda Odyssey 13- 5th Gen RC1/RC2</v>
      </c>
      <c r="E1662" s="45">
        <v>1.0</v>
      </c>
      <c r="F1662" s="198">
        <v>3773000.0</v>
      </c>
      <c r="G1662" s="142">
        <f t="shared" si="40"/>
        <v>3773000</v>
      </c>
      <c r="H1662" s="142"/>
      <c r="I1662" s="143">
        <f t="shared" si="38"/>
        <v>3773000</v>
      </c>
      <c r="J1662" s="144">
        <f t="shared" si="39"/>
        <v>3773000</v>
      </c>
      <c r="K1662" s="108" t="s">
        <v>7116</v>
      </c>
      <c r="L1662" s="199" t="s">
        <v>7117</v>
      </c>
      <c r="M1662" s="17"/>
      <c r="N1662" s="64" t="s">
        <v>7118</v>
      </c>
      <c r="O1662" s="64" t="s">
        <v>4175</v>
      </c>
      <c r="P1662" s="147" t="s">
        <v>4672</v>
      </c>
      <c r="Q1662" s="149"/>
      <c r="R1662" s="141"/>
      <c r="S1662" s="141"/>
      <c r="T1662" s="141">
        <v>100000.0</v>
      </c>
      <c r="U1662" s="149"/>
      <c r="V1662" s="149"/>
      <c r="W1662" s="149"/>
      <c r="X1662" s="64" t="s">
        <v>3810</v>
      </c>
      <c r="Y1662" s="68"/>
      <c r="Z1662" s="68"/>
    </row>
    <row r="1663" ht="15.0" customHeight="1">
      <c r="A1663" s="389">
        <v>46020.0</v>
      </c>
      <c r="B1663" s="201" t="s">
        <v>7115</v>
      </c>
      <c r="C1663" s="45" t="s">
        <v>2770</v>
      </c>
      <c r="D1663" s="140" t="str">
        <f>IFERROR(VLOOKUP(C1663,Stock,3,FALSE),"")</f>
        <v>Transport</v>
      </c>
      <c r="E1663" s="45">
        <v>1.0</v>
      </c>
      <c r="F1663" s="198">
        <v>175000.0</v>
      </c>
      <c r="G1663" s="142">
        <f t="shared" si="40"/>
        <v>175000</v>
      </c>
      <c r="H1663" s="142"/>
      <c r="I1663" s="143">
        <f t="shared" si="38"/>
        <v>175000</v>
      </c>
      <c r="J1663" s="144">
        <f t="shared" si="39"/>
        <v>175000</v>
      </c>
      <c r="K1663" s="108" t="s">
        <v>7116</v>
      </c>
      <c r="L1663" s="199" t="s">
        <v>7117</v>
      </c>
      <c r="M1663" s="17"/>
      <c r="N1663" s="64" t="s">
        <v>7118</v>
      </c>
      <c r="O1663" s="64" t="s">
        <v>4175</v>
      </c>
      <c r="P1663" s="147" t="s">
        <v>4672</v>
      </c>
      <c r="Q1663" s="149"/>
      <c r="R1663" s="141"/>
      <c r="S1663" s="141"/>
      <c r="T1663" s="141">
        <v>3848000.0</v>
      </c>
      <c r="U1663" s="149"/>
      <c r="V1663" s="149"/>
      <c r="W1663" s="149"/>
      <c r="X1663" s="64" t="s">
        <v>3810</v>
      </c>
      <c r="Y1663" s="68"/>
      <c r="Z1663" s="68"/>
    </row>
    <row r="1664" ht="15.0" customHeight="1">
      <c r="A1664" s="389">
        <v>46021.0</v>
      </c>
      <c r="B1664" s="201" t="s">
        <v>7119</v>
      </c>
      <c r="C1664" s="45" t="s">
        <v>7120</v>
      </c>
      <c r="D1664" s="140" t="str">
        <f>IFERROR(VLOOKUP(C1664,Stock,3,FALSE),"")</f>
        <v>Hyundai Tucson 16- 3rd Gen</v>
      </c>
      <c r="E1664" s="45">
        <v>1.0</v>
      </c>
      <c r="F1664" s="198">
        <v>3711000.0</v>
      </c>
      <c r="G1664" s="142">
        <f t="shared" si="40"/>
        <v>3711000</v>
      </c>
      <c r="H1664" s="142"/>
      <c r="I1664" s="143">
        <f t="shared" si="38"/>
        <v>3711000</v>
      </c>
      <c r="J1664" s="144">
        <f t="shared" si="39"/>
        <v>3711000</v>
      </c>
      <c r="K1664" s="108" t="s">
        <v>7121</v>
      </c>
      <c r="L1664" s="199" t="s">
        <v>7122</v>
      </c>
      <c r="M1664" s="17"/>
      <c r="N1664" s="64" t="s">
        <v>7123</v>
      </c>
      <c r="O1664" s="64" t="s">
        <v>4425</v>
      </c>
      <c r="P1664" s="147" t="s">
        <v>4672</v>
      </c>
      <c r="Q1664" s="149"/>
      <c r="R1664" s="141"/>
      <c r="S1664" s="141"/>
      <c r="T1664" s="141">
        <v>50000.0</v>
      </c>
      <c r="U1664" s="149"/>
      <c r="V1664" s="149"/>
      <c r="W1664" s="149"/>
      <c r="X1664" s="64" t="s">
        <v>3810</v>
      </c>
      <c r="Y1664" s="68"/>
      <c r="Z1664" s="68"/>
    </row>
    <row r="1665" ht="15.0" customHeight="1">
      <c r="A1665" s="389">
        <v>46021.0</v>
      </c>
      <c r="B1665" s="201" t="s">
        <v>7119</v>
      </c>
      <c r="C1665" s="45" t="s">
        <v>4979</v>
      </c>
      <c r="D1665" s="140" t="str">
        <f>IFERROR(VLOOKUP(C1665,Stock,3,FALSE),"")</f>
        <v>255 Ultra + Actv-100 Application</v>
      </c>
      <c r="E1665" s="45">
        <v>1.0</v>
      </c>
      <c r="F1665" s="198">
        <v>200000.0</v>
      </c>
      <c r="G1665" s="142">
        <f t="shared" si="40"/>
        <v>200000</v>
      </c>
      <c r="H1665" s="142"/>
      <c r="I1665" s="143">
        <f t="shared" si="38"/>
        <v>200000</v>
      </c>
      <c r="J1665" s="144">
        <f t="shared" si="39"/>
        <v>200000</v>
      </c>
      <c r="K1665" s="108" t="s">
        <v>7121</v>
      </c>
      <c r="L1665" s="199" t="s">
        <v>7122</v>
      </c>
      <c r="M1665" s="17"/>
      <c r="N1665" s="64" t="s">
        <v>7123</v>
      </c>
      <c r="O1665" s="64" t="s">
        <v>4425</v>
      </c>
      <c r="P1665" s="147" t="s">
        <v>4672</v>
      </c>
      <c r="Q1665" s="149"/>
      <c r="R1665" s="141"/>
      <c r="S1665" s="141"/>
      <c r="T1665" s="141">
        <v>3861000.0</v>
      </c>
      <c r="U1665" s="149"/>
      <c r="V1665" s="149"/>
      <c r="W1665" s="149"/>
      <c r="X1665" s="64" t="s">
        <v>3810</v>
      </c>
      <c r="Y1665" s="68"/>
      <c r="Z1665" s="68"/>
    </row>
    <row r="1666" ht="15.0" customHeight="1">
      <c r="A1666" s="389">
        <v>46021.0</v>
      </c>
      <c r="B1666" s="201" t="s">
        <v>7124</v>
      </c>
      <c r="C1666" s="45" t="s">
        <v>3009</v>
      </c>
      <c r="D1666" s="140" t="str">
        <f>IFERROR(VLOOKUP(C1666,Stock,3,FALSE),"")</f>
        <v>Honda Mobilio 14-</v>
      </c>
      <c r="E1666" s="45">
        <v>1.0</v>
      </c>
      <c r="F1666" s="198">
        <v>1151000.0</v>
      </c>
      <c r="G1666" s="142">
        <f t="shared" si="40"/>
        <v>1151000</v>
      </c>
      <c r="H1666" s="142"/>
      <c r="I1666" s="143">
        <f t="shared" si="38"/>
        <v>1151000</v>
      </c>
      <c r="J1666" s="144">
        <f t="shared" si="39"/>
        <v>1151000</v>
      </c>
      <c r="K1666" s="108" t="s">
        <v>7125</v>
      </c>
      <c r="L1666" s="199" t="s">
        <v>7126</v>
      </c>
      <c r="M1666" s="17"/>
      <c r="N1666" s="64" t="s">
        <v>7127</v>
      </c>
      <c r="O1666" s="64" t="s">
        <v>5618</v>
      </c>
      <c r="P1666" s="147" t="s">
        <v>4672</v>
      </c>
      <c r="Q1666" s="149"/>
      <c r="R1666" s="141"/>
      <c r="S1666" s="141"/>
      <c r="T1666" s="141">
        <v>1151000.0</v>
      </c>
      <c r="U1666" s="149"/>
      <c r="V1666" s="149"/>
      <c r="W1666" s="149"/>
      <c r="X1666" s="64" t="s">
        <v>3810</v>
      </c>
      <c r="Y1666" s="68"/>
      <c r="Z1666" s="68"/>
    </row>
    <row r="1667" ht="15.0" customHeight="1">
      <c r="A1667" s="389">
        <v>46022.0</v>
      </c>
      <c r="B1667" s="201" t="s">
        <v>7128</v>
      </c>
      <c r="C1667" s="45" t="s">
        <v>5800</v>
      </c>
      <c r="D1667" s="140" t="str">
        <f>IFERROR(VLOOKUP(C1667,Stock,3,FALSE),"")</f>
        <v>Toyota Fortuner 15-  2nd Gen (Toyota)</v>
      </c>
      <c r="E1667" s="45">
        <v>1.0</v>
      </c>
      <c r="F1667" s="198">
        <v>2998000.0</v>
      </c>
      <c r="G1667" s="142">
        <f t="shared" si="40"/>
        <v>2998000</v>
      </c>
      <c r="H1667" s="142"/>
      <c r="I1667" s="143">
        <f t="shared" si="38"/>
        <v>2998000</v>
      </c>
      <c r="J1667" s="144">
        <f t="shared" si="39"/>
        <v>2998000</v>
      </c>
      <c r="K1667" s="108" t="s">
        <v>2979</v>
      </c>
      <c r="L1667" s="199" t="s">
        <v>7129</v>
      </c>
      <c r="M1667" s="17"/>
      <c r="N1667" s="64" t="s">
        <v>7130</v>
      </c>
      <c r="O1667" s="64" t="s">
        <v>2942</v>
      </c>
      <c r="P1667" s="147" t="s">
        <v>4672</v>
      </c>
      <c r="Q1667" s="149"/>
      <c r="R1667" s="141"/>
      <c r="S1667" s="141"/>
      <c r="T1667" s="141">
        <v>3198000.0</v>
      </c>
      <c r="U1667" s="149"/>
      <c r="V1667" s="149"/>
      <c r="W1667" s="149"/>
      <c r="X1667" s="64" t="s">
        <v>3810</v>
      </c>
      <c r="Y1667" s="68"/>
      <c r="Z1667" s="68"/>
    </row>
    <row r="1668" ht="15.0" customHeight="1">
      <c r="A1668" s="389">
        <v>46022.0</v>
      </c>
      <c r="B1668" s="201" t="s">
        <v>7128</v>
      </c>
      <c r="C1668" s="45" t="s">
        <v>4979</v>
      </c>
      <c r="D1668" s="140" t="str">
        <f>IFERROR(VLOOKUP(C1668,Stock,3,FALSE),"")</f>
        <v>255 Ultra + Actv-100 Application</v>
      </c>
      <c r="E1668" s="45">
        <v>1.0</v>
      </c>
      <c r="F1668" s="198">
        <v>200000.0</v>
      </c>
      <c r="G1668" s="142">
        <f t="shared" si="40"/>
        <v>200000</v>
      </c>
      <c r="H1668" s="142"/>
      <c r="I1668" s="143">
        <f t="shared" si="38"/>
        <v>200000</v>
      </c>
      <c r="J1668" s="144">
        <f t="shared" si="39"/>
        <v>200000</v>
      </c>
      <c r="K1668" s="108" t="s">
        <v>2979</v>
      </c>
      <c r="L1668" s="199" t="s">
        <v>7129</v>
      </c>
      <c r="M1668" s="17"/>
      <c r="N1668" s="64" t="s">
        <v>7130</v>
      </c>
      <c r="O1668" s="64" t="s">
        <v>2942</v>
      </c>
      <c r="P1668" s="147" t="s">
        <v>4672</v>
      </c>
      <c r="Q1668" s="149"/>
      <c r="R1668" s="149"/>
      <c r="S1668" s="149"/>
      <c r="T1668" s="149"/>
      <c r="U1668" s="149"/>
      <c r="V1668" s="149"/>
      <c r="W1668" s="149"/>
      <c r="X1668" s="64" t="s">
        <v>3810</v>
      </c>
      <c r="Y1668" s="68"/>
      <c r="Z1668" s="68"/>
    </row>
    <row r="1669" ht="15.0" customHeight="1">
      <c r="A1669" s="374">
        <v>46022.0</v>
      </c>
      <c r="B1669" s="364" t="s">
        <v>7131</v>
      </c>
      <c r="C1669" s="336" t="s">
        <v>4017</v>
      </c>
      <c r="D1669" s="337" t="str">
        <f>IFERROR(VLOOKUP(C1669,Stock,3,FALSE),"")</f>
        <v>Black Phantom Solar Gard</v>
      </c>
      <c r="E1669" s="336">
        <v>1.0</v>
      </c>
      <c r="F1669" s="339">
        <v>1475000.0</v>
      </c>
      <c r="G1669" s="340">
        <f t="shared" si="40"/>
        <v>1475000</v>
      </c>
      <c r="H1669" s="340"/>
      <c r="I1669" s="341">
        <f t="shared" si="38"/>
        <v>1475000</v>
      </c>
      <c r="J1669" s="342">
        <f t="shared" si="39"/>
        <v>1475000</v>
      </c>
      <c r="K1669" s="365" t="s">
        <v>7026</v>
      </c>
      <c r="L1669" s="366" t="s">
        <v>7027</v>
      </c>
      <c r="M1669" s="367"/>
      <c r="N1669" s="338" t="s">
        <v>7028</v>
      </c>
      <c r="O1669" s="338" t="s">
        <v>2987</v>
      </c>
      <c r="P1669" s="368" t="s">
        <v>4672</v>
      </c>
      <c r="Q1669" s="369"/>
      <c r="R1669" s="348"/>
      <c r="S1669" s="348"/>
      <c r="T1669" s="348">
        <v>1475000.0</v>
      </c>
      <c r="U1669" s="369"/>
      <c r="V1669" s="369"/>
      <c r="W1669" s="369"/>
      <c r="X1669" s="338" t="s">
        <v>3810</v>
      </c>
      <c r="Y1669" s="68"/>
      <c r="Z1669" s="68"/>
    </row>
    <row r="1670" ht="15.0" customHeight="1">
      <c r="A1670" s="389">
        <v>46022.0</v>
      </c>
      <c r="B1670" s="201" t="s">
        <v>7132</v>
      </c>
      <c r="C1670" s="45" t="s">
        <v>3354</v>
      </c>
      <c r="D1670" s="140" t="str">
        <f>IFERROR(VLOOKUP(C1670,Stock,3,FALSE),"")</f>
        <v>Honda Brio 10- / Mobilio 11- (Honda)</v>
      </c>
      <c r="E1670" s="45">
        <v>1.0</v>
      </c>
      <c r="F1670" s="198">
        <v>1772000.0</v>
      </c>
      <c r="G1670" s="142">
        <f t="shared" si="40"/>
        <v>1772000</v>
      </c>
      <c r="H1670" s="142"/>
      <c r="I1670" s="143">
        <f t="shared" si="38"/>
        <v>1772000</v>
      </c>
      <c r="J1670" s="144">
        <f t="shared" si="39"/>
        <v>1772000</v>
      </c>
      <c r="K1670" s="108" t="s">
        <v>7133</v>
      </c>
      <c r="L1670" s="199" t="s">
        <v>7134</v>
      </c>
      <c r="M1670" s="17"/>
      <c r="N1670" s="64" t="s">
        <v>7135</v>
      </c>
      <c r="O1670" s="64" t="s">
        <v>2813</v>
      </c>
      <c r="P1670" s="147" t="s">
        <v>4672</v>
      </c>
      <c r="Q1670" s="149"/>
      <c r="R1670" s="141"/>
      <c r="S1670" s="141"/>
      <c r="T1670" s="141">
        <v>1972000.0</v>
      </c>
      <c r="U1670" s="149"/>
      <c r="V1670" s="149"/>
      <c r="W1670" s="149"/>
      <c r="X1670" s="64" t="s">
        <v>3810</v>
      </c>
      <c r="Y1670" s="68"/>
      <c r="Z1670" s="68"/>
    </row>
    <row r="1671" ht="15.0" customHeight="1">
      <c r="A1671" s="389">
        <v>46022.0</v>
      </c>
      <c r="B1671" s="201" t="s">
        <v>7132</v>
      </c>
      <c r="C1671" s="45" t="s">
        <v>4979</v>
      </c>
      <c r="D1671" s="140" t="str">
        <f>IFERROR(VLOOKUP(C1671,Stock,3,FALSE),"")</f>
        <v>255 Ultra + Actv-100 Application</v>
      </c>
      <c r="E1671" s="45">
        <v>1.0</v>
      </c>
      <c r="F1671" s="198">
        <v>200000.0</v>
      </c>
      <c r="G1671" s="142">
        <f t="shared" si="40"/>
        <v>200000</v>
      </c>
      <c r="H1671" s="142"/>
      <c r="I1671" s="143">
        <f t="shared" si="38"/>
        <v>200000</v>
      </c>
      <c r="J1671" s="144">
        <f t="shared" si="39"/>
        <v>200000</v>
      </c>
      <c r="K1671" s="108" t="s">
        <v>7133</v>
      </c>
      <c r="L1671" s="199" t="s">
        <v>7134</v>
      </c>
      <c r="M1671" s="17"/>
      <c r="N1671" s="64" t="s">
        <v>7135</v>
      </c>
      <c r="O1671" s="64" t="s">
        <v>2813</v>
      </c>
      <c r="P1671" s="147" t="s">
        <v>4672</v>
      </c>
      <c r="Q1671" s="149"/>
      <c r="R1671" s="149"/>
      <c r="S1671" s="149"/>
      <c r="T1671" s="149"/>
      <c r="U1671" s="149"/>
      <c r="V1671" s="149"/>
      <c r="W1671" s="149"/>
      <c r="X1671" s="64" t="s">
        <v>3810</v>
      </c>
      <c r="Y1671" s="68"/>
      <c r="Z1671" s="68"/>
    </row>
    <row r="1672" ht="15.0" customHeight="1">
      <c r="A1672" s="389">
        <v>46022.0</v>
      </c>
      <c r="B1672" s="201" t="s">
        <v>7136</v>
      </c>
      <c r="C1672" s="45" t="s">
        <v>7137</v>
      </c>
      <c r="D1672" s="140" t="str">
        <f>IFERROR(VLOOKUP(C1672,Stock,3,FALSE),"")</f>
        <v>Mazda Biante 08- (Hitam)</v>
      </c>
      <c r="E1672" s="45">
        <v>1.0</v>
      </c>
      <c r="F1672" s="198">
        <v>2028000.0</v>
      </c>
      <c r="G1672" s="142">
        <f t="shared" si="40"/>
        <v>2028000</v>
      </c>
      <c r="H1672" s="142"/>
      <c r="I1672" s="143">
        <f t="shared" si="38"/>
        <v>2028000</v>
      </c>
      <c r="J1672" s="144">
        <f t="shared" si="39"/>
        <v>2028000</v>
      </c>
      <c r="K1672" s="108" t="s">
        <v>2902</v>
      </c>
      <c r="L1672" s="199" t="s">
        <v>7138</v>
      </c>
      <c r="M1672" s="17"/>
      <c r="N1672" s="64" t="s">
        <v>4270</v>
      </c>
      <c r="O1672" s="64" t="s">
        <v>2813</v>
      </c>
      <c r="P1672" s="147" t="s">
        <v>4672</v>
      </c>
      <c r="Q1672" s="149"/>
      <c r="R1672" s="141"/>
      <c r="S1672" s="141"/>
      <c r="T1672" s="141">
        <v>2028000.0</v>
      </c>
      <c r="U1672" s="149"/>
      <c r="V1672" s="149"/>
      <c r="W1672" s="149"/>
      <c r="X1672" s="64" t="s">
        <v>3810</v>
      </c>
      <c r="Y1672" s="68"/>
      <c r="Z1672" s="68"/>
    </row>
    <row r="1673" ht="15.0" customHeight="1">
      <c r="A1673" s="389">
        <v>46022.0</v>
      </c>
      <c r="B1673" s="201" t="s">
        <v>7139</v>
      </c>
      <c r="C1673" s="45" t="s">
        <v>7140</v>
      </c>
      <c r="D1673" s="140" t="str">
        <f>IFERROR(VLOOKUP(C1673,Stock,3,FALSE),"")</f>
        <v>Chevrolet Captiva 06-18 1st gen C100</v>
      </c>
      <c r="E1673" s="45">
        <v>1.0</v>
      </c>
      <c r="F1673" s="198">
        <v>2113000.0</v>
      </c>
      <c r="G1673" s="142">
        <f t="shared" si="40"/>
        <v>2113000</v>
      </c>
      <c r="H1673" s="142"/>
      <c r="I1673" s="143">
        <f t="shared" si="38"/>
        <v>2113000</v>
      </c>
      <c r="J1673" s="144">
        <f t="shared" si="39"/>
        <v>2113000</v>
      </c>
      <c r="K1673" s="108" t="s">
        <v>5016</v>
      </c>
      <c r="L1673" s="199" t="s">
        <v>7141</v>
      </c>
      <c r="M1673" s="17"/>
      <c r="N1673" s="64" t="s">
        <v>7142</v>
      </c>
      <c r="O1673" s="64" t="s">
        <v>2813</v>
      </c>
      <c r="P1673" s="147" t="s">
        <v>4672</v>
      </c>
      <c r="Q1673" s="149"/>
      <c r="R1673" s="141"/>
      <c r="S1673" s="141"/>
      <c r="T1673" s="141">
        <v>2313000.0</v>
      </c>
      <c r="U1673" s="149"/>
      <c r="V1673" s="149"/>
      <c r="W1673" s="149"/>
      <c r="X1673" s="64" t="s">
        <v>3810</v>
      </c>
      <c r="Y1673" s="68"/>
      <c r="Z1673" s="68"/>
    </row>
    <row r="1674" ht="15.0" customHeight="1">
      <c r="A1674" s="389">
        <v>46022.0</v>
      </c>
      <c r="B1674" s="201" t="s">
        <v>7139</v>
      </c>
      <c r="C1674" s="45" t="s">
        <v>4979</v>
      </c>
      <c r="D1674" s="140" t="str">
        <f>IFERROR(VLOOKUP(C1674,Stock,3,FALSE),"")</f>
        <v>255 Ultra + Actv-100 Application</v>
      </c>
      <c r="E1674" s="64">
        <v>1.0</v>
      </c>
      <c r="F1674" s="198">
        <v>200000.0</v>
      </c>
      <c r="G1674" s="142">
        <f t="shared" si="40"/>
        <v>200000</v>
      </c>
      <c r="H1674" s="142"/>
      <c r="I1674" s="143">
        <f t="shared" si="38"/>
        <v>200000</v>
      </c>
      <c r="J1674" s="144">
        <f t="shared" si="39"/>
        <v>200000</v>
      </c>
      <c r="K1674" s="108" t="s">
        <v>5016</v>
      </c>
      <c r="L1674" s="199" t="s">
        <v>7141</v>
      </c>
      <c r="M1674" s="17"/>
      <c r="N1674" s="64" t="s">
        <v>7142</v>
      </c>
      <c r="O1674" s="64" t="s">
        <v>2813</v>
      </c>
      <c r="P1674" s="147" t="s">
        <v>4672</v>
      </c>
      <c r="Q1674" s="149"/>
      <c r="R1674" s="149"/>
      <c r="S1674" s="149"/>
      <c r="T1674" s="149"/>
      <c r="U1674" s="149"/>
      <c r="V1674" s="149"/>
      <c r="W1674" s="149"/>
      <c r="X1674" s="68"/>
      <c r="Y1674" s="68"/>
      <c r="Z1674" s="68"/>
    </row>
    <row r="1675" ht="15.0" customHeight="1">
      <c r="A1675" s="206">
        <v>46024.0</v>
      </c>
      <c r="B1675" s="201" t="s">
        <v>7143</v>
      </c>
      <c r="C1675" s="45" t="s">
        <v>6034</v>
      </c>
      <c r="D1675" s="140" t="str">
        <f>IFERROR(VLOOKUP(C1675,Stock,3,FALSE),"")</f>
        <v>Honda HR-V 22- 5D SUV (Honda)</v>
      </c>
      <c r="E1675" s="45">
        <v>1.0</v>
      </c>
      <c r="F1675" s="198">
        <v>2929000.0</v>
      </c>
      <c r="G1675" s="142">
        <f t="shared" si="40"/>
        <v>2929000</v>
      </c>
      <c r="H1675" s="142"/>
      <c r="I1675" s="143">
        <f t="shared" si="38"/>
        <v>2929000</v>
      </c>
      <c r="J1675" s="144">
        <f t="shared" si="39"/>
        <v>2929000</v>
      </c>
      <c r="K1675" s="108" t="s">
        <v>7144</v>
      </c>
      <c r="L1675" s="199" t="s">
        <v>7145</v>
      </c>
      <c r="M1675" s="17"/>
      <c r="N1675" s="64" t="s">
        <v>7146</v>
      </c>
      <c r="O1675" s="64" t="s">
        <v>2813</v>
      </c>
      <c r="P1675" s="147" t="s">
        <v>4672</v>
      </c>
      <c r="Q1675" s="149"/>
      <c r="R1675" s="141"/>
      <c r="S1675" s="141"/>
      <c r="T1675" s="141">
        <v>3079000.0</v>
      </c>
      <c r="U1675" s="149"/>
      <c r="V1675" s="149"/>
      <c r="W1675" s="149"/>
      <c r="X1675" s="64" t="s">
        <v>2976</v>
      </c>
      <c r="Y1675" s="64" t="s">
        <v>7147</v>
      </c>
      <c r="Z1675" s="68"/>
    </row>
    <row r="1676" ht="15.0" customHeight="1">
      <c r="A1676" s="206">
        <v>46024.0</v>
      </c>
      <c r="B1676" s="201" t="s">
        <v>7143</v>
      </c>
      <c r="C1676" s="45" t="s">
        <v>4979</v>
      </c>
      <c r="D1676" s="140" t="str">
        <f>IFERROR(VLOOKUP(C1676,Stock,3,FALSE),"")</f>
        <v>255 Ultra + Actv-100 Application</v>
      </c>
      <c r="E1676" s="45">
        <v>1.0</v>
      </c>
      <c r="F1676" s="198">
        <v>200000.0</v>
      </c>
      <c r="G1676" s="142">
        <f t="shared" si="40"/>
        <v>200000</v>
      </c>
      <c r="H1676" s="143">
        <v>50000.0</v>
      </c>
      <c r="I1676" s="143">
        <f t="shared" si="38"/>
        <v>150000</v>
      </c>
      <c r="J1676" s="144">
        <f t="shared" si="39"/>
        <v>150000</v>
      </c>
      <c r="K1676" s="108" t="s">
        <v>7144</v>
      </c>
      <c r="L1676" s="199" t="s">
        <v>7145</v>
      </c>
      <c r="M1676" s="17"/>
      <c r="N1676" s="64" t="s">
        <v>7146</v>
      </c>
      <c r="O1676" s="64" t="s">
        <v>2813</v>
      </c>
      <c r="P1676" s="147" t="s">
        <v>4672</v>
      </c>
      <c r="Q1676" s="149"/>
      <c r="R1676" s="149"/>
      <c r="S1676" s="149"/>
      <c r="T1676" s="149"/>
      <c r="U1676" s="149"/>
      <c r="V1676" s="149"/>
      <c r="W1676" s="149"/>
      <c r="X1676" s="68"/>
      <c r="Y1676" s="68"/>
      <c r="Z1676" s="68"/>
    </row>
    <row r="1677" ht="15.0" customHeight="1">
      <c r="A1677" s="206">
        <v>46024.0</v>
      </c>
      <c r="B1677" s="201" t="s">
        <v>7148</v>
      </c>
      <c r="C1677" s="45" t="s">
        <v>7149</v>
      </c>
      <c r="D1677" s="140" t="str">
        <f>IFERROR(VLOOKUP(C1677,Stock,3,FALSE),"")</f>
        <v>Toyota Dyna/Hino Dutro 00-</v>
      </c>
      <c r="E1677" s="45">
        <v>1.0</v>
      </c>
      <c r="F1677" s="198">
        <v>1249000.0</v>
      </c>
      <c r="G1677" s="142">
        <f t="shared" si="40"/>
        <v>1249000</v>
      </c>
      <c r="H1677" s="142"/>
      <c r="I1677" s="143">
        <f t="shared" si="38"/>
        <v>1249000</v>
      </c>
      <c r="J1677" s="144">
        <f t="shared" si="39"/>
        <v>1249000</v>
      </c>
      <c r="K1677" s="108" t="s">
        <v>7150</v>
      </c>
      <c r="L1677" s="199" t="s">
        <v>7151</v>
      </c>
      <c r="M1677" s="17"/>
      <c r="N1677" s="64" t="s">
        <v>7152</v>
      </c>
      <c r="O1677" s="64" t="s">
        <v>2813</v>
      </c>
      <c r="P1677" s="147" t="s">
        <v>4672</v>
      </c>
      <c r="Q1677" s="149"/>
      <c r="R1677" s="149"/>
      <c r="S1677" s="149"/>
      <c r="T1677" s="149"/>
      <c r="U1677" s="149"/>
      <c r="V1677" s="149"/>
      <c r="W1677" s="149"/>
      <c r="X1677" s="68"/>
      <c r="Y1677" s="68"/>
      <c r="Z1677" s="68"/>
    </row>
    <row r="1678" ht="15.0" customHeight="1">
      <c r="A1678" s="206">
        <v>46024.0</v>
      </c>
      <c r="B1678" s="201" t="s">
        <v>7153</v>
      </c>
      <c r="C1678" s="45" t="s">
        <v>7154</v>
      </c>
      <c r="D1678" s="140" t="str">
        <f>IFERROR(VLOOKUP(C1678,Stock,3,FALSE),"")</f>
        <v>Toyota Avanza / Xenia 03-11 1st Gen</v>
      </c>
      <c r="E1678" s="45">
        <v>1.0</v>
      </c>
      <c r="F1678" s="198">
        <v>500000.0</v>
      </c>
      <c r="G1678" s="142">
        <f t="shared" si="40"/>
        <v>500000</v>
      </c>
      <c r="H1678" s="142"/>
      <c r="I1678" s="143">
        <f t="shared" si="38"/>
        <v>500000</v>
      </c>
      <c r="J1678" s="144">
        <f t="shared" si="39"/>
        <v>500000</v>
      </c>
      <c r="K1678" s="108" t="s">
        <v>7155</v>
      </c>
      <c r="L1678" s="199" t="s">
        <v>7156</v>
      </c>
      <c r="M1678" s="17"/>
      <c r="N1678" s="68"/>
      <c r="O1678" s="68"/>
      <c r="P1678" s="147" t="s">
        <v>4672</v>
      </c>
      <c r="Q1678" s="141">
        <v>500000.0</v>
      </c>
      <c r="R1678" s="149"/>
      <c r="S1678" s="149"/>
      <c r="T1678" s="149"/>
      <c r="U1678" s="149"/>
      <c r="V1678" s="149"/>
      <c r="W1678" s="149"/>
      <c r="X1678" s="68"/>
      <c r="Y1678" s="68"/>
      <c r="Z1678" s="68"/>
    </row>
    <row r="1679" ht="15.0" customHeight="1">
      <c r="A1679" s="206">
        <v>46024.0</v>
      </c>
      <c r="B1679" s="201" t="s">
        <v>7157</v>
      </c>
      <c r="C1679" s="45" t="s">
        <v>2778</v>
      </c>
      <c r="D1679" s="140" t="str">
        <f>IFERROR(VLOOKUP(C1679,Stock,3,FALSE),"")</f>
        <v>Bongkar Pasang Kaca Mobil Depan</v>
      </c>
      <c r="E1679" s="45">
        <v>1.0</v>
      </c>
      <c r="F1679" s="198">
        <v>550000.0</v>
      </c>
      <c r="G1679" s="142">
        <f t="shared" si="40"/>
        <v>550000</v>
      </c>
      <c r="H1679" s="142"/>
      <c r="I1679" s="143">
        <f t="shared" si="38"/>
        <v>550000</v>
      </c>
      <c r="J1679" s="144">
        <f t="shared" si="39"/>
        <v>550000</v>
      </c>
      <c r="K1679" s="108" t="s">
        <v>6198</v>
      </c>
      <c r="L1679" s="199" t="s">
        <v>7158</v>
      </c>
      <c r="M1679" s="17"/>
      <c r="N1679" s="68"/>
      <c r="O1679" s="64" t="s">
        <v>2813</v>
      </c>
      <c r="P1679" s="147" t="s">
        <v>4672</v>
      </c>
      <c r="Q1679" s="149"/>
      <c r="R1679" s="141"/>
      <c r="S1679" s="141"/>
      <c r="T1679" s="141">
        <v>550000.0</v>
      </c>
      <c r="U1679" s="149"/>
      <c r="V1679" s="149"/>
      <c r="W1679" s="149"/>
      <c r="X1679" s="68"/>
      <c r="Y1679" s="68"/>
      <c r="Z1679" s="68"/>
    </row>
    <row r="1680" ht="15.0" customHeight="1">
      <c r="A1680" s="265">
        <v>46025.0</v>
      </c>
      <c r="B1680" s="266" t="s">
        <v>7159</v>
      </c>
      <c r="C1680" s="392" t="s">
        <v>7160</v>
      </c>
      <c r="D1680" s="268" t="str">
        <f>IFERROR(VLOOKUP(C1680,Stock,3,FALSE),"")</f>
        <v>Toyota Avanza / Xenia 11-15 2nd Gen</v>
      </c>
      <c r="E1680" s="393">
        <v>3.0</v>
      </c>
      <c r="F1680" s="394"/>
      <c r="G1680" s="271"/>
      <c r="H1680" s="271"/>
      <c r="I1680" s="272"/>
      <c r="J1680" s="273"/>
      <c r="K1680" s="267" t="s">
        <v>4509</v>
      </c>
      <c r="L1680" s="274"/>
      <c r="M1680" s="274"/>
      <c r="N1680" s="275"/>
      <c r="O1680" s="275"/>
      <c r="P1680" s="395"/>
      <c r="Q1680" s="277"/>
      <c r="R1680" s="277"/>
      <c r="S1680" s="277"/>
      <c r="T1680" s="277"/>
      <c r="U1680" s="277"/>
      <c r="V1680" s="277"/>
      <c r="W1680" s="277"/>
      <c r="X1680" s="275"/>
      <c r="Y1680" s="275"/>
      <c r="Z1680" s="275"/>
    </row>
    <row r="1681" ht="15.0" customHeight="1">
      <c r="A1681" s="265">
        <v>46025.0</v>
      </c>
      <c r="B1681" s="266" t="s">
        <v>7159</v>
      </c>
      <c r="C1681" s="392" t="s">
        <v>6425</v>
      </c>
      <c r="D1681" s="268" t="str">
        <f>IFERROR(VLOOKUP(C1681,Stock,3,FALSE),"")</f>
        <v>Honda Jazz 13- 3rd Gen</v>
      </c>
      <c r="E1681" s="393">
        <v>2.0</v>
      </c>
      <c r="F1681" s="394"/>
      <c r="G1681" s="271"/>
      <c r="H1681" s="271"/>
      <c r="I1681" s="272"/>
      <c r="J1681" s="273"/>
      <c r="K1681" s="267" t="s">
        <v>4509</v>
      </c>
      <c r="L1681" s="274"/>
      <c r="M1681" s="274"/>
      <c r="N1681" s="275"/>
      <c r="O1681" s="275"/>
      <c r="P1681" s="395"/>
      <c r="Q1681" s="277"/>
      <c r="R1681" s="277"/>
      <c r="S1681" s="277"/>
      <c r="T1681" s="277"/>
      <c r="U1681" s="277"/>
      <c r="V1681" s="277"/>
      <c r="W1681" s="277"/>
      <c r="X1681" s="275"/>
      <c r="Y1681" s="275"/>
      <c r="Z1681" s="275"/>
    </row>
    <row r="1682" ht="15.0" customHeight="1">
      <c r="A1682" s="265">
        <v>46025.0</v>
      </c>
      <c r="B1682" s="266" t="s">
        <v>7159</v>
      </c>
      <c r="C1682" s="392" t="s">
        <v>7161</v>
      </c>
      <c r="D1682" s="268" t="str">
        <f>IFERROR(VLOOKUP(C1682,Stock,3,FALSE),"")</f>
        <v>Honda Brio 10- / Mobilio 11-</v>
      </c>
      <c r="E1682" s="393">
        <v>3.0</v>
      </c>
      <c r="F1682" s="394"/>
      <c r="G1682" s="271"/>
      <c r="H1682" s="271"/>
      <c r="I1682" s="272"/>
      <c r="J1682" s="273"/>
      <c r="K1682" s="267" t="s">
        <v>4509</v>
      </c>
      <c r="L1682" s="274"/>
      <c r="M1682" s="274"/>
      <c r="N1682" s="275"/>
      <c r="O1682" s="275"/>
      <c r="P1682" s="395"/>
      <c r="Q1682" s="277"/>
      <c r="R1682" s="277"/>
      <c r="S1682" s="277"/>
      <c r="T1682" s="277"/>
      <c r="U1682" s="277"/>
      <c r="V1682" s="277"/>
      <c r="W1682" s="277"/>
      <c r="X1682" s="275"/>
      <c r="Y1682" s="275"/>
      <c r="Z1682" s="275"/>
    </row>
    <row r="1683" ht="15.0" customHeight="1">
      <c r="A1683" s="265">
        <v>46025.0</v>
      </c>
      <c r="B1683" s="266" t="s">
        <v>7159</v>
      </c>
      <c r="C1683" s="392" t="s">
        <v>3043</v>
      </c>
      <c r="D1683" s="268" t="str">
        <f>IFERROR(VLOOKUP(C1683,Stock,3,FALSE),"")</f>
        <v>Honda CR-V 17- 5th Gen</v>
      </c>
      <c r="E1683" s="393">
        <v>2.0</v>
      </c>
      <c r="F1683" s="394"/>
      <c r="G1683" s="271"/>
      <c r="H1683" s="271"/>
      <c r="I1683" s="272"/>
      <c r="J1683" s="273"/>
      <c r="K1683" s="267" t="s">
        <v>4509</v>
      </c>
      <c r="L1683" s="274"/>
      <c r="M1683" s="274"/>
      <c r="N1683" s="275"/>
      <c r="O1683" s="275"/>
      <c r="P1683" s="395"/>
      <c r="Q1683" s="277"/>
      <c r="R1683" s="277"/>
      <c r="S1683" s="277"/>
      <c r="T1683" s="277"/>
      <c r="U1683" s="277"/>
      <c r="V1683" s="277"/>
      <c r="W1683" s="277"/>
      <c r="X1683" s="275"/>
      <c r="Y1683" s="275"/>
      <c r="Z1683" s="275"/>
    </row>
    <row r="1684" ht="15.0" customHeight="1">
      <c r="A1684" s="265">
        <v>46025.0</v>
      </c>
      <c r="B1684" s="266" t="s">
        <v>7159</v>
      </c>
      <c r="C1684" s="392" t="s">
        <v>5041</v>
      </c>
      <c r="D1684" s="268" t="str">
        <f>IFERROR(VLOOKUP(C1684,Stock,3,FALSE),"")</f>
        <v>Honda Freed 08-16 1st gen</v>
      </c>
      <c r="E1684" s="393">
        <v>2.0</v>
      </c>
      <c r="F1684" s="394"/>
      <c r="G1684" s="271"/>
      <c r="H1684" s="271"/>
      <c r="I1684" s="272"/>
      <c r="J1684" s="273"/>
      <c r="K1684" s="267" t="s">
        <v>4509</v>
      </c>
      <c r="L1684" s="274"/>
      <c r="M1684" s="274"/>
      <c r="N1684" s="275"/>
      <c r="O1684" s="275"/>
      <c r="P1684" s="395"/>
      <c r="Q1684" s="277"/>
      <c r="R1684" s="277"/>
      <c r="S1684" s="277"/>
      <c r="T1684" s="277"/>
      <c r="U1684" s="277"/>
      <c r="V1684" s="277"/>
      <c r="W1684" s="277"/>
      <c r="X1684" s="275"/>
      <c r="Y1684" s="275"/>
      <c r="Z1684" s="275"/>
    </row>
    <row r="1685" ht="15.0" customHeight="1">
      <c r="A1685" s="265">
        <v>46025.0</v>
      </c>
      <c r="B1685" s="266" t="s">
        <v>7159</v>
      </c>
      <c r="C1685" s="392" t="s">
        <v>5970</v>
      </c>
      <c r="D1685" s="268" t="str">
        <f>IFERROR(VLOOKUP(C1685,Stock,3,FALSE),"")</f>
        <v>Honda CR-V 12-16 4th Gen</v>
      </c>
      <c r="E1685" s="393">
        <v>1.0</v>
      </c>
      <c r="F1685" s="394"/>
      <c r="G1685" s="271"/>
      <c r="H1685" s="271"/>
      <c r="I1685" s="272"/>
      <c r="J1685" s="273"/>
      <c r="K1685" s="267" t="s">
        <v>4509</v>
      </c>
      <c r="L1685" s="274"/>
      <c r="M1685" s="274"/>
      <c r="N1685" s="275"/>
      <c r="O1685" s="275"/>
      <c r="P1685" s="395"/>
      <c r="Q1685" s="277"/>
      <c r="R1685" s="277"/>
      <c r="S1685" s="277"/>
      <c r="T1685" s="277"/>
      <c r="U1685" s="277"/>
      <c r="V1685" s="277"/>
      <c r="W1685" s="277"/>
      <c r="X1685" s="275"/>
      <c r="Y1685" s="275"/>
      <c r="Z1685" s="275"/>
    </row>
    <row r="1686" ht="15.0" customHeight="1">
      <c r="A1686" s="265">
        <v>46025.0</v>
      </c>
      <c r="B1686" s="266" t="s">
        <v>7159</v>
      </c>
      <c r="C1686" s="392" t="s">
        <v>2995</v>
      </c>
      <c r="D1686" s="268" t="str">
        <f>IFERROR(VLOOKUP(C1686,Stock,3,FALSE),"")</f>
        <v>Honda CR-V 02-04 2nd Gen (Spion Jepit)</v>
      </c>
      <c r="E1686" s="393">
        <v>1.0</v>
      </c>
      <c r="F1686" s="394"/>
      <c r="G1686" s="271"/>
      <c r="H1686" s="271"/>
      <c r="I1686" s="272"/>
      <c r="J1686" s="273"/>
      <c r="K1686" s="267" t="s">
        <v>4509</v>
      </c>
      <c r="L1686" s="274"/>
      <c r="M1686" s="274"/>
      <c r="N1686" s="275"/>
      <c r="O1686" s="275"/>
      <c r="P1686" s="395"/>
      <c r="Q1686" s="277"/>
      <c r="R1686" s="277"/>
      <c r="S1686" s="277"/>
      <c r="T1686" s="277"/>
      <c r="U1686" s="277"/>
      <c r="V1686" s="277"/>
      <c r="W1686" s="277"/>
      <c r="X1686" s="275"/>
      <c r="Y1686" s="275"/>
      <c r="Z1686" s="275"/>
    </row>
    <row r="1687" ht="15.0" customHeight="1">
      <c r="A1687" s="265">
        <v>46025.0</v>
      </c>
      <c r="B1687" s="266" t="s">
        <v>7159</v>
      </c>
      <c r="C1687" s="392" t="s">
        <v>3126</v>
      </c>
      <c r="D1687" s="268" t="str">
        <f>IFERROR(VLOOKUP(C1687,Stock,3,FALSE),"")</f>
        <v>Suzuki Carry New 19-</v>
      </c>
      <c r="E1687" s="393">
        <v>2.0</v>
      </c>
      <c r="F1687" s="394"/>
      <c r="G1687" s="271"/>
      <c r="H1687" s="271"/>
      <c r="I1687" s="272"/>
      <c r="J1687" s="273"/>
      <c r="K1687" s="267" t="s">
        <v>4509</v>
      </c>
      <c r="L1687" s="274"/>
      <c r="M1687" s="274"/>
      <c r="N1687" s="275"/>
      <c r="O1687" s="275"/>
      <c r="P1687" s="395"/>
      <c r="Q1687" s="277"/>
      <c r="R1687" s="277"/>
      <c r="S1687" s="277"/>
      <c r="T1687" s="277"/>
      <c r="U1687" s="277"/>
      <c r="V1687" s="277"/>
      <c r="W1687" s="277"/>
      <c r="X1687" s="275"/>
      <c r="Y1687" s="275"/>
      <c r="Z1687" s="275"/>
    </row>
    <row r="1688" ht="15.0" customHeight="1">
      <c r="A1688" s="265">
        <v>46025.0</v>
      </c>
      <c r="B1688" s="266" t="s">
        <v>7159</v>
      </c>
      <c r="C1688" s="392" t="s">
        <v>7162</v>
      </c>
      <c r="D1688" s="268" t="str">
        <f>IFERROR(VLOOKUP(C1688,Stock,3,FALSE),"")</f>
        <v>Toyota Innova 04-15 1st Gen</v>
      </c>
      <c r="E1688" s="393">
        <v>2.0</v>
      </c>
      <c r="F1688" s="394"/>
      <c r="G1688" s="271"/>
      <c r="H1688" s="271"/>
      <c r="I1688" s="272"/>
      <c r="J1688" s="273"/>
      <c r="K1688" s="267" t="s">
        <v>4509</v>
      </c>
      <c r="L1688" s="274"/>
      <c r="M1688" s="274"/>
      <c r="N1688" s="275"/>
      <c r="O1688" s="275"/>
      <c r="P1688" s="395"/>
      <c r="Q1688" s="277"/>
      <c r="R1688" s="277"/>
      <c r="S1688" s="277"/>
      <c r="T1688" s="277"/>
      <c r="U1688" s="277"/>
      <c r="V1688" s="277"/>
      <c r="W1688" s="277"/>
      <c r="X1688" s="275"/>
      <c r="Y1688" s="275"/>
      <c r="Z1688" s="275"/>
    </row>
    <row r="1689" ht="15.0" customHeight="1">
      <c r="A1689" s="265">
        <v>46025.0</v>
      </c>
      <c r="B1689" s="266" t="s">
        <v>7159</v>
      </c>
      <c r="C1689" s="392" t="s">
        <v>7163</v>
      </c>
      <c r="D1689" s="268" t="str">
        <f>IFERROR(VLOOKUP(C1689,Stock,3,FALSE),"")</f>
        <v>Toyota Innova 15- 2nd Gen</v>
      </c>
      <c r="E1689" s="396">
        <v>2.0</v>
      </c>
      <c r="F1689" s="394"/>
      <c r="G1689" s="271"/>
      <c r="H1689" s="271"/>
      <c r="I1689" s="272"/>
      <c r="J1689" s="273"/>
      <c r="K1689" s="267" t="s">
        <v>4509</v>
      </c>
      <c r="L1689" s="274"/>
      <c r="M1689" s="274"/>
      <c r="N1689" s="275"/>
      <c r="O1689" s="275"/>
      <c r="P1689" s="395"/>
      <c r="Q1689" s="277"/>
      <c r="R1689" s="277"/>
      <c r="S1689" s="277"/>
      <c r="T1689" s="277"/>
      <c r="U1689" s="277"/>
      <c r="V1689" s="277"/>
      <c r="W1689" s="277"/>
      <c r="X1689" s="275"/>
      <c r="Y1689" s="275"/>
      <c r="Z1689" s="275"/>
    </row>
    <row r="1690" ht="15.0" customHeight="1">
      <c r="A1690" s="265">
        <v>46025.0</v>
      </c>
      <c r="B1690" s="266" t="s">
        <v>7159</v>
      </c>
      <c r="C1690" s="392" t="s">
        <v>7149</v>
      </c>
      <c r="D1690" s="268" t="str">
        <f>IFERROR(VLOOKUP(C1690,Stock,3,FALSE),"")</f>
        <v>Toyota Dyna/Hino Dutro 00-</v>
      </c>
      <c r="E1690" s="393">
        <v>2.0</v>
      </c>
      <c r="F1690" s="394"/>
      <c r="G1690" s="271"/>
      <c r="H1690" s="271"/>
      <c r="I1690" s="272"/>
      <c r="J1690" s="273"/>
      <c r="K1690" s="267" t="s">
        <v>4509</v>
      </c>
      <c r="L1690" s="274"/>
      <c r="M1690" s="274"/>
      <c r="N1690" s="275"/>
      <c r="O1690" s="275"/>
      <c r="P1690" s="395"/>
      <c r="Q1690" s="277"/>
      <c r="R1690" s="277"/>
      <c r="S1690" s="277"/>
      <c r="T1690" s="277"/>
      <c r="U1690" s="277"/>
      <c r="V1690" s="277"/>
      <c r="W1690" s="277"/>
      <c r="X1690" s="275"/>
      <c r="Y1690" s="275"/>
      <c r="Z1690" s="275"/>
    </row>
    <row r="1691" ht="15.0" customHeight="1">
      <c r="A1691" s="265">
        <v>46025.0</v>
      </c>
      <c r="B1691" s="266" t="s">
        <v>7159</v>
      </c>
      <c r="C1691" s="392" t="s">
        <v>3475</v>
      </c>
      <c r="D1691" s="268" t="str">
        <f>IFERROR(VLOOKUP(C1691,Stock,3,FALSE),"")</f>
        <v>Toyota Avanza / Xenia 03-11 1st Gen</v>
      </c>
      <c r="E1691" s="393">
        <v>3.0</v>
      </c>
      <c r="F1691" s="394"/>
      <c r="G1691" s="271"/>
      <c r="H1691" s="271"/>
      <c r="I1691" s="272"/>
      <c r="J1691" s="273"/>
      <c r="K1691" s="267" t="s">
        <v>4509</v>
      </c>
      <c r="L1691" s="274"/>
      <c r="M1691" s="274"/>
      <c r="N1691" s="275"/>
      <c r="O1691" s="275"/>
      <c r="P1691" s="395"/>
      <c r="Q1691" s="277"/>
      <c r="R1691" s="277"/>
      <c r="S1691" s="277"/>
      <c r="T1691" s="277"/>
      <c r="U1691" s="277"/>
      <c r="V1691" s="277"/>
      <c r="W1691" s="277"/>
      <c r="X1691" s="275"/>
      <c r="Y1691" s="275"/>
      <c r="Z1691" s="275"/>
    </row>
    <row r="1692" ht="15.0" customHeight="1">
      <c r="A1692" s="265">
        <v>46025.0</v>
      </c>
      <c r="B1692" s="266" t="s">
        <v>7159</v>
      </c>
      <c r="C1692" s="392" t="s">
        <v>5346</v>
      </c>
      <c r="D1692" s="268" t="str">
        <f>IFERROR(VLOOKUP(C1692,Stock,3,FALSE),"")</f>
        <v>Isuzu Traga</v>
      </c>
      <c r="E1692" s="393">
        <v>2.0</v>
      </c>
      <c r="F1692" s="394"/>
      <c r="G1692" s="271"/>
      <c r="H1692" s="271"/>
      <c r="I1692" s="272"/>
      <c r="J1692" s="273"/>
      <c r="K1692" s="267" t="s">
        <v>4509</v>
      </c>
      <c r="L1692" s="274"/>
      <c r="M1692" s="274"/>
      <c r="N1692" s="275"/>
      <c r="O1692" s="275"/>
      <c r="P1692" s="395"/>
      <c r="Q1692" s="277"/>
      <c r="R1692" s="277"/>
      <c r="S1692" s="277"/>
      <c r="T1692" s="277"/>
      <c r="U1692" s="277"/>
      <c r="V1692" s="277"/>
      <c r="W1692" s="277"/>
      <c r="X1692" s="275"/>
      <c r="Y1692" s="275"/>
      <c r="Z1692" s="275"/>
    </row>
    <row r="1693" ht="15.0" customHeight="1">
      <c r="A1693" s="265">
        <v>46025.0</v>
      </c>
      <c r="B1693" s="266" t="s">
        <v>7159</v>
      </c>
      <c r="C1693" s="397" t="s">
        <v>7164</v>
      </c>
      <c r="D1693" s="268" t="str">
        <f>IFERROR(VLOOKUP(C1693,Stock,3,FALSE),"")</f>
        <v>Ford Everest 04-15 / Ranger 04-11 / Mazda BT-50</v>
      </c>
      <c r="E1693" s="396">
        <v>1.0</v>
      </c>
      <c r="F1693" s="394"/>
      <c r="G1693" s="271"/>
      <c r="H1693" s="271"/>
      <c r="I1693" s="272"/>
      <c r="J1693" s="273"/>
      <c r="K1693" s="267" t="s">
        <v>4509</v>
      </c>
      <c r="L1693" s="274"/>
      <c r="M1693" s="274"/>
      <c r="N1693" s="275"/>
      <c r="O1693" s="275"/>
      <c r="P1693" s="395"/>
      <c r="Q1693" s="277"/>
      <c r="R1693" s="277"/>
      <c r="S1693" s="277"/>
      <c r="T1693" s="277"/>
      <c r="U1693" s="277"/>
      <c r="V1693" s="277"/>
      <c r="W1693" s="277"/>
      <c r="X1693" s="275"/>
      <c r="Y1693" s="275"/>
      <c r="Z1693" s="275"/>
    </row>
    <row r="1694" ht="15.0" customHeight="1">
      <c r="A1694" s="265">
        <v>46025.0</v>
      </c>
      <c r="B1694" s="266" t="s">
        <v>7165</v>
      </c>
      <c r="C1694" s="392" t="s">
        <v>2924</v>
      </c>
      <c r="D1694" s="268" t="str">
        <f>IFERROR(VLOOKUP(C1694,Stock,3,FALSE),"")</f>
        <v>Suzuki Ertiga 12-18 1st Gen MPV</v>
      </c>
      <c r="E1694" s="393">
        <v>1.0</v>
      </c>
      <c r="F1694" s="394"/>
      <c r="G1694" s="271"/>
      <c r="H1694" s="271"/>
      <c r="I1694" s="272"/>
      <c r="J1694" s="273"/>
      <c r="K1694" s="267" t="s">
        <v>4509</v>
      </c>
      <c r="L1694" s="274"/>
      <c r="M1694" s="274"/>
      <c r="N1694" s="275"/>
      <c r="O1694" s="275"/>
      <c r="P1694" s="395"/>
      <c r="Q1694" s="277"/>
      <c r="R1694" s="277"/>
      <c r="S1694" s="277"/>
      <c r="T1694" s="277"/>
      <c r="U1694" s="277"/>
      <c r="V1694" s="277"/>
      <c r="W1694" s="277"/>
      <c r="X1694" s="275"/>
      <c r="Y1694" s="275"/>
      <c r="Z1694" s="275"/>
    </row>
    <row r="1695" ht="15.0" customHeight="1">
      <c r="A1695" s="206">
        <v>46025.0</v>
      </c>
      <c r="B1695" s="201" t="s">
        <v>7166</v>
      </c>
      <c r="C1695" s="45" t="s">
        <v>7164</v>
      </c>
      <c r="D1695" s="140" t="str">
        <f>IFERROR(VLOOKUP(C1695,Stock,3,FALSE),"")</f>
        <v>Ford Everest 04-15 / Ranger 04-11 / Mazda BT-50</v>
      </c>
      <c r="E1695" s="45">
        <v>1.0</v>
      </c>
      <c r="F1695" s="198">
        <v>1411000.0</v>
      </c>
      <c r="G1695" s="142">
        <f t="shared" ref="G1695:G1716" si="41">E1695*F1695</f>
        <v>1411000</v>
      </c>
      <c r="H1695" s="142"/>
      <c r="I1695" s="143">
        <f t="shared" ref="I1695:I1716" si="42">G1695-H1695</f>
        <v>1411000</v>
      </c>
      <c r="J1695" s="144">
        <f t="shared" ref="J1695:J1716" si="43">I1695</f>
        <v>1411000</v>
      </c>
      <c r="K1695" s="108" t="s">
        <v>7167</v>
      </c>
      <c r="L1695" s="199" t="s">
        <v>7168</v>
      </c>
      <c r="M1695" s="17"/>
      <c r="N1695" s="64" t="s">
        <v>7169</v>
      </c>
      <c r="O1695" s="64" t="s">
        <v>2987</v>
      </c>
      <c r="P1695" s="147" t="s">
        <v>4672</v>
      </c>
      <c r="Q1695" s="149"/>
      <c r="R1695" s="141"/>
      <c r="S1695" s="141"/>
      <c r="T1695" s="141">
        <v>100000.0</v>
      </c>
      <c r="U1695" s="149"/>
      <c r="V1695" s="149"/>
      <c r="W1695" s="149"/>
      <c r="X1695" s="68"/>
      <c r="Y1695" s="68"/>
      <c r="Z1695" s="68"/>
    </row>
    <row r="1696" ht="15.0" customHeight="1">
      <c r="A1696" s="206">
        <v>46025.0</v>
      </c>
      <c r="B1696" s="201" t="s">
        <v>7166</v>
      </c>
      <c r="C1696" s="45" t="s">
        <v>2770</v>
      </c>
      <c r="D1696" s="140" t="str">
        <f>IFERROR(VLOOKUP(C1696,Stock,3,FALSE),"")</f>
        <v>Transport</v>
      </c>
      <c r="E1696" s="45">
        <v>1.0</v>
      </c>
      <c r="F1696" s="198">
        <v>120000.0</v>
      </c>
      <c r="G1696" s="142">
        <f t="shared" si="41"/>
        <v>120000</v>
      </c>
      <c r="H1696" s="142"/>
      <c r="I1696" s="143">
        <f t="shared" si="42"/>
        <v>120000</v>
      </c>
      <c r="J1696" s="144">
        <f t="shared" si="43"/>
        <v>120000</v>
      </c>
      <c r="K1696" s="108" t="s">
        <v>7167</v>
      </c>
      <c r="L1696" s="199" t="s">
        <v>7168</v>
      </c>
      <c r="M1696" s="17"/>
      <c r="N1696" s="64" t="s">
        <v>7169</v>
      </c>
      <c r="O1696" s="64" t="s">
        <v>2987</v>
      </c>
      <c r="P1696" s="147" t="s">
        <v>4672</v>
      </c>
      <c r="Q1696" s="149"/>
      <c r="R1696" s="141"/>
      <c r="S1696" s="141"/>
      <c r="T1696" s="141">
        <v>1431000.0</v>
      </c>
      <c r="U1696" s="149"/>
      <c r="V1696" s="149"/>
      <c r="W1696" s="149"/>
      <c r="X1696" s="68"/>
      <c r="Y1696" s="68"/>
      <c r="Z1696" s="68"/>
    </row>
    <row r="1697" ht="15.0" customHeight="1">
      <c r="A1697" s="206">
        <v>46025.0</v>
      </c>
      <c r="B1697" s="201" t="s">
        <v>7170</v>
      </c>
      <c r="C1697" s="45" t="s">
        <v>3858</v>
      </c>
      <c r="D1697" s="140" t="str">
        <f>IFERROR(VLOOKUP(C1697,Stock,3,FALSE),"")</f>
        <v>Daihatsu Luxio 07-</v>
      </c>
      <c r="E1697" s="45">
        <v>1.0</v>
      </c>
      <c r="F1697" s="198" t="s">
        <v>7171</v>
      </c>
      <c r="G1697" s="142" t="str">
        <f t="shared" si="41"/>
        <v>#VALUE!</v>
      </c>
      <c r="H1697" s="142"/>
      <c r="I1697" s="143" t="str">
        <f t="shared" si="42"/>
        <v>#VALUE!</v>
      </c>
      <c r="J1697" s="144" t="str">
        <f t="shared" si="43"/>
        <v>#VALUE!</v>
      </c>
      <c r="K1697" s="108" t="s">
        <v>7172</v>
      </c>
      <c r="L1697" s="199" t="s">
        <v>7173</v>
      </c>
      <c r="M1697" s="17"/>
      <c r="N1697" s="64" t="s">
        <v>7174</v>
      </c>
      <c r="O1697" s="64" t="s">
        <v>2813</v>
      </c>
      <c r="P1697" s="147" t="s">
        <v>4672</v>
      </c>
      <c r="Q1697" s="149"/>
      <c r="R1697" s="141"/>
      <c r="S1697" s="141"/>
      <c r="T1697" s="141">
        <v>985000.0</v>
      </c>
      <c r="U1697" s="149"/>
      <c r="V1697" s="149"/>
      <c r="W1697" s="149"/>
      <c r="X1697" s="68"/>
      <c r="Y1697" s="68"/>
      <c r="Z1697" s="68"/>
    </row>
    <row r="1698" ht="15.0" customHeight="1">
      <c r="A1698" s="206">
        <v>46025.0</v>
      </c>
      <c r="B1698" s="398" t="s">
        <v>7175</v>
      </c>
      <c r="C1698" s="45" t="s">
        <v>7149</v>
      </c>
      <c r="D1698" s="140" t="str">
        <f>IFERROR(VLOOKUP(C1698,Stock,3,FALSE),"")</f>
        <v>Toyota Dyna/Hino Dutro 00-</v>
      </c>
      <c r="E1698" s="45">
        <v>1.0</v>
      </c>
      <c r="F1698" s="198">
        <v>1100000.0</v>
      </c>
      <c r="G1698" s="142">
        <f t="shared" si="41"/>
        <v>1100000</v>
      </c>
      <c r="H1698" s="143"/>
      <c r="I1698" s="143">
        <f t="shared" si="42"/>
        <v>1100000</v>
      </c>
      <c r="J1698" s="144">
        <f t="shared" si="43"/>
        <v>1100000</v>
      </c>
      <c r="K1698" s="108" t="s">
        <v>7176</v>
      </c>
      <c r="L1698" s="199" t="s">
        <v>7177</v>
      </c>
      <c r="M1698" s="17"/>
      <c r="N1698" s="68"/>
      <c r="O1698" s="64" t="s">
        <v>7178</v>
      </c>
      <c r="P1698" s="147" t="s">
        <v>4672</v>
      </c>
      <c r="Q1698" s="149"/>
      <c r="R1698" s="141"/>
      <c r="S1698" s="141"/>
      <c r="T1698" s="141">
        <v>1100000.0</v>
      </c>
      <c r="U1698" s="149"/>
      <c r="V1698" s="149"/>
      <c r="W1698" s="149"/>
      <c r="X1698" s="68"/>
      <c r="Y1698" s="68"/>
      <c r="Z1698" s="68"/>
    </row>
    <row r="1699" ht="15.0" customHeight="1">
      <c r="A1699" s="206">
        <v>46025.0</v>
      </c>
      <c r="B1699" s="201" t="s">
        <v>7179</v>
      </c>
      <c r="C1699" s="45" t="s">
        <v>4134</v>
      </c>
      <c r="D1699" s="140" t="str">
        <f>IFERROR(VLOOKUP(C1699,Stock,3,FALSE),"")</f>
        <v>Mazda 2 14- Skyactiv 4th Gen</v>
      </c>
      <c r="E1699" s="45">
        <v>1.0</v>
      </c>
      <c r="F1699" s="198">
        <v>2616000.0</v>
      </c>
      <c r="G1699" s="142">
        <f t="shared" si="41"/>
        <v>2616000</v>
      </c>
      <c r="H1699" s="143">
        <v>16000.0</v>
      </c>
      <c r="I1699" s="143">
        <f t="shared" si="42"/>
        <v>2600000</v>
      </c>
      <c r="J1699" s="144">
        <f t="shared" si="43"/>
        <v>2600000</v>
      </c>
      <c r="K1699" s="108" t="s">
        <v>7180</v>
      </c>
      <c r="L1699" s="199" t="s">
        <v>7181</v>
      </c>
      <c r="M1699" s="17"/>
      <c r="N1699" s="64" t="s">
        <v>7182</v>
      </c>
      <c r="O1699" s="64" t="s">
        <v>3007</v>
      </c>
      <c r="P1699" s="147" t="s">
        <v>4672</v>
      </c>
      <c r="Q1699" s="149"/>
      <c r="R1699" s="141"/>
      <c r="S1699" s="141"/>
      <c r="T1699" s="141">
        <v>2800000.0</v>
      </c>
      <c r="U1699" s="149"/>
      <c r="V1699" s="149"/>
      <c r="W1699" s="149"/>
      <c r="X1699" s="68"/>
      <c r="Y1699" s="68"/>
      <c r="Z1699" s="68"/>
    </row>
    <row r="1700" ht="15.0" customHeight="1">
      <c r="A1700" s="206">
        <v>46025.0</v>
      </c>
      <c r="B1700" s="201" t="s">
        <v>7179</v>
      </c>
      <c r="C1700" s="45" t="s">
        <v>4979</v>
      </c>
      <c r="D1700" s="140" t="str">
        <f>IFERROR(VLOOKUP(C1700,Stock,3,FALSE),"")</f>
        <v>255 Ultra + Actv-100 Application</v>
      </c>
      <c r="E1700" s="45">
        <v>1.0</v>
      </c>
      <c r="F1700" s="198">
        <v>200000.0</v>
      </c>
      <c r="G1700" s="142">
        <f t="shared" si="41"/>
        <v>200000</v>
      </c>
      <c r="H1700" s="142"/>
      <c r="I1700" s="143">
        <f t="shared" si="42"/>
        <v>200000</v>
      </c>
      <c r="J1700" s="144">
        <f t="shared" si="43"/>
        <v>200000</v>
      </c>
      <c r="K1700" s="108" t="s">
        <v>7180</v>
      </c>
      <c r="L1700" s="199" t="s">
        <v>7181</v>
      </c>
      <c r="M1700" s="17"/>
      <c r="N1700" s="64" t="s">
        <v>7182</v>
      </c>
      <c r="O1700" s="64" t="s">
        <v>3007</v>
      </c>
      <c r="P1700" s="147" t="s">
        <v>4672</v>
      </c>
      <c r="Q1700" s="149"/>
      <c r="R1700" s="149"/>
      <c r="S1700" s="149"/>
      <c r="T1700" s="149"/>
      <c r="U1700" s="149"/>
      <c r="V1700" s="149"/>
      <c r="W1700" s="149"/>
      <c r="X1700" s="68"/>
      <c r="Y1700" s="68"/>
      <c r="Z1700" s="68"/>
    </row>
    <row r="1701" ht="15.0" customHeight="1">
      <c r="A1701" s="206">
        <v>46025.0</v>
      </c>
      <c r="B1701" s="201" t="s">
        <v>7183</v>
      </c>
      <c r="C1701" s="45" t="s">
        <v>7184</v>
      </c>
      <c r="D1701" s="140" t="str">
        <f>IFERROR(VLOOKUP(C1701,Stock,3,FALSE),"")</f>
        <v>Toyota Rush / Terios 18-</v>
      </c>
      <c r="E1701" s="45">
        <v>1.0</v>
      </c>
      <c r="F1701" s="198">
        <v>580000.0</v>
      </c>
      <c r="G1701" s="142">
        <f t="shared" si="41"/>
        <v>580000</v>
      </c>
      <c r="H1701" s="142"/>
      <c r="I1701" s="143">
        <f t="shared" si="42"/>
        <v>580000</v>
      </c>
      <c r="J1701" s="144">
        <f t="shared" si="43"/>
        <v>580000</v>
      </c>
      <c r="K1701" s="108" t="s">
        <v>7185</v>
      </c>
      <c r="L1701" s="199" t="s">
        <v>7186</v>
      </c>
      <c r="M1701" s="17"/>
      <c r="N1701" s="64" t="s">
        <v>7187</v>
      </c>
      <c r="O1701" s="64" t="s">
        <v>3033</v>
      </c>
      <c r="P1701" s="147" t="s">
        <v>4672</v>
      </c>
      <c r="Q1701" s="149"/>
      <c r="R1701" s="141"/>
      <c r="S1701" s="141"/>
      <c r="T1701" s="141">
        <v>580000.0</v>
      </c>
      <c r="U1701" s="149"/>
      <c r="V1701" s="149"/>
      <c r="W1701" s="149"/>
      <c r="X1701" s="68"/>
      <c r="Y1701" s="68"/>
      <c r="Z1701" s="68"/>
    </row>
    <row r="1702" ht="15.0" customHeight="1">
      <c r="A1702" s="206">
        <v>46025.0</v>
      </c>
      <c r="B1702" s="201" t="s">
        <v>7188</v>
      </c>
      <c r="C1702" s="45" t="s">
        <v>3475</v>
      </c>
      <c r="D1702" s="140" t="str">
        <f>IFERROR(VLOOKUP(C1702,Stock,3,FALSE),"")</f>
        <v>Toyota Avanza / Xenia 03-11 1st Gen</v>
      </c>
      <c r="E1702" s="45">
        <v>1.0</v>
      </c>
      <c r="F1702" s="198">
        <v>1000000.0</v>
      </c>
      <c r="G1702" s="142">
        <f t="shared" si="41"/>
        <v>1000000</v>
      </c>
      <c r="H1702" s="142"/>
      <c r="I1702" s="143">
        <f t="shared" si="42"/>
        <v>1000000</v>
      </c>
      <c r="J1702" s="144">
        <f t="shared" si="43"/>
        <v>1000000</v>
      </c>
      <c r="K1702" s="108" t="s">
        <v>7189</v>
      </c>
      <c r="L1702" s="199" t="s">
        <v>7190</v>
      </c>
      <c r="M1702" s="17"/>
      <c r="N1702" s="64" t="s">
        <v>7191</v>
      </c>
      <c r="O1702" s="64" t="s">
        <v>2813</v>
      </c>
      <c r="P1702" s="147" t="s">
        <v>4672</v>
      </c>
      <c r="Q1702" s="149"/>
      <c r="R1702" s="141"/>
      <c r="S1702" s="141"/>
      <c r="T1702" s="141">
        <v>1000000.0</v>
      </c>
      <c r="U1702" s="149"/>
      <c r="V1702" s="149"/>
      <c r="W1702" s="149"/>
      <c r="X1702" s="68"/>
      <c r="Y1702" s="68"/>
      <c r="Z1702" s="68"/>
    </row>
    <row r="1703" ht="15.0" customHeight="1">
      <c r="A1703" s="45" t="s">
        <v>1973</v>
      </c>
      <c r="B1703" s="201" t="s">
        <v>7192</v>
      </c>
      <c r="C1703" s="45" t="s">
        <v>7162</v>
      </c>
      <c r="D1703" s="140" t="str">
        <f>IFERROR(VLOOKUP(C1703,Stock,3,FALSE),"")</f>
        <v>Toyota Innova 04-15 1st Gen</v>
      </c>
      <c r="E1703" s="45">
        <v>1.0</v>
      </c>
      <c r="F1703" s="198">
        <v>1350000.0</v>
      </c>
      <c r="G1703" s="142">
        <f t="shared" si="41"/>
        <v>1350000</v>
      </c>
      <c r="H1703" s="142"/>
      <c r="I1703" s="143">
        <f t="shared" si="42"/>
        <v>1350000</v>
      </c>
      <c r="J1703" s="144">
        <f t="shared" si="43"/>
        <v>1350000</v>
      </c>
      <c r="K1703" s="108" t="s">
        <v>7004</v>
      </c>
      <c r="L1703" s="199" t="s">
        <v>7005</v>
      </c>
      <c r="M1703" s="17"/>
      <c r="N1703" s="64" t="s">
        <v>7193</v>
      </c>
      <c r="O1703" s="64" t="s">
        <v>3341</v>
      </c>
      <c r="P1703" s="147" t="s">
        <v>4672</v>
      </c>
      <c r="Q1703" s="149"/>
      <c r="R1703" s="149"/>
      <c r="S1703" s="149"/>
      <c r="T1703" s="149"/>
      <c r="U1703" s="149"/>
      <c r="V1703" s="149"/>
      <c r="W1703" s="149"/>
      <c r="X1703" s="68"/>
      <c r="Y1703" s="68"/>
      <c r="Z1703" s="68"/>
    </row>
    <row r="1704" ht="15.0" customHeight="1">
      <c r="A1704" s="206">
        <v>46025.0</v>
      </c>
      <c r="B1704" s="201" t="s">
        <v>7192</v>
      </c>
      <c r="C1704" s="45" t="s">
        <v>3352</v>
      </c>
      <c r="D1704" s="140" t="str">
        <f>IFERROR(VLOOKUP(C1704,Stock,3,FALSE),"")</f>
        <v>List Kaca Depan INV</v>
      </c>
      <c r="E1704" s="45">
        <v>1.0</v>
      </c>
      <c r="F1704" s="198">
        <v>315000.0</v>
      </c>
      <c r="G1704" s="142">
        <f t="shared" si="41"/>
        <v>315000</v>
      </c>
      <c r="H1704" s="142"/>
      <c r="I1704" s="143">
        <f t="shared" si="42"/>
        <v>315000</v>
      </c>
      <c r="J1704" s="144">
        <f t="shared" si="43"/>
        <v>315000</v>
      </c>
      <c r="K1704" s="108" t="s">
        <v>7004</v>
      </c>
      <c r="L1704" s="199" t="s">
        <v>7005</v>
      </c>
      <c r="M1704" s="17"/>
      <c r="N1704" s="68"/>
      <c r="O1704" s="64" t="s">
        <v>3341</v>
      </c>
      <c r="P1704" s="147" t="s">
        <v>4672</v>
      </c>
      <c r="Q1704" s="149"/>
      <c r="R1704" s="149"/>
      <c r="S1704" s="149"/>
      <c r="T1704" s="149"/>
      <c r="U1704" s="149"/>
      <c r="V1704" s="149"/>
      <c r="W1704" s="149"/>
      <c r="X1704" s="68"/>
      <c r="Y1704" s="68"/>
      <c r="Z1704" s="68"/>
    </row>
    <row r="1705" ht="15.0" customHeight="1">
      <c r="A1705" s="206">
        <v>46025.0</v>
      </c>
      <c r="B1705" s="201" t="s">
        <v>7194</v>
      </c>
      <c r="C1705" s="45" t="s">
        <v>3318</v>
      </c>
      <c r="D1705" s="140" t="str">
        <f>IFERROR(VLOOKUP(C1705,Stock,3,FALSE),"")</f>
        <v>Suzuki Swift 11-17 2nd Gen</v>
      </c>
      <c r="E1705" s="45">
        <v>1.0</v>
      </c>
      <c r="F1705" s="198">
        <v>1596000.0</v>
      </c>
      <c r="G1705" s="142">
        <f t="shared" si="41"/>
        <v>1596000</v>
      </c>
      <c r="H1705" s="142"/>
      <c r="I1705" s="143">
        <f t="shared" si="42"/>
        <v>1596000</v>
      </c>
      <c r="J1705" s="144">
        <f t="shared" si="43"/>
        <v>1596000</v>
      </c>
      <c r="K1705" s="108" t="s">
        <v>7195</v>
      </c>
      <c r="L1705" s="199" t="s">
        <v>7196</v>
      </c>
      <c r="M1705" s="17"/>
      <c r="N1705" s="64" t="s">
        <v>7197</v>
      </c>
      <c r="O1705" s="64" t="s">
        <v>2813</v>
      </c>
      <c r="P1705" s="147" t="s">
        <v>4672</v>
      </c>
      <c r="Q1705" s="149"/>
      <c r="R1705" s="149"/>
      <c r="S1705" s="149"/>
      <c r="T1705" s="149"/>
      <c r="U1705" s="149"/>
      <c r="V1705" s="149"/>
      <c r="W1705" s="149"/>
      <c r="X1705" s="68"/>
      <c r="Y1705" s="68"/>
      <c r="Z1705" s="68"/>
    </row>
    <row r="1706" ht="15.0" customHeight="1">
      <c r="A1706" s="206">
        <v>46027.0</v>
      </c>
      <c r="B1706" s="201" t="s">
        <v>7198</v>
      </c>
      <c r="C1706" s="45" t="s">
        <v>7199</v>
      </c>
      <c r="D1706" s="140" t="str">
        <f>IFERROR(VLOOKUP(C1706,Stock,3,FALSE),"")</f>
        <v>Daihatsu Gran Max / Luxio 07-</v>
      </c>
      <c r="E1706" s="45">
        <v>1.0</v>
      </c>
      <c r="F1706" s="198">
        <v>1000000.0</v>
      </c>
      <c r="G1706" s="142">
        <f t="shared" si="41"/>
        <v>1000000</v>
      </c>
      <c r="H1706" s="142"/>
      <c r="I1706" s="143">
        <f t="shared" si="42"/>
        <v>1000000</v>
      </c>
      <c r="J1706" s="144">
        <f t="shared" si="43"/>
        <v>1000000</v>
      </c>
      <c r="K1706" s="108" t="s">
        <v>7200</v>
      </c>
      <c r="L1706" s="199" t="s">
        <v>7201</v>
      </c>
      <c r="M1706" s="17"/>
      <c r="N1706" s="68"/>
      <c r="O1706" s="64" t="s">
        <v>2813</v>
      </c>
      <c r="P1706" s="147" t="s">
        <v>4672</v>
      </c>
      <c r="Q1706" s="149"/>
      <c r="R1706" s="141"/>
      <c r="S1706" s="141"/>
      <c r="T1706" s="141">
        <v>1000000.0</v>
      </c>
      <c r="U1706" s="149"/>
      <c r="V1706" s="149"/>
      <c r="W1706" s="149"/>
      <c r="X1706" s="68"/>
      <c r="Y1706" s="68"/>
      <c r="Z1706" s="68"/>
    </row>
    <row r="1707" ht="15.0" customHeight="1">
      <c r="A1707" s="206">
        <v>46027.0</v>
      </c>
      <c r="B1707" s="201" t="s">
        <v>7202</v>
      </c>
      <c r="C1707" s="45" t="s">
        <v>3009</v>
      </c>
      <c r="D1707" s="140" t="str">
        <f>IFERROR(VLOOKUP(C1707,Stock,3,FALSE),"")</f>
        <v>Honda Mobilio 14-</v>
      </c>
      <c r="E1707" s="45">
        <v>1.0</v>
      </c>
      <c r="F1707" s="198">
        <v>1151000.0</v>
      </c>
      <c r="G1707" s="142">
        <f t="shared" si="41"/>
        <v>1151000</v>
      </c>
      <c r="H1707" s="142"/>
      <c r="I1707" s="143">
        <f t="shared" si="42"/>
        <v>1151000</v>
      </c>
      <c r="J1707" s="144">
        <f t="shared" si="43"/>
        <v>1151000</v>
      </c>
      <c r="K1707" s="108" t="s">
        <v>7203</v>
      </c>
      <c r="L1707" s="199" t="s">
        <v>7204</v>
      </c>
      <c r="M1707" s="17"/>
      <c r="N1707" s="64" t="s">
        <v>5154</v>
      </c>
      <c r="O1707" s="64" t="s">
        <v>3033</v>
      </c>
      <c r="P1707" s="147" t="s">
        <v>4672</v>
      </c>
      <c r="Q1707" s="149"/>
      <c r="R1707" s="141"/>
      <c r="S1707" s="141"/>
      <c r="T1707" s="141">
        <v>100000.0</v>
      </c>
      <c r="U1707" s="149"/>
      <c r="V1707" s="149"/>
      <c r="W1707" s="149"/>
      <c r="X1707" s="68"/>
      <c r="Y1707" s="68"/>
      <c r="Z1707" s="68"/>
    </row>
    <row r="1708" ht="15.0" customHeight="1">
      <c r="A1708" s="206">
        <v>46027.0</v>
      </c>
      <c r="B1708" s="201" t="s">
        <v>7202</v>
      </c>
      <c r="C1708" s="45" t="s">
        <v>2770</v>
      </c>
      <c r="D1708" s="140" t="str">
        <f>IFERROR(VLOOKUP(C1708,Stock,3,FALSE),"")</f>
        <v>Transport</v>
      </c>
      <c r="E1708" s="45">
        <v>1.0</v>
      </c>
      <c r="F1708" s="198">
        <v>100000.0</v>
      </c>
      <c r="G1708" s="142">
        <f t="shared" si="41"/>
        <v>100000</v>
      </c>
      <c r="H1708" s="142"/>
      <c r="I1708" s="143">
        <f t="shared" si="42"/>
        <v>100000</v>
      </c>
      <c r="J1708" s="144">
        <f t="shared" si="43"/>
        <v>100000</v>
      </c>
      <c r="K1708" s="108" t="s">
        <v>7203</v>
      </c>
      <c r="L1708" s="199" t="s">
        <v>7204</v>
      </c>
      <c r="M1708" s="17"/>
      <c r="N1708" s="64" t="s">
        <v>5154</v>
      </c>
      <c r="O1708" s="64" t="s">
        <v>3033</v>
      </c>
      <c r="P1708" s="147" t="s">
        <v>4672</v>
      </c>
      <c r="Q1708" s="149"/>
      <c r="R1708" s="141"/>
      <c r="S1708" s="141"/>
      <c r="T1708" s="141">
        <v>1151000.0</v>
      </c>
      <c r="U1708" s="149"/>
      <c r="V1708" s="149"/>
      <c r="W1708" s="149"/>
      <c r="X1708" s="68"/>
      <c r="Y1708" s="68"/>
      <c r="Z1708" s="68"/>
    </row>
    <row r="1709" ht="15.0" customHeight="1">
      <c r="A1709" s="206">
        <v>46027.0</v>
      </c>
      <c r="B1709" s="201" t="s">
        <v>7205</v>
      </c>
      <c r="C1709" s="45" t="s">
        <v>3354</v>
      </c>
      <c r="D1709" s="140" t="str">
        <f>IFERROR(VLOOKUP(C1709,Stock,3,FALSE),"")</f>
        <v>Honda Brio 10- / Mobilio 11- (Honda)</v>
      </c>
      <c r="E1709" s="45">
        <v>1.0</v>
      </c>
      <c r="F1709" s="198">
        <v>1772000.0</v>
      </c>
      <c r="G1709" s="142">
        <f t="shared" si="41"/>
        <v>1772000</v>
      </c>
      <c r="H1709" s="142"/>
      <c r="I1709" s="143">
        <f t="shared" si="42"/>
        <v>1772000</v>
      </c>
      <c r="J1709" s="144">
        <f t="shared" si="43"/>
        <v>1772000</v>
      </c>
      <c r="K1709" s="108" t="s">
        <v>4042</v>
      </c>
      <c r="L1709" s="199" t="s">
        <v>7206</v>
      </c>
      <c r="M1709" s="17"/>
      <c r="N1709" s="64" t="s">
        <v>7207</v>
      </c>
      <c r="O1709" s="64" t="s">
        <v>2760</v>
      </c>
      <c r="P1709" s="147" t="s">
        <v>4672</v>
      </c>
      <c r="Q1709" s="149"/>
      <c r="R1709" s="141"/>
      <c r="S1709" s="141"/>
      <c r="T1709" s="141">
        <v>1972000.0</v>
      </c>
      <c r="U1709" s="149"/>
      <c r="V1709" s="149"/>
      <c r="W1709" s="149"/>
      <c r="X1709" s="68"/>
      <c r="Y1709" s="68"/>
      <c r="Z1709" s="68"/>
    </row>
    <row r="1710" ht="15.0" customHeight="1">
      <c r="A1710" s="206">
        <v>46027.0</v>
      </c>
      <c r="B1710" s="201" t="s">
        <v>7205</v>
      </c>
      <c r="C1710" s="45" t="s">
        <v>4979</v>
      </c>
      <c r="D1710" s="140" t="str">
        <f>IFERROR(VLOOKUP(C1710,Stock,3,FALSE),"")</f>
        <v>255 Ultra + Actv-100 Application</v>
      </c>
      <c r="E1710" s="45">
        <v>1.0</v>
      </c>
      <c r="F1710" s="198">
        <v>200000.0</v>
      </c>
      <c r="G1710" s="142">
        <f t="shared" si="41"/>
        <v>200000</v>
      </c>
      <c r="H1710" s="142"/>
      <c r="I1710" s="143">
        <f t="shared" si="42"/>
        <v>200000</v>
      </c>
      <c r="J1710" s="144">
        <f t="shared" si="43"/>
        <v>200000</v>
      </c>
      <c r="K1710" s="108" t="s">
        <v>4042</v>
      </c>
      <c r="L1710" s="199" t="s">
        <v>7208</v>
      </c>
      <c r="M1710" s="17"/>
      <c r="N1710" s="64" t="s">
        <v>7207</v>
      </c>
      <c r="O1710" s="64" t="s">
        <v>2760</v>
      </c>
      <c r="P1710" s="147" t="s">
        <v>4672</v>
      </c>
      <c r="Q1710" s="149"/>
      <c r="R1710" s="149"/>
      <c r="S1710" s="149"/>
      <c r="T1710" s="149"/>
      <c r="U1710" s="149"/>
      <c r="V1710" s="149"/>
      <c r="W1710" s="149"/>
      <c r="X1710" s="68"/>
      <c r="Y1710" s="68"/>
      <c r="Z1710" s="68"/>
    </row>
    <row r="1711" ht="15.0" customHeight="1">
      <c r="A1711" s="206">
        <v>46027.0</v>
      </c>
      <c r="B1711" s="201" t="s">
        <v>7209</v>
      </c>
      <c r="C1711" s="45" t="s">
        <v>4226</v>
      </c>
      <c r="D1711" s="140" t="str">
        <f>IFERROR(VLOOKUP(C1711,Stock,3,FALSE),"")</f>
        <v>Honda HR-V 14-21 5D SUV (Honda)</v>
      </c>
      <c r="E1711" s="45">
        <v>1.0</v>
      </c>
      <c r="F1711" s="198">
        <v>3150000.0</v>
      </c>
      <c r="G1711" s="142">
        <f t="shared" si="41"/>
        <v>3150000</v>
      </c>
      <c r="H1711" s="142"/>
      <c r="I1711" s="143">
        <f t="shared" si="42"/>
        <v>3150000</v>
      </c>
      <c r="J1711" s="144">
        <f t="shared" si="43"/>
        <v>3150000</v>
      </c>
      <c r="K1711" s="108" t="s">
        <v>7210</v>
      </c>
      <c r="L1711" s="199" t="s">
        <v>7211</v>
      </c>
      <c r="M1711" s="17"/>
      <c r="N1711" s="64" t="s">
        <v>7212</v>
      </c>
      <c r="O1711" s="68"/>
      <c r="P1711" s="147" t="s">
        <v>4672</v>
      </c>
      <c r="Q1711" s="149"/>
      <c r="R1711" s="141"/>
      <c r="S1711" s="141"/>
      <c r="T1711" s="141">
        <v>3150000.0</v>
      </c>
      <c r="U1711" s="149"/>
      <c r="V1711" s="149"/>
      <c r="W1711" s="149"/>
      <c r="X1711" s="68"/>
      <c r="Y1711" s="68"/>
      <c r="Z1711" s="68"/>
    </row>
    <row r="1712" ht="15.0" customHeight="1">
      <c r="A1712" s="206">
        <v>46027.0</v>
      </c>
      <c r="B1712" s="201" t="s">
        <v>7213</v>
      </c>
      <c r="C1712" s="45" t="s">
        <v>7214</v>
      </c>
      <c r="D1712" s="140" t="str">
        <f>IFERROR(VLOOKUP(C1712,Stock,3,FALSE),"")</f>
        <v>Toyota Alphard 08-15 ANH20 2nd Gen</v>
      </c>
      <c r="E1712" s="45">
        <v>1.0</v>
      </c>
      <c r="F1712" s="198">
        <v>4057000.0</v>
      </c>
      <c r="G1712" s="142">
        <f t="shared" si="41"/>
        <v>4057000</v>
      </c>
      <c r="H1712" s="143">
        <v>157000.0</v>
      </c>
      <c r="I1712" s="143">
        <f t="shared" si="42"/>
        <v>3900000</v>
      </c>
      <c r="J1712" s="144">
        <f t="shared" si="43"/>
        <v>3900000</v>
      </c>
      <c r="K1712" s="108" t="s">
        <v>7215</v>
      </c>
      <c r="L1712" s="199" t="s">
        <v>7216</v>
      </c>
      <c r="M1712" s="17"/>
      <c r="N1712" s="64" t="s">
        <v>7217</v>
      </c>
      <c r="O1712" s="64" t="s">
        <v>3684</v>
      </c>
      <c r="P1712" s="147" t="s">
        <v>4672</v>
      </c>
      <c r="Q1712" s="149"/>
      <c r="R1712" s="141"/>
      <c r="S1712" s="141"/>
      <c r="T1712" s="141">
        <v>3900000.0</v>
      </c>
      <c r="U1712" s="149"/>
      <c r="V1712" s="149"/>
      <c r="W1712" s="149"/>
      <c r="X1712" s="68"/>
      <c r="Y1712" s="68"/>
      <c r="Z1712" s="68"/>
    </row>
    <row r="1713" ht="15.0" customHeight="1">
      <c r="A1713" s="265">
        <v>46027.0</v>
      </c>
      <c r="B1713" s="266" t="s">
        <v>7218</v>
      </c>
      <c r="C1713" s="269" t="s">
        <v>3352</v>
      </c>
      <c r="D1713" s="268" t="str">
        <f>IFERROR(VLOOKUP(C1713,Stock,3,FALSE),"")</f>
        <v>List Kaca Depan INV</v>
      </c>
      <c r="E1713" s="269">
        <v>10.0</v>
      </c>
      <c r="F1713" s="270"/>
      <c r="G1713" s="271">
        <f t="shared" si="41"/>
        <v>0</v>
      </c>
      <c r="H1713" s="271"/>
      <c r="I1713" s="272">
        <f t="shared" si="42"/>
        <v>0</v>
      </c>
      <c r="J1713" s="273">
        <f t="shared" si="43"/>
        <v>0</v>
      </c>
      <c r="K1713" s="267" t="s">
        <v>4509</v>
      </c>
      <c r="L1713" s="274"/>
      <c r="M1713" s="274"/>
      <c r="N1713" s="275"/>
      <c r="O1713" s="275"/>
      <c r="P1713" s="395"/>
      <c r="Q1713" s="277"/>
      <c r="R1713" s="277"/>
      <c r="S1713" s="277"/>
      <c r="T1713" s="277"/>
      <c r="U1713" s="277"/>
      <c r="V1713" s="277"/>
      <c r="W1713" s="277"/>
      <c r="X1713" s="275"/>
      <c r="Y1713" s="275"/>
      <c r="Z1713" s="275"/>
    </row>
    <row r="1714" ht="15.0" customHeight="1">
      <c r="A1714" s="265">
        <v>46027.0</v>
      </c>
      <c r="B1714" s="266" t="s">
        <v>7218</v>
      </c>
      <c r="C1714" s="269" t="s">
        <v>3434</v>
      </c>
      <c r="D1714" s="268" t="str">
        <f>IFERROR(VLOOKUP(C1714,Stock,3,FALSE),"")</f>
        <v>List Kaca Depan Code 04</v>
      </c>
      <c r="E1714" s="269">
        <v>5.0</v>
      </c>
      <c r="F1714" s="270"/>
      <c r="G1714" s="271">
        <f t="shared" si="41"/>
        <v>0</v>
      </c>
      <c r="H1714" s="271"/>
      <c r="I1714" s="272">
        <f t="shared" si="42"/>
        <v>0</v>
      </c>
      <c r="J1714" s="273">
        <f t="shared" si="43"/>
        <v>0</v>
      </c>
      <c r="K1714" s="267" t="s">
        <v>4509</v>
      </c>
      <c r="L1714" s="274"/>
      <c r="M1714" s="274"/>
      <c r="N1714" s="275"/>
      <c r="O1714" s="275"/>
      <c r="P1714" s="395"/>
      <c r="Q1714" s="277"/>
      <c r="R1714" s="277"/>
      <c r="S1714" s="277"/>
      <c r="T1714" s="277"/>
      <c r="U1714" s="277"/>
      <c r="V1714" s="277"/>
      <c r="W1714" s="277"/>
      <c r="X1714" s="275"/>
      <c r="Y1714" s="275"/>
      <c r="Z1714" s="275"/>
    </row>
    <row r="1715" ht="15.0" customHeight="1">
      <c r="A1715" s="265">
        <v>46027.0</v>
      </c>
      <c r="B1715" s="266" t="s">
        <v>7218</v>
      </c>
      <c r="C1715" s="269" t="s">
        <v>3456</v>
      </c>
      <c r="D1715" s="268" t="str">
        <f>IFERROR(VLOOKUP(C1715,Stock,3,FALSE),"")</f>
        <v>List Kaca Depan Code 11</v>
      </c>
      <c r="E1715" s="269">
        <v>10.0</v>
      </c>
      <c r="F1715" s="270"/>
      <c r="G1715" s="271">
        <f t="shared" si="41"/>
        <v>0</v>
      </c>
      <c r="H1715" s="271"/>
      <c r="I1715" s="272">
        <f t="shared" si="42"/>
        <v>0</v>
      </c>
      <c r="J1715" s="273">
        <f t="shared" si="43"/>
        <v>0</v>
      </c>
      <c r="K1715" s="267" t="s">
        <v>4509</v>
      </c>
      <c r="L1715" s="274"/>
      <c r="M1715" s="274"/>
      <c r="N1715" s="275"/>
      <c r="O1715" s="275"/>
      <c r="P1715" s="395"/>
      <c r="Q1715" s="277"/>
      <c r="R1715" s="277"/>
      <c r="S1715" s="277"/>
      <c r="T1715" s="277"/>
      <c r="U1715" s="277"/>
      <c r="V1715" s="277"/>
      <c r="W1715" s="277"/>
      <c r="X1715" s="275"/>
      <c r="Y1715" s="275"/>
      <c r="Z1715" s="275"/>
    </row>
    <row r="1716" ht="15.0" customHeight="1">
      <c r="A1716" s="265">
        <v>46027.0</v>
      </c>
      <c r="B1716" s="266" t="s">
        <v>7218</v>
      </c>
      <c r="C1716" s="269" t="s">
        <v>7219</v>
      </c>
      <c r="D1716" s="268" t="str">
        <f>IFERROR(VLOOKUP(C1716,Stock,3,FALSE),"")</f>
        <v/>
      </c>
      <c r="E1716" s="269">
        <v>5.0</v>
      </c>
      <c r="F1716" s="270"/>
      <c r="G1716" s="271">
        <f t="shared" si="41"/>
        <v>0</v>
      </c>
      <c r="H1716" s="271"/>
      <c r="I1716" s="272">
        <f t="shared" si="42"/>
        <v>0</v>
      </c>
      <c r="J1716" s="273">
        <f t="shared" si="43"/>
        <v>0</v>
      </c>
      <c r="K1716" s="267" t="s">
        <v>4509</v>
      </c>
      <c r="L1716" s="274"/>
      <c r="M1716" s="274"/>
      <c r="N1716" s="275"/>
      <c r="O1716" s="275"/>
      <c r="P1716" s="395"/>
      <c r="Q1716" s="277"/>
      <c r="R1716" s="277"/>
      <c r="S1716" s="277"/>
      <c r="T1716" s="277"/>
      <c r="U1716" s="277"/>
      <c r="V1716" s="277"/>
      <c r="W1716" s="277"/>
      <c r="X1716" s="275"/>
      <c r="Y1716" s="275"/>
      <c r="Z1716" s="275"/>
    </row>
    <row r="1717" ht="15.0" customHeight="1">
      <c r="A1717" s="265">
        <v>46027.0</v>
      </c>
      <c r="B1717" s="266" t="s">
        <v>7218</v>
      </c>
      <c r="C1717" s="269" t="s">
        <v>7220</v>
      </c>
      <c r="D1717" s="268" t="str">
        <f>IFERROR(VLOOKUP(C1717,Stock,3,FALSE),"")</f>
        <v>Toyota Rush / Terios 06-17</v>
      </c>
      <c r="E1717" s="269">
        <v>4.0</v>
      </c>
      <c r="F1717" s="270"/>
      <c r="G1717" s="271"/>
      <c r="H1717" s="271"/>
      <c r="I1717" s="272"/>
      <c r="J1717" s="273"/>
      <c r="K1717" s="267" t="s">
        <v>4509</v>
      </c>
      <c r="L1717" s="274"/>
      <c r="M1717" s="274"/>
      <c r="N1717" s="275"/>
      <c r="O1717" s="275"/>
      <c r="P1717" s="395"/>
      <c r="Q1717" s="277"/>
      <c r="R1717" s="277"/>
      <c r="S1717" s="277"/>
      <c r="T1717" s="277"/>
      <c r="U1717" s="277"/>
      <c r="V1717" s="277"/>
      <c r="W1717" s="277"/>
      <c r="X1717" s="275"/>
      <c r="Y1717" s="275"/>
      <c r="Z1717" s="275"/>
    </row>
    <row r="1718" ht="15.0" customHeight="1">
      <c r="A1718" s="265">
        <v>46027.0</v>
      </c>
      <c r="B1718" s="266" t="s">
        <v>7218</v>
      </c>
      <c r="C1718" s="269" t="s">
        <v>7221</v>
      </c>
      <c r="D1718" s="268" t="str">
        <f>IFERROR(VLOOKUP(C1718,Stock,3,FALSE),"")</f>
        <v>Suzuki Ertiga 12-18 1st Gen MPV</v>
      </c>
      <c r="E1718" s="269">
        <v>2.0</v>
      </c>
      <c r="F1718" s="270"/>
      <c r="G1718" s="271"/>
      <c r="H1718" s="271"/>
      <c r="I1718" s="272"/>
      <c r="J1718" s="273"/>
      <c r="K1718" s="267" t="s">
        <v>4509</v>
      </c>
      <c r="L1718" s="274"/>
      <c r="M1718" s="274"/>
      <c r="N1718" s="275"/>
      <c r="O1718" s="275"/>
      <c r="P1718" s="395"/>
      <c r="Q1718" s="277"/>
      <c r="R1718" s="277"/>
      <c r="S1718" s="277"/>
      <c r="T1718" s="277"/>
      <c r="U1718" s="277"/>
      <c r="V1718" s="277"/>
      <c r="W1718" s="277"/>
      <c r="X1718" s="275"/>
      <c r="Y1718" s="275"/>
      <c r="Z1718" s="275"/>
    </row>
    <row r="1719" ht="15.0" customHeight="1">
      <c r="A1719" s="265">
        <v>46027.0</v>
      </c>
      <c r="B1719" s="266" t="s">
        <v>7218</v>
      </c>
      <c r="C1719" s="269" t="s">
        <v>7222</v>
      </c>
      <c r="D1719" s="268" t="str">
        <f>IFERROR(VLOOKUP(C1719,Stock,3,FALSE),"")</f>
        <v>Jeep Wrangler Rubicon 07-18 JK</v>
      </c>
      <c r="E1719" s="269">
        <v>1.0</v>
      </c>
      <c r="F1719" s="270"/>
      <c r="G1719" s="271"/>
      <c r="H1719" s="271"/>
      <c r="I1719" s="272"/>
      <c r="J1719" s="273"/>
      <c r="K1719" s="267" t="s">
        <v>4509</v>
      </c>
      <c r="L1719" s="274"/>
      <c r="M1719" s="274"/>
      <c r="N1719" s="275"/>
      <c r="O1719" s="275"/>
      <c r="P1719" s="395"/>
      <c r="Q1719" s="277"/>
      <c r="R1719" s="277"/>
      <c r="S1719" s="277"/>
      <c r="T1719" s="277"/>
      <c r="U1719" s="277"/>
      <c r="V1719" s="277"/>
      <c r="W1719" s="277"/>
      <c r="X1719" s="275"/>
      <c r="Y1719" s="275"/>
      <c r="Z1719" s="275"/>
    </row>
    <row r="1720" ht="15.0" customHeight="1">
      <c r="A1720" s="265">
        <v>46027.0</v>
      </c>
      <c r="B1720" s="266" t="s">
        <v>7218</v>
      </c>
      <c r="C1720" s="269" t="s">
        <v>7223</v>
      </c>
      <c r="D1720" s="268" t="str">
        <f>IFERROR(VLOOKUP(C1720,Stock,3,FALSE),"")</f>
        <v/>
      </c>
      <c r="E1720" s="399">
        <v>10.0</v>
      </c>
      <c r="F1720" s="270"/>
      <c r="G1720" s="271"/>
      <c r="H1720" s="271"/>
      <c r="I1720" s="272"/>
      <c r="J1720" s="273"/>
      <c r="K1720" s="267" t="s">
        <v>4509</v>
      </c>
      <c r="L1720" s="274"/>
      <c r="M1720" s="274"/>
      <c r="N1720" s="275"/>
      <c r="O1720" s="275"/>
      <c r="P1720" s="395"/>
      <c r="Q1720" s="277"/>
      <c r="R1720" s="277"/>
      <c r="S1720" s="277"/>
      <c r="T1720" s="277"/>
      <c r="U1720" s="277"/>
      <c r="V1720" s="277"/>
      <c r="W1720" s="277"/>
      <c r="X1720" s="275"/>
      <c r="Y1720" s="275"/>
      <c r="Z1720" s="275"/>
    </row>
    <row r="1721" ht="15.0" customHeight="1">
      <c r="A1721" s="265">
        <v>46027.0</v>
      </c>
      <c r="B1721" s="266" t="s">
        <v>7218</v>
      </c>
      <c r="C1721" s="269" t="s">
        <v>7224</v>
      </c>
      <c r="D1721" s="268" t="str">
        <f>IFERROR(VLOOKUP(C1721,Stock,3,FALSE),"")</f>
        <v/>
      </c>
      <c r="E1721" s="269">
        <v>10.0</v>
      </c>
      <c r="F1721" s="270"/>
      <c r="G1721" s="271">
        <f t="shared" ref="G1721:G1847" si="44">E1721*F1721</f>
        <v>0</v>
      </c>
      <c r="H1721" s="271"/>
      <c r="I1721" s="272">
        <f t="shared" ref="I1721:I1847" si="45">G1721-H1721</f>
        <v>0</v>
      </c>
      <c r="J1721" s="273">
        <f t="shared" ref="J1721:J1847" si="46">I1721</f>
        <v>0</v>
      </c>
      <c r="K1721" s="267" t="s">
        <v>4509</v>
      </c>
      <c r="L1721" s="274"/>
      <c r="M1721" s="274"/>
      <c r="N1721" s="275"/>
      <c r="O1721" s="275"/>
      <c r="P1721" s="395"/>
      <c r="Q1721" s="277"/>
      <c r="R1721" s="277"/>
      <c r="S1721" s="277"/>
      <c r="T1721" s="277"/>
      <c r="U1721" s="277"/>
      <c r="V1721" s="277"/>
      <c r="W1721" s="277"/>
      <c r="X1721" s="275"/>
      <c r="Y1721" s="275"/>
      <c r="Z1721" s="275"/>
    </row>
    <row r="1722" ht="15.0" customHeight="1">
      <c r="A1722" s="206">
        <v>46028.0</v>
      </c>
      <c r="B1722" s="201" t="s">
        <v>7225</v>
      </c>
      <c r="C1722" s="45" t="s">
        <v>3930</v>
      </c>
      <c r="D1722" s="140" t="str">
        <f>IFERROR(VLOOKUP(C1722,Stock,3,FALSE),"")</f>
        <v>Suzuki Ertiga 18- 2nd Gen / XL7</v>
      </c>
      <c r="E1722" s="45">
        <v>1.0</v>
      </c>
      <c r="F1722" s="198">
        <v>1800000.0</v>
      </c>
      <c r="G1722" s="142">
        <f t="shared" si="44"/>
        <v>1800000</v>
      </c>
      <c r="H1722" s="142"/>
      <c r="I1722" s="143">
        <f t="shared" si="45"/>
        <v>1800000</v>
      </c>
      <c r="J1722" s="144">
        <f t="shared" si="46"/>
        <v>1800000</v>
      </c>
      <c r="K1722" s="108" t="s">
        <v>4492</v>
      </c>
      <c r="L1722" s="199" t="s">
        <v>7226</v>
      </c>
      <c r="M1722" s="17"/>
      <c r="N1722" s="64" t="s">
        <v>7227</v>
      </c>
      <c r="O1722" s="64" t="s">
        <v>7228</v>
      </c>
      <c r="P1722" s="147" t="s">
        <v>2795</v>
      </c>
      <c r="Q1722" s="149"/>
      <c r="R1722" s="141"/>
      <c r="S1722" s="141"/>
      <c r="T1722" s="141">
        <v>1800000.0</v>
      </c>
      <c r="U1722" s="149"/>
      <c r="V1722" s="149"/>
      <c r="W1722" s="149"/>
      <c r="X1722" s="68"/>
      <c r="Y1722" s="68"/>
      <c r="Z1722" s="68"/>
    </row>
    <row r="1723" ht="15.0" customHeight="1">
      <c r="A1723" s="206">
        <v>46028.0</v>
      </c>
      <c r="B1723" s="201" t="s">
        <v>7229</v>
      </c>
      <c r="C1723" s="45" t="s">
        <v>3126</v>
      </c>
      <c r="D1723" s="140" t="str">
        <f>IFERROR(VLOOKUP(C1723,Stock,3,FALSE),"")</f>
        <v>Suzuki Carry New 19-</v>
      </c>
      <c r="E1723" s="45">
        <v>1.0</v>
      </c>
      <c r="F1723" s="198">
        <v>1100000.0</v>
      </c>
      <c r="G1723" s="142">
        <f t="shared" si="44"/>
        <v>1100000</v>
      </c>
      <c r="H1723" s="142"/>
      <c r="I1723" s="143">
        <f t="shared" si="45"/>
        <v>1100000</v>
      </c>
      <c r="J1723" s="144">
        <f t="shared" si="46"/>
        <v>1100000</v>
      </c>
      <c r="K1723" s="108" t="s">
        <v>4117</v>
      </c>
      <c r="L1723" s="199" t="s">
        <v>7230</v>
      </c>
      <c r="M1723" s="17"/>
      <c r="N1723" s="68"/>
      <c r="O1723" s="64" t="s">
        <v>7231</v>
      </c>
      <c r="P1723" s="147" t="s">
        <v>4672</v>
      </c>
      <c r="Q1723" s="149"/>
      <c r="R1723" s="141"/>
      <c r="S1723" s="141"/>
      <c r="T1723" s="141">
        <v>100000.0</v>
      </c>
      <c r="U1723" s="149"/>
      <c r="V1723" s="149"/>
      <c r="W1723" s="149"/>
      <c r="X1723" s="68"/>
      <c r="Y1723" s="68"/>
      <c r="Z1723" s="68"/>
    </row>
    <row r="1724" ht="15.0" customHeight="1">
      <c r="A1724" s="206">
        <v>46028.0</v>
      </c>
      <c r="B1724" s="201" t="s">
        <v>7229</v>
      </c>
      <c r="C1724" s="45" t="s">
        <v>2770</v>
      </c>
      <c r="D1724" s="140" t="str">
        <f>IFERROR(VLOOKUP(C1724,Stock,3,FALSE),"")</f>
        <v>Transport</v>
      </c>
      <c r="E1724" s="45">
        <v>1.0</v>
      </c>
      <c r="F1724" s="198">
        <v>100000.0</v>
      </c>
      <c r="G1724" s="142">
        <f t="shared" si="44"/>
        <v>100000</v>
      </c>
      <c r="H1724" s="142"/>
      <c r="I1724" s="143">
        <f t="shared" si="45"/>
        <v>100000</v>
      </c>
      <c r="J1724" s="144">
        <f t="shared" si="46"/>
        <v>100000</v>
      </c>
      <c r="K1724" s="108" t="s">
        <v>4117</v>
      </c>
      <c r="L1724" s="199" t="s">
        <v>7230</v>
      </c>
      <c r="M1724" s="17"/>
      <c r="N1724" s="68"/>
      <c r="O1724" s="64" t="s">
        <v>7231</v>
      </c>
      <c r="P1724" s="147" t="s">
        <v>4672</v>
      </c>
      <c r="Q1724" s="149"/>
      <c r="R1724" s="141"/>
      <c r="S1724" s="141"/>
      <c r="T1724" s="141">
        <v>1100000.0</v>
      </c>
      <c r="U1724" s="149"/>
      <c r="V1724" s="149"/>
      <c r="W1724" s="149"/>
      <c r="X1724" s="68"/>
      <c r="Y1724" s="68"/>
      <c r="Z1724" s="68"/>
    </row>
    <row r="1725" ht="15.0" customHeight="1">
      <c r="A1725" s="400">
        <v>46028.0</v>
      </c>
      <c r="B1725" s="401" t="s">
        <v>7232</v>
      </c>
      <c r="C1725" s="402" t="s">
        <v>7233</v>
      </c>
      <c r="D1725" s="403" t="str">
        <f>IFERROR(VLOOKUP(C1725,Stock,3,FALSE),"")</f>
        <v/>
      </c>
      <c r="E1725" s="402">
        <v>0.0</v>
      </c>
      <c r="F1725" s="404">
        <v>3092500.0</v>
      </c>
      <c r="G1725" s="405">
        <f t="shared" si="44"/>
        <v>0</v>
      </c>
      <c r="H1725" s="406">
        <v>-1600000.0</v>
      </c>
      <c r="I1725" s="406">
        <f t="shared" si="45"/>
        <v>1600000</v>
      </c>
      <c r="J1725" s="407">
        <f t="shared" si="46"/>
        <v>1600000</v>
      </c>
      <c r="K1725" s="408" t="s">
        <v>7234</v>
      </c>
      <c r="L1725" s="409" t="s">
        <v>7235</v>
      </c>
      <c r="M1725" s="410"/>
      <c r="N1725" s="411" t="s">
        <v>7236</v>
      </c>
      <c r="O1725" s="411" t="s">
        <v>2760</v>
      </c>
      <c r="P1725" s="412" t="s">
        <v>4672</v>
      </c>
      <c r="Q1725" s="413"/>
      <c r="R1725" s="414"/>
      <c r="S1725" s="414"/>
      <c r="T1725" s="414" t="s">
        <v>7237</v>
      </c>
      <c r="U1725" s="413"/>
      <c r="V1725" s="413"/>
      <c r="W1725" s="413"/>
      <c r="X1725" s="415"/>
      <c r="Y1725" s="415"/>
      <c r="Z1725" s="415"/>
    </row>
    <row r="1726" ht="15.0" customHeight="1">
      <c r="A1726" s="400">
        <v>46028.0</v>
      </c>
      <c r="B1726" s="401" t="s">
        <v>7232</v>
      </c>
      <c r="C1726" s="402" t="s">
        <v>2770</v>
      </c>
      <c r="D1726" s="403" t="str">
        <f>IFERROR(VLOOKUP(C1726,Stock,3,FALSE),"")</f>
        <v>Transport</v>
      </c>
      <c r="E1726" s="402">
        <v>0.0</v>
      </c>
      <c r="F1726" s="404">
        <v>150000.0</v>
      </c>
      <c r="G1726" s="405">
        <f t="shared" si="44"/>
        <v>0</v>
      </c>
      <c r="H1726" s="405"/>
      <c r="I1726" s="406">
        <f t="shared" si="45"/>
        <v>0</v>
      </c>
      <c r="J1726" s="407">
        <f t="shared" si="46"/>
        <v>0</v>
      </c>
      <c r="K1726" s="408" t="s">
        <v>7234</v>
      </c>
      <c r="L1726" s="409" t="s">
        <v>7235</v>
      </c>
      <c r="M1726" s="410"/>
      <c r="N1726" s="411" t="s">
        <v>7236</v>
      </c>
      <c r="O1726" s="411" t="s">
        <v>2760</v>
      </c>
      <c r="P1726" s="412" t="s">
        <v>4672</v>
      </c>
      <c r="Q1726" s="413"/>
      <c r="R1726" s="413"/>
      <c r="S1726" s="413"/>
      <c r="T1726" s="413"/>
      <c r="U1726" s="413"/>
      <c r="V1726" s="413"/>
      <c r="W1726" s="413"/>
      <c r="X1726" s="415"/>
      <c r="Y1726" s="415"/>
      <c r="Z1726" s="415"/>
    </row>
    <row r="1727" ht="15.0" customHeight="1">
      <c r="A1727" s="206">
        <v>46028.0</v>
      </c>
      <c r="B1727" s="201" t="s">
        <v>7238</v>
      </c>
      <c r="C1727" s="45" t="s">
        <v>3234</v>
      </c>
      <c r="D1727" s="140" t="str">
        <f>IFERROR(VLOOKUP(C1727,Stock,3,FALSE),"")</f>
        <v>Toyota Avanza / Xenia 21- 4th Gen (Non sensor)</v>
      </c>
      <c r="E1727" s="45">
        <v>1.0</v>
      </c>
      <c r="F1727" s="198">
        <v>1490000.0</v>
      </c>
      <c r="G1727" s="142">
        <f t="shared" si="44"/>
        <v>1490000</v>
      </c>
      <c r="H1727" s="142"/>
      <c r="I1727" s="143">
        <f t="shared" si="45"/>
        <v>1490000</v>
      </c>
      <c r="J1727" s="144">
        <f t="shared" si="46"/>
        <v>1490000</v>
      </c>
      <c r="K1727" s="108" t="s">
        <v>7239</v>
      </c>
      <c r="L1727" s="199" t="s">
        <v>7240</v>
      </c>
      <c r="M1727" s="45" t="s">
        <v>7241</v>
      </c>
      <c r="N1727" s="64" t="s">
        <v>7242</v>
      </c>
      <c r="O1727" s="64" t="s">
        <v>2807</v>
      </c>
      <c r="P1727" s="147" t="s">
        <v>4672</v>
      </c>
      <c r="Q1727" s="149"/>
      <c r="R1727" s="141"/>
      <c r="S1727" s="141"/>
      <c r="T1727" s="141">
        <v>1490000.0</v>
      </c>
      <c r="U1727" s="149"/>
      <c r="V1727" s="149"/>
      <c r="W1727" s="149"/>
      <c r="X1727" s="68"/>
      <c r="Y1727" s="68"/>
      <c r="Z1727" s="68"/>
    </row>
    <row r="1728" ht="15.0" customHeight="1">
      <c r="A1728" s="206">
        <v>46028.0</v>
      </c>
      <c r="B1728" s="201" t="s">
        <v>7243</v>
      </c>
      <c r="C1728" s="45" t="s">
        <v>7162</v>
      </c>
      <c r="D1728" s="140" t="str">
        <f>IFERROR(VLOOKUP(C1728,Stock,3,FALSE),"")</f>
        <v>Toyota Innova 04-15 1st Gen</v>
      </c>
      <c r="E1728" s="45">
        <v>1.0</v>
      </c>
      <c r="F1728" s="198">
        <v>1300000.0</v>
      </c>
      <c r="G1728" s="142">
        <f t="shared" si="44"/>
        <v>1300000</v>
      </c>
      <c r="H1728" s="142"/>
      <c r="I1728" s="143">
        <f t="shared" si="45"/>
        <v>1300000</v>
      </c>
      <c r="J1728" s="144">
        <f t="shared" si="46"/>
        <v>1300000</v>
      </c>
      <c r="K1728" s="108" t="s">
        <v>7244</v>
      </c>
      <c r="L1728" s="199" t="s">
        <v>7245</v>
      </c>
      <c r="M1728" s="17"/>
      <c r="N1728" s="64" t="s">
        <v>7246</v>
      </c>
      <c r="O1728" s="64" t="s">
        <v>3033</v>
      </c>
      <c r="P1728" s="147" t="s">
        <v>4672</v>
      </c>
      <c r="Q1728" s="149"/>
      <c r="R1728" s="141"/>
      <c r="S1728" s="141"/>
      <c r="T1728" s="141">
        <v>1300000.0</v>
      </c>
      <c r="U1728" s="149"/>
      <c r="V1728" s="149"/>
      <c r="W1728" s="149"/>
      <c r="X1728" s="68"/>
      <c r="Y1728" s="68"/>
      <c r="Z1728" s="68"/>
    </row>
    <row r="1729" ht="15.0" customHeight="1">
      <c r="A1729" s="206">
        <v>46028.0</v>
      </c>
      <c r="B1729" s="201" t="s">
        <v>7247</v>
      </c>
      <c r="C1729" s="45" t="s">
        <v>7184</v>
      </c>
      <c r="D1729" s="140" t="str">
        <f>IFERROR(VLOOKUP(C1729,Stock,3,FALSE),"")</f>
        <v>Toyota Rush / Terios 18-</v>
      </c>
      <c r="E1729" s="45">
        <v>1.0</v>
      </c>
      <c r="F1729" s="198">
        <v>580000.0</v>
      </c>
      <c r="G1729" s="142">
        <f t="shared" si="44"/>
        <v>580000</v>
      </c>
      <c r="H1729" s="142"/>
      <c r="I1729" s="143">
        <f t="shared" si="45"/>
        <v>580000</v>
      </c>
      <c r="J1729" s="144">
        <f t="shared" si="46"/>
        <v>580000</v>
      </c>
      <c r="K1729" s="108" t="s">
        <v>7248</v>
      </c>
      <c r="L1729" s="199" t="s">
        <v>7249</v>
      </c>
      <c r="M1729" s="45" t="s">
        <v>7250</v>
      </c>
      <c r="N1729" s="64" t="s">
        <v>7251</v>
      </c>
      <c r="O1729" s="64" t="s">
        <v>3033</v>
      </c>
      <c r="P1729" s="147" t="s">
        <v>4672</v>
      </c>
      <c r="Q1729" s="149"/>
      <c r="R1729" s="141"/>
      <c r="S1729" s="141"/>
      <c r="T1729" s="141">
        <v>580000.0</v>
      </c>
      <c r="U1729" s="149"/>
      <c r="V1729" s="149"/>
      <c r="W1729" s="149"/>
      <c r="X1729" s="68"/>
      <c r="Y1729" s="68"/>
      <c r="Z1729" s="68"/>
    </row>
    <row r="1730" ht="15.0" customHeight="1">
      <c r="A1730" s="206">
        <v>46028.0</v>
      </c>
      <c r="B1730" s="201" t="s">
        <v>7252</v>
      </c>
      <c r="C1730" s="45" t="s">
        <v>3595</v>
      </c>
      <c r="D1730" s="140" t="str">
        <f>IFERROR(VLOOKUP(C1730,Stock,3,FALSE),"")</f>
        <v>Nissan X-Trail 07-13 T31</v>
      </c>
      <c r="E1730" s="45">
        <v>1.0</v>
      </c>
      <c r="F1730" s="198">
        <v>1992000.0</v>
      </c>
      <c r="G1730" s="142">
        <f t="shared" si="44"/>
        <v>1992000</v>
      </c>
      <c r="H1730" s="142"/>
      <c r="I1730" s="143">
        <f t="shared" si="45"/>
        <v>1992000</v>
      </c>
      <c r="J1730" s="144">
        <f t="shared" si="46"/>
        <v>1992000</v>
      </c>
      <c r="K1730" s="108" t="s">
        <v>7253</v>
      </c>
      <c r="L1730" s="199" t="s">
        <v>7254</v>
      </c>
      <c r="M1730" s="17"/>
      <c r="N1730" s="64" t="s">
        <v>7255</v>
      </c>
      <c r="O1730" s="64" t="s">
        <v>3007</v>
      </c>
      <c r="P1730" s="147" t="s">
        <v>4672</v>
      </c>
      <c r="Q1730" s="149"/>
      <c r="R1730" s="141"/>
      <c r="S1730" s="141"/>
      <c r="T1730" s="141">
        <v>1992000.0</v>
      </c>
      <c r="U1730" s="149"/>
      <c r="V1730" s="149"/>
      <c r="W1730" s="149"/>
      <c r="X1730" s="68"/>
      <c r="Y1730" s="68"/>
      <c r="Z1730" s="68"/>
    </row>
    <row r="1731" ht="15.0" customHeight="1">
      <c r="A1731" s="206">
        <v>46028.0</v>
      </c>
      <c r="B1731" s="398" t="s">
        <v>7256</v>
      </c>
      <c r="C1731" s="45" t="s">
        <v>7257</v>
      </c>
      <c r="D1731" s="140" t="str">
        <f>IFERROR(VLOOKUP(C1731,Stock,3,FALSE),"")</f>
        <v>Honda Accord 08-12 8th Gen</v>
      </c>
      <c r="E1731" s="45"/>
      <c r="F1731" s="198">
        <v>2205000.0</v>
      </c>
      <c r="G1731" s="142">
        <f t="shared" si="44"/>
        <v>0</v>
      </c>
      <c r="H1731" s="143">
        <v>-50000.0</v>
      </c>
      <c r="I1731" s="143">
        <f t="shared" si="45"/>
        <v>50000</v>
      </c>
      <c r="J1731" s="144">
        <f t="shared" si="46"/>
        <v>50000</v>
      </c>
      <c r="K1731" s="108" t="s">
        <v>7258</v>
      </c>
      <c r="L1731" s="17"/>
      <c r="M1731" s="17"/>
      <c r="N1731" s="68"/>
      <c r="O1731" s="68"/>
      <c r="P1731" s="147"/>
      <c r="Q1731" s="149"/>
      <c r="R1731" s="141"/>
      <c r="S1731" s="141"/>
      <c r="T1731" s="141">
        <v>50000.0</v>
      </c>
      <c r="U1731" s="149"/>
      <c r="V1731" s="149"/>
      <c r="W1731" s="149"/>
      <c r="X1731" s="68"/>
      <c r="Y1731" s="68"/>
      <c r="Z1731" s="68"/>
    </row>
    <row r="1732" ht="15.0" customHeight="1">
      <c r="A1732" s="206">
        <v>46028.0</v>
      </c>
      <c r="B1732" s="201" t="s">
        <v>7259</v>
      </c>
      <c r="C1732" s="45" t="s">
        <v>4226</v>
      </c>
      <c r="D1732" s="140" t="str">
        <f>IFERROR(VLOOKUP(C1732,Stock,3,FALSE),"")</f>
        <v>Honda HR-V 14-21 5D SUV (Honda)</v>
      </c>
      <c r="E1732" s="45">
        <v>1.0</v>
      </c>
      <c r="F1732" s="198">
        <v>3150000.0</v>
      </c>
      <c r="G1732" s="142">
        <f t="shared" si="44"/>
        <v>3150000</v>
      </c>
      <c r="H1732" s="143"/>
      <c r="I1732" s="143">
        <f t="shared" si="45"/>
        <v>3150000</v>
      </c>
      <c r="J1732" s="144">
        <f t="shared" si="46"/>
        <v>3150000</v>
      </c>
      <c r="K1732" s="108" t="s">
        <v>7260</v>
      </c>
      <c r="L1732" s="199" t="s">
        <v>7261</v>
      </c>
      <c r="M1732" s="17"/>
      <c r="N1732" s="64" t="s">
        <v>7262</v>
      </c>
      <c r="O1732" s="64" t="s">
        <v>2813</v>
      </c>
      <c r="P1732" s="147" t="s">
        <v>4672</v>
      </c>
      <c r="Q1732" s="149"/>
      <c r="R1732" s="141"/>
      <c r="S1732" s="141"/>
      <c r="T1732" s="141" t="s">
        <v>7263</v>
      </c>
      <c r="U1732" s="149"/>
      <c r="V1732" s="149"/>
      <c r="W1732" s="149"/>
      <c r="X1732" s="68"/>
      <c r="Y1732" s="68"/>
      <c r="Z1732" s="68"/>
    </row>
    <row r="1733" ht="15.0" customHeight="1">
      <c r="A1733" s="206">
        <v>46028.0</v>
      </c>
      <c r="B1733" s="201" t="s">
        <v>7264</v>
      </c>
      <c r="C1733" s="45" t="s">
        <v>7265</v>
      </c>
      <c r="D1733" s="140" t="str">
        <f>IFERROR(VLOOKUP(C1733,Stock,3,FALSE),"")</f>
        <v>Hino Ranger Louhan 03- / Hino 500</v>
      </c>
      <c r="E1733" s="45">
        <v>1.0</v>
      </c>
      <c r="F1733" s="198">
        <v>1971000.0</v>
      </c>
      <c r="G1733" s="142">
        <f t="shared" si="44"/>
        <v>1971000</v>
      </c>
      <c r="H1733" s="142"/>
      <c r="I1733" s="143">
        <f t="shared" si="45"/>
        <v>1971000</v>
      </c>
      <c r="J1733" s="144">
        <f t="shared" si="46"/>
        <v>1971000</v>
      </c>
      <c r="K1733" s="108" t="s">
        <v>7266</v>
      </c>
      <c r="L1733" s="199" t="s">
        <v>7267</v>
      </c>
      <c r="M1733" s="17"/>
      <c r="N1733" s="64" t="s">
        <v>7268</v>
      </c>
      <c r="O1733" s="64" t="s">
        <v>2813</v>
      </c>
      <c r="P1733" s="147" t="s">
        <v>4672</v>
      </c>
      <c r="Q1733" s="149"/>
      <c r="R1733" s="141"/>
      <c r="S1733" s="141"/>
      <c r="T1733" s="141">
        <v>100000.0</v>
      </c>
      <c r="U1733" s="149"/>
      <c r="V1733" s="149"/>
      <c r="W1733" s="149"/>
      <c r="X1733" s="68"/>
      <c r="Y1733" s="68"/>
      <c r="Z1733" s="68"/>
    </row>
    <row r="1734" ht="15.0" customHeight="1">
      <c r="A1734" s="206">
        <v>46028.0</v>
      </c>
      <c r="B1734" s="201" t="s">
        <v>7264</v>
      </c>
      <c r="C1734" s="45" t="s">
        <v>2770</v>
      </c>
      <c r="D1734" s="140" t="str">
        <f>IFERROR(VLOOKUP(C1734,Stock,3,FALSE),"")</f>
        <v>Transport</v>
      </c>
      <c r="E1734" s="45">
        <v>1.0</v>
      </c>
      <c r="F1734" s="198">
        <v>250000.0</v>
      </c>
      <c r="G1734" s="142">
        <f t="shared" si="44"/>
        <v>250000</v>
      </c>
      <c r="H1734" s="142"/>
      <c r="I1734" s="143">
        <f t="shared" si="45"/>
        <v>250000</v>
      </c>
      <c r="J1734" s="144">
        <f t="shared" si="46"/>
        <v>250000</v>
      </c>
      <c r="K1734" s="108" t="s">
        <v>7266</v>
      </c>
      <c r="L1734" s="199" t="s">
        <v>7267</v>
      </c>
      <c r="M1734" s="17"/>
      <c r="N1734" s="64" t="s">
        <v>7268</v>
      </c>
      <c r="O1734" s="64" t="s">
        <v>2813</v>
      </c>
      <c r="P1734" s="147" t="s">
        <v>4672</v>
      </c>
      <c r="Q1734" s="149"/>
      <c r="R1734" s="141"/>
      <c r="S1734" s="141"/>
      <c r="T1734" s="141">
        <v>2221000.0</v>
      </c>
      <c r="U1734" s="149"/>
      <c r="V1734" s="149"/>
      <c r="W1734" s="149"/>
      <c r="X1734" s="68"/>
      <c r="Y1734" s="68"/>
      <c r="Z1734" s="68"/>
    </row>
    <row r="1735" ht="15.0" customHeight="1">
      <c r="A1735" s="206">
        <v>46029.0</v>
      </c>
      <c r="B1735" s="201" t="s">
        <v>7269</v>
      </c>
      <c r="C1735" s="45" t="s">
        <v>7270</v>
      </c>
      <c r="D1735" s="140" t="str">
        <f>IFERROR(VLOOKUP(C1735,Stock,3,FALSE),"")</f>
        <v>Toyota Fortuner 05-15 1st Gen</v>
      </c>
      <c r="E1735" s="45">
        <v>1.0</v>
      </c>
      <c r="F1735" s="198">
        <v>1392000.0</v>
      </c>
      <c r="G1735" s="142">
        <f t="shared" si="44"/>
        <v>1392000</v>
      </c>
      <c r="H1735" s="142"/>
      <c r="I1735" s="143">
        <f t="shared" si="45"/>
        <v>1392000</v>
      </c>
      <c r="J1735" s="144">
        <f t="shared" si="46"/>
        <v>1392000</v>
      </c>
      <c r="K1735" s="108" t="s">
        <v>7271</v>
      </c>
      <c r="L1735" s="199" t="s">
        <v>7272</v>
      </c>
      <c r="M1735" s="17"/>
      <c r="N1735" s="64" t="s">
        <v>7273</v>
      </c>
      <c r="O1735" s="64" t="s">
        <v>2807</v>
      </c>
      <c r="P1735" s="147" t="s">
        <v>4672</v>
      </c>
      <c r="Q1735" s="149"/>
      <c r="R1735" s="141"/>
      <c r="S1735" s="141"/>
      <c r="T1735" s="141">
        <v>100000.0</v>
      </c>
      <c r="U1735" s="149"/>
      <c r="V1735" s="149"/>
      <c r="W1735" s="149"/>
      <c r="X1735" s="68"/>
      <c r="Y1735" s="68"/>
      <c r="Z1735" s="68"/>
    </row>
    <row r="1736" ht="15.0" customHeight="1">
      <c r="A1736" s="206">
        <v>46029.0</v>
      </c>
      <c r="B1736" s="201" t="s">
        <v>7269</v>
      </c>
      <c r="C1736" s="45" t="s">
        <v>2770</v>
      </c>
      <c r="D1736" s="140" t="str">
        <f>IFERROR(VLOOKUP(C1736,Stock,3,FALSE),"")</f>
        <v>Transport</v>
      </c>
      <c r="E1736" s="45">
        <v>1.0</v>
      </c>
      <c r="F1736" s="198">
        <v>150000.0</v>
      </c>
      <c r="G1736" s="142">
        <f t="shared" si="44"/>
        <v>150000</v>
      </c>
      <c r="H1736" s="142"/>
      <c r="I1736" s="143">
        <f t="shared" si="45"/>
        <v>150000</v>
      </c>
      <c r="J1736" s="144">
        <f t="shared" si="46"/>
        <v>150000</v>
      </c>
      <c r="K1736" s="108" t="s">
        <v>7271</v>
      </c>
      <c r="L1736" s="199" t="s">
        <v>7272</v>
      </c>
      <c r="M1736" s="17"/>
      <c r="N1736" s="64" t="s">
        <v>7273</v>
      </c>
      <c r="O1736" s="64" t="s">
        <v>2807</v>
      </c>
      <c r="P1736" s="147" t="s">
        <v>4672</v>
      </c>
      <c r="Q1736" s="149"/>
      <c r="R1736" s="141"/>
      <c r="S1736" s="141"/>
      <c r="T1736" s="141">
        <v>1442000.0</v>
      </c>
      <c r="U1736" s="149"/>
      <c r="V1736" s="149"/>
      <c r="W1736" s="149"/>
      <c r="X1736" s="68"/>
      <c r="Y1736" s="68"/>
      <c r="Z1736" s="68"/>
    </row>
    <row r="1737" ht="15.0" customHeight="1">
      <c r="A1737" s="206">
        <v>46029.0</v>
      </c>
      <c r="B1737" s="201" t="s">
        <v>7274</v>
      </c>
      <c r="C1737" s="45" t="s">
        <v>7275</v>
      </c>
      <c r="D1737" s="140" t="str">
        <f>IFERROR(VLOOKUP(C1737,Stock,3,FALSE),"")</f>
        <v>Mazda 2 14- Skyactiv 4th Gen (1 Sensor/ □ )</v>
      </c>
      <c r="E1737" s="45">
        <v>1.0</v>
      </c>
      <c r="F1737" s="198">
        <v>3008000.0</v>
      </c>
      <c r="G1737" s="142">
        <f t="shared" si="44"/>
        <v>3008000</v>
      </c>
      <c r="H1737" s="142"/>
      <c r="I1737" s="143">
        <f t="shared" si="45"/>
        <v>3008000</v>
      </c>
      <c r="J1737" s="144">
        <f t="shared" si="46"/>
        <v>3008000</v>
      </c>
      <c r="K1737" s="108" t="s">
        <v>7276</v>
      </c>
      <c r="L1737" s="199" t="s">
        <v>7277</v>
      </c>
      <c r="M1737" s="17"/>
      <c r="N1737" s="64" t="s">
        <v>7278</v>
      </c>
      <c r="O1737" s="64" t="s">
        <v>3033</v>
      </c>
      <c r="P1737" s="147" t="s">
        <v>4672</v>
      </c>
      <c r="Q1737" s="149"/>
      <c r="R1737" s="141"/>
      <c r="S1737" s="141"/>
      <c r="T1737" s="141" t="s">
        <v>7279</v>
      </c>
      <c r="U1737" s="149"/>
      <c r="V1737" s="149"/>
      <c r="W1737" s="149"/>
      <c r="X1737" s="68"/>
      <c r="Y1737" s="68"/>
      <c r="Z1737" s="68"/>
    </row>
    <row r="1738" ht="15.0" customHeight="1">
      <c r="A1738" s="206">
        <v>46029.0</v>
      </c>
      <c r="B1738" s="201" t="s">
        <v>7280</v>
      </c>
      <c r="C1738" s="45" t="s">
        <v>7281</v>
      </c>
      <c r="D1738" s="140" t="str">
        <f>IFERROR(VLOOKUP(C1738,Stock,3,FALSE),"")</f>
        <v>Toyota Kijang 02-04 Kapsul Lem Efi </v>
      </c>
      <c r="E1738" s="45">
        <v>1.0</v>
      </c>
      <c r="F1738" s="198">
        <v>985000.0</v>
      </c>
      <c r="G1738" s="142">
        <f t="shared" si="44"/>
        <v>985000</v>
      </c>
      <c r="H1738" s="142"/>
      <c r="I1738" s="143">
        <f t="shared" si="45"/>
        <v>985000</v>
      </c>
      <c r="J1738" s="144">
        <f t="shared" si="46"/>
        <v>985000</v>
      </c>
      <c r="K1738" s="108" t="s">
        <v>7282</v>
      </c>
      <c r="L1738" s="199" t="s">
        <v>7283</v>
      </c>
      <c r="M1738" s="17"/>
      <c r="N1738" s="64" t="s">
        <v>7284</v>
      </c>
      <c r="O1738" s="64" t="s">
        <v>2807</v>
      </c>
      <c r="P1738" s="147" t="s">
        <v>4672</v>
      </c>
      <c r="Q1738" s="149"/>
      <c r="R1738" s="149"/>
      <c r="S1738" s="149"/>
      <c r="T1738" s="149"/>
      <c r="U1738" s="149"/>
      <c r="V1738" s="149"/>
      <c r="W1738" s="149"/>
      <c r="X1738" s="68"/>
      <c r="Y1738" s="68"/>
      <c r="Z1738" s="68"/>
    </row>
    <row r="1739" ht="15.0" customHeight="1">
      <c r="A1739" s="206">
        <v>46029.0</v>
      </c>
      <c r="B1739" s="201" t="s">
        <v>7285</v>
      </c>
      <c r="C1739" s="45" t="s">
        <v>7286</v>
      </c>
      <c r="D1739" s="140" t="str">
        <f>IFERROR(VLOOKUP(C1739,Stock,3,FALSE),"")</f>
        <v>Honda HR-V 14-21 5D SUV</v>
      </c>
      <c r="E1739" s="45">
        <v>1.0</v>
      </c>
      <c r="F1739" s="198">
        <v>585000.0</v>
      </c>
      <c r="G1739" s="142">
        <f t="shared" si="44"/>
        <v>585000</v>
      </c>
      <c r="H1739" s="142"/>
      <c r="I1739" s="143">
        <f t="shared" si="45"/>
        <v>585000</v>
      </c>
      <c r="J1739" s="144">
        <f t="shared" si="46"/>
        <v>585000</v>
      </c>
      <c r="K1739" s="108" t="s">
        <v>7287</v>
      </c>
      <c r="L1739" s="199" t="s">
        <v>7288</v>
      </c>
      <c r="M1739" s="17"/>
      <c r="N1739" s="64" t="s">
        <v>7289</v>
      </c>
      <c r="O1739" s="64" t="s">
        <v>6158</v>
      </c>
      <c r="P1739" s="147" t="s">
        <v>4672</v>
      </c>
      <c r="Q1739" s="149"/>
      <c r="R1739" s="141"/>
      <c r="S1739" s="141"/>
      <c r="T1739" s="141">
        <v>785000.0</v>
      </c>
      <c r="U1739" s="149"/>
      <c r="V1739" s="149"/>
      <c r="W1739" s="149"/>
      <c r="X1739" s="68"/>
      <c r="Y1739" s="68"/>
      <c r="Z1739" s="68"/>
    </row>
    <row r="1740" ht="15.0" customHeight="1">
      <c r="A1740" s="206">
        <v>46029.0</v>
      </c>
      <c r="B1740" s="201" t="s">
        <v>7285</v>
      </c>
      <c r="C1740" s="45" t="s">
        <v>5254</v>
      </c>
      <c r="D1740" s="140" t="str">
        <f>IFERROR(VLOOKUP(C1740,Stock,3,FALSE),"")</f>
        <v>Automotive Film Standard - Black 40%				</v>
      </c>
      <c r="E1740" s="45">
        <v>1.0</v>
      </c>
      <c r="F1740" s="198">
        <v>200000.0</v>
      </c>
      <c r="G1740" s="142">
        <f t="shared" si="44"/>
        <v>200000</v>
      </c>
      <c r="H1740" s="142"/>
      <c r="I1740" s="143">
        <f t="shared" si="45"/>
        <v>200000</v>
      </c>
      <c r="J1740" s="144">
        <f t="shared" si="46"/>
        <v>200000</v>
      </c>
      <c r="K1740" s="108" t="s">
        <v>7287</v>
      </c>
      <c r="L1740" s="199" t="s">
        <v>7288</v>
      </c>
      <c r="M1740" s="17"/>
      <c r="N1740" s="64" t="s">
        <v>7289</v>
      </c>
      <c r="O1740" s="64" t="s">
        <v>6158</v>
      </c>
      <c r="P1740" s="147" t="s">
        <v>4672</v>
      </c>
      <c r="Q1740" s="149"/>
      <c r="R1740" s="149"/>
      <c r="S1740" s="149"/>
      <c r="T1740" s="149"/>
      <c r="U1740" s="149"/>
      <c r="V1740" s="149"/>
      <c r="W1740" s="149"/>
      <c r="X1740" s="68"/>
      <c r="Y1740" s="68"/>
      <c r="Z1740" s="68"/>
    </row>
    <row r="1741" ht="15.0" customHeight="1">
      <c r="A1741" s="206">
        <v>46030.0</v>
      </c>
      <c r="B1741" s="201" t="s">
        <v>7290</v>
      </c>
      <c r="C1741" s="45" t="s">
        <v>4641</v>
      </c>
      <c r="D1741" s="140" t="str">
        <f>IFERROR(VLOOKUP(C1741,Stock,3,FALSE),"")</f>
        <v>Toyota Innova 22- Zenyx 3rd Gen (Toyota)</v>
      </c>
      <c r="E1741" s="45">
        <v>1.0</v>
      </c>
      <c r="F1741" s="198">
        <v>885000.0</v>
      </c>
      <c r="G1741" s="142">
        <f t="shared" si="44"/>
        <v>885000</v>
      </c>
      <c r="H1741" s="142"/>
      <c r="I1741" s="143">
        <f t="shared" si="45"/>
        <v>885000</v>
      </c>
      <c r="J1741" s="144">
        <f t="shared" si="46"/>
        <v>885000</v>
      </c>
      <c r="K1741" s="108" t="s">
        <v>7291</v>
      </c>
      <c r="L1741" s="199" t="s">
        <v>7292</v>
      </c>
      <c r="M1741" s="17"/>
      <c r="N1741" s="64" t="s">
        <v>7293</v>
      </c>
      <c r="O1741" s="64" t="s">
        <v>7294</v>
      </c>
      <c r="P1741" s="147" t="s">
        <v>4672</v>
      </c>
      <c r="Q1741" s="141">
        <v>885000.0</v>
      </c>
      <c r="R1741" s="149"/>
      <c r="S1741" s="149"/>
      <c r="T1741" s="149"/>
      <c r="U1741" s="149"/>
      <c r="V1741" s="149"/>
      <c r="W1741" s="149"/>
      <c r="X1741" s="68"/>
      <c r="Y1741" s="68"/>
      <c r="Z1741" s="68"/>
    </row>
    <row r="1742" ht="15.0" customHeight="1">
      <c r="A1742" s="206">
        <v>46030.0</v>
      </c>
      <c r="B1742" s="201" t="s">
        <v>7295</v>
      </c>
      <c r="C1742" s="201" t="s">
        <v>4544</v>
      </c>
      <c r="D1742" s="140" t="str">
        <f>IFERROR(VLOOKUP(C1742,Stock,3,FALSE),"")</f>
        <v>Toyota Avanza / Xenia 03-11 1st Gen</v>
      </c>
      <c r="E1742" s="45">
        <v>1.0</v>
      </c>
      <c r="F1742" s="198">
        <v>839000.0</v>
      </c>
      <c r="G1742" s="142">
        <f t="shared" si="44"/>
        <v>839000</v>
      </c>
      <c r="H1742" s="142"/>
      <c r="I1742" s="143">
        <f t="shared" si="45"/>
        <v>839000</v>
      </c>
      <c r="J1742" s="144">
        <f t="shared" si="46"/>
        <v>839000</v>
      </c>
      <c r="K1742" s="108" t="s">
        <v>7296</v>
      </c>
      <c r="L1742" s="199" t="s">
        <v>7297</v>
      </c>
      <c r="M1742" s="17"/>
      <c r="N1742" s="64" t="s">
        <v>7298</v>
      </c>
      <c r="O1742" s="64" t="s">
        <v>7299</v>
      </c>
      <c r="P1742" s="147" t="s">
        <v>4672</v>
      </c>
      <c r="Q1742" s="149"/>
      <c r="R1742" s="141"/>
      <c r="S1742" s="141"/>
      <c r="T1742" s="141">
        <v>50000.0</v>
      </c>
      <c r="U1742" s="149"/>
      <c r="V1742" s="149"/>
      <c r="W1742" s="149"/>
      <c r="X1742" s="68"/>
      <c r="Y1742" s="68"/>
      <c r="Z1742" s="68"/>
    </row>
    <row r="1743" ht="15.0" customHeight="1">
      <c r="A1743" s="206">
        <v>46030.0</v>
      </c>
      <c r="B1743" s="201" t="s">
        <v>7295</v>
      </c>
      <c r="C1743" s="45" t="s">
        <v>2770</v>
      </c>
      <c r="D1743" s="140" t="str">
        <f>IFERROR(VLOOKUP(C1743,Stock,3,FALSE),"")</f>
        <v>Transport</v>
      </c>
      <c r="E1743" s="45">
        <v>1.0</v>
      </c>
      <c r="F1743" s="198">
        <v>50000.0</v>
      </c>
      <c r="G1743" s="142">
        <f t="shared" si="44"/>
        <v>50000</v>
      </c>
      <c r="H1743" s="142"/>
      <c r="I1743" s="143">
        <f t="shared" si="45"/>
        <v>50000</v>
      </c>
      <c r="J1743" s="144">
        <f t="shared" si="46"/>
        <v>50000</v>
      </c>
      <c r="K1743" s="108" t="s">
        <v>7296</v>
      </c>
      <c r="L1743" s="199" t="s">
        <v>7297</v>
      </c>
      <c r="M1743" s="17"/>
      <c r="N1743" s="64" t="s">
        <v>7298</v>
      </c>
      <c r="O1743" s="64" t="s">
        <v>7299</v>
      </c>
      <c r="P1743" s="147" t="s">
        <v>4672</v>
      </c>
      <c r="Q1743" s="149"/>
      <c r="R1743" s="149"/>
      <c r="S1743" s="149"/>
      <c r="T1743" s="149"/>
      <c r="U1743" s="149"/>
      <c r="V1743" s="149"/>
      <c r="W1743" s="149"/>
      <c r="X1743" s="68"/>
      <c r="Y1743" s="68"/>
      <c r="Z1743" s="68"/>
    </row>
    <row r="1744" ht="15.0" customHeight="1">
      <c r="A1744" s="206">
        <v>46030.0</v>
      </c>
      <c r="B1744" s="201" t="s">
        <v>7300</v>
      </c>
      <c r="C1744" s="45" t="s">
        <v>7301</v>
      </c>
      <c r="D1744" s="140" t="str">
        <f>IFERROR(VLOOKUP(C1744,Stock,3,FALSE),"")</f>
        <v>Toyota Avanza / Xenia 21- 4th Gen (Toyota/Daihatsu)</v>
      </c>
      <c r="E1744" s="45">
        <v>1.0</v>
      </c>
      <c r="F1744" s="198">
        <v>725000.0</v>
      </c>
      <c r="G1744" s="142">
        <f t="shared" si="44"/>
        <v>725000</v>
      </c>
      <c r="H1744" s="142"/>
      <c r="I1744" s="143">
        <f t="shared" si="45"/>
        <v>725000</v>
      </c>
      <c r="J1744" s="144">
        <f t="shared" si="46"/>
        <v>725000</v>
      </c>
      <c r="K1744" s="108" t="s">
        <v>7302</v>
      </c>
      <c r="L1744" s="199" t="s">
        <v>7303</v>
      </c>
      <c r="M1744" s="17"/>
      <c r="N1744" s="64" t="s">
        <v>7304</v>
      </c>
      <c r="O1744" s="64" t="s">
        <v>2813</v>
      </c>
      <c r="P1744" s="147" t="s">
        <v>4672</v>
      </c>
      <c r="Q1744" s="149"/>
      <c r="R1744" s="141"/>
      <c r="S1744" s="141"/>
      <c r="T1744" s="141" t="s">
        <v>7305</v>
      </c>
      <c r="U1744" s="149"/>
      <c r="V1744" s="149"/>
      <c r="W1744" s="149"/>
      <c r="X1744" s="68"/>
      <c r="Y1744" s="68"/>
      <c r="Z1744" s="68"/>
    </row>
    <row r="1745" ht="15.0" customHeight="1">
      <c r="A1745" s="206">
        <v>46030.0</v>
      </c>
      <c r="B1745" s="201" t="s">
        <v>7306</v>
      </c>
      <c r="C1745" s="45" t="s">
        <v>7307</v>
      </c>
      <c r="D1745" s="140" t="str">
        <f>IFERROR(VLOOKUP(C1745,Stock,3,FALSE),"")</f>
        <v>Suzuki APV 03- Pickup/ Van (Suzuki)</v>
      </c>
      <c r="E1745" s="45">
        <v>1.0</v>
      </c>
      <c r="F1745" s="198">
        <v>1812000.0</v>
      </c>
      <c r="G1745" s="142">
        <f t="shared" si="44"/>
        <v>1812000</v>
      </c>
      <c r="H1745" s="143"/>
      <c r="I1745" s="143">
        <f t="shared" si="45"/>
        <v>1812000</v>
      </c>
      <c r="J1745" s="144">
        <f t="shared" si="46"/>
        <v>1812000</v>
      </c>
      <c r="K1745" s="108" t="s">
        <v>7308</v>
      </c>
      <c r="L1745" s="199" t="s">
        <v>7309</v>
      </c>
      <c r="M1745" s="17"/>
      <c r="N1745" s="64" t="s">
        <v>7310</v>
      </c>
      <c r="O1745" s="64" t="s">
        <v>3033</v>
      </c>
      <c r="P1745" s="147" t="s">
        <v>4672</v>
      </c>
      <c r="Q1745" s="149"/>
      <c r="R1745" s="141"/>
      <c r="S1745" s="141"/>
      <c r="T1745" s="141">
        <v>906000.0</v>
      </c>
      <c r="U1745" s="149"/>
      <c r="V1745" s="149"/>
      <c r="W1745" s="149"/>
      <c r="X1745" s="68"/>
      <c r="Y1745" s="68"/>
      <c r="Z1745" s="68"/>
    </row>
    <row r="1746" ht="15.0" customHeight="1">
      <c r="A1746" s="206">
        <v>46030.0</v>
      </c>
      <c r="B1746" s="201" t="s">
        <v>7306</v>
      </c>
      <c r="C1746" s="45" t="s">
        <v>2770</v>
      </c>
      <c r="D1746" s="140" t="str">
        <f>IFERROR(VLOOKUP(C1746,Stock,3,FALSE),"")</f>
        <v>Transport</v>
      </c>
      <c r="E1746" s="45">
        <v>1.0</v>
      </c>
      <c r="F1746" s="198">
        <v>275000.0</v>
      </c>
      <c r="G1746" s="142">
        <f t="shared" si="44"/>
        <v>275000</v>
      </c>
      <c r="H1746" s="143"/>
      <c r="I1746" s="143">
        <f t="shared" si="45"/>
        <v>275000</v>
      </c>
      <c r="J1746" s="144">
        <f t="shared" si="46"/>
        <v>275000</v>
      </c>
      <c r="K1746" s="108" t="s">
        <v>7308</v>
      </c>
      <c r="L1746" s="199" t="s">
        <v>7309</v>
      </c>
      <c r="M1746" s="17"/>
      <c r="N1746" s="64" t="s">
        <v>7310</v>
      </c>
      <c r="O1746" s="64" t="s">
        <v>3033</v>
      </c>
      <c r="P1746" s="147" t="s">
        <v>4672</v>
      </c>
      <c r="Q1746" s="149"/>
      <c r="R1746" s="141"/>
      <c r="S1746" s="141"/>
      <c r="T1746" s="141"/>
      <c r="U1746" s="149"/>
      <c r="V1746" s="149"/>
      <c r="W1746" s="149"/>
      <c r="X1746" s="68"/>
      <c r="Y1746" s="68"/>
      <c r="Z1746" s="68"/>
    </row>
    <row r="1747" ht="15.0" customHeight="1">
      <c r="A1747" s="206">
        <v>46030.0</v>
      </c>
      <c r="B1747" s="201" t="s">
        <v>7311</v>
      </c>
      <c r="C1747" s="45" t="s">
        <v>7312</v>
      </c>
      <c r="D1747" s="140" t="str">
        <f>IFERROR(VLOOKUP(C1747,Stock,3,FALSE),"")</f>
        <v>Toyota Camry 11-18 XV50 5th Gen (Mitsubishi)</v>
      </c>
      <c r="E1747" s="45">
        <v>1.0</v>
      </c>
      <c r="F1747" s="198">
        <v>3694000.0</v>
      </c>
      <c r="G1747" s="142">
        <f t="shared" si="44"/>
        <v>3694000</v>
      </c>
      <c r="H1747" s="143"/>
      <c r="I1747" s="143">
        <f t="shared" si="45"/>
        <v>3694000</v>
      </c>
      <c r="J1747" s="144">
        <f t="shared" si="46"/>
        <v>3694000</v>
      </c>
      <c r="K1747" s="108" t="s">
        <v>7313</v>
      </c>
      <c r="L1747" s="199" t="s">
        <v>7314</v>
      </c>
      <c r="M1747" s="17"/>
      <c r="N1747" s="68"/>
      <c r="O1747" s="64" t="s">
        <v>4692</v>
      </c>
      <c r="P1747" s="147" t="s">
        <v>4672</v>
      </c>
      <c r="Q1747" s="149"/>
      <c r="R1747" s="141"/>
      <c r="S1747" s="141"/>
      <c r="T1747" s="141" t="s">
        <v>7315</v>
      </c>
      <c r="U1747" s="149"/>
      <c r="V1747" s="149"/>
      <c r="W1747" s="149"/>
      <c r="X1747" s="68"/>
      <c r="Y1747" s="68"/>
      <c r="Z1747" s="68"/>
    </row>
    <row r="1748" ht="15.0" customHeight="1">
      <c r="A1748" s="265">
        <v>46030.0</v>
      </c>
      <c r="B1748" s="266" t="s">
        <v>7316</v>
      </c>
      <c r="C1748" s="269" t="s">
        <v>7162</v>
      </c>
      <c r="D1748" s="268" t="str">
        <f>IFERROR(VLOOKUP(C1748,Stock,3,FALSE),"")</f>
        <v>Toyota Innova 04-15 1st Gen</v>
      </c>
      <c r="E1748" s="269">
        <v>5.0</v>
      </c>
      <c r="F1748" s="270"/>
      <c r="G1748" s="271">
        <f t="shared" si="44"/>
        <v>0</v>
      </c>
      <c r="H1748" s="271"/>
      <c r="I1748" s="272">
        <f t="shared" si="45"/>
        <v>0</v>
      </c>
      <c r="J1748" s="273">
        <f t="shared" si="46"/>
        <v>0</v>
      </c>
      <c r="K1748" s="267" t="s">
        <v>4509</v>
      </c>
      <c r="L1748" s="274"/>
      <c r="M1748" s="274"/>
      <c r="N1748" s="275"/>
      <c r="O1748" s="275"/>
      <c r="P1748" s="395"/>
      <c r="Q1748" s="277"/>
      <c r="R1748" s="277"/>
      <c r="S1748" s="277"/>
      <c r="T1748" s="277"/>
      <c r="U1748" s="277"/>
      <c r="V1748" s="277"/>
      <c r="W1748" s="277"/>
      <c r="X1748" s="275"/>
      <c r="Y1748" s="275"/>
      <c r="Z1748" s="275"/>
    </row>
    <row r="1749" ht="15.0" customHeight="1">
      <c r="A1749" s="265">
        <v>46030.0</v>
      </c>
      <c r="B1749" s="266" t="s">
        <v>7316</v>
      </c>
      <c r="C1749" s="269" t="s">
        <v>7163</v>
      </c>
      <c r="D1749" s="268" t="str">
        <f>IFERROR(VLOOKUP(C1749,Stock,3,FALSE),"")</f>
        <v>Toyota Innova 15- 2nd Gen</v>
      </c>
      <c r="E1749" s="269">
        <v>2.0</v>
      </c>
      <c r="F1749" s="270"/>
      <c r="G1749" s="271">
        <f t="shared" si="44"/>
        <v>0</v>
      </c>
      <c r="H1749" s="271"/>
      <c r="I1749" s="272">
        <f t="shared" si="45"/>
        <v>0</v>
      </c>
      <c r="J1749" s="273">
        <f t="shared" si="46"/>
        <v>0</v>
      </c>
      <c r="K1749" s="267" t="s">
        <v>4509</v>
      </c>
      <c r="L1749" s="274"/>
      <c r="M1749" s="274"/>
      <c r="N1749" s="275"/>
      <c r="O1749" s="275"/>
      <c r="P1749" s="395"/>
      <c r="Q1749" s="277"/>
      <c r="R1749" s="277"/>
      <c r="S1749" s="277"/>
      <c r="T1749" s="277"/>
      <c r="U1749" s="277"/>
      <c r="V1749" s="277"/>
      <c r="W1749" s="277"/>
      <c r="X1749" s="275"/>
      <c r="Y1749" s="275"/>
      <c r="Z1749" s="275"/>
    </row>
    <row r="1750" ht="15.0" customHeight="1">
      <c r="A1750" s="265">
        <v>46030.0</v>
      </c>
      <c r="B1750" s="266" t="s">
        <v>7316</v>
      </c>
      <c r="C1750" s="269" t="s">
        <v>5041</v>
      </c>
      <c r="D1750" s="268" t="str">
        <f>IFERROR(VLOOKUP(C1750,Stock,3,FALSE),"")</f>
        <v>Honda Freed 08-16 1st gen</v>
      </c>
      <c r="E1750" s="269">
        <v>2.0</v>
      </c>
      <c r="F1750" s="270"/>
      <c r="G1750" s="271">
        <f t="shared" si="44"/>
        <v>0</v>
      </c>
      <c r="H1750" s="271"/>
      <c r="I1750" s="272">
        <f t="shared" si="45"/>
        <v>0</v>
      </c>
      <c r="J1750" s="273">
        <f t="shared" si="46"/>
        <v>0</v>
      </c>
      <c r="K1750" s="267" t="s">
        <v>4509</v>
      </c>
      <c r="L1750" s="274"/>
      <c r="M1750" s="274"/>
      <c r="N1750" s="275"/>
      <c r="O1750" s="275"/>
      <c r="P1750" s="395"/>
      <c r="Q1750" s="277"/>
      <c r="R1750" s="277"/>
      <c r="S1750" s="277"/>
      <c r="T1750" s="277"/>
      <c r="U1750" s="277"/>
      <c r="V1750" s="277"/>
      <c r="W1750" s="277"/>
      <c r="X1750" s="275"/>
      <c r="Y1750" s="275"/>
      <c r="Z1750" s="275"/>
    </row>
    <row r="1751" ht="15.0" customHeight="1">
      <c r="A1751" s="265">
        <v>46030.0</v>
      </c>
      <c r="B1751" s="266" t="s">
        <v>7316</v>
      </c>
      <c r="C1751" s="269" t="s">
        <v>7317</v>
      </c>
      <c r="D1751" s="268" t="str">
        <f>IFERROR(VLOOKUP(C1751,Stock,3,FALSE),"")</f>
        <v>Mitsubishi Xpander 17-</v>
      </c>
      <c r="E1751" s="269">
        <v>2.0</v>
      </c>
      <c r="F1751" s="270"/>
      <c r="G1751" s="271">
        <f t="shared" si="44"/>
        <v>0</v>
      </c>
      <c r="H1751" s="271"/>
      <c r="I1751" s="272">
        <f t="shared" si="45"/>
        <v>0</v>
      </c>
      <c r="J1751" s="273">
        <f t="shared" si="46"/>
        <v>0</v>
      </c>
      <c r="K1751" s="267" t="s">
        <v>4509</v>
      </c>
      <c r="L1751" s="274"/>
      <c r="M1751" s="274"/>
      <c r="N1751" s="275"/>
      <c r="O1751" s="275"/>
      <c r="P1751" s="395"/>
      <c r="Q1751" s="277"/>
      <c r="R1751" s="277"/>
      <c r="S1751" s="277"/>
      <c r="T1751" s="277"/>
      <c r="U1751" s="277"/>
      <c r="V1751" s="277"/>
      <c r="W1751" s="277"/>
      <c r="X1751" s="275"/>
      <c r="Y1751" s="275"/>
      <c r="Z1751" s="275"/>
    </row>
    <row r="1752" ht="15.0" customHeight="1">
      <c r="A1752" s="265">
        <v>46030.0</v>
      </c>
      <c r="B1752" s="266" t="s">
        <v>7316</v>
      </c>
      <c r="C1752" s="269" t="s">
        <v>3220</v>
      </c>
      <c r="D1752" s="268" t="str">
        <f>IFERROR(VLOOKUP(C1752,Stock,3,FALSE),"")</f>
        <v>BMW 3 Series 12-18 F30/F35 (1 Sensor / O )</v>
      </c>
      <c r="E1752" s="269">
        <v>1.0</v>
      </c>
      <c r="F1752" s="270"/>
      <c r="G1752" s="271">
        <f t="shared" si="44"/>
        <v>0</v>
      </c>
      <c r="H1752" s="271"/>
      <c r="I1752" s="272">
        <f t="shared" si="45"/>
        <v>0</v>
      </c>
      <c r="J1752" s="273">
        <f t="shared" si="46"/>
        <v>0</v>
      </c>
      <c r="K1752" s="267" t="s">
        <v>4509</v>
      </c>
      <c r="L1752" s="274"/>
      <c r="M1752" s="274"/>
      <c r="N1752" s="275"/>
      <c r="O1752" s="275"/>
      <c r="P1752" s="395"/>
      <c r="Q1752" s="277"/>
      <c r="R1752" s="277"/>
      <c r="S1752" s="277"/>
      <c r="T1752" s="277"/>
      <c r="U1752" s="277"/>
      <c r="V1752" s="277"/>
      <c r="W1752" s="277"/>
      <c r="X1752" s="275"/>
      <c r="Y1752" s="275"/>
      <c r="Z1752" s="275"/>
    </row>
    <row r="1753" ht="15.0" customHeight="1">
      <c r="A1753" s="265">
        <v>46030.0</v>
      </c>
      <c r="B1753" s="266" t="s">
        <v>7316</v>
      </c>
      <c r="C1753" s="269" t="s">
        <v>7199</v>
      </c>
      <c r="D1753" s="268" t="str">
        <f>IFERROR(VLOOKUP(C1753,Stock,3,FALSE),"")</f>
        <v>Daihatsu Gran Max / Luxio 07-</v>
      </c>
      <c r="E1753" s="269">
        <v>5.0</v>
      </c>
      <c r="F1753" s="270"/>
      <c r="G1753" s="271">
        <f t="shared" si="44"/>
        <v>0</v>
      </c>
      <c r="H1753" s="271"/>
      <c r="I1753" s="272">
        <f t="shared" si="45"/>
        <v>0</v>
      </c>
      <c r="J1753" s="273">
        <f t="shared" si="46"/>
        <v>0</v>
      </c>
      <c r="K1753" s="267" t="s">
        <v>4509</v>
      </c>
      <c r="L1753" s="274"/>
      <c r="M1753" s="274"/>
      <c r="N1753" s="275"/>
      <c r="O1753" s="275"/>
      <c r="P1753" s="395"/>
      <c r="Q1753" s="277"/>
      <c r="R1753" s="277"/>
      <c r="S1753" s="277"/>
      <c r="T1753" s="277"/>
      <c r="U1753" s="277"/>
      <c r="V1753" s="277"/>
      <c r="W1753" s="277"/>
      <c r="X1753" s="275"/>
      <c r="Y1753" s="275"/>
      <c r="Z1753" s="275"/>
    </row>
    <row r="1754" ht="15.0" customHeight="1">
      <c r="A1754" s="265">
        <v>46030.0</v>
      </c>
      <c r="B1754" s="266" t="s">
        <v>7316</v>
      </c>
      <c r="C1754" s="269" t="s">
        <v>7318</v>
      </c>
      <c r="D1754" s="268" t="str">
        <f>IFERROR(VLOOKUP(C1754,Stock,3,FALSE),"")</f>
        <v>Toyota Avanza / Xenia 15-21 3rd Gen</v>
      </c>
      <c r="E1754" s="269">
        <v>2.0</v>
      </c>
      <c r="F1754" s="270"/>
      <c r="G1754" s="271">
        <f t="shared" si="44"/>
        <v>0</v>
      </c>
      <c r="H1754" s="271"/>
      <c r="I1754" s="272">
        <f t="shared" si="45"/>
        <v>0</v>
      </c>
      <c r="J1754" s="273">
        <f t="shared" si="46"/>
        <v>0</v>
      </c>
      <c r="K1754" s="267" t="s">
        <v>4509</v>
      </c>
      <c r="L1754" s="274"/>
      <c r="M1754" s="274"/>
      <c r="N1754" s="275"/>
      <c r="O1754" s="275"/>
      <c r="P1754" s="395"/>
      <c r="Q1754" s="277"/>
      <c r="R1754" s="277"/>
      <c r="S1754" s="277"/>
      <c r="T1754" s="277"/>
      <c r="U1754" s="277"/>
      <c r="V1754" s="277"/>
      <c r="W1754" s="277"/>
      <c r="X1754" s="275"/>
      <c r="Y1754" s="275"/>
      <c r="Z1754" s="275"/>
    </row>
    <row r="1755" ht="15.0" customHeight="1">
      <c r="A1755" s="265">
        <v>46030.0</v>
      </c>
      <c r="B1755" s="266" t="s">
        <v>7316</v>
      </c>
      <c r="C1755" s="269" t="s">
        <v>7319</v>
      </c>
      <c r="D1755" s="268" t="str">
        <f>IFERROR(VLOOKUP(C1755,Stock,3,FALSE),"")</f>
        <v>Honda CR-V 07-11 3rd Gen</v>
      </c>
      <c r="E1755" s="269">
        <v>2.0</v>
      </c>
      <c r="F1755" s="270"/>
      <c r="G1755" s="271">
        <f t="shared" si="44"/>
        <v>0</v>
      </c>
      <c r="H1755" s="271"/>
      <c r="I1755" s="272">
        <f t="shared" si="45"/>
        <v>0</v>
      </c>
      <c r="J1755" s="273">
        <f t="shared" si="46"/>
        <v>0</v>
      </c>
      <c r="K1755" s="267" t="s">
        <v>4509</v>
      </c>
      <c r="L1755" s="274"/>
      <c r="M1755" s="274"/>
      <c r="N1755" s="275"/>
      <c r="O1755" s="275"/>
      <c r="P1755" s="395"/>
      <c r="Q1755" s="277"/>
      <c r="R1755" s="277"/>
      <c r="S1755" s="277"/>
      <c r="T1755" s="277"/>
      <c r="U1755" s="277"/>
      <c r="V1755" s="277"/>
      <c r="W1755" s="277"/>
      <c r="X1755" s="275"/>
      <c r="Y1755" s="275"/>
      <c r="Z1755" s="275"/>
    </row>
    <row r="1756" ht="15.0" customHeight="1">
      <c r="A1756" s="265">
        <v>46030.0</v>
      </c>
      <c r="B1756" s="266" t="s">
        <v>7316</v>
      </c>
      <c r="C1756" s="416" t="s">
        <v>5970</v>
      </c>
      <c r="D1756" s="268" t="str">
        <f>IFERROR(VLOOKUP(C1756,Stock,3,FALSE),"")</f>
        <v>Honda CR-V 12-16 4th Gen</v>
      </c>
      <c r="E1756" s="269">
        <v>2.0</v>
      </c>
      <c r="F1756" s="270"/>
      <c r="G1756" s="271">
        <f t="shared" si="44"/>
        <v>0</v>
      </c>
      <c r="H1756" s="271"/>
      <c r="I1756" s="272">
        <f t="shared" si="45"/>
        <v>0</v>
      </c>
      <c r="J1756" s="273">
        <f t="shared" si="46"/>
        <v>0</v>
      </c>
      <c r="K1756" s="267" t="s">
        <v>4509</v>
      </c>
      <c r="L1756" s="274"/>
      <c r="M1756" s="274"/>
      <c r="N1756" s="275"/>
      <c r="O1756" s="275"/>
      <c r="P1756" s="395"/>
      <c r="Q1756" s="277"/>
      <c r="R1756" s="277"/>
      <c r="S1756" s="277"/>
      <c r="T1756" s="277"/>
      <c r="U1756" s="277"/>
      <c r="V1756" s="277"/>
      <c r="W1756" s="277"/>
      <c r="X1756" s="275"/>
      <c r="Y1756" s="275"/>
      <c r="Z1756" s="275"/>
    </row>
    <row r="1757" ht="15.0" customHeight="1">
      <c r="A1757" s="265">
        <v>46030.0</v>
      </c>
      <c r="B1757" s="266" t="s">
        <v>7316</v>
      </c>
      <c r="C1757" s="269" t="s">
        <v>7160</v>
      </c>
      <c r="D1757" s="268" t="str">
        <f>IFERROR(VLOOKUP(C1757,Stock,3,FALSE),"")</f>
        <v>Toyota Avanza / Xenia 11-15 2nd Gen</v>
      </c>
      <c r="E1757" s="269">
        <v>5.0</v>
      </c>
      <c r="F1757" s="270"/>
      <c r="G1757" s="271">
        <f t="shared" si="44"/>
        <v>0</v>
      </c>
      <c r="H1757" s="271"/>
      <c r="I1757" s="272">
        <f t="shared" si="45"/>
        <v>0</v>
      </c>
      <c r="J1757" s="273">
        <f t="shared" si="46"/>
        <v>0</v>
      </c>
      <c r="K1757" s="267" t="s">
        <v>4509</v>
      </c>
      <c r="L1757" s="274"/>
      <c r="M1757" s="274"/>
      <c r="N1757" s="275"/>
      <c r="O1757" s="275"/>
      <c r="P1757" s="276"/>
      <c r="Q1757" s="277"/>
      <c r="R1757" s="277"/>
      <c r="S1757" s="277"/>
      <c r="T1757" s="277"/>
      <c r="U1757" s="277"/>
      <c r="V1757" s="277"/>
      <c r="W1757" s="277"/>
      <c r="X1757" s="275"/>
      <c r="Y1757" s="275"/>
      <c r="Z1757" s="275"/>
    </row>
    <row r="1758" ht="15.0" customHeight="1">
      <c r="A1758" s="265">
        <v>46030.0</v>
      </c>
      <c r="B1758" s="266" t="s">
        <v>7316</v>
      </c>
      <c r="C1758" s="269" t="s">
        <v>3265</v>
      </c>
      <c r="D1758" s="268" t="str">
        <f>IFERROR(VLOOKUP(C1758,Stock,3,FALSE),"")</f>
        <v>Honda Jazz 07-13 2nd Gen</v>
      </c>
      <c r="E1758" s="269">
        <v>1.0</v>
      </c>
      <c r="F1758" s="270"/>
      <c r="G1758" s="271">
        <f t="shared" si="44"/>
        <v>0</v>
      </c>
      <c r="H1758" s="271"/>
      <c r="I1758" s="272">
        <f t="shared" si="45"/>
        <v>0</v>
      </c>
      <c r="J1758" s="273">
        <f t="shared" si="46"/>
        <v>0</v>
      </c>
      <c r="K1758" s="267" t="s">
        <v>4509</v>
      </c>
      <c r="L1758" s="274"/>
      <c r="M1758" s="274"/>
      <c r="N1758" s="275"/>
      <c r="O1758" s="275"/>
      <c r="P1758" s="276"/>
      <c r="Q1758" s="277"/>
      <c r="R1758" s="277"/>
      <c r="S1758" s="277"/>
      <c r="T1758" s="277"/>
      <c r="U1758" s="277"/>
      <c r="V1758" s="277"/>
      <c r="W1758" s="277"/>
      <c r="X1758" s="275"/>
      <c r="Y1758" s="275"/>
      <c r="Z1758" s="275"/>
    </row>
    <row r="1759" ht="15.0" customHeight="1">
      <c r="A1759" s="265">
        <v>46030.0</v>
      </c>
      <c r="B1759" s="266" t="s">
        <v>7316</v>
      </c>
      <c r="C1759" s="269" t="s">
        <v>4740</v>
      </c>
      <c r="D1759" s="268" t="str">
        <f>IFERROR(VLOOKUP(C1759,Stock,3,FALSE),"")</f>
        <v>Nissan X-Trail 13- T32 (1 Sensor)</v>
      </c>
      <c r="E1759" s="269">
        <v>1.0</v>
      </c>
      <c r="F1759" s="270"/>
      <c r="G1759" s="271">
        <f t="shared" si="44"/>
        <v>0</v>
      </c>
      <c r="H1759" s="271"/>
      <c r="I1759" s="272">
        <f t="shared" si="45"/>
        <v>0</v>
      </c>
      <c r="J1759" s="273">
        <f t="shared" si="46"/>
        <v>0</v>
      </c>
      <c r="K1759" s="267" t="s">
        <v>4509</v>
      </c>
      <c r="L1759" s="274"/>
      <c r="M1759" s="274"/>
      <c r="N1759" s="275"/>
      <c r="O1759" s="275"/>
      <c r="P1759" s="276"/>
      <c r="Q1759" s="277"/>
      <c r="R1759" s="277"/>
      <c r="S1759" s="277"/>
      <c r="T1759" s="277"/>
      <c r="U1759" s="277"/>
      <c r="V1759" s="277"/>
      <c r="W1759" s="277"/>
      <c r="X1759" s="275"/>
      <c r="Y1759" s="275"/>
      <c r="Z1759" s="275"/>
    </row>
    <row r="1760" ht="15.0" customHeight="1">
      <c r="A1760" s="265">
        <v>46030.0</v>
      </c>
      <c r="B1760" s="266" t="s">
        <v>7316</v>
      </c>
      <c r="C1760" s="269" t="s">
        <v>2003</v>
      </c>
      <c r="D1760" s="268" t="str">
        <f>IFERROR(VLOOKUP(C1760,Stock,3,FALSE),"")</f>
        <v>Toyota Agya/Ayla 13-22 1st Gen</v>
      </c>
      <c r="E1760" s="269">
        <v>3.0</v>
      </c>
      <c r="F1760" s="270"/>
      <c r="G1760" s="271">
        <f t="shared" si="44"/>
        <v>0</v>
      </c>
      <c r="H1760" s="271"/>
      <c r="I1760" s="272">
        <f t="shared" si="45"/>
        <v>0</v>
      </c>
      <c r="J1760" s="273">
        <f t="shared" si="46"/>
        <v>0</v>
      </c>
      <c r="K1760" s="267" t="s">
        <v>4509</v>
      </c>
      <c r="L1760" s="274"/>
      <c r="M1760" s="274"/>
      <c r="N1760" s="275"/>
      <c r="O1760" s="275"/>
      <c r="P1760" s="276"/>
      <c r="Q1760" s="277"/>
      <c r="R1760" s="277"/>
      <c r="S1760" s="277"/>
      <c r="T1760" s="277"/>
      <c r="U1760" s="277"/>
      <c r="V1760" s="277"/>
      <c r="W1760" s="277"/>
      <c r="X1760" s="275"/>
      <c r="Y1760" s="275"/>
      <c r="Z1760" s="275"/>
    </row>
    <row r="1761" ht="15.0" customHeight="1">
      <c r="A1761" s="265">
        <v>46030.0</v>
      </c>
      <c r="B1761" s="266" t="s">
        <v>7316</v>
      </c>
      <c r="C1761" s="269" t="s">
        <v>7320</v>
      </c>
      <c r="D1761" s="268" t="str">
        <f>IFERROR(VLOOKUP(C1761,Stock,3,FALSE),"")</f>
        <v>Wuling Confero (Tanpa Spionnya)</v>
      </c>
      <c r="E1761" s="269">
        <v>2.0</v>
      </c>
      <c r="F1761" s="270"/>
      <c r="G1761" s="271">
        <f t="shared" si="44"/>
        <v>0</v>
      </c>
      <c r="H1761" s="271"/>
      <c r="I1761" s="272">
        <f t="shared" si="45"/>
        <v>0</v>
      </c>
      <c r="J1761" s="273">
        <f t="shared" si="46"/>
        <v>0</v>
      </c>
      <c r="K1761" s="267" t="s">
        <v>4509</v>
      </c>
      <c r="L1761" s="274"/>
      <c r="M1761" s="274"/>
      <c r="N1761" s="275"/>
      <c r="O1761" s="275"/>
      <c r="P1761" s="276"/>
      <c r="Q1761" s="277"/>
      <c r="R1761" s="277"/>
      <c r="S1761" s="277"/>
      <c r="T1761" s="277"/>
      <c r="U1761" s="277"/>
      <c r="V1761" s="277"/>
      <c r="W1761" s="277"/>
      <c r="X1761" s="275"/>
      <c r="Y1761" s="275"/>
      <c r="Z1761" s="275"/>
    </row>
    <row r="1762" ht="15.0" customHeight="1">
      <c r="A1762" s="265">
        <v>46030.0</v>
      </c>
      <c r="B1762" s="266" t="s">
        <v>7316</v>
      </c>
      <c r="C1762" s="269" t="s">
        <v>3126</v>
      </c>
      <c r="D1762" s="268" t="str">
        <f>IFERROR(VLOOKUP(C1762,Stock,3,FALSE),"")</f>
        <v>Suzuki Carry New 19-</v>
      </c>
      <c r="E1762" s="269">
        <v>2.0</v>
      </c>
      <c r="F1762" s="270"/>
      <c r="G1762" s="271">
        <f t="shared" si="44"/>
        <v>0</v>
      </c>
      <c r="H1762" s="271"/>
      <c r="I1762" s="272">
        <f t="shared" si="45"/>
        <v>0</v>
      </c>
      <c r="J1762" s="273">
        <f t="shared" si="46"/>
        <v>0</v>
      </c>
      <c r="K1762" s="267" t="s">
        <v>4509</v>
      </c>
      <c r="L1762" s="274"/>
      <c r="M1762" s="274"/>
      <c r="N1762" s="275"/>
      <c r="O1762" s="275"/>
      <c r="P1762" s="276"/>
      <c r="Q1762" s="277"/>
      <c r="R1762" s="277"/>
      <c r="S1762" s="277"/>
      <c r="T1762" s="277"/>
      <c r="U1762" s="277"/>
      <c r="V1762" s="277"/>
      <c r="W1762" s="277"/>
      <c r="X1762" s="275"/>
      <c r="Y1762" s="275"/>
      <c r="Z1762" s="275"/>
    </row>
    <row r="1763" ht="15.0" customHeight="1">
      <c r="A1763" s="265">
        <v>46030.0</v>
      </c>
      <c r="B1763" s="266" t="s">
        <v>7316</v>
      </c>
      <c r="C1763" s="269" t="s">
        <v>3181</v>
      </c>
      <c r="D1763" s="268" t="str">
        <f>IFERROR(VLOOKUP(C1763,Stock,3,FALSE),"")</f>
        <v>Toyota Kijang 98- Kapsul Karet</v>
      </c>
      <c r="E1763" s="269">
        <v>0.0</v>
      </c>
      <c r="F1763" s="270"/>
      <c r="G1763" s="271">
        <f t="shared" si="44"/>
        <v>0</v>
      </c>
      <c r="H1763" s="271"/>
      <c r="I1763" s="272">
        <f t="shared" si="45"/>
        <v>0</v>
      </c>
      <c r="J1763" s="273">
        <f t="shared" si="46"/>
        <v>0</v>
      </c>
      <c r="K1763" s="267" t="s">
        <v>4509</v>
      </c>
      <c r="L1763" s="274"/>
      <c r="M1763" s="274"/>
      <c r="N1763" s="275"/>
      <c r="O1763" s="275"/>
      <c r="P1763" s="276"/>
      <c r="Q1763" s="277"/>
      <c r="R1763" s="277"/>
      <c r="S1763" s="277"/>
      <c r="T1763" s="277"/>
      <c r="U1763" s="277"/>
      <c r="V1763" s="277"/>
      <c r="W1763" s="277"/>
      <c r="X1763" s="275"/>
      <c r="Y1763" s="275"/>
      <c r="Z1763" s="275"/>
    </row>
    <row r="1764" ht="15.0" customHeight="1">
      <c r="A1764" s="265">
        <v>46030.0</v>
      </c>
      <c r="B1764" s="266" t="s">
        <v>7316</v>
      </c>
      <c r="C1764" s="269" t="s">
        <v>3378</v>
      </c>
      <c r="D1764" s="268" t="str">
        <f>IFERROR(VLOOKUP(C1764,Stock,3,FALSE),"")</f>
        <v>Suzuki APV 03- Pickup/ Van</v>
      </c>
      <c r="E1764" s="269">
        <v>0.0</v>
      </c>
      <c r="F1764" s="270"/>
      <c r="G1764" s="271">
        <f t="shared" si="44"/>
        <v>0</v>
      </c>
      <c r="H1764" s="271"/>
      <c r="I1764" s="272">
        <f t="shared" si="45"/>
        <v>0</v>
      </c>
      <c r="J1764" s="273">
        <f t="shared" si="46"/>
        <v>0</v>
      </c>
      <c r="K1764" s="267" t="s">
        <v>4509</v>
      </c>
      <c r="L1764" s="274"/>
      <c r="M1764" s="274"/>
      <c r="N1764" s="275"/>
      <c r="O1764" s="275"/>
      <c r="P1764" s="276"/>
      <c r="Q1764" s="277"/>
      <c r="R1764" s="277"/>
      <c r="S1764" s="277"/>
      <c r="T1764" s="277"/>
      <c r="U1764" s="277"/>
      <c r="V1764" s="277"/>
      <c r="W1764" s="277"/>
      <c r="X1764" s="275"/>
      <c r="Y1764" s="275"/>
      <c r="Z1764" s="275"/>
    </row>
    <row r="1765" ht="15.0" customHeight="1">
      <c r="A1765" s="265">
        <v>46030.0</v>
      </c>
      <c r="B1765" s="266" t="s">
        <v>7316</v>
      </c>
      <c r="C1765" s="269" t="s">
        <v>7321</v>
      </c>
      <c r="D1765" s="268" t="str">
        <f>IFERROR(VLOOKUP(C1765,Stock,3,FALSE),"")</f>
        <v>Honda HR-V 14-21 5D SUV (Honda)</v>
      </c>
      <c r="E1765" s="269">
        <v>1.0</v>
      </c>
      <c r="F1765" s="270"/>
      <c r="G1765" s="271">
        <f t="shared" si="44"/>
        <v>0</v>
      </c>
      <c r="H1765" s="271"/>
      <c r="I1765" s="272">
        <f t="shared" si="45"/>
        <v>0</v>
      </c>
      <c r="J1765" s="273">
        <f t="shared" si="46"/>
        <v>0</v>
      </c>
      <c r="K1765" s="267" t="s">
        <v>4509</v>
      </c>
      <c r="L1765" s="274"/>
      <c r="M1765" s="274"/>
      <c r="N1765" s="275"/>
      <c r="O1765" s="275"/>
      <c r="P1765" s="276"/>
      <c r="Q1765" s="277"/>
      <c r="R1765" s="277"/>
      <c r="S1765" s="277"/>
      <c r="T1765" s="277"/>
      <c r="U1765" s="277"/>
      <c r="V1765" s="277"/>
      <c r="W1765" s="277"/>
      <c r="X1765" s="275"/>
      <c r="Y1765" s="275"/>
      <c r="Z1765" s="275"/>
    </row>
    <row r="1766" ht="15.0" customHeight="1">
      <c r="A1766" s="293">
        <v>46030.0</v>
      </c>
      <c r="B1766" s="398" t="s">
        <v>7322</v>
      </c>
      <c r="C1766" s="295" t="s">
        <v>3686</v>
      </c>
      <c r="D1766" s="296" t="str">
        <f>IFERROR(VLOOKUP(C1766,Stock,3,FALSE),"")</f>
        <v>Honda Jazz 01-07 1st Gen</v>
      </c>
      <c r="E1766" s="295">
        <v>1.0</v>
      </c>
      <c r="F1766" s="417">
        <v>1237850.0</v>
      </c>
      <c r="G1766" s="298">
        <f t="shared" si="44"/>
        <v>1237850</v>
      </c>
      <c r="H1766" s="299">
        <v>119430.0</v>
      </c>
      <c r="I1766" s="299">
        <f t="shared" si="45"/>
        <v>1118420</v>
      </c>
      <c r="J1766" s="300">
        <f t="shared" si="46"/>
        <v>1118420</v>
      </c>
      <c r="K1766" s="301" t="s">
        <v>7323</v>
      </c>
      <c r="L1766" s="295" t="s">
        <v>7324</v>
      </c>
      <c r="M1766" s="302"/>
      <c r="N1766" s="303"/>
      <c r="O1766" s="306" t="s">
        <v>7325</v>
      </c>
      <c r="P1766" s="418" t="s">
        <v>3480</v>
      </c>
      <c r="Q1766" s="305"/>
      <c r="R1766" s="305"/>
      <c r="S1766" s="305"/>
      <c r="T1766" s="305"/>
      <c r="U1766" s="305"/>
      <c r="V1766" s="305"/>
      <c r="W1766" s="305"/>
      <c r="X1766" s="303"/>
      <c r="Y1766" s="303"/>
      <c r="Z1766" s="303"/>
    </row>
    <row r="1767" ht="15.0" customHeight="1">
      <c r="A1767" s="206">
        <v>46030.0</v>
      </c>
      <c r="B1767" s="201" t="s">
        <v>7326</v>
      </c>
      <c r="C1767" s="45" t="s">
        <v>7199</v>
      </c>
      <c r="D1767" s="140" t="str">
        <f>IFERROR(VLOOKUP(C1767,Stock,3,FALSE),"")</f>
        <v>Daihatsu Gran Max / Luxio 07-</v>
      </c>
      <c r="E1767" s="45">
        <v>1.0</v>
      </c>
      <c r="F1767" s="198">
        <v>1100000.0</v>
      </c>
      <c r="G1767" s="142">
        <f t="shared" si="44"/>
        <v>1100000</v>
      </c>
      <c r="H1767" s="142"/>
      <c r="I1767" s="143">
        <f t="shared" si="45"/>
        <v>1100000</v>
      </c>
      <c r="J1767" s="144">
        <f t="shared" si="46"/>
        <v>1100000</v>
      </c>
      <c r="K1767" s="108" t="s">
        <v>7327</v>
      </c>
      <c r="L1767" s="199" t="s">
        <v>7328</v>
      </c>
      <c r="M1767" s="17"/>
      <c r="N1767" s="64" t="s">
        <v>7329</v>
      </c>
      <c r="O1767" s="64" t="s">
        <v>2813</v>
      </c>
      <c r="P1767" s="147" t="s">
        <v>4672</v>
      </c>
      <c r="Q1767" s="149"/>
      <c r="R1767" s="141"/>
      <c r="S1767" s="141"/>
      <c r="T1767" s="141">
        <v>1100000.0</v>
      </c>
      <c r="U1767" s="149"/>
      <c r="V1767" s="149"/>
      <c r="W1767" s="149"/>
      <c r="X1767" s="68"/>
      <c r="Y1767" s="68"/>
      <c r="Z1767" s="68"/>
    </row>
    <row r="1768" ht="15.0" customHeight="1">
      <c r="A1768" s="206">
        <v>46031.0</v>
      </c>
      <c r="B1768" s="201" t="s">
        <v>7330</v>
      </c>
      <c r="C1768" s="45" t="s">
        <v>7199</v>
      </c>
      <c r="D1768" s="140" t="str">
        <f>IFERROR(VLOOKUP(C1768,Stock,3,FALSE),"")</f>
        <v>Daihatsu Gran Max / Luxio 07-</v>
      </c>
      <c r="E1768" s="45">
        <v>1.0</v>
      </c>
      <c r="F1768" s="198">
        <v>1000000.0</v>
      </c>
      <c r="G1768" s="142">
        <f t="shared" si="44"/>
        <v>1000000</v>
      </c>
      <c r="H1768" s="142"/>
      <c r="I1768" s="143">
        <f t="shared" si="45"/>
        <v>1000000</v>
      </c>
      <c r="J1768" s="144">
        <f t="shared" si="46"/>
        <v>1000000</v>
      </c>
      <c r="K1768" s="108" t="s">
        <v>4463</v>
      </c>
      <c r="L1768" s="199" t="s">
        <v>7331</v>
      </c>
      <c r="M1768" s="17"/>
      <c r="N1768" s="64" t="s">
        <v>7332</v>
      </c>
      <c r="O1768" s="64" t="s">
        <v>2813</v>
      </c>
      <c r="P1768" s="147" t="s">
        <v>4672</v>
      </c>
      <c r="Q1768" s="149"/>
      <c r="R1768" s="141"/>
      <c r="S1768" s="141"/>
      <c r="T1768" s="141">
        <v>1000000.0</v>
      </c>
      <c r="U1768" s="149"/>
      <c r="V1768" s="149"/>
      <c r="W1768" s="149"/>
      <c r="X1768" s="68"/>
      <c r="Y1768" s="68"/>
      <c r="Z1768" s="68"/>
    </row>
    <row r="1769" ht="15.0" customHeight="1">
      <c r="A1769" s="206">
        <v>46031.0</v>
      </c>
      <c r="B1769" s="201" t="s">
        <v>7333</v>
      </c>
      <c r="C1769" s="45" t="s">
        <v>2770</v>
      </c>
      <c r="D1769" s="140" t="str">
        <f>IFERROR(VLOOKUP(C1769,Stock,3,FALSE),"")</f>
        <v>Transport</v>
      </c>
      <c r="E1769" s="45">
        <v>1.0</v>
      </c>
      <c r="F1769" s="198">
        <v>250000.0</v>
      </c>
      <c r="G1769" s="142">
        <f t="shared" si="44"/>
        <v>250000</v>
      </c>
      <c r="H1769" s="142"/>
      <c r="I1769" s="143">
        <f t="shared" si="45"/>
        <v>250000</v>
      </c>
      <c r="J1769" s="144">
        <f t="shared" si="46"/>
        <v>250000</v>
      </c>
      <c r="K1769" s="108" t="s">
        <v>7266</v>
      </c>
      <c r="L1769" s="199" t="s">
        <v>7267</v>
      </c>
      <c r="M1769" s="17"/>
      <c r="N1769" s="64" t="s">
        <v>7268</v>
      </c>
      <c r="O1769" s="64" t="s">
        <v>2813</v>
      </c>
      <c r="P1769" s="147" t="s">
        <v>4672</v>
      </c>
      <c r="Q1769" s="149"/>
      <c r="R1769" s="141"/>
      <c r="S1769" s="141"/>
      <c r="T1769" s="141">
        <v>150000.0</v>
      </c>
      <c r="U1769" s="149"/>
      <c r="V1769" s="149"/>
      <c r="W1769" s="149"/>
      <c r="X1769" s="68"/>
      <c r="Y1769" s="68"/>
      <c r="Z1769" s="68"/>
    </row>
    <row r="1770" ht="15.0" customHeight="1">
      <c r="A1770" s="206">
        <v>46031.0</v>
      </c>
      <c r="B1770" s="201" t="s">
        <v>7334</v>
      </c>
      <c r="C1770" s="45" t="s">
        <v>7335</v>
      </c>
      <c r="D1770" s="140" t="str">
        <f>IFERROR(VLOOKUP(C1770,Stock,3,FALSE),"")</f>
        <v>Nissan March 10- K13</v>
      </c>
      <c r="E1770" s="45">
        <v>1.0</v>
      </c>
      <c r="F1770" s="198">
        <v>624000.0</v>
      </c>
      <c r="G1770" s="142">
        <f t="shared" si="44"/>
        <v>624000</v>
      </c>
      <c r="H1770" s="142"/>
      <c r="I1770" s="143">
        <f t="shared" si="45"/>
        <v>624000</v>
      </c>
      <c r="J1770" s="144">
        <f t="shared" si="46"/>
        <v>624000</v>
      </c>
      <c r="K1770" s="108" t="s">
        <v>7336</v>
      </c>
      <c r="L1770" s="199" t="s">
        <v>7337</v>
      </c>
      <c r="M1770" s="17"/>
      <c r="N1770" s="64" t="s">
        <v>7338</v>
      </c>
      <c r="O1770" s="64" t="s">
        <v>5618</v>
      </c>
      <c r="P1770" s="147" t="s">
        <v>4672</v>
      </c>
      <c r="Q1770" s="149"/>
      <c r="R1770" s="141"/>
      <c r="S1770" s="141"/>
      <c r="T1770" s="141">
        <v>824000.0</v>
      </c>
      <c r="U1770" s="149"/>
      <c r="V1770" s="149"/>
      <c r="W1770" s="149"/>
      <c r="X1770" s="68"/>
      <c r="Y1770" s="68"/>
      <c r="Z1770" s="68"/>
    </row>
    <row r="1771" ht="15.0" customHeight="1">
      <c r="A1771" s="206">
        <v>46031.0</v>
      </c>
      <c r="B1771" s="201" t="s">
        <v>7334</v>
      </c>
      <c r="C1771" s="45" t="s">
        <v>5254</v>
      </c>
      <c r="D1771" s="140" t="str">
        <f>IFERROR(VLOOKUP(C1771,Stock,3,FALSE),"")</f>
        <v>Automotive Film Standard - Black 40%				</v>
      </c>
      <c r="E1771" s="45">
        <v>1.0</v>
      </c>
      <c r="F1771" s="198">
        <v>200000.0</v>
      </c>
      <c r="G1771" s="142">
        <f t="shared" si="44"/>
        <v>200000</v>
      </c>
      <c r="H1771" s="142"/>
      <c r="I1771" s="143">
        <f t="shared" si="45"/>
        <v>200000</v>
      </c>
      <c r="J1771" s="144">
        <f t="shared" si="46"/>
        <v>200000</v>
      </c>
      <c r="K1771" s="108" t="s">
        <v>7336</v>
      </c>
      <c r="L1771" s="199" t="s">
        <v>7337</v>
      </c>
      <c r="M1771" s="17"/>
      <c r="N1771" s="64" t="s">
        <v>7338</v>
      </c>
      <c r="O1771" s="64" t="s">
        <v>5618</v>
      </c>
      <c r="P1771" s="147" t="s">
        <v>4672</v>
      </c>
      <c r="Q1771" s="149"/>
      <c r="R1771" s="149"/>
      <c r="S1771" s="149"/>
      <c r="T1771" s="149"/>
      <c r="U1771" s="149"/>
      <c r="V1771" s="149"/>
      <c r="W1771" s="149"/>
      <c r="X1771" s="68"/>
      <c r="Y1771" s="68"/>
      <c r="Z1771" s="68"/>
    </row>
    <row r="1772" ht="15.0" customHeight="1">
      <c r="A1772" s="206">
        <v>46031.0</v>
      </c>
      <c r="B1772" s="201" t="s">
        <v>7339</v>
      </c>
      <c r="C1772" s="45" t="s">
        <v>5825</v>
      </c>
      <c r="D1772" s="140" t="str">
        <f>IFERROR(VLOOKUP(C1772,Stock,3,FALSE),"")</f>
        <v>Toyota Alphard 18- ANH30 3rd Gen (2 Sensor / □Δ )</v>
      </c>
      <c r="E1772" s="45">
        <v>1.0</v>
      </c>
      <c r="F1772" s="198">
        <v>4492000.0</v>
      </c>
      <c r="G1772" s="142">
        <f t="shared" si="44"/>
        <v>4492000</v>
      </c>
      <c r="H1772" s="142"/>
      <c r="I1772" s="143">
        <f t="shared" si="45"/>
        <v>4492000</v>
      </c>
      <c r="J1772" s="144">
        <f t="shared" si="46"/>
        <v>4492000</v>
      </c>
      <c r="K1772" s="108" t="s">
        <v>7340</v>
      </c>
      <c r="L1772" s="199" t="s">
        <v>7341</v>
      </c>
      <c r="M1772" s="17"/>
      <c r="N1772" s="64" t="s">
        <v>7342</v>
      </c>
      <c r="O1772" s="64" t="s">
        <v>7343</v>
      </c>
      <c r="P1772" s="147" t="s">
        <v>4672</v>
      </c>
      <c r="Q1772" s="149"/>
      <c r="R1772" s="141"/>
      <c r="S1772" s="141"/>
      <c r="T1772" s="141">
        <v>100000.0</v>
      </c>
      <c r="U1772" s="149"/>
      <c r="V1772" s="149"/>
      <c r="W1772" s="149"/>
      <c r="X1772" s="68"/>
      <c r="Y1772" s="68"/>
      <c r="Z1772" s="68"/>
    </row>
    <row r="1773" ht="15.0" customHeight="1">
      <c r="A1773" s="206">
        <v>46031.0</v>
      </c>
      <c r="B1773" s="201" t="s">
        <v>7339</v>
      </c>
      <c r="C1773" s="45" t="s">
        <v>2770</v>
      </c>
      <c r="D1773" s="140" t="str">
        <f>IFERROR(VLOOKUP(C1773,Stock,3,FALSE),"")</f>
        <v>Transport</v>
      </c>
      <c r="E1773" s="45">
        <v>1.0</v>
      </c>
      <c r="F1773" s="198">
        <v>70000.0</v>
      </c>
      <c r="G1773" s="142">
        <f t="shared" si="44"/>
        <v>70000</v>
      </c>
      <c r="H1773" s="142"/>
      <c r="I1773" s="143">
        <f t="shared" si="45"/>
        <v>70000</v>
      </c>
      <c r="J1773" s="144">
        <f t="shared" si="46"/>
        <v>70000</v>
      </c>
      <c r="K1773" s="108" t="s">
        <v>7340</v>
      </c>
      <c r="L1773" s="199" t="s">
        <v>7341</v>
      </c>
      <c r="M1773" s="17"/>
      <c r="N1773" s="64" t="s">
        <v>7342</v>
      </c>
      <c r="O1773" s="64" t="s">
        <v>7343</v>
      </c>
      <c r="P1773" s="147" t="s">
        <v>4672</v>
      </c>
      <c r="Q1773" s="149"/>
      <c r="R1773" s="149"/>
      <c r="S1773" s="149"/>
      <c r="T1773" s="149"/>
      <c r="U1773" s="149"/>
      <c r="V1773" s="149"/>
      <c r="W1773" s="149"/>
      <c r="X1773" s="68"/>
      <c r="Y1773" s="68"/>
      <c r="Z1773" s="68"/>
    </row>
    <row r="1774" ht="15.0" customHeight="1">
      <c r="A1774" s="374">
        <v>46031.0</v>
      </c>
      <c r="B1774" s="398" t="s">
        <v>7344</v>
      </c>
      <c r="C1774" s="336" t="s">
        <v>7345</v>
      </c>
      <c r="D1774" s="337" t="str">
        <f>IFERROR(VLOOKUP(C1774,Stock,3,FALSE),"")</f>
        <v>VIP Vkool Automotive Film</v>
      </c>
      <c r="E1774" s="336">
        <v>1.0</v>
      </c>
      <c r="F1774" s="339">
        <v>925000.0</v>
      </c>
      <c r="G1774" s="340">
        <f t="shared" si="44"/>
        <v>925000</v>
      </c>
      <c r="H1774" s="340"/>
      <c r="I1774" s="341">
        <f t="shared" si="45"/>
        <v>925000</v>
      </c>
      <c r="J1774" s="342">
        <f t="shared" si="46"/>
        <v>925000</v>
      </c>
      <c r="K1774" s="365" t="s">
        <v>7346</v>
      </c>
      <c r="L1774" s="366" t="s">
        <v>7347</v>
      </c>
      <c r="M1774" s="367"/>
      <c r="N1774" s="345"/>
      <c r="O1774" s="338" t="s">
        <v>4868</v>
      </c>
      <c r="P1774" s="368" t="s">
        <v>4672</v>
      </c>
      <c r="Q1774" s="369"/>
      <c r="R1774" s="348"/>
      <c r="S1774" s="348"/>
      <c r="T1774" s="348" t="s">
        <v>7348</v>
      </c>
      <c r="U1774" s="369"/>
      <c r="V1774" s="369"/>
      <c r="W1774" s="369"/>
      <c r="X1774" s="345"/>
      <c r="Y1774" s="345"/>
      <c r="Z1774" s="345"/>
    </row>
    <row r="1775" ht="15.0" customHeight="1">
      <c r="A1775" s="206">
        <v>46031.0</v>
      </c>
      <c r="B1775" s="201" t="s">
        <v>7349</v>
      </c>
      <c r="C1775" s="45" t="s">
        <v>7350</v>
      </c>
      <c r="D1775" s="140" t="str">
        <f>IFERROR(VLOOKUP(C1775,Stock,3,FALSE),"")</f>
        <v>Mazda 2 09-14 3rd Gen Hatchback</v>
      </c>
      <c r="E1775" s="45">
        <v>1.0</v>
      </c>
      <c r="F1775" s="198">
        <v>953000.0</v>
      </c>
      <c r="G1775" s="142">
        <f t="shared" si="44"/>
        <v>953000</v>
      </c>
      <c r="H1775" s="142"/>
      <c r="I1775" s="143">
        <f t="shared" si="45"/>
        <v>953000</v>
      </c>
      <c r="J1775" s="144">
        <f t="shared" si="46"/>
        <v>953000</v>
      </c>
      <c r="K1775" s="108" t="s">
        <v>7351</v>
      </c>
      <c r="L1775" s="199" t="s">
        <v>7352</v>
      </c>
      <c r="M1775" s="17"/>
      <c r="N1775" s="68"/>
      <c r="O1775" s="64" t="s">
        <v>4175</v>
      </c>
      <c r="P1775" s="147" t="s">
        <v>4672</v>
      </c>
      <c r="Q1775" s="149"/>
      <c r="R1775" s="141"/>
      <c r="S1775" s="141"/>
      <c r="T1775" s="141">
        <v>1228000.0</v>
      </c>
      <c r="U1775" s="149"/>
      <c r="V1775" s="149"/>
      <c r="W1775" s="149"/>
      <c r="X1775" s="68"/>
      <c r="Y1775" s="68"/>
      <c r="Z1775" s="68"/>
    </row>
    <row r="1776" ht="15.0" customHeight="1">
      <c r="A1776" s="206">
        <v>46031.0</v>
      </c>
      <c r="B1776" s="201" t="s">
        <v>7349</v>
      </c>
      <c r="C1776" s="45" t="s">
        <v>2962</v>
      </c>
      <c r="D1776" s="140" t="str">
        <f>IFERROR(VLOOKUP(C1776,Stock,3,FALSE),"")</f>
        <v>Lembur</v>
      </c>
      <c r="E1776" s="45">
        <v>1.0</v>
      </c>
      <c r="F1776" s="198">
        <v>75000.0</v>
      </c>
      <c r="G1776" s="142">
        <f t="shared" si="44"/>
        <v>75000</v>
      </c>
      <c r="H1776" s="142"/>
      <c r="I1776" s="143">
        <f t="shared" si="45"/>
        <v>75000</v>
      </c>
      <c r="J1776" s="144">
        <f t="shared" si="46"/>
        <v>75000</v>
      </c>
      <c r="K1776" s="108" t="s">
        <v>7351</v>
      </c>
      <c r="L1776" s="199" t="s">
        <v>7352</v>
      </c>
      <c r="M1776" s="17"/>
      <c r="N1776" s="68"/>
      <c r="O1776" s="64" t="s">
        <v>4175</v>
      </c>
      <c r="P1776" s="147" t="s">
        <v>4672</v>
      </c>
      <c r="Q1776" s="149"/>
      <c r="R1776" s="149"/>
      <c r="S1776" s="149"/>
      <c r="T1776" s="149"/>
      <c r="U1776" s="149"/>
      <c r="V1776" s="149"/>
      <c r="W1776" s="149"/>
      <c r="X1776" s="68"/>
      <c r="Y1776" s="68"/>
      <c r="Z1776" s="68"/>
    </row>
    <row r="1777" ht="15.0" customHeight="1">
      <c r="A1777" s="206">
        <v>46031.0</v>
      </c>
      <c r="B1777" s="201" t="s">
        <v>7349</v>
      </c>
      <c r="C1777" s="45" t="s">
        <v>7011</v>
      </c>
      <c r="D1777" s="140" t="str">
        <f>IFERROR(VLOOKUP(C1777,Stock,3,FALSE),"")</f>
        <v>Automotive Film Standard - Black 40%				</v>
      </c>
      <c r="E1777" s="45">
        <v>1.0</v>
      </c>
      <c r="F1777" s="198">
        <v>200000.0</v>
      </c>
      <c r="G1777" s="142">
        <f t="shared" si="44"/>
        <v>200000</v>
      </c>
      <c r="H1777" s="142"/>
      <c r="I1777" s="143">
        <f t="shared" si="45"/>
        <v>200000</v>
      </c>
      <c r="J1777" s="144">
        <f t="shared" si="46"/>
        <v>200000</v>
      </c>
      <c r="K1777" s="108" t="s">
        <v>7351</v>
      </c>
      <c r="L1777" s="199" t="s">
        <v>7352</v>
      </c>
      <c r="M1777" s="17"/>
      <c r="N1777" s="68"/>
      <c r="O1777" s="64" t="s">
        <v>4175</v>
      </c>
      <c r="P1777" s="147" t="s">
        <v>4672</v>
      </c>
      <c r="Q1777" s="149"/>
      <c r="R1777" s="149"/>
      <c r="S1777" s="149"/>
      <c r="T1777" s="149"/>
      <c r="U1777" s="149"/>
      <c r="V1777" s="149"/>
      <c r="W1777" s="149"/>
      <c r="X1777" s="68"/>
      <c r="Y1777" s="68"/>
      <c r="Z1777" s="68"/>
    </row>
    <row r="1778" ht="15.0" customHeight="1">
      <c r="A1778" s="206">
        <v>46032.0</v>
      </c>
      <c r="B1778" s="201" t="s">
        <v>7353</v>
      </c>
      <c r="C1778" s="45" t="s">
        <v>4747</v>
      </c>
      <c r="D1778" s="140" t="str">
        <f>IFERROR(VLOOKUP(C1778,Stock,3,FALSE),"")</f>
        <v>Toyota Fortuner 15- 2nd Gen (Toyota)</v>
      </c>
      <c r="E1778" s="45">
        <v>1.0</v>
      </c>
      <c r="F1778" s="198">
        <v>915000.0</v>
      </c>
      <c r="G1778" s="142">
        <f t="shared" si="44"/>
        <v>915000</v>
      </c>
      <c r="H1778" s="142"/>
      <c r="I1778" s="143">
        <f t="shared" si="45"/>
        <v>915000</v>
      </c>
      <c r="J1778" s="144">
        <f t="shared" si="46"/>
        <v>915000</v>
      </c>
      <c r="K1778" s="108" t="s">
        <v>7354</v>
      </c>
      <c r="L1778" s="199" t="s">
        <v>7355</v>
      </c>
      <c r="M1778" s="17"/>
      <c r="N1778" s="64" t="s">
        <v>7356</v>
      </c>
      <c r="O1778" s="64" t="s">
        <v>2813</v>
      </c>
      <c r="P1778" s="147" t="s">
        <v>4672</v>
      </c>
      <c r="Q1778" s="149"/>
      <c r="R1778" s="149"/>
      <c r="S1778" s="149"/>
      <c r="T1778" s="149"/>
      <c r="U1778" s="149"/>
      <c r="V1778" s="149"/>
      <c r="W1778" s="149"/>
      <c r="X1778" s="68"/>
      <c r="Y1778" s="68"/>
      <c r="Z1778" s="68"/>
    </row>
    <row r="1779" ht="15.0" customHeight="1">
      <c r="A1779" s="206">
        <v>46032.0</v>
      </c>
      <c r="B1779" s="201" t="s">
        <v>7353</v>
      </c>
      <c r="C1779" s="45" t="s">
        <v>5254</v>
      </c>
      <c r="D1779" s="140" t="str">
        <f>IFERROR(VLOOKUP(C1779,Stock,3,FALSE),"")</f>
        <v>Automotive Film Standard - Black 40%				</v>
      </c>
      <c r="E1779" s="45">
        <v>1.0</v>
      </c>
      <c r="F1779" s="198">
        <v>200000.0</v>
      </c>
      <c r="G1779" s="142">
        <f t="shared" si="44"/>
        <v>200000</v>
      </c>
      <c r="H1779" s="142"/>
      <c r="I1779" s="143">
        <f t="shared" si="45"/>
        <v>200000</v>
      </c>
      <c r="J1779" s="144">
        <f t="shared" si="46"/>
        <v>200000</v>
      </c>
      <c r="K1779" s="108" t="s">
        <v>7354</v>
      </c>
      <c r="L1779" s="199" t="s">
        <v>7355</v>
      </c>
      <c r="M1779" s="17"/>
      <c r="N1779" s="64" t="s">
        <v>7356</v>
      </c>
      <c r="O1779" s="64" t="s">
        <v>2813</v>
      </c>
      <c r="P1779" s="147" t="s">
        <v>4672</v>
      </c>
      <c r="Q1779" s="149"/>
      <c r="R1779" s="149"/>
      <c r="S1779" s="149"/>
      <c r="T1779" s="149"/>
      <c r="U1779" s="149"/>
      <c r="V1779" s="149"/>
      <c r="W1779" s="149"/>
      <c r="X1779" s="68"/>
      <c r="Y1779" s="68"/>
      <c r="Z1779" s="68"/>
    </row>
    <row r="1780" ht="15.0" customHeight="1">
      <c r="A1780" s="206">
        <v>46032.0</v>
      </c>
      <c r="B1780" s="201" t="s">
        <v>7357</v>
      </c>
      <c r="C1780" s="45" t="s">
        <v>4468</v>
      </c>
      <c r="D1780" s="140" t="str">
        <f>IFERROR(VLOOKUP(C1780,Stock,3,FALSE),"")</f>
        <v>Honda CR-V 17-23 5th Gen (Honda)</v>
      </c>
      <c r="E1780" s="45">
        <v>1.0</v>
      </c>
      <c r="F1780" s="198">
        <v>3750000.0</v>
      </c>
      <c r="G1780" s="142">
        <f t="shared" si="44"/>
        <v>3750000</v>
      </c>
      <c r="H1780" s="142"/>
      <c r="I1780" s="143">
        <f t="shared" si="45"/>
        <v>3750000</v>
      </c>
      <c r="J1780" s="144">
        <f t="shared" si="46"/>
        <v>3750000</v>
      </c>
      <c r="K1780" s="108" t="s">
        <v>7358</v>
      </c>
      <c r="L1780" s="146" t="s">
        <v>7359</v>
      </c>
      <c r="M1780" s="17"/>
      <c r="N1780" s="64" t="s">
        <v>7360</v>
      </c>
      <c r="O1780" s="64" t="s">
        <v>7361</v>
      </c>
      <c r="P1780" s="147" t="s">
        <v>4672</v>
      </c>
      <c r="Q1780" s="149"/>
      <c r="R1780" s="149"/>
      <c r="S1780" s="149"/>
      <c r="T1780" s="149"/>
      <c r="U1780" s="149"/>
      <c r="V1780" s="149"/>
      <c r="W1780" s="149"/>
      <c r="X1780" s="68"/>
      <c r="Y1780" s="68"/>
      <c r="Z1780" s="68"/>
    </row>
    <row r="1781" ht="15.0" customHeight="1">
      <c r="A1781" s="206">
        <v>46032.0</v>
      </c>
      <c r="B1781" s="201" t="s">
        <v>7357</v>
      </c>
      <c r="C1781" s="45" t="s">
        <v>2770</v>
      </c>
      <c r="D1781" s="140" t="str">
        <f>IFERROR(VLOOKUP(C1781,Stock,3,FALSE),"")</f>
        <v>Transport</v>
      </c>
      <c r="E1781" s="45">
        <v>1.0</v>
      </c>
      <c r="F1781" s="198">
        <v>50000.0</v>
      </c>
      <c r="G1781" s="142">
        <f t="shared" si="44"/>
        <v>50000</v>
      </c>
      <c r="H1781" s="142"/>
      <c r="I1781" s="143">
        <f t="shared" si="45"/>
        <v>50000</v>
      </c>
      <c r="J1781" s="144">
        <f t="shared" si="46"/>
        <v>50000</v>
      </c>
      <c r="K1781" s="108" t="s">
        <v>7358</v>
      </c>
      <c r="L1781" s="146" t="s">
        <v>7359</v>
      </c>
      <c r="M1781" s="17"/>
      <c r="N1781" s="64" t="s">
        <v>7360</v>
      </c>
      <c r="O1781" s="64" t="s">
        <v>7361</v>
      </c>
      <c r="P1781" s="147" t="s">
        <v>4672</v>
      </c>
      <c r="Q1781" s="149"/>
      <c r="R1781" s="149"/>
      <c r="S1781" s="149"/>
      <c r="T1781" s="149"/>
      <c r="U1781" s="149"/>
      <c r="V1781" s="149"/>
      <c r="W1781" s="149"/>
      <c r="X1781" s="68"/>
      <c r="Y1781" s="68"/>
      <c r="Z1781" s="68"/>
    </row>
    <row r="1782" ht="15.0" customHeight="1">
      <c r="A1782" s="206">
        <v>46032.0</v>
      </c>
      <c r="B1782" s="201" t="s">
        <v>7362</v>
      </c>
      <c r="C1782" s="45" t="s">
        <v>4312</v>
      </c>
      <c r="D1782" s="140" t="str">
        <f>IFERROR(VLOOKUP(C1782,Stock,3,FALSE),"")</f>
        <v>Toyota Rush / Terios 06-17</v>
      </c>
      <c r="E1782" s="45">
        <v>1.0</v>
      </c>
      <c r="F1782" s="198">
        <v>595000.0</v>
      </c>
      <c r="G1782" s="142">
        <f t="shared" si="44"/>
        <v>595000</v>
      </c>
      <c r="H1782" s="142"/>
      <c r="I1782" s="143">
        <f t="shared" si="45"/>
        <v>595000</v>
      </c>
      <c r="J1782" s="144">
        <f t="shared" si="46"/>
        <v>595000</v>
      </c>
      <c r="K1782" s="108" t="s">
        <v>7258</v>
      </c>
      <c r="L1782" s="199" t="s">
        <v>7363</v>
      </c>
      <c r="M1782" s="17"/>
      <c r="N1782" s="64" t="s">
        <v>7364</v>
      </c>
      <c r="O1782" s="64" t="s">
        <v>2813</v>
      </c>
      <c r="P1782" s="147" t="s">
        <v>4672</v>
      </c>
      <c r="Q1782" s="149"/>
      <c r="R1782" s="149"/>
      <c r="S1782" s="149"/>
      <c r="T1782" s="149"/>
      <c r="U1782" s="149"/>
      <c r="V1782" s="149"/>
      <c r="W1782" s="149"/>
      <c r="X1782" s="68"/>
      <c r="Y1782" s="68"/>
      <c r="Z1782" s="68"/>
    </row>
    <row r="1783" ht="15.0" customHeight="1">
      <c r="A1783" s="206">
        <v>46032.0</v>
      </c>
      <c r="B1783" s="201" t="s">
        <v>7365</v>
      </c>
      <c r="C1783" s="45" t="s">
        <v>3354</v>
      </c>
      <c r="D1783" s="140" t="str">
        <f>IFERROR(VLOOKUP(C1783,Stock,3,FALSE),"")</f>
        <v>Honda Brio 10- / Mobilio 11- (Honda)</v>
      </c>
      <c r="E1783" s="45">
        <v>1.0</v>
      </c>
      <c r="F1783" s="198">
        <v>1772000.0</v>
      </c>
      <c r="G1783" s="142">
        <f t="shared" si="44"/>
        <v>1772000</v>
      </c>
      <c r="H1783" s="142"/>
      <c r="I1783" s="143">
        <f t="shared" si="45"/>
        <v>1772000</v>
      </c>
      <c r="J1783" s="144">
        <f t="shared" si="46"/>
        <v>1772000</v>
      </c>
      <c r="K1783" s="108" t="s">
        <v>7366</v>
      </c>
      <c r="L1783" s="199" t="s">
        <v>7367</v>
      </c>
      <c r="M1783" s="17"/>
      <c r="N1783" s="64" t="s">
        <v>7368</v>
      </c>
      <c r="O1783" s="64" t="s">
        <v>2813</v>
      </c>
      <c r="P1783" s="147" t="s">
        <v>4672</v>
      </c>
      <c r="Q1783" s="149"/>
      <c r="R1783" s="149"/>
      <c r="S1783" s="149"/>
      <c r="T1783" s="149"/>
      <c r="U1783" s="149"/>
      <c r="V1783" s="149"/>
      <c r="W1783" s="149"/>
      <c r="X1783" s="68"/>
      <c r="Y1783" s="68"/>
      <c r="Z1783" s="68"/>
    </row>
    <row r="1784" ht="15.0" customHeight="1">
      <c r="A1784" s="206">
        <v>46032.0</v>
      </c>
      <c r="B1784" s="201" t="s">
        <v>7369</v>
      </c>
      <c r="C1784" s="45" t="s">
        <v>7370</v>
      </c>
      <c r="D1784" s="140" t="str">
        <f>IFERROR(VLOOKUP(C1784,Stock,3,FALSE),"")</f>
        <v>Honda City 02-08 4th Gen Idsi GD8</v>
      </c>
      <c r="E1784" s="45">
        <v>1.0</v>
      </c>
      <c r="F1784" s="198">
        <v>1971000.0</v>
      </c>
      <c r="G1784" s="142">
        <f t="shared" si="44"/>
        <v>1971000</v>
      </c>
      <c r="H1784" s="142"/>
      <c r="I1784" s="143">
        <f t="shared" si="45"/>
        <v>1971000</v>
      </c>
      <c r="J1784" s="144">
        <f t="shared" si="46"/>
        <v>1971000</v>
      </c>
      <c r="K1784" s="108" t="s">
        <v>7371</v>
      </c>
      <c r="L1784" s="199" t="s">
        <v>7372</v>
      </c>
      <c r="M1784" s="17"/>
      <c r="N1784" s="64" t="s">
        <v>7373</v>
      </c>
      <c r="O1784" s="64" t="s">
        <v>2807</v>
      </c>
      <c r="P1784" s="147" t="s">
        <v>4672</v>
      </c>
      <c r="Q1784" s="149"/>
      <c r="R1784" s="149"/>
      <c r="S1784" s="149"/>
      <c r="T1784" s="149"/>
      <c r="U1784" s="149"/>
      <c r="V1784" s="149"/>
      <c r="W1784" s="149"/>
      <c r="X1784" s="68"/>
      <c r="Y1784" s="68"/>
      <c r="Z1784" s="68"/>
    </row>
    <row r="1785" ht="15.0" customHeight="1">
      <c r="A1785" s="206">
        <v>46032.0</v>
      </c>
      <c r="B1785" s="201" t="s">
        <v>7369</v>
      </c>
      <c r="C1785" s="45" t="s">
        <v>7011</v>
      </c>
      <c r="D1785" s="140" t="str">
        <f>IFERROR(VLOOKUP(C1785,Stock,3,FALSE),"")</f>
        <v>Automotive Film Standard - Black 40%				</v>
      </c>
      <c r="E1785" s="45">
        <v>1.0</v>
      </c>
      <c r="F1785" s="198">
        <v>350000.0</v>
      </c>
      <c r="G1785" s="142">
        <f t="shared" si="44"/>
        <v>350000</v>
      </c>
      <c r="H1785" s="142"/>
      <c r="I1785" s="143">
        <f t="shared" si="45"/>
        <v>350000</v>
      </c>
      <c r="J1785" s="144">
        <f t="shared" si="46"/>
        <v>350000</v>
      </c>
      <c r="K1785" s="108" t="s">
        <v>7371</v>
      </c>
      <c r="L1785" s="199" t="s">
        <v>7372</v>
      </c>
      <c r="M1785" s="17"/>
      <c r="N1785" s="64" t="s">
        <v>7373</v>
      </c>
      <c r="O1785" s="64" t="s">
        <v>2807</v>
      </c>
      <c r="P1785" s="147" t="s">
        <v>4672</v>
      </c>
      <c r="Q1785" s="149"/>
      <c r="R1785" s="149"/>
      <c r="S1785" s="149"/>
      <c r="T1785" s="149"/>
      <c r="U1785" s="149"/>
      <c r="V1785" s="149"/>
      <c r="W1785" s="149"/>
      <c r="X1785" s="68"/>
      <c r="Y1785" s="68"/>
      <c r="Z1785" s="68"/>
    </row>
    <row r="1786" ht="15.0" customHeight="1">
      <c r="A1786" s="206">
        <v>46032.0</v>
      </c>
      <c r="B1786" s="201" t="s">
        <v>7374</v>
      </c>
      <c r="C1786" s="45" t="s">
        <v>7220</v>
      </c>
      <c r="D1786" s="140" t="str">
        <f>IFERROR(VLOOKUP(C1786,Stock,3,FALSE),"")</f>
        <v>Toyota Rush / Terios 06-17</v>
      </c>
      <c r="E1786" s="45">
        <v>1.0</v>
      </c>
      <c r="F1786" s="198">
        <v>1348000.0</v>
      </c>
      <c r="G1786" s="142">
        <f t="shared" si="44"/>
        <v>1348000</v>
      </c>
      <c r="H1786" s="142"/>
      <c r="I1786" s="143">
        <f t="shared" si="45"/>
        <v>1348000</v>
      </c>
      <c r="J1786" s="144">
        <f t="shared" si="46"/>
        <v>1348000</v>
      </c>
      <c r="K1786" s="108" t="s">
        <v>7375</v>
      </c>
      <c r="L1786" s="199" t="s">
        <v>7376</v>
      </c>
      <c r="M1786" s="17"/>
      <c r="N1786" s="64" t="s">
        <v>7377</v>
      </c>
      <c r="O1786" s="64" t="s">
        <v>2813</v>
      </c>
      <c r="P1786" s="147" t="s">
        <v>4672</v>
      </c>
      <c r="Q1786" s="149"/>
      <c r="R1786" s="141"/>
      <c r="S1786" s="141"/>
      <c r="T1786" s="141">
        <v>1348000.0</v>
      </c>
      <c r="U1786" s="149"/>
      <c r="V1786" s="149"/>
      <c r="W1786" s="149"/>
      <c r="X1786" s="68"/>
      <c r="Y1786" s="68"/>
      <c r="Z1786" s="68"/>
    </row>
    <row r="1787" ht="15.0" customHeight="1">
      <c r="A1787" s="206">
        <v>46032.0</v>
      </c>
      <c r="B1787" s="201" t="s">
        <v>7378</v>
      </c>
      <c r="C1787" s="45" t="s">
        <v>7379</v>
      </c>
      <c r="D1787" s="140" t="str">
        <f>IFERROR(VLOOKUP(C1787,Stock,3,FALSE),"")</f>
        <v>Nissan X-Trail 07-13 T31</v>
      </c>
      <c r="E1787" s="45">
        <v>1.0</v>
      </c>
      <c r="F1787" s="198">
        <v>885000.0</v>
      </c>
      <c r="G1787" s="142">
        <f t="shared" si="44"/>
        <v>885000</v>
      </c>
      <c r="H1787" s="142"/>
      <c r="I1787" s="143">
        <f t="shared" si="45"/>
        <v>885000</v>
      </c>
      <c r="J1787" s="144">
        <f t="shared" si="46"/>
        <v>885000</v>
      </c>
      <c r="K1787" s="108" t="s">
        <v>7380</v>
      </c>
      <c r="L1787" s="199" t="s">
        <v>7381</v>
      </c>
      <c r="M1787" s="17"/>
      <c r="N1787" s="64" t="s">
        <v>7382</v>
      </c>
      <c r="O1787" s="64" t="s">
        <v>2813</v>
      </c>
      <c r="P1787" s="147" t="s">
        <v>4672</v>
      </c>
      <c r="Q1787" s="149"/>
      <c r="R1787" s="141"/>
      <c r="S1787" s="141"/>
      <c r="T1787" s="141">
        <v>100000.0</v>
      </c>
      <c r="U1787" s="149"/>
      <c r="V1787" s="149"/>
      <c r="W1787" s="149"/>
      <c r="X1787" s="68"/>
      <c r="Y1787" s="68"/>
      <c r="Z1787" s="68"/>
    </row>
    <row r="1788" ht="15.0" customHeight="1">
      <c r="A1788" s="206">
        <v>46032.0</v>
      </c>
      <c r="B1788" s="201" t="s">
        <v>7378</v>
      </c>
      <c r="C1788" s="45" t="s">
        <v>2770</v>
      </c>
      <c r="D1788" s="140" t="str">
        <f>IFERROR(VLOOKUP(C1788,Stock,3,FALSE),"")</f>
        <v>Transport</v>
      </c>
      <c r="E1788" s="45">
        <v>1.0</v>
      </c>
      <c r="F1788" s="198">
        <v>220000.0</v>
      </c>
      <c r="G1788" s="142">
        <f t="shared" si="44"/>
        <v>220000</v>
      </c>
      <c r="H1788" s="142"/>
      <c r="I1788" s="143">
        <f t="shared" si="45"/>
        <v>220000</v>
      </c>
      <c r="J1788" s="144">
        <f t="shared" si="46"/>
        <v>220000</v>
      </c>
      <c r="K1788" s="108" t="s">
        <v>7380</v>
      </c>
      <c r="L1788" s="199" t="s">
        <v>7381</v>
      </c>
      <c r="M1788" s="17"/>
      <c r="N1788" s="64" t="s">
        <v>7382</v>
      </c>
      <c r="O1788" s="64" t="s">
        <v>2813</v>
      </c>
      <c r="P1788" s="147" t="s">
        <v>4672</v>
      </c>
      <c r="Q1788" s="141">
        <v>1005000.0</v>
      </c>
      <c r="R1788" s="149"/>
      <c r="S1788" s="149"/>
      <c r="T1788" s="149"/>
      <c r="U1788" s="149"/>
      <c r="V1788" s="149"/>
      <c r="W1788" s="149"/>
      <c r="X1788" s="68"/>
      <c r="Y1788" s="68"/>
      <c r="Z1788" s="68"/>
    </row>
    <row r="1789" ht="15.0" customHeight="1">
      <c r="A1789" s="206">
        <v>46032.0</v>
      </c>
      <c r="B1789" s="398" t="s">
        <v>7383</v>
      </c>
      <c r="C1789" s="45" t="s">
        <v>7270</v>
      </c>
      <c r="D1789" s="140" t="str">
        <f>IFERROR(VLOOKUP(C1789,Stock,3,FALSE),"")</f>
        <v>Toyota Fortuner 05-15 1st Gen</v>
      </c>
      <c r="E1789" s="45">
        <v>1.0</v>
      </c>
      <c r="F1789" s="198">
        <v>1150000.0</v>
      </c>
      <c r="G1789" s="142">
        <f t="shared" si="44"/>
        <v>1150000</v>
      </c>
      <c r="H1789" s="142"/>
      <c r="I1789" s="143">
        <f t="shared" si="45"/>
        <v>1150000</v>
      </c>
      <c r="J1789" s="144">
        <f t="shared" si="46"/>
        <v>1150000</v>
      </c>
      <c r="K1789" s="108" t="s">
        <v>7384</v>
      </c>
      <c r="L1789" s="199" t="s">
        <v>7385</v>
      </c>
      <c r="M1789" s="17"/>
      <c r="N1789" s="68"/>
      <c r="O1789" s="64" t="s">
        <v>2813</v>
      </c>
      <c r="P1789" s="147" t="s">
        <v>4672</v>
      </c>
      <c r="Q1789" s="149"/>
      <c r="R1789" s="141"/>
      <c r="S1789" s="141"/>
      <c r="T1789" s="141">
        <v>1150000.0</v>
      </c>
      <c r="U1789" s="149"/>
      <c r="V1789" s="149"/>
      <c r="W1789" s="149"/>
      <c r="X1789" s="68"/>
      <c r="Y1789" s="68"/>
      <c r="Z1789" s="68"/>
    </row>
    <row r="1790" ht="15.0" customHeight="1">
      <c r="A1790" s="206">
        <v>46033.0</v>
      </c>
      <c r="B1790" s="201" t="s">
        <v>7386</v>
      </c>
      <c r="C1790" s="45" t="s">
        <v>7387</v>
      </c>
      <c r="D1790" s="140" t="str">
        <f>IFERROR(VLOOKUP(C1790,Stock,3,FALSE),"")</f>
        <v>Nissan Terra 18-</v>
      </c>
      <c r="E1790" s="45">
        <v>1.0</v>
      </c>
      <c r="F1790" s="198">
        <v>2250000.0</v>
      </c>
      <c r="G1790" s="142">
        <f t="shared" si="44"/>
        <v>2250000</v>
      </c>
      <c r="H1790" s="142"/>
      <c r="I1790" s="143">
        <f t="shared" si="45"/>
        <v>2250000</v>
      </c>
      <c r="J1790" s="144">
        <f t="shared" si="46"/>
        <v>2250000</v>
      </c>
      <c r="K1790" s="108" t="s">
        <v>7388</v>
      </c>
      <c r="L1790" s="199" t="s">
        <v>7389</v>
      </c>
      <c r="M1790" s="17"/>
      <c r="N1790" s="68"/>
      <c r="O1790" s="64" t="s">
        <v>7390</v>
      </c>
      <c r="P1790" s="147" t="s">
        <v>4672</v>
      </c>
      <c r="Q1790" s="149"/>
      <c r="R1790" s="419"/>
      <c r="S1790" s="419"/>
      <c r="T1790" s="419">
        <v>2250000.0</v>
      </c>
      <c r="U1790" s="149"/>
      <c r="V1790" s="149"/>
      <c r="W1790" s="149"/>
      <c r="X1790" s="68"/>
      <c r="Y1790" s="68"/>
      <c r="Z1790" s="68"/>
    </row>
    <row r="1791" ht="15.0" customHeight="1">
      <c r="A1791" s="206">
        <v>46033.0</v>
      </c>
      <c r="B1791" s="201" t="s">
        <v>7386</v>
      </c>
      <c r="C1791" s="45" t="s">
        <v>2770</v>
      </c>
      <c r="D1791" s="140" t="str">
        <f>IFERROR(VLOOKUP(C1791,Stock,3,FALSE),"")</f>
        <v>Transport</v>
      </c>
      <c r="E1791" s="45">
        <v>1.0</v>
      </c>
      <c r="F1791" s="198">
        <v>250000.0</v>
      </c>
      <c r="G1791" s="142">
        <f t="shared" si="44"/>
        <v>250000</v>
      </c>
      <c r="H1791" s="142"/>
      <c r="I1791" s="143">
        <f t="shared" si="45"/>
        <v>250000</v>
      </c>
      <c r="J1791" s="144">
        <f t="shared" si="46"/>
        <v>250000</v>
      </c>
      <c r="K1791" s="108" t="s">
        <v>7388</v>
      </c>
      <c r="L1791" s="199" t="s">
        <v>7389</v>
      </c>
      <c r="M1791" s="17"/>
      <c r="N1791" s="68"/>
      <c r="O1791" s="64" t="s">
        <v>7390</v>
      </c>
      <c r="P1791" s="147" t="s">
        <v>4672</v>
      </c>
      <c r="Q1791" s="149"/>
      <c r="R1791" s="419"/>
      <c r="S1791" s="419"/>
      <c r="T1791" s="419">
        <v>250000.0</v>
      </c>
      <c r="U1791" s="149"/>
      <c r="V1791" s="149"/>
      <c r="W1791" s="149"/>
      <c r="X1791" s="68"/>
      <c r="Y1791" s="68"/>
      <c r="Z1791" s="68"/>
    </row>
    <row r="1792" ht="15.0" customHeight="1">
      <c r="A1792" s="206">
        <v>46033.0</v>
      </c>
      <c r="B1792" s="201" t="s">
        <v>7386</v>
      </c>
      <c r="C1792" s="45" t="s">
        <v>2962</v>
      </c>
      <c r="D1792" s="140" t="str">
        <f>IFERROR(VLOOKUP(C1792,Stock,3,FALSE),"")</f>
        <v>Lembur</v>
      </c>
      <c r="E1792" s="45">
        <v>1.0</v>
      </c>
      <c r="F1792" s="198">
        <v>150000.0</v>
      </c>
      <c r="G1792" s="142">
        <f t="shared" si="44"/>
        <v>150000</v>
      </c>
      <c r="H1792" s="142"/>
      <c r="I1792" s="143">
        <f t="shared" si="45"/>
        <v>150000</v>
      </c>
      <c r="J1792" s="144">
        <f t="shared" si="46"/>
        <v>150000</v>
      </c>
      <c r="K1792" s="108" t="s">
        <v>7388</v>
      </c>
      <c r="L1792" s="199" t="s">
        <v>7389</v>
      </c>
      <c r="M1792" s="17"/>
      <c r="N1792" s="68"/>
      <c r="O1792" s="64" t="s">
        <v>7390</v>
      </c>
      <c r="P1792" s="147" t="s">
        <v>4672</v>
      </c>
      <c r="Q1792" s="149"/>
      <c r="R1792" s="419"/>
      <c r="S1792" s="419"/>
      <c r="T1792" s="419">
        <v>150000.0</v>
      </c>
      <c r="U1792" s="149"/>
      <c r="V1792" s="149"/>
      <c r="W1792" s="149"/>
      <c r="X1792" s="68"/>
      <c r="Y1792" s="68"/>
      <c r="Z1792" s="68"/>
    </row>
    <row r="1793" ht="15.0" customHeight="1">
      <c r="A1793" s="206">
        <v>46034.0</v>
      </c>
      <c r="B1793" s="201" t="s">
        <v>7391</v>
      </c>
      <c r="C1793" s="45" t="s">
        <v>7199</v>
      </c>
      <c r="D1793" s="140" t="str">
        <f>IFERROR(VLOOKUP(C1793,Stock,3,FALSE),"")</f>
        <v>Daihatsu Gran Max / Luxio 07-</v>
      </c>
      <c r="E1793" s="45">
        <v>1.0</v>
      </c>
      <c r="F1793" s="198">
        <v>1000000.0</v>
      </c>
      <c r="G1793" s="142">
        <f t="shared" si="44"/>
        <v>1000000</v>
      </c>
      <c r="H1793" s="142"/>
      <c r="I1793" s="143">
        <f t="shared" si="45"/>
        <v>1000000</v>
      </c>
      <c r="J1793" s="144">
        <f t="shared" si="46"/>
        <v>1000000</v>
      </c>
      <c r="K1793" s="108" t="s">
        <v>7392</v>
      </c>
      <c r="L1793" s="199" t="s">
        <v>7393</v>
      </c>
      <c r="M1793" s="17"/>
      <c r="N1793" s="64" t="s">
        <v>7394</v>
      </c>
      <c r="O1793" s="64" t="s">
        <v>2942</v>
      </c>
      <c r="P1793" s="147" t="s">
        <v>4672</v>
      </c>
      <c r="Q1793" s="149"/>
      <c r="R1793" s="141"/>
      <c r="S1793" s="141"/>
      <c r="T1793" s="141">
        <v>100000.0</v>
      </c>
      <c r="U1793" s="149"/>
      <c r="V1793" s="149"/>
      <c r="W1793" s="149"/>
      <c r="X1793" s="68"/>
      <c r="Y1793" s="68"/>
      <c r="Z1793" s="68"/>
    </row>
    <row r="1794" ht="15.0" customHeight="1">
      <c r="A1794" s="206">
        <v>46034.0</v>
      </c>
      <c r="B1794" s="201" t="s">
        <v>7391</v>
      </c>
      <c r="C1794" s="45" t="s">
        <v>2770</v>
      </c>
      <c r="D1794" s="140" t="str">
        <f>IFERROR(VLOOKUP(C1794,Stock,3,FALSE),"")</f>
        <v>Transport</v>
      </c>
      <c r="E1794" s="45">
        <v>1.0</v>
      </c>
      <c r="F1794" s="198">
        <v>120000.0</v>
      </c>
      <c r="G1794" s="142">
        <f t="shared" si="44"/>
        <v>120000</v>
      </c>
      <c r="H1794" s="142"/>
      <c r="I1794" s="143">
        <f t="shared" si="45"/>
        <v>120000</v>
      </c>
      <c r="J1794" s="144">
        <f t="shared" si="46"/>
        <v>120000</v>
      </c>
      <c r="K1794" s="108" t="s">
        <v>7392</v>
      </c>
      <c r="L1794" s="199" t="s">
        <v>7393</v>
      </c>
      <c r="M1794" s="17"/>
      <c r="N1794" s="64" t="s">
        <v>7394</v>
      </c>
      <c r="O1794" s="64" t="s">
        <v>2942</v>
      </c>
      <c r="P1794" s="147" t="s">
        <v>4672</v>
      </c>
      <c r="Q1794" s="149"/>
      <c r="R1794" s="141"/>
      <c r="S1794" s="141"/>
      <c r="T1794" s="141">
        <v>1020000.0</v>
      </c>
      <c r="U1794" s="149"/>
      <c r="V1794" s="149"/>
      <c r="W1794" s="149"/>
      <c r="X1794" s="68"/>
      <c r="Y1794" s="68"/>
      <c r="Z1794" s="68"/>
    </row>
    <row r="1795" ht="15.0" customHeight="1">
      <c r="A1795" s="206">
        <v>46034.0</v>
      </c>
      <c r="B1795" s="201" t="s">
        <v>7395</v>
      </c>
      <c r="C1795" s="45" t="s">
        <v>4144</v>
      </c>
      <c r="D1795" s="140" t="str">
        <f>IFERROR(VLOOKUP(C1795,Stock,3,FALSE),"")</f>
        <v>Toyota Rush / Terios 06-17</v>
      </c>
      <c r="E1795" s="45">
        <v>1.0</v>
      </c>
      <c r="F1795" s="198">
        <v>1298000.0</v>
      </c>
      <c r="G1795" s="142">
        <f t="shared" si="44"/>
        <v>1298000</v>
      </c>
      <c r="H1795" s="142"/>
      <c r="I1795" s="143">
        <f t="shared" si="45"/>
        <v>1298000</v>
      </c>
      <c r="J1795" s="144">
        <f t="shared" si="46"/>
        <v>1298000</v>
      </c>
      <c r="K1795" s="108" t="s">
        <v>7396</v>
      </c>
      <c r="L1795" s="199" t="s">
        <v>7397</v>
      </c>
      <c r="M1795" s="17"/>
      <c r="N1795" s="64" t="s">
        <v>7398</v>
      </c>
      <c r="O1795" s="64" t="s">
        <v>2760</v>
      </c>
      <c r="P1795" s="147" t="s">
        <v>4672</v>
      </c>
      <c r="Q1795" s="149"/>
      <c r="R1795" s="141"/>
      <c r="S1795" s="141"/>
      <c r="T1795" s="141">
        <v>50000.0</v>
      </c>
      <c r="U1795" s="149"/>
      <c r="V1795" s="149"/>
      <c r="W1795" s="149"/>
      <c r="X1795" s="68"/>
      <c r="Y1795" s="68"/>
      <c r="Z1795" s="68"/>
    </row>
    <row r="1796" ht="15.0" customHeight="1">
      <c r="A1796" s="206">
        <v>46034.0</v>
      </c>
      <c r="B1796" s="201" t="s">
        <v>7395</v>
      </c>
      <c r="C1796" s="45" t="s">
        <v>2770</v>
      </c>
      <c r="D1796" s="140" t="str">
        <f>IFERROR(VLOOKUP(C1796,Stock,3,FALSE),"")</f>
        <v>Transport</v>
      </c>
      <c r="E1796" s="45">
        <v>1.0</v>
      </c>
      <c r="F1796" s="198">
        <v>200000.0</v>
      </c>
      <c r="G1796" s="142">
        <f t="shared" si="44"/>
        <v>200000</v>
      </c>
      <c r="H1796" s="142"/>
      <c r="I1796" s="143">
        <f t="shared" si="45"/>
        <v>200000</v>
      </c>
      <c r="J1796" s="144">
        <f t="shared" si="46"/>
        <v>200000</v>
      </c>
      <c r="K1796" s="108" t="s">
        <v>7396</v>
      </c>
      <c r="L1796" s="199" t="s">
        <v>7397</v>
      </c>
      <c r="M1796" s="17"/>
      <c r="N1796" s="64" t="s">
        <v>7398</v>
      </c>
      <c r="O1796" s="64" t="s">
        <v>2760</v>
      </c>
      <c r="P1796" s="147" t="s">
        <v>4672</v>
      </c>
      <c r="Q1796" s="149"/>
      <c r="R1796" s="141"/>
      <c r="S1796" s="141"/>
      <c r="T1796" s="141">
        <v>1448000.0</v>
      </c>
      <c r="U1796" s="149"/>
      <c r="V1796" s="149"/>
      <c r="W1796" s="149"/>
      <c r="X1796" s="68"/>
      <c r="Y1796" s="68"/>
      <c r="Z1796" s="68"/>
    </row>
    <row r="1797" ht="15.0" customHeight="1">
      <c r="A1797" s="206">
        <v>46035.0</v>
      </c>
      <c r="B1797" s="201" t="s">
        <v>7399</v>
      </c>
      <c r="C1797" s="45" t="s">
        <v>7400</v>
      </c>
      <c r="D1797" s="140" t="str">
        <f>IFERROR(VLOOKUP(C1797,Stock,3,FALSE),"")</f>
        <v>Hyundai Accent Verna / Avega 01-12 Sedan</v>
      </c>
      <c r="E1797" s="45">
        <v>1.0</v>
      </c>
      <c r="F1797" s="198">
        <v>1513000.0</v>
      </c>
      <c r="G1797" s="142">
        <f t="shared" si="44"/>
        <v>1513000</v>
      </c>
      <c r="H1797" s="142"/>
      <c r="I1797" s="143">
        <f t="shared" si="45"/>
        <v>1513000</v>
      </c>
      <c r="J1797" s="144">
        <f t="shared" si="46"/>
        <v>1513000</v>
      </c>
      <c r="K1797" s="108" t="s">
        <v>7401</v>
      </c>
      <c r="L1797" s="199" t="s">
        <v>7402</v>
      </c>
      <c r="M1797" s="17"/>
      <c r="N1797" s="68"/>
      <c r="O1797" s="64" t="s">
        <v>3033</v>
      </c>
      <c r="P1797" s="147" t="s">
        <v>4672</v>
      </c>
      <c r="Q1797" s="149"/>
      <c r="R1797" s="141"/>
      <c r="S1797" s="141"/>
      <c r="T1797" s="141">
        <v>50000.0</v>
      </c>
      <c r="U1797" s="149"/>
      <c r="V1797" s="149"/>
      <c r="W1797" s="149"/>
      <c r="X1797" s="68"/>
      <c r="Y1797" s="68"/>
      <c r="Z1797" s="68"/>
    </row>
    <row r="1798" ht="15.0" customHeight="1">
      <c r="A1798" s="206">
        <v>46035.0</v>
      </c>
      <c r="B1798" s="201" t="s">
        <v>7399</v>
      </c>
      <c r="C1798" s="45" t="s">
        <v>2770</v>
      </c>
      <c r="D1798" s="140" t="str">
        <f>IFERROR(VLOOKUP(C1798,Stock,3,FALSE),"")</f>
        <v>Transport</v>
      </c>
      <c r="E1798" s="45">
        <v>1.0</v>
      </c>
      <c r="F1798" s="198">
        <v>180000.0</v>
      </c>
      <c r="G1798" s="142">
        <f t="shared" si="44"/>
        <v>180000</v>
      </c>
      <c r="H1798" s="142"/>
      <c r="I1798" s="143">
        <f t="shared" si="45"/>
        <v>180000</v>
      </c>
      <c r="J1798" s="144">
        <f t="shared" si="46"/>
        <v>180000</v>
      </c>
      <c r="K1798" s="108" t="s">
        <v>7401</v>
      </c>
      <c r="L1798" s="199" t="s">
        <v>7402</v>
      </c>
      <c r="M1798" s="17"/>
      <c r="N1798" s="68"/>
      <c r="O1798" s="64" t="s">
        <v>3033</v>
      </c>
      <c r="P1798" s="147" t="s">
        <v>4672</v>
      </c>
      <c r="Q1798" s="149"/>
      <c r="R1798" s="141"/>
      <c r="S1798" s="141"/>
      <c r="T1798" s="141">
        <v>1643000.0</v>
      </c>
      <c r="U1798" s="149"/>
      <c r="V1798" s="149"/>
      <c r="W1798" s="149"/>
      <c r="X1798" s="68"/>
      <c r="Y1798" s="68"/>
      <c r="Z1798" s="68"/>
    </row>
    <row r="1799" ht="15.0" customHeight="1">
      <c r="A1799" s="206">
        <v>46035.0</v>
      </c>
      <c r="B1799" s="201" t="s">
        <v>7403</v>
      </c>
      <c r="C1799" s="45" t="s">
        <v>2778</v>
      </c>
      <c r="D1799" s="140" t="str">
        <f>IFERROR(VLOOKUP(C1799,Stock,3,FALSE),"")</f>
        <v>Bongkar Pasang Kaca Mobil Depan</v>
      </c>
      <c r="E1799" s="45">
        <v>1.0</v>
      </c>
      <c r="F1799" s="198">
        <v>600000.0</v>
      </c>
      <c r="G1799" s="142">
        <f t="shared" si="44"/>
        <v>600000</v>
      </c>
      <c r="H1799" s="142"/>
      <c r="I1799" s="143">
        <f t="shared" si="45"/>
        <v>600000</v>
      </c>
      <c r="J1799" s="144">
        <f t="shared" si="46"/>
        <v>600000</v>
      </c>
      <c r="K1799" s="108" t="s">
        <v>5581</v>
      </c>
      <c r="L1799" s="199" t="s">
        <v>7404</v>
      </c>
      <c r="M1799" s="17"/>
      <c r="N1799" s="64" t="s">
        <v>7405</v>
      </c>
      <c r="O1799" s="64" t="s">
        <v>2813</v>
      </c>
      <c r="P1799" s="147" t="s">
        <v>4672</v>
      </c>
      <c r="Q1799" s="149"/>
      <c r="R1799" s="141"/>
      <c r="S1799" s="141"/>
      <c r="T1799" s="141">
        <v>915000.0</v>
      </c>
      <c r="U1799" s="149"/>
      <c r="V1799" s="149"/>
      <c r="W1799" s="149"/>
      <c r="X1799" s="68"/>
      <c r="Y1799" s="68"/>
      <c r="Z1799" s="68"/>
    </row>
    <row r="1800" ht="15.0" customHeight="1">
      <c r="A1800" s="206">
        <v>46035.0</v>
      </c>
      <c r="B1800" s="201" t="s">
        <v>7403</v>
      </c>
      <c r="C1800" s="45" t="s">
        <v>3352</v>
      </c>
      <c r="D1800" s="140" t="str">
        <f>IFERROR(VLOOKUP(C1800,Stock,3,FALSE),"")</f>
        <v>List Kaca Depan INV</v>
      </c>
      <c r="E1800" s="45">
        <v>1.0</v>
      </c>
      <c r="F1800" s="198">
        <v>315000.0</v>
      </c>
      <c r="G1800" s="142">
        <f t="shared" si="44"/>
        <v>315000</v>
      </c>
      <c r="H1800" s="142"/>
      <c r="I1800" s="143">
        <f t="shared" si="45"/>
        <v>315000</v>
      </c>
      <c r="J1800" s="144">
        <f t="shared" si="46"/>
        <v>315000</v>
      </c>
      <c r="K1800" s="108" t="s">
        <v>5581</v>
      </c>
      <c r="L1800" s="199" t="s">
        <v>7404</v>
      </c>
      <c r="M1800" s="17"/>
      <c r="N1800" s="64" t="s">
        <v>7405</v>
      </c>
      <c r="O1800" s="64" t="s">
        <v>2813</v>
      </c>
      <c r="P1800" s="147" t="s">
        <v>4672</v>
      </c>
      <c r="Q1800" s="149"/>
      <c r="R1800" s="149"/>
      <c r="S1800" s="149"/>
      <c r="T1800" s="149"/>
      <c r="U1800" s="149"/>
      <c r="V1800" s="149"/>
      <c r="W1800" s="149"/>
      <c r="X1800" s="68"/>
      <c r="Y1800" s="68"/>
      <c r="Z1800" s="68"/>
    </row>
    <row r="1801" ht="15.0" customHeight="1">
      <c r="A1801" s="206">
        <v>46035.0</v>
      </c>
      <c r="B1801" s="201" t="s">
        <v>7406</v>
      </c>
      <c r="C1801" s="45" t="s">
        <v>7199</v>
      </c>
      <c r="D1801" s="140" t="str">
        <f>IFERROR(VLOOKUP(C1801,Stock,3,FALSE),"")</f>
        <v>Daihatsu Gran Max / Luxio 07-</v>
      </c>
      <c r="E1801" s="45">
        <v>1.0</v>
      </c>
      <c r="F1801" s="198">
        <v>1000000.0</v>
      </c>
      <c r="G1801" s="142">
        <f t="shared" si="44"/>
        <v>1000000</v>
      </c>
      <c r="H1801" s="142"/>
      <c r="I1801" s="143">
        <f t="shared" si="45"/>
        <v>1000000</v>
      </c>
      <c r="J1801" s="144">
        <f t="shared" si="46"/>
        <v>1000000</v>
      </c>
      <c r="K1801" s="108" t="s">
        <v>7407</v>
      </c>
      <c r="L1801" s="199" t="s">
        <v>7408</v>
      </c>
      <c r="M1801" s="17"/>
      <c r="N1801" s="64" t="s">
        <v>7409</v>
      </c>
      <c r="O1801" s="64" t="s">
        <v>2776</v>
      </c>
      <c r="P1801" s="147" t="s">
        <v>4672</v>
      </c>
      <c r="Q1801" s="149"/>
      <c r="R1801" s="141"/>
      <c r="S1801" s="141"/>
      <c r="T1801" s="141">
        <v>50000.0</v>
      </c>
      <c r="U1801" s="149"/>
      <c r="V1801" s="149"/>
      <c r="W1801" s="149"/>
      <c r="X1801" s="68"/>
      <c r="Y1801" s="68"/>
      <c r="Z1801" s="68"/>
    </row>
    <row r="1802" ht="15.0" customHeight="1">
      <c r="A1802" s="206">
        <v>46035.0</v>
      </c>
      <c r="B1802" s="201" t="s">
        <v>7406</v>
      </c>
      <c r="C1802" s="45" t="s">
        <v>2770</v>
      </c>
      <c r="D1802" s="140" t="str">
        <f>IFERROR(VLOOKUP(C1802,Stock,3,FALSE),"")</f>
        <v>Transport</v>
      </c>
      <c r="E1802" s="45">
        <v>1.0</v>
      </c>
      <c r="F1802" s="198">
        <v>100000.0</v>
      </c>
      <c r="G1802" s="142">
        <f t="shared" si="44"/>
        <v>100000</v>
      </c>
      <c r="H1802" s="142"/>
      <c r="I1802" s="143">
        <f t="shared" si="45"/>
        <v>100000</v>
      </c>
      <c r="J1802" s="144">
        <f t="shared" si="46"/>
        <v>100000</v>
      </c>
      <c r="K1802" s="108" t="s">
        <v>7407</v>
      </c>
      <c r="L1802" s="199" t="s">
        <v>7408</v>
      </c>
      <c r="M1802" s="17"/>
      <c r="N1802" s="64" t="s">
        <v>7409</v>
      </c>
      <c r="O1802" s="64" t="s">
        <v>2776</v>
      </c>
      <c r="P1802" s="147" t="s">
        <v>4672</v>
      </c>
      <c r="Q1802" s="149"/>
      <c r="R1802" s="149"/>
      <c r="S1802" s="149"/>
      <c r="T1802" s="149"/>
      <c r="U1802" s="149"/>
      <c r="V1802" s="149"/>
      <c r="W1802" s="149"/>
      <c r="X1802" s="68"/>
      <c r="Y1802" s="68"/>
      <c r="Z1802" s="68"/>
    </row>
    <row r="1803" ht="15.0" customHeight="1">
      <c r="A1803" s="206">
        <v>46035.0</v>
      </c>
      <c r="B1803" s="201" t="s">
        <v>7406</v>
      </c>
      <c r="C1803" s="45" t="s">
        <v>3434</v>
      </c>
      <c r="D1803" s="140" t="str">
        <f>IFERROR(VLOOKUP(C1803,Stock,3,FALSE),"")</f>
        <v>List Kaca Depan Code 04</v>
      </c>
      <c r="E1803" s="45">
        <v>1.0</v>
      </c>
      <c r="F1803" s="198">
        <v>275000.0</v>
      </c>
      <c r="G1803" s="142">
        <f t="shared" si="44"/>
        <v>275000</v>
      </c>
      <c r="H1803" s="142"/>
      <c r="I1803" s="143">
        <f t="shared" si="45"/>
        <v>275000</v>
      </c>
      <c r="J1803" s="144">
        <f t="shared" si="46"/>
        <v>275000</v>
      </c>
      <c r="K1803" s="108" t="s">
        <v>7407</v>
      </c>
      <c r="L1803" s="199" t="s">
        <v>7408</v>
      </c>
      <c r="M1803" s="17"/>
      <c r="N1803" s="64" t="s">
        <v>7409</v>
      </c>
      <c r="O1803" s="64" t="s">
        <v>2776</v>
      </c>
      <c r="P1803" s="147" t="s">
        <v>4672</v>
      </c>
      <c r="Q1803" s="149"/>
      <c r="R1803" s="149"/>
      <c r="S1803" s="149"/>
      <c r="T1803" s="149"/>
      <c r="U1803" s="149"/>
      <c r="V1803" s="149"/>
      <c r="W1803" s="149"/>
      <c r="X1803" s="68"/>
      <c r="Y1803" s="68"/>
      <c r="Z1803" s="68"/>
    </row>
    <row r="1804" ht="15.0" customHeight="1">
      <c r="A1804" s="206">
        <v>46035.0</v>
      </c>
      <c r="B1804" s="201" t="s">
        <v>7410</v>
      </c>
      <c r="C1804" s="45" t="s">
        <v>5752</v>
      </c>
      <c r="D1804" s="140" t="str">
        <f>IFERROR(VLOOKUP(C1804,Stock,3,FALSE),"")</f>
        <v>Honda Brio 10-17 [Lubang Wiper] (Honda)</v>
      </c>
      <c r="E1804" s="45">
        <v>1.0</v>
      </c>
      <c r="F1804" s="198">
        <v>1399000.0</v>
      </c>
      <c r="G1804" s="142">
        <f t="shared" si="44"/>
        <v>1399000</v>
      </c>
      <c r="H1804" s="142"/>
      <c r="I1804" s="143">
        <f t="shared" si="45"/>
        <v>1399000</v>
      </c>
      <c r="J1804" s="144">
        <f t="shared" si="46"/>
        <v>1399000</v>
      </c>
      <c r="K1804" s="108" t="s">
        <v>7411</v>
      </c>
      <c r="L1804" s="199" t="s">
        <v>7412</v>
      </c>
      <c r="M1804" s="17"/>
      <c r="N1804" s="68"/>
      <c r="O1804" s="64" t="s">
        <v>2807</v>
      </c>
      <c r="P1804" s="147" t="s">
        <v>4672</v>
      </c>
      <c r="Q1804" s="149"/>
      <c r="R1804" s="141"/>
      <c r="S1804" s="141"/>
      <c r="T1804" s="141">
        <v>1399000.0</v>
      </c>
      <c r="U1804" s="149"/>
      <c r="V1804" s="149"/>
      <c r="W1804" s="149"/>
      <c r="X1804" s="64" t="s">
        <v>2808</v>
      </c>
      <c r="Y1804" s="68"/>
      <c r="Z1804" s="68"/>
    </row>
    <row r="1805" ht="15.0" customHeight="1">
      <c r="A1805" s="206">
        <v>46035.0</v>
      </c>
      <c r="B1805" s="201" t="s">
        <v>7413</v>
      </c>
      <c r="C1805" s="45" t="s">
        <v>3700</v>
      </c>
      <c r="D1805" s="140" t="str">
        <f>IFERROR(VLOOKUP(C1805,Stock,3,FALSE),"")</f>
        <v>Toyota Avanza / Xenia 11-15 2nd Gen / 15-21 3rd Gen</v>
      </c>
      <c r="E1805" s="45">
        <v>1.0</v>
      </c>
      <c r="F1805" s="198">
        <v>839000.0</v>
      </c>
      <c r="G1805" s="142">
        <f t="shared" si="44"/>
        <v>839000</v>
      </c>
      <c r="H1805" s="142"/>
      <c r="I1805" s="143">
        <f t="shared" si="45"/>
        <v>839000</v>
      </c>
      <c r="J1805" s="144">
        <f t="shared" si="46"/>
        <v>839000</v>
      </c>
      <c r="K1805" s="108" t="s">
        <v>7414</v>
      </c>
      <c r="L1805" s="199" t="s">
        <v>7415</v>
      </c>
      <c r="M1805" s="17"/>
      <c r="N1805" s="68"/>
      <c r="O1805" s="64" t="s">
        <v>2813</v>
      </c>
      <c r="P1805" s="147" t="s">
        <v>4672</v>
      </c>
      <c r="Q1805" s="149"/>
      <c r="R1805" s="149"/>
      <c r="S1805" s="149"/>
      <c r="T1805" s="149"/>
      <c r="U1805" s="149"/>
      <c r="V1805" s="149"/>
      <c r="W1805" s="149"/>
      <c r="X1805" s="68"/>
      <c r="Y1805" s="68"/>
      <c r="Z1805" s="68"/>
    </row>
    <row r="1806" ht="15.0" customHeight="1">
      <c r="A1806" s="206">
        <v>46035.0</v>
      </c>
      <c r="B1806" s="201" t="s">
        <v>7413</v>
      </c>
      <c r="C1806" s="45" t="s">
        <v>2770</v>
      </c>
      <c r="D1806" s="140" t="str">
        <f>IFERROR(VLOOKUP(C1806,Stock,3,FALSE),"")</f>
        <v>Transport</v>
      </c>
      <c r="E1806" s="45">
        <v>1.0</v>
      </c>
      <c r="F1806" s="198">
        <v>70000.0</v>
      </c>
      <c r="G1806" s="142">
        <f t="shared" si="44"/>
        <v>70000</v>
      </c>
      <c r="H1806" s="142"/>
      <c r="I1806" s="143">
        <f t="shared" si="45"/>
        <v>70000</v>
      </c>
      <c r="J1806" s="144">
        <f t="shared" si="46"/>
        <v>70000</v>
      </c>
      <c r="K1806" s="108" t="s">
        <v>7414</v>
      </c>
      <c r="L1806" s="199" t="s">
        <v>7415</v>
      </c>
      <c r="M1806" s="17"/>
      <c r="N1806" s="68"/>
      <c r="O1806" s="64" t="s">
        <v>2813</v>
      </c>
      <c r="P1806" s="147" t="s">
        <v>4672</v>
      </c>
      <c r="Q1806" s="149"/>
      <c r="R1806" s="149"/>
      <c r="S1806" s="149"/>
      <c r="T1806" s="149"/>
      <c r="U1806" s="149"/>
      <c r="V1806" s="149"/>
      <c r="W1806" s="149"/>
      <c r="X1806" s="68"/>
      <c r="Y1806" s="68"/>
      <c r="Z1806" s="68"/>
    </row>
    <row r="1807" ht="15.0" customHeight="1">
      <c r="A1807" s="265">
        <v>46035.0</v>
      </c>
      <c r="B1807" s="266" t="s">
        <v>7416</v>
      </c>
      <c r="C1807" s="269" t="s">
        <v>4134</v>
      </c>
      <c r="D1807" s="268" t="str">
        <f>IFERROR(VLOOKUP(C1807,Stock,3,FALSE),"")</f>
        <v>Mazda 2 14- Skyactiv 4th Gen</v>
      </c>
      <c r="E1807" s="269">
        <v>1.0</v>
      </c>
      <c r="F1807" s="270"/>
      <c r="G1807" s="271">
        <f t="shared" si="44"/>
        <v>0</v>
      </c>
      <c r="H1807" s="271"/>
      <c r="I1807" s="272">
        <f t="shared" si="45"/>
        <v>0</v>
      </c>
      <c r="J1807" s="273">
        <f t="shared" si="46"/>
        <v>0</v>
      </c>
      <c r="K1807" s="267" t="s">
        <v>4509</v>
      </c>
      <c r="L1807" s="274"/>
      <c r="M1807" s="274"/>
      <c r="N1807" s="275"/>
      <c r="O1807" s="275"/>
      <c r="P1807" s="276"/>
      <c r="Q1807" s="277"/>
      <c r="R1807" s="277"/>
      <c r="S1807" s="277"/>
      <c r="T1807" s="277"/>
      <c r="U1807" s="277"/>
      <c r="V1807" s="277"/>
      <c r="W1807" s="277"/>
      <c r="X1807" s="275"/>
      <c r="Y1807" s="275"/>
      <c r="Z1807" s="275"/>
    </row>
    <row r="1808" ht="15.0" customHeight="1">
      <c r="A1808" s="265">
        <v>46035.0</v>
      </c>
      <c r="B1808" s="266" t="s">
        <v>7416</v>
      </c>
      <c r="C1808" s="269" t="s">
        <v>4842</v>
      </c>
      <c r="D1808" s="268" t="str">
        <f>IFERROR(VLOOKUP(C1808,Stock,3,FALSE),"")</f>
        <v>Mazda CX-5 17- 2nd Gen KF - (1 Sensor/ □ )</v>
      </c>
      <c r="E1808" s="269">
        <v>1.0</v>
      </c>
      <c r="F1808" s="270"/>
      <c r="G1808" s="271">
        <f t="shared" si="44"/>
        <v>0</v>
      </c>
      <c r="H1808" s="271"/>
      <c r="I1808" s="272">
        <f t="shared" si="45"/>
        <v>0</v>
      </c>
      <c r="J1808" s="273">
        <f t="shared" si="46"/>
        <v>0</v>
      </c>
      <c r="K1808" s="267" t="s">
        <v>4509</v>
      </c>
      <c r="L1808" s="274"/>
      <c r="M1808" s="274"/>
      <c r="N1808" s="275"/>
      <c r="O1808" s="275"/>
      <c r="P1808" s="276"/>
      <c r="Q1808" s="277"/>
      <c r="R1808" s="277"/>
      <c r="S1808" s="277"/>
      <c r="T1808" s="277"/>
      <c r="U1808" s="277"/>
      <c r="V1808" s="277"/>
      <c r="W1808" s="277"/>
      <c r="X1808" s="275"/>
      <c r="Y1808" s="275"/>
      <c r="Z1808" s="275"/>
    </row>
    <row r="1809" ht="15.0" customHeight="1">
      <c r="A1809" s="265">
        <v>46035.0</v>
      </c>
      <c r="B1809" s="266" t="s">
        <v>7416</v>
      </c>
      <c r="C1809" s="269" t="s">
        <v>2881</v>
      </c>
      <c r="D1809" s="268" t="str">
        <f>IFERROR(VLOOKUP(C1809,Stock,3,FALSE),"")</f>
        <v>Mitsubishi Outlander 10-21 GA3</v>
      </c>
      <c r="E1809" s="269">
        <v>1.0</v>
      </c>
      <c r="F1809" s="270"/>
      <c r="G1809" s="271">
        <f t="shared" si="44"/>
        <v>0</v>
      </c>
      <c r="H1809" s="271"/>
      <c r="I1809" s="272">
        <f t="shared" si="45"/>
        <v>0</v>
      </c>
      <c r="J1809" s="273">
        <f t="shared" si="46"/>
        <v>0</v>
      </c>
      <c r="K1809" s="267" t="s">
        <v>4509</v>
      </c>
      <c r="L1809" s="274"/>
      <c r="M1809" s="274"/>
      <c r="N1809" s="275"/>
      <c r="O1809" s="275"/>
      <c r="P1809" s="276"/>
      <c r="Q1809" s="277"/>
      <c r="R1809" s="277"/>
      <c r="S1809" s="277"/>
      <c r="T1809" s="277"/>
      <c r="U1809" s="277"/>
      <c r="V1809" s="277"/>
      <c r="W1809" s="277"/>
      <c r="X1809" s="275"/>
      <c r="Y1809" s="275"/>
      <c r="Z1809" s="275"/>
    </row>
    <row r="1810" ht="15.0" customHeight="1">
      <c r="A1810" s="265">
        <v>46035.0</v>
      </c>
      <c r="B1810" s="266" t="s">
        <v>7416</v>
      </c>
      <c r="C1810" s="269" t="s">
        <v>6187</v>
      </c>
      <c r="D1810" s="268" t="str">
        <f>IFERROR(VLOOKUP(C1810,Stock,3,FALSE),"")</f>
        <v>Honda Freed 08-16 1st Gen (Honda)</v>
      </c>
      <c r="E1810" s="269">
        <v>1.0</v>
      </c>
      <c r="F1810" s="270"/>
      <c r="G1810" s="271">
        <f t="shared" si="44"/>
        <v>0</v>
      </c>
      <c r="H1810" s="271"/>
      <c r="I1810" s="272">
        <f t="shared" si="45"/>
        <v>0</v>
      </c>
      <c r="J1810" s="273">
        <f t="shared" si="46"/>
        <v>0</v>
      </c>
      <c r="K1810" s="267" t="s">
        <v>4509</v>
      </c>
      <c r="L1810" s="274"/>
      <c r="M1810" s="274"/>
      <c r="N1810" s="275"/>
      <c r="O1810" s="275"/>
      <c r="P1810" s="276"/>
      <c r="Q1810" s="277"/>
      <c r="R1810" s="277"/>
      <c r="S1810" s="277"/>
      <c r="T1810" s="277"/>
      <c r="U1810" s="277"/>
      <c r="V1810" s="277"/>
      <c r="W1810" s="277"/>
      <c r="X1810" s="275"/>
      <c r="Y1810" s="275"/>
      <c r="Z1810" s="275"/>
    </row>
    <row r="1811" ht="15.0" customHeight="1">
      <c r="A1811" s="265">
        <v>46035.0</v>
      </c>
      <c r="B1811" s="266" t="s">
        <v>7416</v>
      </c>
      <c r="C1811" s="269" t="s">
        <v>5752</v>
      </c>
      <c r="D1811" s="268" t="str">
        <f>IFERROR(VLOOKUP(C1811,Stock,3,FALSE),"")</f>
        <v>Honda Brio 10-17 [Lubang Wiper] (Honda)</v>
      </c>
      <c r="E1811" s="269">
        <v>1.0</v>
      </c>
      <c r="F1811" s="270"/>
      <c r="G1811" s="271">
        <f t="shared" si="44"/>
        <v>0</v>
      </c>
      <c r="H1811" s="271"/>
      <c r="I1811" s="272">
        <f t="shared" si="45"/>
        <v>0</v>
      </c>
      <c r="J1811" s="273">
        <f t="shared" si="46"/>
        <v>0</v>
      </c>
      <c r="K1811" s="267" t="s">
        <v>4509</v>
      </c>
      <c r="L1811" s="274"/>
      <c r="M1811" s="274"/>
      <c r="N1811" s="275"/>
      <c r="O1811" s="275"/>
      <c r="P1811" s="276"/>
      <c r="Q1811" s="277"/>
      <c r="R1811" s="277"/>
      <c r="S1811" s="277"/>
      <c r="T1811" s="277"/>
      <c r="U1811" s="277"/>
      <c r="V1811" s="277"/>
      <c r="W1811" s="277"/>
      <c r="X1811" s="275"/>
      <c r="Y1811" s="275"/>
      <c r="Z1811" s="275"/>
    </row>
    <row r="1812" ht="15.0" customHeight="1">
      <c r="A1812" s="265">
        <v>46035.0</v>
      </c>
      <c r="B1812" s="266" t="s">
        <v>7416</v>
      </c>
      <c r="C1812" s="269" t="s">
        <v>7417</v>
      </c>
      <c r="D1812" s="268" t="str">
        <f>IFERROR(VLOOKUP(C1812,Stock,3,FALSE),"")</f>
        <v>Toyota Altis 00-06 E120/130 9th Gen</v>
      </c>
      <c r="E1812" s="269">
        <v>1.0</v>
      </c>
      <c r="F1812" s="270"/>
      <c r="G1812" s="271">
        <f t="shared" si="44"/>
        <v>0</v>
      </c>
      <c r="H1812" s="271"/>
      <c r="I1812" s="272">
        <f t="shared" si="45"/>
        <v>0</v>
      </c>
      <c r="J1812" s="273">
        <f t="shared" si="46"/>
        <v>0</v>
      </c>
      <c r="K1812" s="267" t="s">
        <v>4509</v>
      </c>
      <c r="L1812" s="274"/>
      <c r="M1812" s="274"/>
      <c r="N1812" s="275"/>
      <c r="O1812" s="275"/>
      <c r="P1812" s="276"/>
      <c r="Q1812" s="277"/>
      <c r="R1812" s="277"/>
      <c r="S1812" s="277"/>
      <c r="T1812" s="277"/>
      <c r="U1812" s="277"/>
      <c r="V1812" s="277"/>
      <c r="W1812" s="277"/>
      <c r="X1812" s="275"/>
      <c r="Y1812" s="275"/>
      <c r="Z1812" s="275"/>
    </row>
    <row r="1813" ht="15.0" customHeight="1">
      <c r="A1813" s="206">
        <v>46035.0</v>
      </c>
      <c r="B1813" s="398" t="s">
        <v>7418</v>
      </c>
      <c r="C1813" s="45" t="s">
        <v>7419</v>
      </c>
      <c r="D1813" s="140" t="str">
        <f>IFERROR(VLOOKUP(C1813,Stock,3,FALSE),"")</f>
        <v>Mitsubishi Canter FE800 01- (PS136)</v>
      </c>
      <c r="E1813" s="45">
        <v>15.0</v>
      </c>
      <c r="F1813" s="198">
        <v>512820.0</v>
      </c>
      <c r="G1813" s="142">
        <f t="shared" si="44"/>
        <v>7692300</v>
      </c>
      <c r="H1813" s="142"/>
      <c r="I1813" s="143">
        <f t="shared" si="45"/>
        <v>7692300</v>
      </c>
      <c r="J1813" s="144">
        <f t="shared" si="46"/>
        <v>7692300</v>
      </c>
      <c r="K1813" s="108" t="s">
        <v>7420</v>
      </c>
      <c r="L1813" s="17"/>
      <c r="M1813" s="17"/>
      <c r="N1813" s="68"/>
      <c r="O1813" s="68"/>
      <c r="P1813" s="170"/>
      <c r="Q1813" s="149"/>
      <c r="R1813" s="149"/>
      <c r="S1813" s="149"/>
      <c r="T1813" s="149"/>
      <c r="U1813" s="149"/>
      <c r="V1813" s="149"/>
      <c r="W1813" s="149"/>
      <c r="X1813" s="68"/>
      <c r="Y1813" s="68"/>
      <c r="Z1813" s="68"/>
    </row>
    <row r="1814" ht="15.0" customHeight="1">
      <c r="A1814" s="206">
        <v>46035.0</v>
      </c>
      <c r="B1814" s="201" t="s">
        <v>7418</v>
      </c>
      <c r="C1814" s="45" t="s">
        <v>4842</v>
      </c>
      <c r="D1814" s="140" t="str">
        <f>IFERROR(VLOOKUP(C1814,Stock,3,FALSE),"")</f>
        <v>Mazda CX-5 17- 2nd Gen KF - (1 Sensor/ □ )</v>
      </c>
      <c r="E1814" s="402">
        <v>5.0</v>
      </c>
      <c r="F1814" s="198">
        <v>897171.26</v>
      </c>
      <c r="G1814" s="142">
        <f t="shared" si="44"/>
        <v>4485856.3</v>
      </c>
      <c r="H1814" s="142"/>
      <c r="I1814" s="143">
        <f t="shared" si="45"/>
        <v>4485856.3</v>
      </c>
      <c r="J1814" s="144">
        <f t="shared" si="46"/>
        <v>4485856.3</v>
      </c>
      <c r="K1814" s="108" t="s">
        <v>7420</v>
      </c>
      <c r="L1814" s="17"/>
      <c r="M1814" s="17"/>
      <c r="N1814" s="68"/>
      <c r="O1814" s="68"/>
      <c r="P1814" s="170"/>
      <c r="Q1814" s="149"/>
      <c r="R1814" s="149"/>
      <c r="S1814" s="149"/>
      <c r="T1814" s="149"/>
      <c r="U1814" s="149"/>
      <c r="V1814" s="149"/>
      <c r="W1814" s="149"/>
      <c r="X1814" s="68"/>
      <c r="Y1814" s="68"/>
      <c r="Z1814" s="68"/>
    </row>
    <row r="1815" ht="15.0" customHeight="1">
      <c r="A1815" s="206">
        <v>46035.0</v>
      </c>
      <c r="B1815" s="201" t="s">
        <v>7418</v>
      </c>
      <c r="C1815" s="45" t="s">
        <v>3638</v>
      </c>
      <c r="D1815" s="140" t="str">
        <f>IFERROR(VLOOKUP(C1815,Stock,3,FALSE),"")</f>
        <v>Mazda CX-5 12-17 1st Gen KE Pre - (1 Sensor/ □ )</v>
      </c>
      <c r="E1815" s="402">
        <v>5.0</v>
      </c>
      <c r="F1815" s="198">
        <v>854093.16</v>
      </c>
      <c r="G1815" s="142">
        <f t="shared" si="44"/>
        <v>4270465.8</v>
      </c>
      <c r="H1815" s="142"/>
      <c r="I1815" s="143">
        <f t="shared" si="45"/>
        <v>4270465.8</v>
      </c>
      <c r="J1815" s="144">
        <f t="shared" si="46"/>
        <v>4270465.8</v>
      </c>
      <c r="K1815" s="108" t="s">
        <v>7420</v>
      </c>
      <c r="L1815" s="17"/>
      <c r="M1815" s="17"/>
      <c r="N1815" s="68"/>
      <c r="O1815" s="68"/>
      <c r="P1815" s="170"/>
      <c r="Q1815" s="149"/>
      <c r="R1815" s="149"/>
      <c r="S1815" s="149"/>
      <c r="T1815" s="149"/>
      <c r="U1815" s="149"/>
      <c r="V1815" s="149"/>
      <c r="W1815" s="149"/>
      <c r="X1815" s="68"/>
      <c r="Y1815" s="68"/>
      <c r="Z1815" s="68"/>
    </row>
    <row r="1816" ht="15.0" customHeight="1">
      <c r="A1816" s="206">
        <v>46035.0</v>
      </c>
      <c r="B1816" s="201" t="s">
        <v>7418</v>
      </c>
      <c r="C1816" s="45" t="s">
        <v>7421</v>
      </c>
      <c r="D1816" s="140" t="str">
        <f>IFERROR(VLOOKUP(C1816,Stock,3,FALSE),"")</f>
        <v>Hyundai Getz 02-11</v>
      </c>
      <c r="E1816" s="402">
        <v>5.0</v>
      </c>
      <c r="F1816" s="198">
        <v>549739.38</v>
      </c>
      <c r="G1816" s="142">
        <f t="shared" si="44"/>
        <v>2748696.9</v>
      </c>
      <c r="H1816" s="142"/>
      <c r="I1816" s="143">
        <f t="shared" si="45"/>
        <v>2748696.9</v>
      </c>
      <c r="J1816" s="144">
        <f t="shared" si="46"/>
        <v>2748696.9</v>
      </c>
      <c r="K1816" s="108" t="s">
        <v>7420</v>
      </c>
      <c r="L1816" s="17"/>
      <c r="M1816" s="17"/>
      <c r="N1816" s="68"/>
      <c r="O1816" s="68"/>
      <c r="P1816" s="170"/>
      <c r="Q1816" s="149"/>
      <c r="R1816" s="149"/>
      <c r="S1816" s="149"/>
      <c r="T1816" s="149"/>
      <c r="U1816" s="149"/>
      <c r="V1816" s="149"/>
      <c r="W1816" s="149"/>
      <c r="X1816" s="68"/>
      <c r="Y1816" s="68"/>
      <c r="Z1816" s="68"/>
    </row>
    <row r="1817" ht="15.0" customHeight="1">
      <c r="A1817" s="206">
        <v>46035.0</v>
      </c>
      <c r="B1817" s="201" t="s">
        <v>7418</v>
      </c>
      <c r="C1817" s="45" t="s">
        <v>4327</v>
      </c>
      <c r="D1817" s="140" t="str">
        <f>IFERROR(VLOOKUP(C1817,Stock,3,FALSE),"")</f>
        <v>Isuzu Giga Long (PS240,285) FVR34 (Lebar 215cm)</v>
      </c>
      <c r="E1817" s="402">
        <v>6.0</v>
      </c>
      <c r="F1817" s="198">
        <v>799667.09</v>
      </c>
      <c r="G1817" s="142">
        <f t="shared" si="44"/>
        <v>4798002.54</v>
      </c>
      <c r="H1817" s="142"/>
      <c r="I1817" s="143">
        <f t="shared" si="45"/>
        <v>4798002.54</v>
      </c>
      <c r="J1817" s="144">
        <f t="shared" si="46"/>
        <v>4798002.54</v>
      </c>
      <c r="K1817" s="108" t="s">
        <v>7420</v>
      </c>
      <c r="L1817" s="17"/>
      <c r="M1817" s="17"/>
      <c r="N1817" s="68"/>
      <c r="O1817" s="68"/>
      <c r="P1817" s="170"/>
      <c r="Q1817" s="149"/>
      <c r="R1817" s="149"/>
      <c r="S1817" s="149"/>
      <c r="T1817" s="149"/>
      <c r="U1817" s="149"/>
      <c r="V1817" s="149"/>
      <c r="W1817" s="149"/>
      <c r="X1817" s="68"/>
      <c r="Y1817" s="68"/>
      <c r="Z1817" s="68"/>
    </row>
    <row r="1818" ht="15.0" customHeight="1">
      <c r="A1818" s="206">
        <v>46035.0</v>
      </c>
      <c r="B1818" s="201" t="s">
        <v>7418</v>
      </c>
      <c r="C1818" s="45" t="s">
        <v>4447</v>
      </c>
      <c r="D1818" s="140" t="str">
        <f>IFERROR(VLOOKUP(C1818,Stock,3,FALSE),"")</f>
        <v>Isuzu Elf 17- New NMR NLR</v>
      </c>
      <c r="E1818" s="402">
        <v>20.0</v>
      </c>
      <c r="F1818" s="198">
        <v>448107.0</v>
      </c>
      <c r="G1818" s="142">
        <f t="shared" si="44"/>
        <v>8962140</v>
      </c>
      <c r="H1818" s="142"/>
      <c r="I1818" s="143">
        <f t="shared" si="45"/>
        <v>8962140</v>
      </c>
      <c r="J1818" s="144">
        <f t="shared" si="46"/>
        <v>8962140</v>
      </c>
      <c r="K1818" s="108" t="s">
        <v>7420</v>
      </c>
      <c r="L1818" s="17"/>
      <c r="M1818" s="17"/>
      <c r="N1818" s="68"/>
      <c r="O1818" s="68"/>
      <c r="P1818" s="170"/>
      <c r="Q1818" s="149"/>
      <c r="R1818" s="149"/>
      <c r="S1818" s="149"/>
      <c r="T1818" s="149"/>
      <c r="U1818" s="149"/>
      <c r="V1818" s="149"/>
      <c r="W1818" s="149"/>
      <c r="X1818" s="68"/>
      <c r="Y1818" s="68"/>
      <c r="Z1818" s="68"/>
    </row>
    <row r="1819" ht="15.0" customHeight="1">
      <c r="A1819" s="206">
        <v>46035.0</v>
      </c>
      <c r="B1819" s="201" t="s">
        <v>7418</v>
      </c>
      <c r="C1819" s="45" t="s">
        <v>3043</v>
      </c>
      <c r="D1819" s="140" t="str">
        <f>IFERROR(VLOOKUP(C1819,Stock,3,FALSE),"")</f>
        <v>Honda CR-V 17- 5th Gen</v>
      </c>
      <c r="E1819" s="402">
        <v>5.0</v>
      </c>
      <c r="F1819" s="198">
        <v>638576.9</v>
      </c>
      <c r="G1819" s="142">
        <f t="shared" si="44"/>
        <v>3192884.5</v>
      </c>
      <c r="H1819" s="142"/>
      <c r="I1819" s="143">
        <f t="shared" si="45"/>
        <v>3192884.5</v>
      </c>
      <c r="J1819" s="144">
        <f t="shared" si="46"/>
        <v>3192884.5</v>
      </c>
      <c r="K1819" s="108" t="s">
        <v>7420</v>
      </c>
      <c r="L1819" s="17"/>
      <c r="M1819" s="17"/>
      <c r="N1819" s="68"/>
      <c r="O1819" s="68"/>
      <c r="P1819" s="170"/>
      <c r="Q1819" s="149"/>
      <c r="R1819" s="149"/>
      <c r="S1819" s="149"/>
      <c r="T1819" s="149"/>
      <c r="U1819" s="149"/>
      <c r="V1819" s="149"/>
      <c r="W1819" s="149"/>
      <c r="X1819" s="68"/>
      <c r="Y1819" s="68"/>
      <c r="Z1819" s="68"/>
    </row>
    <row r="1820" ht="15.0" customHeight="1">
      <c r="A1820" s="206">
        <v>46035.0</v>
      </c>
      <c r="B1820" s="201" t="s">
        <v>7418</v>
      </c>
      <c r="C1820" s="45" t="s">
        <v>2881</v>
      </c>
      <c r="D1820" s="140" t="str">
        <f>IFERROR(VLOOKUP(C1820,Stock,3,FALSE),"")</f>
        <v>Mitsubishi Outlander 10-21 GA3</v>
      </c>
      <c r="E1820" s="45">
        <v>5.0</v>
      </c>
      <c r="F1820" s="198">
        <v>636858.95</v>
      </c>
      <c r="G1820" s="142">
        <f t="shared" si="44"/>
        <v>3184294.75</v>
      </c>
      <c r="H1820" s="142"/>
      <c r="I1820" s="143">
        <f t="shared" si="45"/>
        <v>3184294.75</v>
      </c>
      <c r="J1820" s="144">
        <f t="shared" si="46"/>
        <v>3184294.75</v>
      </c>
      <c r="K1820" s="108" t="s">
        <v>7420</v>
      </c>
      <c r="L1820" s="17"/>
      <c r="M1820" s="17"/>
      <c r="N1820" s="68"/>
      <c r="O1820" s="68"/>
      <c r="P1820" s="170"/>
      <c r="Q1820" s="149"/>
      <c r="R1820" s="149"/>
      <c r="S1820" s="149"/>
      <c r="T1820" s="149"/>
      <c r="U1820" s="149"/>
      <c r="V1820" s="149"/>
      <c r="W1820" s="149"/>
      <c r="X1820" s="68"/>
      <c r="Y1820" s="68"/>
      <c r="Z1820" s="68"/>
    </row>
    <row r="1821" ht="15.0" customHeight="1">
      <c r="A1821" s="206">
        <v>46035.0</v>
      </c>
      <c r="B1821" s="201" t="s">
        <v>7418</v>
      </c>
      <c r="C1821" s="45" t="s">
        <v>4879</v>
      </c>
      <c r="D1821" s="140" t="str">
        <f>IFERROR(VLOOKUP(C1821,Stock,3,FALSE),"")</f>
        <v>Kia Picanto 11-16 2nd Gen</v>
      </c>
      <c r="E1821" s="402">
        <v>10.0</v>
      </c>
      <c r="F1821" s="198">
        <v>552043.4</v>
      </c>
      <c r="G1821" s="142">
        <f t="shared" si="44"/>
        <v>5520434</v>
      </c>
      <c r="H1821" s="142"/>
      <c r="I1821" s="143">
        <f t="shared" si="45"/>
        <v>5520434</v>
      </c>
      <c r="J1821" s="144">
        <f t="shared" si="46"/>
        <v>5520434</v>
      </c>
      <c r="K1821" s="108" t="s">
        <v>7420</v>
      </c>
      <c r="L1821" s="17"/>
      <c r="M1821" s="17"/>
      <c r="N1821" s="68"/>
      <c r="O1821" s="68"/>
      <c r="P1821" s="170"/>
      <c r="Q1821" s="149"/>
      <c r="R1821" s="149"/>
      <c r="S1821" s="149"/>
      <c r="T1821" s="149"/>
      <c r="U1821" s="149"/>
      <c r="V1821" s="149"/>
      <c r="W1821" s="149"/>
      <c r="X1821" s="68"/>
      <c r="Y1821" s="68"/>
      <c r="Z1821" s="68"/>
    </row>
    <row r="1822" ht="15.0" customHeight="1">
      <c r="A1822" s="206">
        <v>46035.0</v>
      </c>
      <c r="B1822" s="201" t="s">
        <v>7418</v>
      </c>
      <c r="C1822" s="45" t="s">
        <v>7275</v>
      </c>
      <c r="D1822" s="140" t="str">
        <f>IFERROR(VLOOKUP(C1822,Stock,3,FALSE),"")</f>
        <v>Mazda 2 14- Skyactiv 4th Gen (1 Sensor/ □ )</v>
      </c>
      <c r="E1822" s="402">
        <v>5.0</v>
      </c>
      <c r="F1822" s="198">
        <v>616241.14</v>
      </c>
      <c r="G1822" s="142">
        <f t="shared" si="44"/>
        <v>3081205.7</v>
      </c>
      <c r="H1822" s="142"/>
      <c r="I1822" s="143">
        <f t="shared" si="45"/>
        <v>3081205.7</v>
      </c>
      <c r="J1822" s="144">
        <f t="shared" si="46"/>
        <v>3081205.7</v>
      </c>
      <c r="K1822" s="108" t="s">
        <v>7420</v>
      </c>
      <c r="L1822" s="17"/>
      <c r="M1822" s="17"/>
      <c r="N1822" s="68"/>
      <c r="O1822" s="68"/>
      <c r="P1822" s="170"/>
      <c r="Q1822" s="149"/>
      <c r="R1822" s="149"/>
      <c r="S1822" s="149"/>
      <c r="T1822" s="149"/>
      <c r="U1822" s="149"/>
      <c r="V1822" s="149"/>
      <c r="W1822" s="149"/>
      <c r="X1822" s="68"/>
      <c r="Y1822" s="68"/>
      <c r="Z1822" s="68"/>
    </row>
    <row r="1823" ht="15.0" customHeight="1">
      <c r="A1823" s="206">
        <v>46035.0</v>
      </c>
      <c r="B1823" s="201" t="s">
        <v>7418</v>
      </c>
      <c r="C1823" s="45" t="s">
        <v>3220</v>
      </c>
      <c r="D1823" s="140" t="str">
        <f>IFERROR(VLOOKUP(C1823,Stock,3,FALSE),"")</f>
        <v>BMW 3 Series 12-18 F30/F35 (1 Sensor / O )</v>
      </c>
      <c r="E1823" s="402">
        <v>5.0</v>
      </c>
      <c r="F1823" s="198">
        <v>764584.1</v>
      </c>
      <c r="G1823" s="142">
        <f t="shared" si="44"/>
        <v>3822920.5</v>
      </c>
      <c r="H1823" s="142"/>
      <c r="I1823" s="143">
        <f t="shared" si="45"/>
        <v>3822920.5</v>
      </c>
      <c r="J1823" s="144">
        <f t="shared" si="46"/>
        <v>3822920.5</v>
      </c>
      <c r="K1823" s="108" t="s">
        <v>7420</v>
      </c>
      <c r="L1823" s="17"/>
      <c r="M1823" s="17"/>
      <c r="N1823" s="68"/>
      <c r="O1823" s="68"/>
      <c r="P1823" s="170"/>
      <c r="Q1823" s="149"/>
      <c r="R1823" s="149"/>
      <c r="S1823" s="149"/>
      <c r="T1823" s="149"/>
      <c r="U1823" s="149"/>
      <c r="V1823" s="149"/>
      <c r="W1823" s="149"/>
      <c r="X1823" s="68"/>
      <c r="Y1823" s="68"/>
      <c r="Z1823" s="68"/>
    </row>
    <row r="1824" ht="15.0" customHeight="1">
      <c r="A1824" s="206">
        <v>46035.0</v>
      </c>
      <c r="B1824" s="201" t="s">
        <v>7418</v>
      </c>
      <c r="C1824" s="45" t="s">
        <v>4134</v>
      </c>
      <c r="D1824" s="140" t="str">
        <f>IFERROR(VLOOKUP(C1824,Stock,3,FALSE),"")</f>
        <v>Mazda 2 14- Skyactiv 4th Gen</v>
      </c>
      <c r="E1824" s="402">
        <v>5.0</v>
      </c>
      <c r="F1824" s="198">
        <v>574336.42</v>
      </c>
      <c r="G1824" s="142">
        <f t="shared" si="44"/>
        <v>2871682.1</v>
      </c>
      <c r="H1824" s="142"/>
      <c r="I1824" s="143">
        <f t="shared" si="45"/>
        <v>2871682.1</v>
      </c>
      <c r="J1824" s="144">
        <f t="shared" si="46"/>
        <v>2871682.1</v>
      </c>
      <c r="K1824" s="108" t="s">
        <v>7420</v>
      </c>
      <c r="L1824" s="17"/>
      <c r="M1824" s="17"/>
      <c r="N1824" s="68"/>
      <c r="O1824" s="68"/>
      <c r="P1824" s="170"/>
      <c r="Q1824" s="149"/>
      <c r="R1824" s="149"/>
      <c r="S1824" s="149"/>
      <c r="T1824" s="149"/>
      <c r="U1824" s="149"/>
      <c r="V1824" s="149"/>
      <c r="W1824" s="149"/>
      <c r="X1824" s="68"/>
      <c r="Y1824" s="68"/>
      <c r="Z1824" s="68"/>
    </row>
    <row r="1825" ht="15.0" customHeight="1">
      <c r="A1825" s="249">
        <v>46035.0</v>
      </c>
      <c r="B1825" s="250" t="s">
        <v>7422</v>
      </c>
      <c r="C1825" s="251" t="s">
        <v>4327</v>
      </c>
      <c r="D1825" s="252" t="str">
        <f>IFERROR(VLOOKUP(C1825,Stock,3,FALSE),"")</f>
        <v>Isuzu Giga Long (PS240,285) FVR34 (Lebar 215cm)</v>
      </c>
      <c r="E1825" s="251">
        <v>1.0</v>
      </c>
      <c r="F1825" s="420"/>
      <c r="G1825" s="254">
        <f t="shared" si="44"/>
        <v>0</v>
      </c>
      <c r="H1825" s="254"/>
      <c r="I1825" s="255">
        <f t="shared" si="45"/>
        <v>0</v>
      </c>
      <c r="J1825" s="256">
        <f t="shared" si="46"/>
        <v>0</v>
      </c>
      <c r="K1825" s="257" t="s">
        <v>7422</v>
      </c>
      <c r="L1825" s="259"/>
      <c r="M1825" s="259"/>
      <c r="N1825" s="372"/>
      <c r="O1825" s="372"/>
      <c r="P1825" s="261"/>
      <c r="Q1825" s="262"/>
      <c r="R1825" s="262"/>
      <c r="S1825" s="262"/>
      <c r="T1825" s="262"/>
      <c r="U1825" s="262"/>
      <c r="V1825" s="262"/>
      <c r="W1825" s="262"/>
      <c r="X1825" s="372"/>
      <c r="Y1825" s="372"/>
      <c r="Z1825" s="372"/>
    </row>
    <row r="1826" ht="15.0" customHeight="1">
      <c r="A1826" s="249">
        <v>46035.0</v>
      </c>
      <c r="B1826" s="250" t="s">
        <v>7422</v>
      </c>
      <c r="C1826" s="251" t="s">
        <v>7275</v>
      </c>
      <c r="D1826" s="252" t="str">
        <f>IFERROR(VLOOKUP(C1826,Stock,3,FALSE),"")</f>
        <v>Mazda 2 14- Skyactiv 4th Gen (1 Sensor/ □ )</v>
      </c>
      <c r="E1826" s="251">
        <v>1.0</v>
      </c>
      <c r="F1826" s="420"/>
      <c r="G1826" s="254">
        <f t="shared" si="44"/>
        <v>0</v>
      </c>
      <c r="H1826" s="254"/>
      <c r="I1826" s="255">
        <f t="shared" si="45"/>
        <v>0</v>
      </c>
      <c r="J1826" s="256">
        <f t="shared" si="46"/>
        <v>0</v>
      </c>
      <c r="K1826" s="257" t="s">
        <v>7422</v>
      </c>
      <c r="L1826" s="259"/>
      <c r="M1826" s="259"/>
      <c r="N1826" s="372"/>
      <c r="O1826" s="372"/>
      <c r="P1826" s="261"/>
      <c r="Q1826" s="262"/>
      <c r="R1826" s="262"/>
      <c r="S1826" s="262"/>
      <c r="T1826" s="262"/>
      <c r="U1826" s="262"/>
      <c r="V1826" s="262"/>
      <c r="W1826" s="262"/>
      <c r="X1826" s="372"/>
      <c r="Y1826" s="372"/>
      <c r="Z1826" s="372"/>
    </row>
    <row r="1827" ht="15.0" customHeight="1">
      <c r="A1827" s="249">
        <v>46035.0</v>
      </c>
      <c r="B1827" s="250" t="s">
        <v>7422</v>
      </c>
      <c r="C1827" s="251" t="s">
        <v>7162</v>
      </c>
      <c r="D1827" s="252" t="str">
        <f>IFERROR(VLOOKUP(C1827,Stock,3,FALSE),"")</f>
        <v>Toyota Innova 04-15 1st Gen</v>
      </c>
      <c r="E1827" s="251">
        <v>1.0</v>
      </c>
      <c r="F1827" s="420"/>
      <c r="G1827" s="254">
        <f t="shared" si="44"/>
        <v>0</v>
      </c>
      <c r="H1827" s="254"/>
      <c r="I1827" s="255">
        <f t="shared" si="45"/>
        <v>0</v>
      </c>
      <c r="J1827" s="256">
        <f t="shared" si="46"/>
        <v>0</v>
      </c>
      <c r="K1827" s="257" t="s">
        <v>7422</v>
      </c>
      <c r="L1827" s="259"/>
      <c r="M1827" s="259"/>
      <c r="N1827" s="372"/>
      <c r="O1827" s="372"/>
      <c r="P1827" s="261"/>
      <c r="Q1827" s="262"/>
      <c r="R1827" s="262"/>
      <c r="S1827" s="262"/>
      <c r="T1827" s="262"/>
      <c r="U1827" s="262"/>
      <c r="V1827" s="262"/>
      <c r="W1827" s="262"/>
      <c r="X1827" s="372"/>
      <c r="Y1827" s="372"/>
      <c r="Z1827" s="372"/>
    </row>
    <row r="1828" ht="15.0" customHeight="1">
      <c r="A1828" s="249">
        <v>46035.0</v>
      </c>
      <c r="B1828" s="250" t="s">
        <v>7422</v>
      </c>
      <c r="C1828" s="251" t="s">
        <v>4379</v>
      </c>
      <c r="D1828" s="252" t="str">
        <f>IFERROR(VLOOKUP(C1828,Stock,3,FALSE),"")</f>
        <v>Toyota Yaris 13- 2nd Gen / Vios 14- 3rd Gen</v>
      </c>
      <c r="E1828" s="251">
        <v>1.0</v>
      </c>
      <c r="F1828" s="420"/>
      <c r="G1828" s="254">
        <f t="shared" si="44"/>
        <v>0</v>
      </c>
      <c r="H1828" s="254"/>
      <c r="I1828" s="255">
        <f t="shared" si="45"/>
        <v>0</v>
      </c>
      <c r="J1828" s="256">
        <f t="shared" si="46"/>
        <v>0</v>
      </c>
      <c r="K1828" s="257" t="s">
        <v>7422</v>
      </c>
      <c r="L1828" s="259"/>
      <c r="M1828" s="259"/>
      <c r="N1828" s="372"/>
      <c r="O1828" s="372"/>
      <c r="P1828" s="261"/>
      <c r="Q1828" s="262"/>
      <c r="R1828" s="262"/>
      <c r="S1828" s="262"/>
      <c r="T1828" s="262"/>
      <c r="U1828" s="262"/>
      <c r="V1828" s="262"/>
      <c r="W1828" s="262"/>
      <c r="X1828" s="372"/>
      <c r="Y1828" s="372"/>
      <c r="Z1828" s="372"/>
    </row>
    <row r="1829" ht="15.0" customHeight="1">
      <c r="A1829" s="249">
        <v>46035.0</v>
      </c>
      <c r="B1829" s="250" t="s">
        <v>7422</v>
      </c>
      <c r="C1829" s="251" t="s">
        <v>7317</v>
      </c>
      <c r="D1829" s="252" t="str">
        <f>IFERROR(VLOOKUP(C1829,Stock,3,FALSE),"")</f>
        <v>Mitsubishi Xpander 17-</v>
      </c>
      <c r="E1829" s="251">
        <v>1.0</v>
      </c>
      <c r="F1829" s="420"/>
      <c r="G1829" s="254">
        <f t="shared" si="44"/>
        <v>0</v>
      </c>
      <c r="H1829" s="254"/>
      <c r="I1829" s="255">
        <f t="shared" si="45"/>
        <v>0</v>
      </c>
      <c r="J1829" s="256">
        <f t="shared" si="46"/>
        <v>0</v>
      </c>
      <c r="K1829" s="257" t="s">
        <v>7423</v>
      </c>
      <c r="L1829" s="259"/>
      <c r="M1829" s="259"/>
      <c r="N1829" s="372"/>
      <c r="O1829" s="372"/>
      <c r="P1829" s="261"/>
      <c r="Q1829" s="262"/>
      <c r="R1829" s="262"/>
      <c r="S1829" s="262"/>
      <c r="T1829" s="262"/>
      <c r="U1829" s="262"/>
      <c r="V1829" s="262"/>
      <c r="W1829" s="262"/>
      <c r="X1829" s="372"/>
      <c r="Y1829" s="372"/>
      <c r="Z1829" s="372"/>
    </row>
    <row r="1830" ht="15.0" customHeight="1">
      <c r="A1830" s="249">
        <v>46035.0</v>
      </c>
      <c r="B1830" s="250" t="s">
        <v>7422</v>
      </c>
      <c r="C1830" s="251" t="s">
        <v>7424</v>
      </c>
      <c r="D1830" s="252" t="str">
        <f>IFERROR(VLOOKUP(C1830,Stock,3,FALSE),"")</f>
        <v>Toyota Avanza / Xenia 03-11 1st Gen</v>
      </c>
      <c r="E1830" s="251">
        <v>11.0</v>
      </c>
      <c r="F1830" s="420"/>
      <c r="G1830" s="254">
        <f t="shared" si="44"/>
        <v>0</v>
      </c>
      <c r="H1830" s="254"/>
      <c r="I1830" s="255">
        <f t="shared" si="45"/>
        <v>0</v>
      </c>
      <c r="J1830" s="256">
        <f t="shared" si="46"/>
        <v>0</v>
      </c>
      <c r="K1830" s="257" t="s">
        <v>7422</v>
      </c>
      <c r="L1830" s="259"/>
      <c r="M1830" s="259"/>
      <c r="N1830" s="372"/>
      <c r="O1830" s="372"/>
      <c r="P1830" s="261"/>
      <c r="Q1830" s="262"/>
      <c r="R1830" s="262"/>
      <c r="S1830" s="262"/>
      <c r="T1830" s="262"/>
      <c r="U1830" s="262"/>
      <c r="V1830" s="262"/>
      <c r="W1830" s="262"/>
      <c r="X1830" s="372"/>
      <c r="Y1830" s="372"/>
      <c r="Z1830" s="372"/>
    </row>
    <row r="1831" ht="15.0" customHeight="1">
      <c r="A1831" s="249">
        <v>46035.0</v>
      </c>
      <c r="B1831" s="250" t="s">
        <v>7422</v>
      </c>
      <c r="C1831" s="251" t="s">
        <v>7164</v>
      </c>
      <c r="D1831" s="252" t="str">
        <f>IFERROR(VLOOKUP(C1831,Stock,3,FALSE),"")</f>
        <v>Ford Everest 04-15 / Ranger 04-11 / Mazda BT-50</v>
      </c>
      <c r="E1831" s="251">
        <v>7.0</v>
      </c>
      <c r="F1831" s="420"/>
      <c r="G1831" s="254">
        <f t="shared" si="44"/>
        <v>0</v>
      </c>
      <c r="H1831" s="254"/>
      <c r="I1831" s="255">
        <f t="shared" si="45"/>
        <v>0</v>
      </c>
      <c r="J1831" s="256">
        <f t="shared" si="46"/>
        <v>0</v>
      </c>
      <c r="K1831" s="257" t="s">
        <v>7422</v>
      </c>
      <c r="L1831" s="259"/>
      <c r="M1831" s="259"/>
      <c r="N1831" s="372"/>
      <c r="O1831" s="372"/>
      <c r="P1831" s="261"/>
      <c r="Q1831" s="262"/>
      <c r="R1831" s="262"/>
      <c r="S1831" s="262"/>
      <c r="T1831" s="262"/>
      <c r="U1831" s="262"/>
      <c r="V1831" s="262"/>
      <c r="W1831" s="262"/>
      <c r="X1831" s="372"/>
      <c r="Y1831" s="372"/>
      <c r="Z1831" s="372"/>
    </row>
    <row r="1832" ht="15.0" customHeight="1">
      <c r="A1832" s="249">
        <v>46035.0</v>
      </c>
      <c r="B1832" s="250" t="s">
        <v>7422</v>
      </c>
      <c r="C1832" s="251" t="s">
        <v>7425</v>
      </c>
      <c r="D1832" s="252" t="str">
        <f>IFERROR(VLOOKUP(C1832,Stock,3,FALSE),"")</f>
        <v>Honda Jazz 01-07 1st Gen</v>
      </c>
      <c r="E1832" s="251">
        <v>1.0</v>
      </c>
      <c r="F1832" s="420"/>
      <c r="G1832" s="254">
        <f t="shared" si="44"/>
        <v>0</v>
      </c>
      <c r="H1832" s="254"/>
      <c r="I1832" s="255">
        <f t="shared" si="45"/>
        <v>0</v>
      </c>
      <c r="J1832" s="256">
        <f t="shared" si="46"/>
        <v>0</v>
      </c>
      <c r="K1832" s="257" t="s">
        <v>7422</v>
      </c>
      <c r="L1832" s="259"/>
      <c r="M1832" s="259"/>
      <c r="N1832" s="372"/>
      <c r="O1832" s="372"/>
      <c r="P1832" s="261"/>
      <c r="Q1832" s="262"/>
      <c r="R1832" s="262"/>
      <c r="S1832" s="262"/>
      <c r="T1832" s="262"/>
      <c r="U1832" s="262"/>
      <c r="V1832" s="262"/>
      <c r="W1832" s="262"/>
      <c r="X1832" s="372"/>
      <c r="Y1832" s="372"/>
      <c r="Z1832" s="372"/>
    </row>
    <row r="1833" ht="15.0" customHeight="1">
      <c r="A1833" s="206">
        <v>46036.0</v>
      </c>
      <c r="B1833" s="201" t="s">
        <v>7426</v>
      </c>
      <c r="C1833" s="45" t="s">
        <v>7427</v>
      </c>
      <c r="D1833" s="140" t="str">
        <f>IFERROR(VLOOKUP(C1833,Stock,3,FALSE),"")</f>
        <v>Nissan Livina 07-18 L10/L11</v>
      </c>
      <c r="E1833" s="45">
        <v>1.0</v>
      </c>
      <c r="F1833" s="198">
        <v>1400000.0</v>
      </c>
      <c r="G1833" s="142">
        <f t="shared" si="44"/>
        <v>1400000</v>
      </c>
      <c r="H1833" s="142"/>
      <c r="I1833" s="143">
        <f t="shared" si="45"/>
        <v>1400000</v>
      </c>
      <c r="J1833" s="144">
        <f t="shared" si="46"/>
        <v>1400000</v>
      </c>
      <c r="K1833" s="108" t="s">
        <v>4995</v>
      </c>
      <c r="L1833" s="199" t="s">
        <v>7428</v>
      </c>
      <c r="M1833" s="17"/>
      <c r="N1833" s="64" t="s">
        <v>7429</v>
      </c>
      <c r="O1833" s="64" t="s">
        <v>7430</v>
      </c>
      <c r="P1833" s="147" t="s">
        <v>4672</v>
      </c>
      <c r="Q1833" s="149"/>
      <c r="R1833" s="141"/>
      <c r="S1833" s="141"/>
      <c r="T1833" s="141">
        <v>50000.0</v>
      </c>
      <c r="U1833" s="149"/>
      <c r="V1833" s="149"/>
      <c r="W1833" s="149"/>
      <c r="X1833" s="68"/>
      <c r="Y1833" s="68"/>
      <c r="Z1833" s="68"/>
    </row>
    <row r="1834" ht="15.0" customHeight="1">
      <c r="A1834" s="206">
        <v>46036.0</v>
      </c>
      <c r="B1834" s="201" t="s">
        <v>7426</v>
      </c>
      <c r="C1834" s="45" t="s">
        <v>2770</v>
      </c>
      <c r="D1834" s="140" t="str">
        <f>IFERROR(VLOOKUP(C1834,Stock,3,FALSE),"")</f>
        <v>Transport</v>
      </c>
      <c r="E1834" s="45">
        <v>1.0</v>
      </c>
      <c r="F1834" s="198">
        <v>50000.0</v>
      </c>
      <c r="G1834" s="142">
        <f t="shared" si="44"/>
        <v>50000</v>
      </c>
      <c r="H1834" s="143">
        <v>50000.0</v>
      </c>
      <c r="I1834" s="143">
        <f t="shared" si="45"/>
        <v>0</v>
      </c>
      <c r="J1834" s="144">
        <f t="shared" si="46"/>
        <v>0</v>
      </c>
      <c r="K1834" s="108" t="s">
        <v>4995</v>
      </c>
      <c r="L1834" s="199" t="s">
        <v>7428</v>
      </c>
      <c r="M1834" s="17"/>
      <c r="N1834" s="64" t="s">
        <v>7429</v>
      </c>
      <c r="O1834" s="64" t="s">
        <v>7430</v>
      </c>
      <c r="P1834" s="147" t="s">
        <v>4672</v>
      </c>
      <c r="Q1834" s="149"/>
      <c r="R1834" s="141"/>
      <c r="S1834" s="141"/>
      <c r="T1834" s="141">
        <v>1350000.0</v>
      </c>
      <c r="U1834" s="149"/>
      <c r="V1834" s="149"/>
      <c r="W1834" s="149"/>
      <c r="X1834" s="68"/>
      <c r="Y1834" s="68"/>
      <c r="Z1834" s="68"/>
    </row>
    <row r="1835" ht="15.0" customHeight="1">
      <c r="A1835" s="206">
        <v>46036.0</v>
      </c>
      <c r="B1835" s="201" t="s">
        <v>7431</v>
      </c>
      <c r="C1835" s="45" t="s">
        <v>7432</v>
      </c>
      <c r="D1835" s="140" t="str">
        <f>IFERROR(VLOOKUP(C1835,Stock,3,FALSE),"")</f>
        <v>Nissan Serena  99-10 C24</v>
      </c>
      <c r="E1835" s="45">
        <v>1.0</v>
      </c>
      <c r="F1835" s="198">
        <v>795000.0</v>
      </c>
      <c r="G1835" s="142">
        <f t="shared" si="44"/>
        <v>795000</v>
      </c>
      <c r="H1835" s="142"/>
      <c r="I1835" s="143">
        <f t="shared" si="45"/>
        <v>795000</v>
      </c>
      <c r="J1835" s="144">
        <f t="shared" si="46"/>
        <v>795000</v>
      </c>
      <c r="K1835" s="108" t="s">
        <v>6615</v>
      </c>
      <c r="L1835" s="199" t="s">
        <v>7433</v>
      </c>
      <c r="M1835" s="17"/>
      <c r="N1835" s="64" t="s">
        <v>7434</v>
      </c>
      <c r="O1835" s="64" t="s">
        <v>2813</v>
      </c>
      <c r="P1835" s="147" t="s">
        <v>4672</v>
      </c>
      <c r="Q1835" s="149"/>
      <c r="R1835" s="141"/>
      <c r="S1835" s="141"/>
      <c r="T1835" s="141" t="s">
        <v>7435</v>
      </c>
      <c r="U1835" s="149"/>
      <c r="V1835" s="149"/>
      <c r="W1835" s="149"/>
      <c r="X1835" s="68"/>
      <c r="Y1835" s="68"/>
      <c r="Z1835" s="68"/>
    </row>
    <row r="1836" ht="15.0" customHeight="1">
      <c r="A1836" s="206">
        <v>46036.0</v>
      </c>
      <c r="B1836" s="201" t="s">
        <v>7436</v>
      </c>
      <c r="C1836" s="45" t="s">
        <v>5680</v>
      </c>
      <c r="D1836" s="140" t="str">
        <f>IFERROR(VLOOKUP(C1836,Stock,3,FALSE),"")</f>
        <v>Suzuki Wagon R 12-</v>
      </c>
      <c r="E1836" s="45">
        <v>1.0</v>
      </c>
      <c r="F1836" s="198">
        <v>1048000.0</v>
      </c>
      <c r="G1836" s="142">
        <f t="shared" si="44"/>
        <v>1048000</v>
      </c>
      <c r="H1836" s="142"/>
      <c r="I1836" s="143">
        <f t="shared" si="45"/>
        <v>1048000</v>
      </c>
      <c r="J1836" s="144">
        <f t="shared" si="46"/>
        <v>1048000</v>
      </c>
      <c r="K1836" s="108" t="s">
        <v>7437</v>
      </c>
      <c r="L1836" s="199" t="s">
        <v>7438</v>
      </c>
      <c r="M1836" s="17"/>
      <c r="N1836" s="64" t="s">
        <v>7439</v>
      </c>
      <c r="O1836" s="64" t="s">
        <v>2942</v>
      </c>
      <c r="P1836" s="147" t="s">
        <v>4672</v>
      </c>
      <c r="Q1836" s="149"/>
      <c r="R1836" s="141"/>
      <c r="S1836" s="141"/>
      <c r="T1836" s="141">
        <v>50000.0</v>
      </c>
      <c r="U1836" s="149"/>
      <c r="V1836" s="149"/>
      <c r="W1836" s="149"/>
      <c r="X1836" s="68"/>
      <c r="Y1836" s="68"/>
      <c r="Z1836" s="68"/>
    </row>
    <row r="1837" ht="15.0" customHeight="1">
      <c r="A1837" s="206">
        <v>46036.0</v>
      </c>
      <c r="B1837" s="201" t="s">
        <v>7436</v>
      </c>
      <c r="C1837" s="45" t="s">
        <v>2770</v>
      </c>
      <c r="D1837" s="140" t="str">
        <f>IFERROR(VLOOKUP(C1837,Stock,3,FALSE),"")</f>
        <v>Transport</v>
      </c>
      <c r="E1837" s="45">
        <v>1.0</v>
      </c>
      <c r="F1837" s="198">
        <v>100000.0</v>
      </c>
      <c r="G1837" s="142">
        <f t="shared" si="44"/>
        <v>100000</v>
      </c>
      <c r="H1837" s="142"/>
      <c r="I1837" s="143">
        <f t="shared" si="45"/>
        <v>100000</v>
      </c>
      <c r="J1837" s="144">
        <f t="shared" si="46"/>
        <v>100000</v>
      </c>
      <c r="K1837" s="291" t="s">
        <v>7437</v>
      </c>
      <c r="L1837" s="318" t="s">
        <v>7438</v>
      </c>
      <c r="M1837" s="245"/>
      <c r="N1837" s="105" t="s">
        <v>7439</v>
      </c>
      <c r="O1837" s="64" t="s">
        <v>2942</v>
      </c>
      <c r="P1837" s="147" t="s">
        <v>4672</v>
      </c>
      <c r="Q1837" s="149"/>
      <c r="R1837" s="141"/>
      <c r="S1837" s="141"/>
      <c r="T1837" s="141">
        <v>1100000.0</v>
      </c>
      <c r="U1837" s="149"/>
      <c r="V1837" s="149"/>
      <c r="W1837" s="149"/>
      <c r="X1837" s="68"/>
      <c r="Y1837" s="68"/>
      <c r="Z1837" s="68"/>
    </row>
    <row r="1838" ht="15.0" customHeight="1">
      <c r="A1838" s="206">
        <v>46037.0</v>
      </c>
      <c r="B1838" s="201" t="s">
        <v>7440</v>
      </c>
      <c r="C1838" s="45" t="s">
        <v>5313</v>
      </c>
      <c r="D1838" s="140" t="str">
        <f>IFERROR(VLOOKUP(C1838,Stock,3,FALSE),"")</f>
        <v>Toyota Yaris 05-13 XP90 1st Gen</v>
      </c>
      <c r="E1838" s="45">
        <v>1.0</v>
      </c>
      <c r="F1838" s="198">
        <v>1499000.0</v>
      </c>
      <c r="G1838" s="142">
        <f t="shared" si="44"/>
        <v>1499000</v>
      </c>
      <c r="H1838" s="142"/>
      <c r="I1838" s="143">
        <f t="shared" si="45"/>
        <v>1499000</v>
      </c>
      <c r="J1838" s="144">
        <f t="shared" si="46"/>
        <v>1499000</v>
      </c>
      <c r="K1838" s="108" t="s">
        <v>7258</v>
      </c>
      <c r="L1838" s="199" t="s">
        <v>7441</v>
      </c>
      <c r="M1838" s="17"/>
      <c r="N1838" s="64" t="s">
        <v>7442</v>
      </c>
      <c r="O1838" s="64" t="s">
        <v>2813</v>
      </c>
      <c r="P1838" s="147" t="s">
        <v>4672</v>
      </c>
      <c r="Q1838" s="149"/>
      <c r="R1838" s="149"/>
      <c r="S1838" s="149"/>
      <c r="T1838" s="149"/>
      <c r="U1838" s="149"/>
      <c r="V1838" s="149"/>
      <c r="W1838" s="149"/>
      <c r="X1838" s="68"/>
      <c r="Y1838" s="68"/>
      <c r="Z1838" s="68"/>
    </row>
    <row r="1839" ht="15.0" customHeight="1">
      <c r="A1839" s="206">
        <v>46037.0</v>
      </c>
      <c r="B1839" s="201" t="s">
        <v>7443</v>
      </c>
      <c r="C1839" s="45" t="s">
        <v>6761</v>
      </c>
      <c r="D1839" s="140" t="str">
        <f>IFERROR(VLOOKUP(C1839,Stock,3,FALSE),"")</f>
        <v>Honda CR-V 17-23 5th Gen (2 Sensor / O /\ ) (Honda)</v>
      </c>
      <c r="E1839" s="45">
        <v>1.0</v>
      </c>
      <c r="F1839" s="198">
        <v>4978000.0</v>
      </c>
      <c r="G1839" s="142">
        <f t="shared" si="44"/>
        <v>4978000</v>
      </c>
      <c r="H1839" s="143">
        <v>100000.0</v>
      </c>
      <c r="I1839" s="143">
        <f t="shared" si="45"/>
        <v>4878000</v>
      </c>
      <c r="J1839" s="144">
        <f t="shared" si="46"/>
        <v>4878000</v>
      </c>
      <c r="K1839" s="108" t="s">
        <v>7444</v>
      </c>
      <c r="L1839" s="199" t="s">
        <v>7445</v>
      </c>
      <c r="M1839" s="17"/>
      <c r="N1839" s="64" t="s">
        <v>7446</v>
      </c>
      <c r="O1839" s="64" t="s">
        <v>3394</v>
      </c>
      <c r="P1839" s="147" t="s">
        <v>4672</v>
      </c>
      <c r="Q1839" s="149"/>
      <c r="R1839" s="141"/>
      <c r="S1839" s="141"/>
      <c r="T1839" s="141">
        <v>100000.0</v>
      </c>
      <c r="U1839" s="149"/>
      <c r="V1839" s="149"/>
      <c r="W1839" s="149"/>
      <c r="X1839" s="68"/>
      <c r="Y1839" s="68"/>
      <c r="Z1839" s="68"/>
    </row>
    <row r="1840" ht="15.0" customHeight="1">
      <c r="A1840" s="206">
        <v>46037.0</v>
      </c>
      <c r="B1840" s="201" t="s">
        <v>7447</v>
      </c>
      <c r="C1840" s="45" t="s">
        <v>3029</v>
      </c>
      <c r="D1840" s="140" t="str">
        <f>IFERROR(VLOOKUP(C1840,Stock,3,FALSE),"")</f>
        <v>Mitsubishi Canter FE700 01- (PS110,125)</v>
      </c>
      <c r="E1840" s="45">
        <v>1.0</v>
      </c>
      <c r="F1840" s="198">
        <v>1150000.0</v>
      </c>
      <c r="G1840" s="142">
        <f t="shared" si="44"/>
        <v>1150000</v>
      </c>
      <c r="H1840" s="142"/>
      <c r="I1840" s="143">
        <f t="shared" si="45"/>
        <v>1150000</v>
      </c>
      <c r="J1840" s="144">
        <f t="shared" si="46"/>
        <v>1150000</v>
      </c>
      <c r="K1840" s="108" t="s">
        <v>7448</v>
      </c>
      <c r="L1840" s="199" t="s">
        <v>7449</v>
      </c>
      <c r="M1840" s="17"/>
      <c r="N1840" s="68"/>
      <c r="O1840" s="68"/>
      <c r="P1840" s="147" t="s">
        <v>4672</v>
      </c>
      <c r="Q1840" s="149"/>
      <c r="R1840" s="141"/>
      <c r="S1840" s="141"/>
      <c r="T1840" s="141">
        <v>100000.0</v>
      </c>
      <c r="U1840" s="149"/>
      <c r="V1840" s="149"/>
      <c r="W1840" s="149"/>
      <c r="X1840" s="68"/>
      <c r="Y1840" s="68"/>
      <c r="Z1840" s="68"/>
    </row>
    <row r="1841" ht="15.0" customHeight="1">
      <c r="A1841" s="206">
        <v>46037.0</v>
      </c>
      <c r="B1841" s="201" t="s">
        <v>7447</v>
      </c>
      <c r="C1841" s="45" t="s">
        <v>2770</v>
      </c>
      <c r="D1841" s="140" t="str">
        <f>IFERROR(VLOOKUP(C1841,Stock,3,FALSE),"")</f>
        <v>Transport</v>
      </c>
      <c r="E1841" s="45">
        <v>1.0</v>
      </c>
      <c r="F1841" s="198">
        <v>150000.0</v>
      </c>
      <c r="G1841" s="142">
        <f t="shared" si="44"/>
        <v>150000</v>
      </c>
      <c r="H1841" s="142"/>
      <c r="I1841" s="143">
        <f t="shared" si="45"/>
        <v>150000</v>
      </c>
      <c r="J1841" s="144">
        <f t="shared" si="46"/>
        <v>150000</v>
      </c>
      <c r="K1841" s="200"/>
      <c r="L1841" s="17"/>
      <c r="M1841" s="17"/>
      <c r="N1841" s="68"/>
      <c r="O1841" s="68"/>
      <c r="P1841" s="147" t="s">
        <v>4672</v>
      </c>
      <c r="Q1841" s="149"/>
      <c r="R1841" s="149"/>
      <c r="S1841" s="149"/>
      <c r="T1841" s="149"/>
      <c r="U1841" s="149"/>
      <c r="V1841" s="149"/>
      <c r="W1841" s="149"/>
      <c r="X1841" s="68"/>
      <c r="Y1841" s="68"/>
      <c r="Z1841" s="68"/>
    </row>
    <row r="1842" ht="15.0" customHeight="1">
      <c r="A1842" s="206">
        <v>46037.0</v>
      </c>
      <c r="B1842" s="201" t="s">
        <v>7450</v>
      </c>
      <c r="C1842" s="45" t="s">
        <v>7451</v>
      </c>
      <c r="D1842" s="140" t="str">
        <f>IFERROR(VLOOKUP(C1842,Stock,3,FALSE),"")</f>
        <v>Toyota Innova 04-15 1st Gen</v>
      </c>
      <c r="E1842" s="45">
        <v>1.0</v>
      </c>
      <c r="F1842" s="198">
        <v>600000.0</v>
      </c>
      <c r="G1842" s="142">
        <f t="shared" si="44"/>
        <v>600000</v>
      </c>
      <c r="H1842" s="142"/>
      <c r="I1842" s="143">
        <f t="shared" si="45"/>
        <v>600000</v>
      </c>
      <c r="J1842" s="144">
        <f t="shared" si="46"/>
        <v>600000</v>
      </c>
      <c r="K1842" s="108" t="s">
        <v>7452</v>
      </c>
      <c r="L1842" s="199" t="s">
        <v>7453</v>
      </c>
      <c r="M1842" s="17"/>
      <c r="N1842" s="68"/>
      <c r="O1842" s="64" t="s">
        <v>2813</v>
      </c>
      <c r="P1842" s="147" t="s">
        <v>4672</v>
      </c>
      <c r="Q1842" s="149"/>
      <c r="R1842" s="149"/>
      <c r="S1842" s="149"/>
      <c r="T1842" s="149"/>
      <c r="U1842" s="149"/>
      <c r="V1842" s="149"/>
      <c r="W1842" s="149"/>
      <c r="X1842" s="68"/>
      <c r="Y1842" s="68"/>
      <c r="Z1842" s="68"/>
    </row>
    <row r="1843" ht="15.0" customHeight="1">
      <c r="A1843" s="206">
        <v>46037.0</v>
      </c>
      <c r="B1843" s="201" t="s">
        <v>7450</v>
      </c>
      <c r="C1843" s="45" t="s">
        <v>7011</v>
      </c>
      <c r="D1843" s="140" t="str">
        <f>IFERROR(VLOOKUP(C1843,Stock,3,FALSE),"")</f>
        <v>Automotive Film Standard - Black 40%				</v>
      </c>
      <c r="E1843" s="45">
        <v>1.0</v>
      </c>
      <c r="F1843" s="198">
        <v>200000.0</v>
      </c>
      <c r="G1843" s="142">
        <f t="shared" si="44"/>
        <v>200000</v>
      </c>
      <c r="H1843" s="142"/>
      <c r="I1843" s="143">
        <f t="shared" si="45"/>
        <v>200000</v>
      </c>
      <c r="J1843" s="144">
        <f t="shared" si="46"/>
        <v>200000</v>
      </c>
      <c r="K1843" s="108" t="s">
        <v>7452</v>
      </c>
      <c r="L1843" s="199" t="s">
        <v>7453</v>
      </c>
      <c r="M1843" s="17"/>
      <c r="N1843" s="68"/>
      <c r="O1843" s="64" t="s">
        <v>2813</v>
      </c>
      <c r="P1843" s="147" t="s">
        <v>4672</v>
      </c>
      <c r="Q1843" s="149"/>
      <c r="R1843" s="149"/>
      <c r="S1843" s="149"/>
      <c r="T1843" s="149"/>
      <c r="U1843" s="149"/>
      <c r="V1843" s="149"/>
      <c r="W1843" s="149"/>
      <c r="X1843" s="68"/>
      <c r="Y1843" s="68"/>
      <c r="Z1843" s="68"/>
    </row>
    <row r="1844" ht="15.0" customHeight="1">
      <c r="A1844" s="206">
        <v>46037.0</v>
      </c>
      <c r="B1844" s="201" t="s">
        <v>7454</v>
      </c>
      <c r="C1844" s="45" t="s">
        <v>5007</v>
      </c>
      <c r="D1844" s="140" t="str">
        <f>IFERROR(VLOOKUP(C1844,Stock,3,FALSE),"")</f>
        <v>Toyota Hi-Ace 04-20 Commuter (Clear)</v>
      </c>
      <c r="E1844" s="45">
        <v>1.0</v>
      </c>
      <c r="F1844" s="198">
        <v>2337000.0</v>
      </c>
      <c r="G1844" s="142">
        <f t="shared" si="44"/>
        <v>2337000</v>
      </c>
      <c r="H1844" s="142"/>
      <c r="I1844" s="143">
        <f t="shared" si="45"/>
        <v>2337000</v>
      </c>
      <c r="J1844" s="144">
        <f t="shared" si="46"/>
        <v>2337000</v>
      </c>
      <c r="K1844" s="108" t="s">
        <v>6363</v>
      </c>
      <c r="L1844" s="199" t="s">
        <v>7455</v>
      </c>
      <c r="M1844" s="17"/>
      <c r="N1844" s="68"/>
      <c r="O1844" s="64" t="s">
        <v>2807</v>
      </c>
      <c r="P1844" s="147" t="s">
        <v>4672</v>
      </c>
      <c r="Q1844" s="149"/>
      <c r="R1844" s="141"/>
      <c r="S1844" s="141"/>
      <c r="T1844" s="141">
        <v>2400000.0</v>
      </c>
      <c r="U1844" s="149"/>
      <c r="V1844" s="149"/>
      <c r="W1844" s="149"/>
      <c r="X1844" s="68"/>
      <c r="Y1844" s="68"/>
      <c r="Z1844" s="68"/>
    </row>
    <row r="1845" ht="15.0" customHeight="1">
      <c r="A1845" s="206">
        <v>46038.0</v>
      </c>
      <c r="B1845" s="201" t="s">
        <v>7456</v>
      </c>
      <c r="C1845" s="45" t="s">
        <v>7457</v>
      </c>
      <c r="D1845" s="140" t="str">
        <f>IFERROR(VLOOKUP(C1845,Stock,3,FALSE),"")</f>
        <v>Chevrolet Spin 12- (Chevrolet)</v>
      </c>
      <c r="E1845" s="45">
        <v>1.0</v>
      </c>
      <c r="F1845" s="198">
        <v>1482000.0</v>
      </c>
      <c r="G1845" s="142">
        <f t="shared" si="44"/>
        <v>1482000</v>
      </c>
      <c r="H1845" s="142"/>
      <c r="I1845" s="143">
        <f t="shared" si="45"/>
        <v>1482000</v>
      </c>
      <c r="J1845" s="144">
        <f t="shared" si="46"/>
        <v>1482000</v>
      </c>
      <c r="K1845" s="108" t="s">
        <v>7458</v>
      </c>
      <c r="L1845" s="199" t="s">
        <v>7459</v>
      </c>
      <c r="M1845" s="17"/>
      <c r="N1845" s="64" t="s">
        <v>7460</v>
      </c>
      <c r="O1845" s="64" t="s">
        <v>2813</v>
      </c>
      <c r="P1845" s="147" t="s">
        <v>4672</v>
      </c>
      <c r="Q1845" s="149"/>
      <c r="R1845" s="141"/>
      <c r="S1845" s="141"/>
      <c r="T1845" s="141">
        <v>50000.0</v>
      </c>
      <c r="U1845" s="149"/>
      <c r="V1845" s="149"/>
      <c r="W1845" s="149"/>
      <c r="X1845" s="68"/>
      <c r="Y1845" s="68"/>
      <c r="Z1845" s="68"/>
    </row>
    <row r="1846" ht="15.0" customHeight="1">
      <c r="A1846" s="206">
        <v>46038.0</v>
      </c>
      <c r="B1846" s="201" t="s">
        <v>7456</v>
      </c>
      <c r="C1846" s="45" t="s">
        <v>7011</v>
      </c>
      <c r="D1846" s="140" t="str">
        <f>IFERROR(VLOOKUP(C1846,Stock,3,FALSE),"")</f>
        <v>Automotive Film Standard - Black 40%				</v>
      </c>
      <c r="E1846" s="45">
        <v>1.0</v>
      </c>
      <c r="F1846" s="198">
        <v>200000.0</v>
      </c>
      <c r="G1846" s="142">
        <f t="shared" si="44"/>
        <v>200000</v>
      </c>
      <c r="H1846" s="142"/>
      <c r="I1846" s="143">
        <f t="shared" si="45"/>
        <v>200000</v>
      </c>
      <c r="J1846" s="144">
        <f t="shared" si="46"/>
        <v>200000</v>
      </c>
      <c r="K1846" s="108" t="s">
        <v>7458</v>
      </c>
      <c r="L1846" s="199" t="s">
        <v>7459</v>
      </c>
      <c r="M1846" s="17"/>
      <c r="N1846" s="64" t="s">
        <v>7460</v>
      </c>
      <c r="O1846" s="64" t="s">
        <v>2813</v>
      </c>
      <c r="P1846" s="147" t="s">
        <v>4672</v>
      </c>
      <c r="Q1846" s="149"/>
      <c r="R1846" s="141"/>
      <c r="S1846" s="141"/>
      <c r="T1846" s="141">
        <v>1782000.0</v>
      </c>
      <c r="U1846" s="149"/>
      <c r="V1846" s="149"/>
      <c r="W1846" s="149"/>
      <c r="X1846" s="68"/>
      <c r="Y1846" s="68"/>
      <c r="Z1846" s="68"/>
    </row>
    <row r="1847" ht="15.0" customHeight="1">
      <c r="A1847" s="206">
        <v>46038.0</v>
      </c>
      <c r="B1847" s="201" t="s">
        <v>7456</v>
      </c>
      <c r="C1847" s="45" t="s">
        <v>2962</v>
      </c>
      <c r="D1847" s="140" t="str">
        <f>IFERROR(VLOOKUP(C1847,Stock,3,FALSE),"")</f>
        <v>Lembur</v>
      </c>
      <c r="E1847" s="45">
        <v>1.0</v>
      </c>
      <c r="F1847" s="198">
        <v>150000.0</v>
      </c>
      <c r="G1847" s="142">
        <f t="shared" si="44"/>
        <v>150000</v>
      </c>
      <c r="H1847" s="142"/>
      <c r="I1847" s="143">
        <f t="shared" si="45"/>
        <v>150000</v>
      </c>
      <c r="J1847" s="144">
        <f t="shared" si="46"/>
        <v>150000</v>
      </c>
      <c r="K1847" s="108" t="s">
        <v>7458</v>
      </c>
      <c r="L1847" s="199" t="s">
        <v>7459</v>
      </c>
      <c r="M1847" s="17"/>
      <c r="N1847" s="64" t="s">
        <v>7460</v>
      </c>
      <c r="O1847" s="64" t="s">
        <v>2813</v>
      </c>
      <c r="P1847" s="147" t="s">
        <v>4672</v>
      </c>
      <c r="Q1847" s="149"/>
      <c r="R1847" s="149"/>
      <c r="S1847" s="149"/>
      <c r="T1847" s="149"/>
      <c r="U1847" s="149"/>
      <c r="V1847" s="149"/>
      <c r="W1847" s="149"/>
      <c r="X1847" s="68"/>
      <c r="Y1847" s="68"/>
      <c r="Z1847" s="68"/>
    </row>
    <row r="1848" ht="15.0" customHeight="1">
      <c r="A1848" s="206">
        <v>46039.0</v>
      </c>
      <c r="B1848" s="398" t="s">
        <v>7461</v>
      </c>
      <c r="C1848" s="45" t="s">
        <v>4418</v>
      </c>
      <c r="D1848" s="140" t="str">
        <f>IFERROR(VLOOKUP(C1848,Stock,3,FALSE),"")</f>
        <v>Isuzu Elf 93- NKR NHR</v>
      </c>
      <c r="E1848" s="45">
        <v>0.0</v>
      </c>
      <c r="F1848" s="198"/>
      <c r="G1848" s="142"/>
      <c r="H1848" s="142"/>
      <c r="I1848" s="143"/>
      <c r="J1848" s="144"/>
      <c r="K1848" s="108" t="s">
        <v>7462</v>
      </c>
      <c r="L1848" s="199" t="s">
        <v>7463</v>
      </c>
      <c r="M1848" s="17"/>
      <c r="N1848" s="64" t="s">
        <v>7464</v>
      </c>
      <c r="O1848" s="64" t="s">
        <v>2813</v>
      </c>
      <c r="P1848" s="147" t="s">
        <v>4672</v>
      </c>
      <c r="Q1848" s="149"/>
      <c r="R1848" s="149"/>
      <c r="S1848" s="149"/>
      <c r="T1848" s="149"/>
      <c r="U1848" s="149"/>
      <c r="V1848" s="149"/>
      <c r="W1848" s="149"/>
      <c r="X1848" s="68"/>
      <c r="Y1848" s="68"/>
      <c r="Z1848" s="68"/>
    </row>
    <row r="1849" ht="15.0" customHeight="1">
      <c r="A1849" s="249">
        <v>46039.0</v>
      </c>
      <c r="B1849" s="250" t="s">
        <v>7465</v>
      </c>
      <c r="C1849" s="251" t="s">
        <v>4418</v>
      </c>
      <c r="D1849" s="252" t="str">
        <f>IFERROR(VLOOKUP(C1849,Stock,3,FALSE),"")</f>
        <v>Isuzu Elf 93- NKR NHR</v>
      </c>
      <c r="E1849" s="251">
        <v>2.0</v>
      </c>
      <c r="F1849" s="253">
        <v>560000.0</v>
      </c>
      <c r="G1849" s="254">
        <f t="shared" ref="G1849:G1850" si="47">E1849*F1849</f>
        <v>1120000</v>
      </c>
      <c r="H1849" s="254"/>
      <c r="I1849" s="255">
        <f t="shared" ref="I1849:I1904" si="48">G1849-H1849</f>
        <v>1120000</v>
      </c>
      <c r="J1849" s="256">
        <f t="shared" ref="J1849:J1904" si="49">I1849</f>
        <v>1120000</v>
      </c>
      <c r="K1849" s="257" t="s">
        <v>7466</v>
      </c>
      <c r="L1849" s="259"/>
      <c r="M1849" s="259"/>
      <c r="N1849" s="372"/>
      <c r="O1849" s="372"/>
      <c r="P1849" s="261"/>
      <c r="Q1849" s="262"/>
      <c r="R1849" s="262"/>
      <c r="S1849" s="262"/>
      <c r="T1849" s="262"/>
      <c r="U1849" s="262"/>
      <c r="V1849" s="262"/>
      <c r="W1849" s="262"/>
      <c r="X1849" s="372"/>
      <c r="Y1849" s="372"/>
      <c r="Z1849" s="372"/>
    </row>
    <row r="1850" ht="15.0" customHeight="1">
      <c r="A1850" s="206">
        <v>46039.0</v>
      </c>
      <c r="B1850" s="201" t="s">
        <v>7467</v>
      </c>
      <c r="C1850" s="45" t="s">
        <v>2792</v>
      </c>
      <c r="D1850" s="140" t="str">
        <f>IFERROR(VLOOKUP(C1850,Stock,3,FALSE),"")</f>
        <v>Toyota Calya / Sigra 16-</v>
      </c>
      <c r="E1850" s="45">
        <v>1.0</v>
      </c>
      <c r="F1850" s="198">
        <v>839000.0</v>
      </c>
      <c r="G1850" s="142">
        <f t="shared" si="47"/>
        <v>839000</v>
      </c>
      <c r="H1850" s="142"/>
      <c r="I1850" s="143">
        <f t="shared" si="48"/>
        <v>839000</v>
      </c>
      <c r="J1850" s="144">
        <f t="shared" si="49"/>
        <v>839000</v>
      </c>
      <c r="K1850" s="108" t="s">
        <v>7468</v>
      </c>
      <c r="L1850" s="199" t="s">
        <v>7469</v>
      </c>
      <c r="M1850" s="17"/>
      <c r="N1850" s="64" t="s">
        <v>7470</v>
      </c>
      <c r="O1850" s="64" t="s">
        <v>2813</v>
      </c>
      <c r="P1850" s="147" t="s">
        <v>4672</v>
      </c>
      <c r="Q1850" s="149"/>
      <c r="R1850" s="149"/>
      <c r="S1850" s="149"/>
      <c r="T1850" s="149"/>
      <c r="U1850" s="149"/>
      <c r="V1850" s="149"/>
      <c r="W1850" s="149"/>
      <c r="X1850" s="68"/>
      <c r="Y1850" s="68"/>
      <c r="Z1850" s="68"/>
    </row>
    <row r="1851" ht="15.0" customHeight="1">
      <c r="A1851" s="206">
        <v>46039.0</v>
      </c>
      <c r="B1851" s="201" t="s">
        <v>7471</v>
      </c>
      <c r="C1851" s="45" t="s">
        <v>3891</v>
      </c>
      <c r="D1851" s="140" t="str">
        <f>IFERROR(VLOOKUP(C1851,Stock,3,FALSE),"")</f>
        <v>Toyota Rush / Terios 06-17</v>
      </c>
      <c r="E1851" s="45">
        <v>1.0</v>
      </c>
      <c r="F1851" s="198">
        <v>985000.0</v>
      </c>
      <c r="G1851" s="142"/>
      <c r="H1851" s="142"/>
      <c r="I1851" s="143">
        <f t="shared" si="48"/>
        <v>0</v>
      </c>
      <c r="J1851" s="144">
        <f t="shared" si="49"/>
        <v>0</v>
      </c>
      <c r="K1851" s="108" t="s">
        <v>7472</v>
      </c>
      <c r="L1851" s="199" t="s">
        <v>7473</v>
      </c>
      <c r="M1851" s="17"/>
      <c r="N1851" s="64" t="s">
        <v>7474</v>
      </c>
      <c r="O1851" s="64" t="s">
        <v>3033</v>
      </c>
      <c r="P1851" s="147" t="s">
        <v>4672</v>
      </c>
      <c r="Q1851" s="149"/>
      <c r="R1851" s="141"/>
      <c r="S1851" s="141"/>
      <c r="T1851" s="141">
        <v>100000.0</v>
      </c>
      <c r="U1851" s="149"/>
      <c r="V1851" s="149"/>
      <c r="W1851" s="149"/>
      <c r="X1851" s="68"/>
      <c r="Y1851" s="68"/>
      <c r="Z1851" s="68"/>
    </row>
    <row r="1852" ht="15.0" customHeight="1">
      <c r="A1852" s="206">
        <v>46039.0</v>
      </c>
      <c r="B1852" s="201" t="s">
        <v>7471</v>
      </c>
      <c r="C1852" s="45" t="s">
        <v>2770</v>
      </c>
      <c r="D1852" s="140" t="str">
        <f>IFERROR(VLOOKUP(C1852,Stock,3,FALSE),"")</f>
        <v>Transport</v>
      </c>
      <c r="E1852" s="45">
        <v>1.0</v>
      </c>
      <c r="F1852" s="198">
        <v>120000.0</v>
      </c>
      <c r="G1852" s="142"/>
      <c r="H1852" s="142"/>
      <c r="I1852" s="143">
        <f t="shared" si="48"/>
        <v>0</v>
      </c>
      <c r="J1852" s="144">
        <f t="shared" si="49"/>
        <v>0</v>
      </c>
      <c r="K1852" s="108"/>
      <c r="L1852" s="45"/>
      <c r="M1852" s="17"/>
      <c r="N1852" s="68"/>
      <c r="O1852" s="68"/>
      <c r="P1852" s="170"/>
      <c r="Q1852" s="149"/>
      <c r="R1852" s="149"/>
      <c r="S1852" s="149"/>
      <c r="T1852" s="149"/>
      <c r="U1852" s="149"/>
      <c r="V1852" s="149"/>
      <c r="W1852" s="149"/>
      <c r="X1852" s="68"/>
      <c r="Y1852" s="68"/>
      <c r="Z1852" s="68"/>
    </row>
    <row r="1853" ht="15.0" customHeight="1">
      <c r="A1853" s="206">
        <v>46039.0</v>
      </c>
      <c r="B1853" s="201" t="s">
        <v>7475</v>
      </c>
      <c r="C1853" s="45" t="s">
        <v>7476</v>
      </c>
      <c r="D1853" s="140" t="str">
        <f>IFERROR(VLOOKUP(C1853,Stock,3,FALSE),"")</f>
        <v>Suzuki APV 03- Pickup/ Van (MULIA)</v>
      </c>
      <c r="E1853" s="45">
        <v>1.0</v>
      </c>
      <c r="F1853" s="198">
        <v>1144000.0</v>
      </c>
      <c r="G1853" s="142">
        <f t="shared" ref="G1853:G1904" si="50">E1853*F1853</f>
        <v>1144000</v>
      </c>
      <c r="H1853" s="142"/>
      <c r="I1853" s="143">
        <f t="shared" si="48"/>
        <v>1144000</v>
      </c>
      <c r="J1853" s="144">
        <f t="shared" si="49"/>
        <v>1144000</v>
      </c>
      <c r="K1853" s="108" t="s">
        <v>7477</v>
      </c>
      <c r="L1853" s="199" t="s">
        <v>7478</v>
      </c>
      <c r="M1853" s="17"/>
      <c r="N1853" s="68"/>
      <c r="O1853" s="68"/>
      <c r="P1853" s="170"/>
      <c r="Q1853" s="149"/>
      <c r="R1853" s="149"/>
      <c r="S1853" s="149"/>
      <c r="T1853" s="149"/>
      <c r="U1853" s="149"/>
      <c r="V1853" s="149"/>
      <c r="W1853" s="149"/>
      <c r="X1853" s="68"/>
      <c r="Y1853" s="68"/>
      <c r="Z1853" s="68"/>
    </row>
    <row r="1854" ht="15.0" customHeight="1">
      <c r="A1854" s="206">
        <v>46039.0</v>
      </c>
      <c r="B1854" s="201" t="s">
        <v>7475</v>
      </c>
      <c r="C1854" s="45" t="s">
        <v>5254</v>
      </c>
      <c r="D1854" s="140" t="str">
        <f>IFERROR(VLOOKUP(C1854,Stock,3,FALSE),"")</f>
        <v>Automotive Film Standard - Black 40%				</v>
      </c>
      <c r="E1854" s="45">
        <v>1.0</v>
      </c>
      <c r="F1854" s="198">
        <v>300000.0</v>
      </c>
      <c r="G1854" s="142">
        <f t="shared" si="50"/>
        <v>300000</v>
      </c>
      <c r="H1854" s="142"/>
      <c r="I1854" s="143">
        <f t="shared" si="48"/>
        <v>300000</v>
      </c>
      <c r="J1854" s="144">
        <f t="shared" si="49"/>
        <v>300000</v>
      </c>
      <c r="K1854" s="200"/>
      <c r="L1854" s="17"/>
      <c r="M1854" s="17"/>
      <c r="N1854" s="68"/>
      <c r="O1854" s="68"/>
      <c r="P1854" s="170"/>
      <c r="Q1854" s="149"/>
      <c r="R1854" s="149"/>
      <c r="S1854" s="149"/>
      <c r="T1854" s="149"/>
      <c r="U1854" s="149"/>
      <c r="V1854" s="149"/>
      <c r="W1854" s="149"/>
      <c r="X1854" s="68"/>
      <c r="Y1854" s="68"/>
      <c r="Z1854" s="68"/>
    </row>
    <row r="1855" ht="15.0" customHeight="1">
      <c r="A1855" s="206">
        <v>46039.0</v>
      </c>
      <c r="B1855" s="201" t="s">
        <v>7479</v>
      </c>
      <c r="C1855" s="45" t="s">
        <v>7480</v>
      </c>
      <c r="D1855" s="140" t="str">
        <f>IFERROR(VLOOKUP(C1855,Stock,3,FALSE),"")</f>
        <v>Suzuki Swift 04-11 1st Gen</v>
      </c>
      <c r="E1855" s="45">
        <v>1.0</v>
      </c>
      <c r="F1855" s="198">
        <v>1594000.0</v>
      </c>
      <c r="G1855" s="142">
        <f t="shared" si="50"/>
        <v>1594000</v>
      </c>
      <c r="H1855" s="142"/>
      <c r="I1855" s="143">
        <f t="shared" si="48"/>
        <v>1594000</v>
      </c>
      <c r="J1855" s="144">
        <f t="shared" si="49"/>
        <v>1594000</v>
      </c>
      <c r="K1855" s="108" t="s">
        <v>7481</v>
      </c>
      <c r="L1855" s="199" t="s">
        <v>7482</v>
      </c>
      <c r="M1855" s="17"/>
      <c r="N1855" s="64" t="s">
        <v>7483</v>
      </c>
      <c r="O1855" s="64" t="s">
        <v>3033</v>
      </c>
      <c r="P1855" s="147" t="s">
        <v>4672</v>
      </c>
      <c r="Q1855" s="141"/>
      <c r="R1855" s="141"/>
      <c r="S1855" s="141"/>
      <c r="T1855" s="141">
        <v>100000.0</v>
      </c>
      <c r="U1855" s="149"/>
      <c r="V1855" s="149"/>
      <c r="W1855" s="149"/>
      <c r="X1855" s="68"/>
      <c r="Y1855" s="68"/>
      <c r="Z1855" s="68"/>
    </row>
    <row r="1856" ht="15.0" customHeight="1">
      <c r="A1856" s="206">
        <v>46039.0</v>
      </c>
      <c r="B1856" s="201" t="s">
        <v>7479</v>
      </c>
      <c r="C1856" s="45" t="s">
        <v>2770</v>
      </c>
      <c r="D1856" s="140" t="str">
        <f>IFERROR(VLOOKUP(C1856,Stock,3,FALSE),"")</f>
        <v>Transport</v>
      </c>
      <c r="E1856" s="45">
        <v>1.0</v>
      </c>
      <c r="F1856" s="198">
        <v>200000.0</v>
      </c>
      <c r="G1856" s="142">
        <f t="shared" si="50"/>
        <v>200000</v>
      </c>
      <c r="H1856" s="142"/>
      <c r="I1856" s="143">
        <f t="shared" si="48"/>
        <v>200000</v>
      </c>
      <c r="J1856" s="144">
        <f t="shared" si="49"/>
        <v>200000</v>
      </c>
      <c r="K1856" s="108" t="s">
        <v>7481</v>
      </c>
      <c r="L1856" s="199" t="s">
        <v>7482</v>
      </c>
      <c r="M1856" s="17"/>
      <c r="N1856" s="64" t="s">
        <v>7483</v>
      </c>
      <c r="O1856" s="64" t="s">
        <v>3033</v>
      </c>
      <c r="P1856" s="147" t="s">
        <v>4672</v>
      </c>
      <c r="Q1856" s="149"/>
      <c r="R1856" s="149"/>
      <c r="S1856" s="149"/>
      <c r="T1856" s="149"/>
      <c r="U1856" s="149"/>
      <c r="V1856" s="149"/>
      <c r="W1856" s="149"/>
      <c r="X1856" s="68"/>
      <c r="Y1856" s="68"/>
      <c r="Z1856" s="68"/>
    </row>
    <row r="1857" ht="15.0" customHeight="1">
      <c r="A1857" s="206">
        <v>46039.0</v>
      </c>
      <c r="B1857" s="201" t="s">
        <v>7484</v>
      </c>
      <c r="C1857" s="45" t="s">
        <v>2952</v>
      </c>
      <c r="D1857" s="140" t="str">
        <f>IFERROR(VLOOKUP(C1857,Stock,3,FALSE),"")</f>
        <v/>
      </c>
      <c r="E1857" s="45">
        <v>1.0</v>
      </c>
      <c r="F1857" s="198">
        <v>1100000.0</v>
      </c>
      <c r="G1857" s="142">
        <f t="shared" si="50"/>
        <v>1100000</v>
      </c>
      <c r="H1857" s="142"/>
      <c r="I1857" s="143">
        <f t="shared" si="48"/>
        <v>1100000</v>
      </c>
      <c r="J1857" s="144">
        <f t="shared" si="49"/>
        <v>1100000</v>
      </c>
      <c r="K1857" s="108" t="s">
        <v>7061</v>
      </c>
      <c r="L1857" s="199" t="s">
        <v>7485</v>
      </c>
      <c r="M1857" s="17"/>
      <c r="N1857" s="64" t="s">
        <v>7486</v>
      </c>
      <c r="O1857" s="64" t="s">
        <v>2807</v>
      </c>
      <c r="P1857" s="147" t="s">
        <v>4672</v>
      </c>
      <c r="Q1857" s="149"/>
      <c r="R1857" s="141"/>
      <c r="S1857" s="141"/>
      <c r="T1857" s="141">
        <v>50000.0</v>
      </c>
      <c r="U1857" s="149"/>
      <c r="V1857" s="149"/>
      <c r="W1857" s="149"/>
      <c r="X1857" s="68"/>
      <c r="Y1857" s="68"/>
      <c r="Z1857" s="68"/>
    </row>
    <row r="1858" ht="15.0" customHeight="1">
      <c r="A1858" s="206">
        <v>46039.0</v>
      </c>
      <c r="B1858" s="201" t="s">
        <v>7484</v>
      </c>
      <c r="C1858" s="45" t="s">
        <v>3456</v>
      </c>
      <c r="D1858" s="140" t="str">
        <f>IFERROR(VLOOKUP(C1858,Stock,3,FALSE),"")</f>
        <v>List Kaca Depan Code 11</v>
      </c>
      <c r="E1858" s="45">
        <v>1.0</v>
      </c>
      <c r="F1858" s="198">
        <v>285000.0</v>
      </c>
      <c r="G1858" s="142">
        <f t="shared" si="50"/>
        <v>285000</v>
      </c>
      <c r="H1858" s="142"/>
      <c r="I1858" s="143">
        <f t="shared" si="48"/>
        <v>285000</v>
      </c>
      <c r="J1858" s="144">
        <f t="shared" si="49"/>
        <v>285000</v>
      </c>
      <c r="K1858" s="200"/>
      <c r="L1858" s="17"/>
      <c r="M1858" s="17"/>
      <c r="N1858" s="68"/>
      <c r="O1858" s="68"/>
      <c r="P1858" s="170"/>
      <c r="Q1858" s="149"/>
      <c r="R1858" s="141"/>
      <c r="S1858" s="141"/>
      <c r="T1858" s="141">
        <v>1325000.0</v>
      </c>
      <c r="U1858" s="149"/>
      <c r="V1858" s="149"/>
      <c r="W1858" s="149"/>
      <c r="X1858" s="68"/>
      <c r="Y1858" s="68"/>
      <c r="Z1858" s="68"/>
    </row>
    <row r="1859" ht="15.0" customHeight="1">
      <c r="A1859" s="206">
        <v>46039.0</v>
      </c>
      <c r="B1859" s="201" t="s">
        <v>7487</v>
      </c>
      <c r="C1859" s="45" t="s">
        <v>7488</v>
      </c>
      <c r="D1859" s="140" t="str">
        <f>IFERROR(VLOOKUP(C1859,Stock,3,FALSE),"")</f>
        <v>Mitsubishi Kuda 99-06</v>
      </c>
      <c r="E1859" s="45">
        <v>1.0</v>
      </c>
      <c r="F1859" s="198">
        <v>685000.0</v>
      </c>
      <c r="G1859" s="142">
        <f t="shared" si="50"/>
        <v>685000</v>
      </c>
      <c r="H1859" s="142"/>
      <c r="I1859" s="143">
        <f t="shared" si="48"/>
        <v>685000</v>
      </c>
      <c r="J1859" s="144">
        <f t="shared" si="49"/>
        <v>685000</v>
      </c>
      <c r="K1859" s="108" t="s">
        <v>7489</v>
      </c>
      <c r="L1859" s="199" t="s">
        <v>7490</v>
      </c>
      <c r="M1859" s="17"/>
      <c r="N1859" s="68"/>
      <c r="O1859" s="64" t="s">
        <v>2789</v>
      </c>
      <c r="P1859" s="147" t="s">
        <v>4672</v>
      </c>
      <c r="Q1859" s="149"/>
      <c r="R1859" s="141"/>
      <c r="S1859" s="141"/>
      <c r="T1859" s="141">
        <v>50000.0</v>
      </c>
      <c r="U1859" s="149"/>
      <c r="V1859" s="149"/>
      <c r="W1859" s="149"/>
      <c r="X1859" s="68"/>
      <c r="Y1859" s="68"/>
      <c r="Z1859" s="68"/>
    </row>
    <row r="1860" ht="15.0" customHeight="1">
      <c r="A1860" s="206">
        <v>46039.0</v>
      </c>
      <c r="B1860" s="201" t="s">
        <v>7487</v>
      </c>
      <c r="C1860" s="45" t="s">
        <v>2770</v>
      </c>
      <c r="D1860" s="140" t="str">
        <f>IFERROR(VLOOKUP(C1860,Stock,3,FALSE),"")</f>
        <v>Transport</v>
      </c>
      <c r="E1860" s="45">
        <v>1.0</v>
      </c>
      <c r="F1860" s="198">
        <v>50000.0</v>
      </c>
      <c r="G1860" s="142">
        <f t="shared" si="50"/>
        <v>50000</v>
      </c>
      <c r="H1860" s="142"/>
      <c r="I1860" s="143">
        <f t="shared" si="48"/>
        <v>50000</v>
      </c>
      <c r="J1860" s="144">
        <f t="shared" si="49"/>
        <v>50000</v>
      </c>
      <c r="K1860" s="108" t="s">
        <v>7489</v>
      </c>
      <c r="L1860" s="199" t="s">
        <v>7490</v>
      </c>
      <c r="M1860" s="17"/>
      <c r="N1860" s="68"/>
      <c r="O1860" s="64" t="s">
        <v>2789</v>
      </c>
      <c r="P1860" s="147" t="s">
        <v>4672</v>
      </c>
      <c r="Q1860" s="149"/>
      <c r="R1860" s="149"/>
      <c r="S1860" s="149"/>
      <c r="T1860" s="149"/>
      <c r="U1860" s="149"/>
      <c r="V1860" s="149"/>
      <c r="W1860" s="149"/>
      <c r="X1860" s="68"/>
      <c r="Y1860" s="68"/>
      <c r="Z1860" s="68"/>
    </row>
    <row r="1861" ht="15.0" customHeight="1">
      <c r="A1861" s="206">
        <v>46039.0</v>
      </c>
      <c r="B1861" s="201" t="s">
        <v>7491</v>
      </c>
      <c r="C1861" s="45" t="s">
        <v>3475</v>
      </c>
      <c r="D1861" s="140" t="str">
        <f>IFERROR(VLOOKUP(C1861,Stock,3,FALSE),"")</f>
        <v>Toyota Avanza / Xenia 03-11 1st Gen</v>
      </c>
      <c r="E1861" s="45">
        <v>2.0</v>
      </c>
      <c r="F1861" s="202"/>
      <c r="G1861" s="142">
        <f t="shared" si="50"/>
        <v>0</v>
      </c>
      <c r="H1861" s="142"/>
      <c r="I1861" s="143">
        <f t="shared" si="48"/>
        <v>0</v>
      </c>
      <c r="J1861" s="144">
        <f t="shared" si="49"/>
        <v>0</v>
      </c>
      <c r="K1861" s="108" t="s">
        <v>4509</v>
      </c>
      <c r="L1861" s="17"/>
      <c r="M1861" s="17"/>
      <c r="N1861" s="68"/>
      <c r="O1861" s="68"/>
      <c r="P1861" s="170"/>
      <c r="Q1861" s="149"/>
      <c r="R1861" s="149"/>
      <c r="S1861" s="149"/>
      <c r="T1861" s="149"/>
      <c r="U1861" s="149"/>
      <c r="V1861" s="149"/>
      <c r="W1861" s="149"/>
      <c r="X1861" s="68"/>
      <c r="Y1861" s="68"/>
      <c r="Z1861" s="68"/>
    </row>
    <row r="1862" ht="15.0" customHeight="1">
      <c r="A1862" s="206">
        <v>46039.0</v>
      </c>
      <c r="B1862" s="201" t="s">
        <v>7491</v>
      </c>
      <c r="C1862" s="45" t="s">
        <v>7427</v>
      </c>
      <c r="D1862" s="140" t="str">
        <f>IFERROR(VLOOKUP(C1862,Stock,3,FALSE),"")</f>
        <v>Nissan Livina 07-18 L10/L11</v>
      </c>
      <c r="E1862" s="45">
        <v>2.0</v>
      </c>
      <c r="F1862" s="202"/>
      <c r="G1862" s="142">
        <f t="shared" si="50"/>
        <v>0</v>
      </c>
      <c r="H1862" s="142"/>
      <c r="I1862" s="143">
        <f t="shared" si="48"/>
        <v>0</v>
      </c>
      <c r="J1862" s="144">
        <f t="shared" si="49"/>
        <v>0</v>
      </c>
      <c r="K1862" s="108" t="s">
        <v>4509</v>
      </c>
      <c r="L1862" s="17"/>
      <c r="M1862" s="17"/>
      <c r="N1862" s="68"/>
      <c r="O1862" s="68"/>
      <c r="P1862" s="170"/>
      <c r="Q1862" s="149"/>
      <c r="R1862" s="149"/>
      <c r="S1862" s="149"/>
      <c r="T1862" s="149"/>
      <c r="U1862" s="149"/>
      <c r="V1862" s="149"/>
      <c r="W1862" s="149"/>
      <c r="X1862" s="68"/>
      <c r="Y1862" s="68"/>
      <c r="Z1862" s="68"/>
    </row>
    <row r="1863" ht="15.0" customHeight="1">
      <c r="A1863" s="206">
        <v>46039.0</v>
      </c>
      <c r="B1863" s="201" t="s">
        <v>7491</v>
      </c>
      <c r="C1863" s="45" t="s">
        <v>4134</v>
      </c>
      <c r="D1863" s="140" t="str">
        <f>IFERROR(VLOOKUP(C1863,Stock,3,FALSE),"")</f>
        <v>Mazda 2 14- Skyactiv 4th Gen</v>
      </c>
      <c r="E1863" s="45">
        <v>1.0</v>
      </c>
      <c r="F1863" s="202"/>
      <c r="G1863" s="142">
        <f t="shared" si="50"/>
        <v>0</v>
      </c>
      <c r="H1863" s="142"/>
      <c r="I1863" s="143">
        <f t="shared" si="48"/>
        <v>0</v>
      </c>
      <c r="J1863" s="144">
        <f t="shared" si="49"/>
        <v>0</v>
      </c>
      <c r="K1863" s="108" t="s">
        <v>4509</v>
      </c>
      <c r="L1863" s="17"/>
      <c r="M1863" s="17"/>
      <c r="N1863" s="68"/>
      <c r="O1863" s="68"/>
      <c r="P1863" s="170"/>
      <c r="Q1863" s="149"/>
      <c r="R1863" s="149"/>
      <c r="S1863" s="149"/>
      <c r="T1863" s="149"/>
      <c r="U1863" s="149"/>
      <c r="V1863" s="149"/>
      <c r="W1863" s="149"/>
      <c r="X1863" s="68"/>
      <c r="Y1863" s="68"/>
      <c r="Z1863" s="68"/>
    </row>
    <row r="1864" ht="15.0" customHeight="1">
      <c r="A1864" s="206">
        <v>46039.0</v>
      </c>
      <c r="B1864" s="201" t="s">
        <v>7491</v>
      </c>
      <c r="C1864" s="45" t="s">
        <v>7492</v>
      </c>
      <c r="D1864" s="140" t="str">
        <f>IFERROR(VLOOKUP(C1864,Stock,3,FALSE),"")</f>
        <v>Mitsubishi Grandis 03-11 EZ45/NA4W</v>
      </c>
      <c r="E1864" s="45">
        <v>1.0</v>
      </c>
      <c r="F1864" s="202"/>
      <c r="G1864" s="142">
        <f t="shared" si="50"/>
        <v>0</v>
      </c>
      <c r="H1864" s="142"/>
      <c r="I1864" s="143">
        <f t="shared" si="48"/>
        <v>0</v>
      </c>
      <c r="J1864" s="144">
        <f t="shared" si="49"/>
        <v>0</v>
      </c>
      <c r="K1864" s="108" t="s">
        <v>4509</v>
      </c>
      <c r="L1864" s="17"/>
      <c r="M1864" s="17"/>
      <c r="N1864" s="68"/>
      <c r="O1864" s="68"/>
      <c r="P1864" s="170"/>
      <c r="Q1864" s="149"/>
      <c r="R1864" s="149"/>
      <c r="S1864" s="149"/>
      <c r="T1864" s="149"/>
      <c r="U1864" s="149"/>
      <c r="V1864" s="149"/>
      <c r="W1864" s="149"/>
      <c r="X1864" s="68"/>
      <c r="Y1864" s="68"/>
      <c r="Z1864" s="68"/>
    </row>
    <row r="1865" ht="15.0" customHeight="1">
      <c r="A1865" s="206">
        <v>46039.0</v>
      </c>
      <c r="B1865" s="201" t="s">
        <v>7491</v>
      </c>
      <c r="C1865" s="45" t="s">
        <v>7493</v>
      </c>
      <c r="D1865" s="140" t="str">
        <f>IFERROR(VLOOKUP(C1865,Stock,3,FALSE),"")</f>
        <v>BMW X1 Series 09-14 E84</v>
      </c>
      <c r="E1865" s="45">
        <v>1.0</v>
      </c>
      <c r="F1865" s="202"/>
      <c r="G1865" s="142">
        <f t="shared" si="50"/>
        <v>0</v>
      </c>
      <c r="H1865" s="142"/>
      <c r="I1865" s="143">
        <f t="shared" si="48"/>
        <v>0</v>
      </c>
      <c r="J1865" s="144">
        <f t="shared" si="49"/>
        <v>0</v>
      </c>
      <c r="K1865" s="108" t="s">
        <v>4509</v>
      </c>
      <c r="L1865" s="17"/>
      <c r="M1865" s="17"/>
      <c r="N1865" s="68"/>
      <c r="O1865" s="68"/>
      <c r="P1865" s="170"/>
      <c r="Q1865" s="149"/>
      <c r="R1865" s="149"/>
      <c r="S1865" s="149"/>
      <c r="T1865" s="149"/>
      <c r="U1865" s="149"/>
      <c r="V1865" s="149"/>
      <c r="W1865" s="149"/>
      <c r="X1865" s="68"/>
      <c r="Y1865" s="68"/>
      <c r="Z1865" s="68"/>
    </row>
    <row r="1866" ht="15.0" customHeight="1">
      <c r="A1866" s="206">
        <v>46041.0</v>
      </c>
      <c r="B1866" s="398" t="s">
        <v>7494</v>
      </c>
      <c r="C1866" s="45" t="s">
        <v>7495</v>
      </c>
      <c r="D1866" s="140" t="str">
        <f>IFERROR(VLOOKUP(C1866,Stock,3,FALSE),"")</f>
        <v>Mitsubishi Strada Triton 23- (Keramik Kotak Besar)</v>
      </c>
      <c r="E1866" s="45">
        <v>2.0</v>
      </c>
      <c r="F1866" s="198">
        <v>2250000.0</v>
      </c>
      <c r="G1866" s="142">
        <f t="shared" si="50"/>
        <v>4500000</v>
      </c>
      <c r="H1866" s="142"/>
      <c r="I1866" s="143">
        <f t="shared" si="48"/>
        <v>4500000</v>
      </c>
      <c r="J1866" s="144">
        <f t="shared" si="49"/>
        <v>4500000</v>
      </c>
      <c r="K1866" s="108" t="s">
        <v>7496</v>
      </c>
      <c r="L1866" s="45" t="s">
        <v>7497</v>
      </c>
      <c r="M1866" s="17"/>
      <c r="N1866" s="68"/>
      <c r="O1866" s="64" t="s">
        <v>7498</v>
      </c>
      <c r="P1866" s="147" t="s">
        <v>4672</v>
      </c>
      <c r="Q1866" s="149"/>
      <c r="R1866" s="141"/>
      <c r="S1866" s="141"/>
      <c r="T1866" s="141">
        <v>4700000.0</v>
      </c>
      <c r="U1866" s="149"/>
      <c r="V1866" s="149"/>
      <c r="W1866" s="149"/>
      <c r="X1866" s="68"/>
      <c r="Y1866" s="68"/>
      <c r="Z1866" s="68"/>
    </row>
    <row r="1867" ht="15.0" customHeight="1">
      <c r="A1867" s="206">
        <v>46041.0</v>
      </c>
      <c r="B1867" s="201" t="s">
        <v>7494</v>
      </c>
      <c r="C1867" s="45" t="s">
        <v>2835</v>
      </c>
      <c r="D1867" s="140" t="str">
        <f>IFERROR(VLOOKUP(C1867,Stock,3,FALSE),"")</f>
        <v>Peti Kayu</v>
      </c>
      <c r="E1867" s="45">
        <v>1.0</v>
      </c>
      <c r="F1867" s="198">
        <v>200000.0</v>
      </c>
      <c r="G1867" s="142">
        <f t="shared" si="50"/>
        <v>200000</v>
      </c>
      <c r="H1867" s="142"/>
      <c r="I1867" s="143">
        <f t="shared" si="48"/>
        <v>200000</v>
      </c>
      <c r="J1867" s="144">
        <f t="shared" si="49"/>
        <v>200000</v>
      </c>
      <c r="K1867" s="108" t="s">
        <v>7496</v>
      </c>
      <c r="L1867" s="45" t="s">
        <v>7497</v>
      </c>
      <c r="M1867" s="17"/>
      <c r="N1867" s="68"/>
      <c r="O1867" s="64" t="s">
        <v>7498</v>
      </c>
      <c r="P1867" s="147" t="s">
        <v>4672</v>
      </c>
      <c r="Q1867" s="149"/>
      <c r="R1867" s="149"/>
      <c r="S1867" s="149"/>
      <c r="T1867" s="149"/>
      <c r="U1867" s="149"/>
      <c r="V1867" s="149"/>
      <c r="W1867" s="149"/>
      <c r="X1867" s="68"/>
      <c r="Y1867" s="68"/>
      <c r="Z1867" s="68"/>
    </row>
    <row r="1868" ht="15.0" customHeight="1">
      <c r="A1868" s="421"/>
      <c r="B1868" s="201" t="s">
        <v>7499</v>
      </c>
      <c r="C1868" s="45" t="s">
        <v>3246</v>
      </c>
      <c r="D1868" s="140" t="str">
        <f>IFERROR(VLOOKUP(C1868,Stock,3,FALSE),"")</f>
        <v>Toyota Calya / Sigra 16-</v>
      </c>
      <c r="E1868" s="45">
        <v>5.0</v>
      </c>
      <c r="F1868" s="202"/>
      <c r="G1868" s="142">
        <f t="shared" si="50"/>
        <v>0</v>
      </c>
      <c r="H1868" s="142"/>
      <c r="I1868" s="143">
        <f t="shared" si="48"/>
        <v>0</v>
      </c>
      <c r="J1868" s="144">
        <f t="shared" si="49"/>
        <v>0</v>
      </c>
      <c r="K1868" s="200"/>
      <c r="L1868" s="17"/>
      <c r="M1868" s="17"/>
      <c r="N1868" s="68"/>
      <c r="O1868" s="68"/>
      <c r="P1868" s="170"/>
      <c r="Q1868" s="149"/>
      <c r="R1868" s="149"/>
      <c r="S1868" s="149"/>
      <c r="T1868" s="149"/>
      <c r="U1868" s="149"/>
      <c r="V1868" s="149"/>
      <c r="W1868" s="149"/>
      <c r="X1868" s="68"/>
      <c r="Y1868" s="68"/>
      <c r="Z1868" s="68"/>
    </row>
    <row r="1869" ht="15.0" customHeight="1">
      <c r="A1869" s="421"/>
      <c r="B1869" s="201" t="s">
        <v>7499</v>
      </c>
      <c r="C1869" s="45" t="s">
        <v>4379</v>
      </c>
      <c r="D1869" s="140" t="str">
        <f>IFERROR(VLOOKUP(C1869,Stock,3,FALSE),"")</f>
        <v>Toyota Yaris 13- 2nd Gen / Vios 14- 3rd Gen</v>
      </c>
      <c r="E1869" s="45">
        <v>4.0</v>
      </c>
      <c r="F1869" s="202"/>
      <c r="G1869" s="142">
        <f t="shared" si="50"/>
        <v>0</v>
      </c>
      <c r="H1869" s="142"/>
      <c r="I1869" s="143">
        <f t="shared" si="48"/>
        <v>0</v>
      </c>
      <c r="J1869" s="144">
        <f t="shared" si="49"/>
        <v>0</v>
      </c>
      <c r="K1869" s="200"/>
      <c r="L1869" s="17"/>
      <c r="M1869" s="17"/>
      <c r="N1869" s="68"/>
      <c r="O1869" s="68"/>
      <c r="P1869" s="170"/>
      <c r="Q1869" s="149"/>
      <c r="R1869" s="149"/>
      <c r="S1869" s="149"/>
      <c r="T1869" s="149"/>
      <c r="U1869" s="149"/>
      <c r="V1869" s="149"/>
      <c r="W1869" s="149"/>
      <c r="X1869" s="68"/>
      <c r="Y1869" s="68"/>
      <c r="Z1869" s="68"/>
    </row>
    <row r="1870" ht="15.0" customHeight="1">
      <c r="A1870" s="421"/>
      <c r="B1870" s="201" t="s">
        <v>7499</v>
      </c>
      <c r="C1870" s="45" t="s">
        <v>7161</v>
      </c>
      <c r="D1870" s="140" t="str">
        <f>IFERROR(VLOOKUP(C1870,Stock,3,FALSE),"")</f>
        <v>Honda Brio 10- / Mobilio 11-</v>
      </c>
      <c r="E1870" s="45">
        <v>5.0</v>
      </c>
      <c r="F1870" s="202"/>
      <c r="G1870" s="142">
        <f t="shared" si="50"/>
        <v>0</v>
      </c>
      <c r="H1870" s="142"/>
      <c r="I1870" s="143">
        <f t="shared" si="48"/>
        <v>0</v>
      </c>
      <c r="J1870" s="144">
        <f t="shared" si="49"/>
        <v>0</v>
      </c>
      <c r="K1870" s="200"/>
      <c r="L1870" s="17"/>
      <c r="M1870" s="17"/>
      <c r="N1870" s="68"/>
      <c r="O1870" s="68"/>
      <c r="P1870" s="170"/>
      <c r="Q1870" s="149"/>
      <c r="R1870" s="149"/>
      <c r="S1870" s="149"/>
      <c r="T1870" s="149"/>
      <c r="U1870" s="149"/>
      <c r="V1870" s="149"/>
      <c r="W1870" s="149"/>
      <c r="X1870" s="68"/>
      <c r="Y1870" s="68"/>
      <c r="Z1870" s="68"/>
    </row>
    <row r="1871" ht="15.0" customHeight="1">
      <c r="A1871" s="421"/>
      <c r="B1871" s="201" t="s">
        <v>7499</v>
      </c>
      <c r="C1871" s="45" t="s">
        <v>7427</v>
      </c>
      <c r="D1871" s="140" t="str">
        <f>IFERROR(VLOOKUP(C1871,Stock,3,FALSE),"")</f>
        <v>Nissan Livina 07-18 L10/L11</v>
      </c>
      <c r="E1871" s="45">
        <v>3.0</v>
      </c>
      <c r="F1871" s="202"/>
      <c r="G1871" s="142">
        <f t="shared" si="50"/>
        <v>0</v>
      </c>
      <c r="H1871" s="142"/>
      <c r="I1871" s="143">
        <f t="shared" si="48"/>
        <v>0</v>
      </c>
      <c r="J1871" s="144">
        <f t="shared" si="49"/>
        <v>0</v>
      </c>
      <c r="K1871" s="200"/>
      <c r="L1871" s="17"/>
      <c r="M1871" s="17"/>
      <c r="N1871" s="68"/>
      <c r="O1871" s="68"/>
      <c r="P1871" s="170"/>
      <c r="Q1871" s="149"/>
      <c r="R1871" s="149"/>
      <c r="S1871" s="149"/>
      <c r="T1871" s="149"/>
      <c r="U1871" s="149"/>
      <c r="V1871" s="149"/>
      <c r="W1871" s="149"/>
      <c r="X1871" s="68"/>
      <c r="Y1871" s="68"/>
      <c r="Z1871" s="68"/>
    </row>
    <row r="1872" ht="15.0" customHeight="1">
      <c r="A1872" s="421"/>
      <c r="B1872" s="201" t="s">
        <v>7499</v>
      </c>
      <c r="C1872" s="45" t="s">
        <v>5970</v>
      </c>
      <c r="D1872" s="140" t="str">
        <f>IFERROR(VLOOKUP(C1872,Stock,3,FALSE),"")</f>
        <v>Honda CR-V 12-16 4th Gen</v>
      </c>
      <c r="E1872" s="45">
        <v>5.0</v>
      </c>
      <c r="F1872" s="202"/>
      <c r="G1872" s="142">
        <f t="shared" si="50"/>
        <v>0</v>
      </c>
      <c r="H1872" s="142"/>
      <c r="I1872" s="143">
        <f t="shared" si="48"/>
        <v>0</v>
      </c>
      <c r="J1872" s="144">
        <f t="shared" si="49"/>
        <v>0</v>
      </c>
      <c r="K1872" s="200"/>
      <c r="L1872" s="17"/>
      <c r="M1872" s="17"/>
      <c r="N1872" s="68"/>
      <c r="O1872" s="68"/>
      <c r="P1872" s="170"/>
      <c r="Q1872" s="149"/>
      <c r="R1872" s="149"/>
      <c r="S1872" s="149"/>
      <c r="T1872" s="149"/>
      <c r="U1872" s="149"/>
      <c r="V1872" s="149"/>
      <c r="W1872" s="149"/>
      <c r="X1872" s="68"/>
      <c r="Y1872" s="68"/>
      <c r="Z1872" s="68"/>
    </row>
    <row r="1873" ht="15.0" customHeight="1">
      <c r="A1873" s="421"/>
      <c r="B1873" s="201" t="s">
        <v>7499</v>
      </c>
      <c r="C1873" s="45" t="s">
        <v>7275</v>
      </c>
      <c r="D1873" s="140" t="str">
        <f>IFERROR(VLOOKUP(C1873,Stock,3,FALSE),"")</f>
        <v>Mazda 2 14- Skyactiv 4th Gen (1 Sensor/ □ )</v>
      </c>
      <c r="E1873" s="45">
        <v>1.0</v>
      </c>
      <c r="F1873" s="202"/>
      <c r="G1873" s="142">
        <f t="shared" si="50"/>
        <v>0</v>
      </c>
      <c r="H1873" s="142"/>
      <c r="I1873" s="143">
        <f t="shared" si="48"/>
        <v>0</v>
      </c>
      <c r="J1873" s="144">
        <f t="shared" si="49"/>
        <v>0</v>
      </c>
      <c r="K1873" s="200"/>
      <c r="L1873" s="17"/>
      <c r="M1873" s="17"/>
      <c r="N1873" s="68"/>
      <c r="O1873" s="68"/>
      <c r="P1873" s="170"/>
      <c r="Q1873" s="149"/>
      <c r="R1873" s="149"/>
      <c r="S1873" s="149"/>
      <c r="T1873" s="149"/>
      <c r="U1873" s="149"/>
      <c r="V1873" s="149"/>
      <c r="W1873" s="149"/>
      <c r="X1873" s="68"/>
      <c r="Y1873" s="68"/>
      <c r="Z1873" s="68"/>
    </row>
    <row r="1874" ht="15.0" customHeight="1">
      <c r="A1874" s="421"/>
      <c r="B1874" s="201" t="s">
        <v>7499</v>
      </c>
      <c r="C1874" s="45" t="s">
        <v>7500</v>
      </c>
      <c r="D1874" s="140" t="str">
        <f>IFERROR(VLOOKUP(C1874,Stock,3,FALSE),"")</f>
        <v>Ford Fiesta 09-17</v>
      </c>
      <c r="E1874" s="45">
        <v>3.0</v>
      </c>
      <c r="F1874" s="202"/>
      <c r="G1874" s="142">
        <f t="shared" si="50"/>
        <v>0</v>
      </c>
      <c r="H1874" s="142"/>
      <c r="I1874" s="143">
        <f t="shared" si="48"/>
        <v>0</v>
      </c>
      <c r="J1874" s="144">
        <f t="shared" si="49"/>
        <v>0</v>
      </c>
      <c r="K1874" s="200"/>
      <c r="L1874" s="17"/>
      <c r="M1874" s="17"/>
      <c r="N1874" s="68"/>
      <c r="O1874" s="68"/>
      <c r="P1874" s="170"/>
      <c r="Q1874" s="149"/>
      <c r="R1874" s="149"/>
      <c r="S1874" s="149"/>
      <c r="T1874" s="149"/>
      <c r="U1874" s="149"/>
      <c r="V1874" s="149"/>
      <c r="W1874" s="149"/>
      <c r="X1874" s="68"/>
      <c r="Y1874" s="68"/>
      <c r="Z1874" s="68"/>
    </row>
    <row r="1875" ht="15.0" customHeight="1">
      <c r="A1875" s="421"/>
      <c r="B1875" s="201" t="s">
        <v>7499</v>
      </c>
      <c r="C1875" s="45" t="s">
        <v>3891</v>
      </c>
      <c r="D1875" s="140" t="str">
        <f>IFERROR(VLOOKUP(C1875,Stock,3,FALSE),"")</f>
        <v>Toyota Rush / Terios 06-17</v>
      </c>
      <c r="E1875" s="45">
        <v>1.0</v>
      </c>
      <c r="F1875" s="202"/>
      <c r="G1875" s="142">
        <f t="shared" si="50"/>
        <v>0</v>
      </c>
      <c r="H1875" s="142"/>
      <c r="I1875" s="143">
        <f t="shared" si="48"/>
        <v>0</v>
      </c>
      <c r="J1875" s="144">
        <f t="shared" si="49"/>
        <v>0</v>
      </c>
      <c r="K1875" s="200"/>
      <c r="L1875" s="17"/>
      <c r="M1875" s="17"/>
      <c r="N1875" s="68"/>
      <c r="O1875" s="68"/>
      <c r="P1875" s="170"/>
      <c r="Q1875" s="149"/>
      <c r="R1875" s="149"/>
      <c r="S1875" s="149"/>
      <c r="T1875" s="149"/>
      <c r="U1875" s="149"/>
      <c r="V1875" s="149"/>
      <c r="W1875" s="149"/>
      <c r="X1875" s="68"/>
      <c r="Y1875" s="68"/>
      <c r="Z1875" s="68"/>
    </row>
    <row r="1876" ht="15.0" customHeight="1">
      <c r="A1876" s="206">
        <v>46041.0</v>
      </c>
      <c r="B1876" s="201" t="s">
        <v>7501</v>
      </c>
      <c r="C1876" s="45" t="s">
        <v>7502</v>
      </c>
      <c r="D1876" s="140" t="str">
        <f>IFERROR(VLOOKUP(C1876,Stock,3,FALSE),"")</f>
        <v>Toyota Avanza / Xenia 03-11 1st Gen</v>
      </c>
      <c r="E1876" s="45">
        <v>1.0</v>
      </c>
      <c r="F1876" s="198">
        <v>480000.0</v>
      </c>
      <c r="G1876" s="142">
        <f t="shared" si="50"/>
        <v>480000</v>
      </c>
      <c r="H1876" s="142"/>
      <c r="I1876" s="143">
        <f t="shared" si="48"/>
        <v>480000</v>
      </c>
      <c r="J1876" s="144">
        <f t="shared" si="49"/>
        <v>480000</v>
      </c>
      <c r="K1876" s="108" t="s">
        <v>7503</v>
      </c>
      <c r="L1876" s="199" t="s">
        <v>7504</v>
      </c>
      <c r="M1876" s="17"/>
      <c r="N1876" s="64" t="s">
        <v>7505</v>
      </c>
      <c r="O1876" s="64" t="s">
        <v>3684</v>
      </c>
      <c r="P1876" s="147" t="s">
        <v>4672</v>
      </c>
      <c r="Q1876" s="149"/>
      <c r="R1876" s="149"/>
      <c r="S1876" s="149"/>
      <c r="T1876" s="149"/>
      <c r="U1876" s="149"/>
      <c r="V1876" s="149"/>
      <c r="W1876" s="149"/>
      <c r="X1876" s="68"/>
      <c r="Y1876" s="68"/>
      <c r="Z1876" s="68"/>
    </row>
    <row r="1877" ht="15.0" customHeight="1">
      <c r="A1877" s="206">
        <v>46041.0</v>
      </c>
      <c r="B1877" s="398" t="s">
        <v>7506</v>
      </c>
      <c r="C1877" s="45" t="s">
        <v>3494</v>
      </c>
      <c r="D1877" s="140" t="str">
        <f>IFERROR(VLOOKUP(C1877,Stock,3,FALSE),"")</f>
        <v>Wuling Almaz</v>
      </c>
      <c r="E1877" s="45">
        <v>1.0</v>
      </c>
      <c r="F1877" s="198">
        <v>1200000.0</v>
      </c>
      <c r="G1877" s="142">
        <f t="shared" si="50"/>
        <v>1200000</v>
      </c>
      <c r="H1877" s="142"/>
      <c r="I1877" s="143">
        <f t="shared" si="48"/>
        <v>1200000</v>
      </c>
      <c r="J1877" s="144">
        <f t="shared" si="49"/>
        <v>1200000</v>
      </c>
      <c r="K1877" s="108" t="s">
        <v>7507</v>
      </c>
      <c r="L1877" s="199" t="s">
        <v>7508</v>
      </c>
      <c r="M1877" s="17"/>
      <c r="N1877" s="64" t="s">
        <v>5154</v>
      </c>
      <c r="O1877" s="64" t="s">
        <v>7509</v>
      </c>
      <c r="P1877" s="147" t="s">
        <v>4672</v>
      </c>
      <c r="Q1877" s="149"/>
      <c r="R1877" s="141"/>
      <c r="S1877" s="141"/>
      <c r="T1877" s="141" t="s">
        <v>7510</v>
      </c>
      <c r="U1877" s="149"/>
      <c r="V1877" s="149"/>
      <c r="W1877" s="149"/>
      <c r="X1877" s="68"/>
      <c r="Y1877" s="68"/>
      <c r="Z1877" s="68"/>
    </row>
    <row r="1878" ht="15.0" customHeight="1">
      <c r="A1878" s="206">
        <v>46041.0</v>
      </c>
      <c r="B1878" s="201" t="s">
        <v>7506</v>
      </c>
      <c r="C1878" s="45" t="s">
        <v>2835</v>
      </c>
      <c r="D1878" s="140" t="str">
        <f>IFERROR(VLOOKUP(C1878,Stock,3,FALSE),"")</f>
        <v>Peti Kayu</v>
      </c>
      <c r="E1878" s="45">
        <v>1.0</v>
      </c>
      <c r="F1878" s="198">
        <v>120000.0</v>
      </c>
      <c r="G1878" s="142">
        <f t="shared" si="50"/>
        <v>120000</v>
      </c>
      <c r="H1878" s="142"/>
      <c r="I1878" s="143">
        <f t="shared" si="48"/>
        <v>120000</v>
      </c>
      <c r="J1878" s="144">
        <f t="shared" si="49"/>
        <v>120000</v>
      </c>
      <c r="K1878" s="108" t="s">
        <v>7507</v>
      </c>
      <c r="L1878" s="199" t="s">
        <v>7508</v>
      </c>
      <c r="M1878" s="17"/>
      <c r="N1878" s="64" t="s">
        <v>5154</v>
      </c>
      <c r="O1878" s="64" t="s">
        <v>7509</v>
      </c>
      <c r="P1878" s="147" t="s">
        <v>4672</v>
      </c>
      <c r="Q1878" s="149"/>
      <c r="R1878" s="141"/>
      <c r="S1878" s="141"/>
      <c r="T1878" s="141">
        <v>480000.0</v>
      </c>
      <c r="U1878" s="149"/>
      <c r="V1878" s="149"/>
      <c r="W1878" s="149"/>
      <c r="X1878" s="68"/>
      <c r="Y1878" s="68"/>
      <c r="Z1878" s="68"/>
    </row>
    <row r="1879" ht="15.0" customHeight="1">
      <c r="A1879" s="206">
        <v>46042.0</v>
      </c>
      <c r="B1879" s="201" t="s">
        <v>7511</v>
      </c>
      <c r="C1879" s="45" t="s">
        <v>7512</v>
      </c>
      <c r="D1879" s="140" t="str">
        <f>IFERROR(VLOOKUP(C1879,Stock,3,FALSE),"")</f>
        <v>VW Golf MK6 Hatchback 08-12</v>
      </c>
      <c r="E1879" s="45">
        <v>1.0</v>
      </c>
      <c r="F1879" s="198">
        <v>3750000.0</v>
      </c>
      <c r="G1879" s="142">
        <f t="shared" si="50"/>
        <v>3750000</v>
      </c>
      <c r="H1879" s="142"/>
      <c r="I1879" s="143">
        <f t="shared" si="48"/>
        <v>3750000</v>
      </c>
      <c r="J1879" s="144">
        <f t="shared" si="49"/>
        <v>3750000</v>
      </c>
      <c r="K1879" s="108" t="s">
        <v>7513</v>
      </c>
      <c r="L1879" s="199" t="s">
        <v>7514</v>
      </c>
      <c r="M1879" s="17"/>
      <c r="N1879" s="64" t="s">
        <v>7515</v>
      </c>
      <c r="O1879" s="68"/>
      <c r="P1879" s="147" t="s">
        <v>4672</v>
      </c>
      <c r="Q1879" s="149"/>
      <c r="R1879" s="141"/>
      <c r="S1879" s="141"/>
      <c r="T1879" s="141">
        <v>4100000.0</v>
      </c>
      <c r="U1879" s="149"/>
      <c r="V1879" s="149"/>
      <c r="W1879" s="149"/>
      <c r="X1879" s="68"/>
      <c r="Y1879" s="68"/>
      <c r="Z1879" s="68"/>
    </row>
    <row r="1880" ht="15.0" customHeight="1">
      <c r="A1880" s="206">
        <v>46042.0</v>
      </c>
      <c r="B1880" s="201" t="s">
        <v>7511</v>
      </c>
      <c r="C1880" s="45" t="s">
        <v>7011</v>
      </c>
      <c r="D1880" s="140" t="str">
        <f>IFERROR(VLOOKUP(C1880,Stock,3,FALSE),"")</f>
        <v>Automotive Film Standard - Black 40%				</v>
      </c>
      <c r="E1880" s="45">
        <v>0.0</v>
      </c>
      <c r="F1880" s="198">
        <v>350000.0</v>
      </c>
      <c r="G1880" s="142">
        <f t="shared" si="50"/>
        <v>0</v>
      </c>
      <c r="H1880" s="142"/>
      <c r="I1880" s="143">
        <f t="shared" si="48"/>
        <v>0</v>
      </c>
      <c r="J1880" s="144">
        <f t="shared" si="49"/>
        <v>0</v>
      </c>
      <c r="K1880" s="108" t="s">
        <v>7513</v>
      </c>
      <c r="L1880" s="199" t="s">
        <v>7514</v>
      </c>
      <c r="M1880" s="17"/>
      <c r="N1880" s="64" t="s">
        <v>7515</v>
      </c>
      <c r="O1880" s="68"/>
      <c r="P1880" s="147" t="s">
        <v>4672</v>
      </c>
      <c r="Q1880" s="149"/>
      <c r="R1880" s="141"/>
      <c r="S1880" s="141"/>
      <c r="T1880" s="141">
        <v>-350000.0</v>
      </c>
      <c r="U1880" s="149"/>
      <c r="V1880" s="149"/>
      <c r="W1880" s="149"/>
      <c r="X1880" s="68"/>
      <c r="Y1880" s="68"/>
      <c r="Z1880" s="68"/>
    </row>
    <row r="1881" ht="15.0" customHeight="1">
      <c r="A1881" s="206">
        <v>46042.0</v>
      </c>
      <c r="B1881" s="201" t="s">
        <v>7516</v>
      </c>
      <c r="C1881" s="45" t="s">
        <v>7517</v>
      </c>
      <c r="D1881" s="140" t="str">
        <f>IFERROR(VLOOKUP(C1881,Stock,3,FALSE),"")</f>
        <v>Mitsubishi Xpander 17-21</v>
      </c>
      <c r="E1881" s="45">
        <v>1.0</v>
      </c>
      <c r="F1881" s="198">
        <v>899000.0</v>
      </c>
      <c r="G1881" s="142">
        <f t="shared" si="50"/>
        <v>899000</v>
      </c>
      <c r="H1881" s="142"/>
      <c r="I1881" s="143">
        <f t="shared" si="48"/>
        <v>899000</v>
      </c>
      <c r="J1881" s="144">
        <f t="shared" si="49"/>
        <v>899000</v>
      </c>
      <c r="K1881" s="108" t="s">
        <v>7518</v>
      </c>
      <c r="L1881" s="199" t="s">
        <v>7519</v>
      </c>
      <c r="M1881" s="17"/>
      <c r="N1881" s="64" t="s">
        <v>7520</v>
      </c>
      <c r="O1881" s="64" t="s">
        <v>7521</v>
      </c>
      <c r="P1881" s="147" t="s">
        <v>4672</v>
      </c>
      <c r="Q1881" s="149"/>
      <c r="R1881" s="141"/>
      <c r="S1881" s="141"/>
      <c r="T1881" s="141">
        <v>899000.0</v>
      </c>
      <c r="U1881" s="149"/>
      <c r="V1881" s="149"/>
      <c r="W1881" s="149"/>
      <c r="X1881" s="68"/>
      <c r="Y1881" s="68"/>
      <c r="Z1881" s="68"/>
    </row>
    <row r="1882" ht="15.0" customHeight="1">
      <c r="A1882" s="206">
        <v>46042.0</v>
      </c>
      <c r="B1882" s="398" t="s">
        <v>7522</v>
      </c>
      <c r="C1882" s="45" t="s">
        <v>4302</v>
      </c>
      <c r="D1882" s="140" t="str">
        <f>IFERROR(VLOOKUP(C1882,Stock,3,FALSE),"")</f>
        <v>Mitsubishi Fuso Super Great FV100 96-</v>
      </c>
      <c r="E1882" s="45">
        <v>1.0</v>
      </c>
      <c r="F1882" s="198">
        <v>2100000.0</v>
      </c>
      <c r="G1882" s="142">
        <f t="shared" si="50"/>
        <v>2100000</v>
      </c>
      <c r="H1882" s="142"/>
      <c r="I1882" s="143">
        <f t="shared" si="48"/>
        <v>2100000</v>
      </c>
      <c r="J1882" s="144">
        <f t="shared" si="49"/>
        <v>2100000</v>
      </c>
      <c r="K1882" s="108" t="s">
        <v>6300</v>
      </c>
      <c r="L1882" s="318" t="s">
        <v>6301</v>
      </c>
      <c r="M1882" s="68"/>
      <c r="N1882" s="68"/>
      <c r="O1882" s="245" t="s">
        <v>2813</v>
      </c>
      <c r="P1882" s="422" t="s">
        <v>4672</v>
      </c>
      <c r="Q1882" s="149"/>
      <c r="R1882" s="149"/>
      <c r="S1882" s="149"/>
      <c r="T1882" s="149"/>
      <c r="U1882" s="149"/>
      <c r="V1882" s="149"/>
      <c r="W1882" s="149"/>
      <c r="X1882" s="68"/>
      <c r="Y1882" s="68"/>
      <c r="Z1882" s="68"/>
    </row>
    <row r="1883" ht="15.0" customHeight="1">
      <c r="A1883" s="206">
        <v>46042.0</v>
      </c>
      <c r="B1883" s="201" t="s">
        <v>7522</v>
      </c>
      <c r="C1883" s="45" t="s">
        <v>7523</v>
      </c>
      <c r="D1883" s="140" t="str">
        <f>IFERROR(VLOOKUP(C1883,Stock,3,FALSE),"")</f>
        <v>Mitsubishi Fuso Super Great FV100 96-</v>
      </c>
      <c r="E1883" s="45">
        <v>1.0</v>
      </c>
      <c r="F1883" s="198">
        <v>700000.0</v>
      </c>
      <c r="G1883" s="142">
        <f t="shared" si="50"/>
        <v>700000</v>
      </c>
      <c r="H1883" s="142"/>
      <c r="I1883" s="143">
        <f t="shared" si="48"/>
        <v>700000</v>
      </c>
      <c r="J1883" s="144">
        <f t="shared" si="49"/>
        <v>700000</v>
      </c>
      <c r="K1883" s="108" t="s">
        <v>6300</v>
      </c>
      <c r="L1883" s="318" t="s">
        <v>6301</v>
      </c>
      <c r="M1883" s="68"/>
      <c r="N1883" s="68"/>
      <c r="O1883" s="245" t="s">
        <v>2813</v>
      </c>
      <c r="P1883" s="422" t="s">
        <v>4672</v>
      </c>
      <c r="Q1883" s="149"/>
      <c r="R1883" s="149"/>
      <c r="S1883" s="149"/>
      <c r="T1883" s="149"/>
      <c r="U1883" s="149"/>
      <c r="V1883" s="149"/>
      <c r="W1883" s="149"/>
      <c r="X1883" s="68"/>
      <c r="Y1883" s="68"/>
      <c r="Z1883" s="68"/>
    </row>
    <row r="1884" ht="15.0" customHeight="1">
      <c r="A1884" s="206">
        <v>46043.0</v>
      </c>
      <c r="B1884" s="201" t="s">
        <v>7524</v>
      </c>
      <c r="C1884" s="45" t="s">
        <v>3318</v>
      </c>
      <c r="D1884" s="140" t="str">
        <f>IFERROR(VLOOKUP(C1884,Stock,3,FALSE),"")</f>
        <v>Suzuki Swift 11-17 2nd Gen</v>
      </c>
      <c r="E1884" s="45">
        <v>1.0</v>
      </c>
      <c r="F1884" s="198">
        <v>1546000.0</v>
      </c>
      <c r="G1884" s="142">
        <f t="shared" si="50"/>
        <v>1546000</v>
      </c>
      <c r="H1884" s="142"/>
      <c r="I1884" s="143">
        <f t="shared" si="48"/>
        <v>1546000</v>
      </c>
      <c r="J1884" s="144">
        <f t="shared" si="49"/>
        <v>1546000</v>
      </c>
      <c r="K1884" s="108" t="s">
        <v>7525</v>
      </c>
      <c r="L1884" s="199" t="s">
        <v>7526</v>
      </c>
      <c r="M1884" s="17"/>
      <c r="N1884" s="64" t="s">
        <v>7527</v>
      </c>
      <c r="O1884" s="64" t="s">
        <v>3007</v>
      </c>
      <c r="P1884" s="147" t="s">
        <v>4672</v>
      </c>
      <c r="Q1884" s="141">
        <v>1546000.0</v>
      </c>
      <c r="R1884" s="149"/>
      <c r="S1884" s="149"/>
      <c r="T1884" s="149"/>
      <c r="U1884" s="149"/>
      <c r="V1884" s="149"/>
      <c r="W1884" s="149"/>
      <c r="X1884" s="68"/>
      <c r="Y1884" s="68"/>
      <c r="Z1884" s="68"/>
    </row>
    <row r="1885" ht="15.0" customHeight="1">
      <c r="A1885" s="206">
        <v>46043.0</v>
      </c>
      <c r="B1885" s="201" t="s">
        <v>7528</v>
      </c>
      <c r="C1885" s="45" t="s">
        <v>7220</v>
      </c>
      <c r="D1885" s="140" t="str">
        <f>IFERROR(VLOOKUP(C1885,Stock,3,FALSE),"")</f>
        <v>Toyota Rush / Terios 06-17</v>
      </c>
      <c r="E1885" s="45">
        <v>1.0</v>
      </c>
      <c r="F1885" s="198">
        <v>1300000.0</v>
      </c>
      <c r="G1885" s="142">
        <f t="shared" si="50"/>
        <v>1300000</v>
      </c>
      <c r="H1885" s="142"/>
      <c r="I1885" s="143">
        <f t="shared" si="48"/>
        <v>1300000</v>
      </c>
      <c r="J1885" s="144">
        <f t="shared" si="49"/>
        <v>1300000</v>
      </c>
      <c r="K1885" s="108" t="s">
        <v>7529</v>
      </c>
      <c r="L1885" s="199" t="s">
        <v>7530</v>
      </c>
      <c r="M1885" s="17"/>
      <c r="N1885" s="64" t="s">
        <v>7531</v>
      </c>
      <c r="O1885" s="64" t="s">
        <v>2813</v>
      </c>
      <c r="P1885" s="147" t="s">
        <v>4672</v>
      </c>
      <c r="Q1885" s="149"/>
      <c r="R1885" s="141"/>
      <c r="S1885" s="141"/>
      <c r="T1885" s="141">
        <v>1300000.0</v>
      </c>
      <c r="U1885" s="149"/>
      <c r="V1885" s="149"/>
      <c r="W1885" s="149"/>
      <c r="X1885" s="64" t="s">
        <v>2936</v>
      </c>
      <c r="Y1885" s="68"/>
      <c r="Z1885" s="68"/>
    </row>
    <row r="1886" ht="15.0" customHeight="1">
      <c r="A1886" s="206">
        <v>46043.0</v>
      </c>
      <c r="B1886" s="201" t="s">
        <v>7532</v>
      </c>
      <c r="C1886" s="45" t="s">
        <v>3246</v>
      </c>
      <c r="D1886" s="140" t="str">
        <f>IFERROR(VLOOKUP(C1886,Stock,3,FALSE),"")</f>
        <v>Toyota Calya / Sigra 16-</v>
      </c>
      <c r="E1886" s="45">
        <v>1.0</v>
      </c>
      <c r="F1886" s="198">
        <v>1150000.0</v>
      </c>
      <c r="G1886" s="142">
        <f t="shared" si="50"/>
        <v>1150000</v>
      </c>
      <c r="H1886" s="142"/>
      <c r="I1886" s="143">
        <f t="shared" si="48"/>
        <v>1150000</v>
      </c>
      <c r="J1886" s="144">
        <f t="shared" si="49"/>
        <v>1150000</v>
      </c>
      <c r="K1886" s="108" t="s">
        <v>7533</v>
      </c>
      <c r="L1886" s="199" t="s">
        <v>7534</v>
      </c>
      <c r="M1886" s="17"/>
      <c r="N1886" s="64" t="s">
        <v>7535</v>
      </c>
      <c r="O1886" s="64" t="s">
        <v>3033</v>
      </c>
      <c r="P1886" s="147" t="s">
        <v>4672</v>
      </c>
      <c r="Q1886" s="149"/>
      <c r="R1886" s="141"/>
      <c r="S1886" s="141"/>
      <c r="T1886" s="141">
        <v>100000.0</v>
      </c>
      <c r="U1886" s="149"/>
      <c r="V1886" s="149"/>
      <c r="W1886" s="149"/>
      <c r="X1886" s="68"/>
      <c r="Y1886" s="68"/>
      <c r="Z1886" s="68"/>
    </row>
    <row r="1887" ht="15.0" customHeight="1">
      <c r="A1887" s="206">
        <v>46043.0</v>
      </c>
      <c r="B1887" s="201" t="s">
        <v>7532</v>
      </c>
      <c r="C1887" s="45" t="s">
        <v>2770</v>
      </c>
      <c r="D1887" s="140" t="str">
        <f>IFERROR(VLOOKUP(C1887,Stock,3,FALSE),"")</f>
        <v>Transport</v>
      </c>
      <c r="E1887" s="45">
        <v>1.0</v>
      </c>
      <c r="F1887" s="198">
        <v>150000.0</v>
      </c>
      <c r="G1887" s="142">
        <f t="shared" si="50"/>
        <v>150000</v>
      </c>
      <c r="H1887" s="142"/>
      <c r="I1887" s="143">
        <f t="shared" si="48"/>
        <v>150000</v>
      </c>
      <c r="J1887" s="144">
        <f t="shared" si="49"/>
        <v>150000</v>
      </c>
      <c r="K1887" s="108" t="s">
        <v>7533</v>
      </c>
      <c r="L1887" s="199" t="s">
        <v>7534</v>
      </c>
      <c r="M1887" s="17"/>
      <c r="N1887" s="64" t="s">
        <v>7535</v>
      </c>
      <c r="O1887" s="64" t="s">
        <v>3033</v>
      </c>
      <c r="P1887" s="147" t="s">
        <v>4672</v>
      </c>
      <c r="Q1887" s="149"/>
      <c r="R1887" s="149"/>
      <c r="S1887" s="149"/>
      <c r="T1887" s="149"/>
      <c r="U1887" s="149"/>
      <c r="V1887" s="149"/>
      <c r="W1887" s="149"/>
      <c r="X1887" s="68"/>
      <c r="Y1887" s="68"/>
      <c r="Z1887" s="68"/>
    </row>
    <row r="1888" ht="15.0" customHeight="1">
      <c r="A1888" s="265">
        <v>46043.0</v>
      </c>
      <c r="B1888" s="266" t="s">
        <v>7536</v>
      </c>
      <c r="C1888" s="423" t="s">
        <v>7537</v>
      </c>
      <c r="D1888" s="268" t="str">
        <f>IFERROR(VLOOKUP(C1888,Stock,3,FALSE),"")</f>
        <v>Lexus RX (Harrier) 03-08 XU30</v>
      </c>
      <c r="E1888" s="269">
        <v>1.0</v>
      </c>
      <c r="F1888" s="270"/>
      <c r="G1888" s="271">
        <f t="shared" si="50"/>
        <v>0</v>
      </c>
      <c r="H1888" s="271"/>
      <c r="I1888" s="272">
        <f t="shared" si="48"/>
        <v>0</v>
      </c>
      <c r="J1888" s="273">
        <f t="shared" si="49"/>
        <v>0</v>
      </c>
      <c r="K1888" s="267" t="s">
        <v>4827</v>
      </c>
      <c r="L1888" s="274"/>
      <c r="M1888" s="274"/>
      <c r="N1888" s="275"/>
      <c r="O1888" s="275"/>
      <c r="P1888" s="276"/>
      <c r="Q1888" s="277"/>
      <c r="R1888" s="277"/>
      <c r="S1888" s="277"/>
      <c r="T1888" s="277"/>
      <c r="U1888" s="277"/>
      <c r="V1888" s="277"/>
      <c r="W1888" s="277"/>
      <c r="X1888" s="275"/>
      <c r="Y1888" s="275"/>
      <c r="Z1888" s="275"/>
    </row>
    <row r="1889" ht="15.0" customHeight="1">
      <c r="A1889" s="206">
        <v>46043.0</v>
      </c>
      <c r="B1889" s="201" t="s">
        <v>7538</v>
      </c>
      <c r="C1889" s="45" t="s">
        <v>4327</v>
      </c>
      <c r="D1889" s="140" t="str">
        <f>IFERROR(VLOOKUP(C1889,Stock,3,FALSE),"")</f>
        <v>Isuzu Giga Long (PS240,285) FVR34 (Lebar 215cm)</v>
      </c>
      <c r="E1889" s="45">
        <v>1.0</v>
      </c>
      <c r="F1889" s="198">
        <v>2250000.0</v>
      </c>
      <c r="G1889" s="142">
        <f t="shared" si="50"/>
        <v>2250000</v>
      </c>
      <c r="H1889" s="142"/>
      <c r="I1889" s="143">
        <f t="shared" si="48"/>
        <v>2250000</v>
      </c>
      <c r="J1889" s="144">
        <f t="shared" si="49"/>
        <v>2250000</v>
      </c>
      <c r="K1889" s="108" t="s">
        <v>7539</v>
      </c>
      <c r="L1889" s="199" t="s">
        <v>7540</v>
      </c>
      <c r="M1889" s="17"/>
      <c r="N1889" s="68"/>
      <c r="O1889" s="64" t="s">
        <v>4175</v>
      </c>
      <c r="P1889" s="147" t="s">
        <v>4672</v>
      </c>
      <c r="Q1889" s="149"/>
      <c r="R1889" s="141"/>
      <c r="S1889" s="141"/>
      <c r="T1889" s="141">
        <v>100000.0</v>
      </c>
      <c r="U1889" s="149"/>
      <c r="V1889" s="149"/>
      <c r="W1889" s="149"/>
      <c r="X1889" s="68"/>
      <c r="Y1889" s="68"/>
      <c r="Z1889" s="68"/>
    </row>
    <row r="1890" ht="15.0" customHeight="1">
      <c r="A1890" s="206">
        <v>46043.0</v>
      </c>
      <c r="B1890" s="201" t="s">
        <v>7538</v>
      </c>
      <c r="C1890" s="45" t="s">
        <v>2770</v>
      </c>
      <c r="D1890" s="140" t="str">
        <f>IFERROR(VLOOKUP(C1890,Stock,3,FALSE),"")</f>
        <v>Transport</v>
      </c>
      <c r="E1890" s="45">
        <v>1.0</v>
      </c>
      <c r="F1890" s="198">
        <v>200000.0</v>
      </c>
      <c r="G1890" s="142">
        <f t="shared" si="50"/>
        <v>200000</v>
      </c>
      <c r="H1890" s="142"/>
      <c r="I1890" s="143">
        <f t="shared" si="48"/>
        <v>200000</v>
      </c>
      <c r="J1890" s="144">
        <f t="shared" si="49"/>
        <v>200000</v>
      </c>
      <c r="K1890" s="108" t="s">
        <v>7539</v>
      </c>
      <c r="L1890" s="199" t="s">
        <v>7540</v>
      </c>
      <c r="M1890" s="17"/>
      <c r="N1890" s="68"/>
      <c r="O1890" s="64" t="s">
        <v>4175</v>
      </c>
      <c r="P1890" s="147" t="s">
        <v>4672</v>
      </c>
      <c r="Q1890" s="149"/>
      <c r="R1890" s="149"/>
      <c r="S1890" s="149"/>
      <c r="T1890" s="149"/>
      <c r="U1890" s="149"/>
      <c r="V1890" s="149"/>
      <c r="W1890" s="149"/>
      <c r="X1890" s="68"/>
      <c r="Y1890" s="68"/>
      <c r="Z1890" s="68"/>
    </row>
    <row r="1891" ht="15.0" customHeight="1">
      <c r="A1891" s="206">
        <v>46044.0</v>
      </c>
      <c r="B1891" s="201" t="s">
        <v>7541</v>
      </c>
      <c r="C1891" s="45" t="s">
        <v>5063</v>
      </c>
      <c r="D1891" s="140" t="str">
        <f>IFERROR(VLOOKUP(C1891,Stock,3,FALSE),"")</f>
        <v>Toyota Innova 22- Zenyx 3rd Gen (Toyota)</v>
      </c>
      <c r="E1891" s="45">
        <v>1.0</v>
      </c>
      <c r="F1891" s="198">
        <v>948000.0</v>
      </c>
      <c r="G1891" s="142">
        <f t="shared" si="50"/>
        <v>948000</v>
      </c>
      <c r="H1891" s="142"/>
      <c r="I1891" s="143">
        <f t="shared" si="48"/>
        <v>948000</v>
      </c>
      <c r="J1891" s="144">
        <f t="shared" si="49"/>
        <v>948000</v>
      </c>
      <c r="K1891" s="108" t="s">
        <v>7542</v>
      </c>
      <c r="L1891" s="199" t="s">
        <v>7543</v>
      </c>
      <c r="M1891" s="17"/>
      <c r="N1891" s="64" t="s">
        <v>7544</v>
      </c>
      <c r="O1891" s="64" t="s">
        <v>7545</v>
      </c>
      <c r="P1891" s="170"/>
      <c r="Q1891" s="149"/>
      <c r="R1891" s="141"/>
      <c r="S1891" s="141"/>
      <c r="T1891" s="141">
        <v>200000.0</v>
      </c>
      <c r="U1891" s="149"/>
      <c r="V1891" s="149"/>
      <c r="W1891" s="149"/>
      <c r="X1891" s="68"/>
      <c r="Y1891" s="68"/>
      <c r="Z1891" s="68"/>
    </row>
    <row r="1892" ht="15.0" customHeight="1">
      <c r="A1892" s="206">
        <v>46044.0</v>
      </c>
      <c r="B1892" s="201" t="s">
        <v>7546</v>
      </c>
      <c r="C1892" s="45" t="s">
        <v>7547</v>
      </c>
      <c r="D1892" s="140" t="str">
        <f>IFERROR(VLOOKUP(C1892,Stock,3,FALSE),"")</f>
        <v>Chevrolet Trax 13- [Tanpa Sensor]</v>
      </c>
      <c r="E1892" s="45">
        <v>1.0</v>
      </c>
      <c r="F1892" s="198">
        <v>2550000.0</v>
      </c>
      <c r="G1892" s="142">
        <f t="shared" si="50"/>
        <v>2550000</v>
      </c>
      <c r="H1892" s="142"/>
      <c r="I1892" s="143">
        <f t="shared" si="48"/>
        <v>2550000</v>
      </c>
      <c r="J1892" s="144">
        <f t="shared" si="49"/>
        <v>2550000</v>
      </c>
      <c r="K1892" s="108" t="s">
        <v>7548</v>
      </c>
      <c r="L1892" s="199" t="s">
        <v>7549</v>
      </c>
      <c r="M1892" s="17"/>
      <c r="N1892" s="68"/>
      <c r="O1892" s="68"/>
      <c r="P1892" s="170"/>
      <c r="Q1892" s="149"/>
      <c r="R1892" s="149"/>
      <c r="S1892" s="149"/>
      <c r="T1892" s="149"/>
      <c r="U1892" s="149"/>
      <c r="V1892" s="149"/>
      <c r="W1892" s="149"/>
      <c r="X1892" s="68"/>
      <c r="Y1892" s="68"/>
      <c r="Z1892" s="68"/>
    </row>
    <row r="1893" ht="15.0" customHeight="1">
      <c r="A1893" s="206">
        <v>46044.0</v>
      </c>
      <c r="B1893" s="201" t="s">
        <v>7546</v>
      </c>
      <c r="C1893" s="45" t="s">
        <v>4979</v>
      </c>
      <c r="D1893" s="140" t="str">
        <f>IFERROR(VLOOKUP(C1893,Stock,3,FALSE),"")</f>
        <v>255 Ultra + Actv-100 Application</v>
      </c>
      <c r="E1893" s="45">
        <v>1.0</v>
      </c>
      <c r="F1893" s="198">
        <v>100000.0</v>
      </c>
      <c r="G1893" s="142">
        <f t="shared" si="50"/>
        <v>100000</v>
      </c>
      <c r="H1893" s="142"/>
      <c r="I1893" s="143">
        <f t="shared" si="48"/>
        <v>100000</v>
      </c>
      <c r="J1893" s="144">
        <f t="shared" si="49"/>
        <v>100000</v>
      </c>
      <c r="K1893" s="108" t="s">
        <v>7548</v>
      </c>
      <c r="L1893" s="199" t="s">
        <v>7549</v>
      </c>
      <c r="M1893" s="17"/>
      <c r="N1893" s="68"/>
      <c r="O1893" s="68"/>
      <c r="P1893" s="170"/>
      <c r="Q1893" s="149"/>
      <c r="R1893" s="149"/>
      <c r="S1893" s="149"/>
      <c r="T1893" s="149"/>
      <c r="U1893" s="149"/>
      <c r="V1893" s="149"/>
      <c r="W1893" s="149"/>
      <c r="X1893" s="68"/>
      <c r="Y1893" s="68"/>
      <c r="Z1893" s="68"/>
    </row>
    <row r="1894" ht="15.0" customHeight="1">
      <c r="A1894" s="206">
        <v>46044.0</v>
      </c>
      <c r="B1894" s="201" t="s">
        <v>7546</v>
      </c>
      <c r="C1894" s="45" t="s">
        <v>2770</v>
      </c>
      <c r="D1894" s="140" t="str">
        <f>IFERROR(VLOOKUP(C1894,Stock,3,FALSE),"")</f>
        <v>Transport</v>
      </c>
      <c r="E1894" s="45">
        <v>1.0</v>
      </c>
      <c r="F1894" s="198">
        <v>200000.0</v>
      </c>
      <c r="G1894" s="142">
        <f t="shared" si="50"/>
        <v>200000</v>
      </c>
      <c r="H1894" s="142"/>
      <c r="I1894" s="143">
        <f t="shared" si="48"/>
        <v>200000</v>
      </c>
      <c r="J1894" s="144">
        <f t="shared" si="49"/>
        <v>200000</v>
      </c>
      <c r="K1894" s="108" t="s">
        <v>7548</v>
      </c>
      <c r="L1894" s="199" t="s">
        <v>7549</v>
      </c>
      <c r="M1894" s="17"/>
      <c r="N1894" s="68"/>
      <c r="O1894" s="68"/>
      <c r="P1894" s="170"/>
      <c r="Q1894" s="149"/>
      <c r="R1894" s="149"/>
      <c r="S1894" s="149"/>
      <c r="T1894" s="149"/>
      <c r="U1894" s="149"/>
      <c r="V1894" s="149"/>
      <c r="W1894" s="149"/>
      <c r="X1894" s="68"/>
      <c r="Y1894" s="68"/>
      <c r="Z1894" s="68"/>
    </row>
    <row r="1895" ht="15.0" customHeight="1">
      <c r="A1895" s="265">
        <v>46045.0</v>
      </c>
      <c r="B1895" s="266" t="s">
        <v>7550</v>
      </c>
      <c r="C1895" s="269" t="s">
        <v>7551</v>
      </c>
      <c r="D1895" s="268" t="str">
        <f>IFERROR(VLOOKUP(C1895,Stock,3,FALSE),"")</f>
        <v>Mitsubishi L300</v>
      </c>
      <c r="E1895" s="269">
        <v>2.0</v>
      </c>
      <c r="F1895" s="270"/>
      <c r="G1895" s="271">
        <f t="shared" si="50"/>
        <v>0</v>
      </c>
      <c r="H1895" s="271"/>
      <c r="I1895" s="272">
        <f t="shared" si="48"/>
        <v>0</v>
      </c>
      <c r="J1895" s="273">
        <f t="shared" si="49"/>
        <v>0</v>
      </c>
      <c r="K1895" s="424"/>
      <c r="L1895" s="267" t="s">
        <v>4509</v>
      </c>
      <c r="M1895" s="274"/>
      <c r="N1895" s="275"/>
      <c r="O1895" s="275"/>
      <c r="P1895" s="276"/>
      <c r="Q1895" s="277"/>
      <c r="R1895" s="277"/>
      <c r="S1895" s="277"/>
      <c r="T1895" s="277"/>
      <c r="U1895" s="277"/>
      <c r="V1895" s="277"/>
      <c r="W1895" s="277"/>
      <c r="X1895" s="275"/>
      <c r="Y1895" s="275"/>
      <c r="Z1895" s="275"/>
    </row>
    <row r="1896" ht="15.0" customHeight="1">
      <c r="A1896" s="425"/>
      <c r="B1896" s="266" t="s">
        <v>7550</v>
      </c>
      <c r="C1896" s="269" t="s">
        <v>4134</v>
      </c>
      <c r="D1896" s="268" t="str">
        <f>IFERROR(VLOOKUP(C1896,Stock,3,FALSE),"")</f>
        <v>Mazda 2 14- Skyactiv 4th Gen</v>
      </c>
      <c r="E1896" s="269">
        <v>1.0</v>
      </c>
      <c r="F1896" s="270"/>
      <c r="G1896" s="271">
        <f t="shared" si="50"/>
        <v>0</v>
      </c>
      <c r="H1896" s="271"/>
      <c r="I1896" s="272">
        <f t="shared" si="48"/>
        <v>0</v>
      </c>
      <c r="J1896" s="273">
        <f t="shared" si="49"/>
        <v>0</v>
      </c>
      <c r="K1896" s="424"/>
      <c r="L1896" s="267" t="s">
        <v>4509</v>
      </c>
      <c r="M1896" s="274"/>
      <c r="N1896" s="275"/>
      <c r="O1896" s="275"/>
      <c r="P1896" s="276"/>
      <c r="Q1896" s="277"/>
      <c r="R1896" s="277"/>
      <c r="S1896" s="277"/>
      <c r="T1896" s="277"/>
      <c r="U1896" s="277"/>
      <c r="V1896" s="277"/>
      <c r="W1896" s="277"/>
      <c r="X1896" s="275"/>
      <c r="Y1896" s="275"/>
      <c r="Z1896" s="275"/>
    </row>
    <row r="1897" ht="15.0" customHeight="1">
      <c r="A1897" s="425"/>
      <c r="B1897" s="266" t="s">
        <v>7550</v>
      </c>
      <c r="C1897" s="269" t="s">
        <v>3225</v>
      </c>
      <c r="D1897" s="268" t="str">
        <f>IFERROR(VLOOKUP(C1897,Stock,3,FALSE),"")</f>
        <v>Toyota Rush / Terios 18-</v>
      </c>
      <c r="E1897" s="269">
        <v>2.0</v>
      </c>
      <c r="F1897" s="270"/>
      <c r="G1897" s="271">
        <f t="shared" si="50"/>
        <v>0</v>
      </c>
      <c r="H1897" s="271"/>
      <c r="I1897" s="272">
        <f t="shared" si="48"/>
        <v>0</v>
      </c>
      <c r="J1897" s="273">
        <f t="shared" si="49"/>
        <v>0</v>
      </c>
      <c r="K1897" s="424"/>
      <c r="L1897" s="267" t="s">
        <v>4509</v>
      </c>
      <c r="M1897" s="274"/>
      <c r="N1897" s="275"/>
      <c r="O1897" s="275"/>
      <c r="P1897" s="276"/>
      <c r="Q1897" s="277"/>
      <c r="R1897" s="277"/>
      <c r="S1897" s="277"/>
      <c r="T1897" s="277"/>
      <c r="U1897" s="277"/>
      <c r="V1897" s="277"/>
      <c r="W1897" s="277"/>
      <c r="X1897" s="275"/>
      <c r="Y1897" s="275"/>
      <c r="Z1897" s="275"/>
    </row>
    <row r="1898" ht="15.0" customHeight="1">
      <c r="A1898" s="206">
        <v>46044.0</v>
      </c>
      <c r="B1898" s="201" t="s">
        <v>7552</v>
      </c>
      <c r="C1898" s="45" t="s">
        <v>7553</v>
      </c>
      <c r="D1898" s="140" t="str">
        <f>IFERROR(VLOOKUP(C1898,Stock,3,FALSE),"")</f>
        <v>Toyota Yaris 13- 2nd Gen XP150 / 18- 3rd Gen XP151</v>
      </c>
      <c r="E1898" s="45">
        <v>1.0</v>
      </c>
      <c r="F1898" s="198">
        <v>735000.0</v>
      </c>
      <c r="G1898" s="142">
        <f t="shared" si="50"/>
        <v>735000</v>
      </c>
      <c r="H1898" s="142"/>
      <c r="I1898" s="143">
        <f t="shared" si="48"/>
        <v>735000</v>
      </c>
      <c r="J1898" s="144">
        <f t="shared" si="49"/>
        <v>735000</v>
      </c>
      <c r="K1898" s="108" t="s">
        <v>7554</v>
      </c>
      <c r="L1898" s="199" t="s">
        <v>7555</v>
      </c>
      <c r="M1898" s="17"/>
      <c r="N1898" s="64" t="s">
        <v>7556</v>
      </c>
      <c r="O1898" s="68"/>
      <c r="P1898" s="147" t="s">
        <v>4672</v>
      </c>
      <c r="Q1898" s="149"/>
      <c r="R1898" s="149"/>
      <c r="S1898" s="149"/>
      <c r="T1898" s="149">
        <f>J1898</f>
        <v>735000</v>
      </c>
      <c r="U1898" s="149"/>
      <c r="V1898" s="149"/>
      <c r="W1898" s="149"/>
      <c r="X1898" s="64" t="s">
        <v>2936</v>
      </c>
      <c r="Y1898" s="68"/>
      <c r="Z1898" s="68"/>
    </row>
    <row r="1899" ht="15.0" customHeight="1">
      <c r="A1899" s="206">
        <v>46046.0</v>
      </c>
      <c r="B1899" s="201" t="s">
        <v>7557</v>
      </c>
      <c r="C1899" s="45" t="s">
        <v>2003</v>
      </c>
      <c r="D1899" s="140" t="str">
        <f>IFERROR(VLOOKUP(C1899,Stock,3,FALSE),"")</f>
        <v>Toyota Agya/Ayla 13-22 1st Gen</v>
      </c>
      <c r="E1899" s="45">
        <v>1.0</v>
      </c>
      <c r="F1899" s="198">
        <v>1000000.0</v>
      </c>
      <c r="G1899" s="142">
        <f t="shared" si="50"/>
        <v>1000000</v>
      </c>
      <c r="H1899" s="142"/>
      <c r="I1899" s="143">
        <f t="shared" si="48"/>
        <v>1000000</v>
      </c>
      <c r="J1899" s="144">
        <f t="shared" si="49"/>
        <v>1000000</v>
      </c>
      <c r="K1899" s="108" t="s">
        <v>7558</v>
      </c>
      <c r="L1899" s="199" t="s">
        <v>7559</v>
      </c>
      <c r="M1899" s="17"/>
      <c r="N1899" s="68"/>
      <c r="O1899" s="68"/>
      <c r="P1899" s="170"/>
      <c r="Q1899" s="149"/>
      <c r="R1899" s="149"/>
      <c r="S1899" s="149"/>
      <c r="T1899" s="149"/>
      <c r="U1899" s="149"/>
      <c r="V1899" s="149"/>
      <c r="W1899" s="149"/>
      <c r="X1899" s="68"/>
      <c r="Y1899" s="68"/>
      <c r="Z1899" s="68"/>
    </row>
    <row r="1900" ht="15.0" customHeight="1">
      <c r="A1900" s="206">
        <v>46046.0</v>
      </c>
      <c r="B1900" s="201" t="s">
        <v>7560</v>
      </c>
      <c r="C1900" s="45" t="s">
        <v>3246</v>
      </c>
      <c r="D1900" s="140" t="str">
        <f>IFERROR(VLOOKUP(C1900,Stock,3,FALSE),"")</f>
        <v>Toyota Calya / Sigra 16-</v>
      </c>
      <c r="E1900" s="45">
        <v>1.0</v>
      </c>
      <c r="F1900" s="198">
        <v>1200000.0</v>
      </c>
      <c r="G1900" s="142">
        <f t="shared" si="50"/>
        <v>1200000</v>
      </c>
      <c r="H1900" s="142"/>
      <c r="I1900" s="143">
        <f t="shared" si="48"/>
        <v>1200000</v>
      </c>
      <c r="J1900" s="144">
        <f t="shared" si="49"/>
        <v>1200000</v>
      </c>
      <c r="K1900" s="108" t="s">
        <v>7561</v>
      </c>
      <c r="L1900" s="199" t="s">
        <v>7562</v>
      </c>
      <c r="M1900" s="17"/>
      <c r="N1900" s="68"/>
      <c r="O1900" s="68"/>
      <c r="P1900" s="170"/>
      <c r="Q1900" s="149"/>
      <c r="R1900" s="149"/>
      <c r="S1900" s="149"/>
      <c r="T1900" s="149"/>
      <c r="U1900" s="149"/>
      <c r="V1900" s="149"/>
      <c r="W1900" s="149"/>
      <c r="X1900" s="68"/>
      <c r="Y1900" s="68"/>
      <c r="Z1900" s="68"/>
    </row>
    <row r="1901" ht="15.0" customHeight="1">
      <c r="A1901" s="206">
        <v>46046.0</v>
      </c>
      <c r="B1901" s="201" t="s">
        <v>7560</v>
      </c>
      <c r="C1901" s="45" t="s">
        <v>7011</v>
      </c>
      <c r="D1901" s="140" t="str">
        <f>IFERROR(VLOOKUP(C1901,Stock,3,FALSE),"")</f>
        <v>Automotive Film Standard - Black 40%				</v>
      </c>
      <c r="E1901" s="45">
        <v>1.0</v>
      </c>
      <c r="F1901" s="198">
        <v>250000.0</v>
      </c>
      <c r="G1901" s="142">
        <f t="shared" si="50"/>
        <v>250000</v>
      </c>
      <c r="H1901" s="142"/>
      <c r="I1901" s="143">
        <f t="shared" si="48"/>
        <v>250000</v>
      </c>
      <c r="J1901" s="144">
        <f t="shared" si="49"/>
        <v>250000</v>
      </c>
      <c r="K1901" s="200"/>
      <c r="L1901" s="17"/>
      <c r="M1901" s="17"/>
      <c r="N1901" s="68"/>
      <c r="O1901" s="68"/>
      <c r="P1901" s="170"/>
      <c r="Q1901" s="149"/>
      <c r="R1901" s="149"/>
      <c r="S1901" s="149"/>
      <c r="T1901" s="149"/>
      <c r="U1901" s="149"/>
      <c r="V1901" s="149"/>
      <c r="W1901" s="149"/>
      <c r="X1901" s="68"/>
      <c r="Y1901" s="68"/>
      <c r="Z1901" s="68"/>
    </row>
    <row r="1902" ht="15.0" customHeight="1">
      <c r="A1902" s="206">
        <v>46046.0</v>
      </c>
      <c r="B1902" s="201" t="s">
        <v>7563</v>
      </c>
      <c r="C1902" s="45" t="s">
        <v>3246</v>
      </c>
      <c r="D1902" s="140" t="str">
        <f>IFERROR(VLOOKUP(C1902,Stock,3,FALSE),"")</f>
        <v>Toyota Calya / Sigra 16-</v>
      </c>
      <c r="E1902" s="45">
        <v>1.0</v>
      </c>
      <c r="F1902" s="198">
        <v>1200000.0</v>
      </c>
      <c r="G1902" s="142">
        <f t="shared" si="50"/>
        <v>1200000</v>
      </c>
      <c r="H1902" s="142"/>
      <c r="I1902" s="143">
        <f t="shared" si="48"/>
        <v>1200000</v>
      </c>
      <c r="J1902" s="144">
        <f t="shared" si="49"/>
        <v>1200000</v>
      </c>
      <c r="K1902" s="108" t="s">
        <v>7564</v>
      </c>
      <c r="L1902" s="199" t="s">
        <v>7565</v>
      </c>
      <c r="M1902" s="17"/>
      <c r="N1902" s="64" t="s">
        <v>7566</v>
      </c>
      <c r="O1902" s="64" t="s">
        <v>7567</v>
      </c>
      <c r="P1902" s="147" t="s">
        <v>4672</v>
      </c>
      <c r="Q1902" s="149"/>
      <c r="R1902" s="149"/>
      <c r="S1902" s="149"/>
      <c r="T1902" s="149">
        <f>J1902+J1903</f>
        <v>1450000</v>
      </c>
      <c r="U1902" s="149"/>
      <c r="V1902" s="149"/>
      <c r="W1902" s="149"/>
      <c r="X1902" s="64" t="s">
        <v>3309</v>
      </c>
      <c r="Y1902" s="68"/>
      <c r="Z1902" s="68"/>
    </row>
    <row r="1903" ht="15.0" customHeight="1">
      <c r="A1903" s="206">
        <v>46046.0</v>
      </c>
      <c r="B1903" s="201" t="s">
        <v>7563</v>
      </c>
      <c r="C1903" s="45" t="s">
        <v>7011</v>
      </c>
      <c r="D1903" s="140" t="str">
        <f>IFERROR(VLOOKUP(C1903,Stock,3,FALSE),"")</f>
        <v>Automotive Film Standard - Black 40%				</v>
      </c>
      <c r="E1903" s="45">
        <v>1.0</v>
      </c>
      <c r="F1903" s="198">
        <v>250000.0</v>
      </c>
      <c r="G1903" s="142">
        <f t="shared" si="50"/>
        <v>250000</v>
      </c>
      <c r="H1903" s="142"/>
      <c r="I1903" s="143">
        <f t="shared" si="48"/>
        <v>250000</v>
      </c>
      <c r="J1903" s="144">
        <f t="shared" si="49"/>
        <v>250000</v>
      </c>
      <c r="K1903" s="108" t="s">
        <v>7564</v>
      </c>
      <c r="L1903" s="199" t="s">
        <v>7565</v>
      </c>
      <c r="M1903" s="17"/>
      <c r="N1903" s="64" t="s">
        <v>7566</v>
      </c>
      <c r="O1903" s="64" t="s">
        <v>7567</v>
      </c>
      <c r="P1903" s="147" t="s">
        <v>4672</v>
      </c>
      <c r="Q1903" s="149"/>
      <c r="R1903" s="149"/>
      <c r="S1903" s="149"/>
      <c r="T1903" s="149"/>
      <c r="U1903" s="149"/>
      <c r="V1903" s="149"/>
      <c r="W1903" s="149"/>
      <c r="X1903" s="68"/>
      <c r="Y1903" s="68"/>
      <c r="Z1903" s="68"/>
    </row>
    <row r="1904" ht="15.0" customHeight="1">
      <c r="A1904" s="206">
        <v>46046.0</v>
      </c>
      <c r="B1904" s="201" t="s">
        <v>7568</v>
      </c>
      <c r="C1904" s="45" t="s">
        <v>3700</v>
      </c>
      <c r="D1904" s="140" t="str">
        <f>IFERROR(VLOOKUP(C1904,Stock,3,FALSE),"")</f>
        <v>Toyota Avanza / Xenia 11-15 2nd Gen / 15-21 3rd Gen</v>
      </c>
      <c r="E1904" s="45">
        <v>1.0</v>
      </c>
      <c r="F1904" s="198">
        <v>839000.0</v>
      </c>
      <c r="G1904" s="142">
        <f t="shared" si="50"/>
        <v>839000</v>
      </c>
      <c r="H1904" s="142"/>
      <c r="I1904" s="143">
        <f t="shared" si="48"/>
        <v>839000</v>
      </c>
      <c r="J1904" s="144">
        <f t="shared" si="49"/>
        <v>839000</v>
      </c>
      <c r="K1904" s="108" t="s">
        <v>7569</v>
      </c>
      <c r="L1904" s="199" t="s">
        <v>7570</v>
      </c>
      <c r="M1904" s="17"/>
      <c r="N1904" s="64" t="s">
        <v>7571</v>
      </c>
      <c r="O1904" s="68"/>
      <c r="P1904" s="147" t="s">
        <v>4672</v>
      </c>
      <c r="Q1904" s="149"/>
      <c r="R1904" s="149"/>
      <c r="S1904" s="149"/>
      <c r="T1904" s="149"/>
      <c r="U1904" s="149"/>
      <c r="V1904" s="149"/>
      <c r="W1904" s="149"/>
      <c r="X1904" s="68"/>
      <c r="Y1904" s="68"/>
      <c r="Z1904" s="68"/>
    </row>
    <row r="1905" ht="15.0" customHeight="1">
      <c r="A1905" s="426">
        <v>46046.0</v>
      </c>
      <c r="B1905" s="427" t="s">
        <v>7572</v>
      </c>
      <c r="C1905" s="428" t="s">
        <v>2830</v>
      </c>
      <c r="D1905" s="429"/>
      <c r="E1905" s="428"/>
      <c r="F1905" s="430"/>
      <c r="G1905" s="431"/>
      <c r="H1905" s="431"/>
      <c r="I1905" s="432"/>
      <c r="J1905" s="433"/>
      <c r="K1905" s="434"/>
      <c r="L1905" s="428"/>
      <c r="M1905" s="435"/>
      <c r="N1905" s="436"/>
      <c r="O1905" s="436"/>
      <c r="P1905" s="437"/>
      <c r="Q1905" s="438"/>
      <c r="R1905" s="438"/>
      <c r="S1905" s="438"/>
      <c r="T1905" s="438"/>
      <c r="U1905" s="438"/>
      <c r="V1905" s="438"/>
      <c r="W1905" s="438"/>
      <c r="X1905" s="436"/>
      <c r="Y1905" s="436"/>
      <c r="Z1905" s="436"/>
    </row>
    <row r="1906" ht="15.0" customHeight="1">
      <c r="A1906" s="206">
        <v>46046.0</v>
      </c>
      <c r="B1906" s="201" t="s">
        <v>7573</v>
      </c>
      <c r="C1906" s="45" t="s">
        <v>2837</v>
      </c>
      <c r="D1906" s="140" t="str">
        <f>IFERROR(VLOOKUP(C1906,Stock,3,FALSE),"")</f>
        <v>Toyota Corolla Cross 21-</v>
      </c>
      <c r="E1906" s="45">
        <v>1.0</v>
      </c>
      <c r="F1906" s="198">
        <v>3450000.0</v>
      </c>
      <c r="G1906" s="142">
        <f t="shared" ref="G1906:G1914" si="51">E1906*F1906</f>
        <v>3450000</v>
      </c>
      <c r="H1906" s="142"/>
      <c r="I1906" s="143">
        <f t="shared" ref="I1906:I1914" si="52">G1906-H1906</f>
        <v>3450000</v>
      </c>
      <c r="J1906" s="144">
        <f>I1906+I1907</f>
        <v>3800000</v>
      </c>
      <c r="K1906" s="108" t="s">
        <v>7574</v>
      </c>
      <c r="L1906" s="199" t="s">
        <v>7575</v>
      </c>
      <c r="M1906" s="17"/>
      <c r="N1906" s="64" t="s">
        <v>7576</v>
      </c>
      <c r="O1906" s="68"/>
      <c r="P1906" s="147" t="s">
        <v>4672</v>
      </c>
      <c r="Q1906" s="149"/>
      <c r="R1906" s="149"/>
      <c r="S1906" s="149"/>
      <c r="T1906" s="149"/>
      <c r="U1906" s="149"/>
      <c r="V1906" s="149"/>
      <c r="W1906" s="149"/>
      <c r="X1906" s="64" t="s">
        <v>2936</v>
      </c>
      <c r="Y1906" s="68"/>
      <c r="Z1906" s="68"/>
    </row>
    <row r="1907" ht="15.0" customHeight="1">
      <c r="A1907" s="206">
        <v>46046.0</v>
      </c>
      <c r="B1907" s="201" t="s">
        <v>7573</v>
      </c>
      <c r="C1907" s="45" t="s">
        <v>7011</v>
      </c>
      <c r="D1907" s="140" t="str">
        <f>IFERROR(VLOOKUP(C1907,Stock,3,FALSE),"")</f>
        <v>Automotive Film Standard - Black 40%				</v>
      </c>
      <c r="E1907" s="45">
        <v>1.0</v>
      </c>
      <c r="F1907" s="198">
        <v>350000.0</v>
      </c>
      <c r="G1907" s="142">
        <f t="shared" si="51"/>
        <v>350000</v>
      </c>
      <c r="H1907" s="142"/>
      <c r="I1907" s="143">
        <f t="shared" si="52"/>
        <v>350000</v>
      </c>
      <c r="J1907" s="144"/>
      <c r="K1907" s="108" t="s">
        <v>7574</v>
      </c>
      <c r="L1907" s="199" t="s">
        <v>7575</v>
      </c>
      <c r="M1907" s="17"/>
      <c r="N1907" s="64" t="s">
        <v>7576</v>
      </c>
      <c r="O1907" s="68"/>
      <c r="P1907" s="147" t="s">
        <v>4672</v>
      </c>
      <c r="Q1907" s="149"/>
      <c r="R1907" s="149"/>
      <c r="S1907" s="149"/>
      <c r="T1907" s="149"/>
      <c r="U1907" s="149"/>
      <c r="V1907" s="149"/>
      <c r="W1907" s="149"/>
      <c r="X1907" s="64" t="s">
        <v>2936</v>
      </c>
      <c r="Y1907" s="68"/>
      <c r="Z1907" s="68"/>
    </row>
    <row r="1908" ht="15.0" customHeight="1">
      <c r="A1908" s="206">
        <v>46046.0</v>
      </c>
      <c r="B1908" s="201" t="s">
        <v>7577</v>
      </c>
      <c r="C1908" s="45" t="s">
        <v>3147</v>
      </c>
      <c r="D1908" s="140" t="str">
        <f>IFERROR(VLOOKUP(C1908,Stock,3,FALSE),"")</f>
        <v>Chevrolet Spin 12-</v>
      </c>
      <c r="E1908" s="45">
        <v>1.0</v>
      </c>
      <c r="F1908" s="198">
        <v>1500000.0</v>
      </c>
      <c r="G1908" s="142">
        <f t="shared" si="51"/>
        <v>1500000</v>
      </c>
      <c r="H1908" s="142"/>
      <c r="I1908" s="143">
        <f t="shared" si="52"/>
        <v>1500000</v>
      </c>
      <c r="J1908" s="144">
        <f t="shared" ref="J1908:J1914" si="53">I1908</f>
        <v>1500000</v>
      </c>
      <c r="K1908" s="108" t="s">
        <v>7578</v>
      </c>
      <c r="L1908" s="199" t="s">
        <v>7579</v>
      </c>
      <c r="M1908" s="17"/>
      <c r="N1908" s="64" t="s">
        <v>7580</v>
      </c>
      <c r="O1908" s="68"/>
      <c r="P1908" s="147" t="s">
        <v>4672</v>
      </c>
      <c r="Q1908" s="149"/>
      <c r="R1908" s="149"/>
      <c r="S1908" s="149"/>
      <c r="T1908" s="149"/>
      <c r="U1908" s="149"/>
      <c r="V1908" s="149"/>
      <c r="W1908" s="149"/>
      <c r="X1908" s="64" t="s">
        <v>2936</v>
      </c>
      <c r="Y1908" s="68"/>
      <c r="Z1908" s="68"/>
    </row>
    <row r="1909" ht="15.0" customHeight="1">
      <c r="A1909" s="206">
        <v>46046.0</v>
      </c>
      <c r="B1909" s="201" t="s">
        <v>7581</v>
      </c>
      <c r="C1909" s="45" t="s">
        <v>4226</v>
      </c>
      <c r="D1909" s="140" t="str">
        <f>IFERROR(VLOOKUP(C1909,Stock,3,FALSE),"")</f>
        <v>Honda HR-V 14-21 5D SUV (Honda)</v>
      </c>
      <c r="E1909" s="45">
        <v>1.0</v>
      </c>
      <c r="F1909" s="198">
        <v>3150000.0</v>
      </c>
      <c r="G1909" s="142">
        <f t="shared" si="51"/>
        <v>3150000</v>
      </c>
      <c r="H1909" s="142"/>
      <c r="I1909" s="143">
        <f t="shared" si="52"/>
        <v>3150000</v>
      </c>
      <c r="J1909" s="144">
        <f t="shared" si="53"/>
        <v>3150000</v>
      </c>
      <c r="K1909" s="108" t="s">
        <v>7582</v>
      </c>
      <c r="L1909" s="199" t="s">
        <v>7583</v>
      </c>
      <c r="M1909" s="17"/>
      <c r="N1909" s="64" t="s">
        <v>7584</v>
      </c>
      <c r="O1909" s="68"/>
      <c r="P1909" s="170"/>
      <c r="Q1909" s="149"/>
      <c r="R1909" s="149"/>
      <c r="S1909" s="149"/>
      <c r="T1909" s="149"/>
      <c r="U1909" s="149"/>
      <c r="V1909" s="149"/>
      <c r="W1909" s="149"/>
      <c r="X1909" s="68"/>
      <c r="Y1909" s="68"/>
      <c r="Z1909" s="68"/>
    </row>
    <row r="1910" ht="15.0" customHeight="1">
      <c r="A1910" s="206">
        <v>46048.0</v>
      </c>
      <c r="B1910" s="201" t="s">
        <v>7585</v>
      </c>
      <c r="C1910" s="45" t="s">
        <v>3358</v>
      </c>
      <c r="D1910" s="140" t="str">
        <f>IFERROR(VLOOKUP(C1910,Stock,3,FALSE),"")</f>
        <v>Toyota Avanza / Xenia 11-15 2nd Gen / 15-21 3rd Gen</v>
      </c>
      <c r="E1910" s="45">
        <v>10.0</v>
      </c>
      <c r="F1910" s="198"/>
      <c r="G1910" s="142">
        <f t="shared" si="51"/>
        <v>0</v>
      </c>
      <c r="H1910" s="142"/>
      <c r="I1910" s="143">
        <f t="shared" si="52"/>
        <v>0</v>
      </c>
      <c r="J1910" s="144">
        <f t="shared" si="53"/>
        <v>0</v>
      </c>
      <c r="K1910" s="108" t="s">
        <v>4827</v>
      </c>
      <c r="L1910" s="17"/>
      <c r="M1910" s="17"/>
      <c r="N1910" s="68"/>
      <c r="O1910" s="68"/>
      <c r="P1910" s="170"/>
      <c r="Q1910" s="149"/>
      <c r="R1910" s="149"/>
      <c r="S1910" s="149"/>
      <c r="T1910" s="149"/>
      <c r="U1910" s="149"/>
      <c r="V1910" s="149"/>
      <c r="W1910" s="149"/>
      <c r="X1910" s="68"/>
      <c r="Y1910" s="68"/>
      <c r="Z1910" s="68"/>
    </row>
    <row r="1911" ht="15.0" customHeight="1">
      <c r="A1911" s="206">
        <v>46048.0</v>
      </c>
      <c r="B1911" s="201" t="s">
        <v>7585</v>
      </c>
      <c r="C1911" s="45" t="s">
        <v>6866</v>
      </c>
      <c r="D1911" s="140" t="str">
        <f>IFERROR(VLOOKUP(C1911,Stock,3,FALSE),"")</f>
        <v>Toyota Alphard 15-17 ANH30 3rd Gen (Hitam)</v>
      </c>
      <c r="E1911" s="45">
        <v>1.0</v>
      </c>
      <c r="F1911" s="198"/>
      <c r="G1911" s="142">
        <f t="shared" si="51"/>
        <v>0</v>
      </c>
      <c r="H1911" s="142"/>
      <c r="I1911" s="143">
        <f t="shared" si="52"/>
        <v>0</v>
      </c>
      <c r="J1911" s="144">
        <f t="shared" si="53"/>
        <v>0</v>
      </c>
      <c r="K1911" s="108" t="s">
        <v>4827</v>
      </c>
      <c r="L1911" s="17"/>
      <c r="M1911" s="17"/>
      <c r="N1911" s="68"/>
      <c r="O1911" s="68"/>
      <c r="P1911" s="170"/>
      <c r="Q1911" s="149"/>
      <c r="R1911" s="149"/>
      <c r="S1911" s="149"/>
      <c r="T1911" s="149"/>
      <c r="U1911" s="149"/>
      <c r="V1911" s="149"/>
      <c r="W1911" s="149"/>
      <c r="X1911" s="68"/>
      <c r="Y1911" s="68"/>
      <c r="Z1911" s="68"/>
    </row>
    <row r="1912" ht="15.0" customHeight="1">
      <c r="A1912" s="206">
        <v>46048.0</v>
      </c>
      <c r="B1912" s="201" t="s">
        <v>7585</v>
      </c>
      <c r="C1912" s="45" t="s">
        <v>6235</v>
      </c>
      <c r="D1912" s="140" t="str">
        <f>IFERROR(VLOOKUP(C1912,Stock,3,FALSE),"")</f>
        <v>Mazda CX-3 15-</v>
      </c>
      <c r="E1912" s="45">
        <v>1.0</v>
      </c>
      <c r="F1912" s="202"/>
      <c r="G1912" s="142">
        <f t="shared" si="51"/>
        <v>0</v>
      </c>
      <c r="H1912" s="142"/>
      <c r="I1912" s="143">
        <f t="shared" si="52"/>
        <v>0</v>
      </c>
      <c r="J1912" s="144">
        <f t="shared" si="53"/>
        <v>0</v>
      </c>
      <c r="K1912" s="108" t="s">
        <v>4827</v>
      </c>
      <c r="L1912" s="17"/>
      <c r="M1912" s="17"/>
      <c r="N1912" s="68"/>
      <c r="O1912" s="68"/>
      <c r="P1912" s="170"/>
      <c r="Q1912" s="149"/>
      <c r="R1912" s="149"/>
      <c r="S1912" s="149"/>
      <c r="T1912" s="149"/>
      <c r="U1912" s="149"/>
      <c r="V1912" s="149"/>
      <c r="W1912" s="149"/>
      <c r="X1912" s="68"/>
      <c r="Y1912" s="68"/>
      <c r="Z1912" s="68"/>
    </row>
    <row r="1913" ht="15.0" customHeight="1">
      <c r="A1913" s="206">
        <v>46048.0</v>
      </c>
      <c r="B1913" s="201" t="s">
        <v>7586</v>
      </c>
      <c r="C1913" s="45" t="s">
        <v>7476</v>
      </c>
      <c r="D1913" s="140" t="str">
        <f>IFERROR(VLOOKUP(C1913,Stock,3,FALSE),"")</f>
        <v>Suzuki APV 03- Pickup/ Van (MULIA)</v>
      </c>
      <c r="E1913" s="45">
        <v>5.0</v>
      </c>
      <c r="F1913" s="202"/>
      <c r="G1913" s="142">
        <f t="shared" si="51"/>
        <v>0</v>
      </c>
      <c r="H1913" s="142"/>
      <c r="I1913" s="143">
        <f t="shared" si="52"/>
        <v>0</v>
      </c>
      <c r="J1913" s="144">
        <f t="shared" si="53"/>
        <v>0</v>
      </c>
      <c r="K1913" s="108" t="s">
        <v>7587</v>
      </c>
      <c r="L1913" s="17"/>
      <c r="M1913" s="17"/>
      <c r="N1913" s="68"/>
      <c r="O1913" s="68"/>
      <c r="P1913" s="170"/>
      <c r="Q1913" s="149"/>
      <c r="R1913" s="149"/>
      <c r="S1913" s="149"/>
      <c r="T1913" s="149"/>
      <c r="U1913" s="149"/>
      <c r="V1913" s="149"/>
      <c r="W1913" s="149"/>
      <c r="X1913" s="68"/>
      <c r="Y1913" s="68"/>
      <c r="Z1913" s="68"/>
    </row>
    <row r="1914" ht="15.0" customHeight="1">
      <c r="A1914" s="206">
        <v>46048.0</v>
      </c>
      <c r="B1914" s="201" t="s">
        <v>7586</v>
      </c>
      <c r="C1914" s="45" t="s">
        <v>2952</v>
      </c>
      <c r="D1914" s="140" t="str">
        <f>IFERROR(VLOOKUP(C1914,Stock,3,FALSE),"")</f>
        <v/>
      </c>
      <c r="E1914" s="45">
        <v>5.0</v>
      </c>
      <c r="F1914" s="202"/>
      <c r="G1914" s="142">
        <f t="shared" si="51"/>
        <v>0</v>
      </c>
      <c r="H1914" s="142"/>
      <c r="I1914" s="143">
        <f t="shared" si="52"/>
        <v>0</v>
      </c>
      <c r="J1914" s="144">
        <f t="shared" si="53"/>
        <v>0</v>
      </c>
      <c r="K1914" s="108" t="s">
        <v>7587</v>
      </c>
      <c r="L1914" s="17"/>
      <c r="M1914" s="17"/>
      <c r="N1914" s="68"/>
      <c r="O1914" s="68"/>
      <c r="P1914" s="170"/>
      <c r="Q1914" s="149"/>
      <c r="R1914" s="149"/>
      <c r="S1914" s="149"/>
      <c r="T1914" s="149"/>
      <c r="U1914" s="149"/>
      <c r="V1914" s="149"/>
      <c r="W1914" s="149"/>
      <c r="X1914" s="68"/>
      <c r="Y1914" s="68"/>
      <c r="Z1914" s="68"/>
    </row>
    <row r="1915" ht="15.0" customHeight="1">
      <c r="A1915" s="206">
        <v>46048.0</v>
      </c>
      <c r="B1915" s="201" t="s">
        <v>7586</v>
      </c>
      <c r="C1915" s="45" t="s">
        <v>3234</v>
      </c>
      <c r="D1915" s="140" t="str">
        <f>IFERROR(VLOOKUP(C1915,Stock,3,FALSE),"")</f>
        <v>Toyota Avanza / Xenia 21- 4th Gen (Non sensor)</v>
      </c>
      <c r="E1915" s="45">
        <v>5.0</v>
      </c>
      <c r="F1915" s="198"/>
      <c r="G1915" s="142"/>
      <c r="H1915" s="142"/>
      <c r="I1915" s="143"/>
      <c r="J1915" s="144"/>
      <c r="K1915" s="108" t="s">
        <v>7587</v>
      </c>
      <c r="L1915" s="45"/>
      <c r="M1915" s="17"/>
      <c r="N1915" s="64"/>
      <c r="O1915" s="64"/>
      <c r="P1915" s="147"/>
      <c r="Q1915" s="149"/>
      <c r="R1915" s="149"/>
      <c r="S1915" s="149"/>
      <c r="T1915" s="149"/>
      <c r="U1915" s="149"/>
      <c r="V1915" s="149"/>
      <c r="W1915" s="149"/>
      <c r="X1915" s="68"/>
      <c r="Y1915" s="68"/>
      <c r="Z1915" s="68"/>
    </row>
    <row r="1916" ht="15.0" customHeight="1">
      <c r="A1916" s="206">
        <v>46048.0</v>
      </c>
      <c r="B1916" s="201" t="s">
        <v>7586</v>
      </c>
      <c r="C1916" s="45" t="s">
        <v>3246</v>
      </c>
      <c r="D1916" s="140" t="str">
        <f>IFERROR(VLOOKUP(C1916,Stock,3,FALSE),"")</f>
        <v>Toyota Calya / Sigra 16-</v>
      </c>
      <c r="E1916" s="45">
        <v>3.0</v>
      </c>
      <c r="F1916" s="198"/>
      <c r="G1916" s="142"/>
      <c r="H1916" s="142"/>
      <c r="I1916" s="143"/>
      <c r="J1916" s="144"/>
      <c r="K1916" s="108" t="s">
        <v>7587</v>
      </c>
      <c r="L1916" s="45"/>
      <c r="M1916" s="17"/>
      <c r="N1916" s="64"/>
      <c r="O1916" s="64"/>
      <c r="P1916" s="147"/>
      <c r="Q1916" s="149"/>
      <c r="R1916" s="149"/>
      <c r="S1916" s="149"/>
      <c r="T1916" s="149"/>
      <c r="U1916" s="149"/>
      <c r="V1916" s="149"/>
      <c r="W1916" s="149"/>
      <c r="X1916" s="68"/>
      <c r="Y1916" s="68"/>
      <c r="Z1916" s="68"/>
    </row>
    <row r="1917" ht="15.0" customHeight="1">
      <c r="A1917" s="206">
        <v>46048.0</v>
      </c>
      <c r="B1917" s="201" t="s">
        <v>7586</v>
      </c>
      <c r="C1917" s="45" t="s">
        <v>7270</v>
      </c>
      <c r="D1917" s="140" t="str">
        <f>IFERROR(VLOOKUP(C1917,Stock,3,FALSE),"")</f>
        <v>Toyota Fortuner 05-15 1st Gen</v>
      </c>
      <c r="E1917" s="45">
        <v>3.0</v>
      </c>
      <c r="F1917" s="198"/>
      <c r="G1917" s="142"/>
      <c r="H1917" s="142"/>
      <c r="I1917" s="143"/>
      <c r="J1917" s="144"/>
      <c r="K1917" s="108" t="s">
        <v>7587</v>
      </c>
      <c r="L1917" s="45"/>
      <c r="M1917" s="17"/>
      <c r="N1917" s="64"/>
      <c r="O1917" s="64"/>
      <c r="P1917" s="147"/>
      <c r="Q1917" s="149"/>
      <c r="R1917" s="149"/>
      <c r="S1917" s="149"/>
      <c r="T1917" s="149"/>
      <c r="U1917" s="149"/>
      <c r="V1917" s="149"/>
      <c r="W1917" s="149"/>
      <c r="X1917" s="68"/>
      <c r="Y1917" s="68"/>
      <c r="Z1917" s="68"/>
    </row>
    <row r="1918" ht="15.0" customHeight="1">
      <c r="A1918" s="206">
        <v>46048.0</v>
      </c>
      <c r="B1918" s="201" t="s">
        <v>7586</v>
      </c>
      <c r="C1918" s="45" t="s">
        <v>4674</v>
      </c>
      <c r="D1918" s="140" t="str">
        <f>IFERROR(VLOOKUP(C1918,Stock,3,FALSE),"")</f>
        <v>Toyota Alphard 08-15 ANH20 2nd Gen</v>
      </c>
      <c r="E1918" s="45">
        <v>1.0</v>
      </c>
      <c r="F1918" s="198"/>
      <c r="G1918" s="142"/>
      <c r="H1918" s="142"/>
      <c r="I1918" s="143"/>
      <c r="J1918" s="144"/>
      <c r="K1918" s="108" t="s">
        <v>7587</v>
      </c>
      <c r="L1918" s="45"/>
      <c r="M1918" s="17"/>
      <c r="N1918" s="64"/>
      <c r="O1918" s="64"/>
      <c r="P1918" s="147"/>
      <c r="Q1918" s="149"/>
      <c r="R1918" s="149"/>
      <c r="S1918" s="149"/>
      <c r="T1918" s="149"/>
      <c r="U1918" s="149"/>
      <c r="V1918" s="149"/>
      <c r="W1918" s="149"/>
      <c r="X1918" s="68"/>
      <c r="Y1918" s="68"/>
      <c r="Z1918" s="68"/>
    </row>
    <row r="1919" ht="15.0" customHeight="1">
      <c r="A1919" s="206">
        <v>46048.0</v>
      </c>
      <c r="B1919" s="201" t="s">
        <v>7586</v>
      </c>
      <c r="C1919" s="45" t="s">
        <v>3475</v>
      </c>
      <c r="D1919" s="140" t="str">
        <f>IFERROR(VLOOKUP(C1919,Stock,3,FALSE),"")</f>
        <v>Toyota Avanza / Xenia 03-11 1st Gen</v>
      </c>
      <c r="E1919" s="45">
        <v>2.0</v>
      </c>
      <c r="F1919" s="198"/>
      <c r="G1919" s="142"/>
      <c r="H1919" s="142"/>
      <c r="I1919" s="143"/>
      <c r="J1919" s="144"/>
      <c r="K1919" s="108" t="s">
        <v>7587</v>
      </c>
      <c r="L1919" s="45"/>
      <c r="M1919" s="17"/>
      <c r="N1919" s="64"/>
      <c r="O1919" s="64"/>
      <c r="P1919" s="147"/>
      <c r="Q1919" s="149"/>
      <c r="R1919" s="149"/>
      <c r="S1919" s="149"/>
      <c r="T1919" s="149"/>
      <c r="U1919" s="149"/>
      <c r="V1919" s="149"/>
      <c r="W1919" s="149"/>
      <c r="X1919" s="68"/>
      <c r="Y1919" s="68"/>
      <c r="Z1919" s="68"/>
    </row>
    <row r="1920" ht="15.0" customHeight="1">
      <c r="A1920" s="206">
        <v>46048.0</v>
      </c>
      <c r="B1920" s="201" t="s">
        <v>7586</v>
      </c>
      <c r="C1920" s="45" t="s">
        <v>2792</v>
      </c>
      <c r="D1920" s="140" t="str">
        <f>IFERROR(VLOOKUP(C1920,Stock,3,FALSE),"")</f>
        <v>Toyota Calya / Sigra 16-</v>
      </c>
      <c r="E1920" s="45">
        <v>4.0</v>
      </c>
      <c r="F1920" s="198"/>
      <c r="G1920" s="142"/>
      <c r="H1920" s="142"/>
      <c r="I1920" s="143"/>
      <c r="J1920" s="144"/>
      <c r="K1920" s="108" t="s">
        <v>7587</v>
      </c>
      <c r="L1920" s="45"/>
      <c r="M1920" s="17"/>
      <c r="N1920" s="64"/>
      <c r="O1920" s="64"/>
      <c r="P1920" s="147"/>
      <c r="Q1920" s="149"/>
      <c r="R1920" s="149"/>
      <c r="S1920" s="149"/>
      <c r="T1920" s="149"/>
      <c r="U1920" s="149"/>
      <c r="V1920" s="149"/>
      <c r="W1920" s="149"/>
      <c r="X1920" s="68"/>
      <c r="Y1920" s="68"/>
      <c r="Z1920" s="68"/>
    </row>
    <row r="1921" ht="15.0" customHeight="1">
      <c r="A1921" s="206">
        <v>46048.0</v>
      </c>
      <c r="B1921" s="201" t="s">
        <v>7586</v>
      </c>
      <c r="C1921" s="45" t="s">
        <v>3358</v>
      </c>
      <c r="D1921" s="140" t="str">
        <f>IFERROR(VLOOKUP(C1921,Stock,3,FALSE),"")</f>
        <v>Toyota Avanza / Xenia 11-15 2nd Gen / 15-21 3rd Gen</v>
      </c>
      <c r="E1921" s="45">
        <v>3.0</v>
      </c>
      <c r="F1921" s="198"/>
      <c r="G1921" s="142"/>
      <c r="H1921" s="142"/>
      <c r="I1921" s="143"/>
      <c r="J1921" s="144"/>
      <c r="K1921" s="108" t="s">
        <v>7587</v>
      </c>
      <c r="L1921" s="45"/>
      <c r="M1921" s="17"/>
      <c r="N1921" s="64"/>
      <c r="O1921" s="64"/>
      <c r="P1921" s="147"/>
      <c r="Q1921" s="149"/>
      <c r="R1921" s="149"/>
      <c r="S1921" s="149"/>
      <c r="T1921" s="149"/>
      <c r="U1921" s="149"/>
      <c r="V1921" s="149"/>
      <c r="W1921" s="149"/>
      <c r="X1921" s="68"/>
      <c r="Y1921" s="68"/>
      <c r="Z1921" s="68"/>
    </row>
    <row r="1922" ht="15.0" customHeight="1">
      <c r="A1922" s="206">
        <v>46048.0</v>
      </c>
      <c r="B1922" s="201" t="s">
        <v>7586</v>
      </c>
      <c r="C1922" s="45" t="s">
        <v>7220</v>
      </c>
      <c r="D1922" s="140" t="str">
        <f>IFERROR(VLOOKUP(C1922,Stock,3,FALSE),"")</f>
        <v>Toyota Rush / Terios 06-17</v>
      </c>
      <c r="E1922" s="45">
        <v>2.0</v>
      </c>
      <c r="F1922" s="198"/>
      <c r="G1922" s="142"/>
      <c r="H1922" s="142"/>
      <c r="I1922" s="143"/>
      <c r="J1922" s="144"/>
      <c r="K1922" s="108" t="s">
        <v>7587</v>
      </c>
      <c r="L1922" s="45"/>
      <c r="M1922" s="17"/>
      <c r="N1922" s="64"/>
      <c r="O1922" s="64"/>
      <c r="P1922" s="147"/>
      <c r="Q1922" s="149"/>
      <c r="R1922" s="149"/>
      <c r="S1922" s="149"/>
      <c r="T1922" s="149"/>
      <c r="U1922" s="149"/>
      <c r="V1922" s="149"/>
      <c r="W1922" s="149"/>
      <c r="X1922" s="68"/>
      <c r="Y1922" s="68"/>
      <c r="Z1922" s="68"/>
    </row>
    <row r="1923" ht="15.0" customHeight="1">
      <c r="A1923" s="206">
        <v>46048.0</v>
      </c>
      <c r="B1923" s="201" t="s">
        <v>7586</v>
      </c>
      <c r="C1923" s="45" t="s">
        <v>7588</v>
      </c>
      <c r="D1923" s="140" t="str">
        <f>IFERROR(VLOOKUP(C1923,Stock,3,FALSE),"")</f>
        <v>Suzuki Splash 09-16</v>
      </c>
      <c r="E1923" s="45">
        <v>1.0</v>
      </c>
      <c r="F1923" s="198"/>
      <c r="G1923" s="142"/>
      <c r="H1923" s="142"/>
      <c r="I1923" s="143"/>
      <c r="J1923" s="144"/>
      <c r="K1923" s="108" t="s">
        <v>7587</v>
      </c>
      <c r="L1923" s="45"/>
      <c r="M1923" s="17"/>
      <c r="N1923" s="64"/>
      <c r="O1923" s="64"/>
      <c r="P1923" s="147"/>
      <c r="Q1923" s="149"/>
      <c r="R1923" s="149"/>
      <c r="S1923" s="149"/>
      <c r="T1923" s="149"/>
      <c r="U1923" s="149"/>
      <c r="V1923" s="149"/>
      <c r="W1923" s="149"/>
      <c r="X1923" s="68"/>
      <c r="Y1923" s="68"/>
      <c r="Z1923" s="68"/>
    </row>
    <row r="1924" ht="15.0" customHeight="1">
      <c r="A1924" s="206">
        <v>46048.0</v>
      </c>
      <c r="B1924" s="201" t="s">
        <v>7586</v>
      </c>
      <c r="C1924" s="45" t="s">
        <v>3662</v>
      </c>
      <c r="D1924" s="140" t="str">
        <f>IFERROR(VLOOKUP(C1924,Stock,3,FALSE),"")</f>
        <v>Toyota Innova 15-22 2nd Gen (Toyota)</v>
      </c>
      <c r="E1924" s="45">
        <v>2.0</v>
      </c>
      <c r="F1924" s="198"/>
      <c r="G1924" s="142"/>
      <c r="H1924" s="142"/>
      <c r="I1924" s="143"/>
      <c r="J1924" s="144"/>
      <c r="K1924" s="108" t="s">
        <v>7587</v>
      </c>
      <c r="L1924" s="45"/>
      <c r="M1924" s="17"/>
      <c r="N1924" s="64"/>
      <c r="O1924" s="64"/>
      <c r="P1924" s="147"/>
      <c r="Q1924" s="149"/>
      <c r="R1924" s="149"/>
      <c r="S1924" s="149"/>
      <c r="T1924" s="149"/>
      <c r="U1924" s="149"/>
      <c r="V1924" s="149"/>
      <c r="W1924" s="149"/>
      <c r="X1924" s="68"/>
      <c r="Y1924" s="68"/>
      <c r="Z1924" s="68"/>
    </row>
    <row r="1925" ht="15.0" customHeight="1">
      <c r="A1925" s="206">
        <v>46048.0</v>
      </c>
      <c r="B1925" s="201" t="s">
        <v>7586</v>
      </c>
      <c r="C1925" s="45" t="s">
        <v>5705</v>
      </c>
      <c r="D1925" s="140" t="str">
        <f>IFERROR(VLOOKUP(C1925,Stock,3,FALSE),"")</f>
        <v>Toyota Innova 15-22 2nd Gen (Toyota)</v>
      </c>
      <c r="E1925" s="45">
        <v>1.0</v>
      </c>
      <c r="F1925" s="198"/>
      <c r="G1925" s="142"/>
      <c r="H1925" s="142"/>
      <c r="I1925" s="143"/>
      <c r="J1925" s="144"/>
      <c r="K1925" s="108" t="s">
        <v>7587</v>
      </c>
      <c r="L1925" s="45"/>
      <c r="M1925" s="17"/>
      <c r="N1925" s="64"/>
      <c r="O1925" s="64"/>
      <c r="P1925" s="147"/>
      <c r="Q1925" s="149"/>
      <c r="R1925" s="149"/>
      <c r="S1925" s="149"/>
      <c r="T1925" s="149"/>
      <c r="U1925" s="149"/>
      <c r="V1925" s="149"/>
      <c r="W1925" s="149"/>
      <c r="X1925" s="68"/>
      <c r="Y1925" s="68"/>
      <c r="Z1925" s="68"/>
    </row>
    <row r="1926" ht="15.0" customHeight="1">
      <c r="A1926" s="206">
        <v>46048.0</v>
      </c>
      <c r="B1926" s="201" t="s">
        <v>7586</v>
      </c>
      <c r="C1926" s="45" t="s">
        <v>7370</v>
      </c>
      <c r="D1926" s="140" t="str">
        <f>IFERROR(VLOOKUP(C1926,Stock,3,FALSE),"")</f>
        <v>Honda City 02-08 4th Gen Idsi GD8</v>
      </c>
      <c r="E1926" s="45">
        <v>1.0</v>
      </c>
      <c r="F1926" s="198"/>
      <c r="G1926" s="142"/>
      <c r="H1926" s="142"/>
      <c r="I1926" s="143"/>
      <c r="J1926" s="144"/>
      <c r="K1926" s="108" t="s">
        <v>7587</v>
      </c>
      <c r="L1926" s="45"/>
      <c r="M1926" s="17"/>
      <c r="N1926" s="64"/>
      <c r="O1926" s="64"/>
      <c r="P1926" s="147"/>
      <c r="Q1926" s="149"/>
      <c r="R1926" s="149"/>
      <c r="S1926" s="149"/>
      <c r="T1926" s="149"/>
      <c r="U1926" s="149"/>
      <c r="V1926" s="149"/>
      <c r="W1926" s="149"/>
      <c r="X1926" s="68"/>
      <c r="Y1926" s="68"/>
      <c r="Z1926" s="68"/>
    </row>
    <row r="1927" ht="15.0" customHeight="1">
      <c r="A1927" s="206">
        <v>46048.0</v>
      </c>
      <c r="B1927" s="201" t="s">
        <v>7586</v>
      </c>
      <c r="C1927" s="45" t="s">
        <v>7425</v>
      </c>
      <c r="D1927" s="140" t="str">
        <f>IFERROR(VLOOKUP(C1927,Stock,3,FALSE),"")</f>
        <v>Honda Jazz 01-07 1st Gen</v>
      </c>
      <c r="E1927" s="45">
        <v>1.0</v>
      </c>
      <c r="F1927" s="198"/>
      <c r="G1927" s="142"/>
      <c r="H1927" s="142"/>
      <c r="I1927" s="143"/>
      <c r="J1927" s="144"/>
      <c r="K1927" s="108" t="s">
        <v>7587</v>
      </c>
      <c r="L1927" s="45"/>
      <c r="M1927" s="17"/>
      <c r="N1927" s="64"/>
      <c r="O1927" s="64"/>
      <c r="P1927" s="147"/>
      <c r="Q1927" s="149"/>
      <c r="R1927" s="149"/>
      <c r="S1927" s="149"/>
      <c r="T1927" s="149"/>
      <c r="U1927" s="149"/>
      <c r="V1927" s="149"/>
      <c r="W1927" s="149"/>
      <c r="X1927" s="68"/>
      <c r="Y1927" s="68"/>
      <c r="Z1927" s="68"/>
    </row>
    <row r="1928" ht="15.0" customHeight="1">
      <c r="A1928" s="206">
        <v>46048.0</v>
      </c>
      <c r="B1928" s="201" t="s">
        <v>7586</v>
      </c>
      <c r="C1928" s="45" t="s">
        <v>7589</v>
      </c>
      <c r="D1928" s="140" t="str">
        <f>IFERROR(VLOOKUP(C1928,Stock,3,FALSE),"")</f>
        <v>Honda Jazz 07-13 2nd Gen</v>
      </c>
      <c r="E1928" s="45">
        <v>1.0</v>
      </c>
      <c r="F1928" s="198"/>
      <c r="G1928" s="142"/>
      <c r="H1928" s="142"/>
      <c r="I1928" s="143"/>
      <c r="J1928" s="144"/>
      <c r="K1928" s="108" t="s">
        <v>7587</v>
      </c>
      <c r="L1928" s="45"/>
      <c r="M1928" s="17"/>
      <c r="N1928" s="64"/>
      <c r="O1928" s="64"/>
      <c r="P1928" s="147"/>
      <c r="Q1928" s="149"/>
      <c r="R1928" s="149"/>
      <c r="S1928" s="149"/>
      <c r="T1928" s="149"/>
      <c r="U1928" s="149"/>
      <c r="V1928" s="149"/>
      <c r="W1928" s="149"/>
      <c r="X1928" s="68"/>
      <c r="Y1928" s="68"/>
      <c r="Z1928" s="68"/>
    </row>
    <row r="1929" ht="15.0" customHeight="1">
      <c r="A1929" s="206">
        <v>46048.0</v>
      </c>
      <c r="B1929" s="201" t="s">
        <v>7586</v>
      </c>
      <c r="C1929" s="45" t="s">
        <v>7317</v>
      </c>
      <c r="D1929" s="140" t="str">
        <f>IFERROR(VLOOKUP(C1929,Stock,3,FALSE),"")</f>
        <v>Mitsubishi Xpander 17-</v>
      </c>
      <c r="E1929" s="45">
        <v>2.0</v>
      </c>
      <c r="F1929" s="198"/>
      <c r="G1929" s="142"/>
      <c r="H1929" s="142"/>
      <c r="I1929" s="143"/>
      <c r="J1929" s="144"/>
      <c r="K1929" s="108" t="s">
        <v>7587</v>
      </c>
      <c r="L1929" s="45"/>
      <c r="M1929" s="17"/>
      <c r="N1929" s="64"/>
      <c r="O1929" s="64"/>
      <c r="P1929" s="147"/>
      <c r="Q1929" s="149"/>
      <c r="R1929" s="149"/>
      <c r="S1929" s="149"/>
      <c r="T1929" s="149"/>
      <c r="U1929" s="149"/>
      <c r="V1929" s="149"/>
      <c r="W1929" s="149"/>
      <c r="X1929" s="68"/>
      <c r="Y1929" s="68"/>
      <c r="Z1929" s="68"/>
    </row>
    <row r="1930" ht="15.0" customHeight="1">
      <c r="A1930" s="206">
        <v>46048.0</v>
      </c>
      <c r="B1930" s="201" t="s">
        <v>7586</v>
      </c>
      <c r="C1930" s="45" t="s">
        <v>7590</v>
      </c>
      <c r="D1930" s="140" t="str">
        <f>IFERROR(VLOOKUP(C1930,Stock,3,FALSE),"")</f>
        <v>Nissan Terrano 95-06</v>
      </c>
      <c r="E1930" s="45">
        <v>1.0</v>
      </c>
      <c r="F1930" s="198"/>
      <c r="G1930" s="142"/>
      <c r="H1930" s="142"/>
      <c r="I1930" s="143"/>
      <c r="J1930" s="144"/>
      <c r="K1930" s="108" t="s">
        <v>7587</v>
      </c>
      <c r="L1930" s="45"/>
      <c r="M1930" s="17"/>
      <c r="N1930" s="64"/>
      <c r="O1930" s="64"/>
      <c r="P1930" s="147"/>
      <c r="Q1930" s="149"/>
      <c r="R1930" s="149"/>
      <c r="S1930" s="149"/>
      <c r="T1930" s="149"/>
      <c r="U1930" s="149"/>
      <c r="V1930" s="149"/>
      <c r="W1930" s="149"/>
      <c r="X1930" s="68"/>
      <c r="Y1930" s="68"/>
      <c r="Z1930" s="68"/>
    </row>
    <row r="1931" ht="15.0" customHeight="1">
      <c r="A1931" s="206">
        <v>46048.0</v>
      </c>
      <c r="B1931" s="201" t="s">
        <v>7586</v>
      </c>
      <c r="C1931" s="45" t="s">
        <v>7551</v>
      </c>
      <c r="D1931" s="140" t="str">
        <f>IFERROR(VLOOKUP(C1931,Stock,3,FALSE),"")</f>
        <v>Mitsubishi L300</v>
      </c>
      <c r="E1931" s="45">
        <v>1.0</v>
      </c>
      <c r="F1931" s="198"/>
      <c r="G1931" s="142"/>
      <c r="H1931" s="142"/>
      <c r="I1931" s="143"/>
      <c r="J1931" s="144"/>
      <c r="K1931" s="108" t="s">
        <v>7587</v>
      </c>
      <c r="L1931" s="45"/>
      <c r="M1931" s="17"/>
      <c r="N1931" s="64"/>
      <c r="O1931" s="64"/>
      <c r="P1931" s="147"/>
      <c r="Q1931" s="149"/>
      <c r="R1931" s="149"/>
      <c r="S1931" s="149"/>
      <c r="T1931" s="149"/>
      <c r="U1931" s="149"/>
      <c r="V1931" s="149"/>
      <c r="W1931" s="149"/>
      <c r="X1931" s="68"/>
      <c r="Y1931" s="68"/>
      <c r="Z1931" s="68"/>
    </row>
    <row r="1932" ht="15.0" customHeight="1">
      <c r="A1932" s="206">
        <v>46048.0</v>
      </c>
      <c r="B1932" s="201" t="s">
        <v>7586</v>
      </c>
      <c r="C1932" s="45" t="s">
        <v>7591</v>
      </c>
      <c r="D1932" s="140" t="str">
        <f>IFERROR(VLOOKUP(C1932,Stock,3,FALSE),"")</f>
        <v>Wuling Cortez</v>
      </c>
      <c r="E1932" s="45">
        <v>1.0</v>
      </c>
      <c r="F1932" s="198"/>
      <c r="G1932" s="142"/>
      <c r="H1932" s="142"/>
      <c r="I1932" s="143"/>
      <c r="J1932" s="144"/>
      <c r="K1932" s="108" t="s">
        <v>7587</v>
      </c>
      <c r="L1932" s="45"/>
      <c r="M1932" s="17"/>
      <c r="N1932" s="64"/>
      <c r="O1932" s="64"/>
      <c r="P1932" s="147"/>
      <c r="Q1932" s="149"/>
      <c r="R1932" s="149"/>
      <c r="S1932" s="149"/>
      <c r="T1932" s="149"/>
      <c r="U1932" s="149"/>
      <c r="V1932" s="149"/>
      <c r="W1932" s="149"/>
      <c r="X1932" s="68"/>
      <c r="Y1932" s="68"/>
      <c r="Z1932" s="68"/>
    </row>
    <row r="1933" ht="15.0" customHeight="1">
      <c r="A1933" s="206">
        <v>46048.0</v>
      </c>
      <c r="B1933" s="201" t="s">
        <v>7586</v>
      </c>
      <c r="C1933" s="45" t="s">
        <v>2837</v>
      </c>
      <c r="D1933" s="140" t="str">
        <f>IFERROR(VLOOKUP(C1933,Stock,3,FALSE),"")</f>
        <v>Toyota Corolla Cross 21-</v>
      </c>
      <c r="E1933" s="45">
        <v>1.0</v>
      </c>
      <c r="F1933" s="198"/>
      <c r="G1933" s="142"/>
      <c r="H1933" s="142"/>
      <c r="I1933" s="143"/>
      <c r="J1933" s="144"/>
      <c r="K1933" s="108" t="s">
        <v>7587</v>
      </c>
      <c r="L1933" s="45"/>
      <c r="M1933" s="17"/>
      <c r="N1933" s="64"/>
      <c r="O1933" s="64"/>
      <c r="P1933" s="147"/>
      <c r="Q1933" s="149"/>
      <c r="R1933" s="149"/>
      <c r="S1933" s="149"/>
      <c r="T1933" s="149"/>
      <c r="U1933" s="149"/>
      <c r="V1933" s="149"/>
      <c r="W1933" s="149"/>
      <c r="X1933" s="68"/>
      <c r="Y1933" s="68"/>
      <c r="Z1933" s="68"/>
    </row>
    <row r="1934" ht="15.0" customHeight="1">
      <c r="A1934" s="206">
        <v>46048.0</v>
      </c>
      <c r="B1934" s="201" t="s">
        <v>7586</v>
      </c>
      <c r="C1934" s="45" t="s">
        <v>5123</v>
      </c>
      <c r="D1934" s="140" t="str">
        <f>IFERROR(VLOOKUP(C1934,Stock,3,FALSE),"")</f>
        <v>BMW 3 Series 90-99 E36</v>
      </c>
      <c r="E1934" s="45">
        <v>2.0</v>
      </c>
      <c r="F1934" s="198"/>
      <c r="G1934" s="142"/>
      <c r="H1934" s="142"/>
      <c r="I1934" s="143"/>
      <c r="J1934" s="144"/>
      <c r="K1934" s="108" t="s">
        <v>7587</v>
      </c>
      <c r="L1934" s="45"/>
      <c r="M1934" s="17"/>
      <c r="N1934" s="64"/>
      <c r="O1934" s="64"/>
      <c r="P1934" s="147"/>
      <c r="Q1934" s="149"/>
      <c r="R1934" s="149"/>
      <c r="S1934" s="149"/>
      <c r="T1934" s="149"/>
      <c r="U1934" s="149"/>
      <c r="V1934" s="149"/>
      <c r="W1934" s="149"/>
      <c r="X1934" s="68"/>
      <c r="Y1934" s="68"/>
      <c r="Z1934" s="68"/>
    </row>
    <row r="1935" ht="15.0" customHeight="1">
      <c r="A1935" s="206">
        <v>46048.0</v>
      </c>
      <c r="B1935" s="201" t="s">
        <v>7586</v>
      </c>
      <c r="C1935" s="45" t="s">
        <v>3434</v>
      </c>
      <c r="D1935" s="140" t="str">
        <f>IFERROR(VLOOKUP(C1935,Stock,3,FALSE),"")</f>
        <v>List Kaca Depan Code 04</v>
      </c>
      <c r="E1935" s="45">
        <v>5.0</v>
      </c>
      <c r="F1935" s="198"/>
      <c r="G1935" s="142"/>
      <c r="H1935" s="142"/>
      <c r="I1935" s="143"/>
      <c r="J1935" s="144"/>
      <c r="K1935" s="108" t="s">
        <v>7587</v>
      </c>
      <c r="L1935" s="45"/>
      <c r="M1935" s="17"/>
      <c r="N1935" s="64"/>
      <c r="O1935" s="64"/>
      <c r="P1935" s="147"/>
      <c r="Q1935" s="149"/>
      <c r="R1935" s="149"/>
      <c r="S1935" s="149"/>
      <c r="T1935" s="149"/>
      <c r="U1935" s="149"/>
      <c r="V1935" s="149"/>
      <c r="W1935" s="149"/>
      <c r="X1935" s="68"/>
      <c r="Y1935" s="68"/>
      <c r="Z1935" s="68"/>
    </row>
    <row r="1936" ht="15.0" customHeight="1">
      <c r="A1936" s="206">
        <v>46048.0</v>
      </c>
      <c r="B1936" s="201" t="s">
        <v>7586</v>
      </c>
      <c r="C1936" s="45" t="s">
        <v>7592</v>
      </c>
      <c r="D1936" s="140" t="str">
        <f>IFERROR(VLOOKUP(C1936,Stock,3,FALSE),"")</f>
        <v>Toyota Avanza / Xenia 21- 4th Gen (Toyota/Daihatsu)</v>
      </c>
      <c r="E1936" s="45">
        <v>1.0</v>
      </c>
      <c r="F1936" s="202"/>
      <c r="G1936" s="142">
        <f t="shared" ref="G1936:G2136" si="54">E1936*F1936</f>
        <v>0</v>
      </c>
      <c r="H1936" s="142"/>
      <c r="I1936" s="143">
        <f t="shared" ref="I1936:I2110" si="55">G1936-H1936</f>
        <v>0</v>
      </c>
      <c r="J1936" s="144">
        <f t="shared" ref="J1936:J1938" si="56">I1936</f>
        <v>0</v>
      </c>
      <c r="K1936" s="108" t="s">
        <v>7587</v>
      </c>
      <c r="L1936" s="17"/>
      <c r="M1936" s="17"/>
      <c r="N1936" s="68"/>
      <c r="O1936" s="68"/>
      <c r="P1936" s="170"/>
      <c r="Q1936" s="149"/>
      <c r="R1936" s="149"/>
      <c r="S1936" s="149"/>
      <c r="T1936" s="149"/>
      <c r="U1936" s="149"/>
      <c r="V1936" s="149"/>
      <c r="W1936" s="149"/>
      <c r="X1936" s="68"/>
      <c r="Y1936" s="68"/>
      <c r="Z1936" s="68"/>
    </row>
    <row r="1937" ht="15.0" customHeight="1">
      <c r="A1937" s="206">
        <v>46048.0</v>
      </c>
      <c r="B1937" s="201" t="s">
        <v>7586</v>
      </c>
      <c r="C1937" s="45" t="s">
        <v>2964</v>
      </c>
      <c r="D1937" s="140" t="str">
        <f>IFERROR(VLOOKUP(C1937,Stock,3,FALSE),"")</f>
        <v>Toyota Fortuner 15- 2nd Gen (Toyota)</v>
      </c>
      <c r="E1937" s="45">
        <v>1.0</v>
      </c>
      <c r="F1937" s="202"/>
      <c r="G1937" s="142">
        <f t="shared" si="54"/>
        <v>0</v>
      </c>
      <c r="H1937" s="142"/>
      <c r="I1937" s="143">
        <f t="shared" si="55"/>
        <v>0</v>
      </c>
      <c r="J1937" s="144">
        <f t="shared" si="56"/>
        <v>0</v>
      </c>
      <c r="K1937" s="108" t="s">
        <v>7587</v>
      </c>
      <c r="L1937" s="17"/>
      <c r="M1937" s="17"/>
      <c r="N1937" s="68"/>
      <c r="O1937" s="68"/>
      <c r="P1937" s="170"/>
      <c r="Q1937" s="149"/>
      <c r="R1937" s="149"/>
      <c r="S1937" s="149"/>
      <c r="T1937" s="149"/>
      <c r="U1937" s="149"/>
      <c r="V1937" s="149"/>
      <c r="W1937" s="149"/>
      <c r="X1937" s="68"/>
      <c r="Y1937" s="68"/>
      <c r="Z1937" s="68"/>
    </row>
    <row r="1938" ht="15.0" customHeight="1">
      <c r="A1938" s="206">
        <v>46048.0</v>
      </c>
      <c r="B1938" s="201" t="s">
        <v>7593</v>
      </c>
      <c r="C1938" s="45" t="s">
        <v>7594</v>
      </c>
      <c r="D1938" s="140" t="str">
        <f>IFERROR(VLOOKUP(C1938,Stock,3,FALSE),"")</f>
        <v>Toyota Innova 22- Zenyx 3rd Gen Mirror Base Kotak (Toyota)</v>
      </c>
      <c r="E1938" s="45">
        <v>1.0</v>
      </c>
      <c r="F1938" s="202"/>
      <c r="G1938" s="142">
        <f t="shared" si="54"/>
        <v>0</v>
      </c>
      <c r="H1938" s="142"/>
      <c r="I1938" s="143">
        <f t="shared" si="55"/>
        <v>0</v>
      </c>
      <c r="J1938" s="144">
        <f t="shared" si="56"/>
        <v>0</v>
      </c>
      <c r="K1938" s="108" t="s">
        <v>7587</v>
      </c>
      <c r="L1938" s="17"/>
      <c r="M1938" s="17"/>
      <c r="N1938" s="68"/>
      <c r="O1938" s="68"/>
      <c r="P1938" s="170"/>
      <c r="Q1938" s="149"/>
      <c r="R1938" s="149"/>
      <c r="S1938" s="149"/>
      <c r="T1938" s="149"/>
      <c r="U1938" s="149"/>
      <c r="V1938" s="149"/>
      <c r="W1938" s="149"/>
      <c r="X1938" s="68"/>
      <c r="Y1938" s="68"/>
      <c r="Z1938" s="68"/>
    </row>
    <row r="1939" ht="14.25" customHeight="1">
      <c r="A1939" s="206">
        <v>46048.0</v>
      </c>
      <c r="B1939" s="201" t="s">
        <v>7595</v>
      </c>
      <c r="C1939" s="45" t="s">
        <v>4001</v>
      </c>
      <c r="D1939" s="140" t="str">
        <f>IFERROR(VLOOKUP(C1939,Stock,3,FALSE),"")</f>
        <v>Daihatsu Gran Max Minibus/Van</v>
      </c>
      <c r="E1939" s="45">
        <v>1.0</v>
      </c>
      <c r="F1939" s="198">
        <v>799000.0</v>
      </c>
      <c r="G1939" s="142">
        <f t="shared" si="54"/>
        <v>799000</v>
      </c>
      <c r="H1939" s="142"/>
      <c r="I1939" s="143">
        <f t="shared" si="55"/>
        <v>799000</v>
      </c>
      <c r="J1939" s="144">
        <f>I1939+I1940</f>
        <v>999000</v>
      </c>
      <c r="K1939" s="108" t="s">
        <v>7596</v>
      </c>
      <c r="L1939" s="199" t="s">
        <v>7597</v>
      </c>
      <c r="M1939" s="17"/>
      <c r="N1939" s="64" t="s">
        <v>7598</v>
      </c>
      <c r="O1939" s="64" t="s">
        <v>2813</v>
      </c>
      <c r="P1939" s="147" t="s">
        <v>4672</v>
      </c>
      <c r="Q1939" s="149"/>
      <c r="R1939" s="149"/>
      <c r="S1939" s="149"/>
      <c r="T1939" s="149"/>
      <c r="U1939" s="149"/>
      <c r="V1939" s="149"/>
      <c r="W1939" s="149"/>
      <c r="X1939" s="68"/>
      <c r="Y1939" s="68"/>
      <c r="Z1939" s="68"/>
    </row>
    <row r="1940" ht="15.0" customHeight="1">
      <c r="A1940" s="206">
        <v>46048.0</v>
      </c>
      <c r="B1940" s="201" t="s">
        <v>7595</v>
      </c>
      <c r="C1940" s="45" t="s">
        <v>5254</v>
      </c>
      <c r="D1940" s="140" t="str">
        <f>IFERROR(VLOOKUP(C1940,Stock,3,FALSE),"")</f>
        <v>Automotive Film Standard - Black 40%				</v>
      </c>
      <c r="E1940" s="45">
        <v>1.0</v>
      </c>
      <c r="F1940" s="198">
        <v>200000.0</v>
      </c>
      <c r="G1940" s="142">
        <f t="shared" si="54"/>
        <v>200000</v>
      </c>
      <c r="H1940" s="142"/>
      <c r="I1940" s="143">
        <f t="shared" si="55"/>
        <v>200000</v>
      </c>
      <c r="J1940" s="144"/>
      <c r="K1940" s="108" t="s">
        <v>7596</v>
      </c>
      <c r="L1940" s="199" t="s">
        <v>7597</v>
      </c>
      <c r="M1940" s="17"/>
      <c r="N1940" s="64" t="s">
        <v>7598</v>
      </c>
      <c r="O1940" s="64" t="s">
        <v>2813</v>
      </c>
      <c r="P1940" s="147" t="s">
        <v>4672</v>
      </c>
      <c r="Q1940" s="149"/>
      <c r="R1940" s="149"/>
      <c r="S1940" s="149"/>
      <c r="T1940" s="149"/>
      <c r="U1940" s="149"/>
      <c r="V1940" s="149"/>
      <c r="W1940" s="149"/>
      <c r="X1940" s="68"/>
      <c r="Y1940" s="68"/>
      <c r="Z1940" s="68"/>
    </row>
    <row r="1941" ht="15.0" customHeight="1">
      <c r="A1941" s="206">
        <v>46048.0</v>
      </c>
      <c r="B1941" s="201" t="s">
        <v>7599</v>
      </c>
      <c r="C1941" s="45" t="s">
        <v>6759</v>
      </c>
      <c r="D1941" s="140" t="str">
        <f>IFERROR(VLOOKUP(C1941,Stock,3,FALSE),"")</f>
        <v>Suzuki Ignis 17-</v>
      </c>
      <c r="E1941" s="45">
        <v>1.0</v>
      </c>
      <c r="F1941" s="198">
        <v>1500000.0</v>
      </c>
      <c r="G1941" s="142">
        <f t="shared" si="54"/>
        <v>1500000</v>
      </c>
      <c r="H1941" s="142"/>
      <c r="I1941" s="143">
        <f t="shared" si="55"/>
        <v>1500000</v>
      </c>
      <c r="J1941" s="144">
        <f t="shared" ref="J1941:J2044" si="57">I1941</f>
        <v>1500000</v>
      </c>
      <c r="K1941" s="108" t="s">
        <v>7600</v>
      </c>
      <c r="L1941" s="199" t="s">
        <v>7601</v>
      </c>
      <c r="M1941" s="17"/>
      <c r="N1941" s="68"/>
      <c r="O1941" s="68"/>
      <c r="P1941" s="170"/>
      <c r="Q1941" s="149"/>
      <c r="R1941" s="149"/>
      <c r="S1941" s="149"/>
      <c r="T1941" s="149"/>
      <c r="U1941" s="149"/>
      <c r="V1941" s="149"/>
      <c r="W1941" s="149"/>
      <c r="X1941" s="68"/>
      <c r="Y1941" s="68"/>
      <c r="Z1941" s="68"/>
    </row>
    <row r="1942" ht="15.0" customHeight="1">
      <c r="A1942" s="206">
        <v>46048.0</v>
      </c>
      <c r="B1942" s="201" t="s">
        <v>7602</v>
      </c>
      <c r="C1942" s="45" t="s">
        <v>5300</v>
      </c>
      <c r="D1942" s="140" t="str">
        <f>IFERROR(VLOOKUP(C1942,Stock,3,FALSE),"")</f>
        <v>Toyota Vios 07-13 XP90 2nd Gen</v>
      </c>
      <c r="E1942" s="45">
        <v>1.0</v>
      </c>
      <c r="F1942" s="198">
        <v>1433000.0</v>
      </c>
      <c r="G1942" s="142">
        <f t="shared" si="54"/>
        <v>1433000</v>
      </c>
      <c r="H1942" s="142"/>
      <c r="I1942" s="143">
        <f t="shared" si="55"/>
        <v>1433000</v>
      </c>
      <c r="J1942" s="144">
        <f t="shared" si="57"/>
        <v>1433000</v>
      </c>
      <c r="K1942" s="108" t="s">
        <v>7603</v>
      </c>
      <c r="L1942" s="199" t="s">
        <v>7604</v>
      </c>
      <c r="M1942" s="17"/>
      <c r="N1942" s="64" t="s">
        <v>7605</v>
      </c>
      <c r="O1942" s="64" t="s">
        <v>7606</v>
      </c>
      <c r="P1942" s="147" t="s">
        <v>4672</v>
      </c>
      <c r="Q1942" s="149"/>
      <c r="R1942" s="149"/>
      <c r="S1942" s="149"/>
      <c r="T1942" s="149">
        <f t="shared" ref="T1942:T1943" si="58">J1942</f>
        <v>1433000</v>
      </c>
      <c r="U1942" s="149"/>
      <c r="V1942" s="149"/>
      <c r="W1942" s="149"/>
      <c r="X1942" s="64" t="s">
        <v>2936</v>
      </c>
      <c r="Y1942" s="68"/>
      <c r="Z1942" s="68"/>
    </row>
    <row r="1943" ht="15.0" customHeight="1">
      <c r="A1943" s="206">
        <v>46049.0</v>
      </c>
      <c r="B1943" s="201" t="s">
        <v>7607</v>
      </c>
      <c r="C1943" s="45" t="s">
        <v>5641</v>
      </c>
      <c r="D1943" s="140" t="str">
        <f>IFERROR(VLOOKUP(C1943,Stock,3,FALSE),"")</f>
        <v>Nissan Serena 10-19 MKIV C26</v>
      </c>
      <c r="E1943" s="45">
        <v>1.0</v>
      </c>
      <c r="F1943" s="198">
        <v>2777000.0</v>
      </c>
      <c r="G1943" s="142">
        <f t="shared" si="54"/>
        <v>2777000</v>
      </c>
      <c r="H1943" s="142"/>
      <c r="I1943" s="143">
        <f t="shared" si="55"/>
        <v>2777000</v>
      </c>
      <c r="J1943" s="144">
        <f t="shared" si="57"/>
        <v>2777000</v>
      </c>
      <c r="K1943" s="108" t="s">
        <v>7608</v>
      </c>
      <c r="L1943" s="199" t="s">
        <v>7609</v>
      </c>
      <c r="M1943" s="17"/>
      <c r="N1943" s="68"/>
      <c r="O1943" s="68"/>
      <c r="P1943" s="147" t="s">
        <v>4672</v>
      </c>
      <c r="Q1943" s="149"/>
      <c r="R1943" s="149"/>
      <c r="S1943" s="149"/>
      <c r="T1943" s="149">
        <f t="shared" si="58"/>
        <v>2777000</v>
      </c>
      <c r="U1943" s="149"/>
      <c r="V1943" s="149"/>
      <c r="W1943" s="149"/>
      <c r="X1943" s="64" t="s">
        <v>2936</v>
      </c>
      <c r="Y1943" s="68"/>
      <c r="Z1943" s="68"/>
    </row>
    <row r="1944" ht="15.0" customHeight="1">
      <c r="A1944" s="206">
        <v>46049.0</v>
      </c>
      <c r="B1944" s="201" t="s">
        <v>7610</v>
      </c>
      <c r="C1944" s="45" t="s">
        <v>2841</v>
      </c>
      <c r="D1944" s="140" t="str">
        <f>IFERROR(VLOOKUP(C1944,Stock,3,FALSE),"")</f>
        <v>Toyota Hi-Ace 04-20 Commuter</v>
      </c>
      <c r="E1944" s="45">
        <v>1.0</v>
      </c>
      <c r="F1944" s="198">
        <v>1709000.0</v>
      </c>
      <c r="G1944" s="142">
        <f t="shared" si="54"/>
        <v>1709000</v>
      </c>
      <c r="H1944" s="142"/>
      <c r="I1944" s="143">
        <f t="shared" si="55"/>
        <v>1709000</v>
      </c>
      <c r="J1944" s="144">
        <f t="shared" si="57"/>
        <v>1709000</v>
      </c>
      <c r="K1944" s="108" t="s">
        <v>7611</v>
      </c>
      <c r="L1944" s="199" t="s">
        <v>7612</v>
      </c>
      <c r="M1944" s="17"/>
      <c r="N1944" s="64" t="s">
        <v>7613</v>
      </c>
      <c r="O1944" s="68"/>
      <c r="P1944" s="147" t="s">
        <v>7614</v>
      </c>
      <c r="Q1944" s="149"/>
      <c r="R1944" s="149"/>
      <c r="S1944" s="149"/>
      <c r="T1944" s="149"/>
      <c r="U1944" s="149"/>
      <c r="V1944" s="149"/>
      <c r="W1944" s="149"/>
      <c r="X1944" s="68"/>
      <c r="Y1944" s="68"/>
      <c r="Z1944" s="68"/>
    </row>
    <row r="1945" ht="15.0" customHeight="1">
      <c r="A1945" s="206">
        <v>46049.0</v>
      </c>
      <c r="B1945" s="201" t="s">
        <v>7615</v>
      </c>
      <c r="C1945" s="45" t="s">
        <v>2792</v>
      </c>
      <c r="D1945" s="140" t="str">
        <f>IFERROR(VLOOKUP(C1945,Stock,3,FALSE),"")</f>
        <v>Toyota Calya / Sigra 16-</v>
      </c>
      <c r="E1945" s="45">
        <v>1.0</v>
      </c>
      <c r="F1945" s="198">
        <v>750000.0</v>
      </c>
      <c r="G1945" s="142">
        <f t="shared" si="54"/>
        <v>750000</v>
      </c>
      <c r="H1945" s="143">
        <v>30000.0</v>
      </c>
      <c r="I1945" s="143">
        <f t="shared" si="55"/>
        <v>720000</v>
      </c>
      <c r="J1945" s="144">
        <f t="shared" si="57"/>
        <v>720000</v>
      </c>
      <c r="K1945" s="108" t="s">
        <v>7616</v>
      </c>
      <c r="L1945" s="199" t="s">
        <v>7617</v>
      </c>
      <c r="M1945" s="17"/>
      <c r="N1945" s="68"/>
      <c r="O1945" s="68"/>
      <c r="P1945" s="170"/>
      <c r="Q1945" s="149"/>
      <c r="R1945" s="149"/>
      <c r="S1945" s="149"/>
      <c r="T1945" s="149"/>
      <c r="U1945" s="149"/>
      <c r="V1945" s="149"/>
      <c r="W1945" s="149"/>
      <c r="X1945" s="68"/>
      <c r="Y1945" s="68"/>
      <c r="Z1945" s="68"/>
    </row>
    <row r="1946" ht="15.0" customHeight="1">
      <c r="A1946" s="206">
        <v>46049.0</v>
      </c>
      <c r="B1946" s="201" t="s">
        <v>7615</v>
      </c>
      <c r="C1946" s="45" t="s">
        <v>3446</v>
      </c>
      <c r="D1946" s="140" t="str">
        <f>IFERROR(VLOOKUP(C1946,Stock,3,FALSE),"")</f>
        <v>501 Sealant Application</v>
      </c>
      <c r="E1946" s="45">
        <v>2.0</v>
      </c>
      <c r="F1946" s="198">
        <v>75000.0</v>
      </c>
      <c r="G1946" s="142">
        <f t="shared" si="54"/>
        <v>150000</v>
      </c>
      <c r="H1946" s="142"/>
      <c r="I1946" s="143">
        <f t="shared" si="55"/>
        <v>150000</v>
      </c>
      <c r="J1946" s="144">
        <f t="shared" si="57"/>
        <v>150000</v>
      </c>
      <c r="K1946" s="108" t="s">
        <v>7616</v>
      </c>
      <c r="L1946" s="199" t="s">
        <v>7617</v>
      </c>
      <c r="M1946" s="17"/>
      <c r="N1946" s="68"/>
      <c r="O1946" s="68"/>
      <c r="P1946" s="170"/>
      <c r="Q1946" s="149"/>
      <c r="R1946" s="149"/>
      <c r="S1946" s="149"/>
      <c r="T1946" s="149"/>
      <c r="U1946" s="149"/>
      <c r="V1946" s="149"/>
      <c r="W1946" s="149"/>
      <c r="X1946" s="68"/>
      <c r="Y1946" s="68"/>
      <c r="Z1946" s="68"/>
    </row>
    <row r="1947" ht="15.0" customHeight="1">
      <c r="A1947" s="230">
        <v>46049.0</v>
      </c>
      <c r="B1947" s="231" t="s">
        <v>7618</v>
      </c>
      <c r="C1947" s="232" t="s">
        <v>7619</v>
      </c>
      <c r="D1947" s="233" t="str">
        <f>IFERROR(VLOOKUP(C1947,Stock,3,FALSE),"")</f>
        <v>Toyota Hi-Ace 19- Premio (Toyota)</v>
      </c>
      <c r="E1947" s="232">
        <v>1.0</v>
      </c>
      <c r="F1947" s="234">
        <v>1.63348E7</v>
      </c>
      <c r="G1947" s="235">
        <f t="shared" si="54"/>
        <v>16334800</v>
      </c>
      <c r="H1947" s="235"/>
      <c r="I1947" s="236">
        <f t="shared" si="55"/>
        <v>16334800</v>
      </c>
      <c r="J1947" s="237">
        <f t="shared" si="57"/>
        <v>16334800</v>
      </c>
      <c r="K1947" s="238" t="s">
        <v>7620</v>
      </c>
      <c r="L1947" s="239" t="s">
        <v>7621</v>
      </c>
      <c r="M1947" s="240"/>
      <c r="N1947" s="241" t="s">
        <v>7622</v>
      </c>
      <c r="O1947" s="175"/>
      <c r="P1947" s="439" t="s">
        <v>4672</v>
      </c>
      <c r="Q1947" s="243"/>
      <c r="R1947" s="244"/>
      <c r="S1947" s="244"/>
      <c r="T1947" s="244">
        <v>8167800.0</v>
      </c>
      <c r="U1947" s="243"/>
      <c r="V1947" s="243"/>
      <c r="W1947" s="243"/>
      <c r="X1947" s="175"/>
      <c r="Y1947" s="175"/>
      <c r="Z1947" s="175"/>
    </row>
    <row r="1948" ht="15.0" customHeight="1">
      <c r="A1948" s="421"/>
      <c r="B1948" s="201" t="s">
        <v>7618</v>
      </c>
      <c r="C1948" s="45" t="s">
        <v>4979</v>
      </c>
      <c r="D1948" s="140" t="str">
        <f>IFERROR(VLOOKUP(C1948,Stock,3,FALSE),"")</f>
        <v>255 Ultra + Actv-100 Application</v>
      </c>
      <c r="E1948" s="45">
        <v>1.0</v>
      </c>
      <c r="F1948" s="198">
        <v>200000.0</v>
      </c>
      <c r="G1948" s="142">
        <f t="shared" si="54"/>
        <v>200000</v>
      </c>
      <c r="H1948" s="142"/>
      <c r="I1948" s="143">
        <f t="shared" si="55"/>
        <v>200000</v>
      </c>
      <c r="J1948" s="144">
        <f t="shared" si="57"/>
        <v>200000</v>
      </c>
      <c r="K1948" s="108" t="s">
        <v>7620</v>
      </c>
      <c r="L1948" s="199" t="s">
        <v>7621</v>
      </c>
      <c r="M1948" s="17"/>
      <c r="N1948" s="64" t="s">
        <v>7622</v>
      </c>
      <c r="O1948" s="68"/>
      <c r="P1948" s="170"/>
      <c r="Q1948" s="141">
        <v>667000.0</v>
      </c>
      <c r="R1948" s="141"/>
      <c r="S1948" s="141"/>
      <c r="T1948" s="141">
        <v>7700000.0</v>
      </c>
      <c r="U1948" s="149"/>
      <c r="V1948" s="149"/>
      <c r="W1948" s="149"/>
      <c r="X1948" s="68"/>
      <c r="Y1948" s="68"/>
      <c r="Z1948" s="68"/>
    </row>
    <row r="1949" ht="15.0" customHeight="1">
      <c r="A1949" s="440">
        <v>46050.0</v>
      </c>
      <c r="B1949" s="201" t="s">
        <v>7623</v>
      </c>
      <c r="C1949" s="45" t="s">
        <v>7624</v>
      </c>
      <c r="D1949" s="140" t="str">
        <f>IFERROR(VLOOKUP(C1949,Stock,3,FALSE),"")</f>
        <v>Daihatsu Gran Max / Luxio 07-</v>
      </c>
      <c r="E1949" s="45">
        <v>1.0</v>
      </c>
      <c r="F1949" s="198">
        <v>550000.0</v>
      </c>
      <c r="G1949" s="142">
        <f t="shared" si="54"/>
        <v>550000</v>
      </c>
      <c r="H1949" s="142"/>
      <c r="I1949" s="143">
        <f t="shared" si="55"/>
        <v>550000</v>
      </c>
      <c r="J1949" s="144">
        <f t="shared" si="57"/>
        <v>550000</v>
      </c>
      <c r="K1949" s="108" t="s">
        <v>7625</v>
      </c>
      <c r="L1949" s="199" t="s">
        <v>7626</v>
      </c>
      <c r="M1949" s="17"/>
      <c r="N1949" s="64" t="s">
        <v>7627</v>
      </c>
      <c r="O1949" s="68"/>
      <c r="P1949" s="170"/>
      <c r="Q1949" s="149"/>
      <c r="R1949" s="149"/>
      <c r="S1949" s="149"/>
      <c r="T1949" s="149"/>
      <c r="U1949" s="149"/>
      <c r="V1949" s="149"/>
      <c r="W1949" s="149"/>
      <c r="X1949" s="68"/>
      <c r="Y1949" s="68"/>
      <c r="Z1949" s="68"/>
    </row>
    <row r="1950" ht="15.0" customHeight="1">
      <c r="A1950" s="440">
        <v>46050.0</v>
      </c>
      <c r="B1950" s="201" t="s">
        <v>7628</v>
      </c>
      <c r="C1950" s="45" t="s">
        <v>7629</v>
      </c>
      <c r="D1950" s="140" t="str">
        <f>IFERROR(VLOOKUP(C1950,Stock,3,FALSE),"")</f>
        <v>Toyota Innova 22- Zenyx 3rd Gen (Toyota)</v>
      </c>
      <c r="E1950" s="45">
        <v>1.0</v>
      </c>
      <c r="F1950" s="198">
        <v>2022000.0</v>
      </c>
      <c r="G1950" s="142">
        <f t="shared" si="54"/>
        <v>2022000</v>
      </c>
      <c r="H1950" s="142"/>
      <c r="I1950" s="143">
        <f t="shared" si="55"/>
        <v>2022000</v>
      </c>
      <c r="J1950" s="144">
        <f t="shared" si="57"/>
        <v>2022000</v>
      </c>
      <c r="K1950" s="108" t="s">
        <v>7630</v>
      </c>
      <c r="L1950" s="199" t="s">
        <v>7631</v>
      </c>
      <c r="M1950" s="17"/>
      <c r="N1950" s="68"/>
      <c r="O1950" s="68"/>
      <c r="P1950" s="170"/>
      <c r="Q1950" s="149"/>
      <c r="R1950" s="149"/>
      <c r="S1950" s="149"/>
      <c r="T1950" s="149"/>
      <c r="U1950" s="149"/>
      <c r="V1950" s="149"/>
      <c r="W1950" s="149"/>
      <c r="X1950" s="68"/>
      <c r="Y1950" s="68"/>
      <c r="Z1950" s="68"/>
    </row>
    <row r="1951" ht="15.0" customHeight="1">
      <c r="A1951" s="440">
        <v>46050.0</v>
      </c>
      <c r="B1951" s="201" t="s">
        <v>7632</v>
      </c>
      <c r="C1951" s="45" t="s">
        <v>2778</v>
      </c>
      <c r="D1951" s="140" t="str">
        <f>IFERROR(VLOOKUP(C1951,Stock,3,FALSE),"")</f>
        <v>Bongkar Pasang Kaca Mobil Depan</v>
      </c>
      <c r="E1951" s="45">
        <v>1.0</v>
      </c>
      <c r="F1951" s="198">
        <v>600000.0</v>
      </c>
      <c r="G1951" s="142">
        <f t="shared" si="54"/>
        <v>600000</v>
      </c>
      <c r="H1951" s="142"/>
      <c r="I1951" s="143">
        <f t="shared" si="55"/>
        <v>600000</v>
      </c>
      <c r="J1951" s="144">
        <f t="shared" si="57"/>
        <v>600000</v>
      </c>
      <c r="K1951" s="108" t="s">
        <v>7633</v>
      </c>
      <c r="L1951" s="199" t="s">
        <v>7634</v>
      </c>
      <c r="M1951" s="17"/>
      <c r="N1951" s="68"/>
      <c r="O1951" s="68"/>
      <c r="P1951" s="170"/>
      <c r="Q1951" s="149"/>
      <c r="R1951" s="149"/>
      <c r="S1951" s="149"/>
      <c r="T1951" s="149"/>
      <c r="U1951" s="149"/>
      <c r="V1951" s="149"/>
      <c r="W1951" s="149"/>
      <c r="X1951" s="68"/>
      <c r="Y1951" s="68"/>
      <c r="Z1951" s="68"/>
    </row>
    <row r="1952" ht="15.0" customHeight="1">
      <c r="A1952" s="440">
        <v>46050.0</v>
      </c>
      <c r="B1952" s="201" t="s">
        <v>7635</v>
      </c>
      <c r="C1952" s="45" t="s">
        <v>7636</v>
      </c>
      <c r="D1952" s="140" t="str">
        <f>IFERROR(VLOOKUP(C1952,Stock,3,FALSE),"")</f>
        <v>Toyota Crown 08-12</v>
      </c>
      <c r="E1952" s="45">
        <v>1.0</v>
      </c>
      <c r="F1952" s="198">
        <v>2700000.0</v>
      </c>
      <c r="G1952" s="142">
        <f t="shared" si="54"/>
        <v>2700000</v>
      </c>
      <c r="H1952" s="142"/>
      <c r="I1952" s="143">
        <f t="shared" si="55"/>
        <v>2700000</v>
      </c>
      <c r="J1952" s="144">
        <f t="shared" si="57"/>
        <v>2700000</v>
      </c>
      <c r="K1952" s="108" t="s">
        <v>7637</v>
      </c>
      <c r="L1952" s="199" t="s">
        <v>7638</v>
      </c>
      <c r="M1952" s="17"/>
      <c r="N1952" s="64" t="s">
        <v>7639</v>
      </c>
      <c r="O1952" s="68"/>
      <c r="P1952" s="170"/>
      <c r="Q1952" s="149"/>
      <c r="R1952" s="149"/>
      <c r="S1952" s="149"/>
      <c r="T1952" s="149"/>
      <c r="U1952" s="149"/>
      <c r="V1952" s="149"/>
      <c r="W1952" s="149"/>
      <c r="X1952" s="68"/>
      <c r="Y1952" s="68"/>
      <c r="Z1952" s="68"/>
    </row>
    <row r="1953" ht="15.0" customHeight="1">
      <c r="A1953" s="440">
        <v>46050.0</v>
      </c>
      <c r="B1953" s="201" t="s">
        <v>7640</v>
      </c>
      <c r="C1953" s="45" t="s">
        <v>4627</v>
      </c>
      <c r="D1953" s="140" t="str">
        <f>IFERROR(VLOOKUP(C1953,Stock,3,FALSE),"")</f>
        <v>Honda Brio 18- (Honda)</v>
      </c>
      <c r="E1953" s="45">
        <v>1.0</v>
      </c>
      <c r="F1953" s="198">
        <v>700000.0</v>
      </c>
      <c r="G1953" s="142">
        <f t="shared" si="54"/>
        <v>700000</v>
      </c>
      <c r="H1953" s="142"/>
      <c r="I1953" s="143">
        <f t="shared" si="55"/>
        <v>700000</v>
      </c>
      <c r="J1953" s="144">
        <f t="shared" si="57"/>
        <v>700000</v>
      </c>
      <c r="K1953" s="108" t="s">
        <v>7053</v>
      </c>
      <c r="L1953" s="199" t="s">
        <v>7641</v>
      </c>
      <c r="M1953" s="17"/>
      <c r="N1953" s="68"/>
      <c r="O1953" s="68"/>
      <c r="P1953" s="170"/>
      <c r="Q1953" s="149"/>
      <c r="R1953" s="149"/>
      <c r="S1953" s="149"/>
      <c r="T1953" s="149"/>
      <c r="U1953" s="149"/>
      <c r="V1953" s="149"/>
      <c r="W1953" s="149"/>
      <c r="X1953" s="68"/>
      <c r="Y1953" s="68"/>
      <c r="Z1953" s="68"/>
    </row>
    <row r="1954" ht="15.0" customHeight="1">
      <c r="A1954" s="440">
        <v>46050.0</v>
      </c>
      <c r="B1954" s="201" t="s">
        <v>7640</v>
      </c>
      <c r="C1954" s="45" t="s">
        <v>2770</v>
      </c>
      <c r="D1954" s="140" t="str">
        <f>IFERROR(VLOOKUP(C1954,Stock,3,FALSE),"")</f>
        <v>Transport</v>
      </c>
      <c r="E1954" s="45">
        <v>1.0</v>
      </c>
      <c r="F1954" s="198">
        <v>150000.0</v>
      </c>
      <c r="G1954" s="142">
        <f t="shared" si="54"/>
        <v>150000</v>
      </c>
      <c r="H1954" s="142"/>
      <c r="I1954" s="143">
        <f t="shared" si="55"/>
        <v>150000</v>
      </c>
      <c r="J1954" s="144">
        <f t="shared" si="57"/>
        <v>150000</v>
      </c>
      <c r="K1954" s="108" t="s">
        <v>7053</v>
      </c>
      <c r="L1954" s="199" t="s">
        <v>7641</v>
      </c>
      <c r="M1954" s="17"/>
      <c r="N1954" s="68"/>
      <c r="O1954" s="68"/>
      <c r="P1954" s="170"/>
      <c r="Q1954" s="149"/>
      <c r="R1954" s="149"/>
      <c r="S1954" s="149"/>
      <c r="T1954" s="149"/>
      <c r="U1954" s="149"/>
      <c r="V1954" s="149"/>
      <c r="W1954" s="149"/>
      <c r="X1954" s="68"/>
      <c r="Y1954" s="68"/>
      <c r="Z1954" s="68"/>
    </row>
    <row r="1955" ht="15.0" customHeight="1">
      <c r="A1955" s="440">
        <v>46050.0</v>
      </c>
      <c r="B1955" s="398" t="s">
        <v>7642</v>
      </c>
      <c r="C1955" s="45" t="s">
        <v>7643</v>
      </c>
      <c r="D1955" s="140" t="str">
        <f>IFERROR(VLOOKUP(C1955,Stock,3,FALSE),"")</f>
        <v>Honda Accord 13-17 9th Gen [Sensor]</v>
      </c>
      <c r="E1955" s="45">
        <v>1.0</v>
      </c>
      <c r="F1955" s="198">
        <v>2664000.0</v>
      </c>
      <c r="G1955" s="142">
        <f t="shared" si="54"/>
        <v>2664000</v>
      </c>
      <c r="H1955" s="142"/>
      <c r="I1955" s="143">
        <f t="shared" si="55"/>
        <v>2664000</v>
      </c>
      <c r="J1955" s="144">
        <f t="shared" si="57"/>
        <v>2664000</v>
      </c>
      <c r="K1955" s="108" t="s">
        <v>7644</v>
      </c>
      <c r="L1955" s="199" t="s">
        <v>7645</v>
      </c>
      <c r="M1955" s="17"/>
      <c r="N1955" s="68"/>
      <c r="O1955" s="68"/>
      <c r="P1955" s="170"/>
      <c r="Q1955" s="149"/>
      <c r="R1955" s="149"/>
      <c r="S1955" s="149"/>
      <c r="T1955" s="149"/>
      <c r="U1955" s="149"/>
      <c r="V1955" s="149"/>
      <c r="W1955" s="149"/>
      <c r="X1955" s="68"/>
      <c r="Y1955" s="68"/>
      <c r="Z1955" s="68"/>
    </row>
    <row r="1956" ht="15.0" customHeight="1">
      <c r="A1956" s="440">
        <v>46051.0</v>
      </c>
      <c r="B1956" s="201" t="s">
        <v>7646</v>
      </c>
      <c r="C1956" s="45" t="s">
        <v>3354</v>
      </c>
      <c r="D1956" s="140" t="str">
        <f>IFERROR(VLOOKUP(C1956,Stock,3,FALSE),"")</f>
        <v>Honda Brio 10- / Mobilio 11- (Honda)</v>
      </c>
      <c r="E1956" s="45">
        <v>1.0</v>
      </c>
      <c r="F1956" s="198">
        <v>1750000.0</v>
      </c>
      <c r="G1956" s="142">
        <f t="shared" si="54"/>
        <v>1750000</v>
      </c>
      <c r="H1956" s="142"/>
      <c r="I1956" s="143">
        <f t="shared" si="55"/>
        <v>1750000</v>
      </c>
      <c r="J1956" s="144">
        <f t="shared" si="57"/>
        <v>1750000</v>
      </c>
      <c r="K1956" s="108" t="s">
        <v>7647</v>
      </c>
      <c r="L1956" s="17"/>
      <c r="M1956" s="17"/>
      <c r="N1956" s="68"/>
      <c r="O1956" s="68"/>
      <c r="P1956" s="170"/>
      <c r="Q1956" s="149"/>
      <c r="R1956" s="141"/>
      <c r="S1956" s="141"/>
      <c r="T1956" s="141" t="s">
        <v>7648</v>
      </c>
      <c r="U1956" s="149"/>
      <c r="V1956" s="149"/>
      <c r="W1956" s="149"/>
      <c r="X1956" s="68"/>
      <c r="Y1956" s="68"/>
      <c r="Z1956" s="68"/>
    </row>
    <row r="1957" ht="15.0" customHeight="1">
      <c r="A1957" s="440">
        <v>46051.0</v>
      </c>
      <c r="B1957" s="201" t="s">
        <v>7646</v>
      </c>
      <c r="C1957" s="45" t="s">
        <v>2770</v>
      </c>
      <c r="D1957" s="140" t="str">
        <f>IFERROR(VLOOKUP(C1957,Stock,3,FALSE),"")</f>
        <v>Transport</v>
      </c>
      <c r="E1957" s="45">
        <v>1.0</v>
      </c>
      <c r="F1957" s="198">
        <v>200000.0</v>
      </c>
      <c r="G1957" s="142">
        <f t="shared" si="54"/>
        <v>200000</v>
      </c>
      <c r="H1957" s="142"/>
      <c r="I1957" s="143">
        <f t="shared" si="55"/>
        <v>200000</v>
      </c>
      <c r="J1957" s="144">
        <f t="shared" si="57"/>
        <v>200000</v>
      </c>
      <c r="K1957" s="108" t="s">
        <v>7647</v>
      </c>
      <c r="L1957" s="17"/>
      <c r="M1957" s="17"/>
      <c r="N1957" s="68"/>
      <c r="O1957" s="68"/>
      <c r="P1957" s="170"/>
      <c r="Q1957" s="149"/>
      <c r="R1957" s="149"/>
      <c r="S1957" s="149"/>
      <c r="T1957" s="149"/>
      <c r="U1957" s="149"/>
      <c r="V1957" s="149"/>
      <c r="W1957" s="149"/>
      <c r="X1957" s="68"/>
      <c r="Y1957" s="68"/>
      <c r="Z1957" s="68"/>
    </row>
    <row r="1958" ht="15.0" customHeight="1">
      <c r="A1958" s="440">
        <v>46051.0</v>
      </c>
      <c r="B1958" s="201" t="s">
        <v>7649</v>
      </c>
      <c r="C1958" s="45" t="s">
        <v>5047</v>
      </c>
      <c r="D1958" s="140" t="str">
        <f>IFERROR(VLOOKUP(C1958,Stock,3,FALSE),"")</f>
        <v>Toyota Innova 15-22 2nd Gen (Toyota)</v>
      </c>
      <c r="E1958" s="45">
        <v>1.0</v>
      </c>
      <c r="F1958" s="198">
        <v>985000.0</v>
      </c>
      <c r="G1958" s="142">
        <f t="shared" si="54"/>
        <v>985000</v>
      </c>
      <c r="H1958" s="142"/>
      <c r="I1958" s="143">
        <f t="shared" si="55"/>
        <v>985000</v>
      </c>
      <c r="J1958" s="144">
        <f t="shared" si="57"/>
        <v>985000</v>
      </c>
      <c r="K1958" s="108" t="s">
        <v>7650</v>
      </c>
      <c r="L1958" s="199" t="s">
        <v>7651</v>
      </c>
      <c r="M1958" s="17"/>
      <c r="N1958" s="68"/>
      <c r="O1958" s="68"/>
      <c r="P1958" s="170"/>
      <c r="Q1958" s="149"/>
      <c r="R1958" s="149"/>
      <c r="S1958" s="149"/>
      <c r="T1958" s="149"/>
      <c r="U1958" s="149"/>
      <c r="V1958" s="149"/>
      <c r="W1958" s="149"/>
      <c r="X1958" s="68"/>
      <c r="Y1958" s="68"/>
      <c r="Z1958" s="68"/>
    </row>
    <row r="1959" ht="15.0" customHeight="1">
      <c r="A1959" s="440">
        <v>46051.0</v>
      </c>
      <c r="B1959" s="398" t="s">
        <v>7652</v>
      </c>
      <c r="C1959" s="45" t="s">
        <v>7653</v>
      </c>
      <c r="D1959" s="140" t="str">
        <f>IFERROR(VLOOKUP(C1959,Stock,3,FALSE),"")</f>
        <v>Toyota LandCruiser Prado 96-02 FJ90</v>
      </c>
      <c r="E1959" s="45">
        <v>1.0</v>
      </c>
      <c r="F1959" s="198">
        <v>2348000.0</v>
      </c>
      <c r="G1959" s="142">
        <f t="shared" si="54"/>
        <v>2348000</v>
      </c>
      <c r="H1959" s="142"/>
      <c r="I1959" s="143">
        <f t="shared" si="55"/>
        <v>2348000</v>
      </c>
      <c r="J1959" s="144">
        <f t="shared" si="57"/>
        <v>2348000</v>
      </c>
      <c r="K1959" s="108" t="s">
        <v>7654</v>
      </c>
      <c r="L1959" s="199" t="s">
        <v>7655</v>
      </c>
      <c r="M1959" s="17"/>
      <c r="N1959" s="68"/>
      <c r="O1959" s="68"/>
      <c r="P1959" s="170"/>
      <c r="Q1959" s="149"/>
      <c r="R1959" s="149"/>
      <c r="S1959" s="149"/>
      <c r="T1959" s="149"/>
      <c r="U1959" s="149"/>
      <c r="V1959" s="149"/>
      <c r="W1959" s="149"/>
      <c r="X1959" s="68"/>
      <c r="Y1959" s="68"/>
      <c r="Z1959" s="68"/>
    </row>
    <row r="1960" ht="15.0" customHeight="1">
      <c r="A1960" s="440">
        <v>46051.0</v>
      </c>
      <c r="B1960" s="201" t="s">
        <v>7652</v>
      </c>
      <c r="C1960" s="45" t="s">
        <v>2835</v>
      </c>
      <c r="D1960" s="140" t="str">
        <f>IFERROR(VLOOKUP(C1960,Stock,3,FALSE),"")</f>
        <v>Peti Kayu</v>
      </c>
      <c r="E1960" s="45">
        <v>1.0</v>
      </c>
      <c r="F1960" s="198">
        <v>200000.0</v>
      </c>
      <c r="G1960" s="142">
        <f t="shared" si="54"/>
        <v>200000</v>
      </c>
      <c r="H1960" s="142"/>
      <c r="I1960" s="143">
        <f t="shared" si="55"/>
        <v>200000</v>
      </c>
      <c r="J1960" s="144">
        <f t="shared" si="57"/>
        <v>200000</v>
      </c>
      <c r="K1960" s="108" t="s">
        <v>7654</v>
      </c>
      <c r="L1960" s="199" t="s">
        <v>7655</v>
      </c>
      <c r="M1960" s="17"/>
      <c r="N1960" s="68"/>
      <c r="O1960" s="68"/>
      <c r="P1960" s="170"/>
      <c r="Q1960" s="149"/>
      <c r="R1960" s="149"/>
      <c r="S1960" s="149"/>
      <c r="T1960" s="149"/>
      <c r="U1960" s="149"/>
      <c r="V1960" s="149"/>
      <c r="W1960" s="149"/>
      <c r="X1960" s="68"/>
      <c r="Y1960" s="68"/>
      <c r="Z1960" s="68"/>
    </row>
    <row r="1961" ht="15.0" customHeight="1">
      <c r="A1961" s="440">
        <v>46051.0</v>
      </c>
      <c r="B1961" s="201" t="s">
        <v>7656</v>
      </c>
      <c r="C1961" s="45" t="s">
        <v>7657</v>
      </c>
      <c r="D1961" s="140" t="str">
        <f>IFERROR(VLOOKUP(C1961,Stock,3,FALSE),"")</f>
        <v>Honda Jazz 01-07 1st Gen</v>
      </c>
      <c r="E1961" s="45">
        <v>1.0</v>
      </c>
      <c r="F1961" s="198">
        <v>720000.0</v>
      </c>
      <c r="G1961" s="142">
        <f t="shared" si="54"/>
        <v>720000</v>
      </c>
      <c r="H1961" s="142"/>
      <c r="I1961" s="143">
        <f t="shared" si="55"/>
        <v>720000</v>
      </c>
      <c r="J1961" s="144">
        <f t="shared" si="57"/>
        <v>720000</v>
      </c>
      <c r="K1961" s="108" t="s">
        <v>7658</v>
      </c>
      <c r="L1961" s="199" t="s">
        <v>7659</v>
      </c>
      <c r="M1961" s="17"/>
      <c r="N1961" s="64" t="s">
        <v>7660</v>
      </c>
      <c r="O1961" s="64" t="s">
        <v>7661</v>
      </c>
      <c r="P1961" s="147" t="s">
        <v>4672</v>
      </c>
      <c r="Q1961" s="149"/>
      <c r="R1961" s="149"/>
      <c r="S1961" s="149"/>
      <c r="T1961" s="149"/>
      <c r="U1961" s="149"/>
      <c r="V1961" s="149"/>
      <c r="W1961" s="149"/>
      <c r="X1961" s="68"/>
      <c r="Y1961" s="68"/>
      <c r="Z1961" s="68"/>
    </row>
    <row r="1962" ht="15.0" customHeight="1">
      <c r="A1962" s="440">
        <v>46051.0</v>
      </c>
      <c r="B1962" s="201" t="s">
        <v>7656</v>
      </c>
      <c r="C1962" s="45" t="s">
        <v>2770</v>
      </c>
      <c r="D1962" s="140" t="str">
        <f>IFERROR(VLOOKUP(C1962,Stock,3,FALSE),"")</f>
        <v>Transport</v>
      </c>
      <c r="E1962" s="45">
        <v>1.0</v>
      </c>
      <c r="F1962" s="198">
        <v>200000.0</v>
      </c>
      <c r="G1962" s="142">
        <f t="shared" si="54"/>
        <v>200000</v>
      </c>
      <c r="H1962" s="142"/>
      <c r="I1962" s="143">
        <f t="shared" si="55"/>
        <v>200000</v>
      </c>
      <c r="J1962" s="144">
        <f t="shared" si="57"/>
        <v>200000</v>
      </c>
      <c r="K1962" s="108" t="s">
        <v>7658</v>
      </c>
      <c r="L1962" s="199" t="s">
        <v>7659</v>
      </c>
      <c r="M1962" s="17"/>
      <c r="N1962" s="64" t="s">
        <v>7660</v>
      </c>
      <c r="O1962" s="64" t="s">
        <v>7661</v>
      </c>
      <c r="P1962" s="147" t="s">
        <v>4672</v>
      </c>
      <c r="Q1962" s="149"/>
      <c r="R1962" s="149"/>
      <c r="S1962" s="149"/>
      <c r="T1962" s="149"/>
      <c r="U1962" s="149"/>
      <c r="V1962" s="149"/>
      <c r="W1962" s="149"/>
      <c r="X1962" s="68"/>
      <c r="Y1962" s="68"/>
      <c r="Z1962" s="68"/>
    </row>
    <row r="1963" ht="15.0" customHeight="1">
      <c r="A1963" s="440">
        <v>46051.0</v>
      </c>
      <c r="B1963" s="201" t="s">
        <v>7662</v>
      </c>
      <c r="C1963" s="45" t="s">
        <v>7663</v>
      </c>
      <c r="D1963" s="140" t="str">
        <f>IFERROR(VLOOKUP(C1963,Stock,3,FALSE),"")</f>
        <v>Suzuki Carry Futura (1300cc) / Mitsubishi Colt T120</v>
      </c>
      <c r="E1963" s="45">
        <v>1.0</v>
      </c>
      <c r="F1963" s="198">
        <v>750000.0</v>
      </c>
      <c r="G1963" s="142">
        <f t="shared" si="54"/>
        <v>750000</v>
      </c>
      <c r="H1963" s="142"/>
      <c r="I1963" s="143">
        <f t="shared" si="55"/>
        <v>750000</v>
      </c>
      <c r="J1963" s="144">
        <f t="shared" si="57"/>
        <v>750000</v>
      </c>
      <c r="K1963" s="108" t="s">
        <v>7664</v>
      </c>
      <c r="L1963" s="199" t="s">
        <v>7665</v>
      </c>
      <c r="M1963" s="17"/>
      <c r="N1963" s="68"/>
      <c r="O1963" s="64" t="s">
        <v>2760</v>
      </c>
      <c r="P1963" s="147" t="s">
        <v>3409</v>
      </c>
      <c r="Q1963" s="149"/>
      <c r="R1963" s="141"/>
      <c r="S1963" s="141"/>
      <c r="T1963" s="141">
        <v>750000.0</v>
      </c>
      <c r="U1963" s="149"/>
      <c r="V1963" s="149"/>
      <c r="W1963" s="149"/>
      <c r="X1963" s="64" t="s">
        <v>2936</v>
      </c>
      <c r="Y1963" s="68"/>
      <c r="Z1963" s="68"/>
    </row>
    <row r="1964" ht="15.0" customHeight="1">
      <c r="A1964" s="440">
        <v>46043.0</v>
      </c>
      <c r="B1964" s="201" t="s">
        <v>7666</v>
      </c>
      <c r="C1964" s="45" t="s">
        <v>7667</v>
      </c>
      <c r="D1964" s="140" t="str">
        <f>IFERROR(VLOOKUP(C1964,Stock,3,FALSE),"")</f>
        <v>BMW Series 7 95-01 E38</v>
      </c>
      <c r="E1964" s="45">
        <v>1.0</v>
      </c>
      <c r="F1964" s="198">
        <v>7700000.0</v>
      </c>
      <c r="G1964" s="142">
        <f t="shared" si="54"/>
        <v>7700000</v>
      </c>
      <c r="H1964" s="142"/>
      <c r="I1964" s="143">
        <f t="shared" si="55"/>
        <v>7700000</v>
      </c>
      <c r="J1964" s="144">
        <f t="shared" si="57"/>
        <v>7700000</v>
      </c>
      <c r="K1964" s="108" t="s">
        <v>7668</v>
      </c>
      <c r="L1964" s="199" t="s">
        <v>7669</v>
      </c>
      <c r="M1964" s="17"/>
      <c r="N1964" s="68"/>
      <c r="O1964" s="64" t="s">
        <v>6453</v>
      </c>
      <c r="P1964" s="147" t="s">
        <v>4672</v>
      </c>
      <c r="Q1964" s="149"/>
      <c r="R1964" s="149"/>
      <c r="S1964" s="149"/>
      <c r="T1964" s="149"/>
      <c r="U1964" s="149"/>
      <c r="V1964" s="149"/>
      <c r="W1964" s="149"/>
      <c r="X1964" s="68"/>
      <c r="Y1964" s="68"/>
      <c r="Z1964" s="68"/>
    </row>
    <row r="1965" ht="15.0" customHeight="1">
      <c r="A1965" s="440">
        <v>46043.0</v>
      </c>
      <c r="B1965" s="201" t="s">
        <v>7666</v>
      </c>
      <c r="C1965" s="45" t="s">
        <v>2770</v>
      </c>
      <c r="D1965" s="140" t="str">
        <f>IFERROR(VLOOKUP(C1965,Stock,3,FALSE),"")</f>
        <v>Transport</v>
      </c>
      <c r="E1965" s="45">
        <v>1.0</v>
      </c>
      <c r="F1965" s="198">
        <v>200000.0</v>
      </c>
      <c r="G1965" s="142">
        <f t="shared" si="54"/>
        <v>200000</v>
      </c>
      <c r="H1965" s="142"/>
      <c r="I1965" s="143">
        <f t="shared" si="55"/>
        <v>200000</v>
      </c>
      <c r="J1965" s="144">
        <f t="shared" si="57"/>
        <v>200000</v>
      </c>
      <c r="K1965" s="108" t="s">
        <v>7668</v>
      </c>
      <c r="L1965" s="199" t="s">
        <v>7669</v>
      </c>
      <c r="M1965" s="17"/>
      <c r="N1965" s="68"/>
      <c r="O1965" s="64" t="s">
        <v>6453</v>
      </c>
      <c r="P1965" s="147" t="s">
        <v>4672</v>
      </c>
      <c r="Q1965" s="149"/>
      <c r="R1965" s="149"/>
      <c r="S1965" s="149"/>
      <c r="T1965" s="149"/>
      <c r="U1965" s="149"/>
      <c r="V1965" s="149"/>
      <c r="W1965" s="149"/>
      <c r="X1965" s="68"/>
      <c r="Y1965" s="68"/>
      <c r="Z1965" s="68"/>
    </row>
    <row r="1966" ht="15.0" customHeight="1">
      <c r="A1966" s="440">
        <v>46051.0</v>
      </c>
      <c r="B1966" s="201" t="s">
        <v>7670</v>
      </c>
      <c r="C1966" s="45" t="s">
        <v>7671</v>
      </c>
      <c r="D1966" s="140" t="str">
        <f>IFERROR(VLOOKUP(C1966,Stock,3,FALSE),"")</f>
        <v>Nissan Evalia 10- X11M</v>
      </c>
      <c r="E1966" s="45">
        <v>1.0</v>
      </c>
      <c r="F1966" s="198">
        <v>1022000.0</v>
      </c>
      <c r="G1966" s="142">
        <f t="shared" si="54"/>
        <v>1022000</v>
      </c>
      <c r="H1966" s="142"/>
      <c r="I1966" s="143">
        <f t="shared" si="55"/>
        <v>1022000</v>
      </c>
      <c r="J1966" s="144">
        <f t="shared" si="57"/>
        <v>1022000</v>
      </c>
      <c r="K1966" s="108" t="s">
        <v>7672</v>
      </c>
      <c r="L1966" s="199" t="s">
        <v>7673</v>
      </c>
      <c r="M1966" s="17"/>
      <c r="N1966" s="68"/>
      <c r="O1966" s="64" t="s">
        <v>4692</v>
      </c>
      <c r="P1966" s="147" t="s">
        <v>4672</v>
      </c>
      <c r="Q1966" s="149"/>
      <c r="R1966" s="141"/>
      <c r="S1966" s="141"/>
      <c r="T1966" s="141">
        <v>1322000.0</v>
      </c>
      <c r="U1966" s="149"/>
      <c r="V1966" s="149"/>
      <c r="W1966" s="149"/>
      <c r="X1966" s="68"/>
      <c r="Y1966" s="68"/>
      <c r="Z1966" s="68"/>
    </row>
    <row r="1967" ht="15.0" customHeight="1">
      <c r="A1967" s="440">
        <v>46051.0</v>
      </c>
      <c r="B1967" s="201" t="s">
        <v>7670</v>
      </c>
      <c r="C1967" s="45" t="s">
        <v>7011</v>
      </c>
      <c r="D1967" s="140" t="str">
        <f>IFERROR(VLOOKUP(C1967,Stock,3,FALSE),"")</f>
        <v>Automotive Film Standard - Black 40%				</v>
      </c>
      <c r="E1967" s="45">
        <v>1.0</v>
      </c>
      <c r="F1967" s="198">
        <v>300000.0</v>
      </c>
      <c r="G1967" s="142">
        <f t="shared" si="54"/>
        <v>300000</v>
      </c>
      <c r="H1967" s="142"/>
      <c r="I1967" s="143">
        <f t="shared" si="55"/>
        <v>300000</v>
      </c>
      <c r="J1967" s="144">
        <f t="shared" si="57"/>
        <v>300000</v>
      </c>
      <c r="K1967" s="108" t="s">
        <v>7672</v>
      </c>
      <c r="L1967" s="199" t="s">
        <v>7673</v>
      </c>
      <c r="M1967" s="17"/>
      <c r="N1967" s="68"/>
      <c r="O1967" s="64" t="s">
        <v>4692</v>
      </c>
      <c r="P1967" s="147" t="s">
        <v>4672</v>
      </c>
      <c r="Q1967" s="149"/>
      <c r="R1967" s="149"/>
      <c r="S1967" s="149"/>
      <c r="T1967" s="149"/>
      <c r="U1967" s="149"/>
      <c r="V1967" s="149"/>
      <c r="W1967" s="149"/>
      <c r="X1967" s="68"/>
      <c r="Y1967" s="68"/>
      <c r="Z1967" s="68"/>
    </row>
    <row r="1968" ht="15.0" customHeight="1">
      <c r="A1968" s="440">
        <v>46052.0</v>
      </c>
      <c r="B1968" s="398" t="s">
        <v>7674</v>
      </c>
      <c r="C1968" s="45" t="s">
        <v>7265</v>
      </c>
      <c r="D1968" s="140" t="str">
        <f>IFERROR(VLOOKUP(C1968,Stock,3,FALSE),"")</f>
        <v>Hino Ranger Louhan 03- / Hino 500</v>
      </c>
      <c r="E1968" s="45">
        <v>1.0</v>
      </c>
      <c r="F1968" s="198">
        <v>1500000.0</v>
      </c>
      <c r="G1968" s="142">
        <f t="shared" si="54"/>
        <v>1500000</v>
      </c>
      <c r="H1968" s="142"/>
      <c r="I1968" s="143">
        <f t="shared" si="55"/>
        <v>1500000</v>
      </c>
      <c r="J1968" s="144">
        <f t="shared" si="57"/>
        <v>1500000</v>
      </c>
      <c r="K1968" s="108" t="s">
        <v>6300</v>
      </c>
      <c r="L1968" s="17"/>
      <c r="M1968" s="17"/>
      <c r="N1968" s="68"/>
      <c r="O1968" s="64" t="s">
        <v>2813</v>
      </c>
      <c r="P1968" s="147" t="s">
        <v>7675</v>
      </c>
      <c r="Q1968" s="149"/>
      <c r="R1968" s="149"/>
      <c r="S1968" s="149"/>
      <c r="T1968" s="149"/>
      <c r="U1968" s="149"/>
      <c r="V1968" s="149"/>
      <c r="W1968" s="149"/>
      <c r="X1968" s="68"/>
      <c r="Y1968" s="68"/>
      <c r="Z1968" s="68"/>
    </row>
    <row r="1969" ht="15.0" customHeight="1">
      <c r="A1969" s="440">
        <v>46052.0</v>
      </c>
      <c r="B1969" s="201" t="s">
        <v>7676</v>
      </c>
      <c r="C1969" s="45" t="s">
        <v>7677</v>
      </c>
      <c r="D1969" s="286"/>
      <c r="E1969" s="45">
        <v>1.0</v>
      </c>
      <c r="F1969" s="198">
        <v>800000.0</v>
      </c>
      <c r="G1969" s="142">
        <f t="shared" si="54"/>
        <v>800000</v>
      </c>
      <c r="H1969" s="142"/>
      <c r="I1969" s="143">
        <f t="shared" si="55"/>
        <v>800000</v>
      </c>
      <c r="J1969" s="144">
        <f t="shared" si="57"/>
        <v>800000</v>
      </c>
      <c r="K1969" s="108" t="s">
        <v>4772</v>
      </c>
      <c r="L1969" s="199" t="s">
        <v>7678</v>
      </c>
      <c r="M1969" s="17"/>
      <c r="N1969" s="64" t="s">
        <v>7679</v>
      </c>
      <c r="O1969" s="68"/>
      <c r="P1969" s="147" t="s">
        <v>4672</v>
      </c>
      <c r="Q1969" s="149"/>
      <c r="R1969" s="141"/>
      <c r="S1969" s="141"/>
      <c r="T1969" s="141" t="s">
        <v>7680</v>
      </c>
      <c r="U1969" s="149"/>
      <c r="V1969" s="149"/>
      <c r="W1969" s="149"/>
      <c r="X1969" s="68"/>
      <c r="Y1969" s="68"/>
      <c r="Z1969" s="68"/>
    </row>
    <row r="1970" ht="15.0" customHeight="1">
      <c r="A1970" s="440">
        <v>46052.0</v>
      </c>
      <c r="B1970" s="201" t="s">
        <v>7676</v>
      </c>
      <c r="C1970" s="45" t="s">
        <v>2770</v>
      </c>
      <c r="D1970" s="140" t="str">
        <f>IFERROR(VLOOKUP(C1970,Stock,3,FALSE),"")</f>
        <v>Transport</v>
      </c>
      <c r="E1970" s="45">
        <v>1.0</v>
      </c>
      <c r="F1970" s="198">
        <v>230000.0</v>
      </c>
      <c r="G1970" s="142">
        <f t="shared" si="54"/>
        <v>230000</v>
      </c>
      <c r="H1970" s="143">
        <v>30000.0</v>
      </c>
      <c r="I1970" s="143">
        <f t="shared" si="55"/>
        <v>200000</v>
      </c>
      <c r="J1970" s="144">
        <f t="shared" si="57"/>
        <v>200000</v>
      </c>
      <c r="K1970" s="108" t="s">
        <v>4772</v>
      </c>
      <c r="L1970" s="199" t="s">
        <v>7678</v>
      </c>
      <c r="M1970" s="17"/>
      <c r="N1970" s="64" t="s">
        <v>7679</v>
      </c>
      <c r="O1970" s="68"/>
      <c r="P1970" s="147" t="s">
        <v>4672</v>
      </c>
      <c r="Q1970" s="149"/>
      <c r="R1970" s="149"/>
      <c r="S1970" s="149"/>
      <c r="T1970" s="149"/>
      <c r="U1970" s="149"/>
      <c r="V1970" s="149"/>
      <c r="W1970" s="149"/>
      <c r="X1970" s="68"/>
      <c r="Y1970" s="68"/>
      <c r="Z1970" s="68"/>
    </row>
    <row r="1971" ht="15.0" customHeight="1">
      <c r="A1971" s="440">
        <v>46052.0</v>
      </c>
      <c r="B1971" s="201" t="s">
        <v>7681</v>
      </c>
      <c r="C1971" s="45" t="s">
        <v>7589</v>
      </c>
      <c r="D1971" s="140" t="str">
        <f>IFERROR(VLOOKUP(C1971,Stock,3,FALSE),"")</f>
        <v>Honda Jazz 07-13 2nd Gen</v>
      </c>
      <c r="E1971" s="45">
        <v>1.0</v>
      </c>
      <c r="F1971" s="198">
        <v>1668000.0</v>
      </c>
      <c r="G1971" s="142">
        <f t="shared" si="54"/>
        <v>1668000</v>
      </c>
      <c r="H1971" s="142"/>
      <c r="I1971" s="143">
        <f t="shared" si="55"/>
        <v>1668000</v>
      </c>
      <c r="J1971" s="144">
        <f t="shared" si="57"/>
        <v>1668000</v>
      </c>
      <c r="K1971" s="108" t="s">
        <v>7682</v>
      </c>
      <c r="L1971" s="199" t="s">
        <v>7683</v>
      </c>
      <c r="M1971" s="17"/>
      <c r="N1971" s="64" t="s">
        <v>7684</v>
      </c>
      <c r="O1971" s="68"/>
      <c r="P1971" s="147" t="s">
        <v>4672</v>
      </c>
      <c r="Q1971" s="149"/>
      <c r="R1971" s="141"/>
      <c r="S1971" s="141"/>
      <c r="T1971" s="141">
        <v>100000.0</v>
      </c>
      <c r="U1971" s="149"/>
      <c r="V1971" s="149"/>
      <c r="W1971" s="149"/>
      <c r="X1971" s="68"/>
      <c r="Y1971" s="68"/>
      <c r="Z1971" s="68"/>
    </row>
    <row r="1972" ht="15.0" customHeight="1">
      <c r="A1972" s="440">
        <v>46052.0</v>
      </c>
      <c r="B1972" s="201" t="s">
        <v>7681</v>
      </c>
      <c r="C1972" s="45" t="s">
        <v>2770</v>
      </c>
      <c r="D1972" s="140" t="str">
        <f>IFERROR(VLOOKUP(C1972,Stock,3,FALSE),"")</f>
        <v>Transport</v>
      </c>
      <c r="E1972" s="45">
        <v>1.0</v>
      </c>
      <c r="F1972" s="198">
        <v>100000.0</v>
      </c>
      <c r="G1972" s="142">
        <f t="shared" si="54"/>
        <v>100000</v>
      </c>
      <c r="H1972" s="143">
        <v>50000.0</v>
      </c>
      <c r="I1972" s="143">
        <f t="shared" si="55"/>
        <v>50000</v>
      </c>
      <c r="J1972" s="144">
        <f t="shared" si="57"/>
        <v>50000</v>
      </c>
      <c r="K1972" s="108" t="s">
        <v>7682</v>
      </c>
      <c r="L1972" s="199" t="s">
        <v>7683</v>
      </c>
      <c r="M1972" s="17"/>
      <c r="N1972" s="64" t="s">
        <v>7684</v>
      </c>
      <c r="O1972" s="68"/>
      <c r="P1972" s="147" t="s">
        <v>4672</v>
      </c>
      <c r="Q1972" s="149"/>
      <c r="R1972" s="141"/>
      <c r="S1972" s="141"/>
      <c r="T1972" s="141">
        <v>1618000.0</v>
      </c>
      <c r="U1972" s="149"/>
      <c r="V1972" s="149"/>
      <c r="W1972" s="149"/>
      <c r="X1972" s="68"/>
      <c r="Y1972" s="68"/>
      <c r="Z1972" s="68"/>
    </row>
    <row r="1973" ht="15.0" customHeight="1">
      <c r="A1973" s="440">
        <v>46052.0</v>
      </c>
      <c r="B1973" s="201" t="s">
        <v>7685</v>
      </c>
      <c r="C1973" s="45" t="s">
        <v>7265</v>
      </c>
      <c r="D1973" s="140" t="str">
        <f>IFERROR(VLOOKUP(C1973,Stock,3,FALSE),"")</f>
        <v>Hino Ranger Louhan 03- / Hino 500</v>
      </c>
      <c r="E1973" s="45">
        <v>1.0</v>
      </c>
      <c r="F1973" s="198">
        <v>2071000.0</v>
      </c>
      <c r="G1973" s="142">
        <f t="shared" si="54"/>
        <v>2071000</v>
      </c>
      <c r="H1973" s="143">
        <v>71000.0</v>
      </c>
      <c r="I1973" s="143">
        <f t="shared" si="55"/>
        <v>2000000</v>
      </c>
      <c r="J1973" s="144">
        <f t="shared" si="57"/>
        <v>2000000</v>
      </c>
      <c r="K1973" s="108" t="s">
        <v>7686</v>
      </c>
      <c r="L1973" s="199" t="s">
        <v>7687</v>
      </c>
      <c r="M1973" s="17"/>
      <c r="N1973" s="64" t="s">
        <v>7688</v>
      </c>
      <c r="O1973" s="64" t="s">
        <v>2905</v>
      </c>
      <c r="P1973" s="147" t="s">
        <v>4672</v>
      </c>
      <c r="Q1973" s="149"/>
      <c r="R1973" s="149"/>
      <c r="S1973" s="149"/>
      <c r="T1973" s="149"/>
      <c r="U1973" s="149"/>
      <c r="V1973" s="149"/>
      <c r="W1973" s="149"/>
      <c r="X1973" s="68"/>
      <c r="Y1973" s="68"/>
      <c r="Z1973" s="68"/>
    </row>
    <row r="1974" ht="15.0" customHeight="1">
      <c r="A1974" s="440">
        <v>46052.0</v>
      </c>
      <c r="B1974" s="201" t="s">
        <v>7685</v>
      </c>
      <c r="C1974" s="45" t="s">
        <v>2770</v>
      </c>
      <c r="D1974" s="140" t="str">
        <f>IFERROR(VLOOKUP(C1974,Stock,3,FALSE),"")</f>
        <v>Transport</v>
      </c>
      <c r="E1974" s="45">
        <v>1.0</v>
      </c>
      <c r="F1974" s="198">
        <v>0.0</v>
      </c>
      <c r="G1974" s="142">
        <f t="shared" si="54"/>
        <v>0</v>
      </c>
      <c r="H1974" s="142"/>
      <c r="I1974" s="143">
        <f t="shared" si="55"/>
        <v>0</v>
      </c>
      <c r="J1974" s="144">
        <f t="shared" si="57"/>
        <v>0</v>
      </c>
      <c r="K1974" s="108" t="s">
        <v>7686</v>
      </c>
      <c r="L1974" s="199" t="s">
        <v>7687</v>
      </c>
      <c r="M1974" s="17"/>
      <c r="N1974" s="64" t="s">
        <v>7688</v>
      </c>
      <c r="O1974" s="64" t="s">
        <v>2905</v>
      </c>
      <c r="P1974" s="147" t="s">
        <v>4672</v>
      </c>
      <c r="Q1974" s="149"/>
      <c r="R1974" s="149"/>
      <c r="S1974" s="149"/>
      <c r="T1974" s="149"/>
      <c r="U1974" s="149"/>
      <c r="V1974" s="149"/>
      <c r="W1974" s="149"/>
      <c r="X1974" s="68"/>
      <c r="Y1974" s="68"/>
      <c r="Z1974" s="68"/>
    </row>
    <row r="1975" ht="15.0" customHeight="1">
      <c r="A1975" s="440">
        <v>46052.0</v>
      </c>
      <c r="B1975" s="201" t="s">
        <v>7689</v>
      </c>
      <c r="C1975" s="45" t="s">
        <v>6770</v>
      </c>
      <c r="D1975" s="140" t="str">
        <f>IFERROR(VLOOKUP(C1975,Stock,3,FALSE),"")</f>
        <v>Toyota Altis 06-13 E140 10th Gen</v>
      </c>
      <c r="E1975" s="45">
        <v>1.0</v>
      </c>
      <c r="F1975" s="198">
        <v>2300000.0</v>
      </c>
      <c r="G1975" s="142">
        <f t="shared" si="54"/>
        <v>2300000</v>
      </c>
      <c r="H1975" s="142"/>
      <c r="I1975" s="143">
        <f t="shared" si="55"/>
        <v>2300000</v>
      </c>
      <c r="J1975" s="144">
        <f t="shared" si="57"/>
        <v>2300000</v>
      </c>
      <c r="K1975" s="108" t="s">
        <v>7690</v>
      </c>
      <c r="L1975" s="199" t="s">
        <v>7691</v>
      </c>
      <c r="M1975" s="17"/>
      <c r="N1975" s="64" t="s">
        <v>7692</v>
      </c>
      <c r="O1975" s="64" t="s">
        <v>2813</v>
      </c>
      <c r="P1975" s="147" t="s">
        <v>4672</v>
      </c>
      <c r="Q1975" s="149"/>
      <c r="R1975" s="149"/>
      <c r="S1975" s="149"/>
      <c r="T1975" s="149"/>
      <c r="U1975" s="149"/>
      <c r="V1975" s="149"/>
      <c r="W1975" s="149"/>
      <c r="X1975" s="68"/>
      <c r="Y1975" s="68"/>
      <c r="Z1975" s="68"/>
    </row>
    <row r="1976" ht="15.0" customHeight="1">
      <c r="A1976" s="440">
        <v>46052.0</v>
      </c>
      <c r="B1976" s="201" t="s">
        <v>7693</v>
      </c>
      <c r="C1976" s="45" t="s">
        <v>7694</v>
      </c>
      <c r="D1976" s="140" t="str">
        <f>IFERROR(VLOOKUP(C1976,Stock,3,FALSE),"")</f>
        <v>Toyota Kijang  98- Kapsul Karet (7K)</v>
      </c>
      <c r="E1976" s="45">
        <v>1.0</v>
      </c>
      <c r="F1976" s="198">
        <v>650000.0</v>
      </c>
      <c r="G1976" s="142">
        <f t="shared" si="54"/>
        <v>650000</v>
      </c>
      <c r="H1976" s="142"/>
      <c r="I1976" s="143">
        <f t="shared" si="55"/>
        <v>650000</v>
      </c>
      <c r="J1976" s="144">
        <f t="shared" si="57"/>
        <v>650000</v>
      </c>
      <c r="K1976" s="108" t="s">
        <v>7695</v>
      </c>
      <c r="L1976" s="45" t="s">
        <v>7696</v>
      </c>
      <c r="M1976" s="17"/>
      <c r="N1976" s="68"/>
      <c r="O1976" s="64" t="s">
        <v>7697</v>
      </c>
      <c r="P1976" s="147" t="s">
        <v>4672</v>
      </c>
      <c r="Q1976" s="149"/>
      <c r="R1976" s="141"/>
      <c r="S1976" s="141"/>
      <c r="T1976" s="141">
        <v>50000.0</v>
      </c>
      <c r="U1976" s="149"/>
      <c r="V1976" s="149"/>
      <c r="W1976" s="149"/>
      <c r="X1976" s="68"/>
      <c r="Y1976" s="68"/>
      <c r="Z1976" s="68"/>
    </row>
    <row r="1977" ht="15.0" customHeight="1">
      <c r="A1977" s="440">
        <v>46052.0</v>
      </c>
      <c r="B1977" s="201" t="s">
        <v>7693</v>
      </c>
      <c r="C1977" s="45" t="s">
        <v>2770</v>
      </c>
      <c r="D1977" s="140" t="str">
        <f>IFERROR(VLOOKUP(C1977,Stock,3,FALSE),"")</f>
        <v>Transport</v>
      </c>
      <c r="E1977" s="45">
        <v>1.0</v>
      </c>
      <c r="F1977" s="198">
        <v>70000.0</v>
      </c>
      <c r="G1977" s="142">
        <f t="shared" si="54"/>
        <v>70000</v>
      </c>
      <c r="H1977" s="142"/>
      <c r="I1977" s="143">
        <f t="shared" si="55"/>
        <v>70000</v>
      </c>
      <c r="J1977" s="144">
        <f t="shared" si="57"/>
        <v>70000</v>
      </c>
      <c r="K1977" s="108" t="s">
        <v>7695</v>
      </c>
      <c r="L1977" s="45" t="s">
        <v>7696</v>
      </c>
      <c r="M1977" s="17"/>
      <c r="N1977" s="68"/>
      <c r="O1977" s="64" t="s">
        <v>7697</v>
      </c>
      <c r="P1977" s="147" t="s">
        <v>4672</v>
      </c>
      <c r="Q1977" s="149"/>
      <c r="R1977" s="149"/>
      <c r="S1977" s="149"/>
      <c r="T1977" s="149"/>
      <c r="U1977" s="149"/>
      <c r="V1977" s="149"/>
      <c r="W1977" s="149"/>
      <c r="X1977" s="68"/>
      <c r="Y1977" s="68"/>
      <c r="Z1977" s="68"/>
    </row>
    <row r="1978" ht="15.0" customHeight="1">
      <c r="A1978" s="440">
        <v>46052.0</v>
      </c>
      <c r="B1978" s="201" t="s">
        <v>7698</v>
      </c>
      <c r="C1978" s="45" t="s">
        <v>3354</v>
      </c>
      <c r="D1978" s="140" t="str">
        <f>IFERROR(VLOOKUP(C1978,Stock,3,FALSE),"")</f>
        <v>Honda Brio 10- / Mobilio 11- (Honda)</v>
      </c>
      <c r="E1978" s="45">
        <v>1.0</v>
      </c>
      <c r="F1978" s="198">
        <v>1772000.0</v>
      </c>
      <c r="G1978" s="142">
        <f t="shared" si="54"/>
        <v>1772000</v>
      </c>
      <c r="H1978" s="142"/>
      <c r="I1978" s="143">
        <f t="shared" si="55"/>
        <v>1772000</v>
      </c>
      <c r="J1978" s="144">
        <f t="shared" si="57"/>
        <v>1772000</v>
      </c>
      <c r="K1978" s="200"/>
      <c r="L1978" s="199" t="s">
        <v>7699</v>
      </c>
      <c r="M1978" s="17"/>
      <c r="N1978" s="64" t="s">
        <v>7700</v>
      </c>
      <c r="O1978" s="64" t="s">
        <v>2813</v>
      </c>
      <c r="P1978" s="147" t="s">
        <v>4672</v>
      </c>
      <c r="Q1978" s="149"/>
      <c r="R1978" s="149"/>
      <c r="S1978" s="149"/>
      <c r="T1978" s="149"/>
      <c r="U1978" s="149"/>
      <c r="V1978" s="149"/>
      <c r="W1978" s="149"/>
      <c r="X1978" s="68"/>
      <c r="Y1978" s="68"/>
      <c r="Z1978" s="68"/>
    </row>
    <row r="1979" ht="15.0" customHeight="1">
      <c r="A1979" s="440">
        <v>46052.0</v>
      </c>
      <c r="B1979" s="201" t="s">
        <v>7701</v>
      </c>
      <c r="C1979" s="45" t="s">
        <v>7160</v>
      </c>
      <c r="D1979" s="140" t="str">
        <f>IFERROR(VLOOKUP(C1979,Stock,3,FALSE),"")</f>
        <v>Toyota Avanza / Xenia 11-15 2nd Gen</v>
      </c>
      <c r="E1979" s="45">
        <v>1.0</v>
      </c>
      <c r="F1979" s="198">
        <v>1000000.0</v>
      </c>
      <c r="G1979" s="142">
        <f t="shared" si="54"/>
        <v>1000000</v>
      </c>
      <c r="H1979" s="142"/>
      <c r="I1979" s="143">
        <f t="shared" si="55"/>
        <v>1000000</v>
      </c>
      <c r="J1979" s="144">
        <f t="shared" si="57"/>
        <v>1000000</v>
      </c>
      <c r="K1979" s="108" t="s">
        <v>5557</v>
      </c>
      <c r="L1979" s="199" t="s">
        <v>5558</v>
      </c>
      <c r="M1979" s="17"/>
      <c r="N1979" s="64" t="s">
        <v>7702</v>
      </c>
      <c r="O1979" s="64" t="s">
        <v>6908</v>
      </c>
      <c r="P1979" s="147" t="s">
        <v>4672</v>
      </c>
      <c r="Q1979" s="149"/>
      <c r="R1979" s="141"/>
      <c r="S1979" s="141"/>
      <c r="T1979" s="141">
        <v>30000.0</v>
      </c>
      <c r="U1979" s="149"/>
      <c r="V1979" s="149"/>
      <c r="W1979" s="149"/>
      <c r="X1979" s="68"/>
      <c r="Y1979" s="68"/>
      <c r="Z1979" s="68"/>
    </row>
    <row r="1980" ht="15.0" customHeight="1">
      <c r="A1980" s="206">
        <v>46053.0</v>
      </c>
      <c r="B1980" s="201" t="s">
        <v>7703</v>
      </c>
      <c r="C1980" s="45" t="s">
        <v>5041</v>
      </c>
      <c r="D1980" s="140" t="str">
        <f>IFERROR(VLOOKUP(C1980,Stock,3,FALSE),"")</f>
        <v>Honda Freed 08-16 1st gen</v>
      </c>
      <c r="E1980" s="45">
        <v>1.0</v>
      </c>
      <c r="F1980" s="198">
        <v>1618000.0</v>
      </c>
      <c r="G1980" s="142">
        <f t="shared" si="54"/>
        <v>1618000</v>
      </c>
      <c r="H1980" s="142"/>
      <c r="I1980" s="143">
        <f t="shared" si="55"/>
        <v>1618000</v>
      </c>
      <c r="J1980" s="144">
        <f t="shared" si="57"/>
        <v>1618000</v>
      </c>
      <c r="K1980" s="108" t="s">
        <v>7704</v>
      </c>
      <c r="L1980" s="199" t="s">
        <v>7705</v>
      </c>
      <c r="M1980" s="17"/>
      <c r="N1980" s="64" t="s">
        <v>7706</v>
      </c>
      <c r="O1980" s="64" t="s">
        <v>7707</v>
      </c>
      <c r="P1980" s="147" t="s">
        <v>4672</v>
      </c>
      <c r="Q1980" s="149"/>
      <c r="R1980" s="141"/>
      <c r="S1980" s="141"/>
      <c r="T1980" s="141">
        <v>1618000.0</v>
      </c>
      <c r="U1980" s="149"/>
      <c r="V1980" s="149"/>
      <c r="W1980" s="149"/>
      <c r="X1980" s="68"/>
      <c r="Y1980" s="68"/>
      <c r="Z1980" s="68"/>
    </row>
    <row r="1981" ht="15.0" customHeight="1">
      <c r="A1981" s="206">
        <v>46053.0</v>
      </c>
      <c r="B1981" s="201" t="s">
        <v>7708</v>
      </c>
      <c r="C1981" s="45" t="s">
        <v>3662</v>
      </c>
      <c r="D1981" s="140" t="str">
        <f>IFERROR(VLOOKUP(C1981,Stock,3,FALSE),"")</f>
        <v>Toyota Innova 15-22 2nd Gen (Toyota)</v>
      </c>
      <c r="E1981" s="45">
        <v>1.0</v>
      </c>
      <c r="F1981" s="198">
        <v>2889000.0</v>
      </c>
      <c r="G1981" s="142">
        <f t="shared" si="54"/>
        <v>2889000</v>
      </c>
      <c r="H1981" s="142"/>
      <c r="I1981" s="143">
        <f t="shared" si="55"/>
        <v>2889000</v>
      </c>
      <c r="J1981" s="144">
        <f t="shared" si="57"/>
        <v>2889000</v>
      </c>
      <c r="K1981" s="108" t="s">
        <v>7709</v>
      </c>
      <c r="L1981" s="45" t="s">
        <v>7710</v>
      </c>
      <c r="M1981" s="17"/>
      <c r="N1981" s="64" t="s">
        <v>7711</v>
      </c>
      <c r="O1981" s="68"/>
      <c r="P1981" s="147" t="s">
        <v>4672</v>
      </c>
      <c r="Q1981" s="149"/>
      <c r="R1981" s="149"/>
      <c r="S1981" s="149"/>
      <c r="T1981" s="149"/>
      <c r="U1981" s="149"/>
      <c r="V1981" s="149"/>
      <c r="W1981" s="149"/>
      <c r="X1981" s="68"/>
      <c r="Y1981" s="68"/>
      <c r="Z1981" s="68"/>
    </row>
    <row r="1982" ht="15.0" customHeight="1">
      <c r="A1982" s="206">
        <v>46053.0</v>
      </c>
      <c r="B1982" s="201" t="s">
        <v>7712</v>
      </c>
      <c r="C1982" s="45" t="s">
        <v>2885</v>
      </c>
      <c r="D1982" s="140" t="str">
        <f>IFERROR(VLOOKUP(C1982,Stock,3,FALSE),"")</f>
        <v>Bongkar Pasang Kaca Mobil Belakang</v>
      </c>
      <c r="E1982" s="45">
        <v>1.0</v>
      </c>
      <c r="F1982" s="198">
        <v>450000.0</v>
      </c>
      <c r="G1982" s="142">
        <f t="shared" si="54"/>
        <v>450000</v>
      </c>
      <c r="H1982" s="142"/>
      <c r="I1982" s="143">
        <f t="shared" si="55"/>
        <v>450000</v>
      </c>
      <c r="J1982" s="144">
        <f t="shared" si="57"/>
        <v>450000</v>
      </c>
      <c r="K1982" s="108" t="s">
        <v>7713</v>
      </c>
      <c r="L1982" s="199" t="s">
        <v>7714</v>
      </c>
      <c r="M1982" s="17"/>
      <c r="N1982" s="68"/>
      <c r="O1982" s="68"/>
      <c r="P1982" s="170"/>
      <c r="Q1982" s="149"/>
      <c r="R1982" s="149"/>
      <c r="S1982" s="149"/>
      <c r="T1982" s="149"/>
      <c r="U1982" s="149"/>
      <c r="V1982" s="149"/>
      <c r="W1982" s="149"/>
      <c r="X1982" s="68"/>
      <c r="Y1982" s="68"/>
      <c r="Z1982" s="68"/>
    </row>
    <row r="1983" ht="15.0" customHeight="1">
      <c r="A1983" s="249">
        <v>46053.0</v>
      </c>
      <c r="B1983" s="250" t="s">
        <v>7715</v>
      </c>
      <c r="C1983" s="251" t="s">
        <v>4134</v>
      </c>
      <c r="D1983" s="252" t="str">
        <f>IFERROR(VLOOKUP(C1983,Stock,3,FALSE),"")</f>
        <v>Mazda 2 14- Skyactiv 4th Gen</v>
      </c>
      <c r="E1983" s="251">
        <v>1.0</v>
      </c>
      <c r="F1983" s="253">
        <v>523000.0</v>
      </c>
      <c r="G1983" s="254">
        <f t="shared" si="54"/>
        <v>523000</v>
      </c>
      <c r="H1983" s="254"/>
      <c r="I1983" s="255">
        <f t="shared" si="55"/>
        <v>523000</v>
      </c>
      <c r="J1983" s="256">
        <f t="shared" si="57"/>
        <v>523000</v>
      </c>
      <c r="K1983" s="257" t="s">
        <v>7716</v>
      </c>
      <c r="L1983" s="259"/>
      <c r="M1983" s="259"/>
      <c r="N1983" s="372"/>
      <c r="O1983" s="372"/>
      <c r="P1983" s="261"/>
      <c r="Q1983" s="262"/>
      <c r="R1983" s="262"/>
      <c r="S1983" s="262"/>
      <c r="T1983" s="262"/>
      <c r="U1983" s="262"/>
      <c r="V1983" s="262"/>
      <c r="W1983" s="262"/>
      <c r="X1983" s="372"/>
      <c r="Y1983" s="372"/>
      <c r="Z1983" s="372"/>
    </row>
    <row r="1984" ht="15.0" customHeight="1">
      <c r="A1984" s="206">
        <v>46053.0</v>
      </c>
      <c r="B1984" s="201" t="s">
        <v>7717</v>
      </c>
      <c r="C1984" s="45" t="s">
        <v>2003</v>
      </c>
      <c r="D1984" s="140" t="str">
        <f>IFERROR(VLOOKUP(C1984,Stock,3,FALSE),"")</f>
        <v>Toyota Agya/Ayla 13-22 1st Gen</v>
      </c>
      <c r="E1984" s="45">
        <v>1.0</v>
      </c>
      <c r="F1984" s="198">
        <v>1000000.0</v>
      </c>
      <c r="G1984" s="142">
        <f t="shared" si="54"/>
        <v>1000000</v>
      </c>
      <c r="H1984" s="142"/>
      <c r="I1984" s="143">
        <f t="shared" si="55"/>
        <v>1000000</v>
      </c>
      <c r="J1984" s="144">
        <f t="shared" si="57"/>
        <v>1000000</v>
      </c>
      <c r="K1984" s="108" t="s">
        <v>7260</v>
      </c>
      <c r="L1984" s="199" t="s">
        <v>7718</v>
      </c>
      <c r="M1984" s="17"/>
      <c r="N1984" s="64" t="s">
        <v>7719</v>
      </c>
      <c r="O1984" s="64" t="s">
        <v>2813</v>
      </c>
      <c r="P1984" s="147" t="s">
        <v>4672</v>
      </c>
      <c r="Q1984" s="149"/>
      <c r="R1984" s="149"/>
      <c r="S1984" s="149"/>
      <c r="T1984" s="149"/>
      <c r="U1984" s="149"/>
      <c r="V1984" s="149"/>
      <c r="W1984" s="149"/>
      <c r="X1984" s="68"/>
      <c r="Y1984" s="68"/>
      <c r="Z1984" s="68"/>
    </row>
    <row r="1985" ht="15.0" customHeight="1">
      <c r="A1985" s="206">
        <v>46053.0</v>
      </c>
      <c r="B1985" s="201" t="s">
        <v>7720</v>
      </c>
      <c r="C1985" s="45" t="s">
        <v>7199</v>
      </c>
      <c r="D1985" s="140" t="str">
        <f>IFERROR(VLOOKUP(C1985,Stock,3,FALSE),"")</f>
        <v>Daihatsu Gran Max / Luxio 07-</v>
      </c>
      <c r="E1985" s="45">
        <v>1.0</v>
      </c>
      <c r="F1985" s="198">
        <v>1100000.0</v>
      </c>
      <c r="G1985" s="142">
        <f t="shared" si="54"/>
        <v>1100000</v>
      </c>
      <c r="H1985" s="142"/>
      <c r="I1985" s="143">
        <f t="shared" si="55"/>
        <v>1100000</v>
      </c>
      <c r="J1985" s="144">
        <f t="shared" si="57"/>
        <v>1100000</v>
      </c>
      <c r="K1985" s="108" t="s">
        <v>7721</v>
      </c>
      <c r="L1985" s="199" t="s">
        <v>7722</v>
      </c>
      <c r="M1985" s="17"/>
      <c r="N1985" s="64" t="s">
        <v>7723</v>
      </c>
      <c r="O1985" s="64" t="s">
        <v>2813</v>
      </c>
      <c r="P1985" s="147" t="s">
        <v>4672</v>
      </c>
      <c r="Q1985" s="149"/>
      <c r="R1985" s="141"/>
      <c r="S1985" s="141"/>
      <c r="T1985" s="141">
        <v>1100000.0</v>
      </c>
      <c r="U1985" s="149"/>
      <c r="V1985" s="149"/>
      <c r="W1985" s="149"/>
      <c r="X1985" s="68"/>
      <c r="Y1985" s="68"/>
      <c r="Z1985" s="68"/>
    </row>
    <row r="1986" ht="15.0" customHeight="1">
      <c r="A1986" s="206">
        <v>46053.0</v>
      </c>
      <c r="B1986" s="201" t="s">
        <v>7724</v>
      </c>
      <c r="C1986" s="45" t="s">
        <v>2792</v>
      </c>
      <c r="D1986" s="140" t="str">
        <f>IFERROR(VLOOKUP(C1986,Stock,3,FALSE),"")</f>
        <v>Toyota Calya / Sigra 16-</v>
      </c>
      <c r="E1986" s="45">
        <v>1.0</v>
      </c>
      <c r="F1986" s="198">
        <v>850000.0</v>
      </c>
      <c r="G1986" s="142">
        <f t="shared" si="54"/>
        <v>850000</v>
      </c>
      <c r="H1986" s="142"/>
      <c r="I1986" s="143">
        <f t="shared" si="55"/>
        <v>850000</v>
      </c>
      <c r="J1986" s="144">
        <f t="shared" si="57"/>
        <v>850000</v>
      </c>
      <c r="K1986" s="108" t="s">
        <v>7725</v>
      </c>
      <c r="L1986" s="199" t="s">
        <v>7726</v>
      </c>
      <c r="M1986" s="17"/>
      <c r="N1986" s="64" t="s">
        <v>7727</v>
      </c>
      <c r="O1986" s="64" t="s">
        <v>2813</v>
      </c>
      <c r="P1986" s="147" t="s">
        <v>4672</v>
      </c>
      <c r="Q1986" s="149"/>
      <c r="R1986" s="141"/>
      <c r="S1986" s="141"/>
      <c r="T1986" s="141">
        <v>50000.0</v>
      </c>
      <c r="U1986" s="149"/>
      <c r="V1986" s="149"/>
      <c r="W1986" s="149"/>
      <c r="X1986" s="68"/>
      <c r="Y1986" s="68"/>
      <c r="Z1986" s="68"/>
    </row>
    <row r="1987" ht="15.0" customHeight="1">
      <c r="A1987" s="206">
        <v>46053.0</v>
      </c>
      <c r="B1987" s="201" t="s">
        <v>7724</v>
      </c>
      <c r="C1987" s="45" t="s">
        <v>2770</v>
      </c>
      <c r="D1987" s="140" t="str">
        <f>IFERROR(VLOOKUP(C1987,Stock,3,FALSE),"")</f>
        <v>Transport</v>
      </c>
      <c r="E1987" s="45">
        <v>1.0</v>
      </c>
      <c r="F1987" s="198">
        <v>50000.0</v>
      </c>
      <c r="G1987" s="142">
        <f t="shared" si="54"/>
        <v>50000</v>
      </c>
      <c r="H1987" s="142"/>
      <c r="I1987" s="143">
        <f t="shared" si="55"/>
        <v>50000</v>
      </c>
      <c r="J1987" s="144">
        <f t="shared" si="57"/>
        <v>50000</v>
      </c>
      <c r="K1987" s="108" t="s">
        <v>7725</v>
      </c>
      <c r="L1987" s="199" t="s">
        <v>7726</v>
      </c>
      <c r="M1987" s="17"/>
      <c r="N1987" s="64" t="s">
        <v>7727</v>
      </c>
      <c r="O1987" s="64" t="s">
        <v>2813</v>
      </c>
      <c r="P1987" s="147" t="s">
        <v>4672</v>
      </c>
      <c r="Q1987" s="149"/>
      <c r="R1987" s="149"/>
      <c r="S1987" s="149"/>
      <c r="T1987" s="149"/>
      <c r="U1987" s="149"/>
      <c r="V1987" s="149"/>
      <c r="W1987" s="149"/>
      <c r="X1987" s="68"/>
      <c r="Y1987" s="68"/>
      <c r="Z1987" s="68"/>
    </row>
    <row r="1988" ht="15.0" customHeight="1">
      <c r="A1988" s="206">
        <v>46053.0</v>
      </c>
      <c r="B1988" s="398" t="s">
        <v>7728</v>
      </c>
      <c r="C1988" s="45" t="s">
        <v>7729</v>
      </c>
      <c r="D1988" s="140" t="str">
        <f>IFERROR(VLOOKUP(C1988,Stock,3,FALSE),"")</f>
        <v>Toyota Alphard 02-08 ANH10 1st Gen (Rata)</v>
      </c>
      <c r="E1988" s="45">
        <v>1.0</v>
      </c>
      <c r="F1988" s="198">
        <v>1866000.0</v>
      </c>
      <c r="G1988" s="142">
        <f t="shared" si="54"/>
        <v>1866000</v>
      </c>
      <c r="H1988" s="142"/>
      <c r="I1988" s="143">
        <f t="shared" si="55"/>
        <v>1866000</v>
      </c>
      <c r="J1988" s="144">
        <f t="shared" si="57"/>
        <v>1866000</v>
      </c>
      <c r="K1988" s="108" t="s">
        <v>7730</v>
      </c>
      <c r="L1988" s="199" t="s">
        <v>7731</v>
      </c>
      <c r="M1988" s="17"/>
      <c r="N1988" s="68"/>
      <c r="O1988" s="64" t="s">
        <v>7732</v>
      </c>
      <c r="P1988" s="147" t="s">
        <v>4672</v>
      </c>
      <c r="Q1988" s="149"/>
      <c r="R1988" s="141"/>
      <c r="S1988" s="141"/>
      <c r="T1988" s="141">
        <v>500000.0</v>
      </c>
      <c r="U1988" s="149"/>
      <c r="V1988" s="149"/>
      <c r="W1988" s="149"/>
      <c r="X1988" s="68"/>
      <c r="Y1988" s="68"/>
      <c r="Z1988" s="68"/>
    </row>
    <row r="1989" ht="15.0" customHeight="1">
      <c r="A1989" s="206">
        <v>46053.0</v>
      </c>
      <c r="B1989" s="201" t="s">
        <v>7733</v>
      </c>
      <c r="C1989" s="45" t="s">
        <v>7734</v>
      </c>
      <c r="D1989" s="140" t="str">
        <f>IFERROR(VLOOKUP(C1989,Stock,3,FALSE),"")</f>
        <v>Hyundai H1 08- / Mover (Lubang)</v>
      </c>
      <c r="E1989" s="45">
        <v>1.0</v>
      </c>
      <c r="F1989" s="198">
        <v>2283000.0</v>
      </c>
      <c r="G1989" s="142">
        <f t="shared" si="54"/>
        <v>2283000</v>
      </c>
      <c r="H1989" s="142"/>
      <c r="I1989" s="143">
        <f t="shared" si="55"/>
        <v>2283000</v>
      </c>
      <c r="J1989" s="144">
        <f t="shared" si="57"/>
        <v>2283000</v>
      </c>
      <c r="K1989" s="108" t="s">
        <v>7735</v>
      </c>
      <c r="L1989" s="199" t="s">
        <v>7736</v>
      </c>
      <c r="M1989" s="17"/>
      <c r="N1989" s="68"/>
      <c r="O1989" s="64" t="s">
        <v>2813</v>
      </c>
      <c r="P1989" s="147" t="s">
        <v>4672</v>
      </c>
      <c r="Q1989" s="149"/>
      <c r="R1989" s="141"/>
      <c r="S1989" s="141"/>
      <c r="T1989" s="141">
        <v>100000.0</v>
      </c>
      <c r="U1989" s="149"/>
      <c r="V1989" s="149"/>
      <c r="W1989" s="149"/>
      <c r="X1989" s="68"/>
      <c r="Y1989" s="68"/>
      <c r="Z1989" s="68"/>
    </row>
    <row r="1990" ht="15.0" customHeight="1">
      <c r="A1990" s="206">
        <v>46053.0</v>
      </c>
      <c r="B1990" s="201" t="s">
        <v>7733</v>
      </c>
      <c r="C1990" s="45" t="s">
        <v>2962</v>
      </c>
      <c r="D1990" s="140" t="str">
        <f>IFERROR(VLOOKUP(C1990,Stock,3,FALSE),"")</f>
        <v>Lembur</v>
      </c>
      <c r="E1990" s="45">
        <v>1.0</v>
      </c>
      <c r="F1990" s="198">
        <v>150000.0</v>
      </c>
      <c r="G1990" s="142">
        <f t="shared" si="54"/>
        <v>150000</v>
      </c>
      <c r="H1990" s="142"/>
      <c r="I1990" s="143">
        <f t="shared" si="55"/>
        <v>150000</v>
      </c>
      <c r="J1990" s="144">
        <f t="shared" si="57"/>
        <v>150000</v>
      </c>
      <c r="K1990" s="108" t="s">
        <v>7735</v>
      </c>
      <c r="L1990" s="199" t="s">
        <v>7736</v>
      </c>
      <c r="M1990" s="17"/>
      <c r="N1990" s="68"/>
      <c r="O1990" s="64" t="s">
        <v>2813</v>
      </c>
      <c r="P1990" s="147" t="s">
        <v>4672</v>
      </c>
      <c r="Q1990" s="149"/>
      <c r="R1990" s="149"/>
      <c r="S1990" s="149"/>
      <c r="T1990" s="149"/>
      <c r="U1990" s="149"/>
      <c r="V1990" s="149"/>
      <c r="W1990" s="149"/>
      <c r="X1990" s="68"/>
      <c r="Y1990" s="68"/>
      <c r="Z1990" s="68"/>
    </row>
    <row r="1991" ht="15.0" customHeight="1">
      <c r="A1991" s="206">
        <v>46053.0</v>
      </c>
      <c r="B1991" s="201" t="s">
        <v>7737</v>
      </c>
      <c r="C1991" s="45" t="s">
        <v>7738</v>
      </c>
      <c r="D1991" s="140" t="str">
        <f>IFERROR(VLOOKUP(C1991,Stock,3,FALSE),"")</f>
        <v>Chevrolet Aveo 11- T300 2nd Gen Hatchback</v>
      </c>
      <c r="E1991" s="45">
        <v>1.0</v>
      </c>
      <c r="F1991" s="198">
        <v>1972502.0</v>
      </c>
      <c r="G1991" s="142">
        <f t="shared" si="54"/>
        <v>1972502</v>
      </c>
      <c r="H1991" s="142"/>
      <c r="I1991" s="143">
        <f t="shared" si="55"/>
        <v>1972502</v>
      </c>
      <c r="J1991" s="144">
        <f t="shared" si="57"/>
        <v>1972502</v>
      </c>
      <c r="K1991" s="108" t="s">
        <v>7739</v>
      </c>
      <c r="L1991" s="17"/>
      <c r="M1991" s="17"/>
      <c r="N1991" s="68"/>
      <c r="O1991" s="68"/>
      <c r="P1991" s="147" t="s">
        <v>3480</v>
      </c>
      <c r="Q1991" s="149"/>
      <c r="R1991" s="149"/>
      <c r="S1991" s="149"/>
      <c r="T1991" s="149"/>
      <c r="U1991" s="149">
        <f>J1991</f>
        <v>1972502</v>
      </c>
      <c r="V1991" s="149"/>
      <c r="W1991" s="149"/>
      <c r="X1991" s="68"/>
      <c r="Y1991" s="68"/>
      <c r="Z1991" s="68"/>
    </row>
    <row r="1992" ht="15.0" customHeight="1">
      <c r="A1992" s="206">
        <v>46054.0</v>
      </c>
      <c r="B1992" s="201" t="s">
        <v>7740</v>
      </c>
      <c r="C1992" s="45" t="s">
        <v>7741</v>
      </c>
      <c r="D1992" s="140" t="str">
        <f>IFERROR(VLOOKUP(C1992,Stock,3,FALSE),"")</f>
        <v>BMW 3 Series 12-18 F30/F35</v>
      </c>
      <c r="E1992" s="45">
        <v>1.0</v>
      </c>
      <c r="F1992" s="198">
        <v>995000.0</v>
      </c>
      <c r="G1992" s="142">
        <f t="shared" si="54"/>
        <v>995000</v>
      </c>
      <c r="H1992" s="142"/>
      <c r="I1992" s="143">
        <f t="shared" si="55"/>
        <v>995000</v>
      </c>
      <c r="J1992" s="144">
        <f t="shared" si="57"/>
        <v>995000</v>
      </c>
      <c r="K1992" s="108" t="s">
        <v>7742</v>
      </c>
      <c r="L1992" s="199" t="s">
        <v>7743</v>
      </c>
      <c r="M1992" s="17"/>
      <c r="N1992" s="64" t="s">
        <v>7744</v>
      </c>
      <c r="O1992" s="64" t="s">
        <v>2813</v>
      </c>
      <c r="P1992" s="147" t="s">
        <v>4672</v>
      </c>
      <c r="Q1992" s="149"/>
      <c r="R1992" s="149"/>
      <c r="S1992" s="149"/>
      <c r="T1992" s="149"/>
      <c r="U1992" s="149"/>
      <c r="V1992" s="149"/>
      <c r="W1992" s="149"/>
      <c r="X1992" s="68"/>
      <c r="Y1992" s="68"/>
      <c r="Z1992" s="68"/>
    </row>
    <row r="1993" ht="15.0" customHeight="1">
      <c r="A1993" s="206">
        <v>46054.0</v>
      </c>
      <c r="B1993" s="201" t="s">
        <v>7740</v>
      </c>
      <c r="C1993" s="45" t="s">
        <v>2962</v>
      </c>
      <c r="D1993" s="140" t="str">
        <f>IFERROR(VLOOKUP(C1993,Stock,3,FALSE),"")</f>
        <v>Lembur</v>
      </c>
      <c r="E1993" s="45">
        <v>1.0</v>
      </c>
      <c r="F1993" s="198">
        <v>150000.0</v>
      </c>
      <c r="G1993" s="142">
        <f t="shared" si="54"/>
        <v>150000</v>
      </c>
      <c r="H1993" s="142"/>
      <c r="I1993" s="143">
        <f t="shared" si="55"/>
        <v>150000</v>
      </c>
      <c r="J1993" s="144">
        <f t="shared" si="57"/>
        <v>150000</v>
      </c>
      <c r="K1993" s="108" t="s">
        <v>7742</v>
      </c>
      <c r="L1993" s="199" t="s">
        <v>7743</v>
      </c>
      <c r="M1993" s="17"/>
      <c r="N1993" s="64" t="s">
        <v>7744</v>
      </c>
      <c r="O1993" s="64" t="s">
        <v>2813</v>
      </c>
      <c r="P1993" s="147" t="s">
        <v>4672</v>
      </c>
      <c r="Q1993" s="149"/>
      <c r="R1993" s="149"/>
      <c r="S1993" s="149"/>
      <c r="T1993" s="149"/>
      <c r="U1993" s="149"/>
      <c r="V1993" s="149"/>
      <c r="W1993" s="149"/>
      <c r="X1993" s="68"/>
      <c r="Y1993" s="68"/>
      <c r="Z1993" s="68"/>
    </row>
    <row r="1994" ht="15.0" customHeight="1">
      <c r="A1994" s="206">
        <v>46055.0</v>
      </c>
      <c r="B1994" s="201" t="s">
        <v>7745</v>
      </c>
      <c r="C1994" s="45" t="s">
        <v>4534</v>
      </c>
      <c r="D1994" s="140" t="str">
        <f>IFERROR(VLOOKUP(C1994,Stock,3,FALSE),"")</f>
        <v>Suzuki Ertiga 12-18 1st Gen MPV</v>
      </c>
      <c r="E1994" s="45">
        <v>1.0</v>
      </c>
      <c r="F1994" s="198">
        <v>650000.0</v>
      </c>
      <c r="G1994" s="142">
        <f t="shared" si="54"/>
        <v>650000</v>
      </c>
      <c r="H1994" s="142"/>
      <c r="I1994" s="143">
        <f t="shared" si="55"/>
        <v>650000</v>
      </c>
      <c r="J1994" s="144">
        <f t="shared" si="57"/>
        <v>650000</v>
      </c>
      <c r="K1994" s="108" t="s">
        <v>4025</v>
      </c>
      <c r="L1994" s="199" t="s">
        <v>7746</v>
      </c>
      <c r="M1994" s="17"/>
      <c r="N1994" s="64" t="s">
        <v>7747</v>
      </c>
      <c r="O1994" s="64" t="s">
        <v>2813</v>
      </c>
      <c r="P1994" s="147" t="s">
        <v>4672</v>
      </c>
      <c r="Q1994" s="149"/>
      <c r="R1994" s="149"/>
      <c r="S1994" s="149"/>
      <c r="T1994" s="149"/>
      <c r="U1994" s="149"/>
      <c r="V1994" s="149"/>
      <c r="W1994" s="149"/>
      <c r="X1994" s="68"/>
      <c r="Y1994" s="68"/>
      <c r="Z1994" s="68"/>
    </row>
    <row r="1995" ht="15.0" customHeight="1">
      <c r="A1995" s="206">
        <v>46055.0</v>
      </c>
      <c r="B1995" s="201" t="s">
        <v>7748</v>
      </c>
      <c r="C1995" s="45" t="s">
        <v>3013</v>
      </c>
      <c r="D1995" s="140" t="str">
        <f>IFERROR(VLOOKUP(C1995,Stock,3,FALSE),"")</f>
        <v>Honda Freed 08-16 1st Gen (Honda)</v>
      </c>
      <c r="E1995" s="45">
        <v>1.0</v>
      </c>
      <c r="F1995" s="198">
        <v>3422000.0</v>
      </c>
      <c r="G1995" s="142">
        <f t="shared" si="54"/>
        <v>3422000</v>
      </c>
      <c r="H1995" s="143">
        <v>122000.0</v>
      </c>
      <c r="I1995" s="143">
        <f t="shared" si="55"/>
        <v>3300000</v>
      </c>
      <c r="J1995" s="144">
        <f t="shared" si="57"/>
        <v>3300000</v>
      </c>
      <c r="K1995" s="108" t="s">
        <v>7749</v>
      </c>
      <c r="L1995" s="199" t="s">
        <v>7750</v>
      </c>
      <c r="M1995" s="17"/>
      <c r="N1995" s="64" t="s">
        <v>7751</v>
      </c>
      <c r="O1995" s="64" t="s">
        <v>7752</v>
      </c>
      <c r="P1995" s="147" t="s">
        <v>4672</v>
      </c>
      <c r="Q1995" s="149"/>
      <c r="R1995" s="141"/>
      <c r="S1995" s="141"/>
      <c r="T1995" s="141" t="s">
        <v>7753</v>
      </c>
      <c r="U1995" s="149"/>
      <c r="V1995" s="149"/>
      <c r="W1995" s="149"/>
      <c r="X1995" s="68"/>
      <c r="Y1995" s="68"/>
      <c r="Z1995" s="68"/>
    </row>
    <row r="1996" ht="15.0" customHeight="1">
      <c r="A1996" s="206">
        <v>46055.0</v>
      </c>
      <c r="B1996" s="201" t="s">
        <v>7748</v>
      </c>
      <c r="C1996" s="45" t="s">
        <v>2770</v>
      </c>
      <c r="D1996" s="140" t="str">
        <f>IFERROR(VLOOKUP(C1996,Stock,3,FALSE),"")</f>
        <v>Transport</v>
      </c>
      <c r="E1996" s="45">
        <v>1.0</v>
      </c>
      <c r="F1996" s="198">
        <v>200000.0</v>
      </c>
      <c r="G1996" s="142">
        <f t="shared" si="54"/>
        <v>200000</v>
      </c>
      <c r="H1996" s="142"/>
      <c r="I1996" s="143">
        <f t="shared" si="55"/>
        <v>200000</v>
      </c>
      <c r="J1996" s="144">
        <f t="shared" si="57"/>
        <v>200000</v>
      </c>
      <c r="K1996" s="108" t="s">
        <v>7749</v>
      </c>
      <c r="L1996" s="199" t="s">
        <v>7750</v>
      </c>
      <c r="M1996" s="17"/>
      <c r="N1996" s="64" t="s">
        <v>7751</v>
      </c>
      <c r="O1996" s="64" t="s">
        <v>7752</v>
      </c>
      <c r="P1996" s="147" t="s">
        <v>4672</v>
      </c>
      <c r="Q1996" s="149"/>
      <c r="R1996" s="149"/>
      <c r="S1996" s="149"/>
      <c r="T1996" s="149"/>
      <c r="U1996" s="149"/>
      <c r="V1996" s="149"/>
      <c r="W1996" s="149"/>
      <c r="X1996" s="68"/>
      <c r="Y1996" s="68"/>
      <c r="Z1996" s="68"/>
    </row>
    <row r="1997" ht="15.0" customHeight="1">
      <c r="A1997" s="206">
        <v>46055.0</v>
      </c>
      <c r="B1997" s="201" t="s">
        <v>7754</v>
      </c>
      <c r="C1997" s="45" t="s">
        <v>7755</v>
      </c>
      <c r="D1997" s="140" t="str">
        <f>IFERROR(VLOOKUP(C1997,Stock,3,FALSE),"")</f>
        <v>Nissan X-Trail 13- T32</v>
      </c>
      <c r="E1997" s="45">
        <v>1.0</v>
      </c>
      <c r="F1997" s="198">
        <v>2481000.0</v>
      </c>
      <c r="G1997" s="142">
        <f t="shared" si="54"/>
        <v>2481000</v>
      </c>
      <c r="H1997" s="142"/>
      <c r="I1997" s="143">
        <f t="shared" si="55"/>
        <v>2481000</v>
      </c>
      <c r="J1997" s="144">
        <f t="shared" si="57"/>
        <v>2481000</v>
      </c>
      <c r="K1997" s="108" t="s">
        <v>7756</v>
      </c>
      <c r="L1997" s="199" t="s">
        <v>7757</v>
      </c>
      <c r="M1997" s="17"/>
      <c r="N1997" s="64" t="s">
        <v>7758</v>
      </c>
      <c r="O1997" s="64" t="s">
        <v>7759</v>
      </c>
      <c r="P1997" s="147" t="s">
        <v>4672</v>
      </c>
      <c r="Q1997" s="149"/>
      <c r="R1997" s="149"/>
      <c r="S1997" s="149"/>
      <c r="T1997" s="149"/>
      <c r="U1997" s="149"/>
      <c r="V1997" s="149"/>
      <c r="W1997" s="149"/>
      <c r="X1997" s="68"/>
      <c r="Y1997" s="68"/>
      <c r="Z1997" s="68"/>
    </row>
    <row r="1998" ht="15.0" customHeight="1">
      <c r="A1998" s="206">
        <v>46055.0</v>
      </c>
      <c r="B1998" s="201" t="s">
        <v>7754</v>
      </c>
      <c r="C1998" s="45" t="s">
        <v>2770</v>
      </c>
      <c r="D1998" s="140" t="str">
        <f>IFERROR(VLOOKUP(C1998,Stock,3,FALSE),"")</f>
        <v>Transport</v>
      </c>
      <c r="E1998" s="45">
        <v>1.0</v>
      </c>
      <c r="F1998" s="198">
        <v>180000.0</v>
      </c>
      <c r="G1998" s="142">
        <f t="shared" si="54"/>
        <v>180000</v>
      </c>
      <c r="H1998" s="142"/>
      <c r="I1998" s="143">
        <f t="shared" si="55"/>
        <v>180000</v>
      </c>
      <c r="J1998" s="144">
        <f t="shared" si="57"/>
        <v>180000</v>
      </c>
      <c r="K1998" s="108" t="s">
        <v>7756</v>
      </c>
      <c r="L1998" s="199" t="s">
        <v>7757</v>
      </c>
      <c r="M1998" s="17"/>
      <c r="N1998" s="64" t="s">
        <v>7758</v>
      </c>
      <c r="O1998" s="64" t="s">
        <v>7759</v>
      </c>
      <c r="P1998" s="147" t="s">
        <v>4672</v>
      </c>
      <c r="Q1998" s="149"/>
      <c r="R1998" s="149"/>
      <c r="S1998" s="149"/>
      <c r="T1998" s="149"/>
      <c r="U1998" s="149"/>
      <c r="V1998" s="149"/>
      <c r="W1998" s="149"/>
      <c r="X1998" s="68"/>
      <c r="Y1998" s="68"/>
      <c r="Z1998" s="68"/>
    </row>
    <row r="1999" ht="15.0" customHeight="1">
      <c r="A1999" s="206">
        <v>46055.0</v>
      </c>
      <c r="B1999" s="201" t="s">
        <v>7760</v>
      </c>
      <c r="C1999" s="45" t="s">
        <v>2778</v>
      </c>
      <c r="D1999" s="140" t="str">
        <f>IFERROR(VLOOKUP(C1999,Stock,3,FALSE),"")</f>
        <v>Bongkar Pasang Kaca Mobil Depan</v>
      </c>
      <c r="E1999" s="45">
        <v>1.0</v>
      </c>
      <c r="F1999" s="198">
        <v>600000.0</v>
      </c>
      <c r="G1999" s="142">
        <f t="shared" si="54"/>
        <v>600000</v>
      </c>
      <c r="H1999" s="142"/>
      <c r="I1999" s="143">
        <f t="shared" si="55"/>
        <v>600000</v>
      </c>
      <c r="J1999" s="144">
        <f t="shared" si="57"/>
        <v>600000</v>
      </c>
      <c r="K1999" s="108" t="s">
        <v>7761</v>
      </c>
      <c r="L1999" s="199" t="s">
        <v>7762</v>
      </c>
      <c r="M1999" s="17"/>
      <c r="N1999" s="64" t="s">
        <v>7763</v>
      </c>
      <c r="O1999" s="64" t="s">
        <v>2813</v>
      </c>
      <c r="P1999" s="147" t="s">
        <v>4672</v>
      </c>
      <c r="Q1999" s="149"/>
      <c r="R1999" s="149"/>
      <c r="S1999" s="149"/>
      <c r="T1999" s="149"/>
      <c r="U1999" s="149"/>
      <c r="V1999" s="149"/>
      <c r="W1999" s="149"/>
      <c r="X1999" s="68"/>
      <c r="Y1999" s="68"/>
      <c r="Z1999" s="68"/>
    </row>
    <row r="2000" ht="15.0" customHeight="1">
      <c r="A2000" s="206">
        <v>46055.0</v>
      </c>
      <c r="B2000" s="201" t="s">
        <v>7764</v>
      </c>
      <c r="C2000" s="45" t="s">
        <v>3246</v>
      </c>
      <c r="D2000" s="140" t="str">
        <f>IFERROR(VLOOKUP(C2000,Stock,3,FALSE),"")</f>
        <v>Toyota Calya / Sigra 16-</v>
      </c>
      <c r="E2000" s="45">
        <v>1.0</v>
      </c>
      <c r="F2000" s="198">
        <v>1150000.0</v>
      </c>
      <c r="G2000" s="142">
        <f t="shared" si="54"/>
        <v>1150000</v>
      </c>
      <c r="H2000" s="142"/>
      <c r="I2000" s="143">
        <f t="shared" si="55"/>
        <v>1150000</v>
      </c>
      <c r="J2000" s="144">
        <f t="shared" si="57"/>
        <v>1150000</v>
      </c>
      <c r="K2000" s="108" t="s">
        <v>7765</v>
      </c>
      <c r="L2000" s="199" t="s">
        <v>7766</v>
      </c>
      <c r="M2000" s="17"/>
      <c r="N2000" s="64" t="s">
        <v>7767</v>
      </c>
      <c r="O2000" s="64" t="s">
        <v>2813</v>
      </c>
      <c r="P2000" s="147" t="s">
        <v>4672</v>
      </c>
      <c r="Q2000" s="149"/>
      <c r="R2000" s="149"/>
      <c r="S2000" s="149"/>
      <c r="T2000" s="149"/>
      <c r="U2000" s="149"/>
      <c r="V2000" s="149"/>
      <c r="W2000" s="149"/>
      <c r="X2000" s="68"/>
      <c r="Y2000" s="68"/>
      <c r="Z2000" s="68"/>
    </row>
    <row r="2001" ht="15.0" customHeight="1">
      <c r="A2001" s="206">
        <v>46055.0</v>
      </c>
      <c r="B2001" s="201" t="s">
        <v>7768</v>
      </c>
      <c r="C2001" s="45" t="s">
        <v>4627</v>
      </c>
      <c r="D2001" s="140" t="str">
        <f>IFERROR(VLOOKUP(C2001,Stock,3,FALSE),"")</f>
        <v>Honda Brio 18- (Honda)</v>
      </c>
      <c r="E2001" s="45">
        <v>1.0</v>
      </c>
      <c r="F2001" s="202"/>
      <c r="G2001" s="142">
        <f t="shared" si="54"/>
        <v>0</v>
      </c>
      <c r="H2001" s="142"/>
      <c r="I2001" s="143">
        <f t="shared" si="55"/>
        <v>0</v>
      </c>
      <c r="J2001" s="144">
        <f t="shared" si="57"/>
        <v>0</v>
      </c>
      <c r="K2001" s="108" t="s">
        <v>4509</v>
      </c>
      <c r="L2001" s="17"/>
      <c r="M2001" s="17"/>
      <c r="N2001" s="68"/>
      <c r="O2001" s="68"/>
      <c r="P2001" s="170"/>
      <c r="Q2001" s="149"/>
      <c r="R2001" s="149"/>
      <c r="S2001" s="149"/>
      <c r="T2001" s="149"/>
      <c r="U2001" s="149"/>
      <c r="V2001" s="149"/>
      <c r="W2001" s="149"/>
      <c r="X2001" s="68"/>
      <c r="Y2001" s="68"/>
      <c r="Z2001" s="68"/>
    </row>
    <row r="2002" ht="15.0" customHeight="1">
      <c r="A2002" s="206">
        <v>46055.0</v>
      </c>
      <c r="B2002" s="201" t="s">
        <v>7768</v>
      </c>
      <c r="C2002" s="45" t="s">
        <v>4176</v>
      </c>
      <c r="D2002" s="140" t="str">
        <f>IFERROR(VLOOKUP(C2002,Stock,3,FALSE),"")</f>
        <v>Honda HR-V 22- 5D SUV (Honda)</v>
      </c>
      <c r="E2002" s="45">
        <v>1.0</v>
      </c>
      <c r="F2002" s="202"/>
      <c r="G2002" s="142">
        <f t="shared" si="54"/>
        <v>0</v>
      </c>
      <c r="H2002" s="142"/>
      <c r="I2002" s="143">
        <f t="shared" si="55"/>
        <v>0</v>
      </c>
      <c r="J2002" s="144">
        <f t="shared" si="57"/>
        <v>0</v>
      </c>
      <c r="K2002" s="108" t="s">
        <v>4509</v>
      </c>
      <c r="L2002" s="17"/>
      <c r="M2002" s="17"/>
      <c r="N2002" s="68"/>
      <c r="O2002" s="68"/>
      <c r="P2002" s="170"/>
      <c r="Q2002" s="149"/>
      <c r="R2002" s="149"/>
      <c r="S2002" s="149"/>
      <c r="T2002" s="149"/>
      <c r="U2002" s="149"/>
      <c r="V2002" s="149"/>
      <c r="W2002" s="149"/>
      <c r="X2002" s="68"/>
      <c r="Y2002" s="68"/>
      <c r="Z2002" s="68"/>
    </row>
    <row r="2003" ht="15.0" customHeight="1">
      <c r="A2003" s="206">
        <v>46055.0</v>
      </c>
      <c r="B2003" s="201" t="s">
        <v>7768</v>
      </c>
      <c r="C2003" s="45" t="s">
        <v>4720</v>
      </c>
      <c r="D2003" s="140" t="str">
        <f>IFERROR(VLOOKUP(C2003,Stock,3,FALSE),"")</f>
        <v>Honda Jazz 13-  3rd Gen (Honda)</v>
      </c>
      <c r="E2003" s="45">
        <v>1.0</v>
      </c>
      <c r="F2003" s="202"/>
      <c r="G2003" s="142">
        <f t="shared" si="54"/>
        <v>0</v>
      </c>
      <c r="H2003" s="142"/>
      <c r="I2003" s="143">
        <f t="shared" si="55"/>
        <v>0</v>
      </c>
      <c r="J2003" s="144">
        <f t="shared" si="57"/>
        <v>0</v>
      </c>
      <c r="K2003" s="108" t="s">
        <v>4509</v>
      </c>
      <c r="L2003" s="17"/>
      <c r="M2003" s="17"/>
      <c r="N2003" s="68"/>
      <c r="O2003" s="68"/>
      <c r="P2003" s="170"/>
      <c r="Q2003" s="149"/>
      <c r="R2003" s="149"/>
      <c r="S2003" s="149"/>
      <c r="T2003" s="149"/>
      <c r="U2003" s="149"/>
      <c r="V2003" s="149"/>
      <c r="W2003" s="149"/>
      <c r="X2003" s="68"/>
      <c r="Y2003" s="68"/>
      <c r="Z2003" s="68"/>
    </row>
    <row r="2004" ht="15.0" customHeight="1">
      <c r="A2004" s="206">
        <v>46055.0</v>
      </c>
      <c r="B2004" s="201" t="s">
        <v>7768</v>
      </c>
      <c r="C2004" s="45" t="s">
        <v>6034</v>
      </c>
      <c r="D2004" s="140" t="str">
        <f>IFERROR(VLOOKUP(C2004,Stock,3,FALSE),"")</f>
        <v>Honda HR-V 22- 5D SUV (Honda)</v>
      </c>
      <c r="E2004" s="45">
        <v>1.0</v>
      </c>
      <c r="F2004" s="202"/>
      <c r="G2004" s="142">
        <f t="shared" si="54"/>
        <v>0</v>
      </c>
      <c r="H2004" s="142"/>
      <c r="I2004" s="143">
        <f t="shared" si="55"/>
        <v>0</v>
      </c>
      <c r="J2004" s="144">
        <f t="shared" si="57"/>
        <v>0</v>
      </c>
      <c r="K2004" s="108" t="s">
        <v>4509</v>
      </c>
      <c r="L2004" s="17"/>
      <c r="M2004" s="17"/>
      <c r="N2004" s="68"/>
      <c r="O2004" s="68"/>
      <c r="P2004" s="170"/>
      <c r="Q2004" s="149"/>
      <c r="R2004" s="149"/>
      <c r="S2004" s="149"/>
      <c r="T2004" s="149"/>
      <c r="U2004" s="149"/>
      <c r="V2004" s="149"/>
      <c r="W2004" s="149"/>
      <c r="X2004" s="68"/>
      <c r="Y2004" s="68"/>
      <c r="Z2004" s="68"/>
    </row>
    <row r="2005" ht="15.0" customHeight="1">
      <c r="A2005" s="206">
        <v>46055.0</v>
      </c>
      <c r="B2005" s="398" t="s">
        <v>7769</v>
      </c>
      <c r="C2005" s="45" t="s">
        <v>7770</v>
      </c>
      <c r="D2005" s="140" t="str">
        <f>IFERROR(VLOOKUP(C2005,Stock,3,FALSE),"")</f>
        <v>Mitsubishi Xpander 17- / Livina 19- 2nd Gen</v>
      </c>
      <c r="E2005" s="45">
        <v>1.0</v>
      </c>
      <c r="F2005" s="198">
        <v>585000.0</v>
      </c>
      <c r="G2005" s="142">
        <f t="shared" si="54"/>
        <v>585000</v>
      </c>
      <c r="H2005" s="142"/>
      <c r="I2005" s="143">
        <f t="shared" si="55"/>
        <v>585000</v>
      </c>
      <c r="J2005" s="144">
        <f t="shared" si="57"/>
        <v>585000</v>
      </c>
      <c r="K2005" s="108" t="s">
        <v>4205</v>
      </c>
      <c r="L2005" s="199" t="s">
        <v>7771</v>
      </c>
      <c r="M2005" s="17"/>
      <c r="N2005" s="68"/>
      <c r="O2005" s="68"/>
      <c r="P2005" s="147" t="s">
        <v>4672</v>
      </c>
      <c r="Q2005" s="149"/>
      <c r="R2005" s="149"/>
      <c r="S2005" s="149"/>
      <c r="T2005" s="149"/>
      <c r="U2005" s="149"/>
      <c r="V2005" s="149"/>
      <c r="W2005" s="149"/>
      <c r="X2005" s="68"/>
      <c r="Y2005" s="68"/>
      <c r="Z2005" s="68"/>
    </row>
    <row r="2006" ht="15.0" customHeight="1">
      <c r="A2006" s="206">
        <v>46056.0</v>
      </c>
      <c r="B2006" s="201" t="s">
        <v>7772</v>
      </c>
      <c r="C2006" s="45" t="s">
        <v>7318</v>
      </c>
      <c r="D2006" s="140" t="str">
        <f>IFERROR(VLOOKUP(C2006,Stock,3,FALSE),"")</f>
        <v>Toyota Avanza / Xenia 15-21 3rd Gen</v>
      </c>
      <c r="E2006" s="45">
        <v>1.0</v>
      </c>
      <c r="F2006" s="198">
        <v>1000000.0</v>
      </c>
      <c r="G2006" s="142">
        <f t="shared" si="54"/>
        <v>1000000</v>
      </c>
      <c r="H2006" s="142"/>
      <c r="I2006" s="143">
        <f t="shared" si="55"/>
        <v>1000000</v>
      </c>
      <c r="J2006" s="144">
        <f t="shared" si="57"/>
        <v>1000000</v>
      </c>
      <c r="K2006" s="108" t="s">
        <v>7773</v>
      </c>
      <c r="L2006" s="199" t="s">
        <v>7774</v>
      </c>
      <c r="M2006" s="17"/>
      <c r="N2006" s="64" t="s">
        <v>7775</v>
      </c>
      <c r="O2006" s="68"/>
      <c r="P2006" s="170"/>
      <c r="Q2006" s="149"/>
      <c r="R2006" s="141"/>
      <c r="S2006" s="141"/>
      <c r="T2006" s="141">
        <v>1300000.0</v>
      </c>
      <c r="U2006" s="149"/>
      <c r="V2006" s="149"/>
      <c r="W2006" s="149"/>
      <c r="X2006" s="68"/>
      <c r="Y2006" s="68"/>
      <c r="Z2006" s="68"/>
    </row>
    <row r="2007" ht="15.0" customHeight="1">
      <c r="A2007" s="206">
        <v>46056.0</v>
      </c>
      <c r="B2007" s="201" t="s">
        <v>7772</v>
      </c>
      <c r="C2007" s="45" t="s">
        <v>7011</v>
      </c>
      <c r="D2007" s="140" t="str">
        <f>IFERROR(VLOOKUP(C2007,Stock,3,FALSE),"")</f>
        <v>Automotive Film Standard - Black 40%				</v>
      </c>
      <c r="E2007" s="45">
        <v>1.0</v>
      </c>
      <c r="F2007" s="198">
        <v>300000.0</v>
      </c>
      <c r="G2007" s="142">
        <f t="shared" si="54"/>
        <v>300000</v>
      </c>
      <c r="H2007" s="142"/>
      <c r="I2007" s="143">
        <f t="shared" si="55"/>
        <v>300000</v>
      </c>
      <c r="J2007" s="144">
        <f t="shared" si="57"/>
        <v>300000</v>
      </c>
      <c r="K2007" s="200"/>
      <c r="L2007" s="17"/>
      <c r="M2007" s="17"/>
      <c r="N2007" s="68"/>
      <c r="O2007" s="68"/>
      <c r="P2007" s="170"/>
      <c r="Q2007" s="149"/>
      <c r="R2007" s="149"/>
      <c r="S2007" s="149"/>
      <c r="T2007" s="149"/>
      <c r="U2007" s="149"/>
      <c r="V2007" s="149"/>
      <c r="W2007" s="149"/>
      <c r="X2007" s="68"/>
      <c r="Y2007" s="68"/>
      <c r="Z2007" s="68"/>
    </row>
    <row r="2008" ht="15.0" customHeight="1">
      <c r="A2008" s="206">
        <v>46056.0</v>
      </c>
      <c r="B2008" s="201" t="s">
        <v>7776</v>
      </c>
      <c r="C2008" s="45" t="s">
        <v>7149</v>
      </c>
      <c r="D2008" s="140" t="str">
        <f>IFERROR(VLOOKUP(C2008,Stock,3,FALSE),"")</f>
        <v>Toyota Dyna/Hino Dutro 00-</v>
      </c>
      <c r="E2008" s="45">
        <v>1.0</v>
      </c>
      <c r="F2008" s="198">
        <v>1150000.0</v>
      </c>
      <c r="G2008" s="142">
        <f t="shared" si="54"/>
        <v>1150000</v>
      </c>
      <c r="H2008" s="142"/>
      <c r="I2008" s="143">
        <f t="shared" si="55"/>
        <v>1150000</v>
      </c>
      <c r="J2008" s="144">
        <f t="shared" si="57"/>
        <v>1150000</v>
      </c>
      <c r="K2008" s="108" t="s">
        <v>7777</v>
      </c>
      <c r="L2008" s="199" t="s">
        <v>7778</v>
      </c>
      <c r="M2008" s="17"/>
      <c r="N2008" s="68"/>
      <c r="O2008" s="64" t="s">
        <v>2813</v>
      </c>
      <c r="P2008" s="170"/>
      <c r="Q2008" s="149"/>
      <c r="R2008" s="149"/>
      <c r="S2008" s="149"/>
      <c r="T2008" s="149"/>
      <c r="U2008" s="149"/>
      <c r="V2008" s="149"/>
      <c r="W2008" s="149"/>
      <c r="X2008" s="68"/>
      <c r="Y2008" s="68"/>
      <c r="Z2008" s="68"/>
    </row>
    <row r="2009" ht="15.0" customHeight="1">
      <c r="A2009" s="206">
        <v>46056.0</v>
      </c>
      <c r="B2009" s="201" t="s">
        <v>7779</v>
      </c>
      <c r="C2009" s="45" t="s">
        <v>4745</v>
      </c>
      <c r="D2009" s="140" t="str">
        <f>IFERROR(VLOOKUP(C2009,Stock,3,FALSE),"")</f>
        <v>Toyota Fortuner 15-  2nd Gen / Toyota Hilux Pickup 15- (Revo) (Toyota)</v>
      </c>
      <c r="E2009" s="45">
        <v>2.0</v>
      </c>
      <c r="F2009" s="202"/>
      <c r="G2009" s="142">
        <f t="shared" si="54"/>
        <v>0</v>
      </c>
      <c r="H2009" s="142"/>
      <c r="I2009" s="143">
        <f t="shared" si="55"/>
        <v>0</v>
      </c>
      <c r="J2009" s="144">
        <f t="shared" si="57"/>
        <v>0</v>
      </c>
      <c r="K2009" s="108" t="s">
        <v>4509</v>
      </c>
      <c r="L2009" s="17"/>
      <c r="M2009" s="17"/>
      <c r="N2009" s="68"/>
      <c r="O2009" s="68"/>
      <c r="P2009" s="170"/>
      <c r="Q2009" s="149"/>
      <c r="R2009" s="149"/>
      <c r="S2009" s="149"/>
      <c r="T2009" s="149"/>
      <c r="U2009" s="149"/>
      <c r="V2009" s="149"/>
      <c r="W2009" s="149"/>
      <c r="X2009" s="68"/>
      <c r="Y2009" s="68"/>
      <c r="Z2009" s="68"/>
    </row>
    <row r="2010" ht="15.0" customHeight="1">
      <c r="A2010" s="206">
        <v>46056.0</v>
      </c>
      <c r="B2010" s="201" t="s">
        <v>7779</v>
      </c>
      <c r="C2010" s="45" t="s">
        <v>5063</v>
      </c>
      <c r="D2010" s="140" t="str">
        <f>IFERROR(VLOOKUP(C2010,Stock,3,FALSE),"")</f>
        <v>Toyota Innova 22- Zenyx 3rd Gen (Toyota)</v>
      </c>
      <c r="E2010" s="45">
        <v>1.0</v>
      </c>
      <c r="F2010" s="202"/>
      <c r="G2010" s="142">
        <f t="shared" si="54"/>
        <v>0</v>
      </c>
      <c r="H2010" s="142"/>
      <c r="I2010" s="143">
        <f t="shared" si="55"/>
        <v>0</v>
      </c>
      <c r="J2010" s="144">
        <f t="shared" si="57"/>
        <v>0</v>
      </c>
      <c r="K2010" s="108" t="s">
        <v>4509</v>
      </c>
      <c r="L2010" s="17"/>
      <c r="M2010" s="17"/>
      <c r="N2010" s="68"/>
      <c r="O2010" s="68"/>
      <c r="P2010" s="170"/>
      <c r="Q2010" s="149"/>
      <c r="R2010" s="149"/>
      <c r="S2010" s="149"/>
      <c r="T2010" s="149"/>
      <c r="U2010" s="149"/>
      <c r="V2010" s="149"/>
      <c r="W2010" s="149"/>
      <c r="X2010" s="68"/>
      <c r="Y2010" s="68"/>
      <c r="Z2010" s="68"/>
    </row>
    <row r="2011" ht="15.0" customHeight="1">
      <c r="A2011" s="206">
        <v>46056.0</v>
      </c>
      <c r="B2011" s="201" t="s">
        <v>7779</v>
      </c>
      <c r="C2011" s="45" t="s">
        <v>7780</v>
      </c>
      <c r="D2011" s="140" t="str">
        <f>IFERROR(VLOOKUP(C2011,Stock,3,FALSE),"")</f>
        <v>Toyota Innova 15-22 2nd Gen (Toyota)</v>
      </c>
      <c r="E2011" s="45">
        <v>1.0</v>
      </c>
      <c r="F2011" s="202"/>
      <c r="G2011" s="142">
        <f t="shared" si="54"/>
        <v>0</v>
      </c>
      <c r="H2011" s="142"/>
      <c r="I2011" s="143">
        <f t="shared" si="55"/>
        <v>0</v>
      </c>
      <c r="J2011" s="144">
        <f t="shared" si="57"/>
        <v>0</v>
      </c>
      <c r="K2011" s="108" t="s">
        <v>4509</v>
      </c>
      <c r="L2011" s="17"/>
      <c r="M2011" s="17"/>
      <c r="N2011" s="68"/>
      <c r="O2011" s="68"/>
      <c r="P2011" s="170"/>
      <c r="Q2011" s="149"/>
      <c r="R2011" s="149"/>
      <c r="S2011" s="149"/>
      <c r="T2011" s="149"/>
      <c r="U2011" s="149"/>
      <c r="V2011" s="149"/>
      <c r="W2011" s="149"/>
      <c r="X2011" s="68"/>
      <c r="Y2011" s="68"/>
      <c r="Z2011" s="68"/>
    </row>
    <row r="2012" ht="15.0" customHeight="1">
      <c r="A2012" s="206">
        <v>46056.0</v>
      </c>
      <c r="B2012" s="201" t="s">
        <v>7779</v>
      </c>
      <c r="C2012" s="45" t="s">
        <v>7781</v>
      </c>
      <c r="D2012" s="140" t="str">
        <f>IFERROR(VLOOKUP(C2012,Stock,3,FALSE),"")</f>
        <v>Toyota Innova 15-22 2nd Gen (Toyota)</v>
      </c>
      <c r="E2012" s="45">
        <v>1.0</v>
      </c>
      <c r="F2012" s="202"/>
      <c r="G2012" s="142">
        <f t="shared" si="54"/>
        <v>0</v>
      </c>
      <c r="H2012" s="142"/>
      <c r="I2012" s="143">
        <f t="shared" si="55"/>
        <v>0</v>
      </c>
      <c r="J2012" s="144">
        <f t="shared" si="57"/>
        <v>0</v>
      </c>
      <c r="K2012" s="108" t="s">
        <v>4509</v>
      </c>
      <c r="L2012" s="17"/>
      <c r="M2012" s="17"/>
      <c r="N2012" s="68"/>
      <c r="O2012" s="68"/>
      <c r="P2012" s="170"/>
      <c r="Q2012" s="149"/>
      <c r="R2012" s="149"/>
      <c r="S2012" s="149"/>
      <c r="T2012" s="149"/>
      <c r="U2012" s="149"/>
      <c r="V2012" s="149"/>
      <c r="W2012" s="149"/>
      <c r="X2012" s="68"/>
      <c r="Y2012" s="68"/>
      <c r="Z2012" s="68"/>
    </row>
    <row r="2013" ht="15.0" customHeight="1">
      <c r="A2013" s="206">
        <v>46056.0</v>
      </c>
      <c r="B2013" s="201" t="s">
        <v>7779</v>
      </c>
      <c r="C2013" s="45" t="s">
        <v>7592</v>
      </c>
      <c r="D2013" s="140" t="str">
        <f>IFERROR(VLOOKUP(C2013,Stock,3,FALSE),"")</f>
        <v>Toyota Avanza / Xenia 21- 4th Gen (Toyota/Daihatsu)</v>
      </c>
      <c r="E2013" s="45">
        <v>1.0</v>
      </c>
      <c r="F2013" s="202"/>
      <c r="G2013" s="142">
        <f t="shared" si="54"/>
        <v>0</v>
      </c>
      <c r="H2013" s="142"/>
      <c r="I2013" s="143">
        <f t="shared" si="55"/>
        <v>0</v>
      </c>
      <c r="J2013" s="144">
        <f t="shared" si="57"/>
        <v>0</v>
      </c>
      <c r="K2013" s="108" t="s">
        <v>4509</v>
      </c>
      <c r="L2013" s="17"/>
      <c r="M2013" s="17"/>
      <c r="N2013" s="68"/>
      <c r="O2013" s="68"/>
      <c r="P2013" s="170"/>
      <c r="Q2013" s="149"/>
      <c r="R2013" s="149"/>
      <c r="S2013" s="149"/>
      <c r="T2013" s="149"/>
      <c r="U2013" s="149"/>
      <c r="V2013" s="149"/>
      <c r="W2013" s="149"/>
      <c r="X2013" s="68"/>
      <c r="Y2013" s="68"/>
      <c r="Z2013" s="68"/>
    </row>
    <row r="2014" ht="15.0" customHeight="1">
      <c r="A2014" s="206">
        <v>46056.0</v>
      </c>
      <c r="B2014" s="201" t="s">
        <v>7779</v>
      </c>
      <c r="C2014" s="45" t="s">
        <v>7301</v>
      </c>
      <c r="D2014" s="140" t="str">
        <f>IFERROR(VLOOKUP(C2014,Stock,3,FALSE),"")</f>
        <v>Toyota Avanza / Xenia 21- 4th Gen (Toyota/Daihatsu)</v>
      </c>
      <c r="E2014" s="45">
        <v>1.0</v>
      </c>
      <c r="F2014" s="202"/>
      <c r="G2014" s="142">
        <f t="shared" si="54"/>
        <v>0</v>
      </c>
      <c r="H2014" s="142"/>
      <c r="I2014" s="143">
        <f t="shared" si="55"/>
        <v>0</v>
      </c>
      <c r="J2014" s="144">
        <f t="shared" si="57"/>
        <v>0</v>
      </c>
      <c r="K2014" s="108" t="s">
        <v>4509</v>
      </c>
      <c r="L2014" s="17"/>
      <c r="M2014" s="17"/>
      <c r="N2014" s="68"/>
      <c r="O2014" s="68"/>
      <c r="P2014" s="170"/>
      <c r="Q2014" s="149"/>
      <c r="R2014" s="149"/>
      <c r="S2014" s="149"/>
      <c r="T2014" s="149"/>
      <c r="U2014" s="149"/>
      <c r="V2014" s="149"/>
      <c r="W2014" s="149"/>
      <c r="X2014" s="68"/>
      <c r="Y2014" s="68"/>
      <c r="Z2014" s="68"/>
    </row>
    <row r="2015" ht="15.0" customHeight="1">
      <c r="A2015" s="206">
        <v>46056.0</v>
      </c>
      <c r="B2015" s="201" t="s">
        <v>7779</v>
      </c>
      <c r="C2015" s="45" t="s">
        <v>7589</v>
      </c>
      <c r="D2015" s="140" t="str">
        <f>IFERROR(VLOOKUP(C2015,Stock,3,FALSE),"")</f>
        <v>Honda Jazz 07-13 2nd Gen</v>
      </c>
      <c r="E2015" s="45">
        <v>3.0</v>
      </c>
      <c r="F2015" s="202"/>
      <c r="G2015" s="142">
        <f t="shared" si="54"/>
        <v>0</v>
      </c>
      <c r="H2015" s="142"/>
      <c r="I2015" s="143">
        <f t="shared" si="55"/>
        <v>0</v>
      </c>
      <c r="J2015" s="144">
        <f t="shared" si="57"/>
        <v>0</v>
      </c>
      <c r="K2015" s="108" t="s">
        <v>4509</v>
      </c>
      <c r="L2015" s="17"/>
      <c r="M2015" s="17"/>
      <c r="N2015" s="68"/>
      <c r="O2015" s="68"/>
      <c r="P2015" s="170"/>
      <c r="Q2015" s="149"/>
      <c r="R2015" s="149"/>
      <c r="S2015" s="149"/>
      <c r="T2015" s="149"/>
      <c r="U2015" s="149"/>
      <c r="V2015" s="149"/>
      <c r="W2015" s="149"/>
      <c r="X2015" s="68"/>
      <c r="Y2015" s="68"/>
      <c r="Z2015" s="68"/>
    </row>
    <row r="2016" ht="15.0" customHeight="1">
      <c r="A2016" s="206">
        <v>46056.0</v>
      </c>
      <c r="B2016" s="201" t="s">
        <v>7779</v>
      </c>
      <c r="C2016" s="45" t="s">
        <v>3638</v>
      </c>
      <c r="D2016" s="140" t="str">
        <f>IFERROR(VLOOKUP(C2016,Stock,3,FALSE),"")</f>
        <v>Mazda CX-5 12-17 1st Gen KE Pre - (1 Sensor/ □ )</v>
      </c>
      <c r="E2016" s="45">
        <v>2.0</v>
      </c>
      <c r="F2016" s="202"/>
      <c r="G2016" s="142">
        <f t="shared" si="54"/>
        <v>0</v>
      </c>
      <c r="H2016" s="142"/>
      <c r="I2016" s="143">
        <f t="shared" si="55"/>
        <v>0</v>
      </c>
      <c r="J2016" s="144">
        <f t="shared" si="57"/>
        <v>0</v>
      </c>
      <c r="K2016" s="108" t="s">
        <v>4509</v>
      </c>
      <c r="L2016" s="17"/>
      <c r="M2016" s="17"/>
      <c r="N2016" s="68"/>
      <c r="O2016" s="68"/>
      <c r="P2016" s="170"/>
      <c r="Q2016" s="149"/>
      <c r="R2016" s="149"/>
      <c r="S2016" s="149"/>
      <c r="T2016" s="149"/>
      <c r="U2016" s="149"/>
      <c r="V2016" s="149"/>
      <c r="W2016" s="149"/>
      <c r="X2016" s="68"/>
      <c r="Y2016" s="68"/>
      <c r="Z2016" s="68"/>
    </row>
    <row r="2017" ht="15.0" customHeight="1">
      <c r="A2017" s="206">
        <v>46056.0</v>
      </c>
      <c r="B2017" s="201" t="s">
        <v>7779</v>
      </c>
      <c r="C2017" s="45" t="s">
        <v>7551</v>
      </c>
      <c r="D2017" s="140" t="str">
        <f>IFERROR(VLOOKUP(C2017,Stock,3,FALSE),"")</f>
        <v>Mitsubishi L300</v>
      </c>
      <c r="E2017" s="45">
        <v>3.0</v>
      </c>
      <c r="F2017" s="202"/>
      <c r="G2017" s="142">
        <f t="shared" si="54"/>
        <v>0</v>
      </c>
      <c r="H2017" s="142"/>
      <c r="I2017" s="143">
        <f t="shared" si="55"/>
        <v>0</v>
      </c>
      <c r="J2017" s="144">
        <f t="shared" si="57"/>
        <v>0</v>
      </c>
      <c r="K2017" s="108" t="s">
        <v>4509</v>
      </c>
      <c r="L2017" s="17"/>
      <c r="M2017" s="17"/>
      <c r="N2017" s="68"/>
      <c r="O2017" s="68"/>
      <c r="P2017" s="170"/>
      <c r="Q2017" s="149"/>
      <c r="R2017" s="149"/>
      <c r="S2017" s="149"/>
      <c r="T2017" s="149"/>
      <c r="U2017" s="149"/>
      <c r="V2017" s="149"/>
      <c r="W2017" s="149"/>
      <c r="X2017" s="68"/>
      <c r="Y2017" s="68"/>
      <c r="Z2017" s="68"/>
    </row>
    <row r="2018" ht="15.0" customHeight="1">
      <c r="A2018" s="206">
        <v>46056.0</v>
      </c>
      <c r="B2018" s="201" t="s">
        <v>7779</v>
      </c>
      <c r="C2018" s="45" t="s">
        <v>4447</v>
      </c>
      <c r="D2018" s="140" t="str">
        <f>IFERROR(VLOOKUP(C2018,Stock,3,FALSE),"")</f>
        <v>Isuzu Elf 17- New NMR NLR</v>
      </c>
      <c r="E2018" s="45">
        <v>4.0</v>
      </c>
      <c r="F2018" s="202"/>
      <c r="G2018" s="142">
        <f t="shared" si="54"/>
        <v>0</v>
      </c>
      <c r="H2018" s="142"/>
      <c r="I2018" s="143">
        <f t="shared" si="55"/>
        <v>0</v>
      </c>
      <c r="J2018" s="144">
        <f t="shared" si="57"/>
        <v>0</v>
      </c>
      <c r="K2018" s="108" t="s">
        <v>4509</v>
      </c>
      <c r="L2018" s="17"/>
      <c r="M2018" s="17"/>
      <c r="N2018" s="68"/>
      <c r="O2018" s="68"/>
      <c r="P2018" s="170"/>
      <c r="Q2018" s="149"/>
      <c r="R2018" s="149"/>
      <c r="S2018" s="149"/>
      <c r="T2018" s="149"/>
      <c r="U2018" s="149"/>
      <c r="V2018" s="149"/>
      <c r="W2018" s="149"/>
      <c r="X2018" s="68"/>
      <c r="Y2018" s="68"/>
      <c r="Z2018" s="68"/>
    </row>
    <row r="2019" ht="15.0" customHeight="1">
      <c r="A2019" s="206">
        <v>46056.0</v>
      </c>
      <c r="B2019" s="201" t="s">
        <v>7779</v>
      </c>
      <c r="C2019" s="45" t="s">
        <v>7782</v>
      </c>
      <c r="D2019" s="140" t="str">
        <f>IFERROR(VLOOKUP(C2019,Stock,3,FALSE),"")</f>
        <v>Toyota Innova 22- Zenyx 3rd Gen (Toyota)</v>
      </c>
      <c r="E2019" s="45">
        <v>1.0</v>
      </c>
      <c r="F2019" s="202"/>
      <c r="G2019" s="142">
        <f t="shared" si="54"/>
        <v>0</v>
      </c>
      <c r="H2019" s="142"/>
      <c r="I2019" s="143">
        <f t="shared" si="55"/>
        <v>0</v>
      </c>
      <c r="J2019" s="144">
        <f t="shared" si="57"/>
        <v>0</v>
      </c>
      <c r="K2019" s="108" t="s">
        <v>4509</v>
      </c>
      <c r="L2019" s="17"/>
      <c r="M2019" s="17"/>
      <c r="N2019" s="68"/>
      <c r="O2019" s="68"/>
      <c r="P2019" s="147"/>
      <c r="Q2019" s="149"/>
      <c r="R2019" s="149"/>
      <c r="S2019" s="149"/>
      <c r="T2019" s="149"/>
      <c r="U2019" s="149"/>
      <c r="V2019" s="149"/>
      <c r="W2019" s="149"/>
      <c r="X2019" s="68"/>
      <c r="Y2019" s="68"/>
      <c r="Z2019" s="68"/>
    </row>
    <row r="2020" ht="15.0" customHeight="1">
      <c r="A2020" s="206">
        <v>46056.0</v>
      </c>
      <c r="B2020" s="201" t="s">
        <v>7783</v>
      </c>
      <c r="C2020" s="45" t="s">
        <v>7784</v>
      </c>
      <c r="D2020" s="140" t="str">
        <f>IFERROR(VLOOKUP(C2020,Stock,3,FALSE),"")</f>
        <v>Mitsubishi Pajero 16-</v>
      </c>
      <c r="E2020" s="45">
        <v>1.0</v>
      </c>
      <c r="F2020" s="198">
        <v>1662000.0</v>
      </c>
      <c r="G2020" s="142">
        <f t="shared" si="54"/>
        <v>1662000</v>
      </c>
      <c r="H2020" s="142"/>
      <c r="I2020" s="143">
        <f t="shared" si="55"/>
        <v>1662000</v>
      </c>
      <c r="J2020" s="144">
        <f t="shared" si="57"/>
        <v>1662000</v>
      </c>
      <c r="K2020" s="108" t="s">
        <v>7785</v>
      </c>
      <c r="L2020" s="17"/>
      <c r="M2020" s="17"/>
      <c r="N2020" s="68"/>
      <c r="O2020" s="64"/>
      <c r="P2020" s="147" t="s">
        <v>4959</v>
      </c>
      <c r="Q2020" s="149"/>
      <c r="R2020" s="141"/>
      <c r="S2020" s="141"/>
      <c r="T2020" s="141">
        <v>1700000.0</v>
      </c>
      <c r="U2020" s="149"/>
      <c r="V2020" s="149"/>
      <c r="W2020" s="149"/>
      <c r="X2020" s="68"/>
      <c r="Y2020" s="68"/>
      <c r="Z2020" s="68"/>
    </row>
    <row r="2021" ht="15.0" customHeight="1">
      <c r="A2021" s="206">
        <v>46056.0</v>
      </c>
      <c r="B2021" s="201" t="s">
        <v>7786</v>
      </c>
      <c r="C2021" s="45" t="s">
        <v>7301</v>
      </c>
      <c r="D2021" s="140" t="str">
        <f>IFERROR(VLOOKUP(C2021,Stock,3,FALSE),"")</f>
        <v>Toyota Avanza / Xenia 21- 4th Gen (Toyota/Daihatsu)</v>
      </c>
      <c r="E2021" s="45">
        <v>1.0</v>
      </c>
      <c r="F2021" s="198">
        <v>810000.0</v>
      </c>
      <c r="G2021" s="142">
        <f t="shared" si="54"/>
        <v>810000</v>
      </c>
      <c r="H2021" s="142"/>
      <c r="I2021" s="143">
        <f t="shared" si="55"/>
        <v>810000</v>
      </c>
      <c r="J2021" s="144">
        <f t="shared" si="57"/>
        <v>810000</v>
      </c>
      <c r="K2021" s="108" t="s">
        <v>7787</v>
      </c>
      <c r="L2021" s="199" t="s">
        <v>7788</v>
      </c>
      <c r="M2021" s="17"/>
      <c r="N2021" s="64" t="s">
        <v>7789</v>
      </c>
      <c r="O2021" s="64" t="s">
        <v>2813</v>
      </c>
      <c r="P2021" s="147" t="s">
        <v>4672</v>
      </c>
      <c r="Q2021" s="149"/>
      <c r="R2021" s="149"/>
      <c r="S2021" s="149"/>
      <c r="T2021" s="149"/>
      <c r="U2021" s="149"/>
      <c r="V2021" s="149"/>
      <c r="W2021" s="149"/>
      <c r="X2021" s="68"/>
      <c r="Y2021" s="68"/>
      <c r="Z2021" s="68"/>
    </row>
    <row r="2022" ht="15.0" customHeight="1">
      <c r="A2022" s="206">
        <v>46056.0</v>
      </c>
      <c r="B2022" s="201" t="s">
        <v>7790</v>
      </c>
      <c r="C2022" s="45" t="s">
        <v>7734</v>
      </c>
      <c r="D2022" s="140" t="str">
        <f>IFERROR(VLOOKUP(C2022,Stock,3,FALSE),"")</f>
        <v>Hyundai H1 08- / Mover (Lubang)</v>
      </c>
      <c r="E2022" s="45">
        <v>1.0</v>
      </c>
      <c r="F2022" s="198">
        <v>2400000.0</v>
      </c>
      <c r="G2022" s="142">
        <f t="shared" si="54"/>
        <v>2400000</v>
      </c>
      <c r="H2022" s="142"/>
      <c r="I2022" s="143">
        <f t="shared" si="55"/>
        <v>2400000</v>
      </c>
      <c r="J2022" s="144">
        <f t="shared" si="57"/>
        <v>2400000</v>
      </c>
      <c r="K2022" s="108" t="s">
        <v>7791</v>
      </c>
      <c r="L2022" s="199" t="s">
        <v>7792</v>
      </c>
      <c r="M2022" s="17"/>
      <c r="N2022" s="68"/>
      <c r="O2022" s="64" t="s">
        <v>4692</v>
      </c>
      <c r="P2022" s="147" t="s">
        <v>4672</v>
      </c>
      <c r="Q2022" s="149"/>
      <c r="R2022" s="149"/>
      <c r="S2022" s="149"/>
      <c r="T2022" s="149"/>
      <c r="U2022" s="149"/>
      <c r="V2022" s="149"/>
      <c r="W2022" s="149"/>
      <c r="X2022" s="68"/>
      <c r="Y2022" s="68"/>
      <c r="Z2022" s="68"/>
    </row>
    <row r="2023" ht="15.0" customHeight="1">
      <c r="A2023" s="206">
        <v>46057.0</v>
      </c>
      <c r="B2023" s="201" t="s">
        <v>7793</v>
      </c>
      <c r="C2023" s="45" t="s">
        <v>7794</v>
      </c>
      <c r="D2023" s="140" t="str">
        <f>IFERROR(VLOOKUP(C2023,Stock,3,FALSE),"")</f>
        <v>Subaru Forester 22- (3 Sensor / /\ [] /\ )</v>
      </c>
      <c r="E2023" s="45">
        <v>1.0</v>
      </c>
      <c r="F2023" s="198">
        <v>4800000.0</v>
      </c>
      <c r="G2023" s="142">
        <f t="shared" si="54"/>
        <v>4800000</v>
      </c>
      <c r="H2023" s="142"/>
      <c r="I2023" s="143">
        <f t="shared" si="55"/>
        <v>4800000</v>
      </c>
      <c r="J2023" s="144">
        <f t="shared" si="57"/>
        <v>4800000</v>
      </c>
      <c r="K2023" s="108" t="s">
        <v>7795</v>
      </c>
      <c r="L2023" s="199" t="s">
        <v>7796</v>
      </c>
      <c r="M2023" s="17"/>
      <c r="N2023" s="64" t="s">
        <v>7797</v>
      </c>
      <c r="O2023" s="64" t="s">
        <v>2942</v>
      </c>
      <c r="P2023" s="147" t="s">
        <v>4672</v>
      </c>
      <c r="Q2023" s="149"/>
      <c r="R2023" s="141"/>
      <c r="S2023" s="141"/>
      <c r="T2023" s="141">
        <v>5000000.0</v>
      </c>
      <c r="U2023" s="149"/>
      <c r="V2023" s="149"/>
      <c r="W2023" s="149"/>
      <c r="X2023" s="68"/>
      <c r="Y2023" s="68"/>
      <c r="Z2023" s="68"/>
    </row>
    <row r="2024" ht="15.0" customHeight="1">
      <c r="A2024" s="206">
        <v>46057.0</v>
      </c>
      <c r="B2024" s="201" t="s">
        <v>7793</v>
      </c>
      <c r="C2024" s="45" t="s">
        <v>4979</v>
      </c>
      <c r="D2024" s="140" t="str">
        <f>IFERROR(VLOOKUP(C2024,Stock,3,FALSE),"")</f>
        <v>255 Ultra + Actv-100 Application</v>
      </c>
      <c r="E2024" s="45">
        <v>1.0</v>
      </c>
      <c r="F2024" s="198">
        <v>200000.0</v>
      </c>
      <c r="G2024" s="142">
        <f t="shared" si="54"/>
        <v>200000</v>
      </c>
      <c r="H2024" s="142"/>
      <c r="I2024" s="143">
        <f t="shared" si="55"/>
        <v>200000</v>
      </c>
      <c r="J2024" s="144">
        <f t="shared" si="57"/>
        <v>200000</v>
      </c>
      <c r="K2024" s="108" t="s">
        <v>7795</v>
      </c>
      <c r="L2024" s="199" t="s">
        <v>7796</v>
      </c>
      <c r="M2024" s="17"/>
      <c r="N2024" s="64" t="s">
        <v>7797</v>
      </c>
      <c r="O2024" s="64" t="s">
        <v>2942</v>
      </c>
      <c r="P2024" s="147" t="s">
        <v>4672</v>
      </c>
      <c r="Q2024" s="149"/>
      <c r="R2024" s="149"/>
      <c r="S2024" s="149"/>
      <c r="T2024" s="149"/>
      <c r="U2024" s="149"/>
      <c r="V2024" s="149"/>
      <c r="W2024" s="149"/>
      <c r="X2024" s="68"/>
      <c r="Y2024" s="68"/>
      <c r="Z2024" s="68"/>
    </row>
    <row r="2025" ht="15.0" customHeight="1">
      <c r="A2025" s="206">
        <v>46057.0</v>
      </c>
      <c r="B2025" s="201" t="s">
        <v>7798</v>
      </c>
      <c r="C2025" s="45" t="s">
        <v>3246</v>
      </c>
      <c r="D2025" s="140" t="str">
        <f>IFERROR(VLOOKUP(C2025,Stock,3,FALSE),"")</f>
        <v>Toyota Calya / Sigra 16-</v>
      </c>
      <c r="E2025" s="45">
        <v>1.0</v>
      </c>
      <c r="F2025" s="198">
        <v>1300000.0</v>
      </c>
      <c r="G2025" s="142">
        <f t="shared" si="54"/>
        <v>1300000</v>
      </c>
      <c r="H2025" s="143">
        <v>100000.0</v>
      </c>
      <c r="I2025" s="143">
        <f t="shared" si="55"/>
        <v>1200000</v>
      </c>
      <c r="J2025" s="144">
        <f t="shared" si="57"/>
        <v>1200000</v>
      </c>
      <c r="K2025" s="108" t="s">
        <v>7799</v>
      </c>
      <c r="L2025" s="199" t="s">
        <v>7800</v>
      </c>
      <c r="M2025" s="17"/>
      <c r="N2025" s="68"/>
      <c r="O2025" s="64" t="s">
        <v>2813</v>
      </c>
      <c r="P2025" s="147" t="s">
        <v>4672</v>
      </c>
      <c r="Q2025" s="149"/>
      <c r="R2025" s="149"/>
      <c r="S2025" s="149"/>
      <c r="T2025" s="149"/>
      <c r="U2025" s="149"/>
      <c r="V2025" s="149"/>
      <c r="W2025" s="149"/>
      <c r="X2025" s="68"/>
      <c r="Y2025" s="68"/>
      <c r="Z2025" s="68"/>
    </row>
    <row r="2026" ht="15.0" customHeight="1">
      <c r="A2026" s="206">
        <v>46057.0</v>
      </c>
      <c r="B2026" s="201" t="s">
        <v>7801</v>
      </c>
      <c r="C2026" s="45" t="s">
        <v>7199</v>
      </c>
      <c r="D2026" s="140" t="str">
        <f>IFERROR(VLOOKUP(C2026,Stock,3,FALSE),"")</f>
        <v>Daihatsu Gran Max / Luxio 07-</v>
      </c>
      <c r="E2026" s="45">
        <v>1.0</v>
      </c>
      <c r="F2026" s="198">
        <v>1000000.0</v>
      </c>
      <c r="G2026" s="142">
        <f t="shared" si="54"/>
        <v>1000000</v>
      </c>
      <c r="H2026" s="142"/>
      <c r="I2026" s="143">
        <f t="shared" si="55"/>
        <v>1000000</v>
      </c>
      <c r="J2026" s="144">
        <f t="shared" si="57"/>
        <v>1000000</v>
      </c>
      <c r="K2026" s="108" t="s">
        <v>7802</v>
      </c>
      <c r="L2026" s="199" t="s">
        <v>7803</v>
      </c>
      <c r="M2026" s="17"/>
      <c r="N2026" s="64" t="s">
        <v>7804</v>
      </c>
      <c r="O2026" s="64" t="s">
        <v>3341</v>
      </c>
      <c r="P2026" s="147" t="s">
        <v>4672</v>
      </c>
      <c r="Q2026" s="149"/>
      <c r="R2026" s="141"/>
      <c r="S2026" s="141"/>
      <c r="T2026" s="141">
        <v>100000.0</v>
      </c>
      <c r="U2026" s="149"/>
      <c r="V2026" s="149"/>
      <c r="W2026" s="149"/>
      <c r="X2026" s="68"/>
      <c r="Y2026" s="68"/>
      <c r="Z2026" s="68"/>
    </row>
    <row r="2027" ht="15.0" customHeight="1">
      <c r="A2027" s="206">
        <v>46057.0</v>
      </c>
      <c r="B2027" s="201" t="s">
        <v>7801</v>
      </c>
      <c r="C2027" s="45" t="s">
        <v>7011</v>
      </c>
      <c r="D2027" s="140" t="str">
        <f>IFERROR(VLOOKUP(C2027,Stock,3,FALSE),"")</f>
        <v>Automotive Film Standard - Black 40%				</v>
      </c>
      <c r="E2027" s="45">
        <v>1.0</v>
      </c>
      <c r="F2027" s="198">
        <v>250000.0</v>
      </c>
      <c r="G2027" s="142">
        <f t="shared" si="54"/>
        <v>250000</v>
      </c>
      <c r="H2027" s="142"/>
      <c r="I2027" s="143">
        <f t="shared" si="55"/>
        <v>250000</v>
      </c>
      <c r="J2027" s="144">
        <f t="shared" si="57"/>
        <v>250000</v>
      </c>
      <c r="K2027" s="108" t="s">
        <v>7802</v>
      </c>
      <c r="L2027" s="199" t="s">
        <v>7803</v>
      </c>
      <c r="M2027" s="17"/>
      <c r="N2027" s="64" t="s">
        <v>7804</v>
      </c>
      <c r="O2027" s="64" t="s">
        <v>3341</v>
      </c>
      <c r="P2027" s="147" t="s">
        <v>4672</v>
      </c>
      <c r="Q2027" s="149"/>
      <c r="R2027" s="141"/>
      <c r="S2027" s="141"/>
      <c r="T2027" s="141">
        <v>1250000.0</v>
      </c>
      <c r="U2027" s="149"/>
      <c r="V2027" s="149"/>
      <c r="W2027" s="149"/>
      <c r="X2027" s="68"/>
      <c r="Y2027" s="68"/>
      <c r="Z2027" s="68"/>
    </row>
    <row r="2028" ht="15.0" customHeight="1">
      <c r="A2028" s="206">
        <v>46057.0</v>
      </c>
      <c r="B2028" s="201" t="s">
        <v>7801</v>
      </c>
      <c r="C2028" s="45" t="s">
        <v>2770</v>
      </c>
      <c r="D2028" s="140" t="str">
        <f>IFERROR(VLOOKUP(C2028,Stock,3,FALSE),"")</f>
        <v>Transport</v>
      </c>
      <c r="E2028" s="45">
        <v>1.0</v>
      </c>
      <c r="F2028" s="198">
        <v>130000.0</v>
      </c>
      <c r="G2028" s="142">
        <f t="shared" si="54"/>
        <v>130000</v>
      </c>
      <c r="H2028" s="143">
        <v>30000.0</v>
      </c>
      <c r="I2028" s="143">
        <f t="shared" si="55"/>
        <v>100000</v>
      </c>
      <c r="J2028" s="144">
        <f t="shared" si="57"/>
        <v>100000</v>
      </c>
      <c r="K2028" s="108" t="s">
        <v>7802</v>
      </c>
      <c r="L2028" s="199" t="s">
        <v>7803</v>
      </c>
      <c r="M2028" s="17"/>
      <c r="N2028" s="64" t="s">
        <v>7804</v>
      </c>
      <c r="O2028" s="64" t="s">
        <v>3341</v>
      </c>
      <c r="P2028" s="147" t="s">
        <v>4672</v>
      </c>
      <c r="Q2028" s="149"/>
      <c r="R2028" s="149"/>
      <c r="S2028" s="149"/>
      <c r="T2028" s="149"/>
      <c r="U2028" s="149"/>
      <c r="V2028" s="149"/>
      <c r="W2028" s="149"/>
      <c r="X2028" s="68"/>
      <c r="Y2028" s="68"/>
      <c r="Z2028" s="68"/>
    </row>
    <row r="2029" ht="15.0" customHeight="1">
      <c r="A2029" s="206">
        <v>46057.0</v>
      </c>
      <c r="B2029" s="201" t="s">
        <v>7805</v>
      </c>
      <c r="C2029" s="45" t="s">
        <v>4161</v>
      </c>
      <c r="D2029" s="140" t="str">
        <f>IFERROR(VLOOKUP(C2029,Stock,3,FALSE),"")</f>
        <v>Toyota Altis 06-13 E140 10th Gen (DZ055)</v>
      </c>
      <c r="E2029" s="45">
        <v>1.0</v>
      </c>
      <c r="F2029" s="198">
        <v>2058000.0</v>
      </c>
      <c r="G2029" s="142">
        <f t="shared" si="54"/>
        <v>2058000</v>
      </c>
      <c r="H2029" s="142"/>
      <c r="I2029" s="143">
        <f t="shared" si="55"/>
        <v>2058000</v>
      </c>
      <c r="J2029" s="144">
        <f t="shared" si="57"/>
        <v>2058000</v>
      </c>
      <c r="K2029" s="108" t="s">
        <v>7806</v>
      </c>
      <c r="L2029" s="199" t="s">
        <v>7807</v>
      </c>
      <c r="M2029" s="17"/>
      <c r="N2029" s="64" t="s">
        <v>7804</v>
      </c>
      <c r="O2029" s="64" t="s">
        <v>3341</v>
      </c>
      <c r="P2029" s="170"/>
      <c r="Q2029" s="149"/>
      <c r="R2029" s="141"/>
      <c r="S2029" s="141"/>
      <c r="T2029" s="141">
        <v>100000.0</v>
      </c>
      <c r="U2029" s="149"/>
      <c r="V2029" s="149"/>
      <c r="W2029" s="149"/>
      <c r="X2029" s="68"/>
      <c r="Y2029" s="68"/>
      <c r="Z2029" s="68"/>
    </row>
    <row r="2030" ht="15.0" customHeight="1">
      <c r="A2030" s="206">
        <v>46057.0</v>
      </c>
      <c r="B2030" s="201" t="s">
        <v>7805</v>
      </c>
      <c r="C2030" s="45" t="s">
        <v>2770</v>
      </c>
      <c r="D2030" s="140" t="str">
        <f>IFERROR(VLOOKUP(C2030,Stock,3,FALSE),"")</f>
        <v>Transport</v>
      </c>
      <c r="E2030" s="45">
        <v>1.0</v>
      </c>
      <c r="F2030" s="198">
        <v>200000.0</v>
      </c>
      <c r="G2030" s="142">
        <f t="shared" si="54"/>
        <v>200000</v>
      </c>
      <c r="H2030" s="142"/>
      <c r="I2030" s="143">
        <f t="shared" si="55"/>
        <v>200000</v>
      </c>
      <c r="J2030" s="144">
        <f t="shared" si="57"/>
        <v>200000</v>
      </c>
      <c r="K2030" s="200"/>
      <c r="L2030" s="17"/>
      <c r="M2030" s="45"/>
      <c r="N2030" s="68"/>
      <c r="O2030" s="68"/>
      <c r="P2030" s="170"/>
      <c r="Q2030" s="149"/>
      <c r="R2030" s="149"/>
      <c r="S2030" s="149"/>
      <c r="T2030" s="149"/>
      <c r="U2030" s="149"/>
      <c r="V2030" s="149"/>
      <c r="W2030" s="149"/>
      <c r="X2030" s="68"/>
      <c r="Y2030" s="68"/>
      <c r="Z2030" s="68"/>
    </row>
    <row r="2031" ht="15.0" customHeight="1">
      <c r="A2031" s="206">
        <v>46057.0</v>
      </c>
      <c r="B2031" s="201" t="s">
        <v>7808</v>
      </c>
      <c r="C2031" s="45" t="s">
        <v>2792</v>
      </c>
      <c r="D2031" s="140" t="str">
        <f>IFERROR(VLOOKUP(C2031,Stock,3,FALSE),"")</f>
        <v>Toyota Calya / Sigra 16-</v>
      </c>
      <c r="E2031" s="45">
        <v>1.0</v>
      </c>
      <c r="F2031" s="198">
        <v>839000.0</v>
      </c>
      <c r="G2031" s="142">
        <f t="shared" si="54"/>
        <v>839000</v>
      </c>
      <c r="H2031" s="142"/>
      <c r="I2031" s="143">
        <f t="shared" si="55"/>
        <v>839000</v>
      </c>
      <c r="J2031" s="144">
        <f t="shared" si="57"/>
        <v>839000</v>
      </c>
      <c r="K2031" s="108" t="s">
        <v>7809</v>
      </c>
      <c r="L2031" s="199" t="s">
        <v>7810</v>
      </c>
      <c r="M2031" s="17"/>
      <c r="N2031" s="64" t="s">
        <v>7811</v>
      </c>
      <c r="O2031" s="64" t="s">
        <v>2813</v>
      </c>
      <c r="P2031" s="147" t="s">
        <v>4672</v>
      </c>
      <c r="Q2031" s="149"/>
      <c r="R2031" s="141"/>
      <c r="S2031" s="141"/>
      <c r="T2031" s="141">
        <v>839000.0</v>
      </c>
      <c r="U2031" s="149"/>
      <c r="V2031" s="149"/>
      <c r="W2031" s="149"/>
      <c r="X2031" s="68"/>
      <c r="Y2031" s="68"/>
      <c r="Z2031" s="68"/>
    </row>
    <row r="2032" ht="15.0" customHeight="1">
      <c r="A2032" s="206">
        <v>46057.0</v>
      </c>
      <c r="B2032" s="201" t="s">
        <v>7812</v>
      </c>
      <c r="C2032" s="45" t="s">
        <v>7813</v>
      </c>
      <c r="D2032" s="140" t="str">
        <f>IFERROR(VLOOKUP(C2032,Stock,3,FALSE),"")</f>
        <v>Mitsubishi Fuso Fighter FK40 82-(PS190,220)</v>
      </c>
      <c r="E2032" s="45">
        <v>1.0</v>
      </c>
      <c r="F2032" s="198">
        <v>1717000.0</v>
      </c>
      <c r="G2032" s="142">
        <f t="shared" si="54"/>
        <v>1717000</v>
      </c>
      <c r="H2032" s="142"/>
      <c r="I2032" s="143">
        <f t="shared" si="55"/>
        <v>1717000</v>
      </c>
      <c r="J2032" s="144">
        <f t="shared" si="57"/>
        <v>1717000</v>
      </c>
      <c r="K2032" s="108" t="s">
        <v>7814</v>
      </c>
      <c r="L2032" s="199" t="s">
        <v>7815</v>
      </c>
      <c r="M2032" s="17"/>
      <c r="N2032" s="64" t="s">
        <v>7816</v>
      </c>
      <c r="O2032" s="64" t="s">
        <v>7817</v>
      </c>
      <c r="P2032" s="147" t="s">
        <v>4672</v>
      </c>
      <c r="Q2032" s="149"/>
      <c r="R2032" s="141"/>
      <c r="S2032" s="141"/>
      <c r="T2032" s="141">
        <v>250000.0</v>
      </c>
      <c r="U2032" s="149"/>
      <c r="V2032" s="149"/>
      <c r="W2032" s="149"/>
      <c r="X2032" s="68"/>
      <c r="Y2032" s="68"/>
      <c r="Z2032" s="68"/>
    </row>
    <row r="2033" ht="15.0" customHeight="1">
      <c r="A2033" s="206">
        <v>46057.0</v>
      </c>
      <c r="B2033" s="201" t="s">
        <v>7812</v>
      </c>
      <c r="C2033" s="45" t="s">
        <v>2770</v>
      </c>
      <c r="D2033" s="140" t="str">
        <f>IFERROR(VLOOKUP(C2033,Stock,3,FALSE),"")</f>
        <v>Transport</v>
      </c>
      <c r="E2033" s="45">
        <v>1.0</v>
      </c>
      <c r="F2033" s="198">
        <v>150000.0</v>
      </c>
      <c r="G2033" s="142">
        <f t="shared" si="54"/>
        <v>150000</v>
      </c>
      <c r="H2033" s="142"/>
      <c r="I2033" s="143">
        <f t="shared" si="55"/>
        <v>150000</v>
      </c>
      <c r="J2033" s="144">
        <f t="shared" si="57"/>
        <v>150000</v>
      </c>
      <c r="K2033" s="108" t="s">
        <v>7814</v>
      </c>
      <c r="L2033" s="199" t="s">
        <v>7815</v>
      </c>
      <c r="M2033" s="17"/>
      <c r="N2033" s="64" t="s">
        <v>7816</v>
      </c>
      <c r="O2033" s="64" t="s">
        <v>7817</v>
      </c>
      <c r="P2033" s="147" t="s">
        <v>4672</v>
      </c>
      <c r="Q2033" s="149"/>
      <c r="R2033" s="141"/>
      <c r="S2033" s="141"/>
      <c r="T2033" s="141">
        <v>1867000.0</v>
      </c>
      <c r="U2033" s="149"/>
      <c r="V2033" s="149"/>
      <c r="W2033" s="149"/>
      <c r="X2033" s="68"/>
      <c r="Y2033" s="68"/>
      <c r="Z2033" s="68"/>
    </row>
    <row r="2034" ht="15.0" customHeight="1">
      <c r="A2034" s="206">
        <v>46057.0</v>
      </c>
      <c r="B2034" s="201" t="s">
        <v>7812</v>
      </c>
      <c r="C2034" s="45" t="s">
        <v>2770</v>
      </c>
      <c r="D2034" s="140" t="str">
        <f>IFERROR(VLOOKUP(C2034,Stock,3,FALSE),"")</f>
        <v>Transport</v>
      </c>
      <c r="E2034" s="45">
        <v>1.0</v>
      </c>
      <c r="F2034" s="198">
        <v>250000.0</v>
      </c>
      <c r="G2034" s="142">
        <f t="shared" si="54"/>
        <v>250000</v>
      </c>
      <c r="H2034" s="142"/>
      <c r="I2034" s="143">
        <f t="shared" si="55"/>
        <v>250000</v>
      </c>
      <c r="J2034" s="144">
        <f t="shared" si="57"/>
        <v>250000</v>
      </c>
      <c r="K2034" s="108" t="s">
        <v>7814</v>
      </c>
      <c r="L2034" s="199" t="s">
        <v>7815</v>
      </c>
      <c r="M2034" s="17"/>
      <c r="N2034" s="64" t="s">
        <v>7816</v>
      </c>
      <c r="O2034" s="64" t="s">
        <v>7817</v>
      </c>
      <c r="P2034" s="147" t="s">
        <v>4672</v>
      </c>
      <c r="Q2034" s="149"/>
      <c r="R2034" s="149"/>
      <c r="S2034" s="149"/>
      <c r="T2034" s="149"/>
      <c r="U2034" s="149"/>
      <c r="V2034" s="149"/>
      <c r="W2034" s="149"/>
      <c r="X2034" s="68"/>
      <c r="Y2034" s="68"/>
      <c r="Z2034" s="68"/>
    </row>
    <row r="2035" ht="15.0" customHeight="1">
      <c r="A2035" s="206">
        <v>46057.0</v>
      </c>
      <c r="B2035" s="201" t="s">
        <v>7818</v>
      </c>
      <c r="C2035" s="45" t="s">
        <v>2778</v>
      </c>
      <c r="D2035" s="140" t="str">
        <f>IFERROR(VLOOKUP(C2035,Stock,3,FALSE),"")</f>
        <v>Bongkar Pasang Kaca Mobil Depan</v>
      </c>
      <c r="E2035" s="45">
        <v>1.0</v>
      </c>
      <c r="F2035" s="198">
        <v>600000.0</v>
      </c>
      <c r="G2035" s="142">
        <f t="shared" si="54"/>
        <v>600000</v>
      </c>
      <c r="H2035" s="142"/>
      <c r="I2035" s="143">
        <f t="shared" si="55"/>
        <v>600000</v>
      </c>
      <c r="J2035" s="144">
        <f t="shared" si="57"/>
        <v>600000</v>
      </c>
      <c r="K2035" s="108" t="s">
        <v>7458</v>
      </c>
      <c r="L2035" s="199" t="s">
        <v>7819</v>
      </c>
      <c r="M2035" s="17"/>
      <c r="N2035" s="68"/>
      <c r="O2035" s="64" t="s">
        <v>2813</v>
      </c>
      <c r="P2035" s="147" t="s">
        <v>4672</v>
      </c>
      <c r="Q2035" s="149"/>
      <c r="R2035" s="149"/>
      <c r="S2035" s="149"/>
      <c r="T2035" s="149"/>
      <c r="U2035" s="149"/>
      <c r="V2035" s="149"/>
      <c r="W2035" s="149"/>
      <c r="X2035" s="68"/>
      <c r="Y2035" s="68"/>
      <c r="Z2035" s="68"/>
    </row>
    <row r="2036" ht="15.0" customHeight="1">
      <c r="A2036" s="206">
        <v>46057.0</v>
      </c>
      <c r="B2036" s="201" t="s">
        <v>7820</v>
      </c>
      <c r="C2036" s="45" t="s">
        <v>6253</v>
      </c>
      <c r="D2036" s="140" t="str">
        <f>IFERROR(VLOOKUP(C2036,Stock,3,FALSE),"")</f>
        <v>Toyota Rush / Terios 06-17</v>
      </c>
      <c r="E2036" s="45">
        <v>1.0</v>
      </c>
      <c r="F2036" s="198">
        <v>937000.0</v>
      </c>
      <c r="G2036" s="142">
        <f t="shared" si="54"/>
        <v>937000</v>
      </c>
      <c r="H2036" s="142"/>
      <c r="I2036" s="143">
        <f t="shared" si="55"/>
        <v>937000</v>
      </c>
      <c r="J2036" s="144">
        <f t="shared" si="57"/>
        <v>937000</v>
      </c>
      <c r="K2036" s="108" t="s">
        <v>5996</v>
      </c>
      <c r="L2036" s="199" t="s">
        <v>7821</v>
      </c>
      <c r="M2036" s="17"/>
      <c r="N2036" s="64" t="s">
        <v>7822</v>
      </c>
      <c r="O2036" s="64" t="s">
        <v>2813</v>
      </c>
      <c r="P2036" s="147" t="s">
        <v>4672</v>
      </c>
      <c r="Q2036" s="149"/>
      <c r="R2036" s="149"/>
      <c r="S2036" s="149"/>
      <c r="T2036" s="149"/>
      <c r="U2036" s="149"/>
      <c r="V2036" s="149"/>
      <c r="W2036" s="149"/>
      <c r="X2036" s="68"/>
      <c r="Y2036" s="68"/>
      <c r="Z2036" s="68"/>
    </row>
    <row r="2037" ht="15.0" customHeight="1">
      <c r="A2037" s="206">
        <v>46057.0</v>
      </c>
      <c r="B2037" s="201" t="s">
        <v>7820</v>
      </c>
      <c r="C2037" s="45" t="s">
        <v>5254</v>
      </c>
      <c r="D2037" s="140" t="str">
        <f>IFERROR(VLOOKUP(C2037,Stock,3,FALSE),"")</f>
        <v>Automotive Film Standard - Black 40%				</v>
      </c>
      <c r="E2037" s="45">
        <v>1.0</v>
      </c>
      <c r="F2037" s="198">
        <v>300000.0</v>
      </c>
      <c r="G2037" s="142">
        <f t="shared" si="54"/>
        <v>300000</v>
      </c>
      <c r="H2037" s="142"/>
      <c r="I2037" s="143">
        <f t="shared" si="55"/>
        <v>300000</v>
      </c>
      <c r="J2037" s="144">
        <f t="shared" si="57"/>
        <v>300000</v>
      </c>
      <c r="K2037" s="200"/>
      <c r="L2037" s="17"/>
      <c r="M2037" s="17"/>
      <c r="N2037" s="68"/>
      <c r="O2037" s="68"/>
      <c r="P2037" s="147" t="s">
        <v>4672</v>
      </c>
      <c r="Q2037" s="149"/>
      <c r="R2037" s="149"/>
      <c r="S2037" s="149"/>
      <c r="T2037" s="149"/>
      <c r="U2037" s="149"/>
      <c r="V2037" s="149"/>
      <c r="W2037" s="149"/>
      <c r="X2037" s="68"/>
      <c r="Y2037" s="68"/>
      <c r="Z2037" s="68"/>
    </row>
    <row r="2038" ht="15.0" customHeight="1">
      <c r="A2038" s="206">
        <v>46057.0</v>
      </c>
      <c r="B2038" s="201" t="s">
        <v>7823</v>
      </c>
      <c r="C2038" s="45" t="s">
        <v>4377</v>
      </c>
      <c r="D2038" s="140" t="str">
        <f>IFERROR(VLOOKUP(C2038,Stock,3,FALSE),"")</f>
        <v>Nissan Serena 19- MKV C27</v>
      </c>
      <c r="E2038" s="45">
        <v>1.0</v>
      </c>
      <c r="F2038" s="198">
        <v>2977000.0</v>
      </c>
      <c r="G2038" s="142">
        <f t="shared" si="54"/>
        <v>2977000</v>
      </c>
      <c r="H2038" s="142"/>
      <c r="I2038" s="143">
        <f t="shared" si="55"/>
        <v>2977000</v>
      </c>
      <c r="J2038" s="144">
        <f t="shared" si="57"/>
        <v>2977000</v>
      </c>
      <c r="K2038" s="108" t="s">
        <v>7824</v>
      </c>
      <c r="L2038" s="199" t="s">
        <v>7825</v>
      </c>
      <c r="M2038" s="17"/>
      <c r="N2038" s="64" t="s">
        <v>7826</v>
      </c>
      <c r="O2038" s="64" t="s">
        <v>2813</v>
      </c>
      <c r="P2038" s="147" t="s">
        <v>4672</v>
      </c>
      <c r="Q2038" s="149"/>
      <c r="R2038" s="149"/>
      <c r="S2038" s="149"/>
      <c r="T2038" s="149"/>
      <c r="U2038" s="149"/>
      <c r="V2038" s="149"/>
      <c r="W2038" s="149"/>
      <c r="X2038" s="68"/>
      <c r="Y2038" s="68"/>
      <c r="Z2038" s="68"/>
    </row>
    <row r="2039" ht="15.0" customHeight="1">
      <c r="A2039" s="206">
        <v>46058.0</v>
      </c>
      <c r="B2039" s="201" t="s">
        <v>7827</v>
      </c>
      <c r="C2039" s="45" t="s">
        <v>3246</v>
      </c>
      <c r="D2039" s="140" t="str">
        <f>IFERROR(VLOOKUP(C2039,Stock,3,FALSE),"")</f>
        <v>Toyota Calya / Sigra 16-</v>
      </c>
      <c r="E2039" s="45">
        <v>1.0</v>
      </c>
      <c r="F2039" s="198">
        <v>1240000.0</v>
      </c>
      <c r="G2039" s="142">
        <f t="shared" si="54"/>
        <v>1240000</v>
      </c>
      <c r="H2039" s="142"/>
      <c r="I2039" s="143">
        <f t="shared" si="55"/>
        <v>1240000</v>
      </c>
      <c r="J2039" s="144">
        <f t="shared" si="57"/>
        <v>1240000</v>
      </c>
      <c r="K2039" s="200"/>
      <c r="L2039" s="199" t="s">
        <v>7828</v>
      </c>
      <c r="M2039" s="17"/>
      <c r="N2039" s="64" t="s">
        <v>7829</v>
      </c>
      <c r="O2039" s="64" t="s">
        <v>2813</v>
      </c>
      <c r="P2039" s="147" t="s">
        <v>4672</v>
      </c>
      <c r="Q2039" s="149"/>
      <c r="R2039" s="149"/>
      <c r="S2039" s="149"/>
      <c r="T2039" s="149"/>
      <c r="U2039" s="149"/>
      <c r="V2039" s="149"/>
      <c r="W2039" s="149"/>
      <c r="X2039" s="68"/>
      <c r="Y2039" s="68"/>
      <c r="Z2039" s="68"/>
    </row>
    <row r="2040" ht="15.0" customHeight="1">
      <c r="A2040" s="206">
        <v>46058.0</v>
      </c>
      <c r="B2040" s="201" t="s">
        <v>7827</v>
      </c>
      <c r="C2040" s="45" t="s">
        <v>7011</v>
      </c>
      <c r="D2040" s="140" t="str">
        <f>IFERROR(VLOOKUP(C2040,Stock,3,FALSE),"")</f>
        <v>Automotive Film Standard - Black 40%				</v>
      </c>
      <c r="E2040" s="45">
        <v>1.0</v>
      </c>
      <c r="F2040" s="198">
        <v>300000.0</v>
      </c>
      <c r="G2040" s="142">
        <f t="shared" si="54"/>
        <v>300000</v>
      </c>
      <c r="H2040" s="142"/>
      <c r="I2040" s="143">
        <f t="shared" si="55"/>
        <v>300000</v>
      </c>
      <c r="J2040" s="144">
        <f t="shared" si="57"/>
        <v>300000</v>
      </c>
      <c r="K2040" s="200"/>
      <c r="L2040" s="17"/>
      <c r="M2040" s="17"/>
      <c r="N2040" s="64" t="s">
        <v>7829</v>
      </c>
      <c r="O2040" s="64" t="s">
        <v>2813</v>
      </c>
      <c r="P2040" s="147" t="s">
        <v>4672</v>
      </c>
      <c r="Q2040" s="149"/>
      <c r="R2040" s="149"/>
      <c r="S2040" s="149"/>
      <c r="T2040" s="149"/>
      <c r="U2040" s="149"/>
      <c r="V2040" s="149"/>
      <c r="W2040" s="149"/>
      <c r="X2040" s="68"/>
      <c r="Y2040" s="68"/>
      <c r="Z2040" s="68"/>
    </row>
    <row r="2041" ht="15.0" customHeight="1">
      <c r="A2041" s="206">
        <v>46058.0</v>
      </c>
      <c r="B2041" s="201" t="s">
        <v>7830</v>
      </c>
      <c r="C2041" s="45" t="s">
        <v>3621</v>
      </c>
      <c r="D2041" s="140" t="str">
        <f>IFERROR(VLOOKUP(C2041,Stock,3,FALSE),"")</f>
        <v>Mitsubishi Pajero 08-16</v>
      </c>
      <c r="E2041" s="45">
        <v>1.0</v>
      </c>
      <c r="F2041" s="198">
        <v>1655000.0</v>
      </c>
      <c r="G2041" s="142">
        <f t="shared" si="54"/>
        <v>1655000</v>
      </c>
      <c r="H2041" s="142"/>
      <c r="I2041" s="143">
        <f t="shared" si="55"/>
        <v>1655000</v>
      </c>
      <c r="J2041" s="144">
        <f t="shared" si="57"/>
        <v>1655000</v>
      </c>
      <c r="K2041" s="108" t="s">
        <v>6014</v>
      </c>
      <c r="L2041" s="199" t="s">
        <v>7831</v>
      </c>
      <c r="M2041" s="17"/>
      <c r="N2041" s="64" t="s">
        <v>7832</v>
      </c>
      <c r="O2041" s="64" t="s">
        <v>2813</v>
      </c>
      <c r="P2041" s="147" t="s">
        <v>4672</v>
      </c>
      <c r="Q2041" s="149"/>
      <c r="R2041" s="149"/>
      <c r="S2041" s="149"/>
      <c r="T2041" s="149"/>
      <c r="U2041" s="149"/>
      <c r="V2041" s="149"/>
      <c r="W2041" s="149"/>
      <c r="X2041" s="68"/>
      <c r="Y2041" s="68"/>
      <c r="Z2041" s="68"/>
    </row>
    <row r="2042" ht="15.0" customHeight="1">
      <c r="A2042" s="206">
        <v>46058.0</v>
      </c>
      <c r="B2042" s="201" t="s">
        <v>7833</v>
      </c>
      <c r="C2042" s="45" t="s">
        <v>7184</v>
      </c>
      <c r="D2042" s="140" t="str">
        <f>IFERROR(VLOOKUP(C2042,Stock,3,FALSE),"")</f>
        <v>Toyota Rush / Terios 18-</v>
      </c>
      <c r="E2042" s="45">
        <v>1.0</v>
      </c>
      <c r="F2042" s="198">
        <v>685000.0</v>
      </c>
      <c r="G2042" s="142">
        <f t="shared" si="54"/>
        <v>685000</v>
      </c>
      <c r="H2042" s="142"/>
      <c r="I2042" s="143">
        <f t="shared" si="55"/>
        <v>685000</v>
      </c>
      <c r="J2042" s="144">
        <f t="shared" si="57"/>
        <v>685000</v>
      </c>
      <c r="K2042" s="108" t="s">
        <v>7834</v>
      </c>
      <c r="L2042" s="199" t="s">
        <v>7835</v>
      </c>
      <c r="M2042" s="17"/>
      <c r="N2042" s="64" t="s">
        <v>7836</v>
      </c>
      <c r="O2042" s="64" t="s">
        <v>2813</v>
      </c>
      <c r="P2042" s="147" t="s">
        <v>4672</v>
      </c>
      <c r="Q2042" s="149"/>
      <c r="R2042" s="149"/>
      <c r="S2042" s="149"/>
      <c r="T2042" s="149"/>
      <c r="U2042" s="149"/>
      <c r="V2042" s="149"/>
      <c r="W2042" s="149"/>
      <c r="X2042" s="68"/>
      <c r="Y2042" s="68"/>
      <c r="Z2042" s="68"/>
    </row>
    <row r="2043" ht="15.0" customHeight="1">
      <c r="A2043" s="206">
        <v>46058.0</v>
      </c>
      <c r="B2043" s="201" t="s">
        <v>7837</v>
      </c>
      <c r="C2043" s="45" t="s">
        <v>2778</v>
      </c>
      <c r="D2043" s="140" t="str">
        <f>IFERROR(VLOOKUP(C2043,Stock,3,FALSE),"")</f>
        <v>Bongkar Pasang Kaca Mobil Depan</v>
      </c>
      <c r="E2043" s="45">
        <v>1.0</v>
      </c>
      <c r="F2043" s="198">
        <v>500000.0</v>
      </c>
      <c r="G2043" s="142">
        <f t="shared" si="54"/>
        <v>500000</v>
      </c>
      <c r="H2043" s="142"/>
      <c r="I2043" s="143">
        <f t="shared" si="55"/>
        <v>500000</v>
      </c>
      <c r="J2043" s="144">
        <f t="shared" si="57"/>
        <v>500000</v>
      </c>
      <c r="K2043" s="108" t="s">
        <v>7838</v>
      </c>
      <c r="L2043" s="199" t="s">
        <v>7839</v>
      </c>
      <c r="M2043" s="17"/>
      <c r="N2043" s="64" t="s">
        <v>7840</v>
      </c>
      <c r="O2043" s="68"/>
      <c r="P2043" s="147" t="s">
        <v>4672</v>
      </c>
      <c r="Q2043" s="149"/>
      <c r="R2043" s="149"/>
      <c r="S2043" s="149"/>
      <c r="T2043" s="149"/>
      <c r="U2043" s="149"/>
      <c r="V2043" s="149"/>
      <c r="W2043" s="149"/>
      <c r="X2043" s="68"/>
      <c r="Y2043" s="68"/>
      <c r="Z2043" s="68"/>
    </row>
    <row r="2044" ht="15.0" customHeight="1">
      <c r="A2044" s="206">
        <v>46058.0</v>
      </c>
      <c r="B2044" s="201" t="s">
        <v>7837</v>
      </c>
      <c r="C2044" s="45" t="s">
        <v>3434</v>
      </c>
      <c r="D2044" s="140" t="str">
        <f>IFERROR(VLOOKUP(C2044,Stock,3,FALSE),"")</f>
        <v>List Kaca Depan Code 04</v>
      </c>
      <c r="E2044" s="45">
        <v>1.0</v>
      </c>
      <c r="F2044" s="198">
        <v>275000.0</v>
      </c>
      <c r="G2044" s="142">
        <f t="shared" si="54"/>
        <v>275000</v>
      </c>
      <c r="H2044" s="143">
        <v>50000.0</v>
      </c>
      <c r="I2044" s="143">
        <f t="shared" si="55"/>
        <v>225000</v>
      </c>
      <c r="J2044" s="144">
        <f t="shared" si="57"/>
        <v>225000</v>
      </c>
      <c r="K2044" s="108" t="s">
        <v>7838</v>
      </c>
      <c r="L2044" s="199" t="s">
        <v>7839</v>
      </c>
      <c r="M2044" s="17"/>
      <c r="N2044" s="64" t="s">
        <v>7840</v>
      </c>
      <c r="O2044" s="68"/>
      <c r="P2044" s="147" t="s">
        <v>4672</v>
      </c>
      <c r="Q2044" s="149"/>
      <c r="R2044" s="149"/>
      <c r="S2044" s="149"/>
      <c r="T2044" s="149"/>
      <c r="U2044" s="149"/>
      <c r="V2044" s="149"/>
      <c r="W2044" s="149"/>
      <c r="X2044" s="68"/>
      <c r="Y2044" s="68"/>
      <c r="Z2044" s="68"/>
    </row>
    <row r="2045" ht="15.0" customHeight="1">
      <c r="A2045" s="265">
        <v>46058.0</v>
      </c>
      <c r="B2045" s="266" t="s">
        <v>7841</v>
      </c>
      <c r="C2045" s="269" t="s">
        <v>4609</v>
      </c>
      <c r="D2045" s="268" t="str">
        <f>IFERROR(VLOOKUP(C2045,Stock,3,FALSE),"")</f>
        <v>Mazda Biante 08- (Hitam)</v>
      </c>
      <c r="E2045" s="269">
        <v>1.0</v>
      </c>
      <c r="F2045" s="270"/>
      <c r="G2045" s="271">
        <f t="shared" si="54"/>
        <v>0</v>
      </c>
      <c r="H2045" s="271"/>
      <c r="I2045" s="272">
        <f t="shared" si="55"/>
        <v>0</v>
      </c>
      <c r="J2045" s="273"/>
      <c r="K2045" s="267" t="s">
        <v>7842</v>
      </c>
      <c r="L2045" s="269"/>
      <c r="M2045" s="274"/>
      <c r="N2045" s="275"/>
      <c r="O2045" s="275"/>
      <c r="P2045" s="276"/>
      <c r="Q2045" s="277"/>
      <c r="R2045" s="277"/>
      <c r="S2045" s="277"/>
      <c r="T2045" s="277"/>
      <c r="U2045" s="277"/>
      <c r="V2045" s="277"/>
      <c r="W2045" s="277"/>
      <c r="X2045" s="275"/>
      <c r="Y2045" s="275"/>
      <c r="Z2045" s="275"/>
    </row>
    <row r="2046" ht="15.0" customHeight="1">
      <c r="A2046" s="206">
        <v>46059.0</v>
      </c>
      <c r="B2046" s="201" t="s">
        <v>7843</v>
      </c>
      <c r="C2046" s="45" t="s">
        <v>7162</v>
      </c>
      <c r="D2046" s="140" t="str">
        <f>IFERROR(VLOOKUP(C2046,Stock,3,FALSE),"")</f>
        <v>Toyota Innova 04-15 1st Gen</v>
      </c>
      <c r="E2046" s="45">
        <v>1.0</v>
      </c>
      <c r="F2046" s="198">
        <v>1300000.0</v>
      </c>
      <c r="G2046" s="142">
        <f t="shared" si="54"/>
        <v>1300000</v>
      </c>
      <c r="H2046" s="142"/>
      <c r="I2046" s="143">
        <f t="shared" si="55"/>
        <v>1300000</v>
      </c>
      <c r="J2046" s="144">
        <f t="shared" ref="J2046:J2128" si="59">I2046</f>
        <v>1300000</v>
      </c>
      <c r="K2046" s="108" t="s">
        <v>7844</v>
      </c>
      <c r="L2046" s="199" t="s">
        <v>7845</v>
      </c>
      <c r="M2046" s="17"/>
      <c r="N2046" s="64" t="s">
        <v>7846</v>
      </c>
      <c r="O2046" s="64" t="s">
        <v>6908</v>
      </c>
      <c r="P2046" s="147" t="s">
        <v>4672</v>
      </c>
      <c r="Q2046" s="149"/>
      <c r="R2046" s="141"/>
      <c r="S2046" s="141"/>
      <c r="T2046" s="141">
        <v>100000.0</v>
      </c>
      <c r="U2046" s="149"/>
      <c r="V2046" s="149"/>
      <c r="W2046" s="149"/>
      <c r="X2046" s="68"/>
      <c r="Y2046" s="68"/>
      <c r="Z2046" s="68"/>
    </row>
    <row r="2047" ht="15.0" customHeight="1">
      <c r="A2047" s="206">
        <v>46059.0</v>
      </c>
      <c r="B2047" s="201" t="s">
        <v>7843</v>
      </c>
      <c r="C2047" s="45" t="s">
        <v>3352</v>
      </c>
      <c r="D2047" s="140" t="str">
        <f>IFERROR(VLOOKUP(C2047,Stock,3,FALSE),"")</f>
        <v>List Kaca Depan INV</v>
      </c>
      <c r="E2047" s="45">
        <v>1.0</v>
      </c>
      <c r="F2047" s="198">
        <v>315000.0</v>
      </c>
      <c r="G2047" s="142">
        <f t="shared" si="54"/>
        <v>315000</v>
      </c>
      <c r="H2047" s="143">
        <v>15000.0</v>
      </c>
      <c r="I2047" s="143">
        <f t="shared" si="55"/>
        <v>300000</v>
      </c>
      <c r="J2047" s="144">
        <f t="shared" si="59"/>
        <v>300000</v>
      </c>
      <c r="K2047" s="108" t="s">
        <v>7844</v>
      </c>
      <c r="L2047" s="199" t="s">
        <v>7845</v>
      </c>
      <c r="M2047" s="17"/>
      <c r="N2047" s="64" t="s">
        <v>7846</v>
      </c>
      <c r="O2047" s="64" t="s">
        <v>6908</v>
      </c>
      <c r="P2047" s="147" t="s">
        <v>4672</v>
      </c>
      <c r="Q2047" s="149"/>
      <c r="R2047" s="141"/>
      <c r="S2047" s="141"/>
      <c r="T2047" s="141">
        <v>1550000.0</v>
      </c>
      <c r="U2047" s="149"/>
      <c r="V2047" s="149"/>
      <c r="W2047" s="149"/>
      <c r="X2047" s="68"/>
      <c r="Y2047" s="68"/>
      <c r="Z2047" s="68"/>
    </row>
    <row r="2048" ht="15.0" customHeight="1">
      <c r="A2048" s="206">
        <v>46059.0</v>
      </c>
      <c r="B2048" s="201" t="s">
        <v>7843</v>
      </c>
      <c r="C2048" s="45" t="s">
        <v>2770</v>
      </c>
      <c r="D2048" s="140" t="str">
        <f>IFERROR(VLOOKUP(C2048,Stock,3,FALSE),"")</f>
        <v>Transport</v>
      </c>
      <c r="E2048" s="45">
        <v>1.0</v>
      </c>
      <c r="F2048" s="198">
        <v>50000.0</v>
      </c>
      <c r="G2048" s="142">
        <f t="shared" si="54"/>
        <v>50000</v>
      </c>
      <c r="H2048" s="142"/>
      <c r="I2048" s="143">
        <f t="shared" si="55"/>
        <v>50000</v>
      </c>
      <c r="J2048" s="144">
        <f t="shared" si="59"/>
        <v>50000</v>
      </c>
      <c r="K2048" s="108" t="s">
        <v>7844</v>
      </c>
      <c r="L2048" s="199" t="s">
        <v>7845</v>
      </c>
      <c r="M2048" s="17"/>
      <c r="N2048" s="64" t="s">
        <v>7846</v>
      </c>
      <c r="O2048" s="64" t="s">
        <v>6908</v>
      </c>
      <c r="P2048" s="147" t="s">
        <v>4672</v>
      </c>
      <c r="Q2048" s="149"/>
      <c r="R2048" s="141"/>
      <c r="S2048" s="141"/>
      <c r="T2048" s="141" t="s">
        <v>7847</v>
      </c>
      <c r="U2048" s="149"/>
      <c r="V2048" s="149"/>
      <c r="W2048" s="149"/>
      <c r="X2048" s="68"/>
      <c r="Y2048" s="68"/>
      <c r="Z2048" s="68"/>
    </row>
    <row r="2049" ht="15.0" customHeight="1">
      <c r="A2049" s="206">
        <v>46059.0</v>
      </c>
      <c r="B2049" s="398" t="s">
        <v>7848</v>
      </c>
      <c r="C2049" s="45" t="s">
        <v>7849</v>
      </c>
      <c r="D2049" s="140" t="str">
        <f>IFERROR(VLOOKUP(C2049,Stock,3,FALSE),"")</f>
        <v>Honda CR-V 07-11 3rd Gen</v>
      </c>
      <c r="E2049" s="45">
        <v>1.0</v>
      </c>
      <c r="F2049" s="198">
        <v>881000.0</v>
      </c>
      <c r="G2049" s="142">
        <f t="shared" si="54"/>
        <v>881000</v>
      </c>
      <c r="H2049" s="142"/>
      <c r="I2049" s="143">
        <f t="shared" si="55"/>
        <v>881000</v>
      </c>
      <c r="J2049" s="144">
        <f t="shared" si="59"/>
        <v>881000</v>
      </c>
      <c r="K2049" s="108" t="s">
        <v>7850</v>
      </c>
      <c r="L2049" s="199" t="s">
        <v>7851</v>
      </c>
      <c r="M2049" s="17"/>
      <c r="N2049" s="68"/>
      <c r="O2049" s="64" t="s">
        <v>7852</v>
      </c>
      <c r="P2049" s="147" t="s">
        <v>4672</v>
      </c>
      <c r="Q2049" s="149"/>
      <c r="R2049" s="141"/>
      <c r="S2049" s="141"/>
      <c r="T2049" s="141">
        <v>881000.0</v>
      </c>
      <c r="U2049" s="149"/>
      <c r="V2049" s="149"/>
      <c r="W2049" s="149"/>
      <c r="X2049" s="68"/>
      <c r="Y2049" s="68"/>
      <c r="Z2049" s="68"/>
    </row>
    <row r="2050" ht="15.0" customHeight="1">
      <c r="A2050" s="206">
        <v>46059.0</v>
      </c>
      <c r="B2050" s="201" t="s">
        <v>7853</v>
      </c>
      <c r="C2050" s="45" t="s">
        <v>3354</v>
      </c>
      <c r="D2050" s="140" t="str">
        <f>IFERROR(VLOOKUP(C2050,Stock,3,FALSE),"")</f>
        <v>Honda Brio 10- / Mobilio 11- (Honda)</v>
      </c>
      <c r="E2050" s="45">
        <v>1.0</v>
      </c>
      <c r="F2050" s="198">
        <v>1772000.0</v>
      </c>
      <c r="G2050" s="142">
        <f t="shared" si="54"/>
        <v>1772000</v>
      </c>
      <c r="H2050" s="142"/>
      <c r="I2050" s="143">
        <f t="shared" si="55"/>
        <v>1772000</v>
      </c>
      <c r="J2050" s="144">
        <f t="shared" si="59"/>
        <v>1772000</v>
      </c>
      <c r="K2050" s="108" t="s">
        <v>7854</v>
      </c>
      <c r="L2050" s="199" t="s">
        <v>7855</v>
      </c>
      <c r="M2050" s="17"/>
      <c r="N2050" s="64" t="s">
        <v>7856</v>
      </c>
      <c r="O2050" s="64" t="s">
        <v>2813</v>
      </c>
      <c r="P2050" s="147" t="s">
        <v>4672</v>
      </c>
      <c r="Q2050" s="149"/>
      <c r="R2050" s="141"/>
      <c r="S2050" s="141"/>
      <c r="T2050" s="141">
        <v>1772000.0</v>
      </c>
      <c r="U2050" s="149"/>
      <c r="V2050" s="149"/>
      <c r="W2050" s="149"/>
      <c r="X2050" s="68"/>
      <c r="Y2050" s="68"/>
      <c r="Z2050" s="68"/>
    </row>
    <row r="2051" ht="15.0" customHeight="1">
      <c r="A2051" s="206">
        <v>46059.0</v>
      </c>
      <c r="B2051" s="201" t="s">
        <v>7857</v>
      </c>
      <c r="C2051" s="45" t="s">
        <v>3185</v>
      </c>
      <c r="D2051" s="140" t="str">
        <f>IFERROR(VLOOKUP(C2051,Stock,3,FALSE),"")</f>
        <v>Toyota Fortuner 05-15  1st Gen / Hilux Pickup 05-15</v>
      </c>
      <c r="E2051" s="45">
        <v>1.0</v>
      </c>
      <c r="F2051" s="198">
        <v>850000.0</v>
      </c>
      <c r="G2051" s="142">
        <f t="shared" si="54"/>
        <v>850000</v>
      </c>
      <c r="H2051" s="142"/>
      <c r="I2051" s="143">
        <f t="shared" si="55"/>
        <v>850000</v>
      </c>
      <c r="J2051" s="144">
        <f t="shared" si="59"/>
        <v>850000</v>
      </c>
      <c r="K2051" s="200"/>
      <c r="L2051" s="17"/>
      <c r="M2051" s="17"/>
      <c r="N2051" s="64" t="s">
        <v>7858</v>
      </c>
      <c r="O2051" s="64" t="s">
        <v>2813</v>
      </c>
      <c r="P2051" s="147" t="s">
        <v>4672</v>
      </c>
      <c r="Q2051" s="141"/>
      <c r="R2051" s="141"/>
      <c r="S2051" s="141"/>
      <c r="T2051" s="141">
        <v>100000.0</v>
      </c>
      <c r="U2051" s="149"/>
      <c r="V2051" s="149"/>
      <c r="W2051" s="149"/>
      <c r="X2051" s="68"/>
      <c r="Y2051" s="68"/>
      <c r="Z2051" s="68"/>
    </row>
    <row r="2052" ht="15.0" customHeight="1">
      <c r="A2052" s="206">
        <v>46059.0</v>
      </c>
      <c r="B2052" s="201" t="s">
        <v>7857</v>
      </c>
      <c r="C2052" s="45" t="s">
        <v>2770</v>
      </c>
      <c r="D2052" s="140" t="str">
        <f>IFERROR(VLOOKUP(C2052,Stock,3,FALSE),"")</f>
        <v>Transport</v>
      </c>
      <c r="E2052" s="45">
        <v>1.0</v>
      </c>
      <c r="F2052" s="198">
        <v>150000.0</v>
      </c>
      <c r="G2052" s="142">
        <f t="shared" si="54"/>
        <v>150000</v>
      </c>
      <c r="H2052" s="142"/>
      <c r="I2052" s="143">
        <f t="shared" si="55"/>
        <v>150000</v>
      </c>
      <c r="J2052" s="144">
        <f t="shared" si="59"/>
        <v>150000</v>
      </c>
      <c r="K2052" s="200"/>
      <c r="L2052" s="17"/>
      <c r="M2052" s="17"/>
      <c r="N2052" s="68"/>
      <c r="O2052" s="68"/>
      <c r="P2052" s="147" t="s">
        <v>4672</v>
      </c>
      <c r="Q2052" s="141">
        <v>900000.0</v>
      </c>
      <c r="R2052" s="141"/>
      <c r="S2052" s="141"/>
      <c r="T2052" s="141"/>
      <c r="U2052" s="149"/>
      <c r="V2052" s="149"/>
      <c r="W2052" s="149"/>
      <c r="X2052" s="68"/>
      <c r="Y2052" s="68"/>
      <c r="Z2052" s="68"/>
    </row>
    <row r="2053" ht="15.0" customHeight="1">
      <c r="A2053" s="206">
        <v>46059.0</v>
      </c>
      <c r="B2053" s="201" t="s">
        <v>7859</v>
      </c>
      <c r="C2053" s="45" t="s">
        <v>7860</v>
      </c>
      <c r="D2053" s="140" t="str">
        <f>IFERROR(VLOOKUP(C2053,Stock,3,FALSE),"")</f>
        <v>Honda BR-V 22- 2nd Gen (Honda)</v>
      </c>
      <c r="E2053" s="45">
        <v>1.0</v>
      </c>
      <c r="F2053" s="198">
        <v>852000.0</v>
      </c>
      <c r="G2053" s="142">
        <f t="shared" si="54"/>
        <v>852000</v>
      </c>
      <c r="H2053" s="142"/>
      <c r="I2053" s="143">
        <f t="shared" si="55"/>
        <v>852000</v>
      </c>
      <c r="J2053" s="144">
        <f t="shared" si="59"/>
        <v>852000</v>
      </c>
      <c r="K2053" s="108" t="s">
        <v>7861</v>
      </c>
      <c r="L2053" s="199" t="s">
        <v>7862</v>
      </c>
      <c r="M2053" s="17"/>
      <c r="N2053" s="64" t="s">
        <v>7863</v>
      </c>
      <c r="O2053" s="64" t="s">
        <v>3007</v>
      </c>
      <c r="P2053" s="147" t="s">
        <v>4672</v>
      </c>
      <c r="Q2053" s="149"/>
      <c r="R2053" s="149"/>
      <c r="S2053" s="149"/>
      <c r="T2053" s="149"/>
      <c r="U2053" s="149"/>
      <c r="V2053" s="149"/>
      <c r="W2053" s="149"/>
      <c r="X2053" s="68"/>
      <c r="Y2053" s="68"/>
      <c r="Z2053" s="68"/>
    </row>
    <row r="2054" ht="15.0" customHeight="1">
      <c r="A2054" s="206">
        <v>46059.0</v>
      </c>
      <c r="B2054" s="201" t="s">
        <v>7859</v>
      </c>
      <c r="C2054" s="45" t="s">
        <v>2770</v>
      </c>
      <c r="D2054" s="140" t="str">
        <f>IFERROR(VLOOKUP(C2054,Stock,3,FALSE),"")</f>
        <v>Transport</v>
      </c>
      <c r="E2054" s="45">
        <v>1.0</v>
      </c>
      <c r="F2054" s="198">
        <v>150000.0</v>
      </c>
      <c r="G2054" s="142">
        <f t="shared" si="54"/>
        <v>150000</v>
      </c>
      <c r="H2054" s="142"/>
      <c r="I2054" s="143">
        <f t="shared" si="55"/>
        <v>150000</v>
      </c>
      <c r="J2054" s="144">
        <f t="shared" si="59"/>
        <v>150000</v>
      </c>
      <c r="K2054" s="200"/>
      <c r="L2054" s="17"/>
      <c r="M2054" s="17"/>
      <c r="N2054" s="68"/>
      <c r="O2054" s="68"/>
      <c r="P2054" s="147" t="s">
        <v>4672</v>
      </c>
      <c r="Q2054" s="149"/>
      <c r="R2054" s="149"/>
      <c r="S2054" s="149"/>
      <c r="T2054" s="149"/>
      <c r="U2054" s="149"/>
      <c r="V2054" s="149"/>
      <c r="W2054" s="149"/>
      <c r="X2054" s="68"/>
      <c r="Y2054" s="68"/>
      <c r="Z2054" s="68"/>
    </row>
    <row r="2055" ht="15.0" customHeight="1">
      <c r="A2055" s="206">
        <v>46059.0</v>
      </c>
      <c r="B2055" s="201" t="s">
        <v>7864</v>
      </c>
      <c r="C2055" s="45" t="s">
        <v>7865</v>
      </c>
      <c r="D2055" s="140" t="str">
        <f>IFERROR(VLOOKUP(C2055,Stock,3,FALSE),"")</f>
        <v>Toyota Cresta 96-01</v>
      </c>
      <c r="E2055" s="45">
        <v>1.0</v>
      </c>
      <c r="F2055" s="198">
        <v>4300000.0</v>
      </c>
      <c r="G2055" s="142">
        <f t="shared" si="54"/>
        <v>4300000</v>
      </c>
      <c r="H2055" s="142"/>
      <c r="I2055" s="143">
        <f t="shared" si="55"/>
        <v>4300000</v>
      </c>
      <c r="J2055" s="144">
        <f t="shared" si="59"/>
        <v>4300000</v>
      </c>
      <c r="K2055" s="108" t="s">
        <v>7866</v>
      </c>
      <c r="L2055" s="199" t="s">
        <v>7867</v>
      </c>
      <c r="M2055" s="17"/>
      <c r="N2055" s="68"/>
      <c r="O2055" s="64" t="s">
        <v>2813</v>
      </c>
      <c r="P2055" s="147" t="s">
        <v>4672</v>
      </c>
      <c r="Q2055" s="149"/>
      <c r="R2055" s="149"/>
      <c r="S2055" s="149"/>
      <c r="T2055" s="149"/>
      <c r="U2055" s="149"/>
      <c r="V2055" s="149"/>
      <c r="W2055" s="149"/>
      <c r="X2055" s="68"/>
      <c r="Y2055" s="68"/>
      <c r="Z2055" s="68"/>
    </row>
    <row r="2056" ht="15.0" customHeight="1">
      <c r="A2056" s="206">
        <v>46059.0</v>
      </c>
      <c r="B2056" s="201" t="s">
        <v>7864</v>
      </c>
      <c r="C2056" s="45" t="s">
        <v>2770</v>
      </c>
      <c r="D2056" s="140" t="str">
        <f>IFERROR(VLOOKUP(C2056,Stock,3,FALSE),"")</f>
        <v>Transport</v>
      </c>
      <c r="E2056" s="45">
        <v>1.0</v>
      </c>
      <c r="F2056" s="198">
        <v>100000.0</v>
      </c>
      <c r="G2056" s="142">
        <f t="shared" si="54"/>
        <v>100000</v>
      </c>
      <c r="H2056" s="142"/>
      <c r="I2056" s="143">
        <f t="shared" si="55"/>
        <v>100000</v>
      </c>
      <c r="J2056" s="144">
        <f t="shared" si="59"/>
        <v>100000</v>
      </c>
      <c r="K2056" s="200"/>
      <c r="L2056" s="17"/>
      <c r="M2056" s="17"/>
      <c r="N2056" s="68"/>
      <c r="O2056" s="68"/>
      <c r="P2056" s="147" t="s">
        <v>4672</v>
      </c>
      <c r="Q2056" s="149"/>
      <c r="R2056" s="149"/>
      <c r="S2056" s="149"/>
      <c r="T2056" s="149"/>
      <c r="U2056" s="149"/>
      <c r="V2056" s="149"/>
      <c r="W2056" s="149"/>
      <c r="X2056" s="68"/>
      <c r="Y2056" s="68"/>
      <c r="Z2056" s="68"/>
    </row>
    <row r="2057" ht="15.0" customHeight="1">
      <c r="A2057" s="206">
        <v>46060.0</v>
      </c>
      <c r="B2057" s="201" t="s">
        <v>7868</v>
      </c>
      <c r="C2057" s="45" t="s">
        <v>2003</v>
      </c>
      <c r="D2057" s="140" t="str">
        <f>IFERROR(VLOOKUP(C2057,Stock,3,FALSE),"")</f>
        <v>Toyota Agya/Ayla 13-22 1st Gen</v>
      </c>
      <c r="E2057" s="45">
        <v>1.0</v>
      </c>
      <c r="F2057" s="198">
        <v>1000000.0</v>
      </c>
      <c r="G2057" s="142">
        <f t="shared" si="54"/>
        <v>1000000</v>
      </c>
      <c r="H2057" s="142"/>
      <c r="I2057" s="143">
        <f t="shared" si="55"/>
        <v>1000000</v>
      </c>
      <c r="J2057" s="144">
        <f t="shared" si="59"/>
        <v>1000000</v>
      </c>
      <c r="K2057" s="108" t="s">
        <v>7869</v>
      </c>
      <c r="L2057" s="199" t="s">
        <v>7870</v>
      </c>
      <c r="M2057" s="17"/>
      <c r="N2057" s="64" t="s">
        <v>7871</v>
      </c>
      <c r="O2057" s="64" t="s">
        <v>5618</v>
      </c>
      <c r="P2057" s="147" t="s">
        <v>4672</v>
      </c>
      <c r="Q2057" s="141">
        <v>1000000.0</v>
      </c>
      <c r="R2057" s="149"/>
      <c r="S2057" s="149"/>
      <c r="T2057" s="149"/>
      <c r="U2057" s="149"/>
      <c r="V2057" s="149"/>
      <c r="W2057" s="149"/>
      <c r="X2057" s="68"/>
      <c r="Y2057" s="68"/>
      <c r="Z2057" s="68"/>
    </row>
    <row r="2058" ht="15.0" customHeight="1">
      <c r="A2058" s="206">
        <v>46060.0</v>
      </c>
      <c r="B2058" s="201" t="s">
        <v>7872</v>
      </c>
      <c r="C2058" s="45" t="s">
        <v>3225</v>
      </c>
      <c r="D2058" s="140" t="str">
        <f>IFERROR(VLOOKUP(C2058,Stock,3,FALSE),"")</f>
        <v>Toyota Rush / Terios 18-</v>
      </c>
      <c r="E2058" s="45">
        <v>1.0</v>
      </c>
      <c r="F2058" s="198">
        <v>1300000.0</v>
      </c>
      <c r="G2058" s="142">
        <f t="shared" si="54"/>
        <v>1300000</v>
      </c>
      <c r="H2058" s="142"/>
      <c r="I2058" s="143">
        <f t="shared" si="55"/>
        <v>1300000</v>
      </c>
      <c r="J2058" s="144">
        <f t="shared" si="59"/>
        <v>1300000</v>
      </c>
      <c r="K2058" s="108" t="s">
        <v>7873</v>
      </c>
      <c r="L2058" s="199" t="s">
        <v>7874</v>
      </c>
      <c r="M2058" s="17"/>
      <c r="N2058" s="64" t="s">
        <v>7875</v>
      </c>
      <c r="O2058" s="64" t="s">
        <v>2813</v>
      </c>
      <c r="P2058" s="147" t="s">
        <v>4672</v>
      </c>
      <c r="Q2058" s="149"/>
      <c r="R2058" s="149"/>
      <c r="S2058" s="149"/>
      <c r="T2058" s="149"/>
      <c r="U2058" s="149"/>
      <c r="V2058" s="149"/>
      <c r="W2058" s="149"/>
      <c r="X2058" s="68"/>
      <c r="Y2058" s="68"/>
      <c r="Z2058" s="68"/>
    </row>
    <row r="2059" ht="15.0" customHeight="1">
      <c r="A2059" s="206">
        <v>46060.0</v>
      </c>
      <c r="B2059" s="201" t="s">
        <v>7876</v>
      </c>
      <c r="C2059" s="45" t="s">
        <v>4644</v>
      </c>
      <c r="D2059" s="140" t="str">
        <f>IFERROR(VLOOKUP(C2059,Stock,3,FALSE),"")</f>
        <v>Toyota Raize / Daihatsu Rocky 20-</v>
      </c>
      <c r="E2059" s="45">
        <v>1.0</v>
      </c>
      <c r="F2059" s="198">
        <v>1449000.0</v>
      </c>
      <c r="G2059" s="142">
        <f t="shared" si="54"/>
        <v>1449000</v>
      </c>
      <c r="H2059" s="142"/>
      <c r="I2059" s="143">
        <f t="shared" si="55"/>
        <v>1449000</v>
      </c>
      <c r="J2059" s="144">
        <f t="shared" si="59"/>
        <v>1449000</v>
      </c>
      <c r="K2059" s="108" t="s">
        <v>7877</v>
      </c>
      <c r="L2059" s="199" t="s">
        <v>7878</v>
      </c>
      <c r="M2059" s="17"/>
      <c r="N2059" s="64" t="s">
        <v>7879</v>
      </c>
      <c r="O2059" s="64" t="s">
        <v>7880</v>
      </c>
      <c r="P2059" s="147" t="s">
        <v>4672</v>
      </c>
      <c r="Q2059" s="149"/>
      <c r="R2059" s="141"/>
      <c r="S2059" s="141"/>
      <c r="T2059" s="141">
        <v>100000.0</v>
      </c>
      <c r="U2059" s="149"/>
      <c r="V2059" s="149"/>
      <c r="W2059" s="149"/>
      <c r="X2059" s="68"/>
      <c r="Y2059" s="68"/>
      <c r="Z2059" s="68"/>
    </row>
    <row r="2060" ht="15.0" customHeight="1">
      <c r="A2060" s="206">
        <v>46060.0</v>
      </c>
      <c r="B2060" s="201" t="s">
        <v>7876</v>
      </c>
      <c r="C2060" s="45" t="s">
        <v>2770</v>
      </c>
      <c r="D2060" s="140" t="str">
        <f>IFERROR(VLOOKUP(C2060,Stock,3,FALSE),"")</f>
        <v>Transport</v>
      </c>
      <c r="E2060" s="45">
        <v>1.0</v>
      </c>
      <c r="F2060" s="198">
        <v>180000.0</v>
      </c>
      <c r="G2060" s="142">
        <f t="shared" si="54"/>
        <v>180000</v>
      </c>
      <c r="H2060" s="142"/>
      <c r="I2060" s="143">
        <f t="shared" si="55"/>
        <v>180000</v>
      </c>
      <c r="J2060" s="144">
        <f t="shared" si="59"/>
        <v>180000</v>
      </c>
      <c r="K2060" s="108" t="s">
        <v>7877</v>
      </c>
      <c r="L2060" s="199" t="s">
        <v>7878</v>
      </c>
      <c r="M2060" s="17"/>
      <c r="N2060" s="68"/>
      <c r="O2060" s="64" t="s">
        <v>7880</v>
      </c>
      <c r="P2060" s="147" t="s">
        <v>4672</v>
      </c>
      <c r="Q2060" s="149"/>
      <c r="R2060" s="149"/>
      <c r="S2060" s="149"/>
      <c r="T2060" s="149"/>
      <c r="U2060" s="149"/>
      <c r="V2060" s="149"/>
      <c r="W2060" s="149"/>
      <c r="X2060" s="68"/>
      <c r="Y2060" s="68"/>
      <c r="Z2060" s="68"/>
    </row>
    <row r="2061" ht="15.0" customHeight="1">
      <c r="A2061" s="206">
        <v>46060.0</v>
      </c>
      <c r="B2061" s="201" t="s">
        <v>7881</v>
      </c>
      <c r="C2061" s="45" t="s">
        <v>3130</v>
      </c>
      <c r="D2061" s="140" t="str">
        <f>IFERROR(VLOOKUP(C2061,Stock,3,FALSE),"")</f>
        <v>Toyota Innova 04-15 1st Gen</v>
      </c>
      <c r="E2061" s="45">
        <v>1.0</v>
      </c>
      <c r="F2061" s="198">
        <v>1300000.0</v>
      </c>
      <c r="G2061" s="142">
        <f t="shared" si="54"/>
        <v>1300000</v>
      </c>
      <c r="H2061" s="142"/>
      <c r="I2061" s="143">
        <f t="shared" si="55"/>
        <v>1300000</v>
      </c>
      <c r="J2061" s="144">
        <f t="shared" si="59"/>
        <v>1300000</v>
      </c>
      <c r="K2061" s="108" t="s">
        <v>7882</v>
      </c>
      <c r="L2061" s="199" t="s">
        <v>7883</v>
      </c>
      <c r="M2061" s="17"/>
      <c r="N2061" s="68"/>
      <c r="O2061" s="64" t="s">
        <v>7884</v>
      </c>
      <c r="P2061" s="147" t="s">
        <v>4672</v>
      </c>
      <c r="Q2061" s="149"/>
      <c r="R2061" s="141"/>
      <c r="S2061" s="141"/>
      <c r="T2061" s="141">
        <v>50000.0</v>
      </c>
      <c r="U2061" s="149"/>
      <c r="V2061" s="149"/>
      <c r="W2061" s="149"/>
      <c r="X2061" s="68"/>
      <c r="Y2061" s="68"/>
      <c r="Z2061" s="68"/>
    </row>
    <row r="2062" ht="15.0" customHeight="1">
      <c r="A2062" s="206">
        <v>46060.0</v>
      </c>
      <c r="B2062" s="201" t="s">
        <v>7881</v>
      </c>
      <c r="C2062" s="45" t="s">
        <v>2770</v>
      </c>
      <c r="D2062" s="140" t="str">
        <f>IFERROR(VLOOKUP(C2062,Stock,3,FALSE),"")</f>
        <v>Transport</v>
      </c>
      <c r="E2062" s="45">
        <v>1.0</v>
      </c>
      <c r="F2062" s="198">
        <v>100000.0</v>
      </c>
      <c r="G2062" s="142">
        <f t="shared" si="54"/>
        <v>100000</v>
      </c>
      <c r="H2062" s="142"/>
      <c r="I2062" s="143">
        <f t="shared" si="55"/>
        <v>100000</v>
      </c>
      <c r="J2062" s="144">
        <f t="shared" si="59"/>
        <v>100000</v>
      </c>
      <c r="K2062" s="108" t="s">
        <v>7882</v>
      </c>
      <c r="L2062" s="199" t="s">
        <v>7883</v>
      </c>
      <c r="M2062" s="17"/>
      <c r="N2062" s="68"/>
      <c r="O2062" s="64" t="s">
        <v>7884</v>
      </c>
      <c r="P2062" s="147" t="s">
        <v>4672</v>
      </c>
      <c r="Q2062" s="149"/>
      <c r="R2062" s="141"/>
      <c r="S2062" s="141"/>
      <c r="T2062" s="141">
        <v>1350000.0</v>
      </c>
      <c r="U2062" s="149"/>
      <c r="V2062" s="149"/>
      <c r="W2062" s="149"/>
      <c r="X2062" s="68"/>
      <c r="Y2062" s="68"/>
      <c r="Z2062" s="68"/>
    </row>
    <row r="2063" ht="15.0" customHeight="1">
      <c r="A2063" s="206">
        <v>46060.0</v>
      </c>
      <c r="B2063" s="201" t="s">
        <v>7885</v>
      </c>
      <c r="C2063" s="45" t="s">
        <v>3475</v>
      </c>
      <c r="D2063" s="140" t="str">
        <f>IFERROR(VLOOKUP(C2063,Stock,3,FALSE),"")</f>
        <v>Toyota Avanza / Xenia 03-11 1st Gen</v>
      </c>
      <c r="E2063" s="45">
        <v>1.0</v>
      </c>
      <c r="F2063" s="198">
        <v>1000000.0</v>
      </c>
      <c r="G2063" s="142">
        <f t="shared" si="54"/>
        <v>1000000</v>
      </c>
      <c r="H2063" s="142"/>
      <c r="I2063" s="143">
        <f t="shared" si="55"/>
        <v>1000000</v>
      </c>
      <c r="J2063" s="144">
        <f t="shared" si="59"/>
        <v>1000000</v>
      </c>
      <c r="K2063" s="108" t="s">
        <v>7886</v>
      </c>
      <c r="L2063" s="199" t="s">
        <v>7887</v>
      </c>
      <c r="M2063" s="17"/>
      <c r="N2063" s="64" t="s">
        <v>7888</v>
      </c>
      <c r="O2063" s="64" t="s">
        <v>2813</v>
      </c>
      <c r="P2063" s="147" t="s">
        <v>4672</v>
      </c>
      <c r="Q2063" s="149"/>
      <c r="R2063" s="149"/>
      <c r="S2063" s="149"/>
      <c r="T2063" s="149"/>
      <c r="U2063" s="149"/>
      <c r="V2063" s="149"/>
      <c r="W2063" s="149"/>
      <c r="X2063" s="68"/>
      <c r="Y2063" s="68"/>
      <c r="Z2063" s="68"/>
    </row>
    <row r="2064" ht="15.0" customHeight="1">
      <c r="A2064" s="206">
        <v>46060.0</v>
      </c>
      <c r="B2064" s="201" t="s">
        <v>7885</v>
      </c>
      <c r="C2064" s="45" t="s">
        <v>7011</v>
      </c>
      <c r="D2064" s="140" t="str">
        <f>IFERROR(VLOOKUP(C2064,Stock,3,FALSE),"")</f>
        <v>Automotive Film Standard - Black 40%				</v>
      </c>
      <c r="E2064" s="45">
        <v>1.0</v>
      </c>
      <c r="F2064" s="198">
        <v>300000.0</v>
      </c>
      <c r="G2064" s="142">
        <f t="shared" si="54"/>
        <v>300000</v>
      </c>
      <c r="H2064" s="142"/>
      <c r="I2064" s="143">
        <f t="shared" si="55"/>
        <v>300000</v>
      </c>
      <c r="J2064" s="144">
        <f t="shared" si="59"/>
        <v>300000</v>
      </c>
      <c r="K2064" s="108" t="s">
        <v>7886</v>
      </c>
      <c r="L2064" s="199" t="s">
        <v>7887</v>
      </c>
      <c r="M2064" s="17"/>
      <c r="N2064" s="64" t="s">
        <v>7888</v>
      </c>
      <c r="O2064" s="64" t="s">
        <v>2813</v>
      </c>
      <c r="P2064" s="147" t="s">
        <v>4672</v>
      </c>
      <c r="Q2064" s="149"/>
      <c r="R2064" s="149"/>
      <c r="S2064" s="149"/>
      <c r="T2064" s="149"/>
      <c r="U2064" s="149"/>
      <c r="V2064" s="149"/>
      <c r="W2064" s="149"/>
      <c r="X2064" s="68"/>
      <c r="Y2064" s="68"/>
      <c r="Z2064" s="68"/>
    </row>
    <row r="2065" ht="15.0" customHeight="1">
      <c r="A2065" s="206">
        <v>46060.0</v>
      </c>
      <c r="B2065" s="201" t="s">
        <v>7885</v>
      </c>
      <c r="C2065" s="45" t="s">
        <v>3434</v>
      </c>
      <c r="D2065" s="140" t="str">
        <f>IFERROR(VLOOKUP(C2065,Stock,3,FALSE),"")</f>
        <v>List Kaca Depan Code 04</v>
      </c>
      <c r="E2065" s="45">
        <v>1.0</v>
      </c>
      <c r="F2065" s="198">
        <v>275000.0</v>
      </c>
      <c r="G2065" s="142">
        <f t="shared" si="54"/>
        <v>275000</v>
      </c>
      <c r="H2065" s="142"/>
      <c r="I2065" s="143">
        <f t="shared" si="55"/>
        <v>275000</v>
      </c>
      <c r="J2065" s="144">
        <f t="shared" si="59"/>
        <v>275000</v>
      </c>
      <c r="K2065" s="108" t="s">
        <v>7886</v>
      </c>
      <c r="L2065" s="199" t="s">
        <v>7887</v>
      </c>
      <c r="M2065" s="17"/>
      <c r="N2065" s="64" t="s">
        <v>7888</v>
      </c>
      <c r="O2065" s="64" t="s">
        <v>2813</v>
      </c>
      <c r="P2065" s="170"/>
      <c r="Q2065" s="149"/>
      <c r="R2065" s="149"/>
      <c r="S2065" s="149"/>
      <c r="T2065" s="149"/>
      <c r="U2065" s="149"/>
      <c r="V2065" s="149"/>
      <c r="W2065" s="149"/>
      <c r="X2065" s="68"/>
      <c r="Y2065" s="68"/>
      <c r="Z2065" s="68"/>
    </row>
    <row r="2066" ht="15.0" customHeight="1">
      <c r="A2066" s="206">
        <v>46060.0</v>
      </c>
      <c r="B2066" s="201" t="s">
        <v>7889</v>
      </c>
      <c r="C2066" s="45" t="s">
        <v>3048</v>
      </c>
      <c r="D2066" s="140" t="str">
        <f>IFERROR(VLOOKUP(C2066,Stock,3,FALSE),"")</f>
        <v>Biaya Pengecekan</v>
      </c>
      <c r="E2066" s="45">
        <v>1.0</v>
      </c>
      <c r="F2066" s="198">
        <v>150000.0</v>
      </c>
      <c r="G2066" s="142">
        <f t="shared" si="54"/>
        <v>150000</v>
      </c>
      <c r="H2066" s="142"/>
      <c r="I2066" s="143">
        <f t="shared" si="55"/>
        <v>150000</v>
      </c>
      <c r="J2066" s="144">
        <f t="shared" si="59"/>
        <v>150000</v>
      </c>
      <c r="K2066" s="108" t="s">
        <v>7890</v>
      </c>
      <c r="L2066" s="199" t="s">
        <v>7891</v>
      </c>
      <c r="M2066" s="17"/>
      <c r="N2066" s="64" t="s">
        <v>7892</v>
      </c>
      <c r="O2066" s="64" t="s">
        <v>2807</v>
      </c>
      <c r="P2066" s="147" t="s">
        <v>4672</v>
      </c>
      <c r="Q2066" s="149"/>
      <c r="R2066" s="149"/>
      <c r="S2066" s="149"/>
      <c r="T2066" s="149"/>
      <c r="U2066" s="149"/>
      <c r="V2066" s="149"/>
      <c r="W2066" s="149"/>
      <c r="X2066" s="68"/>
      <c r="Y2066" s="68"/>
      <c r="Z2066" s="68"/>
    </row>
    <row r="2067" ht="15.0" customHeight="1">
      <c r="A2067" s="206">
        <v>46060.0</v>
      </c>
      <c r="B2067" s="201" t="s">
        <v>7889</v>
      </c>
      <c r="C2067" s="45" t="s">
        <v>2770</v>
      </c>
      <c r="D2067" s="140" t="str">
        <f>IFERROR(VLOOKUP(C2067,Stock,3,FALSE),"")</f>
        <v>Transport</v>
      </c>
      <c r="E2067" s="45">
        <v>1.0</v>
      </c>
      <c r="F2067" s="198">
        <v>250000.0</v>
      </c>
      <c r="G2067" s="142">
        <f t="shared" si="54"/>
        <v>250000</v>
      </c>
      <c r="H2067" s="142"/>
      <c r="I2067" s="143">
        <f t="shared" si="55"/>
        <v>250000</v>
      </c>
      <c r="J2067" s="144">
        <f t="shared" si="59"/>
        <v>250000</v>
      </c>
      <c r="K2067" s="204" t="s">
        <v>7890</v>
      </c>
      <c r="L2067" s="318" t="s">
        <v>7891</v>
      </c>
      <c r="M2067" s="245"/>
      <c r="N2067" s="105" t="s">
        <v>7892</v>
      </c>
      <c r="O2067" s="105" t="s">
        <v>2807</v>
      </c>
      <c r="P2067" s="147" t="s">
        <v>4672</v>
      </c>
      <c r="Q2067" s="149"/>
      <c r="R2067" s="149"/>
      <c r="S2067" s="149"/>
      <c r="T2067" s="149"/>
      <c r="U2067" s="149"/>
      <c r="V2067" s="149"/>
      <c r="W2067" s="149"/>
      <c r="X2067" s="68"/>
      <c r="Y2067" s="68"/>
      <c r="Z2067" s="68"/>
    </row>
    <row r="2068" ht="15.0" customHeight="1">
      <c r="A2068" s="206">
        <v>46060.0</v>
      </c>
      <c r="B2068" s="201" t="s">
        <v>7893</v>
      </c>
      <c r="C2068" s="45" t="s">
        <v>3185</v>
      </c>
      <c r="D2068" s="140" t="str">
        <f>IFERROR(VLOOKUP(C2068,Stock,3,FALSE),"")</f>
        <v>Toyota Fortuner 05-15  1st Gen / Hilux Pickup 05-15</v>
      </c>
      <c r="E2068" s="45">
        <v>1.0</v>
      </c>
      <c r="F2068" s="198">
        <v>890000.0</v>
      </c>
      <c r="G2068" s="142">
        <f t="shared" si="54"/>
        <v>890000</v>
      </c>
      <c r="H2068" s="142"/>
      <c r="I2068" s="143">
        <f t="shared" si="55"/>
        <v>890000</v>
      </c>
      <c r="J2068" s="144">
        <f t="shared" si="59"/>
        <v>890000</v>
      </c>
      <c r="K2068" s="108" t="s">
        <v>4006</v>
      </c>
      <c r="L2068" s="199" t="s">
        <v>7894</v>
      </c>
      <c r="M2068" s="17"/>
      <c r="N2068" s="64" t="s">
        <v>7895</v>
      </c>
      <c r="O2068" s="64" t="s">
        <v>2813</v>
      </c>
      <c r="P2068" s="147" t="s">
        <v>4672</v>
      </c>
      <c r="Q2068" s="149"/>
      <c r="R2068" s="141"/>
      <c r="S2068" s="141"/>
      <c r="T2068" s="141">
        <v>890000.0</v>
      </c>
      <c r="U2068" s="149"/>
      <c r="V2068" s="149"/>
      <c r="W2068" s="149"/>
      <c r="X2068" s="68"/>
      <c r="Y2068" s="68"/>
      <c r="Z2068" s="68"/>
    </row>
    <row r="2069" ht="15.0" customHeight="1">
      <c r="A2069" s="206">
        <v>46060.0</v>
      </c>
      <c r="B2069" s="201" t="s">
        <v>7896</v>
      </c>
      <c r="C2069" s="45" t="s">
        <v>7457</v>
      </c>
      <c r="D2069" s="140" t="str">
        <f>IFERROR(VLOOKUP(C2069,Stock,3,FALSE),"")</f>
        <v>Chevrolet Spin 12- (Chevrolet)</v>
      </c>
      <c r="E2069" s="45">
        <v>1.0</v>
      </c>
      <c r="F2069" s="198">
        <v>1482000.0</v>
      </c>
      <c r="G2069" s="142">
        <f t="shared" si="54"/>
        <v>1482000</v>
      </c>
      <c r="H2069" s="143">
        <v>82000.0</v>
      </c>
      <c r="I2069" s="143">
        <f t="shared" si="55"/>
        <v>1400000</v>
      </c>
      <c r="J2069" s="144">
        <f t="shared" si="59"/>
        <v>1400000</v>
      </c>
      <c r="K2069" s="108" t="s">
        <v>6459</v>
      </c>
      <c r="L2069" s="199" t="s">
        <v>7897</v>
      </c>
      <c r="M2069" s="17"/>
      <c r="N2069" s="68"/>
      <c r="O2069" s="64" t="s">
        <v>3007</v>
      </c>
      <c r="P2069" s="147" t="s">
        <v>4672</v>
      </c>
      <c r="Q2069" s="149"/>
      <c r="R2069" s="149"/>
      <c r="S2069" s="149"/>
      <c r="T2069" s="149"/>
      <c r="U2069" s="149"/>
      <c r="V2069" s="149"/>
      <c r="W2069" s="149"/>
      <c r="X2069" s="68"/>
      <c r="Y2069" s="68"/>
      <c r="Z2069" s="68"/>
    </row>
    <row r="2070" ht="15.0" customHeight="1">
      <c r="A2070" s="206">
        <v>46060.0</v>
      </c>
      <c r="B2070" s="201" t="s">
        <v>7896</v>
      </c>
      <c r="C2070" s="45" t="s">
        <v>2770</v>
      </c>
      <c r="D2070" s="140" t="str">
        <f>IFERROR(VLOOKUP(C2070,Stock,3,FALSE),"")</f>
        <v>Transport</v>
      </c>
      <c r="E2070" s="45">
        <v>1.0</v>
      </c>
      <c r="F2070" s="198">
        <v>150000.0</v>
      </c>
      <c r="G2070" s="142">
        <f t="shared" si="54"/>
        <v>150000</v>
      </c>
      <c r="H2070" s="142"/>
      <c r="I2070" s="143">
        <f t="shared" si="55"/>
        <v>150000</v>
      </c>
      <c r="J2070" s="144">
        <f t="shared" si="59"/>
        <v>150000</v>
      </c>
      <c r="K2070" s="108" t="s">
        <v>6459</v>
      </c>
      <c r="L2070" s="199" t="s">
        <v>7897</v>
      </c>
      <c r="M2070" s="17"/>
      <c r="N2070" s="68"/>
      <c r="O2070" s="64" t="s">
        <v>3007</v>
      </c>
      <c r="P2070" s="147" t="s">
        <v>4672</v>
      </c>
      <c r="Q2070" s="149"/>
      <c r="R2070" s="149"/>
      <c r="S2070" s="149"/>
      <c r="T2070" s="149"/>
      <c r="U2070" s="149"/>
      <c r="V2070" s="149"/>
      <c r="W2070" s="149"/>
      <c r="X2070" s="68"/>
      <c r="Y2070" s="68"/>
      <c r="Z2070" s="68"/>
    </row>
    <row r="2071" ht="15.0" customHeight="1">
      <c r="A2071" s="206">
        <v>46060.0</v>
      </c>
      <c r="B2071" s="201" t="s">
        <v>7898</v>
      </c>
      <c r="C2071" s="45" t="s">
        <v>7899</v>
      </c>
      <c r="D2071" s="140" t="str">
        <f>IFERROR(VLOOKUP(C2071,Stock,3,FALSE),"")</f>
        <v>Kia Sportage 10-15 SL [Tipe ada Spoiler]</v>
      </c>
      <c r="E2071" s="45">
        <v>1.0</v>
      </c>
      <c r="F2071" s="198">
        <v>2770000.0</v>
      </c>
      <c r="G2071" s="142">
        <f t="shared" si="54"/>
        <v>2770000</v>
      </c>
      <c r="H2071" s="142"/>
      <c r="I2071" s="143">
        <f t="shared" si="55"/>
        <v>2770000</v>
      </c>
      <c r="J2071" s="144">
        <f t="shared" si="59"/>
        <v>2770000</v>
      </c>
      <c r="K2071" s="108" t="s">
        <v>7900</v>
      </c>
      <c r="L2071" s="199" t="s">
        <v>7901</v>
      </c>
      <c r="M2071" s="17"/>
      <c r="N2071" s="68"/>
      <c r="O2071" s="64" t="s">
        <v>3007</v>
      </c>
      <c r="P2071" s="147" t="s">
        <v>4672</v>
      </c>
      <c r="Q2071" s="149"/>
      <c r="R2071" s="149"/>
      <c r="S2071" s="149"/>
      <c r="T2071" s="149"/>
      <c r="U2071" s="149"/>
      <c r="V2071" s="149"/>
      <c r="W2071" s="149"/>
      <c r="X2071" s="68"/>
      <c r="Y2071" s="68"/>
      <c r="Z2071" s="68"/>
    </row>
    <row r="2072" ht="15.0" customHeight="1">
      <c r="A2072" s="206">
        <v>46060.0</v>
      </c>
      <c r="B2072" s="201" t="s">
        <v>7898</v>
      </c>
      <c r="C2072" s="45" t="s">
        <v>2770</v>
      </c>
      <c r="D2072" s="140" t="str">
        <f>IFERROR(VLOOKUP(C2072,Stock,3,FALSE),"")</f>
        <v>Transport</v>
      </c>
      <c r="E2072" s="45">
        <v>1.0</v>
      </c>
      <c r="F2072" s="198">
        <v>200000.0</v>
      </c>
      <c r="G2072" s="142">
        <f t="shared" si="54"/>
        <v>200000</v>
      </c>
      <c r="H2072" s="142"/>
      <c r="I2072" s="143">
        <f t="shared" si="55"/>
        <v>200000</v>
      </c>
      <c r="J2072" s="144">
        <f t="shared" si="59"/>
        <v>200000</v>
      </c>
      <c r="K2072" s="108" t="s">
        <v>7900</v>
      </c>
      <c r="L2072" s="199" t="s">
        <v>7901</v>
      </c>
      <c r="M2072" s="17"/>
      <c r="N2072" s="68"/>
      <c r="O2072" s="64" t="s">
        <v>3007</v>
      </c>
      <c r="P2072" s="147" t="s">
        <v>4672</v>
      </c>
      <c r="Q2072" s="149"/>
      <c r="R2072" s="149"/>
      <c r="S2072" s="149"/>
      <c r="T2072" s="149"/>
      <c r="U2072" s="149"/>
      <c r="V2072" s="149"/>
      <c r="W2072" s="149"/>
      <c r="X2072" s="68"/>
      <c r="Y2072" s="68"/>
      <c r="Z2072" s="68"/>
    </row>
    <row r="2073" ht="15.0" customHeight="1">
      <c r="A2073" s="206">
        <v>46060.0</v>
      </c>
      <c r="B2073" s="201" t="s">
        <v>7902</v>
      </c>
      <c r="C2073" s="45" t="s">
        <v>7163</v>
      </c>
      <c r="D2073" s="140" t="str">
        <f>IFERROR(VLOOKUP(C2073,Stock,3,FALSE),"")</f>
        <v>Toyota Innova 15- 2nd Gen</v>
      </c>
      <c r="E2073" s="45">
        <v>1.0</v>
      </c>
      <c r="F2073" s="198">
        <v>1664000.0</v>
      </c>
      <c r="G2073" s="142">
        <f t="shared" si="54"/>
        <v>1664000</v>
      </c>
      <c r="H2073" s="142"/>
      <c r="I2073" s="143">
        <f t="shared" si="55"/>
        <v>1664000</v>
      </c>
      <c r="J2073" s="144">
        <f t="shared" si="59"/>
        <v>1664000</v>
      </c>
      <c r="K2073" s="108" t="s">
        <v>7903</v>
      </c>
      <c r="L2073" s="199" t="s">
        <v>7904</v>
      </c>
      <c r="M2073" s="17"/>
      <c r="N2073" s="64" t="s">
        <v>7905</v>
      </c>
      <c r="O2073" s="64" t="s">
        <v>2813</v>
      </c>
      <c r="P2073" s="147" t="s">
        <v>4672</v>
      </c>
      <c r="Q2073" s="149"/>
      <c r="R2073" s="141"/>
      <c r="S2073" s="141"/>
      <c r="T2073" s="141">
        <v>1664000.0</v>
      </c>
      <c r="U2073" s="149"/>
      <c r="V2073" s="149"/>
      <c r="W2073" s="149"/>
      <c r="X2073" s="68"/>
      <c r="Y2073" s="68"/>
      <c r="Z2073" s="68"/>
    </row>
    <row r="2074" ht="15.0" customHeight="1">
      <c r="A2074" s="206">
        <v>46060.0</v>
      </c>
      <c r="B2074" s="201" t="s">
        <v>7906</v>
      </c>
      <c r="C2074" s="45" t="s">
        <v>3029</v>
      </c>
      <c r="D2074" s="140" t="str">
        <f>IFERROR(VLOOKUP(C2074,Stock,3,FALSE),"")</f>
        <v>Mitsubishi Canter FE700 01- (PS110,125)</v>
      </c>
      <c r="E2074" s="45">
        <v>1.0</v>
      </c>
      <c r="F2074" s="198">
        <v>1044000.0</v>
      </c>
      <c r="G2074" s="142">
        <f t="shared" si="54"/>
        <v>1044000</v>
      </c>
      <c r="H2074" s="142"/>
      <c r="I2074" s="143">
        <f t="shared" si="55"/>
        <v>1044000</v>
      </c>
      <c r="J2074" s="144">
        <f t="shared" si="59"/>
        <v>1044000</v>
      </c>
      <c r="K2074" s="108" t="s">
        <v>7907</v>
      </c>
      <c r="L2074" s="199" t="s">
        <v>7908</v>
      </c>
      <c r="M2074" s="17"/>
      <c r="N2074" s="64" t="s">
        <v>7909</v>
      </c>
      <c r="O2074" s="64" t="s">
        <v>2813</v>
      </c>
      <c r="P2074" s="147" t="s">
        <v>4672</v>
      </c>
      <c r="Q2074" s="149"/>
      <c r="R2074" s="141"/>
      <c r="S2074" s="141"/>
      <c r="T2074" s="141">
        <v>1044000.0</v>
      </c>
      <c r="U2074" s="149"/>
      <c r="V2074" s="149"/>
      <c r="W2074" s="149"/>
      <c r="X2074" s="68"/>
      <c r="Y2074" s="68"/>
      <c r="Z2074" s="68"/>
    </row>
    <row r="2075" ht="15.0" customHeight="1">
      <c r="A2075" s="206">
        <v>46060.0</v>
      </c>
      <c r="B2075" s="201" t="s">
        <v>7910</v>
      </c>
      <c r="C2075" s="45" t="s">
        <v>3078</v>
      </c>
      <c r="D2075" s="140" t="str">
        <f>IFERROR(VLOOKUP(C2075,Stock,3,FALSE),"")</f>
        <v>Suzuki Ertiga 12-18 1st Gen MPV</v>
      </c>
      <c r="E2075" s="45">
        <v>1.0</v>
      </c>
      <c r="F2075" s="198">
        <v>850000.0</v>
      </c>
      <c r="G2075" s="142">
        <f t="shared" si="54"/>
        <v>850000</v>
      </c>
      <c r="H2075" s="142"/>
      <c r="I2075" s="143">
        <f t="shared" si="55"/>
        <v>850000</v>
      </c>
      <c r="J2075" s="144">
        <f t="shared" si="59"/>
        <v>850000</v>
      </c>
      <c r="K2075" s="108" t="s">
        <v>6198</v>
      </c>
      <c r="L2075" s="45" t="s">
        <v>7911</v>
      </c>
      <c r="M2075" s="17"/>
      <c r="N2075" s="64" t="s">
        <v>7912</v>
      </c>
      <c r="O2075" s="64" t="s">
        <v>2813</v>
      </c>
      <c r="P2075" s="147" t="s">
        <v>4672</v>
      </c>
      <c r="Q2075" s="149"/>
      <c r="R2075" s="149"/>
      <c r="S2075" s="149"/>
      <c r="T2075" s="149"/>
      <c r="U2075" s="149"/>
      <c r="V2075" s="149"/>
      <c r="W2075" s="149"/>
      <c r="X2075" s="68"/>
      <c r="Y2075" s="68"/>
      <c r="Z2075" s="68"/>
    </row>
    <row r="2076" ht="15.0" customHeight="1">
      <c r="A2076" s="206">
        <v>46060.0</v>
      </c>
      <c r="B2076" s="201" t="s">
        <v>7910</v>
      </c>
      <c r="C2076" s="45" t="s">
        <v>5254</v>
      </c>
      <c r="D2076" s="140" t="str">
        <f>IFERROR(VLOOKUP(C2076,Stock,3,FALSE),"")</f>
        <v>Automotive Film Standard - Black 40%				</v>
      </c>
      <c r="E2076" s="45">
        <v>1.0</v>
      </c>
      <c r="F2076" s="198">
        <v>250000.0</v>
      </c>
      <c r="G2076" s="142">
        <f t="shared" si="54"/>
        <v>250000</v>
      </c>
      <c r="H2076" s="142"/>
      <c r="I2076" s="143">
        <f t="shared" si="55"/>
        <v>250000</v>
      </c>
      <c r="J2076" s="144">
        <f t="shared" si="59"/>
        <v>250000</v>
      </c>
      <c r="K2076" s="108" t="s">
        <v>6198</v>
      </c>
      <c r="L2076" s="45" t="s">
        <v>7911</v>
      </c>
      <c r="M2076" s="17"/>
      <c r="N2076" s="64" t="s">
        <v>7912</v>
      </c>
      <c r="O2076" s="64" t="s">
        <v>2813</v>
      </c>
      <c r="P2076" s="147" t="s">
        <v>4672</v>
      </c>
      <c r="Q2076" s="149"/>
      <c r="R2076" s="149"/>
      <c r="S2076" s="149"/>
      <c r="T2076" s="149"/>
      <c r="U2076" s="149"/>
      <c r="V2076" s="149"/>
      <c r="W2076" s="149"/>
      <c r="X2076" s="68"/>
      <c r="Y2076" s="68"/>
      <c r="Z2076" s="68"/>
    </row>
    <row r="2077" ht="15.0" customHeight="1">
      <c r="A2077" s="206">
        <v>46060.0</v>
      </c>
      <c r="B2077" s="201" t="s">
        <v>7913</v>
      </c>
      <c r="C2077" s="45" t="s">
        <v>3048</v>
      </c>
      <c r="D2077" s="140" t="str">
        <f>IFERROR(VLOOKUP(C2077,Stock,3,FALSE),"")</f>
        <v>Biaya Pengecekan</v>
      </c>
      <c r="E2077" s="45">
        <v>1.0</v>
      </c>
      <c r="F2077" s="198">
        <v>300000.0</v>
      </c>
      <c r="G2077" s="142">
        <f t="shared" si="54"/>
        <v>300000</v>
      </c>
      <c r="H2077" s="142"/>
      <c r="I2077" s="143">
        <f t="shared" si="55"/>
        <v>300000</v>
      </c>
      <c r="J2077" s="144">
        <f t="shared" si="59"/>
        <v>300000</v>
      </c>
      <c r="K2077" s="108" t="s">
        <v>7647</v>
      </c>
      <c r="L2077" s="199" t="s">
        <v>7914</v>
      </c>
      <c r="M2077" s="17"/>
      <c r="N2077" s="64" t="s">
        <v>7915</v>
      </c>
      <c r="O2077" s="64" t="s">
        <v>2942</v>
      </c>
      <c r="P2077" s="147" t="s">
        <v>4672</v>
      </c>
      <c r="Q2077" s="149"/>
      <c r="R2077" s="149"/>
      <c r="S2077" s="149"/>
      <c r="T2077" s="149"/>
      <c r="U2077" s="149"/>
      <c r="V2077" s="149"/>
      <c r="W2077" s="149"/>
      <c r="X2077" s="68"/>
      <c r="Y2077" s="68"/>
      <c r="Z2077" s="68"/>
    </row>
    <row r="2078" ht="15.0" customHeight="1">
      <c r="A2078" s="206">
        <v>46060.0</v>
      </c>
      <c r="B2078" s="201" t="s">
        <v>7913</v>
      </c>
      <c r="C2078" s="45" t="s">
        <v>2962</v>
      </c>
      <c r="D2078" s="140" t="str">
        <f>IFERROR(VLOOKUP(C2078,Stock,3,FALSE),"")</f>
        <v>Lembur</v>
      </c>
      <c r="E2078" s="45">
        <v>1.0</v>
      </c>
      <c r="F2078" s="198">
        <v>100000.0</v>
      </c>
      <c r="G2078" s="142">
        <f t="shared" si="54"/>
        <v>100000</v>
      </c>
      <c r="H2078" s="142"/>
      <c r="I2078" s="143">
        <f t="shared" si="55"/>
        <v>100000</v>
      </c>
      <c r="J2078" s="144">
        <f t="shared" si="59"/>
        <v>100000</v>
      </c>
      <c r="K2078" s="108" t="s">
        <v>7647</v>
      </c>
      <c r="L2078" s="199" t="s">
        <v>7914</v>
      </c>
      <c r="M2078" s="17"/>
      <c r="N2078" s="64" t="s">
        <v>7915</v>
      </c>
      <c r="O2078" s="64" t="s">
        <v>2942</v>
      </c>
      <c r="P2078" s="147" t="s">
        <v>4672</v>
      </c>
      <c r="Q2078" s="149"/>
      <c r="R2078" s="149"/>
      <c r="S2078" s="149"/>
      <c r="T2078" s="149"/>
      <c r="U2078" s="149"/>
      <c r="V2078" s="149"/>
      <c r="W2078" s="149"/>
      <c r="X2078" s="68"/>
      <c r="Y2078" s="68"/>
      <c r="Z2078" s="68"/>
    </row>
    <row r="2079" ht="15.0" customHeight="1">
      <c r="A2079" s="206">
        <v>46060.0</v>
      </c>
      <c r="B2079" s="201" t="s">
        <v>7916</v>
      </c>
      <c r="C2079" s="45" t="s">
        <v>4970</v>
      </c>
      <c r="D2079" s="140" t="str">
        <f>IFERROR(VLOOKUP(C2079,Stock,3,FALSE),"")</f>
        <v>Chevrolet TrailBlazer 13- / Isuzu MUX</v>
      </c>
      <c r="E2079" s="45">
        <v>1.0</v>
      </c>
      <c r="F2079" s="198">
        <v>2228000.0</v>
      </c>
      <c r="G2079" s="142">
        <f t="shared" si="54"/>
        <v>2228000</v>
      </c>
      <c r="H2079" s="142"/>
      <c r="I2079" s="143">
        <f t="shared" si="55"/>
        <v>2228000</v>
      </c>
      <c r="J2079" s="144">
        <f t="shared" si="59"/>
        <v>2228000</v>
      </c>
      <c r="K2079" s="108" t="s">
        <v>7749</v>
      </c>
      <c r="L2079" s="199" t="s">
        <v>7917</v>
      </c>
      <c r="M2079" s="17"/>
      <c r="N2079" s="64" t="s">
        <v>7918</v>
      </c>
      <c r="O2079" s="64" t="s">
        <v>2813</v>
      </c>
      <c r="P2079" s="147" t="s">
        <v>4672</v>
      </c>
      <c r="Q2079" s="149"/>
      <c r="R2079" s="149"/>
      <c r="S2079" s="149"/>
      <c r="T2079" s="149"/>
      <c r="U2079" s="149"/>
      <c r="V2079" s="149"/>
      <c r="W2079" s="149"/>
      <c r="X2079" s="68"/>
      <c r="Y2079" s="68"/>
      <c r="Z2079" s="68"/>
    </row>
    <row r="2080" ht="15.0" customHeight="1">
      <c r="A2080" s="206">
        <v>46060.0</v>
      </c>
      <c r="B2080" s="201" t="s">
        <v>7916</v>
      </c>
      <c r="C2080" s="45" t="s">
        <v>7011</v>
      </c>
      <c r="D2080" s="140" t="str">
        <f>IFERROR(VLOOKUP(C2080,Stock,3,FALSE),"")</f>
        <v>Automotive Film Standard - Black 40%				</v>
      </c>
      <c r="E2080" s="45">
        <v>1.0</v>
      </c>
      <c r="F2080" s="198">
        <v>350000.0</v>
      </c>
      <c r="G2080" s="142">
        <f t="shared" si="54"/>
        <v>350000</v>
      </c>
      <c r="H2080" s="142"/>
      <c r="I2080" s="143">
        <f t="shared" si="55"/>
        <v>350000</v>
      </c>
      <c r="J2080" s="144">
        <f t="shared" si="59"/>
        <v>350000</v>
      </c>
      <c r="K2080" s="108" t="s">
        <v>7749</v>
      </c>
      <c r="L2080" s="199" t="s">
        <v>7917</v>
      </c>
      <c r="M2080" s="17"/>
      <c r="N2080" s="64" t="s">
        <v>7918</v>
      </c>
      <c r="O2080" s="64" t="s">
        <v>2813</v>
      </c>
      <c r="P2080" s="147" t="s">
        <v>4672</v>
      </c>
      <c r="Q2080" s="149"/>
      <c r="R2080" s="149"/>
      <c r="S2080" s="149"/>
      <c r="T2080" s="149"/>
      <c r="U2080" s="149"/>
      <c r="V2080" s="149"/>
      <c r="W2080" s="149"/>
      <c r="X2080" s="68"/>
      <c r="Y2080" s="68"/>
      <c r="Z2080" s="68"/>
    </row>
    <row r="2081" ht="15.0" customHeight="1">
      <c r="A2081" s="206">
        <v>46062.0</v>
      </c>
      <c r="B2081" s="201" t="s">
        <v>7919</v>
      </c>
      <c r="C2081" s="45" t="s">
        <v>7149</v>
      </c>
      <c r="D2081" s="140" t="str">
        <f>IFERROR(VLOOKUP(C2081,Stock,3,FALSE),"")</f>
        <v>Toyota Dyna/Hino Dutro 00-</v>
      </c>
      <c r="E2081" s="45">
        <v>1.0</v>
      </c>
      <c r="F2081" s="198">
        <v>1300000.0</v>
      </c>
      <c r="G2081" s="142">
        <f t="shared" si="54"/>
        <v>1300000</v>
      </c>
      <c r="H2081" s="142"/>
      <c r="I2081" s="143">
        <f t="shared" si="55"/>
        <v>1300000</v>
      </c>
      <c r="J2081" s="144">
        <f t="shared" si="59"/>
        <v>1300000</v>
      </c>
      <c r="K2081" s="108" t="s">
        <v>7920</v>
      </c>
      <c r="L2081" s="199" t="s">
        <v>7921</v>
      </c>
      <c r="M2081" s="17"/>
      <c r="N2081" s="64" t="s">
        <v>7922</v>
      </c>
      <c r="O2081" s="68"/>
      <c r="P2081" s="170"/>
      <c r="Q2081" s="149"/>
      <c r="R2081" s="141"/>
      <c r="S2081" s="141"/>
      <c r="T2081" s="141" t="s">
        <v>7923</v>
      </c>
      <c r="U2081" s="149"/>
      <c r="V2081" s="149"/>
      <c r="W2081" s="149"/>
      <c r="X2081" s="68"/>
      <c r="Y2081" s="68"/>
      <c r="Z2081" s="68"/>
    </row>
    <row r="2082" ht="15.0" customHeight="1">
      <c r="A2082" s="206">
        <v>46062.0</v>
      </c>
      <c r="B2082" s="201" t="s">
        <v>7924</v>
      </c>
      <c r="C2082" s="45" t="s">
        <v>7476</v>
      </c>
      <c r="D2082" s="140" t="str">
        <f>IFERROR(VLOOKUP(C2082,Stock,3,FALSE),"")</f>
        <v>Suzuki APV 03- Pickup/ Van (MULIA)</v>
      </c>
      <c r="E2082" s="45">
        <v>1.0</v>
      </c>
      <c r="F2082" s="198">
        <v>1250000.0</v>
      </c>
      <c r="G2082" s="142">
        <f t="shared" si="54"/>
        <v>1250000</v>
      </c>
      <c r="H2082" s="142"/>
      <c r="I2082" s="143">
        <f t="shared" si="55"/>
        <v>1250000</v>
      </c>
      <c r="J2082" s="144">
        <f t="shared" si="59"/>
        <v>1250000</v>
      </c>
      <c r="K2082" s="108" t="s">
        <v>7925</v>
      </c>
      <c r="L2082" s="199" t="s">
        <v>7926</v>
      </c>
      <c r="M2082" s="17"/>
      <c r="N2082" s="64" t="s">
        <v>7927</v>
      </c>
      <c r="O2082" s="64" t="s">
        <v>3341</v>
      </c>
      <c r="P2082" s="147" t="s">
        <v>4672</v>
      </c>
      <c r="Q2082" s="149"/>
      <c r="R2082" s="141"/>
      <c r="S2082" s="141"/>
      <c r="T2082" s="141">
        <v>100000.0</v>
      </c>
      <c r="U2082" s="149"/>
      <c r="V2082" s="149"/>
      <c r="W2082" s="149"/>
      <c r="X2082" s="68"/>
      <c r="Y2082" s="68"/>
      <c r="Z2082" s="68"/>
    </row>
    <row r="2083" ht="15.0" customHeight="1">
      <c r="A2083" s="206">
        <v>46062.0</v>
      </c>
      <c r="B2083" s="201" t="s">
        <v>7924</v>
      </c>
      <c r="C2083" s="45" t="s">
        <v>2770</v>
      </c>
      <c r="D2083" s="140" t="str">
        <f>IFERROR(VLOOKUP(C2083,Stock,3,FALSE),"")</f>
        <v>Transport</v>
      </c>
      <c r="E2083" s="45">
        <v>1.0</v>
      </c>
      <c r="F2083" s="198">
        <v>170000.0</v>
      </c>
      <c r="G2083" s="142">
        <f t="shared" si="54"/>
        <v>170000</v>
      </c>
      <c r="H2083" s="142"/>
      <c r="I2083" s="143">
        <f t="shared" si="55"/>
        <v>170000</v>
      </c>
      <c r="J2083" s="144">
        <f t="shared" si="59"/>
        <v>170000</v>
      </c>
      <c r="K2083" s="108" t="s">
        <v>7925</v>
      </c>
      <c r="L2083" s="199" t="s">
        <v>7926</v>
      </c>
      <c r="M2083" s="17"/>
      <c r="N2083" s="64" t="s">
        <v>7927</v>
      </c>
      <c r="O2083" s="64" t="s">
        <v>3341</v>
      </c>
      <c r="P2083" s="147" t="s">
        <v>4672</v>
      </c>
      <c r="Q2083" s="141">
        <v>1320000.0</v>
      </c>
      <c r="R2083" s="149"/>
      <c r="S2083" s="149"/>
      <c r="T2083" s="149"/>
      <c r="U2083" s="149"/>
      <c r="V2083" s="149"/>
      <c r="W2083" s="149"/>
      <c r="X2083" s="68"/>
      <c r="Y2083" s="68"/>
      <c r="Z2083" s="68"/>
    </row>
    <row r="2084" ht="15.0" customHeight="1">
      <c r="A2084" s="206">
        <v>46062.0</v>
      </c>
      <c r="B2084" s="201" t="s">
        <v>7928</v>
      </c>
      <c r="C2084" s="45" t="s">
        <v>3246</v>
      </c>
      <c r="D2084" s="140" t="str">
        <f>IFERROR(VLOOKUP(C2084,Stock,3,FALSE),"")</f>
        <v>Toyota Calya / Sigra 16-</v>
      </c>
      <c r="E2084" s="45">
        <v>1.0</v>
      </c>
      <c r="F2084" s="198">
        <v>1200000.0</v>
      </c>
      <c r="G2084" s="142">
        <f t="shared" si="54"/>
        <v>1200000</v>
      </c>
      <c r="H2084" s="142"/>
      <c r="I2084" s="143">
        <f t="shared" si="55"/>
        <v>1200000</v>
      </c>
      <c r="J2084" s="144">
        <f t="shared" si="59"/>
        <v>1200000</v>
      </c>
      <c r="K2084" s="108" t="s">
        <v>7929</v>
      </c>
      <c r="L2084" s="199" t="s">
        <v>7930</v>
      </c>
      <c r="M2084" s="17"/>
      <c r="N2084" s="64" t="s">
        <v>7931</v>
      </c>
      <c r="O2084" s="68"/>
      <c r="P2084" s="170"/>
      <c r="Q2084" s="149"/>
      <c r="R2084" s="141"/>
      <c r="S2084" s="141"/>
      <c r="T2084" s="141">
        <v>100000.0</v>
      </c>
      <c r="U2084" s="149"/>
      <c r="V2084" s="149"/>
      <c r="W2084" s="149"/>
      <c r="X2084" s="68"/>
      <c r="Y2084" s="68"/>
      <c r="Z2084" s="68"/>
    </row>
    <row r="2085" ht="15.0" customHeight="1">
      <c r="A2085" s="206">
        <v>46062.0</v>
      </c>
      <c r="B2085" s="201" t="s">
        <v>7928</v>
      </c>
      <c r="C2085" s="45" t="s">
        <v>2770</v>
      </c>
      <c r="D2085" s="140" t="str">
        <f>IFERROR(VLOOKUP(C2085,Stock,3,FALSE),"")</f>
        <v>Transport</v>
      </c>
      <c r="E2085" s="45">
        <v>1.0</v>
      </c>
      <c r="F2085" s="198">
        <v>150000.0</v>
      </c>
      <c r="G2085" s="142">
        <f t="shared" si="54"/>
        <v>150000</v>
      </c>
      <c r="H2085" s="142"/>
      <c r="I2085" s="143">
        <f t="shared" si="55"/>
        <v>150000</v>
      </c>
      <c r="J2085" s="144">
        <f t="shared" si="59"/>
        <v>150000</v>
      </c>
      <c r="K2085" s="108" t="s">
        <v>7929</v>
      </c>
      <c r="L2085" s="199" t="s">
        <v>7930</v>
      </c>
      <c r="M2085" s="17"/>
      <c r="N2085" s="64" t="s">
        <v>7931</v>
      </c>
      <c r="O2085" s="68"/>
      <c r="P2085" s="170"/>
      <c r="Q2085" s="149"/>
      <c r="R2085" s="149"/>
      <c r="S2085" s="149"/>
      <c r="T2085" s="149"/>
      <c r="U2085" s="149"/>
      <c r="V2085" s="149"/>
      <c r="W2085" s="149"/>
      <c r="X2085" s="68"/>
      <c r="Y2085" s="68"/>
      <c r="Z2085" s="68"/>
    </row>
    <row r="2086" ht="15.0" customHeight="1">
      <c r="A2086" s="206">
        <v>46062.0</v>
      </c>
      <c r="B2086" s="201" t="s">
        <v>7932</v>
      </c>
      <c r="C2086" s="45" t="s">
        <v>7933</v>
      </c>
      <c r="D2086" s="140" t="str">
        <f>IFERROR(VLOOKUP(C2086,Stock,3,FALSE),"")</f>
        <v>Toyota Fortuner 05-15 1st Gen / Hilux Pickup 05-15 (Toyota)</v>
      </c>
      <c r="E2086" s="45">
        <v>1.0</v>
      </c>
      <c r="F2086" s="198">
        <v>2998000.0</v>
      </c>
      <c r="G2086" s="142">
        <f t="shared" si="54"/>
        <v>2998000</v>
      </c>
      <c r="H2086" s="142"/>
      <c r="I2086" s="143">
        <f t="shared" si="55"/>
        <v>2998000</v>
      </c>
      <c r="J2086" s="144">
        <f t="shared" si="59"/>
        <v>2998000</v>
      </c>
      <c r="K2086" s="108" t="s">
        <v>7934</v>
      </c>
      <c r="L2086" s="199" t="s">
        <v>7935</v>
      </c>
      <c r="M2086" s="17"/>
      <c r="N2086" s="68"/>
      <c r="O2086" s="68"/>
      <c r="P2086" s="170"/>
      <c r="Q2086" s="149"/>
      <c r="R2086" s="141"/>
      <c r="S2086" s="141"/>
      <c r="T2086" s="141">
        <v>200000.0</v>
      </c>
      <c r="U2086" s="149"/>
      <c r="V2086" s="149"/>
      <c r="W2086" s="149"/>
      <c r="X2086" s="68"/>
      <c r="Y2086" s="68"/>
      <c r="Z2086" s="68"/>
    </row>
    <row r="2087" ht="15.0" customHeight="1">
      <c r="A2087" s="206">
        <v>46062.0</v>
      </c>
      <c r="B2087" s="201" t="s">
        <v>7932</v>
      </c>
      <c r="C2087" s="45" t="s">
        <v>7011</v>
      </c>
      <c r="D2087" s="140" t="str">
        <f>IFERROR(VLOOKUP(C2087,Stock,3,FALSE),"")</f>
        <v>Automotive Film Standard - Black 40%				</v>
      </c>
      <c r="E2087" s="45">
        <v>1.0</v>
      </c>
      <c r="F2087" s="198">
        <v>350000.0</v>
      </c>
      <c r="G2087" s="142">
        <f t="shared" si="54"/>
        <v>350000</v>
      </c>
      <c r="H2087" s="142"/>
      <c r="I2087" s="143">
        <f t="shared" si="55"/>
        <v>350000</v>
      </c>
      <c r="J2087" s="144">
        <f t="shared" si="59"/>
        <v>350000</v>
      </c>
      <c r="K2087" s="108" t="s">
        <v>7934</v>
      </c>
      <c r="L2087" s="199" t="s">
        <v>7935</v>
      </c>
      <c r="M2087" s="17"/>
      <c r="N2087" s="68"/>
      <c r="O2087" s="68"/>
      <c r="P2087" s="170"/>
      <c r="Q2087" s="149"/>
      <c r="R2087" s="149"/>
      <c r="S2087" s="149"/>
      <c r="T2087" s="149"/>
      <c r="U2087" s="149"/>
      <c r="V2087" s="149"/>
      <c r="W2087" s="149"/>
      <c r="X2087" s="68"/>
      <c r="Y2087" s="68"/>
      <c r="Z2087" s="68"/>
    </row>
    <row r="2088" ht="15.0" customHeight="1">
      <c r="A2088" s="206">
        <v>46062.0</v>
      </c>
      <c r="B2088" s="201" t="s">
        <v>7932</v>
      </c>
      <c r="C2088" s="45" t="s">
        <v>2770</v>
      </c>
      <c r="D2088" s="140" t="str">
        <f>IFERROR(VLOOKUP(C2088,Stock,3,FALSE),"")</f>
        <v>Transport</v>
      </c>
      <c r="E2088" s="45">
        <v>1.0</v>
      </c>
      <c r="F2088" s="198">
        <v>200000.0</v>
      </c>
      <c r="G2088" s="142">
        <f t="shared" si="54"/>
        <v>200000</v>
      </c>
      <c r="H2088" s="142"/>
      <c r="I2088" s="143">
        <f t="shared" si="55"/>
        <v>200000</v>
      </c>
      <c r="J2088" s="144">
        <f t="shared" si="59"/>
        <v>200000</v>
      </c>
      <c r="K2088" s="108" t="s">
        <v>7934</v>
      </c>
      <c r="L2088" s="199" t="s">
        <v>7935</v>
      </c>
      <c r="M2088" s="17"/>
      <c r="N2088" s="68"/>
      <c r="O2088" s="68"/>
      <c r="P2088" s="170"/>
      <c r="Q2088" s="149"/>
      <c r="R2088" s="149"/>
      <c r="S2088" s="149"/>
      <c r="T2088" s="149"/>
      <c r="U2088" s="149"/>
      <c r="V2088" s="149"/>
      <c r="W2088" s="149"/>
      <c r="X2088" s="68"/>
      <c r="Y2088" s="68"/>
      <c r="Z2088" s="68"/>
    </row>
    <row r="2089" ht="15.0" customHeight="1">
      <c r="A2089" s="206">
        <v>46062.0</v>
      </c>
      <c r="B2089" s="201" t="s">
        <v>7932</v>
      </c>
      <c r="C2089" s="45" t="s">
        <v>2962</v>
      </c>
      <c r="D2089" s="140" t="str">
        <f>IFERROR(VLOOKUP(C2089,Stock,3,FALSE),"")</f>
        <v>Lembur</v>
      </c>
      <c r="E2089" s="45">
        <v>1.0</v>
      </c>
      <c r="F2089" s="198">
        <v>150000.0</v>
      </c>
      <c r="G2089" s="142">
        <f t="shared" si="54"/>
        <v>150000</v>
      </c>
      <c r="H2089" s="142"/>
      <c r="I2089" s="143">
        <f t="shared" si="55"/>
        <v>150000</v>
      </c>
      <c r="J2089" s="144">
        <f t="shared" si="59"/>
        <v>150000</v>
      </c>
      <c r="K2089" s="108" t="s">
        <v>7934</v>
      </c>
      <c r="L2089" s="199" t="s">
        <v>7935</v>
      </c>
      <c r="M2089" s="17"/>
      <c r="N2089" s="68"/>
      <c r="O2089" s="68"/>
      <c r="P2089" s="170"/>
      <c r="Q2089" s="149"/>
      <c r="R2089" s="149"/>
      <c r="S2089" s="149"/>
      <c r="T2089" s="149"/>
      <c r="U2089" s="149"/>
      <c r="V2089" s="149"/>
      <c r="W2089" s="149"/>
      <c r="X2089" s="68"/>
      <c r="Y2089" s="68"/>
      <c r="Z2089" s="68"/>
    </row>
    <row r="2090" ht="15.0" customHeight="1">
      <c r="A2090" s="206">
        <v>46062.0</v>
      </c>
      <c r="B2090" s="201" t="s">
        <v>7932</v>
      </c>
      <c r="C2090" s="45" t="s">
        <v>3434</v>
      </c>
      <c r="D2090" s="140" t="str">
        <f>IFERROR(VLOOKUP(C2090,Stock,3,FALSE),"")</f>
        <v>List Kaca Depan Code 04</v>
      </c>
      <c r="E2090" s="45">
        <v>1.0</v>
      </c>
      <c r="F2090" s="198">
        <v>315000.0</v>
      </c>
      <c r="G2090" s="142">
        <f t="shared" si="54"/>
        <v>315000</v>
      </c>
      <c r="H2090" s="142"/>
      <c r="I2090" s="143">
        <f t="shared" si="55"/>
        <v>315000</v>
      </c>
      <c r="J2090" s="144">
        <f t="shared" si="59"/>
        <v>315000</v>
      </c>
      <c r="K2090" s="108" t="s">
        <v>7934</v>
      </c>
      <c r="L2090" s="199" t="s">
        <v>7935</v>
      </c>
      <c r="M2090" s="17"/>
      <c r="N2090" s="68"/>
      <c r="O2090" s="68"/>
      <c r="P2090" s="170"/>
      <c r="Q2090" s="149"/>
      <c r="R2090" s="149"/>
      <c r="S2090" s="149"/>
      <c r="T2090" s="149"/>
      <c r="U2090" s="149"/>
      <c r="V2090" s="149"/>
      <c r="W2090" s="149"/>
      <c r="X2090" s="68"/>
      <c r="Y2090" s="68"/>
      <c r="Z2090" s="68"/>
    </row>
    <row r="2091" ht="15.0" customHeight="1">
      <c r="A2091" s="206">
        <v>46062.0</v>
      </c>
      <c r="B2091" s="201" t="s">
        <v>7936</v>
      </c>
      <c r="C2091" s="45" t="s">
        <v>6654</v>
      </c>
      <c r="D2091" s="140" t="str">
        <f>IFERROR(VLOOKUP(C2091,Stock,3,FALSE),"")</f>
        <v>Honda CR-V 12-16  4th Gen (Honda)</v>
      </c>
      <c r="E2091" s="45">
        <v>1.0</v>
      </c>
      <c r="F2091" s="202"/>
      <c r="G2091" s="142">
        <f t="shared" si="54"/>
        <v>0</v>
      </c>
      <c r="H2091" s="142"/>
      <c r="I2091" s="143">
        <f t="shared" si="55"/>
        <v>0</v>
      </c>
      <c r="J2091" s="144">
        <f t="shared" si="59"/>
        <v>0</v>
      </c>
      <c r="K2091" s="108" t="s">
        <v>4509</v>
      </c>
      <c r="L2091" s="17"/>
      <c r="M2091" s="17"/>
      <c r="N2091" s="68"/>
      <c r="O2091" s="68"/>
      <c r="P2091" s="170"/>
      <c r="Q2091" s="149"/>
      <c r="R2091" s="149"/>
      <c r="S2091" s="149"/>
      <c r="T2091" s="149"/>
      <c r="U2091" s="149"/>
      <c r="V2091" s="149"/>
      <c r="W2091" s="149"/>
      <c r="X2091" s="68"/>
      <c r="Y2091" s="68"/>
      <c r="Z2091" s="68"/>
    </row>
    <row r="2092" ht="15.0" customHeight="1">
      <c r="A2092" s="206">
        <v>46062.0</v>
      </c>
      <c r="B2092" s="201" t="s">
        <v>7936</v>
      </c>
      <c r="C2092" s="45" t="s">
        <v>4439</v>
      </c>
      <c r="D2092" s="140" t="str">
        <f>IFERROR(VLOOKUP(C2092,Stock,3,FALSE),"")</f>
        <v>Toyota Innova 04-15 1st Gen (Toyota)</v>
      </c>
      <c r="E2092" s="45">
        <v>1.0</v>
      </c>
      <c r="F2092" s="202"/>
      <c r="G2092" s="142">
        <f t="shared" si="54"/>
        <v>0</v>
      </c>
      <c r="H2092" s="142"/>
      <c r="I2092" s="143">
        <f t="shared" si="55"/>
        <v>0</v>
      </c>
      <c r="J2092" s="144">
        <f t="shared" si="59"/>
        <v>0</v>
      </c>
      <c r="K2092" s="108" t="s">
        <v>4509</v>
      </c>
      <c r="L2092" s="17"/>
      <c r="M2092" s="17"/>
      <c r="N2092" s="68"/>
      <c r="O2092" s="68"/>
      <c r="P2092" s="170"/>
      <c r="Q2092" s="149"/>
      <c r="R2092" s="149"/>
      <c r="S2092" s="149"/>
      <c r="T2092" s="149"/>
      <c r="U2092" s="149"/>
      <c r="V2092" s="149"/>
      <c r="W2092" s="149"/>
      <c r="X2092" s="68"/>
      <c r="Y2092" s="68"/>
      <c r="Z2092" s="68"/>
    </row>
    <row r="2093" ht="15.0" customHeight="1">
      <c r="A2093" s="206">
        <v>46062.0</v>
      </c>
      <c r="B2093" s="201" t="s">
        <v>7936</v>
      </c>
      <c r="C2093" s="45" t="s">
        <v>4176</v>
      </c>
      <c r="D2093" s="140" t="str">
        <f>IFERROR(VLOOKUP(C2093,Stock,3,FALSE),"")</f>
        <v>Honda HR-V 22- 5D SUV (Honda)</v>
      </c>
      <c r="E2093" s="45">
        <v>1.0</v>
      </c>
      <c r="F2093" s="202"/>
      <c r="G2093" s="142">
        <f t="shared" si="54"/>
        <v>0</v>
      </c>
      <c r="H2093" s="142"/>
      <c r="I2093" s="143">
        <f t="shared" si="55"/>
        <v>0</v>
      </c>
      <c r="J2093" s="144">
        <f t="shared" si="59"/>
        <v>0</v>
      </c>
      <c r="K2093" s="108" t="s">
        <v>4509</v>
      </c>
      <c r="L2093" s="17"/>
      <c r="M2093" s="17"/>
      <c r="N2093" s="68"/>
      <c r="O2093" s="68"/>
      <c r="P2093" s="170"/>
      <c r="Q2093" s="149"/>
      <c r="R2093" s="149"/>
      <c r="S2093" s="149"/>
      <c r="T2093" s="149"/>
      <c r="U2093" s="149"/>
      <c r="V2093" s="149"/>
      <c r="W2093" s="149"/>
      <c r="X2093" s="68"/>
      <c r="Y2093" s="68"/>
      <c r="Z2093" s="68"/>
    </row>
    <row r="2094" ht="15.0" customHeight="1">
      <c r="A2094" s="206">
        <v>46063.0</v>
      </c>
      <c r="B2094" s="201" t="s">
        <v>7937</v>
      </c>
      <c r="C2094" s="45" t="s">
        <v>3234</v>
      </c>
      <c r="D2094" s="140" t="str">
        <f>IFERROR(VLOOKUP(C2094,Stock,3,FALSE),"")</f>
        <v>Toyota Avanza / Xenia 21- 4th Gen (Non sensor)</v>
      </c>
      <c r="E2094" s="45">
        <v>1.0</v>
      </c>
      <c r="F2094" s="198">
        <v>1490000.0</v>
      </c>
      <c r="G2094" s="142">
        <f t="shared" si="54"/>
        <v>1490000</v>
      </c>
      <c r="H2094" s="142"/>
      <c r="I2094" s="143">
        <f t="shared" si="55"/>
        <v>1490000</v>
      </c>
      <c r="J2094" s="144">
        <f t="shared" si="59"/>
        <v>1490000</v>
      </c>
      <c r="K2094" s="108" t="s">
        <v>7396</v>
      </c>
      <c r="L2094" s="199" t="s">
        <v>7938</v>
      </c>
      <c r="M2094" s="17"/>
      <c r="N2094" s="68"/>
      <c r="O2094" s="68"/>
      <c r="P2094" s="170"/>
      <c r="Q2094" s="149"/>
      <c r="R2094" s="149"/>
      <c r="S2094" s="149"/>
      <c r="T2094" s="149"/>
      <c r="U2094" s="149"/>
      <c r="V2094" s="149"/>
      <c r="W2094" s="149"/>
      <c r="X2094" s="68"/>
      <c r="Y2094" s="68"/>
      <c r="Z2094" s="68"/>
    </row>
    <row r="2095" ht="15.0" customHeight="1">
      <c r="A2095" s="206">
        <v>46063.0</v>
      </c>
      <c r="B2095" s="201" t="s">
        <v>7939</v>
      </c>
      <c r="C2095" s="45" t="s">
        <v>7940</v>
      </c>
      <c r="D2095" s="140" t="str">
        <f>IFERROR(VLOOKUP(C2095,Stock,3,FALSE),"")</f>
        <v>Isuzu Giga Short (PS190,225) FVR33 (Lebar 195cm)</v>
      </c>
      <c r="E2095" s="45">
        <v>1.0</v>
      </c>
      <c r="F2095" s="198">
        <v>2198000.0</v>
      </c>
      <c r="G2095" s="142">
        <f t="shared" si="54"/>
        <v>2198000</v>
      </c>
      <c r="H2095" s="142"/>
      <c r="I2095" s="143">
        <f t="shared" si="55"/>
        <v>2198000</v>
      </c>
      <c r="J2095" s="144">
        <f t="shared" si="59"/>
        <v>2198000</v>
      </c>
      <c r="K2095" s="108" t="s">
        <v>7941</v>
      </c>
      <c r="L2095" s="45"/>
      <c r="M2095" s="17"/>
      <c r="N2095" s="64" t="s">
        <v>7942</v>
      </c>
      <c r="O2095" s="68"/>
      <c r="P2095" s="170"/>
      <c r="Q2095" s="149"/>
      <c r="R2095" s="149"/>
      <c r="S2095" s="149"/>
      <c r="T2095" s="149"/>
      <c r="U2095" s="149"/>
      <c r="V2095" s="149"/>
      <c r="W2095" s="149"/>
      <c r="X2095" s="68"/>
      <c r="Y2095" s="68"/>
      <c r="Z2095" s="68"/>
    </row>
    <row r="2096" ht="15.0" customHeight="1">
      <c r="A2096" s="206">
        <v>46063.0</v>
      </c>
      <c r="B2096" s="398" t="s">
        <v>7943</v>
      </c>
      <c r="C2096" s="45" t="s">
        <v>7944</v>
      </c>
      <c r="D2096" s="140" t="str">
        <f>IFERROR(VLOOKUP(C2096,Stock,3,FALSE),"")</f>
        <v>Toyota Land Cruiser GDJ76 - List Windshield</v>
      </c>
      <c r="E2096" s="45">
        <v>1.0</v>
      </c>
      <c r="F2096" s="198">
        <v>2450000.0</v>
      </c>
      <c r="G2096" s="142">
        <f t="shared" si="54"/>
        <v>2450000</v>
      </c>
      <c r="H2096" s="142"/>
      <c r="I2096" s="143">
        <f t="shared" si="55"/>
        <v>2450000</v>
      </c>
      <c r="J2096" s="144">
        <f t="shared" si="59"/>
        <v>2450000</v>
      </c>
      <c r="K2096" s="108" t="s">
        <v>5648</v>
      </c>
      <c r="L2096" s="199" t="s">
        <v>5649</v>
      </c>
      <c r="M2096" s="17"/>
      <c r="N2096" s="64"/>
      <c r="O2096" s="64" t="s">
        <v>5650</v>
      </c>
      <c r="P2096" s="170"/>
      <c r="Q2096" s="149"/>
      <c r="R2096" s="141"/>
      <c r="S2096" s="141"/>
      <c r="T2096" s="141">
        <v>1000000.0</v>
      </c>
      <c r="U2096" s="149"/>
      <c r="V2096" s="149"/>
      <c r="W2096" s="149"/>
      <c r="X2096" s="68"/>
      <c r="Y2096" s="68"/>
      <c r="Z2096" s="68"/>
    </row>
    <row r="2097" ht="15.0" customHeight="1">
      <c r="A2097" s="206">
        <v>46063.0</v>
      </c>
      <c r="B2097" s="201" t="s">
        <v>7945</v>
      </c>
      <c r="C2097" s="45" t="s">
        <v>2770</v>
      </c>
      <c r="D2097" s="140" t="str">
        <f>IFERROR(VLOOKUP(C2097,Stock,3,FALSE),"")</f>
        <v>Transport</v>
      </c>
      <c r="E2097" s="45">
        <v>1.0</v>
      </c>
      <c r="F2097" s="198">
        <v>54000.0</v>
      </c>
      <c r="G2097" s="142">
        <f t="shared" si="54"/>
        <v>54000</v>
      </c>
      <c r="H2097" s="142"/>
      <c r="I2097" s="143">
        <f t="shared" si="55"/>
        <v>54000</v>
      </c>
      <c r="J2097" s="144">
        <f t="shared" si="59"/>
        <v>54000</v>
      </c>
      <c r="K2097" s="108" t="s">
        <v>5648</v>
      </c>
      <c r="L2097" s="199" t="s">
        <v>5649</v>
      </c>
      <c r="M2097" s="17"/>
      <c r="N2097" s="64"/>
      <c r="O2097" s="64" t="s">
        <v>5650</v>
      </c>
      <c r="P2097" s="170"/>
      <c r="Q2097" s="149"/>
      <c r="R2097" s="141"/>
      <c r="S2097" s="141"/>
      <c r="T2097" s="141">
        <v>1600000.0</v>
      </c>
      <c r="U2097" s="149"/>
      <c r="V2097" s="149"/>
      <c r="W2097" s="149"/>
      <c r="X2097" s="68"/>
      <c r="Y2097" s="68"/>
      <c r="Z2097" s="68"/>
    </row>
    <row r="2098" ht="15.0" customHeight="1">
      <c r="A2098" s="206">
        <v>46061.0</v>
      </c>
      <c r="B2098" s="201" t="s">
        <v>7946</v>
      </c>
      <c r="C2098" s="13" t="s">
        <v>5123</v>
      </c>
      <c r="D2098" s="140" t="str">
        <f>IFERROR(VLOOKUP(C2098,Stock,3,FALSE),"")</f>
        <v>BMW 3 Series 90-99 E36</v>
      </c>
      <c r="E2098" s="45">
        <v>1.0</v>
      </c>
      <c r="F2098" s="198">
        <v>1764000.0</v>
      </c>
      <c r="G2098" s="142">
        <f t="shared" si="54"/>
        <v>1764000</v>
      </c>
      <c r="H2098" s="142"/>
      <c r="I2098" s="143">
        <f t="shared" si="55"/>
        <v>1764000</v>
      </c>
      <c r="J2098" s="144">
        <f t="shared" si="59"/>
        <v>1764000</v>
      </c>
      <c r="K2098" s="108" t="s">
        <v>7947</v>
      </c>
      <c r="L2098" s="199" t="s">
        <v>7948</v>
      </c>
      <c r="M2098" s="17"/>
      <c r="N2098" s="68"/>
      <c r="O2098" s="68"/>
      <c r="P2098" s="170"/>
      <c r="Q2098" s="149"/>
      <c r="R2098" s="149"/>
      <c r="S2098" s="149"/>
      <c r="T2098" s="149"/>
      <c r="U2098" s="149"/>
      <c r="V2098" s="149"/>
      <c r="W2098" s="149"/>
      <c r="X2098" s="68"/>
      <c r="Y2098" s="68"/>
      <c r="Z2098" s="68"/>
    </row>
    <row r="2099" ht="15.0" customHeight="1">
      <c r="A2099" s="206">
        <v>46061.0</v>
      </c>
      <c r="B2099" s="201" t="s">
        <v>7949</v>
      </c>
      <c r="C2099" s="45" t="s">
        <v>2770</v>
      </c>
      <c r="D2099" s="140" t="str">
        <f>IFERROR(VLOOKUP(C2099,Stock,3,FALSE),"")</f>
        <v>Transport</v>
      </c>
      <c r="E2099" s="45">
        <v>1.0</v>
      </c>
      <c r="F2099" s="198">
        <v>200000.0</v>
      </c>
      <c r="G2099" s="142">
        <f t="shared" si="54"/>
        <v>200000</v>
      </c>
      <c r="H2099" s="142"/>
      <c r="I2099" s="143">
        <f t="shared" si="55"/>
        <v>200000</v>
      </c>
      <c r="J2099" s="144">
        <f t="shared" si="59"/>
        <v>200000</v>
      </c>
      <c r="K2099" s="108" t="s">
        <v>7947</v>
      </c>
      <c r="L2099" s="199" t="s">
        <v>7948</v>
      </c>
      <c r="M2099" s="17"/>
      <c r="N2099" s="68"/>
      <c r="O2099" s="68"/>
      <c r="P2099" s="170"/>
      <c r="Q2099" s="149"/>
      <c r="R2099" s="149"/>
      <c r="S2099" s="149"/>
      <c r="T2099" s="149"/>
      <c r="U2099" s="149"/>
      <c r="V2099" s="149"/>
      <c r="W2099" s="149"/>
      <c r="X2099" s="68"/>
      <c r="Y2099" s="68"/>
      <c r="Z2099" s="68"/>
    </row>
    <row r="2100" ht="15.0" customHeight="1">
      <c r="A2100" s="206">
        <v>46061.0</v>
      </c>
      <c r="B2100" s="201" t="s">
        <v>7950</v>
      </c>
      <c r="C2100" s="45" t="s">
        <v>2962</v>
      </c>
      <c r="D2100" s="140" t="str">
        <f>IFERROR(VLOOKUP(C2100,Stock,3,FALSE),"")</f>
        <v>Lembur</v>
      </c>
      <c r="E2100" s="45">
        <v>1.0</v>
      </c>
      <c r="F2100" s="198">
        <v>150000.0</v>
      </c>
      <c r="G2100" s="142">
        <f t="shared" si="54"/>
        <v>150000</v>
      </c>
      <c r="H2100" s="142"/>
      <c r="I2100" s="143">
        <f t="shared" si="55"/>
        <v>150000</v>
      </c>
      <c r="J2100" s="144">
        <f t="shared" si="59"/>
        <v>150000</v>
      </c>
      <c r="K2100" s="108" t="s">
        <v>7947</v>
      </c>
      <c r="L2100" s="199" t="s">
        <v>7948</v>
      </c>
      <c r="M2100" s="17"/>
      <c r="N2100" s="68"/>
      <c r="O2100" s="68"/>
      <c r="P2100" s="170"/>
      <c r="Q2100" s="149"/>
      <c r="R2100" s="149"/>
      <c r="S2100" s="149"/>
      <c r="T2100" s="149"/>
      <c r="U2100" s="149"/>
      <c r="V2100" s="149"/>
      <c r="W2100" s="149"/>
      <c r="X2100" s="68"/>
      <c r="Y2100" s="68"/>
      <c r="Z2100" s="68"/>
    </row>
    <row r="2101" ht="15.0" customHeight="1">
      <c r="A2101" s="206">
        <v>46061.0</v>
      </c>
      <c r="B2101" s="201" t="s">
        <v>7951</v>
      </c>
      <c r="C2101" s="45" t="s">
        <v>3048</v>
      </c>
      <c r="D2101" s="140" t="str">
        <f>IFERROR(VLOOKUP(C2101,Stock,3,FALSE),"")</f>
        <v>Biaya Pengecekan</v>
      </c>
      <c r="E2101" s="45">
        <v>1.0</v>
      </c>
      <c r="F2101" s="198">
        <v>300000.0</v>
      </c>
      <c r="G2101" s="142">
        <f t="shared" si="54"/>
        <v>300000</v>
      </c>
      <c r="H2101" s="142"/>
      <c r="I2101" s="143">
        <f t="shared" si="55"/>
        <v>300000</v>
      </c>
      <c r="J2101" s="144">
        <f t="shared" si="59"/>
        <v>300000</v>
      </c>
      <c r="K2101" s="108" t="s">
        <v>7952</v>
      </c>
      <c r="L2101" s="17"/>
      <c r="M2101" s="17"/>
      <c r="N2101" s="64" t="s">
        <v>7953</v>
      </c>
      <c r="O2101" s="68"/>
      <c r="P2101" s="170"/>
      <c r="Q2101" s="149"/>
      <c r="R2101" s="149"/>
      <c r="S2101" s="149"/>
      <c r="T2101" s="149"/>
      <c r="U2101" s="149"/>
      <c r="V2101" s="149"/>
      <c r="W2101" s="149"/>
      <c r="X2101" s="68"/>
      <c r="Y2101" s="68"/>
      <c r="Z2101" s="68"/>
    </row>
    <row r="2102" ht="15.0" customHeight="1">
      <c r="A2102" s="206">
        <v>46061.0</v>
      </c>
      <c r="B2102" s="201" t="s">
        <v>7954</v>
      </c>
      <c r="C2102" s="45" t="s">
        <v>2962</v>
      </c>
      <c r="D2102" s="140" t="str">
        <f>IFERROR(VLOOKUP(C2102,Stock,3,FALSE),"")</f>
        <v>Lembur</v>
      </c>
      <c r="E2102" s="45">
        <v>1.0</v>
      </c>
      <c r="F2102" s="198">
        <v>150000.0</v>
      </c>
      <c r="G2102" s="142">
        <f t="shared" si="54"/>
        <v>150000</v>
      </c>
      <c r="H2102" s="142"/>
      <c r="I2102" s="143">
        <f t="shared" si="55"/>
        <v>150000</v>
      </c>
      <c r="J2102" s="144">
        <f t="shared" si="59"/>
        <v>150000</v>
      </c>
      <c r="K2102" s="108" t="s">
        <v>7952</v>
      </c>
      <c r="L2102" s="17"/>
      <c r="M2102" s="17"/>
      <c r="N2102" s="64" t="s">
        <v>7953</v>
      </c>
      <c r="O2102" s="68"/>
      <c r="P2102" s="170"/>
      <c r="Q2102" s="149"/>
      <c r="R2102" s="149"/>
      <c r="S2102" s="149"/>
      <c r="T2102" s="149"/>
      <c r="U2102" s="149"/>
      <c r="V2102" s="149"/>
      <c r="W2102" s="149"/>
      <c r="X2102" s="68"/>
      <c r="Y2102" s="68"/>
      <c r="Z2102" s="68"/>
    </row>
    <row r="2103" ht="15.0" customHeight="1">
      <c r="A2103" s="206">
        <v>46061.0</v>
      </c>
      <c r="B2103" s="201" t="s">
        <v>7955</v>
      </c>
      <c r="C2103" s="45" t="s">
        <v>2770</v>
      </c>
      <c r="D2103" s="140" t="str">
        <f>IFERROR(VLOOKUP(C2103,Stock,3,FALSE),"")</f>
        <v>Transport</v>
      </c>
      <c r="E2103" s="45">
        <v>1.0</v>
      </c>
      <c r="F2103" s="198">
        <v>100000.0</v>
      </c>
      <c r="G2103" s="142">
        <f t="shared" si="54"/>
        <v>100000</v>
      </c>
      <c r="H2103" s="142"/>
      <c r="I2103" s="143">
        <f t="shared" si="55"/>
        <v>100000</v>
      </c>
      <c r="J2103" s="144">
        <f t="shared" si="59"/>
        <v>100000</v>
      </c>
      <c r="K2103" s="108" t="s">
        <v>7952</v>
      </c>
      <c r="L2103" s="17"/>
      <c r="M2103" s="17"/>
      <c r="N2103" s="64" t="s">
        <v>7953</v>
      </c>
      <c r="O2103" s="68"/>
      <c r="P2103" s="170"/>
      <c r="Q2103" s="149"/>
      <c r="R2103" s="149"/>
      <c r="S2103" s="149"/>
      <c r="T2103" s="149"/>
      <c r="U2103" s="149"/>
      <c r="V2103" s="149"/>
      <c r="W2103" s="149"/>
      <c r="X2103" s="68"/>
      <c r="Y2103" s="68"/>
      <c r="Z2103" s="68"/>
    </row>
    <row r="2104" ht="15.0" customHeight="1">
      <c r="A2104" s="206">
        <v>46063.0</v>
      </c>
      <c r="B2104" s="201" t="s">
        <v>7956</v>
      </c>
      <c r="C2104" s="45" t="s">
        <v>7199</v>
      </c>
      <c r="D2104" s="140" t="str">
        <f>IFERROR(VLOOKUP(C2104,Stock,3,FALSE),"")</f>
        <v>Daihatsu Gran Max / Luxio 07-</v>
      </c>
      <c r="E2104" s="45">
        <v>1.0</v>
      </c>
      <c r="F2104" s="198">
        <v>1000000.0</v>
      </c>
      <c r="G2104" s="142">
        <f t="shared" si="54"/>
        <v>1000000</v>
      </c>
      <c r="H2104" s="142"/>
      <c r="I2104" s="143">
        <f t="shared" si="55"/>
        <v>1000000</v>
      </c>
      <c r="J2104" s="144">
        <f t="shared" si="59"/>
        <v>1000000</v>
      </c>
      <c r="K2104" s="108" t="s">
        <v>7957</v>
      </c>
      <c r="L2104" s="199" t="s">
        <v>7958</v>
      </c>
      <c r="M2104" s="17"/>
      <c r="N2104" s="64" t="s">
        <v>7959</v>
      </c>
      <c r="O2104" s="68"/>
      <c r="P2104" s="170"/>
      <c r="Q2104" s="149"/>
      <c r="R2104" s="149"/>
      <c r="S2104" s="149"/>
      <c r="T2104" s="149"/>
      <c r="U2104" s="149"/>
      <c r="V2104" s="149"/>
      <c r="W2104" s="149"/>
      <c r="X2104" s="68"/>
      <c r="Y2104" s="68"/>
      <c r="Z2104" s="68"/>
    </row>
    <row r="2105" ht="15.0" customHeight="1">
      <c r="A2105" s="441">
        <v>46063.0</v>
      </c>
      <c r="B2105" s="201" t="s">
        <v>7960</v>
      </c>
      <c r="C2105" s="45" t="s">
        <v>2770</v>
      </c>
      <c r="D2105" s="140" t="str">
        <f>IFERROR(VLOOKUP(C2105,Stock,3,FALSE),"")</f>
        <v>Transport</v>
      </c>
      <c r="E2105" s="45">
        <v>1.0</v>
      </c>
      <c r="F2105" s="198">
        <v>150000.0</v>
      </c>
      <c r="G2105" s="142">
        <f t="shared" si="54"/>
        <v>150000</v>
      </c>
      <c r="H2105" s="142"/>
      <c r="I2105" s="143">
        <f t="shared" si="55"/>
        <v>150000</v>
      </c>
      <c r="J2105" s="144">
        <f t="shared" si="59"/>
        <v>150000</v>
      </c>
      <c r="K2105" s="108" t="s">
        <v>7957</v>
      </c>
      <c r="L2105" s="199" t="s">
        <v>7958</v>
      </c>
      <c r="M2105" s="17"/>
      <c r="N2105" s="64" t="s">
        <v>7959</v>
      </c>
      <c r="O2105" s="68"/>
      <c r="P2105" s="170"/>
      <c r="Q2105" s="149"/>
      <c r="R2105" s="149"/>
      <c r="S2105" s="149"/>
      <c r="T2105" s="149"/>
      <c r="U2105" s="149"/>
      <c r="V2105" s="149"/>
      <c r="W2105" s="149"/>
      <c r="X2105" s="68"/>
      <c r="Y2105" s="68"/>
      <c r="Z2105" s="68"/>
    </row>
    <row r="2106" ht="15.0" customHeight="1">
      <c r="A2106" s="206">
        <v>46063.0</v>
      </c>
      <c r="B2106" s="201" t="s">
        <v>7961</v>
      </c>
      <c r="C2106" s="45" t="s">
        <v>7199</v>
      </c>
      <c r="D2106" s="140" t="str">
        <f>IFERROR(VLOOKUP(C2106,Stock,3,FALSE),"")</f>
        <v>Daihatsu Gran Max / Luxio 07-</v>
      </c>
      <c r="E2106" s="45">
        <v>1.0</v>
      </c>
      <c r="F2106" s="198">
        <v>1000000.0</v>
      </c>
      <c r="G2106" s="142">
        <f t="shared" si="54"/>
        <v>1000000</v>
      </c>
      <c r="H2106" s="142"/>
      <c r="I2106" s="143">
        <f t="shared" si="55"/>
        <v>1000000</v>
      </c>
      <c r="J2106" s="144">
        <f t="shared" si="59"/>
        <v>1000000</v>
      </c>
      <c r="K2106" s="108" t="s">
        <v>7962</v>
      </c>
      <c r="L2106" s="199" t="s">
        <v>7963</v>
      </c>
      <c r="M2106" s="17"/>
      <c r="N2106" s="64" t="s">
        <v>7964</v>
      </c>
      <c r="O2106" s="68"/>
      <c r="P2106" s="170"/>
      <c r="Q2106" s="149"/>
      <c r="R2106" s="149"/>
      <c r="S2106" s="149"/>
      <c r="T2106" s="149"/>
      <c r="U2106" s="149"/>
      <c r="V2106" s="149"/>
      <c r="W2106" s="149"/>
      <c r="X2106" s="68"/>
      <c r="Y2106" s="68"/>
      <c r="Z2106" s="68"/>
    </row>
    <row r="2107" ht="15.0" customHeight="1">
      <c r="A2107" s="265">
        <v>46063.0</v>
      </c>
      <c r="B2107" s="266" t="s">
        <v>7965</v>
      </c>
      <c r="C2107" s="269" t="s">
        <v>4226</v>
      </c>
      <c r="D2107" s="268" t="str">
        <f>IFERROR(VLOOKUP(C2107,Stock,3,FALSE),"")</f>
        <v>Honda HR-V 14-21 5D SUV (Honda)</v>
      </c>
      <c r="E2107" s="269">
        <v>1.0</v>
      </c>
      <c r="F2107" s="270"/>
      <c r="G2107" s="271">
        <f t="shared" si="54"/>
        <v>0</v>
      </c>
      <c r="H2107" s="271"/>
      <c r="I2107" s="272">
        <f t="shared" si="55"/>
        <v>0</v>
      </c>
      <c r="J2107" s="273">
        <f t="shared" si="59"/>
        <v>0</v>
      </c>
      <c r="K2107" s="267" t="s">
        <v>4509</v>
      </c>
      <c r="L2107" s="274"/>
      <c r="M2107" s="274"/>
      <c r="N2107" s="275"/>
      <c r="O2107" s="275"/>
      <c r="P2107" s="276"/>
      <c r="Q2107" s="277"/>
      <c r="R2107" s="277"/>
      <c r="S2107" s="277"/>
      <c r="T2107" s="277"/>
      <c r="U2107" s="277"/>
      <c r="V2107" s="277"/>
      <c r="W2107" s="277"/>
      <c r="X2107" s="275"/>
      <c r="Y2107" s="275"/>
      <c r="Z2107" s="275"/>
    </row>
    <row r="2108" ht="15.0" customHeight="1">
      <c r="A2108" s="265">
        <v>46063.0</v>
      </c>
      <c r="B2108" s="266" t="s">
        <v>7965</v>
      </c>
      <c r="C2108" s="269" t="s">
        <v>7220</v>
      </c>
      <c r="D2108" s="268" t="str">
        <f>IFERROR(VLOOKUP(C2108,Stock,3,FALSE),"")</f>
        <v>Toyota Rush / Terios 06-17</v>
      </c>
      <c r="E2108" s="269">
        <v>2.0</v>
      </c>
      <c r="F2108" s="270"/>
      <c r="G2108" s="271">
        <f t="shared" si="54"/>
        <v>0</v>
      </c>
      <c r="H2108" s="271"/>
      <c r="I2108" s="272">
        <f t="shared" si="55"/>
        <v>0</v>
      </c>
      <c r="J2108" s="273">
        <f t="shared" si="59"/>
        <v>0</v>
      </c>
      <c r="K2108" s="267" t="s">
        <v>4509</v>
      </c>
      <c r="L2108" s="274"/>
      <c r="M2108" s="274"/>
      <c r="N2108" s="275"/>
      <c r="O2108" s="275"/>
      <c r="P2108" s="276"/>
      <c r="Q2108" s="277"/>
      <c r="R2108" s="277"/>
      <c r="S2108" s="277"/>
      <c r="T2108" s="277"/>
      <c r="U2108" s="277"/>
      <c r="V2108" s="277"/>
      <c r="W2108" s="277"/>
      <c r="X2108" s="275"/>
      <c r="Y2108" s="275"/>
      <c r="Z2108" s="275"/>
    </row>
    <row r="2109" ht="15.0" customHeight="1">
      <c r="A2109" s="206">
        <v>46064.0</v>
      </c>
      <c r="B2109" s="201" t="s">
        <v>7966</v>
      </c>
      <c r="C2109" s="45" t="s">
        <v>5123</v>
      </c>
      <c r="D2109" s="140" t="str">
        <f>IFERROR(VLOOKUP(C2109,Stock,3,FALSE),"")</f>
        <v>BMW 3 Series 90-99 E36</v>
      </c>
      <c r="E2109" s="45">
        <v>1.0</v>
      </c>
      <c r="F2109" s="198">
        <v>1764000.0</v>
      </c>
      <c r="G2109" s="142">
        <f t="shared" si="54"/>
        <v>1764000</v>
      </c>
      <c r="H2109" s="142"/>
      <c r="I2109" s="143">
        <f t="shared" si="55"/>
        <v>1764000</v>
      </c>
      <c r="J2109" s="144">
        <f t="shared" si="59"/>
        <v>1764000</v>
      </c>
      <c r="K2109" s="108" t="s">
        <v>7967</v>
      </c>
      <c r="L2109" s="199" t="s">
        <v>7968</v>
      </c>
      <c r="M2109" s="17"/>
      <c r="N2109" s="64" t="s">
        <v>7969</v>
      </c>
      <c r="O2109" s="68"/>
      <c r="P2109" s="170"/>
      <c r="Q2109" s="149"/>
      <c r="R2109" s="141"/>
      <c r="S2109" s="141"/>
      <c r="T2109" s="141">
        <v>100000.0</v>
      </c>
      <c r="U2109" s="149"/>
      <c r="V2109" s="149"/>
      <c r="W2109" s="149"/>
      <c r="X2109" s="68"/>
      <c r="Y2109" s="68"/>
      <c r="Z2109" s="68"/>
    </row>
    <row r="2110" ht="15.0" customHeight="1">
      <c r="A2110" s="206">
        <v>46064.0</v>
      </c>
      <c r="B2110" s="201" t="s">
        <v>7966</v>
      </c>
      <c r="C2110" s="45" t="s">
        <v>2770</v>
      </c>
      <c r="D2110" s="140" t="str">
        <f>IFERROR(VLOOKUP(C2110,Stock,3,FALSE),"")</f>
        <v>Transport</v>
      </c>
      <c r="E2110" s="45">
        <v>1.0</v>
      </c>
      <c r="F2110" s="198">
        <v>80000.0</v>
      </c>
      <c r="G2110" s="142">
        <f t="shared" si="54"/>
        <v>80000</v>
      </c>
      <c r="H2110" s="143">
        <v>44000.0</v>
      </c>
      <c r="I2110" s="143">
        <f t="shared" si="55"/>
        <v>36000</v>
      </c>
      <c r="J2110" s="144">
        <f t="shared" si="59"/>
        <v>36000</v>
      </c>
      <c r="K2110" s="108" t="s">
        <v>7967</v>
      </c>
      <c r="L2110" s="199" t="s">
        <v>7968</v>
      </c>
      <c r="M2110" s="17"/>
      <c r="N2110" s="64" t="s">
        <v>7969</v>
      </c>
      <c r="O2110" s="68"/>
      <c r="P2110" s="170"/>
      <c r="Q2110" s="149"/>
      <c r="R2110" s="149"/>
      <c r="S2110" s="149"/>
      <c r="T2110" s="149"/>
      <c r="U2110" s="149"/>
      <c r="V2110" s="149"/>
      <c r="W2110" s="149"/>
      <c r="X2110" s="68"/>
      <c r="Y2110" s="68"/>
      <c r="Z2110" s="68"/>
    </row>
    <row r="2111" ht="15.0" customHeight="1">
      <c r="A2111" s="206">
        <v>46064.0</v>
      </c>
      <c r="B2111" s="201" t="s">
        <v>7970</v>
      </c>
      <c r="C2111" s="45" t="s">
        <v>7971</v>
      </c>
      <c r="D2111" s="140" t="str">
        <f>IFERROR(VLOOKUP(C2111,Stock,3,FALSE),"")</f>
        <v>Toyota Voxy 22- 2nd Gen (1 Sensor / /\ )</v>
      </c>
      <c r="E2111" s="45">
        <v>1.0</v>
      </c>
      <c r="F2111" s="198">
        <v>500000.0</v>
      </c>
      <c r="G2111" s="142">
        <f t="shared" si="54"/>
        <v>500000</v>
      </c>
      <c r="H2111" s="142"/>
      <c r="I2111" s="143">
        <v>4100000.0</v>
      </c>
      <c r="J2111" s="144">
        <f t="shared" si="59"/>
        <v>4100000</v>
      </c>
      <c r="K2111" s="108" t="s">
        <v>7972</v>
      </c>
      <c r="L2111" s="199" t="s">
        <v>7973</v>
      </c>
      <c r="M2111" s="17"/>
      <c r="N2111" s="64" t="s">
        <v>7974</v>
      </c>
      <c r="O2111" s="68"/>
      <c r="P2111" s="170"/>
      <c r="Q2111" s="243"/>
      <c r="R2111" s="244"/>
      <c r="S2111" s="244"/>
      <c r="T2111" s="244" t="s">
        <v>7975</v>
      </c>
      <c r="U2111" s="243"/>
      <c r="V2111" s="243"/>
      <c r="W2111" s="243"/>
      <c r="X2111" s="241" t="s">
        <v>7976</v>
      </c>
      <c r="Y2111" s="175"/>
      <c r="Z2111" s="175"/>
    </row>
    <row r="2112" ht="15.0" customHeight="1">
      <c r="A2112" s="206">
        <v>46064.0</v>
      </c>
      <c r="B2112" s="201" t="s">
        <v>7977</v>
      </c>
      <c r="C2112" s="45" t="s">
        <v>7978</v>
      </c>
      <c r="D2112" s="140" t="str">
        <f>IFERROR(VLOOKUP(C2112,Stock,3,FALSE),"")</f>
        <v>VW Polo Hatchback 09-17 5th Gen MK5</v>
      </c>
      <c r="E2112" s="45">
        <v>1.0</v>
      </c>
      <c r="F2112" s="198">
        <v>4870000.0</v>
      </c>
      <c r="G2112" s="142">
        <f t="shared" si="54"/>
        <v>4870000</v>
      </c>
      <c r="H2112" s="142"/>
      <c r="I2112" s="143">
        <f t="shared" ref="I2112:I2132" si="60">G2112-H2112</f>
        <v>4870000</v>
      </c>
      <c r="J2112" s="144">
        <f t="shared" si="59"/>
        <v>4870000</v>
      </c>
      <c r="K2112" s="108" t="s">
        <v>7979</v>
      </c>
      <c r="L2112" s="199" t="s">
        <v>7980</v>
      </c>
      <c r="M2112" s="17"/>
      <c r="N2112" s="64" t="s">
        <v>7981</v>
      </c>
      <c r="O2112" s="68"/>
      <c r="P2112" s="170"/>
      <c r="Q2112" s="141">
        <v>4780000.0</v>
      </c>
      <c r="R2112" s="149"/>
      <c r="S2112" s="149"/>
      <c r="T2112" s="149"/>
      <c r="U2112" s="149"/>
      <c r="V2112" s="149"/>
      <c r="W2112" s="149"/>
      <c r="X2112" s="68"/>
      <c r="Y2112" s="68"/>
      <c r="Z2112" s="68"/>
    </row>
    <row r="2113" ht="15.0" customHeight="1">
      <c r="A2113" s="206">
        <v>46064.0</v>
      </c>
      <c r="B2113" s="398" t="s">
        <v>7982</v>
      </c>
      <c r="C2113" s="45" t="s">
        <v>7983</v>
      </c>
      <c r="D2113" s="140" t="str">
        <f>IFERROR(VLOOKUP(C2113,Stock,3,FALSE),"")</f>
        <v>Toyota Alphard 02-08 ANH10 1st Gen</v>
      </c>
      <c r="E2113" s="45">
        <v>1.0</v>
      </c>
      <c r="F2113" s="198">
        <v>800000.0</v>
      </c>
      <c r="G2113" s="142">
        <f t="shared" si="54"/>
        <v>800000</v>
      </c>
      <c r="H2113" s="142"/>
      <c r="I2113" s="143">
        <f t="shared" si="60"/>
        <v>800000</v>
      </c>
      <c r="J2113" s="144">
        <f t="shared" si="59"/>
        <v>800000</v>
      </c>
      <c r="K2113" s="108" t="s">
        <v>7984</v>
      </c>
      <c r="L2113" s="199" t="s">
        <v>7985</v>
      </c>
      <c r="M2113" s="17"/>
      <c r="N2113" s="68"/>
      <c r="O2113" s="68"/>
      <c r="P2113" s="170"/>
      <c r="Q2113" s="149"/>
      <c r="R2113" s="149"/>
      <c r="S2113" s="149"/>
      <c r="T2113" s="149"/>
      <c r="U2113" s="149"/>
      <c r="V2113" s="149"/>
      <c r="W2113" s="149"/>
      <c r="X2113" s="68"/>
      <c r="Y2113" s="68"/>
      <c r="Z2113" s="68"/>
    </row>
    <row r="2114" ht="15.0" customHeight="1">
      <c r="A2114" s="206">
        <v>46064.0</v>
      </c>
      <c r="B2114" s="201" t="s">
        <v>7986</v>
      </c>
      <c r="C2114" s="45" t="s">
        <v>7221</v>
      </c>
      <c r="D2114" s="140" t="str">
        <f>IFERROR(VLOOKUP(C2114,Stock,3,FALSE),"")</f>
        <v>Suzuki Ertiga 12-18 1st Gen MPV</v>
      </c>
      <c r="E2114" s="45">
        <v>1.0</v>
      </c>
      <c r="F2114" s="198">
        <v>1300000.0</v>
      </c>
      <c r="G2114" s="142">
        <f t="shared" si="54"/>
        <v>1300000</v>
      </c>
      <c r="H2114" s="142"/>
      <c r="I2114" s="143">
        <f t="shared" si="60"/>
        <v>1300000</v>
      </c>
      <c r="J2114" s="144">
        <f t="shared" si="59"/>
        <v>1300000</v>
      </c>
      <c r="K2114" s="108" t="s">
        <v>7987</v>
      </c>
      <c r="L2114" s="199" t="s">
        <v>7988</v>
      </c>
      <c r="M2114" s="17"/>
      <c r="N2114" s="64" t="s">
        <v>7989</v>
      </c>
      <c r="O2114" s="68"/>
      <c r="P2114" s="170"/>
      <c r="Q2114" s="149"/>
      <c r="R2114" s="141"/>
      <c r="S2114" s="141"/>
      <c r="T2114" s="141" t="s">
        <v>7990</v>
      </c>
      <c r="U2114" s="149"/>
      <c r="V2114" s="149"/>
      <c r="W2114" s="149"/>
      <c r="X2114" s="68"/>
      <c r="Y2114" s="68"/>
      <c r="Z2114" s="68"/>
    </row>
    <row r="2115" ht="15.0" customHeight="1">
      <c r="A2115" s="206">
        <v>46064.0</v>
      </c>
      <c r="B2115" s="201" t="s">
        <v>7986</v>
      </c>
      <c r="C2115" s="45" t="s">
        <v>2770</v>
      </c>
      <c r="D2115" s="140" t="str">
        <f>IFERROR(VLOOKUP(C2115,Stock,3,FALSE),"")</f>
        <v>Transport</v>
      </c>
      <c r="E2115" s="45">
        <v>1.0</v>
      </c>
      <c r="F2115" s="198">
        <v>130000.0</v>
      </c>
      <c r="G2115" s="142">
        <f t="shared" si="54"/>
        <v>130000</v>
      </c>
      <c r="H2115" s="142"/>
      <c r="I2115" s="143">
        <f t="shared" si="60"/>
        <v>130000</v>
      </c>
      <c r="J2115" s="144">
        <f t="shared" si="59"/>
        <v>130000</v>
      </c>
      <c r="K2115" s="108" t="s">
        <v>7987</v>
      </c>
      <c r="L2115" s="199" t="s">
        <v>7988</v>
      </c>
      <c r="M2115" s="17"/>
      <c r="N2115" s="64" t="s">
        <v>7989</v>
      </c>
      <c r="O2115" s="68"/>
      <c r="P2115" s="170"/>
      <c r="Q2115" s="149"/>
      <c r="R2115" s="149"/>
      <c r="S2115" s="149"/>
      <c r="T2115" s="149"/>
      <c r="U2115" s="149"/>
      <c r="V2115" s="149"/>
      <c r="W2115" s="149"/>
      <c r="X2115" s="68"/>
      <c r="Y2115" s="68"/>
      <c r="Z2115" s="68"/>
    </row>
    <row r="2116" ht="15.0" customHeight="1">
      <c r="A2116" s="206">
        <v>46064.0</v>
      </c>
      <c r="B2116" s="201" t="s">
        <v>7991</v>
      </c>
      <c r="C2116" s="45" t="s">
        <v>7220</v>
      </c>
      <c r="D2116" s="140" t="str">
        <f>IFERROR(VLOOKUP(C2116,Stock,3,FALSE),"")</f>
        <v>Toyota Rush / Terios 06-17</v>
      </c>
      <c r="E2116" s="45">
        <v>1.0</v>
      </c>
      <c r="F2116" s="198">
        <v>1348000.0</v>
      </c>
      <c r="G2116" s="142">
        <f t="shared" si="54"/>
        <v>1348000</v>
      </c>
      <c r="H2116" s="142"/>
      <c r="I2116" s="143">
        <f t="shared" si="60"/>
        <v>1348000</v>
      </c>
      <c r="J2116" s="144">
        <f t="shared" si="59"/>
        <v>1348000</v>
      </c>
      <c r="K2116" s="108" t="s">
        <v>7992</v>
      </c>
      <c r="L2116" s="199" t="s">
        <v>7993</v>
      </c>
      <c r="M2116" s="17"/>
      <c r="N2116" s="64" t="s">
        <v>7994</v>
      </c>
      <c r="O2116" s="68"/>
      <c r="P2116" s="170"/>
      <c r="Q2116" s="149"/>
      <c r="R2116" s="149"/>
      <c r="S2116" s="149"/>
      <c r="T2116" s="149"/>
      <c r="U2116" s="149"/>
      <c r="V2116" s="149"/>
      <c r="W2116" s="149"/>
      <c r="X2116" s="68"/>
      <c r="Y2116" s="68"/>
      <c r="Z2116" s="68"/>
    </row>
    <row r="2117" ht="15.0" customHeight="1">
      <c r="A2117" s="265">
        <v>46064.0</v>
      </c>
      <c r="B2117" s="266" t="s">
        <v>7995</v>
      </c>
      <c r="C2117" s="269" t="s">
        <v>5346</v>
      </c>
      <c r="D2117" s="268" t="str">
        <f>IFERROR(VLOOKUP(C2117,Stock,3,FALSE),"")</f>
        <v>Isuzu Traga</v>
      </c>
      <c r="E2117" s="269">
        <v>2.0</v>
      </c>
      <c r="F2117" s="270"/>
      <c r="G2117" s="271">
        <f t="shared" si="54"/>
        <v>0</v>
      </c>
      <c r="H2117" s="271"/>
      <c r="I2117" s="272">
        <f t="shared" si="60"/>
        <v>0</v>
      </c>
      <c r="J2117" s="273">
        <f t="shared" si="59"/>
        <v>0</v>
      </c>
      <c r="K2117" s="267" t="s">
        <v>4509</v>
      </c>
      <c r="L2117" s="274"/>
      <c r="M2117" s="274"/>
      <c r="N2117" s="275"/>
      <c r="O2117" s="275"/>
      <c r="P2117" s="276"/>
      <c r="Q2117" s="277"/>
      <c r="R2117" s="277"/>
      <c r="S2117" s="277"/>
      <c r="T2117" s="277"/>
      <c r="U2117" s="277"/>
      <c r="V2117" s="277"/>
      <c r="W2117" s="277"/>
      <c r="X2117" s="275"/>
      <c r="Y2117" s="275"/>
      <c r="Z2117" s="275"/>
    </row>
    <row r="2118" ht="15.0" customHeight="1">
      <c r="A2118" s="265">
        <v>46064.0</v>
      </c>
      <c r="B2118" s="266" t="s">
        <v>7995</v>
      </c>
      <c r="C2118" s="269" t="s">
        <v>5680</v>
      </c>
      <c r="D2118" s="268" t="str">
        <f>IFERROR(VLOOKUP(C2118,Stock,3,FALSE),"")</f>
        <v>Suzuki Wagon R 12-</v>
      </c>
      <c r="E2118" s="269">
        <v>1.0</v>
      </c>
      <c r="F2118" s="270"/>
      <c r="G2118" s="271">
        <f t="shared" si="54"/>
        <v>0</v>
      </c>
      <c r="H2118" s="271"/>
      <c r="I2118" s="272">
        <f t="shared" si="60"/>
        <v>0</v>
      </c>
      <c r="J2118" s="273">
        <f t="shared" si="59"/>
        <v>0</v>
      </c>
      <c r="K2118" s="267" t="s">
        <v>4509</v>
      </c>
      <c r="L2118" s="274"/>
      <c r="M2118" s="274"/>
      <c r="N2118" s="275"/>
      <c r="O2118" s="275"/>
      <c r="P2118" s="276"/>
      <c r="Q2118" s="277"/>
      <c r="R2118" s="277"/>
      <c r="S2118" s="277"/>
      <c r="T2118" s="277"/>
      <c r="U2118" s="277"/>
      <c r="V2118" s="277"/>
      <c r="W2118" s="277"/>
      <c r="X2118" s="275"/>
      <c r="Y2118" s="275"/>
      <c r="Z2118" s="275"/>
    </row>
    <row r="2119" ht="15.0" customHeight="1">
      <c r="A2119" s="206">
        <v>46065.0</v>
      </c>
      <c r="B2119" s="201" t="s">
        <v>7996</v>
      </c>
      <c r="C2119" s="45" t="s">
        <v>3029</v>
      </c>
      <c r="D2119" s="140" t="str">
        <f>IFERROR(VLOOKUP(C2119,Stock,3,FALSE),"")</f>
        <v>Mitsubishi Canter FE700 01- (PS110,125)</v>
      </c>
      <c r="E2119" s="45">
        <v>1.0</v>
      </c>
      <c r="F2119" s="198">
        <v>1044000.0</v>
      </c>
      <c r="G2119" s="142">
        <f t="shared" si="54"/>
        <v>1044000</v>
      </c>
      <c r="H2119" s="142"/>
      <c r="I2119" s="143">
        <f t="shared" si="60"/>
        <v>1044000</v>
      </c>
      <c r="J2119" s="144">
        <f t="shared" si="59"/>
        <v>1044000</v>
      </c>
      <c r="K2119" s="108" t="s">
        <v>7997</v>
      </c>
      <c r="L2119" s="199" t="s">
        <v>4403</v>
      </c>
      <c r="M2119" s="17"/>
      <c r="N2119" s="68"/>
      <c r="O2119" s="68"/>
      <c r="P2119" s="170"/>
      <c r="Q2119" s="149"/>
      <c r="R2119" s="141"/>
      <c r="S2119" s="141"/>
      <c r="T2119" s="141">
        <v>200000.0</v>
      </c>
      <c r="U2119" s="149"/>
      <c r="V2119" s="149"/>
      <c r="W2119" s="149"/>
      <c r="X2119" s="68"/>
      <c r="Y2119" s="68"/>
      <c r="Z2119" s="68"/>
    </row>
    <row r="2120" ht="15.0" customHeight="1">
      <c r="A2120" s="206">
        <v>46065.0</v>
      </c>
      <c r="B2120" s="201" t="s">
        <v>7996</v>
      </c>
      <c r="C2120" s="45" t="s">
        <v>7998</v>
      </c>
      <c r="D2120" s="140" t="str">
        <f>IFERROR(VLOOKUP(C2120,Stock,3,FALSE),"")</f>
        <v>Moulding List Mitsubishi Canter FE700 01- (PS110,125) (Windshield)</v>
      </c>
      <c r="E2120" s="45">
        <v>1.0</v>
      </c>
      <c r="F2120" s="198">
        <v>698000.0</v>
      </c>
      <c r="G2120" s="142">
        <f t="shared" si="54"/>
        <v>698000</v>
      </c>
      <c r="H2120" s="143">
        <v>98000.0</v>
      </c>
      <c r="I2120" s="143">
        <f t="shared" si="60"/>
        <v>600000</v>
      </c>
      <c r="J2120" s="144">
        <f t="shared" si="59"/>
        <v>600000</v>
      </c>
      <c r="K2120" s="108" t="s">
        <v>7997</v>
      </c>
      <c r="L2120" s="199" t="s">
        <v>4403</v>
      </c>
      <c r="M2120" s="17"/>
      <c r="N2120" s="68"/>
      <c r="O2120" s="68"/>
      <c r="P2120" s="170"/>
      <c r="Q2120" s="149"/>
      <c r="R2120" s="149"/>
      <c r="S2120" s="149"/>
      <c r="T2120" s="149"/>
      <c r="U2120" s="149"/>
      <c r="V2120" s="149"/>
      <c r="W2120" s="149"/>
      <c r="X2120" s="68"/>
      <c r="Y2120" s="68"/>
      <c r="Z2120" s="68"/>
    </row>
    <row r="2121" ht="15.0" customHeight="1">
      <c r="A2121" s="206">
        <v>46065.0</v>
      </c>
      <c r="B2121" s="201" t="s">
        <v>7996</v>
      </c>
      <c r="C2121" s="45" t="s">
        <v>2770</v>
      </c>
      <c r="D2121" s="140" t="str">
        <f>IFERROR(VLOOKUP(C2121,Stock,3,FALSE),"")</f>
        <v>Transport</v>
      </c>
      <c r="E2121" s="45">
        <v>1.0</v>
      </c>
      <c r="F2121" s="198">
        <v>100000.0</v>
      </c>
      <c r="G2121" s="142">
        <f t="shared" si="54"/>
        <v>100000</v>
      </c>
      <c r="H2121" s="142"/>
      <c r="I2121" s="143">
        <f t="shared" si="60"/>
        <v>100000</v>
      </c>
      <c r="J2121" s="144">
        <f t="shared" si="59"/>
        <v>100000</v>
      </c>
      <c r="K2121" s="108" t="s">
        <v>7997</v>
      </c>
      <c r="L2121" s="199" t="s">
        <v>4403</v>
      </c>
      <c r="M2121" s="17"/>
      <c r="N2121" s="68"/>
      <c r="O2121" s="68"/>
      <c r="P2121" s="170"/>
      <c r="Q2121" s="149"/>
      <c r="R2121" s="149"/>
      <c r="S2121" s="149"/>
      <c r="T2121" s="149"/>
      <c r="U2121" s="149"/>
      <c r="V2121" s="149"/>
      <c r="W2121" s="149"/>
      <c r="X2121" s="68"/>
      <c r="Y2121" s="68"/>
      <c r="Z2121" s="68"/>
    </row>
    <row r="2122" ht="15.0" customHeight="1">
      <c r="A2122" s="206">
        <v>46064.0</v>
      </c>
      <c r="B2122" s="398" t="s">
        <v>7999</v>
      </c>
      <c r="C2122" s="45" t="s">
        <v>3029</v>
      </c>
      <c r="D2122" s="140" t="str">
        <f>IFERROR(VLOOKUP(C2122,Stock,3,FALSE),"")</f>
        <v>Mitsubishi Canter FE700 01- (PS110,125)</v>
      </c>
      <c r="E2122" s="45">
        <v>1.0</v>
      </c>
      <c r="F2122" s="198">
        <v>994000.0</v>
      </c>
      <c r="G2122" s="142">
        <f t="shared" si="54"/>
        <v>994000</v>
      </c>
      <c r="H2122" s="142"/>
      <c r="I2122" s="143">
        <f t="shared" si="60"/>
        <v>994000</v>
      </c>
      <c r="J2122" s="144">
        <f t="shared" si="59"/>
        <v>994000</v>
      </c>
      <c r="K2122" s="108" t="s">
        <v>8000</v>
      </c>
      <c r="L2122" s="199" t="s">
        <v>6157</v>
      </c>
      <c r="M2122" s="17"/>
      <c r="N2122" s="177" t="s">
        <v>8001</v>
      </c>
      <c r="O2122" s="68"/>
      <c r="P2122" s="170"/>
      <c r="Q2122" s="149"/>
      <c r="R2122" s="149"/>
      <c r="S2122" s="149"/>
      <c r="T2122" s="149"/>
      <c r="U2122" s="149"/>
      <c r="V2122" s="149"/>
      <c r="W2122" s="149"/>
      <c r="X2122" s="68"/>
      <c r="Y2122" s="68"/>
      <c r="Z2122" s="68"/>
    </row>
    <row r="2123" ht="15.0" customHeight="1">
      <c r="A2123" s="206">
        <v>46065.0</v>
      </c>
      <c r="B2123" s="201" t="s">
        <v>8002</v>
      </c>
      <c r="C2123" s="45" t="s">
        <v>8003</v>
      </c>
      <c r="D2123" s="140" t="str">
        <f>IFERROR(VLOOKUP(C2123,Stock,3,FALSE),"")</f>
        <v>Honda CR-V 07-11 3rd Gen</v>
      </c>
      <c r="E2123" s="45">
        <v>1.0</v>
      </c>
      <c r="F2123" s="198">
        <v>1369000.0</v>
      </c>
      <c r="G2123" s="142">
        <f t="shared" si="54"/>
        <v>1369000</v>
      </c>
      <c r="H2123" s="142"/>
      <c r="I2123" s="143">
        <f t="shared" si="60"/>
        <v>1369000</v>
      </c>
      <c r="J2123" s="144">
        <f t="shared" si="59"/>
        <v>1369000</v>
      </c>
      <c r="K2123" s="108" t="s">
        <v>8004</v>
      </c>
      <c r="L2123" s="199" t="s">
        <v>8005</v>
      </c>
      <c r="M2123" s="17"/>
      <c r="N2123" s="64" t="s">
        <v>8006</v>
      </c>
      <c r="O2123" s="68"/>
      <c r="P2123" s="170"/>
      <c r="Q2123" s="149"/>
      <c r="R2123" s="141"/>
      <c r="S2123" s="141"/>
      <c r="T2123" s="141">
        <v>100000.0</v>
      </c>
      <c r="U2123" s="149"/>
      <c r="V2123" s="149"/>
      <c r="W2123" s="149"/>
      <c r="X2123" s="68"/>
      <c r="Y2123" s="68"/>
      <c r="Z2123" s="68"/>
    </row>
    <row r="2124" ht="15.0" customHeight="1">
      <c r="A2124" s="206">
        <v>46065.0</v>
      </c>
      <c r="B2124" s="201" t="s">
        <v>8002</v>
      </c>
      <c r="C2124" s="45" t="s">
        <v>5254</v>
      </c>
      <c r="D2124" s="140" t="str">
        <f>IFERROR(VLOOKUP(C2124,Stock,3,FALSE),"")</f>
        <v>Automotive Film Standard - Black 40%				</v>
      </c>
      <c r="E2124" s="45">
        <v>1.0</v>
      </c>
      <c r="F2124" s="198">
        <v>231000.0</v>
      </c>
      <c r="G2124" s="142">
        <f t="shared" si="54"/>
        <v>231000</v>
      </c>
      <c r="H2124" s="142"/>
      <c r="I2124" s="143">
        <f t="shared" si="60"/>
        <v>231000</v>
      </c>
      <c r="J2124" s="144">
        <f t="shared" si="59"/>
        <v>231000</v>
      </c>
      <c r="K2124" s="108" t="s">
        <v>8004</v>
      </c>
      <c r="L2124" s="199" t="s">
        <v>8005</v>
      </c>
      <c r="M2124" s="17"/>
      <c r="N2124" s="68"/>
      <c r="O2124" s="68"/>
      <c r="P2124" s="170"/>
      <c r="Q2124" s="149"/>
      <c r="R2124" s="149"/>
      <c r="S2124" s="149"/>
      <c r="T2124" s="149"/>
      <c r="U2124" s="149"/>
      <c r="V2124" s="149"/>
      <c r="W2124" s="149"/>
      <c r="X2124" s="68"/>
      <c r="Y2124" s="68"/>
      <c r="Z2124" s="68"/>
    </row>
    <row r="2125" ht="15.0" customHeight="1">
      <c r="A2125" s="206">
        <v>46065.0</v>
      </c>
      <c r="B2125" s="201" t="s">
        <v>8002</v>
      </c>
      <c r="C2125" s="45" t="s">
        <v>2770</v>
      </c>
      <c r="D2125" s="140" t="str">
        <f>IFERROR(VLOOKUP(C2125,Stock,3,FALSE),"")</f>
        <v>Transport</v>
      </c>
      <c r="E2125" s="45">
        <v>1.0</v>
      </c>
      <c r="F2125" s="198">
        <v>50000.0</v>
      </c>
      <c r="G2125" s="142">
        <f t="shared" si="54"/>
        <v>50000</v>
      </c>
      <c r="H2125" s="142"/>
      <c r="I2125" s="143">
        <f t="shared" si="60"/>
        <v>50000</v>
      </c>
      <c r="J2125" s="144">
        <f t="shared" si="59"/>
        <v>50000</v>
      </c>
      <c r="K2125" s="108" t="s">
        <v>8004</v>
      </c>
      <c r="L2125" s="199" t="s">
        <v>8005</v>
      </c>
      <c r="M2125" s="17"/>
      <c r="N2125" s="68"/>
      <c r="O2125" s="68"/>
      <c r="P2125" s="170"/>
      <c r="Q2125" s="149"/>
      <c r="R2125" s="149"/>
      <c r="S2125" s="149"/>
      <c r="T2125" s="149"/>
      <c r="U2125" s="149"/>
      <c r="V2125" s="149"/>
      <c r="W2125" s="149"/>
      <c r="X2125" s="68"/>
      <c r="Y2125" s="68"/>
      <c r="Z2125" s="68"/>
    </row>
    <row r="2126" ht="15.0" customHeight="1">
      <c r="A2126" s="206">
        <v>46065.0</v>
      </c>
      <c r="B2126" s="201" t="s">
        <v>8007</v>
      </c>
      <c r="C2126" s="45" t="s">
        <v>4379</v>
      </c>
      <c r="D2126" s="140" t="str">
        <f>IFERROR(VLOOKUP(C2126,Stock,3,FALSE),"")</f>
        <v>Toyota Yaris 13- 2nd Gen / Vios 14- 3rd Gen</v>
      </c>
      <c r="E2126" s="45">
        <v>1.0</v>
      </c>
      <c r="F2126" s="198">
        <v>1569000.0</v>
      </c>
      <c r="G2126" s="142">
        <f t="shared" si="54"/>
        <v>1569000</v>
      </c>
      <c r="H2126" s="142"/>
      <c r="I2126" s="143">
        <f t="shared" si="60"/>
        <v>1569000</v>
      </c>
      <c r="J2126" s="144">
        <f t="shared" si="59"/>
        <v>1569000</v>
      </c>
      <c r="K2126" s="108" t="s">
        <v>8008</v>
      </c>
      <c r="L2126" s="199" t="s">
        <v>8009</v>
      </c>
      <c r="M2126" s="17"/>
      <c r="N2126" s="64" t="s">
        <v>8010</v>
      </c>
      <c r="O2126" s="64" t="s">
        <v>2813</v>
      </c>
      <c r="P2126" s="170"/>
      <c r="Q2126" s="149"/>
      <c r="R2126" s="149"/>
      <c r="S2126" s="149"/>
      <c r="T2126" s="149"/>
      <c r="U2126" s="149"/>
      <c r="V2126" s="149"/>
      <c r="W2126" s="149"/>
      <c r="X2126" s="64" t="s">
        <v>3309</v>
      </c>
      <c r="Y2126" s="68"/>
      <c r="Z2126" s="68"/>
    </row>
    <row r="2127" ht="15.0" customHeight="1">
      <c r="A2127" s="206">
        <v>46066.0</v>
      </c>
      <c r="B2127" s="201" t="s">
        <v>8011</v>
      </c>
      <c r="C2127" s="45" t="s">
        <v>3756</v>
      </c>
      <c r="D2127" s="140" t="str">
        <f>IFERROR(VLOOKUP(C2127,Stock,3,FALSE),"")</f>
        <v>Daihatsu Gran Max / Luxio 07-</v>
      </c>
      <c r="E2127" s="45">
        <v>1.0</v>
      </c>
      <c r="F2127" s="198">
        <v>500000.0</v>
      </c>
      <c r="G2127" s="142">
        <f t="shared" si="54"/>
        <v>500000</v>
      </c>
      <c r="H2127" s="142"/>
      <c r="I2127" s="143">
        <f t="shared" si="60"/>
        <v>500000</v>
      </c>
      <c r="J2127" s="144">
        <f t="shared" si="59"/>
        <v>500000</v>
      </c>
      <c r="K2127" s="108" t="s">
        <v>8012</v>
      </c>
      <c r="L2127" s="199" t="s">
        <v>8013</v>
      </c>
      <c r="M2127" s="17"/>
      <c r="N2127" s="68"/>
      <c r="O2127" s="68"/>
      <c r="P2127" s="170"/>
      <c r="Q2127" s="141">
        <v>500000.0</v>
      </c>
      <c r="R2127" s="149"/>
      <c r="S2127" s="149"/>
      <c r="T2127" s="149"/>
      <c r="U2127" s="149"/>
      <c r="V2127" s="149"/>
      <c r="W2127" s="149"/>
      <c r="X2127" s="68"/>
      <c r="Y2127" s="68"/>
      <c r="Z2127" s="68"/>
    </row>
    <row r="2128" ht="15.0" customHeight="1">
      <c r="A2128" s="206">
        <v>46066.0</v>
      </c>
      <c r="B2128" s="201" t="s">
        <v>8014</v>
      </c>
      <c r="C2128" s="45" t="s">
        <v>4504</v>
      </c>
      <c r="D2128" s="140" t="str">
        <f>IFERROR(VLOOKUP(C2128,Stock,3,FALSE),"")</f>
        <v>Mitsubishi Xpander 17-21 / Livina 19- 2nd Gen (Mitsubishi)</v>
      </c>
      <c r="E2128" s="45">
        <v>1.0</v>
      </c>
      <c r="F2128" s="198">
        <v>1322000.0</v>
      </c>
      <c r="G2128" s="142">
        <f t="shared" si="54"/>
        <v>1322000</v>
      </c>
      <c r="H2128" s="142"/>
      <c r="I2128" s="143">
        <f t="shared" si="60"/>
        <v>1322000</v>
      </c>
      <c r="J2128" s="144">
        <f t="shared" si="59"/>
        <v>1322000</v>
      </c>
      <c r="K2128" s="108" t="s">
        <v>8015</v>
      </c>
      <c r="L2128" s="199" t="s">
        <v>8016</v>
      </c>
      <c r="M2128" s="17"/>
      <c r="N2128" s="64" t="s">
        <v>8017</v>
      </c>
      <c r="O2128" s="68"/>
      <c r="P2128" s="170"/>
      <c r="Q2128" s="141">
        <v>1322000.0</v>
      </c>
      <c r="R2128" s="141"/>
      <c r="S2128" s="141"/>
      <c r="T2128" s="141">
        <v>100000.0</v>
      </c>
      <c r="U2128" s="149"/>
      <c r="V2128" s="149"/>
      <c r="W2128" s="149"/>
      <c r="X2128" s="68"/>
      <c r="Y2128" s="68"/>
      <c r="Z2128" s="68"/>
    </row>
    <row r="2129" ht="15.0" customHeight="1">
      <c r="A2129" s="206">
        <v>46066.0</v>
      </c>
      <c r="B2129" s="201" t="s">
        <v>8014</v>
      </c>
      <c r="C2129" s="45" t="s">
        <v>2770</v>
      </c>
      <c r="D2129" s="140" t="str">
        <f>IFERROR(VLOOKUP(C2129,Stock,3,FALSE),"")</f>
        <v>Transport</v>
      </c>
      <c r="E2129" s="45">
        <v>1.0</v>
      </c>
      <c r="F2129" s="198">
        <v>300000.0</v>
      </c>
      <c r="G2129" s="142">
        <f t="shared" si="54"/>
        <v>300000</v>
      </c>
      <c r="H2129" s="142"/>
      <c r="I2129" s="143">
        <f t="shared" si="60"/>
        <v>300000</v>
      </c>
      <c r="J2129" s="144"/>
      <c r="K2129" s="108" t="s">
        <v>8015</v>
      </c>
      <c r="L2129" s="199" t="s">
        <v>8016</v>
      </c>
      <c r="M2129" s="17"/>
      <c r="N2129" s="64" t="s">
        <v>8017</v>
      </c>
      <c r="O2129" s="68"/>
      <c r="P2129" s="170"/>
      <c r="Q2129" s="141">
        <v>300000.0</v>
      </c>
      <c r="R2129" s="141"/>
      <c r="S2129" s="141"/>
      <c r="T2129" s="141"/>
      <c r="U2129" s="149"/>
      <c r="V2129" s="149"/>
      <c r="W2129" s="149"/>
      <c r="X2129" s="68"/>
      <c r="Y2129" s="68"/>
      <c r="Z2129" s="68"/>
    </row>
    <row r="2130" ht="15.0" customHeight="1">
      <c r="A2130" s="206">
        <v>46067.0</v>
      </c>
      <c r="B2130" s="201" t="s">
        <v>8018</v>
      </c>
      <c r="C2130" s="45" t="s">
        <v>7940</v>
      </c>
      <c r="D2130" s="140" t="str">
        <f>IFERROR(VLOOKUP(C2130,Stock,3,FALSE),"")</f>
        <v>Isuzu Giga Short (PS190,225) FVR33 (Lebar 195cm)</v>
      </c>
      <c r="E2130" s="45">
        <v>1.0</v>
      </c>
      <c r="F2130" s="198">
        <v>2198000.0</v>
      </c>
      <c r="G2130" s="142">
        <f t="shared" si="54"/>
        <v>2198000</v>
      </c>
      <c r="H2130" s="142"/>
      <c r="I2130" s="143">
        <f t="shared" si="60"/>
        <v>2198000</v>
      </c>
      <c r="J2130" s="144">
        <f t="shared" ref="J2130:J2163" si="61">I2130</f>
        <v>2198000</v>
      </c>
      <c r="K2130" s="108" t="s">
        <v>8019</v>
      </c>
      <c r="L2130" s="199" t="s">
        <v>8020</v>
      </c>
      <c r="M2130" s="17"/>
      <c r="N2130" s="68"/>
      <c r="O2130" s="68"/>
      <c r="P2130" s="170"/>
      <c r="Q2130" s="149"/>
      <c r="R2130" s="141"/>
      <c r="S2130" s="141"/>
      <c r="T2130" s="141">
        <v>100000.0</v>
      </c>
      <c r="U2130" s="149"/>
      <c r="V2130" s="149"/>
      <c r="W2130" s="149"/>
      <c r="X2130" s="68"/>
      <c r="Y2130" s="68"/>
      <c r="Z2130" s="68"/>
    </row>
    <row r="2131" ht="15.0" customHeight="1">
      <c r="A2131" s="206">
        <v>46067.0</v>
      </c>
      <c r="B2131" s="201" t="s">
        <v>8018</v>
      </c>
      <c r="C2131" s="45" t="s">
        <v>2962</v>
      </c>
      <c r="D2131" s="140" t="str">
        <f>IFERROR(VLOOKUP(C2131,Stock,3,FALSE),"")</f>
        <v>Lembur</v>
      </c>
      <c r="E2131" s="45">
        <v>1.0</v>
      </c>
      <c r="F2131" s="198">
        <v>150000.0</v>
      </c>
      <c r="G2131" s="142">
        <f t="shared" si="54"/>
        <v>150000</v>
      </c>
      <c r="H2131" s="142"/>
      <c r="I2131" s="143">
        <f t="shared" si="60"/>
        <v>150000</v>
      </c>
      <c r="J2131" s="144">
        <f t="shared" si="61"/>
        <v>150000</v>
      </c>
      <c r="K2131" s="108" t="s">
        <v>8021</v>
      </c>
      <c r="L2131" s="199" t="s">
        <v>8020</v>
      </c>
      <c r="M2131" s="17"/>
      <c r="N2131" s="68"/>
      <c r="O2131" s="68"/>
      <c r="P2131" s="170"/>
      <c r="Q2131" s="149"/>
      <c r="R2131" s="149"/>
      <c r="S2131" s="149"/>
      <c r="T2131" s="149"/>
      <c r="U2131" s="149"/>
      <c r="V2131" s="149"/>
      <c r="W2131" s="149"/>
      <c r="X2131" s="68"/>
      <c r="Y2131" s="68"/>
      <c r="Z2131" s="68"/>
    </row>
    <row r="2132" ht="15.0" customHeight="1">
      <c r="A2132" s="206">
        <v>46067.0</v>
      </c>
      <c r="B2132" s="201" t="s">
        <v>8018</v>
      </c>
      <c r="C2132" s="45" t="s">
        <v>2770</v>
      </c>
      <c r="D2132" s="140" t="str">
        <f>IFERROR(VLOOKUP(C2132,Stock,3,FALSE),"")</f>
        <v>Transport</v>
      </c>
      <c r="E2132" s="45">
        <v>1.0</v>
      </c>
      <c r="F2132" s="198">
        <v>50000.0</v>
      </c>
      <c r="G2132" s="142">
        <f t="shared" si="54"/>
        <v>50000</v>
      </c>
      <c r="H2132" s="142"/>
      <c r="I2132" s="143">
        <f t="shared" si="60"/>
        <v>50000</v>
      </c>
      <c r="J2132" s="144">
        <f t="shared" si="61"/>
        <v>50000</v>
      </c>
      <c r="K2132" s="108" t="s">
        <v>8021</v>
      </c>
      <c r="L2132" s="199" t="s">
        <v>8020</v>
      </c>
      <c r="M2132" s="17"/>
      <c r="N2132" s="68"/>
      <c r="O2132" s="68"/>
      <c r="P2132" s="170"/>
      <c r="Q2132" s="149"/>
      <c r="R2132" s="149"/>
      <c r="S2132" s="149"/>
      <c r="T2132" s="149"/>
      <c r="U2132" s="149"/>
      <c r="V2132" s="149"/>
      <c r="W2132" s="149"/>
      <c r="X2132" s="68"/>
      <c r="Y2132" s="68"/>
      <c r="Z2132" s="68"/>
    </row>
    <row r="2133" ht="15.0" customHeight="1">
      <c r="A2133" s="206">
        <v>46066.0</v>
      </c>
      <c r="B2133" s="398" t="s">
        <v>8022</v>
      </c>
      <c r="C2133" s="45" t="s">
        <v>5062</v>
      </c>
      <c r="D2133" s="140" t="str">
        <f>IFERROR(VLOOKUP(C2133,Stock,3,FALSE),"")</f>
        <v>Honda CR-V 17-23 5th Gen (Honda)</v>
      </c>
      <c r="E2133" s="17"/>
      <c r="F2133" s="198">
        <v>100000.0</v>
      </c>
      <c r="G2133" s="142">
        <f t="shared" si="54"/>
        <v>0</v>
      </c>
      <c r="H2133" s="142"/>
      <c r="I2133" s="143">
        <v>100000.0</v>
      </c>
      <c r="J2133" s="144">
        <f t="shared" si="61"/>
        <v>100000</v>
      </c>
      <c r="K2133" s="108" t="s">
        <v>8023</v>
      </c>
      <c r="L2133" s="17"/>
      <c r="M2133" s="17"/>
      <c r="N2133" s="68"/>
      <c r="O2133" s="68"/>
      <c r="P2133" s="170"/>
      <c r="Q2133" s="149"/>
      <c r="R2133" s="141"/>
      <c r="S2133" s="141"/>
      <c r="T2133" s="141">
        <v>100000.0</v>
      </c>
      <c r="U2133" s="149"/>
      <c r="V2133" s="149"/>
      <c r="W2133" s="149"/>
      <c r="X2133" s="68"/>
      <c r="Y2133" s="68"/>
      <c r="Z2133" s="68"/>
    </row>
    <row r="2134" ht="15.0" customHeight="1">
      <c r="A2134" s="206">
        <v>46067.0</v>
      </c>
      <c r="B2134" s="201" t="s">
        <v>8024</v>
      </c>
      <c r="C2134" s="45" t="s">
        <v>4383</v>
      </c>
      <c r="D2134" s="140" t="str">
        <f>IFERROR(VLOOKUP(C2134,Stock,3,FALSE),"")</f>
        <v>Honda HR-V 14-21 5D SUV</v>
      </c>
      <c r="E2134" s="45">
        <v>1.0</v>
      </c>
      <c r="F2134" s="198">
        <v>1856000.0</v>
      </c>
      <c r="G2134" s="142">
        <f t="shared" si="54"/>
        <v>1856000</v>
      </c>
      <c r="H2134" s="142"/>
      <c r="I2134" s="143">
        <f t="shared" ref="I2134:I2172" si="62">G2134-H2134</f>
        <v>1856000</v>
      </c>
      <c r="J2134" s="144">
        <f t="shared" si="61"/>
        <v>1856000</v>
      </c>
      <c r="K2134" s="108" t="s">
        <v>8025</v>
      </c>
      <c r="L2134" s="17"/>
      <c r="M2134" s="17"/>
      <c r="N2134" s="64" t="s">
        <v>8026</v>
      </c>
      <c r="O2134" s="64" t="s">
        <v>3536</v>
      </c>
      <c r="P2134" s="170"/>
      <c r="Q2134" s="149"/>
      <c r="R2134" s="141"/>
      <c r="S2134" s="141"/>
      <c r="T2134" s="141">
        <v>100000.0</v>
      </c>
      <c r="U2134" s="149"/>
      <c r="V2134" s="149"/>
      <c r="W2134" s="149"/>
      <c r="X2134" s="68"/>
      <c r="Y2134" s="68"/>
      <c r="Z2134" s="68"/>
    </row>
    <row r="2135" ht="15.0" customHeight="1">
      <c r="A2135" s="206">
        <v>46067.0</v>
      </c>
      <c r="B2135" s="201" t="s">
        <v>8024</v>
      </c>
      <c r="C2135" s="45" t="s">
        <v>2770</v>
      </c>
      <c r="D2135" s="140" t="str">
        <f>IFERROR(VLOOKUP(C2135,Stock,3,FALSE),"")</f>
        <v>Transport</v>
      </c>
      <c r="E2135" s="45">
        <v>1.0</v>
      </c>
      <c r="F2135" s="198">
        <v>50000.0</v>
      </c>
      <c r="G2135" s="142">
        <f t="shared" si="54"/>
        <v>50000</v>
      </c>
      <c r="H2135" s="142"/>
      <c r="I2135" s="143">
        <f t="shared" si="62"/>
        <v>50000</v>
      </c>
      <c r="J2135" s="144">
        <f t="shared" si="61"/>
        <v>50000</v>
      </c>
      <c r="K2135" s="108" t="s">
        <v>8025</v>
      </c>
      <c r="L2135" s="17"/>
      <c r="M2135" s="17"/>
      <c r="N2135" s="64" t="s">
        <v>8026</v>
      </c>
      <c r="O2135" s="64" t="s">
        <v>3536</v>
      </c>
      <c r="P2135" s="170"/>
      <c r="Q2135" s="149"/>
      <c r="R2135" s="149"/>
      <c r="S2135" s="149"/>
      <c r="T2135" s="149"/>
      <c r="U2135" s="149"/>
      <c r="V2135" s="149"/>
      <c r="W2135" s="149"/>
      <c r="X2135" s="68"/>
      <c r="Y2135" s="68"/>
      <c r="Z2135" s="68"/>
    </row>
    <row r="2136" ht="15.0" customHeight="1">
      <c r="A2136" s="206">
        <v>46067.0</v>
      </c>
      <c r="B2136" s="201" t="s">
        <v>8027</v>
      </c>
      <c r="C2136" s="45" t="s">
        <v>8028</v>
      </c>
      <c r="D2136" s="140" t="str">
        <f>IFERROR(VLOOKUP(C2136,Stock,3,FALSE),"")</f>
        <v>Wuling Binguo</v>
      </c>
      <c r="E2136" s="45">
        <v>1.0</v>
      </c>
      <c r="F2136" s="198">
        <v>3371000.0</v>
      </c>
      <c r="G2136" s="142">
        <f t="shared" si="54"/>
        <v>3371000</v>
      </c>
      <c r="H2136" s="142"/>
      <c r="I2136" s="143">
        <f t="shared" si="62"/>
        <v>3371000</v>
      </c>
      <c r="J2136" s="144">
        <f t="shared" si="61"/>
        <v>3371000</v>
      </c>
      <c r="K2136" s="108" t="s">
        <v>8029</v>
      </c>
      <c r="L2136" s="199" t="s">
        <v>8030</v>
      </c>
      <c r="M2136" s="17"/>
      <c r="N2136" s="68"/>
      <c r="O2136" s="68"/>
      <c r="P2136" s="170"/>
      <c r="Q2136" s="149"/>
      <c r="R2136" s="141"/>
      <c r="S2136" s="141"/>
      <c r="T2136" s="141">
        <v>100000.0</v>
      </c>
      <c r="U2136" s="149"/>
      <c r="V2136" s="149"/>
      <c r="W2136" s="149"/>
      <c r="X2136" s="68"/>
      <c r="Y2136" s="68"/>
      <c r="Z2136" s="68"/>
    </row>
    <row r="2137" ht="15.0" customHeight="1">
      <c r="A2137" s="206">
        <v>46066.0</v>
      </c>
      <c r="B2137" s="398" t="s">
        <v>8031</v>
      </c>
      <c r="C2137" s="45" t="s">
        <v>2830</v>
      </c>
      <c r="D2137" s="140" t="str">
        <f>IFERROR(VLOOKUP(C2137,Stock,3,FALSE),"")</f>
        <v/>
      </c>
      <c r="E2137" s="17"/>
      <c r="F2137" s="202"/>
      <c r="G2137" s="142"/>
      <c r="H2137" s="142"/>
      <c r="I2137" s="143">
        <f t="shared" si="62"/>
        <v>0</v>
      </c>
      <c r="J2137" s="144">
        <f t="shared" si="61"/>
        <v>0</v>
      </c>
      <c r="K2137" s="108"/>
      <c r="L2137" s="45"/>
      <c r="M2137" s="17"/>
      <c r="N2137" s="68"/>
      <c r="O2137" s="68"/>
      <c r="P2137" s="170"/>
      <c r="Q2137" s="149"/>
      <c r="R2137" s="141"/>
      <c r="S2137" s="141"/>
      <c r="T2137" s="141">
        <v>100000.0</v>
      </c>
      <c r="U2137" s="149"/>
      <c r="V2137" s="149"/>
      <c r="W2137" s="149"/>
      <c r="X2137" s="68"/>
      <c r="Y2137" s="68"/>
      <c r="Z2137" s="68"/>
    </row>
    <row r="2138" ht="15.0" customHeight="1">
      <c r="A2138" s="206">
        <v>46067.0</v>
      </c>
      <c r="B2138" s="201" t="s">
        <v>8032</v>
      </c>
      <c r="C2138" s="64" t="s">
        <v>5460</v>
      </c>
      <c r="D2138" s="140" t="str">
        <f>IFERROR(VLOOKUP(C2138,Stock,3,FALSE),"")</f>
        <v>Toyota Avanza / Xenia 11-15 2nd Gen / 15-21 3rd Gen</v>
      </c>
      <c r="E2138" s="45">
        <v>1.0</v>
      </c>
      <c r="F2138" s="198">
        <v>550000.0</v>
      </c>
      <c r="G2138" s="142">
        <f t="shared" ref="G2138:G2220" si="63">E2138*F2138</f>
        <v>550000</v>
      </c>
      <c r="H2138" s="142"/>
      <c r="I2138" s="143">
        <f t="shared" si="62"/>
        <v>550000</v>
      </c>
      <c r="J2138" s="144">
        <f t="shared" si="61"/>
        <v>550000</v>
      </c>
      <c r="K2138" s="108" t="s">
        <v>8033</v>
      </c>
      <c r="L2138" s="199" t="s">
        <v>8034</v>
      </c>
      <c r="M2138" s="17"/>
      <c r="N2138" s="68"/>
      <c r="O2138" s="68"/>
      <c r="P2138" s="170"/>
      <c r="Q2138" s="149"/>
      <c r="R2138" s="149"/>
      <c r="S2138" s="149"/>
      <c r="T2138" s="149"/>
      <c r="U2138" s="149"/>
      <c r="V2138" s="149"/>
      <c r="W2138" s="149"/>
      <c r="X2138" s="68"/>
      <c r="Y2138" s="68"/>
      <c r="Z2138" s="68"/>
    </row>
    <row r="2139" ht="15.0" customHeight="1">
      <c r="A2139" s="206">
        <v>46067.0</v>
      </c>
      <c r="B2139" s="201" t="s">
        <v>8032</v>
      </c>
      <c r="C2139" s="45" t="s">
        <v>7011</v>
      </c>
      <c r="D2139" s="140" t="str">
        <f>IFERROR(VLOOKUP(C2139,Stock,3,FALSE),"")</f>
        <v>Automotive Film Standard - Black 40%				</v>
      </c>
      <c r="E2139" s="45">
        <v>1.0</v>
      </c>
      <c r="F2139" s="198">
        <v>200000.0</v>
      </c>
      <c r="G2139" s="142">
        <f t="shared" si="63"/>
        <v>200000</v>
      </c>
      <c r="H2139" s="142"/>
      <c r="I2139" s="143">
        <f t="shared" si="62"/>
        <v>200000</v>
      </c>
      <c r="J2139" s="144">
        <f t="shared" si="61"/>
        <v>200000</v>
      </c>
      <c r="K2139" s="108" t="s">
        <v>8033</v>
      </c>
      <c r="L2139" s="199" t="s">
        <v>8034</v>
      </c>
      <c r="M2139" s="17"/>
      <c r="N2139" s="68"/>
      <c r="O2139" s="68"/>
      <c r="P2139" s="170"/>
      <c r="Q2139" s="149"/>
      <c r="R2139" s="149"/>
      <c r="S2139" s="149"/>
      <c r="T2139" s="149"/>
      <c r="U2139" s="149"/>
      <c r="V2139" s="149"/>
      <c r="W2139" s="149"/>
      <c r="X2139" s="68"/>
      <c r="Y2139" s="68"/>
      <c r="Z2139" s="68"/>
    </row>
    <row r="2140" ht="15.0" customHeight="1">
      <c r="A2140" s="206">
        <v>46067.0</v>
      </c>
      <c r="B2140" s="201" t="s">
        <v>8035</v>
      </c>
      <c r="C2140" s="45" t="s">
        <v>5313</v>
      </c>
      <c r="D2140" s="140" t="str">
        <f>IFERROR(VLOOKUP(C2140,Stock,3,FALSE),"")</f>
        <v>Toyota Yaris 05-13 XP90 1st Gen</v>
      </c>
      <c r="E2140" s="45">
        <v>1.0</v>
      </c>
      <c r="F2140" s="198">
        <v>1400000.0</v>
      </c>
      <c r="G2140" s="142">
        <f t="shared" si="63"/>
        <v>1400000</v>
      </c>
      <c r="H2140" s="142"/>
      <c r="I2140" s="143">
        <f t="shared" si="62"/>
        <v>1400000</v>
      </c>
      <c r="J2140" s="144">
        <f t="shared" si="61"/>
        <v>1400000</v>
      </c>
      <c r="K2140" s="108" t="s">
        <v>8036</v>
      </c>
      <c r="L2140" s="199" t="s">
        <v>8037</v>
      </c>
      <c r="M2140" s="17"/>
      <c r="N2140" s="64" t="s">
        <v>8038</v>
      </c>
      <c r="O2140" s="68"/>
      <c r="P2140" s="170"/>
      <c r="Q2140" s="149"/>
      <c r="R2140" s="149"/>
      <c r="S2140" s="149"/>
      <c r="T2140" s="149"/>
      <c r="U2140" s="149"/>
      <c r="V2140" s="149"/>
      <c r="W2140" s="149"/>
      <c r="X2140" s="68"/>
      <c r="Y2140" s="68"/>
      <c r="Z2140" s="68"/>
    </row>
    <row r="2141" ht="15.0" customHeight="1">
      <c r="A2141" s="206">
        <v>46067.0</v>
      </c>
      <c r="B2141" s="201" t="s">
        <v>8039</v>
      </c>
      <c r="C2141" s="45" t="s">
        <v>7319</v>
      </c>
      <c r="D2141" s="140" t="str">
        <f>IFERROR(VLOOKUP(C2141,Stock,3,FALSE),"")</f>
        <v>Honda CR-V 07-11 3rd Gen</v>
      </c>
      <c r="E2141" s="45">
        <v>1.0</v>
      </c>
      <c r="F2141" s="198">
        <v>1752000.0</v>
      </c>
      <c r="G2141" s="142">
        <f t="shared" si="63"/>
        <v>1752000</v>
      </c>
      <c r="H2141" s="142"/>
      <c r="I2141" s="143">
        <f t="shared" si="62"/>
        <v>1752000</v>
      </c>
      <c r="J2141" s="144">
        <f t="shared" si="61"/>
        <v>1752000</v>
      </c>
      <c r="K2141" s="108" t="s">
        <v>8040</v>
      </c>
      <c r="L2141" s="199" t="s">
        <v>8041</v>
      </c>
      <c r="M2141" s="17"/>
      <c r="N2141" s="64" t="s">
        <v>8042</v>
      </c>
      <c r="O2141" s="68"/>
      <c r="P2141" s="170"/>
      <c r="Q2141" s="149"/>
      <c r="R2141" s="149"/>
      <c r="S2141" s="149"/>
      <c r="T2141" s="149"/>
      <c r="U2141" s="149"/>
      <c r="V2141" s="149"/>
      <c r="W2141" s="149"/>
      <c r="X2141" s="68"/>
      <c r="Y2141" s="68"/>
      <c r="Z2141" s="68"/>
    </row>
    <row r="2142" ht="15.0" customHeight="1">
      <c r="A2142" s="206">
        <v>46067.0</v>
      </c>
      <c r="B2142" s="201" t="s">
        <v>8043</v>
      </c>
      <c r="C2142" s="45" t="s">
        <v>5689</v>
      </c>
      <c r="D2142" s="140" t="str">
        <f>IFERROR(VLOOKUP(C2142,Stock,3,FALSE),"")</f>
        <v>Toyota Avanza / Xenia 21- 4th Gen ( Sensor)</v>
      </c>
      <c r="E2142" s="45">
        <v>1.0</v>
      </c>
      <c r="F2142" s="198">
        <v>2000000.0</v>
      </c>
      <c r="G2142" s="142">
        <f t="shared" si="63"/>
        <v>2000000</v>
      </c>
      <c r="H2142" s="142"/>
      <c r="I2142" s="143">
        <f t="shared" si="62"/>
        <v>2000000</v>
      </c>
      <c r="J2142" s="144">
        <f t="shared" si="61"/>
        <v>2000000</v>
      </c>
      <c r="K2142" s="108" t="s">
        <v>8044</v>
      </c>
      <c r="L2142" s="199" t="s">
        <v>8045</v>
      </c>
      <c r="M2142" s="17"/>
      <c r="N2142" s="68"/>
      <c r="O2142" s="68"/>
      <c r="P2142" s="170"/>
      <c r="Q2142" s="149"/>
      <c r="R2142" s="149"/>
      <c r="S2142" s="149"/>
      <c r="T2142" s="149"/>
      <c r="U2142" s="149"/>
      <c r="V2142" s="149"/>
      <c r="W2142" s="149"/>
      <c r="X2142" s="68"/>
      <c r="Y2142" s="68"/>
      <c r="Z2142" s="68"/>
    </row>
    <row r="2143" ht="15.0" customHeight="1">
      <c r="A2143" s="206">
        <v>46067.0</v>
      </c>
      <c r="B2143" s="201" t="s">
        <v>8043</v>
      </c>
      <c r="C2143" s="45" t="s">
        <v>7011</v>
      </c>
      <c r="D2143" s="140" t="str">
        <f>IFERROR(VLOOKUP(C2143,Stock,3,FALSE),"")</f>
        <v>Automotive Film Standard - Black 40%				</v>
      </c>
      <c r="E2143" s="45">
        <v>1.0</v>
      </c>
      <c r="F2143" s="198">
        <v>350000.0</v>
      </c>
      <c r="G2143" s="142">
        <f t="shared" si="63"/>
        <v>350000</v>
      </c>
      <c r="H2143" s="142"/>
      <c r="I2143" s="143">
        <f t="shared" si="62"/>
        <v>350000</v>
      </c>
      <c r="J2143" s="144">
        <f t="shared" si="61"/>
        <v>350000</v>
      </c>
      <c r="K2143" s="108" t="s">
        <v>8044</v>
      </c>
      <c r="L2143" s="199" t="s">
        <v>8045</v>
      </c>
      <c r="M2143" s="17"/>
      <c r="N2143" s="68"/>
      <c r="O2143" s="68"/>
      <c r="P2143" s="170"/>
      <c r="Q2143" s="149"/>
      <c r="R2143" s="149"/>
      <c r="S2143" s="149"/>
      <c r="T2143" s="149"/>
      <c r="U2143" s="149"/>
      <c r="V2143" s="149"/>
      <c r="W2143" s="149"/>
      <c r="X2143" s="68"/>
      <c r="Y2143" s="68"/>
      <c r="Z2143" s="68"/>
    </row>
    <row r="2144" ht="15.0" customHeight="1">
      <c r="A2144" s="206">
        <v>46067.0</v>
      </c>
      <c r="B2144" s="201" t="s">
        <v>8046</v>
      </c>
      <c r="C2144" s="45" t="s">
        <v>4292</v>
      </c>
      <c r="D2144" s="140" t="str">
        <f>IFERROR(VLOOKUP(C2144,Stock,3,FALSE),"")</f>
        <v>Honda BR-V 22- 2nd Gen / WRV 23- (Honda)</v>
      </c>
      <c r="E2144" s="45">
        <v>1.0</v>
      </c>
      <c r="F2144" s="198">
        <v>2802000.0</v>
      </c>
      <c r="G2144" s="142">
        <f t="shared" si="63"/>
        <v>2802000</v>
      </c>
      <c r="H2144" s="142"/>
      <c r="I2144" s="143">
        <f t="shared" si="62"/>
        <v>2802000</v>
      </c>
      <c r="J2144" s="144">
        <f t="shared" si="61"/>
        <v>2802000</v>
      </c>
      <c r="K2144" s="108" t="s">
        <v>8047</v>
      </c>
      <c r="L2144" s="199" t="s">
        <v>8048</v>
      </c>
      <c r="M2144" s="17"/>
      <c r="N2144" s="64" t="s">
        <v>8049</v>
      </c>
      <c r="O2144" s="68"/>
      <c r="P2144" s="170"/>
      <c r="Q2144" s="149"/>
      <c r="R2144" s="149"/>
      <c r="S2144" s="149"/>
      <c r="T2144" s="149"/>
      <c r="U2144" s="149"/>
      <c r="V2144" s="149"/>
      <c r="W2144" s="149"/>
      <c r="X2144" s="68"/>
      <c r="Y2144" s="68"/>
      <c r="Z2144" s="68"/>
    </row>
    <row r="2145" ht="15.0" customHeight="1">
      <c r="A2145" s="206">
        <v>46067.0</v>
      </c>
      <c r="B2145" s="201" t="s">
        <v>8046</v>
      </c>
      <c r="C2145" s="153" t="s">
        <v>4017</v>
      </c>
      <c r="D2145" s="140" t="str">
        <f>IFERROR(VLOOKUP(C2145,Stock,3,FALSE),"")</f>
        <v>Black Phantom Solar Gard</v>
      </c>
      <c r="E2145" s="45">
        <v>1.0</v>
      </c>
      <c r="F2145" s="198">
        <v>1375000.0</v>
      </c>
      <c r="G2145" s="142">
        <f t="shared" si="63"/>
        <v>1375000</v>
      </c>
      <c r="H2145" s="142"/>
      <c r="I2145" s="143">
        <f t="shared" si="62"/>
        <v>1375000</v>
      </c>
      <c r="J2145" s="144">
        <f t="shared" si="61"/>
        <v>1375000</v>
      </c>
      <c r="K2145" s="108" t="s">
        <v>8047</v>
      </c>
      <c r="L2145" s="199" t="s">
        <v>8048</v>
      </c>
      <c r="M2145" s="17"/>
      <c r="N2145" s="64" t="s">
        <v>8049</v>
      </c>
      <c r="O2145" s="68"/>
      <c r="P2145" s="170"/>
      <c r="Q2145" s="149"/>
      <c r="R2145" s="149"/>
      <c r="S2145" s="149"/>
      <c r="T2145" s="149"/>
      <c r="U2145" s="149"/>
      <c r="V2145" s="149"/>
      <c r="W2145" s="149"/>
      <c r="X2145" s="68"/>
      <c r="Y2145" s="68"/>
      <c r="Z2145" s="68"/>
    </row>
    <row r="2146" ht="15.0" customHeight="1">
      <c r="A2146" s="206">
        <v>46067.0</v>
      </c>
      <c r="B2146" s="201" t="s">
        <v>8050</v>
      </c>
      <c r="C2146" s="45" t="s">
        <v>8051</v>
      </c>
      <c r="D2146" s="140" t="str">
        <f>IFERROR(VLOOKUP(C2146,Stock,3,FALSE),"")</f>
        <v>Toyota Yaris 05-13 XP90 1st Gen (Toyota)</v>
      </c>
      <c r="E2146" s="45">
        <v>1.0</v>
      </c>
      <c r="F2146" s="198">
        <v>832000.0</v>
      </c>
      <c r="G2146" s="142">
        <f t="shared" si="63"/>
        <v>832000</v>
      </c>
      <c r="H2146" s="142"/>
      <c r="I2146" s="143">
        <f t="shared" si="62"/>
        <v>832000</v>
      </c>
      <c r="J2146" s="144">
        <f t="shared" si="61"/>
        <v>832000</v>
      </c>
      <c r="K2146" s="108" t="s">
        <v>8052</v>
      </c>
      <c r="L2146" s="199" t="s">
        <v>8053</v>
      </c>
      <c r="M2146" s="17"/>
      <c r="N2146" s="68"/>
      <c r="O2146" s="68"/>
      <c r="P2146" s="170"/>
      <c r="Q2146" s="149"/>
      <c r="R2146" s="149"/>
      <c r="S2146" s="149"/>
      <c r="T2146" s="149"/>
      <c r="U2146" s="149"/>
      <c r="V2146" s="149"/>
      <c r="W2146" s="149"/>
      <c r="X2146" s="68"/>
      <c r="Y2146" s="68"/>
      <c r="Z2146" s="68"/>
    </row>
    <row r="2147" ht="15.0" customHeight="1">
      <c r="A2147" s="206">
        <v>46067.0</v>
      </c>
      <c r="B2147" s="201" t="s">
        <v>8050</v>
      </c>
      <c r="C2147" s="45" t="s">
        <v>2770</v>
      </c>
      <c r="D2147" s="140" t="str">
        <f>IFERROR(VLOOKUP(C2147,Stock,3,FALSE),"")</f>
        <v>Transport</v>
      </c>
      <c r="E2147" s="45">
        <v>1.0</v>
      </c>
      <c r="F2147" s="198">
        <v>50000.0</v>
      </c>
      <c r="G2147" s="142">
        <f t="shared" si="63"/>
        <v>50000</v>
      </c>
      <c r="H2147" s="142"/>
      <c r="I2147" s="143">
        <f t="shared" si="62"/>
        <v>50000</v>
      </c>
      <c r="J2147" s="144">
        <f t="shared" si="61"/>
        <v>50000</v>
      </c>
      <c r="K2147" s="108" t="s">
        <v>8052</v>
      </c>
      <c r="L2147" s="199" t="s">
        <v>8053</v>
      </c>
      <c r="M2147" s="17"/>
      <c r="N2147" s="68"/>
      <c r="O2147" s="68"/>
      <c r="P2147" s="170"/>
      <c r="Q2147" s="149"/>
      <c r="R2147" s="149"/>
      <c r="S2147" s="149"/>
      <c r="T2147" s="149"/>
      <c r="U2147" s="149"/>
      <c r="V2147" s="149"/>
      <c r="W2147" s="149"/>
      <c r="X2147" s="68"/>
      <c r="Y2147" s="68"/>
      <c r="Z2147" s="68"/>
    </row>
    <row r="2148" ht="15.0" customHeight="1">
      <c r="A2148" s="206">
        <v>46067.0</v>
      </c>
      <c r="B2148" s="201" t="s">
        <v>8054</v>
      </c>
      <c r="C2148" s="45" t="s">
        <v>8055</v>
      </c>
      <c r="D2148" s="140" t="str">
        <f>IFERROR(VLOOKUP(C2148,Stock,3,FALSE),"")</f>
        <v>Hyundai Creta 22-</v>
      </c>
      <c r="E2148" s="45">
        <v>1.0</v>
      </c>
      <c r="F2148" s="198">
        <v>890000.0</v>
      </c>
      <c r="G2148" s="142">
        <f t="shared" si="63"/>
        <v>890000</v>
      </c>
      <c r="H2148" s="142"/>
      <c r="I2148" s="143">
        <f t="shared" si="62"/>
        <v>890000</v>
      </c>
      <c r="J2148" s="144">
        <f t="shared" si="61"/>
        <v>890000</v>
      </c>
      <c r="K2148" s="200"/>
      <c r="L2148" s="17"/>
      <c r="M2148" s="17"/>
      <c r="N2148" s="64" t="s">
        <v>8056</v>
      </c>
      <c r="O2148" s="68"/>
      <c r="P2148" s="170"/>
      <c r="Q2148" s="149"/>
      <c r="R2148" s="149"/>
      <c r="S2148" s="149"/>
      <c r="T2148" s="149"/>
      <c r="U2148" s="149"/>
      <c r="V2148" s="149"/>
      <c r="W2148" s="149"/>
      <c r="X2148" s="68"/>
      <c r="Y2148" s="68"/>
      <c r="Z2148" s="68"/>
    </row>
    <row r="2149" ht="15.0" customHeight="1">
      <c r="A2149" s="206">
        <v>46067.0</v>
      </c>
      <c r="B2149" s="201" t="s">
        <v>8054</v>
      </c>
      <c r="C2149" s="45" t="s">
        <v>2770</v>
      </c>
      <c r="D2149" s="140" t="str">
        <f>IFERROR(VLOOKUP(C2149,Stock,3,FALSE),"")</f>
        <v>Transport</v>
      </c>
      <c r="E2149" s="45">
        <v>1.0</v>
      </c>
      <c r="F2149" s="198">
        <v>150000.0</v>
      </c>
      <c r="G2149" s="142">
        <f t="shared" si="63"/>
        <v>150000</v>
      </c>
      <c r="H2149" s="142"/>
      <c r="I2149" s="143">
        <f t="shared" si="62"/>
        <v>150000</v>
      </c>
      <c r="J2149" s="144">
        <f t="shared" si="61"/>
        <v>150000</v>
      </c>
      <c r="K2149" s="200"/>
      <c r="L2149" s="17"/>
      <c r="M2149" s="17"/>
      <c r="N2149" s="68"/>
      <c r="O2149" s="68"/>
      <c r="P2149" s="170"/>
      <c r="Q2149" s="149"/>
      <c r="R2149" s="149"/>
      <c r="S2149" s="149"/>
      <c r="T2149" s="149"/>
      <c r="U2149" s="149"/>
      <c r="V2149" s="149"/>
      <c r="W2149" s="149"/>
      <c r="X2149" s="68"/>
      <c r="Y2149" s="68"/>
      <c r="Z2149" s="68"/>
    </row>
    <row r="2150" ht="15.0" customHeight="1">
      <c r="A2150" s="206">
        <v>46067.0</v>
      </c>
      <c r="B2150" s="201" t="s">
        <v>8057</v>
      </c>
      <c r="C2150" s="45" t="s">
        <v>8058</v>
      </c>
      <c r="D2150" s="140" t="str">
        <f>IFERROR(VLOOKUP(C2150,Stock,3,FALSE),"")</f>
        <v>Hyundai Stargazer 22-</v>
      </c>
      <c r="E2150" s="45">
        <v>1.0</v>
      </c>
      <c r="F2150" s="198">
        <v>650000.0</v>
      </c>
      <c r="G2150" s="142">
        <f t="shared" si="63"/>
        <v>650000</v>
      </c>
      <c r="H2150" s="142"/>
      <c r="I2150" s="143">
        <f t="shared" si="62"/>
        <v>650000</v>
      </c>
      <c r="J2150" s="144">
        <f t="shared" si="61"/>
        <v>650000</v>
      </c>
      <c r="K2150" s="108" t="s">
        <v>8059</v>
      </c>
      <c r="L2150" s="199" t="s">
        <v>8060</v>
      </c>
      <c r="M2150" s="17"/>
      <c r="N2150" s="64" t="s">
        <v>8061</v>
      </c>
      <c r="O2150" s="68"/>
      <c r="P2150" s="170"/>
      <c r="Q2150" s="149"/>
      <c r="R2150" s="149"/>
      <c r="S2150" s="149"/>
      <c r="T2150" s="149"/>
      <c r="U2150" s="149"/>
      <c r="V2150" s="149"/>
      <c r="W2150" s="149"/>
      <c r="X2150" s="68"/>
      <c r="Y2150" s="68"/>
      <c r="Z2150" s="68"/>
    </row>
    <row r="2151" ht="15.0" customHeight="1">
      <c r="A2151" s="206">
        <v>46067.0</v>
      </c>
      <c r="B2151" s="201" t="s">
        <v>8057</v>
      </c>
      <c r="C2151" s="45" t="s">
        <v>5254</v>
      </c>
      <c r="D2151" s="140" t="str">
        <f>IFERROR(VLOOKUP(C2151,Stock,3,FALSE),"")</f>
        <v>Automotive Film Standard - Black 40%				</v>
      </c>
      <c r="E2151" s="45">
        <v>1.0</v>
      </c>
      <c r="F2151" s="198">
        <v>150000.0</v>
      </c>
      <c r="G2151" s="142">
        <f t="shared" si="63"/>
        <v>150000</v>
      </c>
      <c r="H2151" s="143">
        <v>50000.0</v>
      </c>
      <c r="I2151" s="143">
        <f t="shared" si="62"/>
        <v>100000</v>
      </c>
      <c r="J2151" s="144">
        <f t="shared" si="61"/>
        <v>100000</v>
      </c>
      <c r="K2151" s="108" t="s">
        <v>8059</v>
      </c>
      <c r="L2151" s="199" t="s">
        <v>8060</v>
      </c>
      <c r="M2151" s="17"/>
      <c r="N2151" s="64" t="s">
        <v>8061</v>
      </c>
      <c r="O2151" s="68"/>
      <c r="P2151" s="170"/>
      <c r="Q2151" s="149"/>
      <c r="R2151" s="149"/>
      <c r="S2151" s="149"/>
      <c r="T2151" s="149"/>
      <c r="U2151" s="149"/>
      <c r="V2151" s="149"/>
      <c r="W2151" s="149"/>
      <c r="X2151" s="68"/>
      <c r="Y2151" s="68"/>
      <c r="Z2151" s="68"/>
    </row>
    <row r="2152" ht="15.0" customHeight="1">
      <c r="A2152" s="206">
        <v>46067.0</v>
      </c>
      <c r="B2152" s="201" t="s">
        <v>8057</v>
      </c>
      <c r="C2152" s="45" t="s">
        <v>2770</v>
      </c>
      <c r="D2152" s="140" t="str">
        <f>IFERROR(VLOOKUP(C2152,Stock,3,FALSE),"")</f>
        <v>Transport</v>
      </c>
      <c r="E2152" s="45">
        <v>1.0</v>
      </c>
      <c r="F2152" s="198">
        <v>175000.0</v>
      </c>
      <c r="G2152" s="142">
        <f t="shared" si="63"/>
        <v>175000</v>
      </c>
      <c r="H2152" s="142"/>
      <c r="I2152" s="143">
        <f t="shared" si="62"/>
        <v>175000</v>
      </c>
      <c r="J2152" s="144">
        <f t="shared" si="61"/>
        <v>175000</v>
      </c>
      <c r="K2152" s="108" t="s">
        <v>8059</v>
      </c>
      <c r="L2152" s="199" t="s">
        <v>8060</v>
      </c>
      <c r="M2152" s="17"/>
      <c r="N2152" s="64" t="s">
        <v>8061</v>
      </c>
      <c r="O2152" s="68"/>
      <c r="P2152" s="170"/>
      <c r="Q2152" s="149"/>
      <c r="R2152" s="149"/>
      <c r="S2152" s="149"/>
      <c r="T2152" s="149"/>
      <c r="U2152" s="149"/>
      <c r="V2152" s="149"/>
      <c r="W2152" s="149"/>
      <c r="X2152" s="68"/>
      <c r="Y2152" s="68"/>
      <c r="Z2152" s="68"/>
    </row>
    <row r="2153" ht="15.0" customHeight="1">
      <c r="A2153" s="206">
        <v>46067.0</v>
      </c>
      <c r="B2153" s="201" t="s">
        <v>8057</v>
      </c>
      <c r="C2153" s="45" t="s">
        <v>2770</v>
      </c>
      <c r="D2153" s="140" t="str">
        <f>IFERROR(VLOOKUP(C2153,Stock,3,FALSE),"")</f>
        <v>Transport</v>
      </c>
      <c r="E2153" s="45">
        <v>1.0</v>
      </c>
      <c r="F2153" s="198">
        <v>64000.0</v>
      </c>
      <c r="G2153" s="142">
        <f t="shared" si="63"/>
        <v>64000</v>
      </c>
      <c r="H2153" s="142"/>
      <c r="I2153" s="143">
        <f t="shared" si="62"/>
        <v>64000</v>
      </c>
      <c r="J2153" s="144">
        <f t="shared" si="61"/>
        <v>64000</v>
      </c>
      <c r="K2153" s="108" t="s">
        <v>8059</v>
      </c>
      <c r="L2153" s="199" t="s">
        <v>8060</v>
      </c>
      <c r="M2153" s="17"/>
      <c r="N2153" s="64" t="s">
        <v>8061</v>
      </c>
      <c r="O2153" s="68"/>
      <c r="P2153" s="170"/>
      <c r="Q2153" s="149"/>
      <c r="R2153" s="149"/>
      <c r="S2153" s="149"/>
      <c r="T2153" s="149"/>
      <c r="U2153" s="149"/>
      <c r="V2153" s="149"/>
      <c r="W2153" s="149"/>
      <c r="X2153" s="68"/>
      <c r="Y2153" s="68"/>
      <c r="Z2153" s="68"/>
    </row>
    <row r="2154" ht="15.0" customHeight="1">
      <c r="A2154" s="206">
        <v>46067.0</v>
      </c>
      <c r="B2154" s="201" t="s">
        <v>8062</v>
      </c>
      <c r="C2154" s="45" t="s">
        <v>8063</v>
      </c>
      <c r="D2154" s="140" t="str">
        <f>IFERROR(VLOOKUP(C2154,Stock,3,FALSE),"")</f>
        <v>Toyota Fortuner 05-15 1st Gen (Hitam)</v>
      </c>
      <c r="E2154" s="45">
        <v>1.0</v>
      </c>
      <c r="F2154" s="198">
        <v>973879.0</v>
      </c>
      <c r="G2154" s="142">
        <f t="shared" si="63"/>
        <v>973879</v>
      </c>
      <c r="H2154" s="142"/>
      <c r="I2154" s="143">
        <f t="shared" si="62"/>
        <v>973879</v>
      </c>
      <c r="J2154" s="144">
        <f t="shared" si="61"/>
        <v>973879</v>
      </c>
      <c r="K2154" s="108" t="s">
        <v>8064</v>
      </c>
      <c r="L2154" s="17"/>
      <c r="M2154" s="17"/>
      <c r="N2154" s="68"/>
      <c r="O2154" s="68"/>
      <c r="P2154" s="147" t="s">
        <v>4959</v>
      </c>
      <c r="Q2154" s="149"/>
      <c r="R2154" s="149"/>
      <c r="S2154" s="149"/>
      <c r="T2154" s="149"/>
      <c r="U2154" s="149"/>
      <c r="V2154" s="149"/>
      <c r="W2154" s="149"/>
      <c r="X2154" s="68"/>
      <c r="Y2154" s="68"/>
      <c r="Z2154" s="68"/>
    </row>
    <row r="2155" ht="15.0" customHeight="1">
      <c r="A2155" s="206">
        <v>46067.0</v>
      </c>
      <c r="B2155" s="201" t="s">
        <v>8062</v>
      </c>
      <c r="C2155" s="45" t="s">
        <v>5526</v>
      </c>
      <c r="D2155" s="140" t="str">
        <f>IFERROR(VLOOKUP(C2155,Stock,3,FALSE),"")</f>
        <v>Toyota Fortuner 05-15 1st Gen (Hitam)</v>
      </c>
      <c r="E2155" s="45">
        <v>1.0</v>
      </c>
      <c r="F2155" s="198">
        <v>1981441.0</v>
      </c>
      <c r="G2155" s="142">
        <f t="shared" si="63"/>
        <v>1981441</v>
      </c>
      <c r="H2155" s="142"/>
      <c r="I2155" s="143">
        <f t="shared" si="62"/>
        <v>1981441</v>
      </c>
      <c r="J2155" s="144">
        <f t="shared" si="61"/>
        <v>1981441</v>
      </c>
      <c r="K2155" s="108" t="s">
        <v>8064</v>
      </c>
      <c r="L2155" s="17"/>
      <c r="M2155" s="17"/>
      <c r="N2155" s="68"/>
      <c r="O2155" s="68"/>
      <c r="P2155" s="147" t="s">
        <v>4959</v>
      </c>
      <c r="Q2155" s="149"/>
      <c r="R2155" s="149"/>
      <c r="S2155" s="149"/>
      <c r="T2155" s="149"/>
      <c r="U2155" s="149"/>
      <c r="V2155" s="149"/>
      <c r="W2155" s="149"/>
      <c r="X2155" s="68"/>
      <c r="Y2155" s="68"/>
      <c r="Z2155" s="68"/>
    </row>
    <row r="2156" ht="15.0" customHeight="1">
      <c r="A2156" s="206">
        <v>46068.0</v>
      </c>
      <c r="B2156" s="201" t="s">
        <v>8065</v>
      </c>
      <c r="C2156" s="45" t="s">
        <v>5800</v>
      </c>
      <c r="D2156" s="140" t="str">
        <f>IFERROR(VLOOKUP(C2156,Stock,3,FALSE),"")</f>
        <v>Toyota Fortuner 15-  2nd Gen (Toyota)</v>
      </c>
      <c r="E2156" s="45">
        <v>1.0</v>
      </c>
      <c r="F2156" s="198">
        <v>3299000.0</v>
      </c>
      <c r="G2156" s="142">
        <f t="shared" si="63"/>
        <v>3299000</v>
      </c>
      <c r="H2156" s="142"/>
      <c r="I2156" s="143">
        <f t="shared" si="62"/>
        <v>3299000</v>
      </c>
      <c r="J2156" s="144">
        <f t="shared" si="61"/>
        <v>3299000</v>
      </c>
      <c r="K2156" s="108" t="s">
        <v>8066</v>
      </c>
      <c r="L2156" s="17"/>
      <c r="M2156" s="17"/>
      <c r="N2156" s="68"/>
      <c r="O2156" s="68"/>
      <c r="P2156" s="170"/>
      <c r="Q2156" s="149"/>
      <c r="R2156" s="149"/>
      <c r="S2156" s="149"/>
      <c r="T2156" s="149"/>
      <c r="U2156" s="149"/>
      <c r="V2156" s="149"/>
      <c r="W2156" s="149"/>
      <c r="X2156" s="68"/>
      <c r="Y2156" s="68"/>
      <c r="Z2156" s="68"/>
    </row>
    <row r="2157" ht="15.0" customHeight="1">
      <c r="A2157" s="206">
        <v>46068.0</v>
      </c>
      <c r="B2157" s="201" t="s">
        <v>8067</v>
      </c>
      <c r="C2157" s="45" t="s">
        <v>7427</v>
      </c>
      <c r="D2157" s="140" t="str">
        <f>IFERROR(VLOOKUP(C2157,Stock,3,FALSE),"")</f>
        <v>Nissan Livina 07-18 L10/L11</v>
      </c>
      <c r="E2157" s="45">
        <v>1.0</v>
      </c>
      <c r="F2157" s="198">
        <v>1250000.0</v>
      </c>
      <c r="G2157" s="142">
        <f t="shared" si="63"/>
        <v>1250000</v>
      </c>
      <c r="H2157" s="142"/>
      <c r="I2157" s="143">
        <f t="shared" si="62"/>
        <v>1250000</v>
      </c>
      <c r="J2157" s="144">
        <f t="shared" si="61"/>
        <v>1250000</v>
      </c>
      <c r="K2157" s="108" t="s">
        <v>8068</v>
      </c>
      <c r="L2157" s="199" t="s">
        <v>8069</v>
      </c>
      <c r="M2157" s="17"/>
      <c r="N2157" s="64" t="s">
        <v>8070</v>
      </c>
      <c r="O2157" s="68"/>
      <c r="P2157" s="170"/>
      <c r="Q2157" s="149"/>
      <c r="R2157" s="141"/>
      <c r="S2157" s="141"/>
      <c r="T2157" s="141">
        <v>100000.0</v>
      </c>
      <c r="U2157" s="149"/>
      <c r="V2157" s="149"/>
      <c r="W2157" s="149"/>
      <c r="X2157" s="68"/>
      <c r="Y2157" s="68"/>
      <c r="Z2157" s="68"/>
    </row>
    <row r="2158" ht="15.0" customHeight="1">
      <c r="A2158" s="206">
        <v>46068.0</v>
      </c>
      <c r="B2158" s="201" t="s">
        <v>8067</v>
      </c>
      <c r="C2158" s="45" t="s">
        <v>3434</v>
      </c>
      <c r="D2158" s="140" t="str">
        <f>IFERROR(VLOOKUP(C2158,Stock,3,FALSE),"")</f>
        <v>List Kaca Depan Code 04</v>
      </c>
      <c r="E2158" s="45">
        <v>1.0</v>
      </c>
      <c r="F2158" s="198">
        <v>275000.0</v>
      </c>
      <c r="G2158" s="142">
        <f t="shared" si="63"/>
        <v>275000</v>
      </c>
      <c r="H2158" s="142"/>
      <c r="I2158" s="143">
        <f t="shared" si="62"/>
        <v>275000</v>
      </c>
      <c r="J2158" s="144">
        <f t="shared" si="61"/>
        <v>275000</v>
      </c>
      <c r="K2158" s="108" t="s">
        <v>8068</v>
      </c>
      <c r="L2158" s="199" t="s">
        <v>8069</v>
      </c>
      <c r="M2158" s="17"/>
      <c r="N2158" s="68"/>
      <c r="O2158" s="68"/>
      <c r="P2158" s="170"/>
      <c r="Q2158" s="149"/>
      <c r="R2158" s="141"/>
      <c r="S2158" s="141"/>
      <c r="T2158" s="141"/>
      <c r="U2158" s="149"/>
      <c r="V2158" s="149"/>
      <c r="W2158" s="149"/>
      <c r="X2158" s="68"/>
      <c r="Y2158" s="68"/>
      <c r="Z2158" s="68"/>
    </row>
    <row r="2159" ht="15.0" customHeight="1">
      <c r="A2159" s="206">
        <v>46068.0</v>
      </c>
      <c r="B2159" s="201" t="s">
        <v>8067</v>
      </c>
      <c r="C2159" s="45" t="s">
        <v>2770</v>
      </c>
      <c r="D2159" s="140" t="str">
        <f>IFERROR(VLOOKUP(C2159,Stock,3,FALSE),"")</f>
        <v>Transport</v>
      </c>
      <c r="E2159" s="45">
        <v>1.0</v>
      </c>
      <c r="F2159" s="198">
        <v>50000.0</v>
      </c>
      <c r="G2159" s="142">
        <f t="shared" si="63"/>
        <v>50000</v>
      </c>
      <c r="H2159" s="142"/>
      <c r="I2159" s="143">
        <f t="shared" si="62"/>
        <v>50000</v>
      </c>
      <c r="J2159" s="144">
        <f t="shared" si="61"/>
        <v>50000</v>
      </c>
      <c r="K2159" s="108" t="s">
        <v>8068</v>
      </c>
      <c r="L2159" s="199" t="s">
        <v>8069</v>
      </c>
      <c r="M2159" s="17"/>
      <c r="N2159" s="68"/>
      <c r="O2159" s="68"/>
      <c r="P2159" s="170"/>
      <c r="Q2159" s="149"/>
      <c r="R2159" s="149"/>
      <c r="S2159" s="149"/>
      <c r="T2159" s="149"/>
      <c r="U2159" s="149"/>
      <c r="V2159" s="149"/>
      <c r="W2159" s="149"/>
      <c r="X2159" s="68"/>
      <c r="Y2159" s="68"/>
      <c r="Z2159" s="68"/>
    </row>
    <row r="2160" ht="15.0" customHeight="1">
      <c r="A2160" s="206">
        <v>46068.0</v>
      </c>
      <c r="B2160" s="201" t="s">
        <v>8067</v>
      </c>
      <c r="C2160" s="64" t="s">
        <v>2962</v>
      </c>
      <c r="D2160" s="140" t="str">
        <f>IFERROR(VLOOKUP(C2160,Stock,3,FALSE),"")</f>
        <v>Lembur</v>
      </c>
      <c r="E2160" s="45">
        <v>1.0</v>
      </c>
      <c r="F2160" s="198">
        <v>150000.0</v>
      </c>
      <c r="G2160" s="142">
        <f t="shared" si="63"/>
        <v>150000</v>
      </c>
      <c r="H2160" s="142"/>
      <c r="I2160" s="143">
        <f t="shared" si="62"/>
        <v>150000</v>
      </c>
      <c r="J2160" s="144">
        <f t="shared" si="61"/>
        <v>150000</v>
      </c>
      <c r="K2160" s="108" t="s">
        <v>8068</v>
      </c>
      <c r="L2160" s="199" t="s">
        <v>8069</v>
      </c>
      <c r="M2160" s="17"/>
      <c r="N2160" s="68"/>
      <c r="O2160" s="68"/>
      <c r="P2160" s="170"/>
      <c r="Q2160" s="149"/>
      <c r="R2160" s="149"/>
      <c r="S2160" s="149"/>
      <c r="T2160" s="149"/>
      <c r="U2160" s="149"/>
      <c r="V2160" s="149"/>
      <c r="W2160" s="149"/>
      <c r="X2160" s="68"/>
      <c r="Y2160" s="68"/>
      <c r="Z2160" s="68"/>
    </row>
    <row r="2161" ht="15.0" customHeight="1">
      <c r="A2161" s="206">
        <v>46069.0</v>
      </c>
      <c r="B2161" s="201" t="s">
        <v>8071</v>
      </c>
      <c r="C2161" s="45" t="s">
        <v>3220</v>
      </c>
      <c r="D2161" s="140" t="str">
        <f>IFERROR(VLOOKUP(C2161,Stock,3,FALSE),"")</f>
        <v>BMW 3 Series 12-18 F30/F35 (1 Sensor / O )</v>
      </c>
      <c r="E2161" s="45">
        <v>1.0</v>
      </c>
      <c r="F2161" s="198">
        <v>4502000.0</v>
      </c>
      <c r="G2161" s="142">
        <f t="shared" si="63"/>
        <v>4502000</v>
      </c>
      <c r="H2161" s="142"/>
      <c r="I2161" s="143">
        <f t="shared" si="62"/>
        <v>4502000</v>
      </c>
      <c r="J2161" s="144">
        <f t="shared" si="61"/>
        <v>4502000</v>
      </c>
      <c r="K2161" s="108" t="s">
        <v>8072</v>
      </c>
      <c r="L2161" s="199" t="s">
        <v>8073</v>
      </c>
      <c r="M2161" s="17"/>
      <c r="N2161" s="64" t="s">
        <v>8074</v>
      </c>
      <c r="O2161" s="68"/>
      <c r="P2161" s="170"/>
      <c r="Q2161" s="149"/>
      <c r="R2161" s="141"/>
      <c r="S2161" s="141"/>
      <c r="T2161" s="141">
        <v>100000.0</v>
      </c>
      <c r="U2161" s="149"/>
      <c r="V2161" s="149"/>
      <c r="W2161" s="149"/>
      <c r="X2161" s="68"/>
      <c r="Y2161" s="68"/>
      <c r="Z2161" s="68"/>
    </row>
    <row r="2162" ht="15.0" customHeight="1">
      <c r="A2162" s="206">
        <v>46069.0</v>
      </c>
      <c r="B2162" s="201" t="s">
        <v>8071</v>
      </c>
      <c r="C2162" s="45" t="s">
        <v>2770</v>
      </c>
      <c r="D2162" s="140" t="str">
        <f>IFERROR(VLOOKUP(C2162,Stock,3,FALSE),"")</f>
        <v>Transport</v>
      </c>
      <c r="E2162" s="45">
        <v>1.0</v>
      </c>
      <c r="F2162" s="198">
        <v>200000.0</v>
      </c>
      <c r="G2162" s="142">
        <f t="shared" si="63"/>
        <v>200000</v>
      </c>
      <c r="H2162" s="142"/>
      <c r="I2162" s="143">
        <f t="shared" si="62"/>
        <v>200000</v>
      </c>
      <c r="J2162" s="144">
        <f t="shared" si="61"/>
        <v>200000</v>
      </c>
      <c r="K2162" s="108" t="s">
        <v>8075</v>
      </c>
      <c r="L2162" s="199" t="s">
        <v>8073</v>
      </c>
      <c r="M2162" s="17"/>
      <c r="N2162" s="68"/>
      <c r="O2162" s="68"/>
      <c r="P2162" s="170"/>
      <c r="Q2162" s="149"/>
      <c r="R2162" s="149"/>
      <c r="S2162" s="149"/>
      <c r="T2162" s="149"/>
      <c r="U2162" s="149"/>
      <c r="V2162" s="149"/>
      <c r="W2162" s="149"/>
      <c r="X2162" s="68"/>
      <c r="Y2162" s="68"/>
      <c r="Z2162" s="68"/>
    </row>
    <row r="2163" ht="15.0" customHeight="1">
      <c r="A2163" s="265">
        <v>46069.0</v>
      </c>
      <c r="B2163" s="266" t="s">
        <v>8076</v>
      </c>
      <c r="C2163" s="269" t="s">
        <v>4504</v>
      </c>
      <c r="D2163" s="268" t="str">
        <f>IFERROR(VLOOKUP(C2163,Stock,3,FALSE),"")</f>
        <v>Mitsubishi Xpander 17-21 / Livina 19- 2nd Gen (Mitsubishi)</v>
      </c>
      <c r="E2163" s="269">
        <v>2.0</v>
      </c>
      <c r="F2163" s="270"/>
      <c r="G2163" s="271">
        <f t="shared" si="63"/>
        <v>0</v>
      </c>
      <c r="H2163" s="271"/>
      <c r="I2163" s="272">
        <f t="shared" si="62"/>
        <v>0</v>
      </c>
      <c r="J2163" s="273">
        <f t="shared" si="61"/>
        <v>0</v>
      </c>
      <c r="K2163" s="267" t="s">
        <v>4509</v>
      </c>
      <c r="L2163" s="274"/>
      <c r="M2163" s="274"/>
      <c r="N2163" s="275"/>
      <c r="O2163" s="275"/>
      <c r="P2163" s="276"/>
      <c r="Q2163" s="277"/>
      <c r="R2163" s="277"/>
      <c r="S2163" s="277"/>
      <c r="T2163" s="277"/>
      <c r="U2163" s="277"/>
      <c r="V2163" s="277"/>
      <c r="W2163" s="277"/>
      <c r="X2163" s="275"/>
      <c r="Y2163" s="275"/>
      <c r="Z2163" s="275"/>
    </row>
    <row r="2164" ht="15.0" customHeight="1">
      <c r="A2164" s="265">
        <v>46069.0</v>
      </c>
      <c r="B2164" s="266" t="s">
        <v>8076</v>
      </c>
      <c r="C2164" s="269" t="s">
        <v>4434</v>
      </c>
      <c r="D2164" s="268" t="str">
        <f>IFERROR(VLOOKUP(C2164,Stock,3,FALSE),"")</f>
        <v>Mitsubishi Xpander 17-21 / Livina 19- 2nd Gen</v>
      </c>
      <c r="E2164" s="269">
        <v>2.0</v>
      </c>
      <c r="F2164" s="270"/>
      <c r="G2164" s="271">
        <f t="shared" si="63"/>
        <v>0</v>
      </c>
      <c r="H2164" s="271"/>
      <c r="I2164" s="272">
        <f t="shared" si="62"/>
        <v>0</v>
      </c>
      <c r="J2164" s="273"/>
      <c r="K2164" s="267" t="s">
        <v>4509</v>
      </c>
      <c r="L2164" s="274"/>
      <c r="M2164" s="274"/>
      <c r="N2164" s="275"/>
      <c r="O2164" s="275"/>
      <c r="P2164" s="276"/>
      <c r="Q2164" s="277"/>
      <c r="R2164" s="277"/>
      <c r="S2164" s="277"/>
      <c r="T2164" s="277"/>
      <c r="U2164" s="277"/>
      <c r="V2164" s="277"/>
      <c r="W2164" s="277"/>
      <c r="X2164" s="275"/>
      <c r="Y2164" s="275"/>
      <c r="Z2164" s="275"/>
    </row>
    <row r="2165" ht="15.0" customHeight="1">
      <c r="A2165" s="265">
        <v>46069.0</v>
      </c>
      <c r="B2165" s="266" t="s">
        <v>8076</v>
      </c>
      <c r="C2165" s="269" t="s">
        <v>3424</v>
      </c>
      <c r="D2165" s="268" t="str">
        <f>IFERROR(VLOOKUP(C2165,Stock,3,FALSE),"")</f>
        <v>Mitsubishi Xpander 22-  (Mitsubishi)</v>
      </c>
      <c r="E2165" s="269">
        <v>1.0</v>
      </c>
      <c r="F2165" s="270"/>
      <c r="G2165" s="271">
        <f t="shared" si="63"/>
        <v>0</v>
      </c>
      <c r="H2165" s="271"/>
      <c r="I2165" s="272">
        <f t="shared" si="62"/>
        <v>0</v>
      </c>
      <c r="J2165" s="273"/>
      <c r="K2165" s="267" t="s">
        <v>4509</v>
      </c>
      <c r="L2165" s="274"/>
      <c r="M2165" s="274"/>
      <c r="N2165" s="275"/>
      <c r="O2165" s="275"/>
      <c r="P2165" s="276"/>
      <c r="Q2165" s="277"/>
      <c r="R2165" s="277"/>
      <c r="S2165" s="277"/>
      <c r="T2165" s="277"/>
      <c r="U2165" s="277"/>
      <c r="V2165" s="277"/>
      <c r="W2165" s="277"/>
      <c r="X2165" s="275"/>
      <c r="Y2165" s="275"/>
      <c r="Z2165" s="275"/>
    </row>
    <row r="2166" ht="15.0" customHeight="1">
      <c r="A2166" s="265">
        <v>46069.0</v>
      </c>
      <c r="B2166" s="266" t="s">
        <v>8076</v>
      </c>
      <c r="C2166" s="269" t="s">
        <v>4001</v>
      </c>
      <c r="D2166" s="268" t="str">
        <f>IFERROR(VLOOKUP(C2166,Stock,3,FALSE),"")</f>
        <v>Daihatsu Gran Max Minibus/Van</v>
      </c>
      <c r="E2166" s="269">
        <v>4.0</v>
      </c>
      <c r="F2166" s="270"/>
      <c r="G2166" s="271">
        <f t="shared" si="63"/>
        <v>0</v>
      </c>
      <c r="H2166" s="271"/>
      <c r="I2166" s="272">
        <f t="shared" si="62"/>
        <v>0</v>
      </c>
      <c r="J2166" s="273"/>
      <c r="K2166" s="267" t="s">
        <v>4509</v>
      </c>
      <c r="L2166" s="274"/>
      <c r="M2166" s="274"/>
      <c r="N2166" s="275"/>
      <c r="O2166" s="275"/>
      <c r="P2166" s="276"/>
      <c r="Q2166" s="277"/>
      <c r="R2166" s="277"/>
      <c r="S2166" s="277"/>
      <c r="T2166" s="277"/>
      <c r="U2166" s="277"/>
      <c r="V2166" s="277"/>
      <c r="W2166" s="277"/>
      <c r="X2166" s="275"/>
      <c r="Y2166" s="275"/>
      <c r="Z2166" s="275"/>
    </row>
    <row r="2167" ht="15.0" customHeight="1">
      <c r="A2167" s="265">
        <v>46069.0</v>
      </c>
      <c r="B2167" s="266" t="s">
        <v>8076</v>
      </c>
      <c r="C2167" s="269" t="s">
        <v>2003</v>
      </c>
      <c r="D2167" s="268" t="str">
        <f>IFERROR(VLOOKUP(C2167,Stock,3,FALSE),"")</f>
        <v>Toyota Agya/Ayla 13-22 1st Gen</v>
      </c>
      <c r="E2167" s="269">
        <v>3.0</v>
      </c>
      <c r="F2167" s="270"/>
      <c r="G2167" s="271">
        <f t="shared" si="63"/>
        <v>0</v>
      </c>
      <c r="H2167" s="271"/>
      <c r="I2167" s="272">
        <f t="shared" si="62"/>
        <v>0</v>
      </c>
      <c r="J2167" s="273"/>
      <c r="K2167" s="267" t="s">
        <v>7842</v>
      </c>
      <c r="L2167" s="269"/>
      <c r="M2167" s="274"/>
      <c r="N2167" s="275"/>
      <c r="O2167" s="275"/>
      <c r="P2167" s="276"/>
      <c r="Q2167" s="277"/>
      <c r="R2167" s="277"/>
      <c r="S2167" s="277"/>
      <c r="T2167" s="277"/>
      <c r="U2167" s="277"/>
      <c r="V2167" s="277"/>
      <c r="W2167" s="277"/>
      <c r="X2167" s="275"/>
      <c r="Y2167" s="275"/>
      <c r="Z2167" s="275"/>
    </row>
    <row r="2168" ht="15.0" customHeight="1">
      <c r="A2168" s="265">
        <v>46069.0</v>
      </c>
      <c r="B2168" s="266" t="s">
        <v>8076</v>
      </c>
      <c r="C2168" s="269" t="s">
        <v>3126</v>
      </c>
      <c r="D2168" s="268" t="str">
        <f>IFERROR(VLOOKUP(C2168,Stock,3,FALSE),"")</f>
        <v>Suzuki Carry New 19-</v>
      </c>
      <c r="E2168" s="269">
        <v>2.0</v>
      </c>
      <c r="F2168" s="394"/>
      <c r="G2168" s="271">
        <f t="shared" si="63"/>
        <v>0</v>
      </c>
      <c r="H2168" s="271"/>
      <c r="I2168" s="272">
        <f t="shared" si="62"/>
        <v>0</v>
      </c>
      <c r="J2168" s="273"/>
      <c r="K2168" s="267" t="s">
        <v>7842</v>
      </c>
      <c r="L2168" s="274"/>
      <c r="M2168" s="274"/>
      <c r="N2168" s="275"/>
      <c r="O2168" s="275"/>
      <c r="P2168" s="276"/>
      <c r="Q2168" s="277"/>
      <c r="R2168" s="277"/>
      <c r="S2168" s="277"/>
      <c r="T2168" s="277"/>
      <c r="U2168" s="277"/>
      <c r="V2168" s="277"/>
      <c r="W2168" s="277"/>
      <c r="X2168" s="275"/>
      <c r="Y2168" s="275"/>
      <c r="Z2168" s="275"/>
    </row>
    <row r="2169" ht="15.0" customHeight="1">
      <c r="A2169" s="265">
        <v>46069.0</v>
      </c>
      <c r="B2169" s="266" t="s">
        <v>8076</v>
      </c>
      <c r="C2169" s="269" t="s">
        <v>7784</v>
      </c>
      <c r="D2169" s="268" t="str">
        <f>IFERROR(VLOOKUP(C2169,Stock,3,FALSE),"")</f>
        <v>Mitsubishi Pajero 16-</v>
      </c>
      <c r="E2169" s="269">
        <v>3.0</v>
      </c>
      <c r="F2169" s="270"/>
      <c r="G2169" s="271">
        <f t="shared" si="63"/>
        <v>0</v>
      </c>
      <c r="H2169" s="271"/>
      <c r="I2169" s="272">
        <f t="shared" si="62"/>
        <v>0</v>
      </c>
      <c r="J2169" s="273"/>
      <c r="K2169" s="267" t="s">
        <v>7842</v>
      </c>
      <c r="L2169" s="274"/>
      <c r="M2169" s="274"/>
      <c r="N2169" s="275"/>
      <c r="O2169" s="275"/>
      <c r="P2169" s="276"/>
      <c r="Q2169" s="277"/>
      <c r="R2169" s="277"/>
      <c r="S2169" s="277"/>
      <c r="T2169" s="277"/>
      <c r="U2169" s="277"/>
      <c r="V2169" s="277"/>
      <c r="W2169" s="277"/>
      <c r="X2169" s="275"/>
      <c r="Y2169" s="275"/>
      <c r="Z2169" s="275"/>
    </row>
    <row r="2170" ht="15.0" customHeight="1">
      <c r="A2170" s="265">
        <v>46069.0</v>
      </c>
      <c r="B2170" s="266" t="s">
        <v>8076</v>
      </c>
      <c r="C2170" s="269" t="s">
        <v>4375</v>
      </c>
      <c r="D2170" s="268" t="str">
        <f>IFERROR(VLOOKUP(C2170,Stock,3,FALSE),"")</f>
        <v>Mitsubishi Pajero 16- (Mitsubishi)</v>
      </c>
      <c r="E2170" s="269">
        <v>1.0</v>
      </c>
      <c r="F2170" s="270"/>
      <c r="G2170" s="271">
        <f t="shared" si="63"/>
        <v>0</v>
      </c>
      <c r="H2170" s="271"/>
      <c r="I2170" s="272">
        <f t="shared" si="62"/>
        <v>0</v>
      </c>
      <c r="J2170" s="273"/>
      <c r="K2170" s="267" t="s">
        <v>7842</v>
      </c>
      <c r="L2170" s="274"/>
      <c r="M2170" s="274"/>
      <c r="N2170" s="275"/>
      <c r="O2170" s="275"/>
      <c r="P2170" s="276"/>
      <c r="Q2170" s="277"/>
      <c r="R2170" s="277"/>
      <c r="S2170" s="277"/>
      <c r="T2170" s="277"/>
      <c r="U2170" s="277"/>
      <c r="V2170" s="277"/>
      <c r="W2170" s="277"/>
      <c r="X2170" s="275"/>
      <c r="Y2170" s="275"/>
      <c r="Z2170" s="275"/>
    </row>
    <row r="2171" ht="15.0" customHeight="1">
      <c r="A2171" s="206">
        <v>46070.0</v>
      </c>
      <c r="B2171" s="201" t="s">
        <v>8077</v>
      </c>
      <c r="C2171" s="45" t="s">
        <v>2792</v>
      </c>
      <c r="D2171" s="140" t="str">
        <f>IFERROR(VLOOKUP(C2171,Stock,3,FALSE),"")</f>
        <v>Toyota Calya / Sigra 16-</v>
      </c>
      <c r="E2171" s="45">
        <v>1.0</v>
      </c>
      <c r="F2171" s="198">
        <v>839000.0</v>
      </c>
      <c r="G2171" s="142">
        <f t="shared" si="63"/>
        <v>839000</v>
      </c>
      <c r="H2171" s="142"/>
      <c r="I2171" s="143">
        <f t="shared" si="62"/>
        <v>839000</v>
      </c>
      <c r="J2171" s="144">
        <f t="shared" ref="J2171:J2225" si="64">I2171</f>
        <v>839000</v>
      </c>
      <c r="K2171" s="108" t="s">
        <v>8078</v>
      </c>
      <c r="L2171" s="199" t="s">
        <v>8079</v>
      </c>
      <c r="M2171" s="17"/>
      <c r="N2171" s="45" t="s">
        <v>8080</v>
      </c>
      <c r="O2171" s="68"/>
      <c r="P2171" s="170"/>
      <c r="Q2171" s="149"/>
      <c r="R2171" s="149"/>
      <c r="S2171" s="149"/>
      <c r="T2171" s="149"/>
      <c r="U2171" s="149"/>
      <c r="V2171" s="149"/>
      <c r="W2171" s="149"/>
      <c r="X2171" s="68"/>
      <c r="Y2171" s="68"/>
      <c r="Z2171" s="68"/>
    </row>
    <row r="2172" ht="15.0" customHeight="1">
      <c r="A2172" s="206">
        <v>46071.0</v>
      </c>
      <c r="B2172" s="201" t="s">
        <v>8081</v>
      </c>
      <c r="C2172" s="45" t="s">
        <v>5110</v>
      </c>
      <c r="D2172" s="140" t="str">
        <f>IFERROR(VLOOKUP(C2172,Stock,3,FALSE),"")</f>
        <v>Ford EcoSport 13- B515</v>
      </c>
      <c r="E2172" s="45">
        <v>1.0</v>
      </c>
      <c r="F2172" s="198">
        <v>2450000.0</v>
      </c>
      <c r="G2172" s="142">
        <f t="shared" si="63"/>
        <v>2450000</v>
      </c>
      <c r="H2172" s="142"/>
      <c r="I2172" s="143">
        <f t="shared" si="62"/>
        <v>2450000</v>
      </c>
      <c r="J2172" s="144">
        <f t="shared" si="64"/>
        <v>2450000</v>
      </c>
      <c r="K2172" s="108" t="s">
        <v>8082</v>
      </c>
      <c r="L2172" s="199" t="s">
        <v>8083</v>
      </c>
      <c r="M2172" s="17"/>
      <c r="N2172" s="64" t="s">
        <v>8084</v>
      </c>
      <c r="O2172" s="68"/>
      <c r="P2172" s="170"/>
      <c r="Q2172" s="149"/>
      <c r="R2172" s="149"/>
      <c r="S2172" s="149"/>
      <c r="T2172" s="149"/>
      <c r="U2172" s="149"/>
      <c r="V2172" s="149"/>
      <c r="W2172" s="149"/>
      <c r="X2172" s="68"/>
      <c r="Y2172" s="68"/>
      <c r="Z2172" s="68"/>
    </row>
    <row r="2173" ht="15.0" customHeight="1">
      <c r="A2173" s="206">
        <v>46071.0</v>
      </c>
      <c r="B2173" s="201" t="s">
        <v>8085</v>
      </c>
      <c r="C2173" s="45" t="s">
        <v>8086</v>
      </c>
      <c r="D2173" s="140" t="str">
        <f>IFERROR(VLOOKUP(C2173,Stock,3,FALSE),"")</f>
        <v>Hyundai Stargazer 22- No Wiper (Hyundai)</v>
      </c>
      <c r="E2173" s="45">
        <v>1.0</v>
      </c>
      <c r="F2173" s="198">
        <v>1699000.0</v>
      </c>
      <c r="G2173" s="142">
        <f t="shared" si="63"/>
        <v>1699000</v>
      </c>
      <c r="H2173" s="142"/>
      <c r="I2173" s="143">
        <v>1549000.0</v>
      </c>
      <c r="J2173" s="144">
        <f t="shared" si="64"/>
        <v>1549000</v>
      </c>
      <c r="K2173" s="108" t="s">
        <v>8087</v>
      </c>
      <c r="L2173" s="199" t="s">
        <v>8088</v>
      </c>
      <c r="M2173" s="17"/>
      <c r="N2173" s="64" t="s">
        <v>8089</v>
      </c>
      <c r="O2173" s="68"/>
      <c r="P2173" s="170"/>
      <c r="Q2173" s="149"/>
      <c r="R2173" s="141"/>
      <c r="S2173" s="141"/>
      <c r="T2173" s="141">
        <v>100000.0</v>
      </c>
      <c r="U2173" s="149"/>
      <c r="V2173" s="149"/>
      <c r="W2173" s="149"/>
      <c r="X2173" s="68"/>
      <c r="Y2173" s="68"/>
      <c r="Z2173" s="68"/>
    </row>
    <row r="2174" ht="15.0" customHeight="1">
      <c r="A2174" s="206">
        <v>46071.0</v>
      </c>
      <c r="B2174" s="201" t="s">
        <v>8085</v>
      </c>
      <c r="C2174" s="45" t="s">
        <v>2770</v>
      </c>
      <c r="D2174" s="140" t="str">
        <f>IFERROR(VLOOKUP(C2174,Stock,3,FALSE),"")</f>
        <v>Transport</v>
      </c>
      <c r="E2174" s="45">
        <v>1.0</v>
      </c>
      <c r="F2174" s="198">
        <v>100000.0</v>
      </c>
      <c r="G2174" s="142">
        <f t="shared" si="63"/>
        <v>100000</v>
      </c>
      <c r="H2174" s="142"/>
      <c r="I2174" s="143">
        <f t="shared" ref="I2174:I2352" si="65">G2174-H2174</f>
        <v>100000</v>
      </c>
      <c r="J2174" s="144">
        <f t="shared" si="64"/>
        <v>100000</v>
      </c>
      <c r="K2174" s="108" t="s">
        <v>8087</v>
      </c>
      <c r="L2174" s="199" t="s">
        <v>8088</v>
      </c>
      <c r="M2174" s="17"/>
      <c r="N2174" s="64" t="s">
        <v>8089</v>
      </c>
      <c r="O2174" s="68"/>
      <c r="P2174" s="170"/>
      <c r="Q2174" s="149"/>
      <c r="R2174" s="149"/>
      <c r="S2174" s="149"/>
      <c r="T2174" s="149"/>
      <c r="U2174" s="149"/>
      <c r="V2174" s="149"/>
      <c r="W2174" s="149"/>
      <c r="X2174" s="68"/>
      <c r="Y2174" s="68"/>
      <c r="Z2174" s="68"/>
    </row>
    <row r="2175" ht="15.0" customHeight="1">
      <c r="A2175" s="206">
        <v>46071.0</v>
      </c>
      <c r="B2175" s="201" t="s">
        <v>8085</v>
      </c>
      <c r="C2175" s="45" t="s">
        <v>3048</v>
      </c>
      <c r="D2175" s="140" t="str">
        <f>IFERROR(VLOOKUP(C2175,Stock,3,FALSE),"")</f>
        <v>Biaya Pengecekan</v>
      </c>
      <c r="E2175" s="45">
        <v>1.0</v>
      </c>
      <c r="F2175" s="198">
        <v>200000.0</v>
      </c>
      <c r="G2175" s="142">
        <f t="shared" si="63"/>
        <v>200000</v>
      </c>
      <c r="H2175" s="142"/>
      <c r="I2175" s="143">
        <f t="shared" si="65"/>
        <v>200000</v>
      </c>
      <c r="J2175" s="144">
        <f t="shared" si="64"/>
        <v>200000</v>
      </c>
      <c r="K2175" s="108" t="s">
        <v>8087</v>
      </c>
      <c r="L2175" s="199" t="s">
        <v>8088</v>
      </c>
      <c r="M2175" s="17"/>
      <c r="N2175" s="64" t="s">
        <v>8089</v>
      </c>
      <c r="O2175" s="68"/>
      <c r="P2175" s="170"/>
      <c r="Q2175" s="149"/>
      <c r="R2175" s="149"/>
      <c r="S2175" s="149"/>
      <c r="T2175" s="149"/>
      <c r="U2175" s="149"/>
      <c r="V2175" s="149"/>
      <c r="W2175" s="149"/>
      <c r="X2175" s="68"/>
      <c r="Y2175" s="68"/>
      <c r="Z2175" s="68"/>
    </row>
    <row r="2176" ht="15.0" customHeight="1">
      <c r="A2176" s="206">
        <v>46071.0</v>
      </c>
      <c r="B2176" s="201" t="s">
        <v>8090</v>
      </c>
      <c r="C2176" s="45" t="s">
        <v>8003</v>
      </c>
      <c r="D2176" s="140" t="str">
        <f>IFERROR(VLOOKUP(C2176,Stock,3,FALSE),"")</f>
        <v>Honda CR-V 07-11 3rd Gen</v>
      </c>
      <c r="E2176" s="45">
        <v>1.0</v>
      </c>
      <c r="F2176" s="198">
        <v>1369000.0</v>
      </c>
      <c r="G2176" s="142">
        <f t="shared" si="63"/>
        <v>1369000</v>
      </c>
      <c r="H2176" s="142"/>
      <c r="I2176" s="143">
        <f t="shared" si="65"/>
        <v>1369000</v>
      </c>
      <c r="J2176" s="144">
        <f t="shared" si="64"/>
        <v>1369000</v>
      </c>
      <c r="K2176" s="108" t="s">
        <v>8091</v>
      </c>
      <c r="L2176" s="199" t="s">
        <v>8092</v>
      </c>
      <c r="M2176" s="17"/>
      <c r="N2176" s="68"/>
      <c r="O2176" s="68"/>
      <c r="P2176" s="170"/>
      <c r="Q2176" s="149"/>
      <c r="R2176" s="149"/>
      <c r="S2176" s="149"/>
      <c r="T2176" s="149"/>
      <c r="U2176" s="149"/>
      <c r="V2176" s="149"/>
      <c r="W2176" s="149"/>
      <c r="X2176" s="68"/>
      <c r="Y2176" s="68"/>
      <c r="Z2176" s="68"/>
    </row>
    <row r="2177" ht="15.0" customHeight="1">
      <c r="A2177" s="206">
        <v>46071.0</v>
      </c>
      <c r="B2177" s="201" t="s">
        <v>8093</v>
      </c>
      <c r="C2177" s="45" t="s">
        <v>4085</v>
      </c>
      <c r="D2177" s="140" t="str">
        <f>IFERROR(VLOOKUP(C2177,Stock,3,FALSE),"")</f>
        <v>Toyota Rush / Terios 06-17</v>
      </c>
      <c r="E2177" s="45">
        <v>1.0</v>
      </c>
      <c r="F2177" s="198">
        <v>898000.0</v>
      </c>
      <c r="G2177" s="142">
        <f t="shared" si="63"/>
        <v>898000</v>
      </c>
      <c r="H2177" s="143">
        <v>73000.0</v>
      </c>
      <c r="I2177" s="143">
        <f t="shared" si="65"/>
        <v>825000</v>
      </c>
      <c r="J2177" s="144">
        <f t="shared" si="64"/>
        <v>825000</v>
      </c>
      <c r="K2177" s="108" t="s">
        <v>8094</v>
      </c>
      <c r="L2177" s="199" t="s">
        <v>8095</v>
      </c>
      <c r="M2177" s="17"/>
      <c r="N2177" s="68"/>
      <c r="O2177" s="68"/>
      <c r="P2177" s="170"/>
      <c r="Q2177" s="149"/>
      <c r="R2177" s="149"/>
      <c r="S2177" s="149"/>
      <c r="T2177" s="149"/>
      <c r="U2177" s="149"/>
      <c r="V2177" s="149"/>
      <c r="W2177" s="149"/>
      <c r="X2177" s="68"/>
      <c r="Y2177" s="68"/>
      <c r="Z2177" s="68"/>
    </row>
    <row r="2178" ht="15.0" customHeight="1">
      <c r="A2178" s="441">
        <v>46071.0</v>
      </c>
      <c r="B2178" s="201" t="s">
        <v>8093</v>
      </c>
      <c r="C2178" s="45" t="s">
        <v>4748</v>
      </c>
      <c r="D2178" s="140" t="str">
        <f>IFERROR(VLOOKUP(C2178,Stock,3,FALSE),"")</f>
        <v>Toyota Rush / Terios 06-17 (Toyota/Daihatsu)</v>
      </c>
      <c r="E2178" s="45">
        <v>1.0</v>
      </c>
      <c r="F2178" s="198">
        <v>1125000.0</v>
      </c>
      <c r="G2178" s="142">
        <f t="shared" si="63"/>
        <v>1125000</v>
      </c>
      <c r="H2178" s="142"/>
      <c r="I2178" s="143">
        <f t="shared" si="65"/>
        <v>1125000</v>
      </c>
      <c r="J2178" s="144">
        <f t="shared" si="64"/>
        <v>1125000</v>
      </c>
      <c r="K2178" s="108" t="s">
        <v>8094</v>
      </c>
      <c r="L2178" s="199" t="s">
        <v>8095</v>
      </c>
      <c r="M2178" s="17"/>
      <c r="N2178" s="68"/>
      <c r="O2178" s="68"/>
      <c r="P2178" s="170"/>
      <c r="Q2178" s="149"/>
      <c r="R2178" s="149"/>
      <c r="S2178" s="149"/>
      <c r="T2178" s="149"/>
      <c r="U2178" s="149"/>
      <c r="V2178" s="149"/>
      <c r="W2178" s="149"/>
      <c r="X2178" s="68"/>
      <c r="Y2178" s="68"/>
      <c r="Z2178" s="68"/>
    </row>
    <row r="2179" ht="15.0" customHeight="1">
      <c r="A2179" s="206">
        <v>46071.0</v>
      </c>
      <c r="B2179" s="201" t="s">
        <v>8096</v>
      </c>
      <c r="C2179" s="45" t="s">
        <v>3246</v>
      </c>
      <c r="D2179" s="140" t="str">
        <f>IFERROR(VLOOKUP(C2179,Stock,3,FALSE),"")</f>
        <v>Toyota Calya / Sigra 16-</v>
      </c>
      <c r="E2179" s="45">
        <v>1.0</v>
      </c>
      <c r="F2179" s="198">
        <v>1099000.0</v>
      </c>
      <c r="G2179" s="142">
        <f t="shared" si="63"/>
        <v>1099000</v>
      </c>
      <c r="H2179" s="142"/>
      <c r="I2179" s="143">
        <f t="shared" si="65"/>
        <v>1099000</v>
      </c>
      <c r="J2179" s="144">
        <f t="shared" si="64"/>
        <v>1099000</v>
      </c>
      <c r="K2179" s="108" t="s">
        <v>8097</v>
      </c>
      <c r="L2179" s="199" t="s">
        <v>8098</v>
      </c>
      <c r="M2179" s="17"/>
      <c r="N2179" s="64" t="s">
        <v>8099</v>
      </c>
      <c r="O2179" s="68"/>
      <c r="P2179" s="170"/>
      <c r="Q2179" s="149"/>
      <c r="R2179" s="149"/>
      <c r="S2179" s="149"/>
      <c r="T2179" s="149"/>
      <c r="U2179" s="149"/>
      <c r="V2179" s="149"/>
      <c r="W2179" s="149"/>
      <c r="X2179" s="68"/>
      <c r="Y2179" s="68"/>
      <c r="Z2179" s="68"/>
    </row>
    <row r="2180" ht="15.0" customHeight="1">
      <c r="A2180" s="206">
        <v>46071.0</v>
      </c>
      <c r="B2180" s="201" t="s">
        <v>8096</v>
      </c>
      <c r="C2180" s="45" t="s">
        <v>7011</v>
      </c>
      <c r="D2180" s="140" t="str">
        <f>IFERROR(VLOOKUP(C2180,Stock,3,FALSE),"")</f>
        <v>Automotive Film Standard - Black 40%				</v>
      </c>
      <c r="E2180" s="45">
        <v>1.0</v>
      </c>
      <c r="F2180" s="198">
        <v>300000.0</v>
      </c>
      <c r="G2180" s="142">
        <f t="shared" si="63"/>
        <v>300000</v>
      </c>
      <c r="H2180" s="142"/>
      <c r="I2180" s="143">
        <f t="shared" si="65"/>
        <v>300000</v>
      </c>
      <c r="J2180" s="144">
        <f t="shared" si="64"/>
        <v>300000</v>
      </c>
      <c r="K2180" s="108" t="s">
        <v>8097</v>
      </c>
      <c r="L2180" s="199" t="s">
        <v>8098</v>
      </c>
      <c r="M2180" s="17"/>
      <c r="N2180" s="68"/>
      <c r="O2180" s="68"/>
      <c r="P2180" s="170"/>
      <c r="Q2180" s="149"/>
      <c r="R2180" s="149"/>
      <c r="S2180" s="149"/>
      <c r="T2180" s="149"/>
      <c r="U2180" s="149"/>
      <c r="V2180" s="149"/>
      <c r="W2180" s="149"/>
      <c r="X2180" s="68"/>
      <c r="Y2180" s="68"/>
      <c r="Z2180" s="68"/>
    </row>
    <row r="2181" ht="15.0" customHeight="1">
      <c r="A2181" s="206">
        <v>46071.0</v>
      </c>
      <c r="B2181" s="201" t="s">
        <v>8100</v>
      </c>
      <c r="C2181" s="45" t="s">
        <v>7663</v>
      </c>
      <c r="D2181" s="140" t="str">
        <f>IFERROR(VLOOKUP(C2181,Stock,3,FALSE),"")</f>
        <v>Suzuki Carry Futura (1300cc) / Mitsubishi Colt T120</v>
      </c>
      <c r="E2181" s="45">
        <v>1.0</v>
      </c>
      <c r="F2181" s="198">
        <v>998000.0</v>
      </c>
      <c r="G2181" s="142">
        <f t="shared" si="63"/>
        <v>998000</v>
      </c>
      <c r="H2181" s="142"/>
      <c r="I2181" s="143">
        <f t="shared" si="65"/>
        <v>998000</v>
      </c>
      <c r="J2181" s="144">
        <f t="shared" si="64"/>
        <v>998000</v>
      </c>
      <c r="K2181" s="108" t="s">
        <v>8101</v>
      </c>
      <c r="L2181" s="199" t="s">
        <v>8102</v>
      </c>
      <c r="M2181" s="17"/>
      <c r="N2181" s="64" t="s">
        <v>8103</v>
      </c>
      <c r="O2181" s="68"/>
      <c r="P2181" s="170"/>
      <c r="Q2181" s="149"/>
      <c r="R2181" s="149"/>
      <c r="S2181" s="149"/>
      <c r="T2181" s="149"/>
      <c r="U2181" s="149"/>
      <c r="V2181" s="149"/>
      <c r="W2181" s="149"/>
      <c r="X2181" s="68"/>
      <c r="Y2181" s="68"/>
      <c r="Z2181" s="68"/>
    </row>
    <row r="2182" ht="15.0" customHeight="1">
      <c r="A2182" s="206">
        <v>46072.0</v>
      </c>
      <c r="B2182" s="201" t="s">
        <v>8104</v>
      </c>
      <c r="C2182" s="45" t="s">
        <v>3126</v>
      </c>
      <c r="D2182" s="140" t="str">
        <f>IFERROR(VLOOKUP(C2182,Stock,3,FALSE),"")</f>
        <v>Suzuki Carry New 19-</v>
      </c>
      <c r="E2182" s="45">
        <v>1.0</v>
      </c>
      <c r="F2182" s="198">
        <v>1140000.0</v>
      </c>
      <c r="G2182" s="142">
        <f t="shared" si="63"/>
        <v>1140000</v>
      </c>
      <c r="H2182" s="142"/>
      <c r="I2182" s="143">
        <f t="shared" si="65"/>
        <v>1140000</v>
      </c>
      <c r="J2182" s="144">
        <f t="shared" si="64"/>
        <v>1140000</v>
      </c>
      <c r="K2182" s="108" t="s">
        <v>8105</v>
      </c>
      <c r="L2182" s="199" t="s">
        <v>8106</v>
      </c>
      <c r="M2182" s="17"/>
      <c r="N2182" s="45" t="s">
        <v>8107</v>
      </c>
      <c r="O2182" s="68"/>
      <c r="P2182" s="170"/>
      <c r="Q2182" s="149"/>
      <c r="R2182" s="141"/>
      <c r="S2182" s="141"/>
      <c r="T2182" s="141">
        <v>100000.0</v>
      </c>
      <c r="U2182" s="149"/>
      <c r="V2182" s="149"/>
      <c r="W2182" s="149"/>
      <c r="X2182" s="68"/>
      <c r="Y2182" s="68"/>
      <c r="Z2182" s="68"/>
    </row>
    <row r="2183" ht="15.0" customHeight="1">
      <c r="A2183" s="206">
        <v>46072.0</v>
      </c>
      <c r="B2183" s="201" t="s">
        <v>8104</v>
      </c>
      <c r="C2183" s="45" t="s">
        <v>2770</v>
      </c>
      <c r="D2183" s="140" t="str">
        <f>IFERROR(VLOOKUP(C2183,Stock,3,FALSE),"")</f>
        <v>Transport</v>
      </c>
      <c r="E2183" s="45">
        <v>1.0</v>
      </c>
      <c r="F2183" s="198">
        <v>70000.0</v>
      </c>
      <c r="G2183" s="142">
        <f t="shared" si="63"/>
        <v>70000</v>
      </c>
      <c r="H2183" s="142"/>
      <c r="I2183" s="143">
        <f t="shared" si="65"/>
        <v>70000</v>
      </c>
      <c r="J2183" s="144">
        <f t="shared" si="64"/>
        <v>70000</v>
      </c>
      <c r="K2183" s="108" t="s">
        <v>8105</v>
      </c>
      <c r="L2183" s="199" t="s">
        <v>8106</v>
      </c>
      <c r="M2183" s="17"/>
      <c r="N2183" s="68"/>
      <c r="O2183" s="68"/>
      <c r="P2183" s="170"/>
      <c r="Q2183" s="149"/>
      <c r="R2183" s="149"/>
      <c r="S2183" s="149"/>
      <c r="T2183" s="149"/>
      <c r="U2183" s="149"/>
      <c r="V2183" s="149"/>
      <c r="W2183" s="149"/>
      <c r="X2183" s="68"/>
      <c r="Y2183" s="68"/>
      <c r="Z2183" s="68"/>
    </row>
    <row r="2184" ht="15.0" customHeight="1">
      <c r="A2184" s="206">
        <v>46072.0</v>
      </c>
      <c r="B2184" s="201" t="s">
        <v>8108</v>
      </c>
      <c r="C2184" s="45" t="s">
        <v>3358</v>
      </c>
      <c r="D2184" s="140" t="str">
        <f>IFERROR(VLOOKUP(C2184,Stock,3,FALSE),"")</f>
        <v>Toyota Avanza / Xenia 11-15 2nd Gen / 15-21 3rd Gen</v>
      </c>
      <c r="E2184" s="45">
        <v>1.0</v>
      </c>
      <c r="F2184" s="198">
        <v>839000.0</v>
      </c>
      <c r="G2184" s="142">
        <f t="shared" si="63"/>
        <v>839000</v>
      </c>
      <c r="H2184" s="142"/>
      <c r="I2184" s="143">
        <f t="shared" si="65"/>
        <v>839000</v>
      </c>
      <c r="J2184" s="144">
        <f t="shared" si="64"/>
        <v>839000</v>
      </c>
      <c r="K2184" s="108" t="s">
        <v>8109</v>
      </c>
      <c r="L2184" s="199" t="s">
        <v>8110</v>
      </c>
      <c r="M2184" s="17"/>
      <c r="N2184" s="45" t="s">
        <v>8111</v>
      </c>
      <c r="O2184" s="68"/>
      <c r="P2184" s="170"/>
      <c r="Q2184" s="149"/>
      <c r="R2184" s="141"/>
      <c r="S2184" s="141"/>
      <c r="T2184" s="141">
        <v>100000.0</v>
      </c>
      <c r="U2184" s="149"/>
      <c r="V2184" s="149"/>
      <c r="W2184" s="149"/>
      <c r="X2184" s="68"/>
      <c r="Y2184" s="68"/>
      <c r="Z2184" s="68"/>
    </row>
    <row r="2185" ht="15.0" customHeight="1">
      <c r="A2185" s="206">
        <v>46072.0</v>
      </c>
      <c r="B2185" s="201" t="s">
        <v>8108</v>
      </c>
      <c r="C2185" s="45" t="s">
        <v>2770</v>
      </c>
      <c r="D2185" s="140" t="str">
        <f>IFERROR(VLOOKUP(C2185,Stock,3,FALSE),"")</f>
        <v>Transport</v>
      </c>
      <c r="E2185" s="45">
        <v>1.0</v>
      </c>
      <c r="F2185" s="198">
        <v>120000.0</v>
      </c>
      <c r="G2185" s="142">
        <f t="shared" si="63"/>
        <v>120000</v>
      </c>
      <c r="H2185" s="142"/>
      <c r="I2185" s="143">
        <f t="shared" si="65"/>
        <v>120000</v>
      </c>
      <c r="J2185" s="144">
        <f t="shared" si="64"/>
        <v>120000</v>
      </c>
      <c r="K2185" s="108" t="s">
        <v>8109</v>
      </c>
      <c r="L2185" s="199" t="s">
        <v>8110</v>
      </c>
      <c r="M2185" s="17"/>
      <c r="N2185" s="68"/>
      <c r="O2185" s="68"/>
      <c r="P2185" s="147" t="s">
        <v>8112</v>
      </c>
      <c r="Q2185" s="149"/>
      <c r="R2185" s="149"/>
      <c r="S2185" s="149"/>
      <c r="T2185" s="149"/>
      <c r="U2185" s="149"/>
      <c r="V2185" s="149"/>
      <c r="W2185" s="149"/>
      <c r="X2185" s="68"/>
      <c r="Y2185" s="68"/>
      <c r="Z2185" s="68"/>
    </row>
    <row r="2186" ht="15.0" customHeight="1">
      <c r="A2186" s="206">
        <v>46072.0</v>
      </c>
      <c r="B2186" s="201" t="s">
        <v>8113</v>
      </c>
      <c r="C2186" s="64" t="s">
        <v>8114</v>
      </c>
      <c r="D2186" s="140" t="str">
        <f>IFERROR(VLOOKUP(C2186,Stock,3,FALSE),"")</f>
        <v>Toyota Hi-Ace 04-20 Commuter With Frame</v>
      </c>
      <c r="E2186" s="45">
        <v>1.0</v>
      </c>
      <c r="F2186" s="198">
        <v>2765000.0</v>
      </c>
      <c r="G2186" s="142">
        <f t="shared" si="63"/>
        <v>2765000</v>
      </c>
      <c r="H2186" s="142"/>
      <c r="I2186" s="143">
        <f t="shared" si="65"/>
        <v>2765000</v>
      </c>
      <c r="J2186" s="144">
        <f t="shared" si="64"/>
        <v>2765000</v>
      </c>
      <c r="K2186" s="108" t="s">
        <v>8115</v>
      </c>
      <c r="L2186" s="45"/>
      <c r="M2186" s="17"/>
      <c r="N2186" s="68"/>
      <c r="O2186" s="68"/>
      <c r="P2186" s="170"/>
      <c r="Q2186" s="149"/>
      <c r="R2186" s="149"/>
      <c r="S2186" s="149"/>
      <c r="T2186" s="149"/>
      <c r="U2186" s="149"/>
      <c r="V2186" s="149"/>
      <c r="W2186" s="149"/>
      <c r="X2186" s="68"/>
      <c r="Y2186" s="68"/>
      <c r="Z2186" s="68"/>
    </row>
    <row r="2187" ht="15.0" customHeight="1">
      <c r="A2187" s="206">
        <v>46073.0</v>
      </c>
      <c r="B2187" s="201" t="s">
        <v>8116</v>
      </c>
      <c r="C2187" s="45" t="s">
        <v>7551</v>
      </c>
      <c r="D2187" s="140" t="str">
        <f>IFERROR(VLOOKUP(C2187,Stock,3,FALSE),"")</f>
        <v>Mitsubishi L300</v>
      </c>
      <c r="E2187" s="45">
        <v>1.0</v>
      </c>
      <c r="F2187" s="198">
        <v>999000.0</v>
      </c>
      <c r="G2187" s="142">
        <f t="shared" si="63"/>
        <v>999000</v>
      </c>
      <c r="H2187" s="142"/>
      <c r="I2187" s="143">
        <f t="shared" si="65"/>
        <v>999000</v>
      </c>
      <c r="J2187" s="144">
        <f t="shared" si="64"/>
        <v>999000</v>
      </c>
      <c r="K2187" s="108" t="s">
        <v>8117</v>
      </c>
      <c r="L2187" s="199" t="s">
        <v>8118</v>
      </c>
      <c r="M2187" s="17"/>
      <c r="N2187" s="45" t="s">
        <v>8119</v>
      </c>
      <c r="O2187" s="68"/>
      <c r="P2187" s="170"/>
      <c r="Q2187" s="149"/>
      <c r="R2187" s="149"/>
      <c r="S2187" s="149"/>
      <c r="T2187" s="149"/>
      <c r="U2187" s="149"/>
      <c r="V2187" s="149"/>
      <c r="W2187" s="149"/>
      <c r="X2187" s="68"/>
      <c r="Y2187" s="68"/>
      <c r="Z2187" s="68"/>
    </row>
    <row r="2188" ht="15.0" customHeight="1">
      <c r="A2188" s="206">
        <v>46073.0</v>
      </c>
      <c r="B2188" s="201" t="s">
        <v>8120</v>
      </c>
      <c r="C2188" s="45" t="s">
        <v>8121</v>
      </c>
      <c r="D2188" s="140" t="str">
        <f>IFERROR(VLOOKUP(C2188,Stock,3,FALSE),"")</f>
        <v>Suzuki Swift 04-11 1st Gen</v>
      </c>
      <c r="E2188" s="45">
        <v>1.0</v>
      </c>
      <c r="F2188" s="198">
        <v>350000.0</v>
      </c>
      <c r="G2188" s="142">
        <f t="shared" si="63"/>
        <v>350000</v>
      </c>
      <c r="H2188" s="142"/>
      <c r="I2188" s="143">
        <f t="shared" si="65"/>
        <v>350000</v>
      </c>
      <c r="J2188" s="144">
        <f t="shared" si="64"/>
        <v>350000</v>
      </c>
      <c r="K2188" s="200"/>
      <c r="L2188" s="199" t="s">
        <v>8122</v>
      </c>
      <c r="M2188" s="17"/>
      <c r="N2188" s="68"/>
      <c r="O2188" s="68"/>
      <c r="P2188" s="170"/>
      <c r="Q2188" s="141"/>
      <c r="R2188" s="149"/>
      <c r="S2188" s="149"/>
      <c r="T2188" s="149"/>
      <c r="U2188" s="149"/>
      <c r="V2188" s="149"/>
      <c r="W2188" s="149"/>
      <c r="X2188" s="68"/>
      <c r="Y2188" s="68"/>
      <c r="Z2188" s="68"/>
    </row>
    <row r="2189" ht="15.0" customHeight="1">
      <c r="A2189" s="206">
        <v>46073.0</v>
      </c>
      <c r="B2189" s="201" t="s">
        <v>8123</v>
      </c>
      <c r="C2189" s="45" t="s">
        <v>5180</v>
      </c>
      <c r="D2189" s="140" t="str">
        <f>IFERROR(VLOOKUP(C2189,Stock,3,FALSE),"")</f>
        <v>Honda Mobilio 14- / Honda BR-V 16-21</v>
      </c>
      <c r="E2189" s="45">
        <v>1.0</v>
      </c>
      <c r="F2189" s="198">
        <v>650000.0</v>
      </c>
      <c r="G2189" s="142">
        <f t="shared" si="63"/>
        <v>650000</v>
      </c>
      <c r="H2189" s="142"/>
      <c r="I2189" s="143">
        <f t="shared" si="65"/>
        <v>650000</v>
      </c>
      <c r="J2189" s="144">
        <f t="shared" si="64"/>
        <v>650000</v>
      </c>
      <c r="K2189" s="108" t="s">
        <v>8124</v>
      </c>
      <c r="L2189" s="146" t="s">
        <v>8125</v>
      </c>
      <c r="M2189" s="17"/>
      <c r="N2189" s="68"/>
      <c r="O2189" s="68"/>
      <c r="P2189" s="170"/>
      <c r="Q2189" s="141">
        <v>650000.0</v>
      </c>
      <c r="R2189" s="149"/>
      <c r="S2189" s="149"/>
      <c r="T2189" s="149"/>
      <c r="U2189" s="149"/>
      <c r="V2189" s="149"/>
      <c r="W2189" s="149"/>
      <c r="X2189" s="68"/>
      <c r="Y2189" s="68"/>
      <c r="Z2189" s="68"/>
    </row>
    <row r="2190" ht="15.0" customHeight="1">
      <c r="A2190" s="206">
        <v>46073.0</v>
      </c>
      <c r="B2190" s="201" t="s">
        <v>8126</v>
      </c>
      <c r="C2190" s="45" t="s">
        <v>8127</v>
      </c>
      <c r="D2190" s="140" t="str">
        <f>IFERROR(VLOOKUP(C2190,Stock,3,FALSE),"")</f>
        <v>Honda Civic 96-00 SO4/SO6 (Ferio)</v>
      </c>
      <c r="E2190" s="45">
        <v>1.0</v>
      </c>
      <c r="F2190" s="198">
        <v>1420000.0</v>
      </c>
      <c r="G2190" s="142">
        <f t="shared" si="63"/>
        <v>1420000</v>
      </c>
      <c r="H2190" s="142"/>
      <c r="I2190" s="143">
        <f t="shared" si="65"/>
        <v>1420000</v>
      </c>
      <c r="J2190" s="144">
        <f t="shared" si="64"/>
        <v>1420000</v>
      </c>
      <c r="K2190" s="108" t="s">
        <v>8128</v>
      </c>
      <c r="L2190" s="199" t="s">
        <v>8129</v>
      </c>
      <c r="M2190" s="17"/>
      <c r="N2190" s="64" t="s">
        <v>5154</v>
      </c>
      <c r="O2190" s="68"/>
      <c r="P2190" s="170"/>
      <c r="Q2190" s="149"/>
      <c r="R2190" s="149"/>
      <c r="S2190" s="149"/>
      <c r="T2190" s="149"/>
      <c r="U2190" s="149"/>
      <c r="V2190" s="149"/>
      <c r="W2190" s="149"/>
      <c r="X2190" s="68"/>
      <c r="Y2190" s="68"/>
      <c r="Z2190" s="68"/>
    </row>
    <row r="2191" ht="15.0" customHeight="1">
      <c r="A2191" s="206">
        <v>46073.0</v>
      </c>
      <c r="B2191" s="201" t="s">
        <v>8130</v>
      </c>
      <c r="C2191" s="45" t="s">
        <v>3126</v>
      </c>
      <c r="D2191" s="140" t="str">
        <f>IFERROR(VLOOKUP(C2191,Stock,3,FALSE),"")</f>
        <v>Suzuki Carry New 19-</v>
      </c>
      <c r="E2191" s="45">
        <v>1.0</v>
      </c>
      <c r="F2191" s="198">
        <v>1149000.0</v>
      </c>
      <c r="G2191" s="142">
        <f t="shared" si="63"/>
        <v>1149000</v>
      </c>
      <c r="H2191" s="142"/>
      <c r="I2191" s="143">
        <f t="shared" si="65"/>
        <v>1149000</v>
      </c>
      <c r="J2191" s="144">
        <f t="shared" si="64"/>
        <v>1149000</v>
      </c>
      <c r="K2191" s="108" t="s">
        <v>8131</v>
      </c>
      <c r="L2191" s="199" t="s">
        <v>8132</v>
      </c>
      <c r="M2191" s="17"/>
      <c r="N2191" s="64" t="s">
        <v>8133</v>
      </c>
      <c r="O2191" s="68"/>
      <c r="P2191" s="170"/>
      <c r="Q2191" s="149"/>
      <c r="R2191" s="149"/>
      <c r="S2191" s="149"/>
      <c r="T2191" s="149"/>
      <c r="U2191" s="149"/>
      <c r="V2191" s="149"/>
      <c r="W2191" s="149"/>
      <c r="X2191" s="68"/>
      <c r="Y2191" s="68"/>
      <c r="Z2191" s="68"/>
    </row>
    <row r="2192" ht="15.0" customHeight="1">
      <c r="A2192" s="206">
        <v>46073.0</v>
      </c>
      <c r="B2192" s="201" t="s">
        <v>8134</v>
      </c>
      <c r="C2192" s="45" t="s">
        <v>3354</v>
      </c>
      <c r="D2192" s="140" t="str">
        <f>IFERROR(VLOOKUP(C2192,Stock,3,FALSE),"")</f>
        <v>Honda Brio 10- / Mobilio 11- (Honda)</v>
      </c>
      <c r="E2192" s="45">
        <v>1.0</v>
      </c>
      <c r="F2192" s="198">
        <v>1772000.0</v>
      </c>
      <c r="G2192" s="142">
        <f t="shared" si="63"/>
        <v>1772000</v>
      </c>
      <c r="H2192" s="143">
        <v>72000.0</v>
      </c>
      <c r="I2192" s="143">
        <f t="shared" si="65"/>
        <v>1700000</v>
      </c>
      <c r="J2192" s="144">
        <f t="shared" si="64"/>
        <v>1700000</v>
      </c>
      <c r="K2192" s="108" t="s">
        <v>8135</v>
      </c>
      <c r="L2192" s="199" t="s">
        <v>8136</v>
      </c>
      <c r="M2192" s="17"/>
      <c r="N2192" s="64" t="s">
        <v>8137</v>
      </c>
      <c r="O2192" s="68"/>
      <c r="P2192" s="170"/>
      <c r="Q2192" s="149"/>
      <c r="R2192" s="149"/>
      <c r="S2192" s="149"/>
      <c r="T2192" s="149"/>
      <c r="U2192" s="149"/>
      <c r="V2192" s="149"/>
      <c r="W2192" s="149"/>
      <c r="X2192" s="68"/>
      <c r="Y2192" s="68"/>
      <c r="Z2192" s="68"/>
    </row>
    <row r="2193" ht="15.0" customHeight="1">
      <c r="A2193" s="206">
        <v>46073.0</v>
      </c>
      <c r="B2193" s="201" t="s">
        <v>8134</v>
      </c>
      <c r="C2193" s="45" t="s">
        <v>4017</v>
      </c>
      <c r="D2193" s="140" t="str">
        <f>IFERROR(VLOOKUP(C2193,Stock,3,FALSE),"")</f>
        <v>Black Phantom Solar Gard</v>
      </c>
      <c r="E2193" s="45">
        <v>1.0</v>
      </c>
      <c r="F2193" s="198">
        <v>1375000.0</v>
      </c>
      <c r="G2193" s="142">
        <f t="shared" si="63"/>
        <v>1375000</v>
      </c>
      <c r="H2193" s="142"/>
      <c r="I2193" s="143">
        <f t="shared" si="65"/>
        <v>1375000</v>
      </c>
      <c r="J2193" s="144">
        <f t="shared" si="64"/>
        <v>1375000</v>
      </c>
      <c r="K2193" s="108" t="s">
        <v>8135</v>
      </c>
      <c r="L2193" s="199" t="s">
        <v>8136</v>
      </c>
      <c r="M2193" s="17"/>
      <c r="N2193" s="68"/>
      <c r="O2193" s="68"/>
      <c r="P2193" s="170"/>
      <c r="Q2193" s="149"/>
      <c r="R2193" s="149"/>
      <c r="S2193" s="149"/>
      <c r="T2193" s="149"/>
      <c r="U2193" s="149"/>
      <c r="V2193" s="149"/>
      <c r="W2193" s="149"/>
      <c r="X2193" s="68"/>
      <c r="Y2193" s="68"/>
      <c r="Z2193" s="68"/>
    </row>
    <row r="2194" ht="15.0" customHeight="1">
      <c r="A2194" s="206">
        <v>46074.0</v>
      </c>
      <c r="B2194" s="201" t="s">
        <v>8138</v>
      </c>
      <c r="C2194" s="45" t="s">
        <v>5225</v>
      </c>
      <c r="D2194" s="140" t="str">
        <f>IFERROR(VLOOKUP(C2194,Stock,3,FALSE),"")</f>
        <v>Toyota Avanza / Xenia 11-15 2nd Gen/3rd Gen</v>
      </c>
      <c r="E2194" s="45">
        <v>1.0</v>
      </c>
      <c r="F2194" s="198">
        <v>480000.0</v>
      </c>
      <c r="G2194" s="142">
        <f t="shared" si="63"/>
        <v>480000</v>
      </c>
      <c r="H2194" s="142"/>
      <c r="I2194" s="143">
        <f t="shared" si="65"/>
        <v>480000</v>
      </c>
      <c r="J2194" s="144">
        <f t="shared" si="64"/>
        <v>480000</v>
      </c>
      <c r="K2194" s="108" t="s">
        <v>8139</v>
      </c>
      <c r="L2194" s="199" t="s">
        <v>8140</v>
      </c>
      <c r="M2194" s="17"/>
      <c r="N2194" s="64" t="s">
        <v>8141</v>
      </c>
      <c r="O2194" s="68"/>
      <c r="P2194" s="170"/>
      <c r="Q2194" s="141">
        <v>480000.0</v>
      </c>
      <c r="R2194" s="149"/>
      <c r="S2194" s="149"/>
      <c r="T2194" s="149"/>
      <c r="U2194" s="149"/>
      <c r="V2194" s="149"/>
      <c r="W2194" s="149"/>
      <c r="X2194" s="68"/>
      <c r="Y2194" s="68"/>
      <c r="Z2194" s="68"/>
    </row>
    <row r="2195" ht="15.0" customHeight="1">
      <c r="A2195" s="206">
        <v>46074.0</v>
      </c>
      <c r="B2195" s="201" t="s">
        <v>8142</v>
      </c>
      <c r="C2195" s="45" t="s">
        <v>3225</v>
      </c>
      <c r="D2195" s="140" t="str">
        <f>IFERROR(VLOOKUP(C2195,Stock,3,FALSE),"")</f>
        <v>Toyota Rush / Terios 18-</v>
      </c>
      <c r="E2195" s="45">
        <v>1.0</v>
      </c>
      <c r="F2195" s="198">
        <v>1206000.0</v>
      </c>
      <c r="G2195" s="142">
        <f t="shared" si="63"/>
        <v>1206000</v>
      </c>
      <c r="H2195" s="142"/>
      <c r="I2195" s="143">
        <f t="shared" si="65"/>
        <v>1206000</v>
      </c>
      <c r="J2195" s="144">
        <f t="shared" si="64"/>
        <v>1206000</v>
      </c>
      <c r="K2195" s="108" t="s">
        <v>8143</v>
      </c>
      <c r="L2195" s="199" t="s">
        <v>8144</v>
      </c>
      <c r="M2195" s="17"/>
      <c r="N2195" s="64" t="s">
        <v>8145</v>
      </c>
      <c r="O2195" s="68"/>
      <c r="P2195" s="170"/>
      <c r="Q2195" s="149"/>
      <c r="R2195" s="149"/>
      <c r="S2195" s="149"/>
      <c r="T2195" s="149"/>
      <c r="U2195" s="149"/>
      <c r="V2195" s="149"/>
      <c r="W2195" s="149"/>
      <c r="X2195" s="68"/>
      <c r="Y2195" s="68"/>
      <c r="Z2195" s="68"/>
    </row>
    <row r="2196" ht="15.0" customHeight="1">
      <c r="A2196" s="206">
        <v>46074.0</v>
      </c>
      <c r="B2196" s="201" t="s">
        <v>8146</v>
      </c>
      <c r="C2196" s="45" t="s">
        <v>8147</v>
      </c>
      <c r="D2196" s="140" t="str">
        <f>IFERROR(VLOOKUP(C2196,Stock,3,FALSE),"")</f>
        <v>Ford Fiesta 09-17</v>
      </c>
      <c r="E2196" s="45">
        <v>1.0</v>
      </c>
      <c r="F2196" s="198">
        <v>1472000.0</v>
      </c>
      <c r="G2196" s="142">
        <f t="shared" si="63"/>
        <v>1472000</v>
      </c>
      <c r="H2196" s="143">
        <v>22000.0</v>
      </c>
      <c r="I2196" s="143">
        <f t="shared" si="65"/>
        <v>1450000</v>
      </c>
      <c r="J2196" s="144">
        <f t="shared" si="64"/>
        <v>1450000</v>
      </c>
      <c r="K2196" s="108" t="s">
        <v>8148</v>
      </c>
      <c r="L2196" s="199" t="s">
        <v>8149</v>
      </c>
      <c r="M2196" s="17"/>
      <c r="N2196" s="64" t="s">
        <v>8150</v>
      </c>
      <c r="O2196" s="68"/>
      <c r="P2196" s="170"/>
      <c r="Q2196" s="149"/>
      <c r="R2196" s="141"/>
      <c r="S2196" s="141"/>
      <c r="T2196" s="141">
        <v>100000.0</v>
      </c>
      <c r="U2196" s="149"/>
      <c r="V2196" s="149"/>
      <c r="W2196" s="149"/>
      <c r="X2196" s="68"/>
      <c r="Y2196" s="68"/>
      <c r="Z2196" s="68"/>
    </row>
    <row r="2197" ht="15.0" customHeight="1">
      <c r="A2197" s="206">
        <v>46074.0</v>
      </c>
      <c r="B2197" s="201" t="s">
        <v>8146</v>
      </c>
      <c r="C2197" s="45" t="s">
        <v>2770</v>
      </c>
      <c r="D2197" s="140" t="str">
        <f>IFERROR(VLOOKUP(C2197,Stock,3,FALSE),"")</f>
        <v>Transport</v>
      </c>
      <c r="E2197" s="45">
        <v>1.0</v>
      </c>
      <c r="F2197" s="198">
        <v>100000.0</v>
      </c>
      <c r="G2197" s="142">
        <f t="shared" si="63"/>
        <v>100000</v>
      </c>
      <c r="H2197" s="142"/>
      <c r="I2197" s="143">
        <f t="shared" si="65"/>
        <v>100000</v>
      </c>
      <c r="J2197" s="144">
        <f t="shared" si="64"/>
        <v>100000</v>
      </c>
      <c r="K2197" s="108" t="s">
        <v>8148</v>
      </c>
      <c r="L2197" s="199" t="s">
        <v>8149</v>
      </c>
      <c r="M2197" s="17"/>
      <c r="N2197" s="68"/>
      <c r="O2197" s="68"/>
      <c r="P2197" s="170"/>
      <c r="Q2197" s="149"/>
      <c r="R2197" s="149"/>
      <c r="S2197" s="149"/>
      <c r="T2197" s="149"/>
      <c r="U2197" s="149"/>
      <c r="V2197" s="149"/>
      <c r="W2197" s="149"/>
      <c r="X2197" s="68"/>
      <c r="Y2197" s="68"/>
      <c r="Z2197" s="68"/>
    </row>
    <row r="2198" ht="15.0" customHeight="1">
      <c r="A2198" s="206">
        <v>46074.0</v>
      </c>
      <c r="B2198" s="201" t="s">
        <v>8151</v>
      </c>
      <c r="C2198" s="45" t="s">
        <v>5740</v>
      </c>
      <c r="D2198" s="140" t="str">
        <f>IFERROR(VLOOKUP(C2198,Stock,3,FALSE),"")</f>
        <v>Isuzu Elf  93- NKR NHR </v>
      </c>
      <c r="E2198" s="45">
        <v>1.0</v>
      </c>
      <c r="F2198" s="198">
        <v>685000.0</v>
      </c>
      <c r="G2198" s="142">
        <f t="shared" si="63"/>
        <v>685000</v>
      </c>
      <c r="H2198" s="143">
        <v>35000.0</v>
      </c>
      <c r="I2198" s="143">
        <f t="shared" si="65"/>
        <v>650000</v>
      </c>
      <c r="J2198" s="144">
        <f t="shared" si="64"/>
        <v>650000</v>
      </c>
      <c r="K2198" s="108" t="s">
        <v>8152</v>
      </c>
      <c r="L2198" s="199" t="s">
        <v>8153</v>
      </c>
      <c r="M2198" s="17"/>
      <c r="N2198" s="64" t="s">
        <v>8154</v>
      </c>
      <c r="O2198" s="68"/>
      <c r="P2198" s="170"/>
      <c r="Q2198" s="149"/>
      <c r="R2198" s="149"/>
      <c r="S2198" s="149"/>
      <c r="T2198" s="149"/>
      <c r="U2198" s="149"/>
      <c r="V2198" s="149"/>
      <c r="W2198" s="149"/>
      <c r="X2198" s="68"/>
      <c r="Y2198" s="68"/>
      <c r="Z2198" s="68"/>
    </row>
    <row r="2199" ht="15.0" customHeight="1">
      <c r="A2199" s="206">
        <v>46074.0</v>
      </c>
      <c r="B2199" s="45" t="s">
        <v>8151</v>
      </c>
      <c r="C2199" s="45" t="s">
        <v>2770</v>
      </c>
      <c r="D2199" s="140" t="str">
        <f>IFERROR(VLOOKUP(C2199,Stock,3,FALSE),"")</f>
        <v>Transport</v>
      </c>
      <c r="E2199" s="45">
        <v>1.0</v>
      </c>
      <c r="F2199" s="198">
        <v>50000.0</v>
      </c>
      <c r="G2199" s="142">
        <f t="shared" si="63"/>
        <v>50000</v>
      </c>
      <c r="H2199" s="142"/>
      <c r="I2199" s="143">
        <f t="shared" si="65"/>
        <v>50000</v>
      </c>
      <c r="J2199" s="144">
        <f t="shared" si="64"/>
        <v>50000</v>
      </c>
      <c r="K2199" s="108" t="s">
        <v>8152</v>
      </c>
      <c r="L2199" s="199" t="s">
        <v>8153</v>
      </c>
      <c r="M2199" s="17"/>
      <c r="N2199" s="68"/>
      <c r="O2199" s="68"/>
      <c r="P2199" s="170"/>
      <c r="Q2199" s="149"/>
      <c r="R2199" s="149"/>
      <c r="S2199" s="149"/>
      <c r="T2199" s="149"/>
      <c r="U2199" s="149"/>
      <c r="V2199" s="149"/>
      <c r="W2199" s="149"/>
      <c r="X2199" s="68"/>
      <c r="Y2199" s="68"/>
      <c r="Z2199" s="68"/>
    </row>
    <row r="2200" ht="15.0" customHeight="1">
      <c r="A2200" s="206">
        <v>46074.0</v>
      </c>
      <c r="B2200" s="201" t="s">
        <v>8155</v>
      </c>
      <c r="C2200" s="45" t="s">
        <v>4544</v>
      </c>
      <c r="D2200" s="140" t="str">
        <f>IFERROR(VLOOKUP(C2200,Stock,3,FALSE),"")</f>
        <v>Toyota Avanza / Xenia 03-11 1st Gen</v>
      </c>
      <c r="E2200" s="45">
        <v>1.0</v>
      </c>
      <c r="F2200" s="198">
        <v>839000.0</v>
      </c>
      <c r="G2200" s="142">
        <f t="shared" si="63"/>
        <v>839000</v>
      </c>
      <c r="H2200" s="143">
        <v>20000.0</v>
      </c>
      <c r="I2200" s="143">
        <f t="shared" si="65"/>
        <v>819000</v>
      </c>
      <c r="J2200" s="144">
        <f t="shared" si="64"/>
        <v>819000</v>
      </c>
      <c r="K2200" s="108" t="s">
        <v>8156</v>
      </c>
      <c r="L2200" s="199" t="s">
        <v>8157</v>
      </c>
      <c r="M2200" s="17"/>
      <c r="N2200" s="64" t="s">
        <v>8154</v>
      </c>
      <c r="O2200" s="68"/>
      <c r="P2200" s="170"/>
      <c r="Q2200" s="149"/>
      <c r="R2200" s="141"/>
      <c r="S2200" s="141"/>
      <c r="T2200" s="141">
        <v>100000.0</v>
      </c>
      <c r="U2200" s="149"/>
      <c r="V2200" s="149"/>
      <c r="W2200" s="149"/>
      <c r="X2200" s="68"/>
      <c r="Y2200" s="68"/>
      <c r="Z2200" s="68"/>
    </row>
    <row r="2201" ht="15.0" customHeight="1">
      <c r="A2201" s="206">
        <v>46074.0</v>
      </c>
      <c r="B2201" s="201" t="s">
        <v>8155</v>
      </c>
      <c r="C2201" s="45" t="s">
        <v>2770</v>
      </c>
      <c r="D2201" s="140" t="str">
        <f>IFERROR(VLOOKUP(C2201,Stock,3,FALSE),"")</f>
        <v>Transport</v>
      </c>
      <c r="E2201" s="45">
        <v>1.0</v>
      </c>
      <c r="F2201" s="198">
        <v>120000.0</v>
      </c>
      <c r="G2201" s="142">
        <f t="shared" si="63"/>
        <v>120000</v>
      </c>
      <c r="H2201" s="142"/>
      <c r="I2201" s="143">
        <f t="shared" si="65"/>
        <v>120000</v>
      </c>
      <c r="J2201" s="144">
        <f t="shared" si="64"/>
        <v>120000</v>
      </c>
      <c r="K2201" s="108" t="s">
        <v>8156</v>
      </c>
      <c r="L2201" s="199" t="s">
        <v>8157</v>
      </c>
      <c r="M2201" s="17"/>
      <c r="N2201" s="68"/>
      <c r="O2201" s="68"/>
      <c r="P2201" s="170"/>
      <c r="Q2201" s="149"/>
      <c r="R2201" s="149"/>
      <c r="S2201" s="149"/>
      <c r="T2201" s="149"/>
      <c r="U2201" s="149"/>
      <c r="V2201" s="149"/>
      <c r="W2201" s="149"/>
      <c r="X2201" s="68"/>
      <c r="Y2201" s="68"/>
      <c r="Z2201" s="68"/>
    </row>
    <row r="2202" ht="15.0" customHeight="1">
      <c r="A2202" s="206">
        <v>46074.0</v>
      </c>
      <c r="B2202" s="201" t="s">
        <v>8158</v>
      </c>
      <c r="C2202" s="45" t="s">
        <v>3414</v>
      </c>
      <c r="D2202" s="140" t="str">
        <f>IFERROR(VLOOKUP(C2202,Stock,3,FALSE),"")</f>
        <v>Honda Mobilio 11-</v>
      </c>
      <c r="E2202" s="45">
        <v>1.0</v>
      </c>
      <c r="F2202" s="198">
        <v>819000.0</v>
      </c>
      <c r="G2202" s="142">
        <f t="shared" si="63"/>
        <v>819000</v>
      </c>
      <c r="H2202" s="142"/>
      <c r="I2202" s="143">
        <f t="shared" si="65"/>
        <v>819000</v>
      </c>
      <c r="J2202" s="144">
        <f t="shared" si="64"/>
        <v>819000</v>
      </c>
      <c r="K2202" s="108" t="s">
        <v>8159</v>
      </c>
      <c r="L2202" s="199" t="s">
        <v>8160</v>
      </c>
      <c r="M2202" s="17"/>
      <c r="N2202" s="64" t="s">
        <v>8161</v>
      </c>
      <c r="O2202" s="68"/>
      <c r="P2202" s="170"/>
      <c r="Q2202" s="149"/>
      <c r="R2202" s="149"/>
      <c r="S2202" s="149"/>
      <c r="T2202" s="149"/>
      <c r="U2202" s="149"/>
      <c r="V2202" s="149"/>
      <c r="W2202" s="149"/>
      <c r="X2202" s="68"/>
      <c r="Y2202" s="68"/>
      <c r="Z2202" s="68"/>
    </row>
    <row r="2203" ht="15.0" customHeight="1">
      <c r="A2203" s="206">
        <v>46074.0</v>
      </c>
      <c r="B2203" s="201" t="s">
        <v>8162</v>
      </c>
      <c r="C2203" s="45" t="s">
        <v>4609</v>
      </c>
      <c r="D2203" s="140" t="str">
        <f>IFERROR(VLOOKUP(C2203,Stock,3,FALSE),"")</f>
        <v>Mazda Biante 08- (Hitam)</v>
      </c>
      <c r="E2203" s="45">
        <v>1.0</v>
      </c>
      <c r="F2203" s="198">
        <v>3393000.0</v>
      </c>
      <c r="G2203" s="142">
        <f t="shared" si="63"/>
        <v>3393000</v>
      </c>
      <c r="H2203" s="142"/>
      <c r="I2203" s="143">
        <f t="shared" si="65"/>
        <v>3393000</v>
      </c>
      <c r="J2203" s="144">
        <f t="shared" si="64"/>
        <v>3393000</v>
      </c>
      <c r="K2203" s="108" t="s">
        <v>8163</v>
      </c>
      <c r="L2203" s="199" t="s">
        <v>8164</v>
      </c>
      <c r="M2203" s="17"/>
      <c r="N2203" s="68"/>
      <c r="O2203" s="68"/>
      <c r="P2203" s="170"/>
      <c r="Q2203" s="149"/>
      <c r="R2203" s="141"/>
      <c r="S2203" s="141"/>
      <c r="T2203" s="141">
        <v>100000.0</v>
      </c>
      <c r="U2203" s="149"/>
      <c r="V2203" s="149"/>
      <c r="W2203" s="149"/>
      <c r="X2203" s="68"/>
      <c r="Y2203" s="68"/>
      <c r="Z2203" s="68"/>
    </row>
    <row r="2204" ht="15.0" customHeight="1">
      <c r="A2204" s="206">
        <v>46074.0</v>
      </c>
      <c r="B2204" s="201" t="s">
        <v>8165</v>
      </c>
      <c r="C2204" s="45" t="s">
        <v>2792</v>
      </c>
      <c r="D2204" s="140" t="str">
        <f>IFERROR(VLOOKUP(C2204,Stock,3,FALSE),"")</f>
        <v>Toyota Calya / Sigra 16-</v>
      </c>
      <c r="E2204" s="45">
        <v>1.0</v>
      </c>
      <c r="F2204" s="198">
        <v>850000.0</v>
      </c>
      <c r="G2204" s="142">
        <f t="shared" si="63"/>
        <v>850000</v>
      </c>
      <c r="H2204" s="142"/>
      <c r="I2204" s="143">
        <f t="shared" si="65"/>
        <v>850000</v>
      </c>
      <c r="J2204" s="144">
        <f t="shared" si="64"/>
        <v>850000</v>
      </c>
      <c r="K2204" s="108" t="s">
        <v>8166</v>
      </c>
      <c r="L2204" s="199" t="s">
        <v>8167</v>
      </c>
      <c r="M2204" s="17"/>
      <c r="N2204" s="64" t="s">
        <v>8168</v>
      </c>
      <c r="O2204" s="68"/>
      <c r="P2204" s="170"/>
      <c r="Q2204" s="149"/>
      <c r="R2204" s="149"/>
      <c r="S2204" s="149"/>
      <c r="T2204" s="149"/>
      <c r="U2204" s="149"/>
      <c r="V2204" s="149"/>
      <c r="W2204" s="149"/>
      <c r="X2204" s="68"/>
      <c r="Y2204" s="68"/>
      <c r="Z2204" s="68"/>
    </row>
    <row r="2205" ht="15.0" customHeight="1">
      <c r="A2205" s="206">
        <v>46076.0</v>
      </c>
      <c r="B2205" s="201" t="s">
        <v>8169</v>
      </c>
      <c r="C2205" s="45" t="s">
        <v>3234</v>
      </c>
      <c r="D2205" s="140" t="str">
        <f>IFERROR(VLOOKUP(C2205,Stock,3,FALSE),"")</f>
        <v>Toyota Avanza / Xenia 21- 4th Gen (Non sensor)</v>
      </c>
      <c r="E2205" s="45">
        <v>1.0</v>
      </c>
      <c r="F2205" s="198">
        <v>1399000.0</v>
      </c>
      <c r="G2205" s="142">
        <f t="shared" si="63"/>
        <v>1399000</v>
      </c>
      <c r="H2205" s="142"/>
      <c r="I2205" s="143">
        <f t="shared" si="65"/>
        <v>1399000</v>
      </c>
      <c r="J2205" s="144">
        <f t="shared" si="64"/>
        <v>1399000</v>
      </c>
      <c r="K2205" s="108" t="s">
        <v>8170</v>
      </c>
      <c r="L2205" s="199" t="s">
        <v>8171</v>
      </c>
      <c r="M2205" s="17"/>
      <c r="N2205" s="68"/>
      <c r="O2205" s="68"/>
      <c r="P2205" s="170"/>
      <c r="Q2205" s="141">
        <v>1400000.0</v>
      </c>
      <c r="R2205" s="149"/>
      <c r="S2205" s="149"/>
      <c r="T2205" s="149"/>
      <c r="U2205" s="149"/>
      <c r="V2205" s="149"/>
      <c r="W2205" s="149"/>
      <c r="X2205" s="68"/>
      <c r="Y2205" s="68"/>
      <c r="Z2205" s="68"/>
    </row>
    <row r="2206" ht="15.0" customHeight="1">
      <c r="A2206" s="206">
        <v>46076.0</v>
      </c>
      <c r="B2206" s="201" t="s">
        <v>8172</v>
      </c>
      <c r="C2206" s="45" t="s">
        <v>3475</v>
      </c>
      <c r="D2206" s="140" t="str">
        <f>IFERROR(VLOOKUP(C2206,Stock,3,FALSE),"")</f>
        <v>Toyota Avanza / Xenia 03-11 1st Gen</v>
      </c>
      <c r="E2206" s="45">
        <v>1.0</v>
      </c>
      <c r="F2206" s="198">
        <v>1000000.0</v>
      </c>
      <c r="G2206" s="142">
        <f t="shared" si="63"/>
        <v>1000000</v>
      </c>
      <c r="H2206" s="142"/>
      <c r="I2206" s="143">
        <f t="shared" si="65"/>
        <v>1000000</v>
      </c>
      <c r="J2206" s="144">
        <f t="shared" si="64"/>
        <v>1000000</v>
      </c>
      <c r="K2206" s="108" t="s">
        <v>8173</v>
      </c>
      <c r="L2206" s="199" t="s">
        <v>8174</v>
      </c>
      <c r="M2206" s="17"/>
      <c r="N2206" s="64" t="s">
        <v>8175</v>
      </c>
      <c r="O2206" s="68"/>
      <c r="P2206" s="170"/>
      <c r="Q2206" s="149"/>
      <c r="R2206" s="141"/>
      <c r="S2206" s="141"/>
      <c r="T2206" s="141"/>
      <c r="U2206" s="149"/>
      <c r="V2206" s="149"/>
      <c r="W2206" s="149"/>
      <c r="X2206" s="68"/>
      <c r="Y2206" s="68"/>
      <c r="Z2206" s="68"/>
    </row>
    <row r="2207" ht="15.0" customHeight="1">
      <c r="A2207" s="206">
        <v>46076.0</v>
      </c>
      <c r="B2207" s="201" t="s">
        <v>8176</v>
      </c>
      <c r="C2207" s="45" t="s">
        <v>4024</v>
      </c>
      <c r="D2207" s="140" t="str">
        <f>IFERROR(VLOOKUP(C2207,Stock,3,FALSE),"")</f>
        <v>Mazda CX-5 12-17 1st Gen KE Facelift - (2 Sensor / [] /\  )</v>
      </c>
      <c r="E2207" s="45">
        <v>1.0</v>
      </c>
      <c r="F2207" s="198">
        <v>3800000.0</v>
      </c>
      <c r="G2207" s="142">
        <f t="shared" si="63"/>
        <v>3800000</v>
      </c>
      <c r="H2207" s="142"/>
      <c r="I2207" s="143">
        <f t="shared" si="65"/>
        <v>3800000</v>
      </c>
      <c r="J2207" s="144">
        <f t="shared" si="64"/>
        <v>3800000</v>
      </c>
      <c r="K2207" s="108" t="s">
        <v>8177</v>
      </c>
      <c r="L2207" s="199" t="s">
        <v>8178</v>
      </c>
      <c r="M2207" s="17"/>
      <c r="N2207" s="64" t="s">
        <v>8179</v>
      </c>
      <c r="O2207" s="68"/>
      <c r="P2207" s="170"/>
      <c r="Q2207" s="149"/>
      <c r="R2207" s="141"/>
      <c r="S2207" s="141"/>
      <c r="T2207" s="141">
        <v>100000.0</v>
      </c>
      <c r="U2207" s="149"/>
      <c r="V2207" s="149"/>
      <c r="W2207" s="149"/>
      <c r="X2207" s="68"/>
      <c r="Y2207" s="68"/>
      <c r="Z2207" s="68"/>
    </row>
    <row r="2208" ht="15.0" customHeight="1">
      <c r="A2208" s="206">
        <v>46076.0</v>
      </c>
      <c r="B2208" s="201" t="s">
        <v>8176</v>
      </c>
      <c r="C2208" s="45" t="s">
        <v>2770</v>
      </c>
      <c r="D2208" s="140" t="str">
        <f>IFERROR(VLOOKUP(C2208,Stock,3,FALSE),"")</f>
        <v>Transport</v>
      </c>
      <c r="E2208" s="45">
        <v>1.0</v>
      </c>
      <c r="F2208" s="198">
        <v>150000.0</v>
      </c>
      <c r="G2208" s="142">
        <f t="shared" si="63"/>
        <v>150000</v>
      </c>
      <c r="H2208" s="142"/>
      <c r="I2208" s="143">
        <f t="shared" si="65"/>
        <v>150000</v>
      </c>
      <c r="J2208" s="144">
        <f t="shared" si="64"/>
        <v>150000</v>
      </c>
      <c r="K2208" s="108" t="s">
        <v>8177</v>
      </c>
      <c r="L2208" s="199" t="s">
        <v>8178</v>
      </c>
      <c r="M2208" s="17"/>
      <c r="N2208" s="68"/>
      <c r="O2208" s="68"/>
      <c r="P2208" s="170"/>
      <c r="Q2208" s="149"/>
      <c r="R2208" s="141"/>
      <c r="S2208" s="141"/>
      <c r="T2208" s="141">
        <v>3800000.0</v>
      </c>
      <c r="U2208" s="149"/>
      <c r="V2208" s="149"/>
      <c r="W2208" s="149"/>
      <c r="X2208" s="68"/>
      <c r="Y2208" s="68"/>
      <c r="Z2208" s="68"/>
    </row>
    <row r="2209" ht="15.0" customHeight="1">
      <c r="A2209" s="206">
        <v>46076.0</v>
      </c>
      <c r="B2209" s="45" t="s">
        <v>8180</v>
      </c>
      <c r="C2209" s="45" t="s">
        <v>8181</v>
      </c>
      <c r="D2209" s="140" t="str">
        <f>IFERROR(VLOOKUP(C2209,Stock,3,FALSE),"")</f>
        <v>Honda Jazz 13-  3rd Gen</v>
      </c>
      <c r="E2209" s="45">
        <v>1.0</v>
      </c>
      <c r="F2209" s="198">
        <v>675000.0</v>
      </c>
      <c r="G2209" s="142">
        <f t="shared" si="63"/>
        <v>675000</v>
      </c>
      <c r="H2209" s="142"/>
      <c r="I2209" s="143">
        <f t="shared" si="65"/>
        <v>675000</v>
      </c>
      <c r="J2209" s="144">
        <f t="shared" si="64"/>
        <v>675000</v>
      </c>
      <c r="K2209" s="108" t="s">
        <v>8182</v>
      </c>
      <c r="L2209" s="199" t="s">
        <v>8183</v>
      </c>
      <c r="M2209" s="17"/>
      <c r="N2209" s="64" t="s">
        <v>8184</v>
      </c>
      <c r="O2209" s="68"/>
      <c r="P2209" s="170"/>
      <c r="Q2209" s="149"/>
      <c r="R2209" s="149"/>
      <c r="S2209" s="149"/>
      <c r="T2209" s="149"/>
      <c r="U2209" s="149"/>
      <c r="V2209" s="149"/>
      <c r="W2209" s="149"/>
      <c r="X2209" s="68"/>
      <c r="Y2209" s="68"/>
      <c r="Z2209" s="68"/>
    </row>
    <row r="2210" ht="15.0" customHeight="1">
      <c r="A2210" s="206">
        <v>46076.0</v>
      </c>
      <c r="B2210" s="45" t="s">
        <v>8185</v>
      </c>
      <c r="C2210" s="64" t="s">
        <v>4267</v>
      </c>
      <c r="D2210" s="140" t="str">
        <f>IFERROR(VLOOKUP(C2210,Stock,3,FALSE),"")</f>
        <v>Honda Mobilio 14- / Honda BR-V 16-21</v>
      </c>
      <c r="E2210" s="45">
        <v>1.0</v>
      </c>
      <c r="F2210" s="198">
        <v>585000.0</v>
      </c>
      <c r="G2210" s="142">
        <f t="shared" si="63"/>
        <v>585000</v>
      </c>
      <c r="H2210" s="142"/>
      <c r="I2210" s="143">
        <f t="shared" si="65"/>
        <v>585000</v>
      </c>
      <c r="J2210" s="144">
        <f t="shared" si="64"/>
        <v>585000</v>
      </c>
      <c r="K2210" s="108" t="s">
        <v>3976</v>
      </c>
      <c r="L2210" s="199" t="s">
        <v>8186</v>
      </c>
      <c r="M2210" s="17"/>
      <c r="N2210" s="64" t="s">
        <v>8187</v>
      </c>
      <c r="O2210" s="68"/>
      <c r="P2210" s="170"/>
      <c r="Q2210" s="149"/>
      <c r="R2210" s="141"/>
      <c r="S2210" s="141"/>
      <c r="T2210" s="141">
        <v>100000.0</v>
      </c>
      <c r="U2210" s="149"/>
      <c r="V2210" s="149"/>
      <c r="W2210" s="149"/>
      <c r="X2210" s="68"/>
      <c r="Y2210" s="68"/>
      <c r="Z2210" s="68"/>
    </row>
    <row r="2211" ht="15.0" customHeight="1">
      <c r="A2211" s="206">
        <v>46076.0</v>
      </c>
      <c r="B2211" s="45" t="s">
        <v>8185</v>
      </c>
      <c r="C2211" s="45" t="s">
        <v>2770</v>
      </c>
      <c r="D2211" s="140" t="str">
        <f>IFERROR(VLOOKUP(C2211,Stock,3,FALSE),"")</f>
        <v>Transport</v>
      </c>
      <c r="E2211" s="45">
        <v>1.0</v>
      </c>
      <c r="F2211" s="198">
        <v>130000.0</v>
      </c>
      <c r="G2211" s="142">
        <f t="shared" si="63"/>
        <v>130000</v>
      </c>
      <c r="H2211" s="142"/>
      <c r="I2211" s="143">
        <f t="shared" si="65"/>
        <v>130000</v>
      </c>
      <c r="J2211" s="144">
        <f t="shared" si="64"/>
        <v>130000</v>
      </c>
      <c r="K2211" s="108" t="s">
        <v>3976</v>
      </c>
      <c r="L2211" s="199" t="s">
        <v>8186</v>
      </c>
      <c r="M2211" s="17"/>
      <c r="N2211" s="68"/>
      <c r="O2211" s="68"/>
      <c r="P2211" s="170"/>
      <c r="Q2211" s="149"/>
      <c r="R2211" s="141"/>
      <c r="S2211" s="141"/>
      <c r="T2211" s="141">
        <v>615000.0</v>
      </c>
      <c r="U2211" s="149"/>
      <c r="V2211" s="149"/>
      <c r="W2211" s="149"/>
      <c r="X2211" s="68"/>
      <c r="Y2211" s="68"/>
      <c r="Z2211" s="68"/>
    </row>
    <row r="2212" ht="15.0" customHeight="1">
      <c r="A2212" s="206">
        <v>46076.0</v>
      </c>
      <c r="B2212" s="201" t="s">
        <v>8188</v>
      </c>
      <c r="C2212" s="45" t="s">
        <v>6283</v>
      </c>
      <c r="D2212" s="140" t="str">
        <f>IFERROR(VLOOKUP(C2212,Stock,3,FALSE),"")</f>
        <v>Toyota Rush / Terios 18- (Toyota/Daihatsu)</v>
      </c>
      <c r="E2212" s="45">
        <v>1.0</v>
      </c>
      <c r="F2212" s="198">
        <v>894000.0</v>
      </c>
      <c r="G2212" s="142">
        <f t="shared" si="63"/>
        <v>894000</v>
      </c>
      <c r="H2212" s="142"/>
      <c r="I2212" s="143">
        <f t="shared" si="65"/>
        <v>894000</v>
      </c>
      <c r="J2212" s="144">
        <f t="shared" si="64"/>
        <v>894000</v>
      </c>
      <c r="K2212" s="108" t="s">
        <v>8189</v>
      </c>
      <c r="L2212" s="199" t="s">
        <v>8190</v>
      </c>
      <c r="M2212" s="17"/>
      <c r="N2212" s="64" t="s">
        <v>8191</v>
      </c>
      <c r="O2212" s="68"/>
      <c r="P2212" s="170"/>
      <c r="Q2212" s="149"/>
      <c r="R2212" s="149"/>
      <c r="S2212" s="149"/>
      <c r="T2212" s="149"/>
      <c r="U2212" s="149"/>
      <c r="V2212" s="149"/>
      <c r="W2212" s="149"/>
      <c r="X2212" s="68"/>
      <c r="Y2212" s="68"/>
      <c r="Z2212" s="68"/>
    </row>
    <row r="2213" ht="15.0" customHeight="1">
      <c r="A2213" s="206">
        <v>46076.0</v>
      </c>
      <c r="B2213" s="201" t="s">
        <v>8192</v>
      </c>
      <c r="C2213" s="45" t="s">
        <v>3234</v>
      </c>
      <c r="D2213" s="140" t="str">
        <f>IFERROR(VLOOKUP(C2213,Stock,3,FALSE),"")</f>
        <v>Toyota Avanza / Xenia 21- 4th Gen (Non sensor)</v>
      </c>
      <c r="E2213" s="45">
        <v>1.0</v>
      </c>
      <c r="F2213" s="198">
        <v>1399000.0</v>
      </c>
      <c r="G2213" s="142">
        <f t="shared" si="63"/>
        <v>1399000</v>
      </c>
      <c r="H2213" s="142"/>
      <c r="I2213" s="143">
        <f t="shared" si="65"/>
        <v>1399000</v>
      </c>
      <c r="J2213" s="144">
        <f t="shared" si="64"/>
        <v>1399000</v>
      </c>
      <c r="K2213" s="108" t="s">
        <v>8193</v>
      </c>
      <c r="L2213" s="199" t="s">
        <v>8194</v>
      </c>
      <c r="M2213" s="17"/>
      <c r="N2213" s="64" t="s">
        <v>8195</v>
      </c>
      <c r="O2213" s="68"/>
      <c r="P2213" s="170"/>
      <c r="Q2213" s="149"/>
      <c r="R2213" s="149"/>
      <c r="S2213" s="149"/>
      <c r="T2213" s="149"/>
      <c r="U2213" s="149"/>
      <c r="V2213" s="149"/>
      <c r="W2213" s="149"/>
      <c r="X2213" s="68"/>
      <c r="Y2213" s="68"/>
      <c r="Z2213" s="68"/>
    </row>
    <row r="2214" ht="15.0" customHeight="1">
      <c r="A2214" s="206">
        <v>46076.0</v>
      </c>
      <c r="B2214" s="201" t="s">
        <v>8196</v>
      </c>
      <c r="C2214" s="45" t="s">
        <v>4380</v>
      </c>
      <c r="D2214" s="140" t="str">
        <f>IFERROR(VLOOKUP(C2214,Stock,3,FALSE),"")</f>
        <v>Nissan Livina 07-12 L10 (Tanpa Lubang)</v>
      </c>
      <c r="E2214" s="45">
        <v>1.0</v>
      </c>
      <c r="F2214" s="198">
        <v>1099000.0</v>
      </c>
      <c r="G2214" s="142">
        <f t="shared" si="63"/>
        <v>1099000</v>
      </c>
      <c r="H2214" s="142"/>
      <c r="I2214" s="143">
        <f t="shared" si="65"/>
        <v>1099000</v>
      </c>
      <c r="J2214" s="144">
        <f t="shared" si="64"/>
        <v>1099000</v>
      </c>
      <c r="K2214" s="64" t="s">
        <v>8197</v>
      </c>
      <c r="L2214" s="199" t="s">
        <v>8198</v>
      </c>
      <c r="M2214" s="17"/>
      <c r="N2214" s="64" t="s">
        <v>8199</v>
      </c>
      <c r="O2214" s="68"/>
      <c r="P2214" s="170"/>
      <c r="Q2214" s="149"/>
      <c r="R2214" s="149"/>
      <c r="S2214" s="149"/>
      <c r="T2214" s="149"/>
      <c r="U2214" s="149"/>
      <c r="V2214" s="149"/>
      <c r="W2214" s="149"/>
      <c r="X2214" s="68"/>
      <c r="Y2214" s="68"/>
      <c r="Z2214" s="68"/>
    </row>
    <row r="2215" ht="15.0" customHeight="1">
      <c r="A2215" s="206">
        <v>46076.0</v>
      </c>
      <c r="B2215" s="201" t="s">
        <v>8196</v>
      </c>
      <c r="C2215" s="45" t="s">
        <v>7011</v>
      </c>
      <c r="D2215" s="140" t="str">
        <f>IFERROR(VLOOKUP(C2215,Stock,3,FALSE),"")</f>
        <v>Automotive Film Standard - Black 40%				</v>
      </c>
      <c r="E2215" s="45">
        <v>1.0</v>
      </c>
      <c r="F2215" s="198">
        <v>250000.0</v>
      </c>
      <c r="G2215" s="142">
        <f t="shared" si="63"/>
        <v>250000</v>
      </c>
      <c r="H2215" s="142"/>
      <c r="I2215" s="143">
        <f t="shared" si="65"/>
        <v>250000</v>
      </c>
      <c r="J2215" s="144">
        <f t="shared" si="64"/>
        <v>250000</v>
      </c>
      <c r="K2215" s="64" t="s">
        <v>8197</v>
      </c>
      <c r="L2215" s="199" t="s">
        <v>8198</v>
      </c>
      <c r="M2215" s="17"/>
      <c r="N2215" s="68"/>
      <c r="O2215" s="68"/>
      <c r="P2215" s="170"/>
      <c r="Q2215" s="149"/>
      <c r="R2215" s="149"/>
      <c r="S2215" s="149"/>
      <c r="T2215" s="149"/>
      <c r="U2215" s="149"/>
      <c r="V2215" s="149"/>
      <c r="W2215" s="149"/>
      <c r="X2215" s="68"/>
      <c r="Y2215" s="68"/>
      <c r="Z2215" s="68"/>
    </row>
    <row r="2216" ht="15.0" customHeight="1">
      <c r="A2216" s="206">
        <v>46076.0</v>
      </c>
      <c r="B2216" s="201" t="s">
        <v>8200</v>
      </c>
      <c r="C2216" s="45" t="s">
        <v>3220</v>
      </c>
      <c r="D2216" s="140" t="str">
        <f>IFERROR(VLOOKUP(C2216,Stock,3,FALSE),"")</f>
        <v>BMW 3 Series 12-18 F30/F35 (1 Sensor / O )</v>
      </c>
      <c r="E2216" s="45">
        <v>1.0</v>
      </c>
      <c r="F2216" s="198">
        <v>4402000.0</v>
      </c>
      <c r="G2216" s="142">
        <f t="shared" si="63"/>
        <v>4402000</v>
      </c>
      <c r="H2216" s="142"/>
      <c r="I2216" s="143">
        <f t="shared" si="65"/>
        <v>4402000</v>
      </c>
      <c r="J2216" s="144">
        <f t="shared" si="64"/>
        <v>4402000</v>
      </c>
      <c r="K2216" s="108" t="s">
        <v>4645</v>
      </c>
      <c r="L2216" s="199" t="s">
        <v>8201</v>
      </c>
      <c r="M2216" s="17"/>
      <c r="N2216" s="64" t="s">
        <v>8202</v>
      </c>
      <c r="O2216" s="68"/>
      <c r="P2216" s="170"/>
      <c r="Q2216" s="149"/>
      <c r="R2216" s="149"/>
      <c r="S2216" s="149"/>
      <c r="T2216" s="149"/>
      <c r="U2216" s="149"/>
      <c r="V2216" s="149"/>
      <c r="W2216" s="149"/>
      <c r="X2216" s="68"/>
      <c r="Y2216" s="68"/>
      <c r="Z2216" s="68"/>
    </row>
    <row r="2217" ht="15.0" customHeight="1">
      <c r="A2217" s="206">
        <v>46076.0</v>
      </c>
      <c r="B2217" s="201" t="s">
        <v>8200</v>
      </c>
      <c r="C2217" s="45" t="s">
        <v>2770</v>
      </c>
      <c r="D2217" s="140" t="str">
        <f>IFERROR(VLOOKUP(C2217,Stock,3,FALSE),"")</f>
        <v>Transport</v>
      </c>
      <c r="E2217" s="45">
        <v>1.0</v>
      </c>
      <c r="F2217" s="198">
        <v>50000.0</v>
      </c>
      <c r="G2217" s="142">
        <f t="shared" si="63"/>
        <v>50000</v>
      </c>
      <c r="H2217" s="142"/>
      <c r="I2217" s="143">
        <f t="shared" si="65"/>
        <v>50000</v>
      </c>
      <c r="J2217" s="144">
        <f t="shared" si="64"/>
        <v>50000</v>
      </c>
      <c r="K2217" s="108" t="s">
        <v>4645</v>
      </c>
      <c r="L2217" s="199" t="s">
        <v>8201</v>
      </c>
      <c r="M2217" s="17"/>
      <c r="N2217" s="64" t="s">
        <v>8202</v>
      </c>
      <c r="O2217" s="68"/>
      <c r="P2217" s="170"/>
      <c r="Q2217" s="149"/>
      <c r="R2217" s="149"/>
      <c r="S2217" s="149"/>
      <c r="T2217" s="149"/>
      <c r="U2217" s="149"/>
      <c r="V2217" s="149"/>
      <c r="W2217" s="149"/>
      <c r="X2217" s="68"/>
      <c r="Y2217" s="68"/>
      <c r="Z2217" s="68"/>
    </row>
    <row r="2218" ht="15.0" customHeight="1">
      <c r="A2218" s="206">
        <v>46078.0</v>
      </c>
      <c r="B2218" s="201" t="s">
        <v>8203</v>
      </c>
      <c r="C2218" s="45" t="s">
        <v>8204</v>
      </c>
      <c r="D2218" s="140" t="str">
        <f>IFERROR(VLOOKUP(C2218,Stock,3,FALSE),"")</f>
        <v>BMW E81/E87 (116I/120I)</v>
      </c>
      <c r="E2218" s="45">
        <v>1.0</v>
      </c>
      <c r="F2218" s="198">
        <v>4912000.0</v>
      </c>
      <c r="G2218" s="142">
        <f t="shared" si="63"/>
        <v>4912000</v>
      </c>
      <c r="H2218" s="142"/>
      <c r="I2218" s="143">
        <f t="shared" si="65"/>
        <v>4912000</v>
      </c>
      <c r="J2218" s="144">
        <f t="shared" si="64"/>
        <v>4912000</v>
      </c>
      <c r="K2218" s="108" t="s">
        <v>8205</v>
      </c>
      <c r="L2218" s="199" t="s">
        <v>8206</v>
      </c>
      <c r="M2218" s="17"/>
      <c r="N2218" s="64" t="s">
        <v>8207</v>
      </c>
      <c r="O2218" s="68"/>
      <c r="P2218" s="170"/>
      <c r="Q2218" s="149"/>
      <c r="R2218" s="141"/>
      <c r="S2218" s="141">
        <v>2456000.0</v>
      </c>
      <c r="T2218" s="141">
        <v>2456000.0</v>
      </c>
      <c r="U2218" s="149"/>
      <c r="V2218" s="149"/>
      <c r="W2218" s="149"/>
      <c r="X2218" s="68"/>
      <c r="Y2218" s="68"/>
      <c r="Z2218" s="68"/>
    </row>
    <row r="2219" ht="15.0" customHeight="1">
      <c r="A2219" s="206">
        <v>46078.0</v>
      </c>
      <c r="B2219" s="201" t="s">
        <v>8208</v>
      </c>
      <c r="C2219" s="45" t="s">
        <v>6759</v>
      </c>
      <c r="D2219" s="140" t="str">
        <f>IFERROR(VLOOKUP(C2219,Stock,3,FALSE),"")</f>
        <v>Suzuki Ignis 17-</v>
      </c>
      <c r="E2219" s="45">
        <v>1.0</v>
      </c>
      <c r="F2219" s="198">
        <v>1443000.0</v>
      </c>
      <c r="G2219" s="142">
        <f t="shared" si="63"/>
        <v>1443000</v>
      </c>
      <c r="H2219" s="142"/>
      <c r="I2219" s="143">
        <f t="shared" si="65"/>
        <v>1443000</v>
      </c>
      <c r="J2219" s="144">
        <f t="shared" si="64"/>
        <v>1443000</v>
      </c>
      <c r="K2219" s="108" t="s">
        <v>8209</v>
      </c>
      <c r="L2219" s="199" t="s">
        <v>8210</v>
      </c>
      <c r="M2219" s="17"/>
      <c r="N2219" s="64" t="s">
        <v>8211</v>
      </c>
      <c r="O2219" s="68"/>
      <c r="P2219" s="170"/>
      <c r="Q2219" s="149"/>
      <c r="R2219" s="141"/>
      <c r="S2219" s="141">
        <v>120000.0</v>
      </c>
      <c r="T2219" s="141"/>
      <c r="U2219" s="149"/>
      <c r="V2219" s="149"/>
      <c r="W2219" s="149"/>
      <c r="X2219" s="68"/>
      <c r="Y2219" s="68"/>
      <c r="Z2219" s="68"/>
    </row>
    <row r="2220" ht="15.0" customHeight="1">
      <c r="A2220" s="206">
        <v>46078.0</v>
      </c>
      <c r="B2220" s="201" t="s">
        <v>8208</v>
      </c>
      <c r="C2220" s="45" t="s">
        <v>2770</v>
      </c>
      <c r="D2220" s="140" t="str">
        <f>IFERROR(VLOOKUP(C2220,Stock,3,FALSE),"")</f>
        <v>Transport</v>
      </c>
      <c r="E2220" s="45">
        <v>1.0</v>
      </c>
      <c r="F2220" s="198">
        <v>120000.0</v>
      </c>
      <c r="G2220" s="142">
        <f t="shared" si="63"/>
        <v>120000</v>
      </c>
      <c r="H2220" s="142"/>
      <c r="I2220" s="143">
        <f t="shared" si="65"/>
        <v>120000</v>
      </c>
      <c r="J2220" s="144">
        <f t="shared" si="64"/>
        <v>120000</v>
      </c>
      <c r="K2220" s="108" t="s">
        <v>8209</v>
      </c>
      <c r="L2220" s="45" t="s">
        <v>8212</v>
      </c>
      <c r="M2220" s="17"/>
      <c r="N2220" s="68"/>
      <c r="O2220" s="68"/>
      <c r="P2220" s="170"/>
      <c r="Q2220" s="149"/>
      <c r="R2220" s="149"/>
      <c r="S2220" s="149"/>
      <c r="T2220" s="149"/>
      <c r="U2220" s="149"/>
      <c r="V2220" s="149"/>
      <c r="W2220" s="149"/>
      <c r="X2220" s="68"/>
      <c r="Y2220" s="68"/>
      <c r="Z2220" s="68"/>
    </row>
    <row r="2221" ht="15.0" customHeight="1">
      <c r="A2221" s="265">
        <v>46077.0</v>
      </c>
      <c r="B2221" s="266" t="s">
        <v>8213</v>
      </c>
      <c r="C2221" s="269" t="s">
        <v>2968</v>
      </c>
      <c r="D2221" s="268" t="str">
        <f>IFERROR(VLOOKUP(C2221,Stock,3,FALSE),"")</f>
        <v>Toyota Rush / Terios 18-</v>
      </c>
      <c r="E2221" s="269">
        <v>7.0</v>
      </c>
      <c r="F2221" s="270"/>
      <c r="G2221" s="271"/>
      <c r="H2221" s="271"/>
      <c r="I2221" s="272">
        <f t="shared" si="65"/>
        <v>0</v>
      </c>
      <c r="J2221" s="273">
        <f t="shared" si="64"/>
        <v>0</v>
      </c>
      <c r="K2221" s="267" t="s">
        <v>4509</v>
      </c>
      <c r="L2221" s="274"/>
      <c r="M2221" s="274"/>
      <c r="N2221" s="275"/>
      <c r="O2221" s="275"/>
      <c r="P2221" s="170"/>
      <c r="Q2221" s="149"/>
      <c r="R2221" s="149"/>
      <c r="S2221" s="149"/>
      <c r="T2221" s="149"/>
      <c r="U2221" s="149"/>
      <c r="V2221" s="149"/>
      <c r="W2221" s="149"/>
      <c r="X2221" s="68"/>
      <c r="Y2221" s="68"/>
      <c r="Z2221" s="68"/>
    </row>
    <row r="2222" ht="15.0" customHeight="1">
      <c r="A2222" s="265">
        <v>46077.0</v>
      </c>
      <c r="B2222" s="266" t="s">
        <v>8213</v>
      </c>
      <c r="C2222" s="269" t="s">
        <v>4644</v>
      </c>
      <c r="D2222" s="268" t="str">
        <f>IFERROR(VLOOKUP(C2222,Stock,3,FALSE),"")</f>
        <v>Toyota Raize / Daihatsu Rocky 20-</v>
      </c>
      <c r="E2222" s="269">
        <v>3.0</v>
      </c>
      <c r="F2222" s="270"/>
      <c r="G2222" s="271">
        <f t="shared" ref="G2222:G2228" si="66">E2222*F2222</f>
        <v>0</v>
      </c>
      <c r="H2222" s="271"/>
      <c r="I2222" s="272">
        <f t="shared" si="65"/>
        <v>0</v>
      </c>
      <c r="J2222" s="273">
        <f t="shared" si="64"/>
        <v>0</v>
      </c>
      <c r="K2222" s="267" t="s">
        <v>4509</v>
      </c>
      <c r="L2222" s="274"/>
      <c r="M2222" s="274"/>
      <c r="N2222" s="275"/>
      <c r="O2222" s="275"/>
      <c r="P2222" s="170"/>
      <c r="Q2222" s="149"/>
      <c r="R2222" s="149"/>
      <c r="S2222" s="149"/>
      <c r="T2222" s="149"/>
      <c r="U2222" s="149"/>
      <c r="V2222" s="149"/>
      <c r="W2222" s="149"/>
      <c r="X2222" s="68"/>
      <c r="Y2222" s="68"/>
      <c r="Z2222" s="68"/>
    </row>
    <row r="2223" ht="15.0" customHeight="1">
      <c r="A2223" s="265">
        <v>46077.0</v>
      </c>
      <c r="B2223" s="266" t="s">
        <v>8213</v>
      </c>
      <c r="C2223" s="269" t="s">
        <v>3225</v>
      </c>
      <c r="D2223" s="268" t="str">
        <f>IFERROR(VLOOKUP(C2223,Stock,3,FALSE),"")</f>
        <v>Toyota Rush / Terios 18-</v>
      </c>
      <c r="E2223" s="269">
        <v>3.0</v>
      </c>
      <c r="F2223" s="270"/>
      <c r="G2223" s="271">
        <f t="shared" si="66"/>
        <v>0</v>
      </c>
      <c r="H2223" s="271"/>
      <c r="I2223" s="272">
        <f t="shared" si="65"/>
        <v>0</v>
      </c>
      <c r="J2223" s="273">
        <f t="shared" si="64"/>
        <v>0</v>
      </c>
      <c r="K2223" s="267" t="s">
        <v>4509</v>
      </c>
      <c r="L2223" s="274"/>
      <c r="M2223" s="274"/>
      <c r="N2223" s="275"/>
      <c r="O2223" s="275"/>
      <c r="P2223" s="170"/>
      <c r="Q2223" s="149"/>
      <c r="R2223" s="149"/>
      <c r="S2223" s="149"/>
      <c r="T2223" s="149"/>
      <c r="U2223" s="149"/>
      <c r="V2223" s="149"/>
      <c r="W2223" s="149"/>
      <c r="X2223" s="68"/>
      <c r="Y2223" s="68"/>
      <c r="Z2223" s="68"/>
    </row>
    <row r="2224" ht="15.0" customHeight="1">
      <c r="A2224" s="265">
        <v>46077.0</v>
      </c>
      <c r="B2224" s="266" t="s">
        <v>8213</v>
      </c>
      <c r="C2224" s="269" t="s">
        <v>4327</v>
      </c>
      <c r="D2224" s="268" t="str">
        <f>IFERROR(VLOOKUP(C2224,Stock,3,FALSE),"")</f>
        <v>Isuzu Giga Long (PS240,285) FVR34 (Lebar 215cm)</v>
      </c>
      <c r="E2224" s="269">
        <v>1.0</v>
      </c>
      <c r="F2224" s="270"/>
      <c r="G2224" s="271">
        <f t="shared" si="66"/>
        <v>0</v>
      </c>
      <c r="H2224" s="271"/>
      <c r="I2224" s="272">
        <f t="shared" si="65"/>
        <v>0</v>
      </c>
      <c r="J2224" s="273">
        <f t="shared" si="64"/>
        <v>0</v>
      </c>
      <c r="K2224" s="267" t="s">
        <v>4509</v>
      </c>
      <c r="L2224" s="274"/>
      <c r="M2224" s="274"/>
      <c r="N2224" s="275"/>
      <c r="O2224" s="275"/>
      <c r="P2224" s="170"/>
      <c r="Q2224" s="149"/>
      <c r="R2224" s="149"/>
      <c r="S2224" s="149"/>
      <c r="T2224" s="149"/>
      <c r="U2224" s="149"/>
      <c r="V2224" s="149"/>
      <c r="W2224" s="149"/>
      <c r="X2224" s="68"/>
      <c r="Y2224" s="68"/>
      <c r="Z2224" s="68"/>
    </row>
    <row r="2225" ht="15.0" customHeight="1">
      <c r="A2225" s="265">
        <v>46077.0</v>
      </c>
      <c r="B2225" s="266" t="s">
        <v>8213</v>
      </c>
      <c r="C2225" s="269" t="s">
        <v>6897</v>
      </c>
      <c r="D2225" s="268" t="str">
        <f>IFERROR(VLOOKUP(C2225,Stock,3,FALSE),"")</f>
        <v>Toyota Avanza / Xenia 11-15 2nd Gen / 15-21 3rd Gen</v>
      </c>
      <c r="E2225" s="269">
        <v>2.0</v>
      </c>
      <c r="F2225" s="270"/>
      <c r="G2225" s="271">
        <f t="shared" si="66"/>
        <v>0</v>
      </c>
      <c r="H2225" s="271"/>
      <c r="I2225" s="272">
        <f t="shared" si="65"/>
        <v>0</v>
      </c>
      <c r="J2225" s="273">
        <f t="shared" si="64"/>
        <v>0</v>
      </c>
      <c r="K2225" s="267" t="s">
        <v>4509</v>
      </c>
      <c r="L2225" s="274"/>
      <c r="M2225" s="274"/>
      <c r="N2225" s="275"/>
      <c r="O2225" s="275"/>
      <c r="P2225" s="170"/>
      <c r="Q2225" s="149"/>
      <c r="R2225" s="149"/>
      <c r="S2225" s="149"/>
      <c r="T2225" s="149"/>
      <c r="U2225" s="149"/>
      <c r="V2225" s="149"/>
      <c r="W2225" s="149"/>
      <c r="X2225" s="68"/>
      <c r="Y2225" s="68"/>
      <c r="Z2225" s="68"/>
    </row>
    <row r="2226" ht="15.0" customHeight="1">
      <c r="A2226" s="206">
        <v>46077.0</v>
      </c>
      <c r="B2226" s="201" t="s">
        <v>8214</v>
      </c>
      <c r="C2226" s="45" t="s">
        <v>8215</v>
      </c>
      <c r="D2226" s="140" t="str">
        <f>IFERROR(VLOOKUP(C2226,Stock,3,FALSE),"")</f>
        <v>Nissan Juke 11-</v>
      </c>
      <c r="E2226" s="45">
        <v>1.0</v>
      </c>
      <c r="F2226" s="198">
        <v>1882000.0</v>
      </c>
      <c r="G2226" s="142">
        <f t="shared" si="66"/>
        <v>1882000</v>
      </c>
      <c r="H2226" s="142"/>
      <c r="I2226" s="143">
        <f t="shared" si="65"/>
        <v>1882000</v>
      </c>
      <c r="J2226" s="171">
        <v>0.0</v>
      </c>
      <c r="K2226" s="108" t="s">
        <v>8216</v>
      </c>
      <c r="L2226" s="199" t="s">
        <v>8217</v>
      </c>
      <c r="M2226" s="17"/>
      <c r="N2226" s="64" t="s">
        <v>8218</v>
      </c>
      <c r="O2226" s="68"/>
      <c r="P2226" s="170"/>
      <c r="Q2226" s="149"/>
      <c r="R2226" s="149"/>
      <c r="S2226" s="149"/>
      <c r="T2226" s="141">
        <v>1882000.0</v>
      </c>
      <c r="U2226" s="149"/>
      <c r="V2226" s="149"/>
      <c r="W2226" s="149"/>
      <c r="X2226" s="64" t="s">
        <v>8219</v>
      </c>
      <c r="Y2226" s="68"/>
      <c r="Z2226" s="68"/>
    </row>
    <row r="2227" ht="15.0" customHeight="1">
      <c r="A2227" s="206">
        <v>46077.0</v>
      </c>
      <c r="B2227" s="398" t="s">
        <v>8220</v>
      </c>
      <c r="C2227" s="45" t="s">
        <v>2830</v>
      </c>
      <c r="D2227" s="140" t="str">
        <f>IFERROR(VLOOKUP(C2227,Stock,3,FALSE),"")</f>
        <v/>
      </c>
      <c r="E2227" s="45"/>
      <c r="F2227" s="198"/>
      <c r="G2227" s="142">
        <f t="shared" si="66"/>
        <v>0</v>
      </c>
      <c r="H2227" s="142"/>
      <c r="I2227" s="143">
        <f t="shared" si="65"/>
        <v>0</v>
      </c>
      <c r="J2227" s="144">
        <f t="shared" ref="J2227:J2248" si="67">I2227</f>
        <v>0</v>
      </c>
      <c r="K2227" s="108"/>
      <c r="L2227" s="45"/>
      <c r="M2227" s="17"/>
      <c r="N2227" s="64"/>
      <c r="O2227" s="68"/>
      <c r="P2227" s="170"/>
      <c r="Q2227" s="149"/>
      <c r="R2227" s="149"/>
      <c r="S2227" s="149"/>
      <c r="T2227" s="141"/>
      <c r="U2227" s="149"/>
      <c r="V2227" s="149"/>
      <c r="W2227" s="149"/>
      <c r="X2227" s="68"/>
      <c r="Y2227" s="68"/>
      <c r="Z2227" s="68"/>
    </row>
    <row r="2228" ht="15.0" customHeight="1">
      <c r="A2228" s="206">
        <v>46077.0</v>
      </c>
      <c r="B2228" s="201" t="s">
        <v>8221</v>
      </c>
      <c r="C2228" s="64" t="s">
        <v>6516</v>
      </c>
      <c r="D2228" s="140" t="str">
        <f>IFERROR(VLOOKUP(C2228,Stock,3,FALSE),"")</f>
        <v>Mitsubishi Outlander 10-21</v>
      </c>
      <c r="E2228" s="45">
        <v>1.0</v>
      </c>
      <c r="F2228" s="198">
        <v>750000.0</v>
      </c>
      <c r="G2228" s="142">
        <f t="shared" si="66"/>
        <v>750000</v>
      </c>
      <c r="H2228" s="142"/>
      <c r="I2228" s="143">
        <f t="shared" si="65"/>
        <v>750000</v>
      </c>
      <c r="J2228" s="144">
        <f t="shared" si="67"/>
        <v>750000</v>
      </c>
      <c r="K2228" s="108" t="s">
        <v>8222</v>
      </c>
      <c r="L2228" s="45" t="s">
        <v>8223</v>
      </c>
      <c r="M2228" s="17"/>
      <c r="N2228" s="64" t="s">
        <v>8224</v>
      </c>
      <c r="O2228" s="68"/>
      <c r="P2228" s="170"/>
      <c r="Q2228" s="149"/>
      <c r="R2228" s="149"/>
      <c r="S2228" s="141">
        <v>100000.0</v>
      </c>
      <c r="T2228" s="141">
        <v>680000.0</v>
      </c>
      <c r="U2228" s="149"/>
      <c r="V2228" s="149"/>
      <c r="W2228" s="149"/>
      <c r="X2228" s="64" t="s">
        <v>8219</v>
      </c>
      <c r="Y2228" s="68"/>
      <c r="Z2228" s="68"/>
    </row>
    <row r="2229" ht="15.0" customHeight="1">
      <c r="A2229" s="206">
        <v>46077.0</v>
      </c>
      <c r="B2229" s="201" t="s">
        <v>8221</v>
      </c>
      <c r="C2229" s="45" t="s">
        <v>2770</v>
      </c>
      <c r="D2229" s="140" t="str">
        <f>IFERROR(VLOOKUP(C2229,Stock,3,FALSE),"")</f>
        <v>Transport</v>
      </c>
      <c r="E2229" s="45">
        <v>1.0</v>
      </c>
      <c r="F2229" s="198">
        <v>30000.0</v>
      </c>
      <c r="G2229" s="143">
        <v>30000.0</v>
      </c>
      <c r="H2229" s="142"/>
      <c r="I2229" s="143">
        <f t="shared" si="65"/>
        <v>30000</v>
      </c>
      <c r="J2229" s="144">
        <f t="shared" si="67"/>
        <v>30000</v>
      </c>
      <c r="K2229" s="108" t="s">
        <v>8222</v>
      </c>
      <c r="L2229" s="17"/>
      <c r="M2229" s="17"/>
      <c r="N2229" s="68"/>
      <c r="O2229" s="68"/>
      <c r="P2229" s="170"/>
      <c r="Q2229" s="149"/>
      <c r="R2229" s="149"/>
      <c r="S2229" s="149"/>
      <c r="T2229" s="149"/>
      <c r="U2229" s="149"/>
      <c r="V2229" s="149"/>
      <c r="W2229" s="149"/>
      <c r="X2229" s="64" t="s">
        <v>8219</v>
      </c>
      <c r="Y2229" s="68"/>
      <c r="Z2229" s="68"/>
    </row>
    <row r="2230" ht="15.0" customHeight="1">
      <c r="A2230" s="265">
        <v>46077.0</v>
      </c>
      <c r="B2230" s="266" t="s">
        <v>8225</v>
      </c>
      <c r="C2230" s="269" t="s">
        <v>8226</v>
      </c>
      <c r="D2230" s="140" t="str">
        <f>IFERROR(VLOOKUP(C2230,Stock,3,FALSE),"")</f>
        <v>Suzuki Carry (1000cc)</v>
      </c>
      <c r="E2230" s="269">
        <v>1.0</v>
      </c>
      <c r="F2230" s="270"/>
      <c r="G2230" s="271">
        <f t="shared" ref="G2230:G2425" si="68">E2230*F2230</f>
        <v>0</v>
      </c>
      <c r="H2230" s="271"/>
      <c r="I2230" s="272">
        <f t="shared" si="65"/>
        <v>0</v>
      </c>
      <c r="J2230" s="273">
        <f t="shared" si="67"/>
        <v>0</v>
      </c>
      <c r="K2230" s="267" t="s">
        <v>4509</v>
      </c>
      <c r="L2230" s="274"/>
      <c r="M2230" s="274"/>
      <c r="N2230" s="275"/>
      <c r="O2230" s="275"/>
      <c r="P2230" s="276"/>
      <c r="Q2230" s="277"/>
      <c r="R2230" s="277"/>
      <c r="S2230" s="277"/>
      <c r="T2230" s="277"/>
      <c r="U2230" s="277"/>
      <c r="V2230" s="277"/>
      <c r="W2230" s="277"/>
      <c r="X2230" s="275"/>
      <c r="Y2230" s="275"/>
      <c r="Z2230" s="275"/>
    </row>
    <row r="2231" ht="15.0" customHeight="1">
      <c r="A2231" s="206">
        <v>46077.0</v>
      </c>
      <c r="B2231" s="201" t="s">
        <v>8227</v>
      </c>
      <c r="C2231" s="45" t="s">
        <v>8228</v>
      </c>
      <c r="D2231" s="140" t="str">
        <f>IFERROR(VLOOKUP(C2231,Stock,3,FALSE),"")</f>
        <v>Chevrolet Captiva 06-18 1st gen C100</v>
      </c>
      <c r="E2231" s="45">
        <v>1.0</v>
      </c>
      <c r="F2231" s="198">
        <v>2013000.0</v>
      </c>
      <c r="G2231" s="142">
        <f t="shared" si="68"/>
        <v>2013000</v>
      </c>
      <c r="H2231" s="142"/>
      <c r="I2231" s="143">
        <f t="shared" si="65"/>
        <v>2013000</v>
      </c>
      <c r="J2231" s="144">
        <f t="shared" si="67"/>
        <v>2013000</v>
      </c>
      <c r="K2231" s="108" t="s">
        <v>8229</v>
      </c>
      <c r="L2231" s="199" t="s">
        <v>8230</v>
      </c>
      <c r="M2231" s="17"/>
      <c r="N2231" s="64" t="s">
        <v>8231</v>
      </c>
      <c r="O2231" s="68"/>
      <c r="P2231" s="147"/>
      <c r="Q2231" s="149"/>
      <c r="R2231" s="149"/>
      <c r="S2231" s="149"/>
      <c r="T2231" s="141">
        <v>2013000.0</v>
      </c>
      <c r="U2231" s="149"/>
      <c r="V2231" s="149"/>
      <c r="W2231" s="149"/>
      <c r="X2231" s="64" t="s">
        <v>8232</v>
      </c>
      <c r="Y2231" s="68"/>
      <c r="Z2231" s="68"/>
    </row>
    <row r="2232" ht="15.0" customHeight="1">
      <c r="A2232" s="206">
        <v>46077.0</v>
      </c>
      <c r="B2232" s="201" t="s">
        <v>8233</v>
      </c>
      <c r="C2232" s="45" t="s">
        <v>2952</v>
      </c>
      <c r="D2232" s="140" t="str">
        <f>IFERROR(VLOOKUP(C2232,Stock,3,FALSE),"")</f>
        <v/>
      </c>
      <c r="E2232" s="45">
        <v>1.0</v>
      </c>
      <c r="F2232" s="198">
        <v>1200000.0</v>
      </c>
      <c r="G2232" s="142">
        <f t="shared" si="68"/>
        <v>1200000</v>
      </c>
      <c r="H2232" s="142"/>
      <c r="I2232" s="143">
        <f t="shared" si="65"/>
        <v>1200000</v>
      </c>
      <c r="J2232" s="144">
        <f t="shared" si="67"/>
        <v>1200000</v>
      </c>
      <c r="K2232" s="108" t="s">
        <v>7882</v>
      </c>
      <c r="L2232" s="199" t="s">
        <v>7883</v>
      </c>
      <c r="M2232" s="17"/>
      <c r="N2232" s="64" t="s">
        <v>8234</v>
      </c>
      <c r="O2232" s="68"/>
      <c r="P2232" s="147"/>
      <c r="Q2232" s="149"/>
      <c r="R2232" s="149"/>
      <c r="S2232" s="149"/>
      <c r="T2232" s="141">
        <v>1200000.0</v>
      </c>
      <c r="U2232" s="149"/>
      <c r="V2232" s="149"/>
      <c r="W2232" s="149"/>
      <c r="X2232" s="64" t="s">
        <v>8232</v>
      </c>
      <c r="Y2232" s="68"/>
      <c r="Z2232" s="68"/>
    </row>
    <row r="2233" ht="15.0" customHeight="1">
      <c r="A2233" s="206">
        <v>46077.0</v>
      </c>
      <c r="B2233" s="201" t="s">
        <v>8235</v>
      </c>
      <c r="C2233" s="45" t="s">
        <v>3052</v>
      </c>
      <c r="D2233" s="140" t="str">
        <f>IFERROR(VLOOKUP(C2233,Stock,3,FALSE),"")</f>
        <v>Honda City 19- GN</v>
      </c>
      <c r="E2233" s="45">
        <v>1.0</v>
      </c>
      <c r="F2233" s="198">
        <v>2522000.0</v>
      </c>
      <c r="G2233" s="142">
        <f t="shared" si="68"/>
        <v>2522000</v>
      </c>
      <c r="H2233" s="142"/>
      <c r="I2233" s="143">
        <f t="shared" si="65"/>
        <v>2522000</v>
      </c>
      <c r="J2233" s="144">
        <f t="shared" si="67"/>
        <v>2522000</v>
      </c>
      <c r="K2233" s="108" t="s">
        <v>8236</v>
      </c>
      <c r="L2233" s="199" t="s">
        <v>8237</v>
      </c>
      <c r="M2233" s="17"/>
      <c r="N2233" s="64" t="s">
        <v>8238</v>
      </c>
      <c r="O2233" s="68"/>
      <c r="P2233" s="170"/>
      <c r="Q2233" s="149"/>
      <c r="R2233" s="149"/>
      <c r="S2233" s="149"/>
      <c r="T2233" s="141">
        <v>2522000.0</v>
      </c>
      <c r="U2233" s="149"/>
      <c r="V2233" s="149"/>
      <c r="W2233" s="149"/>
      <c r="X2233" s="68"/>
      <c r="Y2233" s="68"/>
      <c r="Z2233" s="68"/>
    </row>
    <row r="2234" ht="15.0" customHeight="1">
      <c r="A2234" s="249">
        <v>46077.0</v>
      </c>
      <c r="B2234" s="250" t="s">
        <v>8239</v>
      </c>
      <c r="C2234" s="251" t="s">
        <v>5041</v>
      </c>
      <c r="D2234" s="252" t="str">
        <f>IFERROR(VLOOKUP(C2234,Stock,3,FALSE),"")</f>
        <v>Honda Freed 08-16 1st gen</v>
      </c>
      <c r="E2234" s="251">
        <v>3.0</v>
      </c>
      <c r="F2234" s="253">
        <v>609000.0</v>
      </c>
      <c r="G2234" s="254">
        <f t="shared" si="68"/>
        <v>1827000</v>
      </c>
      <c r="H2234" s="254"/>
      <c r="I2234" s="255">
        <f t="shared" si="65"/>
        <v>1827000</v>
      </c>
      <c r="J2234" s="256">
        <f t="shared" si="67"/>
        <v>1827000</v>
      </c>
      <c r="K2234" s="257" t="s">
        <v>8240</v>
      </c>
      <c r="L2234" s="259"/>
      <c r="M2234" s="259"/>
      <c r="N2234" s="372"/>
      <c r="O2234" s="372"/>
      <c r="P2234" s="261"/>
      <c r="Q2234" s="262"/>
      <c r="R2234" s="262"/>
      <c r="S2234" s="262"/>
      <c r="T2234" s="263"/>
      <c r="U2234" s="262"/>
      <c r="V2234" s="262"/>
      <c r="W2234" s="262"/>
      <c r="X2234" s="372"/>
      <c r="Y2234" s="372"/>
      <c r="Z2234" s="372"/>
    </row>
    <row r="2235" ht="15.0" customHeight="1">
      <c r="A2235" s="249">
        <v>46077.0</v>
      </c>
      <c r="B2235" s="250" t="s">
        <v>8239</v>
      </c>
      <c r="C2235" s="251" t="s">
        <v>7589</v>
      </c>
      <c r="D2235" s="252" t="str">
        <f>IFERROR(VLOOKUP(C2235,Stock,3,FALSE),"")</f>
        <v>Honda Jazz 07-13 2nd Gen</v>
      </c>
      <c r="E2235" s="251">
        <v>1.0</v>
      </c>
      <c r="F2235" s="253">
        <v>544000.0</v>
      </c>
      <c r="G2235" s="254">
        <f t="shared" si="68"/>
        <v>544000</v>
      </c>
      <c r="H2235" s="254"/>
      <c r="I2235" s="255">
        <f t="shared" si="65"/>
        <v>544000</v>
      </c>
      <c r="J2235" s="256">
        <f t="shared" si="67"/>
        <v>544000</v>
      </c>
      <c r="K2235" s="257" t="s">
        <v>8240</v>
      </c>
      <c r="L2235" s="259"/>
      <c r="M2235" s="259"/>
      <c r="N2235" s="372"/>
      <c r="O2235" s="372"/>
      <c r="P2235" s="261"/>
      <c r="Q2235" s="262"/>
      <c r="R2235" s="262"/>
      <c r="S2235" s="262"/>
      <c r="T2235" s="262"/>
      <c r="U2235" s="262"/>
      <c r="V2235" s="262"/>
      <c r="W2235" s="262"/>
      <c r="X2235" s="372"/>
      <c r="Y2235" s="372"/>
      <c r="Z2235" s="372"/>
    </row>
    <row r="2236" ht="15.0" customHeight="1">
      <c r="A2236" s="206">
        <v>46078.0</v>
      </c>
      <c r="B2236" s="201" t="s">
        <v>8241</v>
      </c>
      <c r="C2236" s="45" t="s">
        <v>2968</v>
      </c>
      <c r="D2236" s="140" t="str">
        <f>IFERROR(VLOOKUP(C2236,Stock,3,FALSE),"")</f>
        <v>Toyota Rush / Terios 18-</v>
      </c>
      <c r="E2236" s="45">
        <v>1.0</v>
      </c>
      <c r="F2236" s="198">
        <v>952000.0</v>
      </c>
      <c r="G2236" s="142">
        <f t="shared" si="68"/>
        <v>952000</v>
      </c>
      <c r="H2236" s="142"/>
      <c r="I2236" s="143">
        <f t="shared" si="65"/>
        <v>952000</v>
      </c>
      <c r="J2236" s="144">
        <f t="shared" si="67"/>
        <v>952000</v>
      </c>
      <c r="K2236" s="108" t="s">
        <v>8242</v>
      </c>
      <c r="L2236" s="199" t="s">
        <v>8243</v>
      </c>
      <c r="M2236" s="17"/>
      <c r="N2236" s="64">
        <v>4.0</v>
      </c>
      <c r="O2236" s="68"/>
      <c r="P2236" s="170"/>
      <c r="Q2236" s="149"/>
      <c r="R2236" s="149"/>
      <c r="S2236" s="149"/>
      <c r="T2236" s="141">
        <v>952000.0</v>
      </c>
      <c r="U2236" s="149"/>
      <c r="V2236" s="149"/>
      <c r="W2236" s="149"/>
      <c r="X2236" s="64" t="s">
        <v>7976</v>
      </c>
      <c r="Y2236" s="68"/>
      <c r="Z2236" s="68"/>
    </row>
    <row r="2237" ht="15.0" customHeight="1">
      <c r="A2237" s="206">
        <v>46078.0</v>
      </c>
      <c r="B2237" s="201" t="s">
        <v>8244</v>
      </c>
      <c r="C2237" s="45" t="s">
        <v>8245</v>
      </c>
      <c r="D2237" s="140" t="str">
        <f>IFERROR(VLOOKUP(C2237,Stock,3,FALSE),"")</f>
        <v>Toyota Fortuner 15- 2nd Gen</v>
      </c>
      <c r="E2237" s="45">
        <v>1.0</v>
      </c>
      <c r="F2237" s="198">
        <v>1700000.0</v>
      </c>
      <c r="G2237" s="142">
        <f t="shared" si="68"/>
        <v>1700000</v>
      </c>
      <c r="H2237" s="142"/>
      <c r="I2237" s="143">
        <f t="shared" si="65"/>
        <v>1700000</v>
      </c>
      <c r="J2237" s="144">
        <f t="shared" si="67"/>
        <v>1700000</v>
      </c>
      <c r="K2237" s="108" t="s">
        <v>8246</v>
      </c>
      <c r="L2237" s="199" t="s">
        <v>8247</v>
      </c>
      <c r="M2237" s="17"/>
      <c r="N2237" s="64" t="s">
        <v>8248</v>
      </c>
      <c r="O2237" s="68"/>
      <c r="P2237" s="170"/>
      <c r="Q2237" s="149"/>
      <c r="R2237" s="149"/>
      <c r="S2237" s="149"/>
      <c r="T2237" s="141">
        <v>1700000.0</v>
      </c>
      <c r="U2237" s="149"/>
      <c r="V2237" s="149"/>
      <c r="W2237" s="149"/>
      <c r="X2237" s="64" t="s">
        <v>8232</v>
      </c>
      <c r="Y2237" s="68"/>
      <c r="Z2237" s="68"/>
    </row>
    <row r="2238" ht="15.0" customHeight="1">
      <c r="A2238" s="206">
        <v>46078.0</v>
      </c>
      <c r="B2238" s="201" t="s">
        <v>8249</v>
      </c>
      <c r="C2238" s="64" t="s">
        <v>6866</v>
      </c>
      <c r="D2238" s="140" t="str">
        <f>IFERROR(VLOOKUP(C2238,Stock,3,FALSE),"")</f>
        <v>Toyota Alphard 15-17 ANH30 3rd Gen (Hitam)</v>
      </c>
      <c r="E2238" s="45">
        <v>1.0</v>
      </c>
      <c r="F2238" s="198">
        <v>2820000.0</v>
      </c>
      <c r="G2238" s="142">
        <f t="shared" si="68"/>
        <v>2820000</v>
      </c>
      <c r="H2238" s="142"/>
      <c r="I2238" s="143">
        <f t="shared" si="65"/>
        <v>2820000</v>
      </c>
      <c r="J2238" s="144">
        <f t="shared" si="67"/>
        <v>2820000</v>
      </c>
      <c r="K2238" s="108" t="s">
        <v>8250</v>
      </c>
      <c r="L2238" s="199" t="s">
        <v>8251</v>
      </c>
      <c r="M2238" s="17"/>
      <c r="N2238" s="64" t="s">
        <v>8252</v>
      </c>
      <c r="O2238" s="68"/>
      <c r="P2238" s="170"/>
      <c r="Q2238" s="149"/>
      <c r="R2238" s="149"/>
      <c r="S2238" s="141">
        <v>100000.0</v>
      </c>
      <c r="T2238" s="141">
        <v>2870000.0</v>
      </c>
      <c r="U2238" s="149"/>
      <c r="V2238" s="149"/>
      <c r="W2238" s="149"/>
      <c r="X2238" s="64" t="s">
        <v>8232</v>
      </c>
      <c r="Y2238" s="68"/>
      <c r="Z2238" s="68"/>
    </row>
    <row r="2239" ht="15.0" customHeight="1">
      <c r="A2239" s="206">
        <v>46078.0</v>
      </c>
      <c r="B2239" s="201" t="s">
        <v>8249</v>
      </c>
      <c r="C2239" s="45" t="s">
        <v>2770</v>
      </c>
      <c r="D2239" s="140" t="str">
        <f>IFERROR(VLOOKUP(C2239,Stock,3,FALSE),"")</f>
        <v>Transport</v>
      </c>
      <c r="E2239" s="45">
        <v>1.0</v>
      </c>
      <c r="F2239" s="198">
        <v>150000.0</v>
      </c>
      <c r="G2239" s="142">
        <f t="shared" si="68"/>
        <v>150000</v>
      </c>
      <c r="H2239" s="142"/>
      <c r="I2239" s="143">
        <f t="shared" si="65"/>
        <v>150000</v>
      </c>
      <c r="J2239" s="144">
        <f t="shared" si="67"/>
        <v>150000</v>
      </c>
      <c r="K2239" s="108" t="s">
        <v>8250</v>
      </c>
      <c r="L2239" s="199" t="s">
        <v>8251</v>
      </c>
      <c r="M2239" s="17"/>
      <c r="N2239" s="68"/>
      <c r="O2239" s="68"/>
      <c r="P2239" s="170"/>
      <c r="Q2239" s="149"/>
      <c r="R2239" s="149"/>
      <c r="S2239" s="149"/>
      <c r="T2239" s="149"/>
      <c r="U2239" s="149"/>
      <c r="V2239" s="149"/>
      <c r="W2239" s="149"/>
      <c r="X2239" s="64" t="s">
        <v>8232</v>
      </c>
      <c r="Y2239" s="68"/>
      <c r="Z2239" s="68"/>
    </row>
    <row r="2240" ht="15.0" customHeight="1">
      <c r="A2240" s="206">
        <v>46078.0</v>
      </c>
      <c r="B2240" s="201" t="s">
        <v>8253</v>
      </c>
      <c r="C2240" s="45" t="s">
        <v>7320</v>
      </c>
      <c r="D2240" s="140" t="str">
        <f>IFERROR(VLOOKUP(C2240,Stock,3,FALSE),"")</f>
        <v>Wuling Confero (Tanpa Spionnya)</v>
      </c>
      <c r="E2240" s="45">
        <v>1.0</v>
      </c>
      <c r="F2240" s="442">
        <v>1349000.0</v>
      </c>
      <c r="G2240" s="142">
        <f t="shared" si="68"/>
        <v>1349000</v>
      </c>
      <c r="H2240" s="143">
        <v>50000.0</v>
      </c>
      <c r="I2240" s="143">
        <f t="shared" si="65"/>
        <v>1299000</v>
      </c>
      <c r="J2240" s="144">
        <f t="shared" si="67"/>
        <v>1299000</v>
      </c>
      <c r="K2240" s="108" t="s">
        <v>8254</v>
      </c>
      <c r="L2240" s="199" t="s">
        <v>8255</v>
      </c>
      <c r="M2240" s="17"/>
      <c r="N2240" s="64" t="s">
        <v>8256</v>
      </c>
      <c r="O2240" s="68"/>
      <c r="P2240" s="170"/>
      <c r="Q2240" s="141">
        <v>1649000.0</v>
      </c>
      <c r="R2240" s="149"/>
      <c r="S2240" s="141">
        <v>100000.0</v>
      </c>
      <c r="T2240" s="141"/>
      <c r="U2240" s="149"/>
      <c r="V2240" s="149"/>
      <c r="W2240" s="149"/>
      <c r="X2240" s="64" t="s">
        <v>7976</v>
      </c>
      <c r="Y2240" s="68"/>
      <c r="Z2240" s="68"/>
    </row>
    <row r="2241" ht="15.0" customHeight="1">
      <c r="A2241" s="206">
        <v>46078.0</v>
      </c>
      <c r="B2241" s="201" t="s">
        <v>8253</v>
      </c>
      <c r="C2241" s="45" t="s">
        <v>7011</v>
      </c>
      <c r="D2241" s="140" t="str">
        <f>IFERROR(VLOOKUP(C2241,Stock,3,FALSE),"")</f>
        <v>Automotive Film Standard - Black 40%				</v>
      </c>
      <c r="E2241" s="45">
        <v>1.0</v>
      </c>
      <c r="F2241" s="198">
        <v>300000.0</v>
      </c>
      <c r="G2241" s="142">
        <f t="shared" si="68"/>
        <v>300000</v>
      </c>
      <c r="H2241" s="142"/>
      <c r="I2241" s="143">
        <f t="shared" si="65"/>
        <v>300000</v>
      </c>
      <c r="J2241" s="144">
        <f t="shared" si="67"/>
        <v>300000</v>
      </c>
      <c r="K2241" s="108" t="s">
        <v>8254</v>
      </c>
      <c r="L2241" s="199" t="s">
        <v>8255</v>
      </c>
      <c r="M2241" s="17"/>
      <c r="N2241" s="64" t="s">
        <v>8256</v>
      </c>
      <c r="O2241" s="68"/>
      <c r="P2241" s="170"/>
      <c r="Q2241" s="149"/>
      <c r="R2241" s="149"/>
      <c r="S2241" s="149"/>
      <c r="T2241" s="149"/>
      <c r="U2241" s="149"/>
      <c r="V2241" s="149"/>
      <c r="W2241" s="149"/>
      <c r="X2241" s="64" t="s">
        <v>7976</v>
      </c>
      <c r="Y2241" s="68"/>
      <c r="Z2241" s="68"/>
    </row>
    <row r="2242" ht="15.0" customHeight="1">
      <c r="A2242" s="206">
        <v>46078.0</v>
      </c>
      <c r="B2242" s="201" t="s">
        <v>8253</v>
      </c>
      <c r="C2242" s="45" t="s">
        <v>2770</v>
      </c>
      <c r="D2242" s="140" t="str">
        <f>IFERROR(VLOOKUP(C2242,Stock,3,FALSE),"")</f>
        <v>Transport</v>
      </c>
      <c r="E2242" s="45">
        <v>1.0</v>
      </c>
      <c r="F2242" s="198">
        <v>150000.0</v>
      </c>
      <c r="G2242" s="142">
        <f t="shared" si="68"/>
        <v>150000</v>
      </c>
      <c r="H2242" s="142"/>
      <c r="I2242" s="143">
        <f t="shared" si="65"/>
        <v>150000</v>
      </c>
      <c r="J2242" s="144">
        <f t="shared" si="67"/>
        <v>150000</v>
      </c>
      <c r="K2242" s="108" t="s">
        <v>8254</v>
      </c>
      <c r="L2242" s="199" t="s">
        <v>8255</v>
      </c>
      <c r="M2242" s="17"/>
      <c r="N2242" s="64" t="s">
        <v>8256</v>
      </c>
      <c r="O2242" s="68"/>
      <c r="P2242" s="170"/>
      <c r="Q2242" s="149"/>
      <c r="R2242" s="149"/>
      <c r="S2242" s="149"/>
      <c r="T2242" s="149"/>
      <c r="U2242" s="149"/>
      <c r="V2242" s="149"/>
      <c r="W2242" s="149"/>
      <c r="X2242" s="64" t="s">
        <v>7976</v>
      </c>
      <c r="Y2242" s="68"/>
      <c r="Z2242" s="68"/>
    </row>
    <row r="2243" ht="15.0" customHeight="1">
      <c r="A2243" s="265">
        <v>46078.0</v>
      </c>
      <c r="B2243" s="266" t="s">
        <v>8225</v>
      </c>
      <c r="C2243" s="269" t="s">
        <v>4418</v>
      </c>
      <c r="D2243" s="268" t="str">
        <f>IFERROR(VLOOKUP(C2243,Stock,3,FALSE),"")</f>
        <v>Isuzu Elf 93- NKR NHR</v>
      </c>
      <c r="E2243" s="269">
        <v>1.0</v>
      </c>
      <c r="F2243" s="394"/>
      <c r="G2243" s="271">
        <f t="shared" si="68"/>
        <v>0</v>
      </c>
      <c r="H2243" s="271"/>
      <c r="I2243" s="272">
        <f t="shared" si="65"/>
        <v>0</v>
      </c>
      <c r="J2243" s="273">
        <f t="shared" si="67"/>
        <v>0</v>
      </c>
      <c r="K2243" s="267"/>
      <c r="L2243" s="269"/>
      <c r="M2243" s="274"/>
      <c r="N2243" s="278"/>
      <c r="O2243" s="275"/>
      <c r="P2243" s="276"/>
      <c r="Q2243" s="277"/>
      <c r="R2243" s="277"/>
      <c r="S2243" s="277"/>
      <c r="T2243" s="277"/>
      <c r="U2243" s="277"/>
      <c r="V2243" s="277"/>
      <c r="W2243" s="277"/>
      <c r="X2243" s="275"/>
      <c r="Y2243" s="275"/>
      <c r="Z2243" s="275"/>
    </row>
    <row r="2244" ht="15.0" customHeight="1">
      <c r="A2244" s="265">
        <v>46078.0</v>
      </c>
      <c r="B2244" s="266" t="s">
        <v>8225</v>
      </c>
      <c r="C2244" s="269" t="s">
        <v>8257</v>
      </c>
      <c r="D2244" s="268" t="str">
        <f>IFERROR(VLOOKUP(C2244,Stock,3,FALSE),"")</f>
        <v>Honda HR-V 14-21 5D SUV</v>
      </c>
      <c r="E2244" s="269">
        <v>1.0</v>
      </c>
      <c r="F2244" s="394"/>
      <c r="G2244" s="271">
        <f t="shared" si="68"/>
        <v>0</v>
      </c>
      <c r="H2244" s="271"/>
      <c r="I2244" s="272">
        <f t="shared" si="65"/>
        <v>0</v>
      </c>
      <c r="J2244" s="273">
        <f t="shared" si="67"/>
        <v>0</v>
      </c>
      <c r="K2244" s="267"/>
      <c r="L2244" s="269"/>
      <c r="M2244" s="274"/>
      <c r="N2244" s="278"/>
      <c r="O2244" s="275"/>
      <c r="P2244" s="276"/>
      <c r="Q2244" s="277"/>
      <c r="R2244" s="277"/>
      <c r="S2244" s="277"/>
      <c r="T2244" s="277"/>
      <c r="U2244" s="277"/>
      <c r="V2244" s="277"/>
      <c r="W2244" s="277"/>
      <c r="X2244" s="275"/>
      <c r="Y2244" s="275"/>
      <c r="Z2244" s="275"/>
    </row>
    <row r="2245" ht="15.0" customHeight="1">
      <c r="A2245" s="265">
        <v>46078.0</v>
      </c>
      <c r="B2245" s="266" t="s">
        <v>8225</v>
      </c>
      <c r="C2245" s="269" t="s">
        <v>4125</v>
      </c>
      <c r="D2245" s="268" t="str">
        <f>IFERROR(VLOOKUP(C2245,Stock,3,FALSE),"")</f>
        <v>Hyundai Stargazer 22-</v>
      </c>
      <c r="E2245" s="269">
        <v>1.0</v>
      </c>
      <c r="F2245" s="270"/>
      <c r="G2245" s="271">
        <f t="shared" si="68"/>
        <v>0</v>
      </c>
      <c r="H2245" s="271"/>
      <c r="I2245" s="272">
        <f t="shared" si="65"/>
        <v>0</v>
      </c>
      <c r="J2245" s="273">
        <f t="shared" si="67"/>
        <v>0</v>
      </c>
      <c r="K2245" s="424"/>
      <c r="L2245" s="274"/>
      <c r="M2245" s="274"/>
      <c r="N2245" s="278"/>
      <c r="O2245" s="275"/>
      <c r="P2245" s="276"/>
      <c r="Q2245" s="277"/>
      <c r="R2245" s="277"/>
      <c r="S2245" s="277"/>
      <c r="T2245" s="277"/>
      <c r="U2245" s="277"/>
      <c r="V2245" s="277"/>
      <c r="W2245" s="277"/>
      <c r="X2245" s="275"/>
      <c r="Y2245" s="275"/>
      <c r="Z2245" s="275"/>
    </row>
    <row r="2246" ht="15.0" customHeight="1">
      <c r="A2246" s="206">
        <v>46079.0</v>
      </c>
      <c r="B2246" s="201" t="s">
        <v>8258</v>
      </c>
      <c r="C2246" s="45" t="s">
        <v>8259</v>
      </c>
      <c r="D2246" s="140" t="str">
        <f>IFERROR(VLOOKUP(C2246,Stock,3,FALSE),"")</f>
        <v>Toyota NAV1/Noah 07-17</v>
      </c>
      <c r="E2246" s="45">
        <v>1.0</v>
      </c>
      <c r="F2246" s="198">
        <v>2931000.0</v>
      </c>
      <c r="G2246" s="142">
        <f t="shared" si="68"/>
        <v>2931000</v>
      </c>
      <c r="H2246" s="142"/>
      <c r="I2246" s="143">
        <f t="shared" si="65"/>
        <v>2931000</v>
      </c>
      <c r="J2246" s="144">
        <f t="shared" si="67"/>
        <v>2931000</v>
      </c>
      <c r="K2246" s="108" t="s">
        <v>2979</v>
      </c>
      <c r="L2246" s="199" t="s">
        <v>3570</v>
      </c>
      <c r="M2246" s="17"/>
      <c r="N2246" s="64" t="s">
        <v>8260</v>
      </c>
      <c r="O2246" s="68"/>
      <c r="P2246" s="170"/>
      <c r="Q2246" s="141">
        <v>2831000.0</v>
      </c>
      <c r="R2246" s="149"/>
      <c r="S2246" s="141">
        <v>200000.0</v>
      </c>
      <c r="T2246" s="149"/>
      <c r="U2246" s="149"/>
      <c r="V2246" s="149"/>
      <c r="W2246" s="149"/>
      <c r="X2246" s="64" t="s">
        <v>7976</v>
      </c>
      <c r="Y2246" s="68"/>
      <c r="Z2246" s="68"/>
    </row>
    <row r="2247" ht="15.0" customHeight="1">
      <c r="A2247" s="206">
        <v>46078.0</v>
      </c>
      <c r="B2247" s="201" t="s">
        <v>8261</v>
      </c>
      <c r="C2247" s="45" t="s">
        <v>6897</v>
      </c>
      <c r="D2247" s="140" t="str">
        <f>IFERROR(VLOOKUP(C2247,Stock,3,FALSE),"")</f>
        <v>Toyota Avanza / Xenia 11-15 2nd Gen / 15-21 3rd Gen</v>
      </c>
      <c r="E2247" s="45">
        <v>1.0</v>
      </c>
      <c r="F2247" s="198">
        <v>450000.0</v>
      </c>
      <c r="G2247" s="142">
        <f t="shared" si="68"/>
        <v>450000</v>
      </c>
      <c r="H2247" s="142"/>
      <c r="I2247" s="143">
        <f t="shared" si="65"/>
        <v>450000</v>
      </c>
      <c r="J2247" s="144">
        <f t="shared" si="67"/>
        <v>450000</v>
      </c>
      <c r="K2247" s="108" t="s">
        <v>4675</v>
      </c>
      <c r="L2247" s="199" t="s">
        <v>8262</v>
      </c>
      <c r="M2247" s="17"/>
      <c r="N2247" s="64" t="s">
        <v>8263</v>
      </c>
      <c r="O2247" s="68"/>
      <c r="P2247" s="170"/>
      <c r="Q2247" s="141">
        <v>400000.0</v>
      </c>
      <c r="R2247" s="149"/>
      <c r="S2247" s="141">
        <v>50000.0</v>
      </c>
      <c r="T2247" s="141"/>
      <c r="U2247" s="149"/>
      <c r="V2247" s="149"/>
      <c r="W2247" s="149"/>
      <c r="X2247" s="64" t="s">
        <v>7976</v>
      </c>
      <c r="Y2247" s="68"/>
      <c r="Z2247" s="68"/>
    </row>
    <row r="2248" ht="15.0" customHeight="1">
      <c r="A2248" s="206">
        <v>46081.0</v>
      </c>
      <c r="B2248" s="201" t="s">
        <v>8264</v>
      </c>
      <c r="C2248" s="45" t="s">
        <v>3638</v>
      </c>
      <c r="D2248" s="140" t="str">
        <f>IFERROR(VLOOKUP(C2248,Stock,3,FALSE),"")</f>
        <v>Mazda CX-5 12-17 1st Gen KE Pre - (1 Sensor/ □ )</v>
      </c>
      <c r="E2248" s="45">
        <v>1.0</v>
      </c>
      <c r="F2248" s="198">
        <v>3276000.0</v>
      </c>
      <c r="G2248" s="142">
        <f t="shared" si="68"/>
        <v>3276000</v>
      </c>
      <c r="H2248" s="143">
        <v>50000.0</v>
      </c>
      <c r="I2248" s="143">
        <f t="shared" si="65"/>
        <v>3226000</v>
      </c>
      <c r="J2248" s="144">
        <f t="shared" si="67"/>
        <v>3226000</v>
      </c>
      <c r="K2248" s="108" t="s">
        <v>8265</v>
      </c>
      <c r="L2248" s="199" t="s">
        <v>8266</v>
      </c>
      <c r="M2248" s="17"/>
      <c r="N2248" s="64" t="s">
        <v>8267</v>
      </c>
      <c r="O2248" s="68"/>
      <c r="P2248" s="170"/>
      <c r="Q2248" s="149"/>
      <c r="R2248" s="149"/>
      <c r="S2248" s="141">
        <v>100000.0</v>
      </c>
      <c r="T2248" s="141">
        <v>3176000.0</v>
      </c>
      <c r="U2248" s="149"/>
      <c r="V2248" s="149"/>
      <c r="W2248" s="149"/>
      <c r="X2248" s="64" t="s">
        <v>8219</v>
      </c>
      <c r="Y2248" s="68"/>
      <c r="Z2248" s="68"/>
    </row>
    <row r="2249" ht="15.0" customHeight="1">
      <c r="A2249" s="206">
        <v>46081.0</v>
      </c>
      <c r="B2249" s="201" t="s">
        <v>8264</v>
      </c>
      <c r="C2249" s="45" t="s">
        <v>2770</v>
      </c>
      <c r="D2249" s="140" t="str">
        <f>IFERROR(VLOOKUP(C2249,Stock,3,FALSE),"")</f>
        <v>Transport</v>
      </c>
      <c r="E2249" s="45">
        <v>1.0</v>
      </c>
      <c r="F2249" s="198">
        <v>50000.0</v>
      </c>
      <c r="G2249" s="142">
        <f t="shared" si="68"/>
        <v>50000</v>
      </c>
      <c r="H2249" s="142"/>
      <c r="I2249" s="143">
        <f t="shared" si="65"/>
        <v>50000</v>
      </c>
      <c r="J2249" s="144"/>
      <c r="K2249" s="108" t="s">
        <v>8265</v>
      </c>
      <c r="L2249" s="199" t="s">
        <v>8266</v>
      </c>
      <c r="M2249" s="17"/>
      <c r="N2249" s="68"/>
      <c r="O2249" s="68"/>
      <c r="P2249" s="170"/>
      <c r="Q2249" s="149"/>
      <c r="R2249" s="149"/>
      <c r="S2249" s="149"/>
      <c r="T2249" s="149"/>
      <c r="U2249" s="149"/>
      <c r="V2249" s="149"/>
      <c r="W2249" s="149"/>
      <c r="X2249" s="68"/>
      <c r="Y2249" s="68"/>
      <c r="Z2249" s="68"/>
    </row>
    <row r="2250" ht="15.0" customHeight="1">
      <c r="A2250" s="206">
        <v>46079.0</v>
      </c>
      <c r="B2250" s="201" t="s">
        <v>8268</v>
      </c>
      <c r="C2250" s="443" t="s">
        <v>4740</v>
      </c>
      <c r="D2250" s="140" t="str">
        <f>IFERROR(VLOOKUP(C2250,Stock,3,FALSE),"")</f>
        <v>Nissan X-Trail 13- T32 (1 Sensor)</v>
      </c>
      <c r="E2250" s="45">
        <v>1.0</v>
      </c>
      <c r="F2250" s="198">
        <v>2329000.0</v>
      </c>
      <c r="G2250" s="142">
        <f t="shared" si="68"/>
        <v>2329000</v>
      </c>
      <c r="H2250" s="142"/>
      <c r="I2250" s="143">
        <f t="shared" si="65"/>
        <v>2329000</v>
      </c>
      <c r="J2250" s="144">
        <f t="shared" ref="J2250:J2276" si="69">I2250</f>
        <v>2329000</v>
      </c>
      <c r="K2250" s="108" t="s">
        <v>5148</v>
      </c>
      <c r="L2250" s="199" t="s">
        <v>8269</v>
      </c>
      <c r="M2250" s="17"/>
      <c r="N2250" s="444" t="s">
        <v>8270</v>
      </c>
      <c r="O2250" s="68"/>
      <c r="P2250" s="170"/>
      <c r="Q2250" s="149"/>
      <c r="R2250" s="149"/>
      <c r="S2250" s="141">
        <v>100000.0</v>
      </c>
      <c r="T2250" s="141">
        <v>2129000.0</v>
      </c>
      <c r="U2250" s="149"/>
      <c r="V2250" s="149"/>
      <c r="W2250" s="149"/>
      <c r="X2250" s="64" t="s">
        <v>8219</v>
      </c>
      <c r="Y2250" s="68"/>
      <c r="Z2250" s="68"/>
    </row>
    <row r="2251" ht="15.0" customHeight="1">
      <c r="A2251" s="206">
        <v>46079.0</v>
      </c>
      <c r="B2251" s="201" t="s">
        <v>8271</v>
      </c>
      <c r="C2251" s="64" t="s">
        <v>7162</v>
      </c>
      <c r="D2251" s="140" t="str">
        <f>IFERROR(VLOOKUP(C2251,Stock,3,FALSE),"")</f>
        <v>Toyota Innova 04-15 1st Gen</v>
      </c>
      <c r="E2251" s="45">
        <v>1.0</v>
      </c>
      <c r="F2251" s="198">
        <v>1300000.0</v>
      </c>
      <c r="G2251" s="142">
        <f t="shared" si="68"/>
        <v>1300000</v>
      </c>
      <c r="H2251" s="142"/>
      <c r="I2251" s="143">
        <f t="shared" si="65"/>
        <v>1300000</v>
      </c>
      <c r="J2251" s="144">
        <f t="shared" si="69"/>
        <v>1300000</v>
      </c>
      <c r="K2251" s="108" t="s">
        <v>8272</v>
      </c>
      <c r="L2251" s="445" t="s">
        <v>8273</v>
      </c>
      <c r="M2251" s="17"/>
      <c r="N2251" s="444" t="s">
        <v>8274</v>
      </c>
      <c r="O2251" s="68"/>
      <c r="P2251" s="170"/>
      <c r="Q2251" s="149"/>
      <c r="R2251" s="149"/>
      <c r="S2251" s="149"/>
      <c r="T2251" s="64">
        <v>1300000.0</v>
      </c>
      <c r="U2251" s="149"/>
      <c r="V2251" s="149"/>
      <c r="W2251" s="149"/>
      <c r="X2251" s="64" t="s">
        <v>8219</v>
      </c>
      <c r="Y2251" s="68"/>
      <c r="Z2251" s="68"/>
    </row>
    <row r="2252" ht="15.0" customHeight="1">
      <c r="A2252" s="206">
        <v>46079.0</v>
      </c>
      <c r="B2252" s="201" t="s">
        <v>8275</v>
      </c>
      <c r="C2252" s="443" t="s">
        <v>2885</v>
      </c>
      <c r="D2252" s="140" t="str">
        <f>IFERROR(VLOOKUP(C2252,Stock,3,FALSE),"")</f>
        <v>Bongkar Pasang Kaca Mobil Belakang</v>
      </c>
      <c r="E2252" s="45">
        <v>1.0</v>
      </c>
      <c r="F2252" s="198">
        <v>500000.0</v>
      </c>
      <c r="G2252" s="142">
        <f t="shared" si="68"/>
        <v>500000</v>
      </c>
      <c r="H2252" s="142"/>
      <c r="I2252" s="143">
        <f t="shared" si="65"/>
        <v>500000</v>
      </c>
      <c r="J2252" s="144">
        <f t="shared" si="69"/>
        <v>500000</v>
      </c>
      <c r="K2252" s="108" t="s">
        <v>8276</v>
      </c>
      <c r="L2252" s="199" t="s">
        <v>8277</v>
      </c>
      <c r="M2252" s="17"/>
      <c r="N2252" s="64" t="s">
        <v>8278</v>
      </c>
      <c r="O2252" s="68"/>
      <c r="P2252" s="170"/>
      <c r="Q2252" s="149"/>
      <c r="R2252" s="149"/>
      <c r="S2252" s="149"/>
      <c r="T2252" s="141">
        <v>500000.0</v>
      </c>
      <c r="U2252" s="149"/>
      <c r="V2252" s="149"/>
      <c r="W2252" s="149"/>
      <c r="X2252" s="64" t="s">
        <v>8232</v>
      </c>
      <c r="Y2252" s="68"/>
      <c r="Z2252" s="68"/>
    </row>
    <row r="2253" ht="15.0" customHeight="1">
      <c r="A2253" s="441">
        <v>46079.0</v>
      </c>
      <c r="B2253" s="398" t="s">
        <v>8279</v>
      </c>
      <c r="C2253" s="64" t="s">
        <v>8280</v>
      </c>
      <c r="D2253" s="140" t="str">
        <f>IFERROR(VLOOKUP(C2253,Stock,3,FALSE),"")</f>
        <v>Suzuki Karimun Estilo 07-</v>
      </c>
      <c r="E2253" s="45">
        <v>1.0</v>
      </c>
      <c r="F2253" s="198">
        <v>1591000.0</v>
      </c>
      <c r="G2253" s="142">
        <f t="shared" si="68"/>
        <v>1591000</v>
      </c>
      <c r="H2253" s="142"/>
      <c r="I2253" s="143">
        <f t="shared" si="65"/>
        <v>1591000</v>
      </c>
      <c r="J2253" s="144">
        <f t="shared" si="69"/>
        <v>1591000</v>
      </c>
      <c r="K2253" s="108" t="s">
        <v>8281</v>
      </c>
      <c r="L2253" s="199" t="s">
        <v>8282</v>
      </c>
      <c r="M2253" s="17"/>
      <c r="N2253" s="68"/>
      <c r="O2253" s="68"/>
      <c r="P2253" s="170"/>
      <c r="Q2253" s="149"/>
      <c r="R2253" s="149"/>
      <c r="S2253" s="141"/>
      <c r="T2253" s="141">
        <v>1791000.0</v>
      </c>
      <c r="U2253" s="149"/>
      <c r="V2253" s="149"/>
      <c r="W2253" s="149"/>
      <c r="X2253" s="64" t="s">
        <v>8283</v>
      </c>
      <c r="Y2253" s="68"/>
      <c r="Z2253" s="68"/>
    </row>
    <row r="2254" ht="15.0" customHeight="1">
      <c r="A2254" s="206">
        <v>46079.0</v>
      </c>
      <c r="B2254" s="201" t="s">
        <v>8279</v>
      </c>
      <c r="C2254" s="45" t="s">
        <v>2835</v>
      </c>
      <c r="D2254" s="140" t="str">
        <f>IFERROR(VLOOKUP(C2254,Stock,3,FALSE),"")</f>
        <v>Peti Kayu</v>
      </c>
      <c r="E2254" s="45">
        <v>1.0</v>
      </c>
      <c r="F2254" s="198">
        <v>200000.0</v>
      </c>
      <c r="G2254" s="142">
        <f t="shared" si="68"/>
        <v>200000</v>
      </c>
      <c r="H2254" s="142"/>
      <c r="I2254" s="143">
        <f t="shared" si="65"/>
        <v>200000</v>
      </c>
      <c r="J2254" s="144">
        <f t="shared" si="69"/>
        <v>200000</v>
      </c>
      <c r="K2254" s="200"/>
      <c r="L2254" s="199" t="s">
        <v>8282</v>
      </c>
      <c r="M2254" s="17"/>
      <c r="N2254" s="68"/>
      <c r="O2254" s="68"/>
      <c r="P2254" s="170"/>
      <c r="Q2254" s="149"/>
      <c r="R2254" s="149"/>
      <c r="S2254" s="149"/>
      <c r="T2254" s="149"/>
      <c r="U2254" s="149"/>
      <c r="V2254" s="149"/>
      <c r="W2254" s="149"/>
      <c r="X2254" s="64" t="s">
        <v>8219</v>
      </c>
      <c r="Y2254" s="68"/>
      <c r="Z2254" s="68"/>
    </row>
    <row r="2255" ht="15.0" customHeight="1">
      <c r="A2255" s="206">
        <v>46079.0</v>
      </c>
      <c r="B2255" s="201" t="s">
        <v>8284</v>
      </c>
      <c r="C2255" s="45" t="s">
        <v>7161</v>
      </c>
      <c r="D2255" s="140" t="str">
        <f>IFERROR(VLOOKUP(C2255,Stock,3,FALSE),"")</f>
        <v>Honda Brio 10- / Mobilio 11-</v>
      </c>
      <c r="E2255" s="45">
        <v>1.0</v>
      </c>
      <c r="F2255" s="198">
        <v>1250000.0</v>
      </c>
      <c r="G2255" s="142">
        <f t="shared" si="68"/>
        <v>1250000</v>
      </c>
      <c r="H2255" s="142"/>
      <c r="I2255" s="143">
        <f t="shared" si="65"/>
        <v>1250000</v>
      </c>
      <c r="J2255" s="144">
        <f t="shared" si="69"/>
        <v>1250000</v>
      </c>
      <c r="K2255" s="108" t="s">
        <v>8285</v>
      </c>
      <c r="L2255" s="199" t="s">
        <v>8286</v>
      </c>
      <c r="M2255" s="17"/>
      <c r="N2255" s="64" t="s">
        <v>8287</v>
      </c>
      <c r="O2255" s="68"/>
      <c r="P2255" s="170"/>
      <c r="Q2255" s="149"/>
      <c r="R2255" s="149"/>
      <c r="S2255" s="149"/>
      <c r="T2255" s="141">
        <v>1600000.0</v>
      </c>
      <c r="U2255" s="149"/>
      <c r="V2255" s="149"/>
      <c r="W2255" s="149"/>
      <c r="X2255" s="64" t="s">
        <v>7976</v>
      </c>
      <c r="Y2255" s="68"/>
      <c r="Z2255" s="68"/>
    </row>
    <row r="2256" ht="15.0" customHeight="1">
      <c r="A2256" s="206">
        <v>46079.0</v>
      </c>
      <c r="B2256" s="201" t="s">
        <v>8284</v>
      </c>
      <c r="C2256" s="45" t="s">
        <v>7011</v>
      </c>
      <c r="D2256" s="140" t="str">
        <f>IFERROR(VLOOKUP(C2256,Stock,3,FALSE),"")</f>
        <v>Automotive Film Standard - Black 40%				</v>
      </c>
      <c r="E2256" s="45">
        <v>1.0</v>
      </c>
      <c r="F2256" s="198">
        <v>350000.0</v>
      </c>
      <c r="G2256" s="142">
        <f t="shared" si="68"/>
        <v>350000</v>
      </c>
      <c r="H2256" s="142"/>
      <c r="I2256" s="143">
        <f t="shared" si="65"/>
        <v>350000</v>
      </c>
      <c r="J2256" s="144">
        <f t="shared" si="69"/>
        <v>350000</v>
      </c>
      <c r="K2256" s="108" t="s">
        <v>8285</v>
      </c>
      <c r="L2256" s="199" t="s">
        <v>8286</v>
      </c>
      <c r="M2256" s="17"/>
      <c r="N2256" s="68"/>
      <c r="O2256" s="68"/>
      <c r="P2256" s="170"/>
      <c r="Q2256" s="149"/>
      <c r="R2256" s="149"/>
      <c r="S2256" s="149"/>
      <c r="T2256" s="149"/>
      <c r="U2256" s="149"/>
      <c r="V2256" s="149"/>
      <c r="W2256" s="149"/>
      <c r="X2256" s="68"/>
      <c r="Y2256" s="68"/>
      <c r="Z2256" s="68"/>
    </row>
    <row r="2257" ht="15.0" customHeight="1">
      <c r="A2257" s="206">
        <v>46079.0</v>
      </c>
      <c r="B2257" s="201" t="s">
        <v>8288</v>
      </c>
      <c r="C2257" s="64" t="s">
        <v>3246</v>
      </c>
      <c r="D2257" s="140" t="str">
        <f>IFERROR(VLOOKUP(C2257,Stock,3,FALSE),"")</f>
        <v>Toyota Calya / Sigra 16-</v>
      </c>
      <c r="E2257" s="45">
        <v>1.0</v>
      </c>
      <c r="F2257" s="198">
        <v>1150000.0</v>
      </c>
      <c r="G2257" s="142">
        <f t="shared" si="68"/>
        <v>1150000</v>
      </c>
      <c r="H2257" s="142"/>
      <c r="I2257" s="143">
        <f t="shared" si="65"/>
        <v>1150000</v>
      </c>
      <c r="J2257" s="144">
        <f t="shared" si="69"/>
        <v>1150000</v>
      </c>
      <c r="K2257" s="64" t="s">
        <v>8289</v>
      </c>
      <c r="L2257" s="199" t="s">
        <v>8290</v>
      </c>
      <c r="M2257" s="17"/>
      <c r="N2257" s="64" t="s">
        <v>8291</v>
      </c>
      <c r="O2257" s="68"/>
      <c r="P2257" s="170"/>
      <c r="Q2257" s="141">
        <v>1150000.0</v>
      </c>
      <c r="R2257" s="149"/>
      <c r="S2257" s="141"/>
      <c r="T2257" s="149"/>
      <c r="U2257" s="149"/>
      <c r="V2257" s="149"/>
      <c r="W2257" s="149"/>
      <c r="X2257" s="64" t="s">
        <v>8219</v>
      </c>
      <c r="Y2257" s="68"/>
      <c r="Z2257" s="68"/>
    </row>
    <row r="2258" ht="15.0" customHeight="1">
      <c r="A2258" s="206">
        <v>46079.0</v>
      </c>
      <c r="B2258" s="201" t="s">
        <v>8292</v>
      </c>
      <c r="C2258" s="45" t="s">
        <v>8293</v>
      </c>
      <c r="D2258" s="140" t="str">
        <f>IFERROR(VLOOKUP(C2258,Stock,3,FALSE),"")</f>
        <v>Nissan Elgrand 10- E52 3rd Gen</v>
      </c>
      <c r="E2258" s="45">
        <v>1.0</v>
      </c>
      <c r="F2258" s="198">
        <v>3025000.0</v>
      </c>
      <c r="G2258" s="142">
        <f t="shared" si="68"/>
        <v>3025000</v>
      </c>
      <c r="H2258" s="142"/>
      <c r="I2258" s="143">
        <f t="shared" si="65"/>
        <v>3025000</v>
      </c>
      <c r="J2258" s="144">
        <f t="shared" si="69"/>
        <v>3025000</v>
      </c>
      <c r="K2258" s="108" t="s">
        <v>8294</v>
      </c>
      <c r="L2258" s="199" t="s">
        <v>8295</v>
      </c>
      <c r="M2258" s="17"/>
      <c r="N2258" s="64" t="s">
        <v>8296</v>
      </c>
      <c r="O2258" s="68"/>
      <c r="P2258" s="170"/>
      <c r="Q2258" s="149"/>
      <c r="R2258" s="149"/>
      <c r="S2258" s="149"/>
      <c r="T2258" s="141">
        <v>3025000.0</v>
      </c>
      <c r="U2258" s="149"/>
      <c r="V2258" s="149"/>
      <c r="W2258" s="149"/>
      <c r="X2258" s="64" t="s">
        <v>7976</v>
      </c>
      <c r="Y2258" s="68"/>
      <c r="Z2258" s="68"/>
    </row>
    <row r="2259" ht="15.0" customHeight="1">
      <c r="A2259" s="441">
        <v>46079.0</v>
      </c>
      <c r="B2259" s="201" t="s">
        <v>8297</v>
      </c>
      <c r="C2259" s="45" t="s">
        <v>8298</v>
      </c>
      <c r="D2259" s="140" t="str">
        <f>IFERROR(VLOOKUP(C2259,Stock,3,FALSE),"")</f>
        <v>Honda Civic 16-21 10th Gen Sedan (1 Sensor / I ) (Honda)</v>
      </c>
      <c r="E2259" s="45">
        <v>1.0</v>
      </c>
      <c r="F2259" s="198">
        <v>6450000.0</v>
      </c>
      <c r="G2259" s="142">
        <f t="shared" si="68"/>
        <v>6450000</v>
      </c>
      <c r="H2259" s="143">
        <v>645000.0</v>
      </c>
      <c r="I2259" s="143">
        <f t="shared" si="65"/>
        <v>5805000</v>
      </c>
      <c r="J2259" s="144">
        <f t="shared" si="69"/>
        <v>5805000</v>
      </c>
      <c r="K2259" s="64" t="s">
        <v>8299</v>
      </c>
      <c r="L2259" s="199" t="s">
        <v>8300</v>
      </c>
      <c r="M2259" s="17"/>
      <c r="N2259" s="64" t="s">
        <v>8301</v>
      </c>
      <c r="O2259" s="68"/>
      <c r="P2259" s="170"/>
      <c r="Q2259" s="149"/>
      <c r="R2259" s="149"/>
      <c r="S2259" s="141">
        <v>100000.0</v>
      </c>
      <c r="T2259" s="149"/>
      <c r="U2259" s="149"/>
      <c r="V2259" s="149"/>
      <c r="W2259" s="149"/>
      <c r="X2259" s="64" t="s">
        <v>8219</v>
      </c>
      <c r="Y2259" s="68"/>
      <c r="Z2259" s="68"/>
    </row>
    <row r="2260" ht="15.0" customHeight="1">
      <c r="A2260" s="206">
        <v>46080.0</v>
      </c>
      <c r="B2260" s="201" t="s">
        <v>8302</v>
      </c>
      <c r="C2260" s="443" t="s">
        <v>7500</v>
      </c>
      <c r="D2260" s="140" t="str">
        <f>IFERROR(VLOOKUP(C2260,Stock,3,FALSE),"")</f>
        <v>Ford Fiesta 09-17</v>
      </c>
      <c r="E2260" s="45">
        <v>1.0</v>
      </c>
      <c r="F2260" s="198">
        <v>1550000.0</v>
      </c>
      <c r="G2260" s="142">
        <f t="shared" si="68"/>
        <v>1550000</v>
      </c>
      <c r="H2260" s="142"/>
      <c r="I2260" s="143">
        <f t="shared" si="65"/>
        <v>1550000</v>
      </c>
      <c r="J2260" s="144">
        <f t="shared" si="69"/>
        <v>1550000</v>
      </c>
      <c r="K2260" s="108" t="s">
        <v>8303</v>
      </c>
      <c r="L2260" s="199" t="s">
        <v>8304</v>
      </c>
      <c r="M2260" s="17"/>
      <c r="N2260" s="64" t="s">
        <v>8305</v>
      </c>
      <c r="O2260" s="68"/>
      <c r="P2260" s="170"/>
      <c r="Q2260" s="149"/>
      <c r="R2260" s="149"/>
      <c r="S2260" s="141">
        <v>100000.0</v>
      </c>
      <c r="T2260" s="141">
        <v>1450000.0</v>
      </c>
      <c r="U2260" s="149"/>
      <c r="V2260" s="149"/>
      <c r="W2260" s="149"/>
      <c r="X2260" s="64" t="s">
        <v>8232</v>
      </c>
      <c r="Y2260" s="68"/>
      <c r="Z2260" s="68"/>
    </row>
    <row r="2261" ht="15.0" customHeight="1">
      <c r="A2261" s="206">
        <v>46080.0</v>
      </c>
      <c r="B2261" s="201" t="s">
        <v>8306</v>
      </c>
      <c r="C2261" s="64" t="s">
        <v>8307</v>
      </c>
      <c r="D2261" s="140" t="str">
        <f>IFERROR(VLOOKUP(C2261,Stock,3,FALSE),"")</f>
        <v>Suzuki Ertiga 18- 2nd Gen / XL7</v>
      </c>
      <c r="E2261" s="45">
        <v>1.0</v>
      </c>
      <c r="F2261" s="198">
        <v>1050000.0</v>
      </c>
      <c r="G2261" s="142">
        <f t="shared" si="68"/>
        <v>1050000</v>
      </c>
      <c r="H2261" s="142"/>
      <c r="I2261" s="143">
        <f t="shared" si="65"/>
        <v>1050000</v>
      </c>
      <c r="J2261" s="144">
        <f t="shared" si="69"/>
        <v>1050000</v>
      </c>
      <c r="K2261" s="108" t="s">
        <v>5648</v>
      </c>
      <c r="L2261" s="199" t="s">
        <v>8308</v>
      </c>
      <c r="M2261" s="17"/>
      <c r="N2261" s="64" t="s">
        <v>8309</v>
      </c>
      <c r="O2261" s="68"/>
      <c r="P2261" s="170"/>
      <c r="Q2261" s="149"/>
      <c r="R2261" s="149"/>
      <c r="S2261" s="141">
        <v>100000.0</v>
      </c>
      <c r="T2261" s="141">
        <v>1000000.0</v>
      </c>
      <c r="U2261" s="149"/>
      <c r="V2261" s="149"/>
      <c r="W2261" s="149"/>
      <c r="X2261" s="64" t="s">
        <v>8219</v>
      </c>
      <c r="Y2261" s="68"/>
      <c r="Z2261" s="68"/>
    </row>
    <row r="2262" ht="15.0" customHeight="1">
      <c r="A2262" s="206">
        <v>46080.0</v>
      </c>
      <c r="B2262" s="201" t="s">
        <v>8306</v>
      </c>
      <c r="C2262" s="45" t="s">
        <v>2770</v>
      </c>
      <c r="D2262" s="140" t="str">
        <f>IFERROR(VLOOKUP(C2262,Stock,3,FALSE),"")</f>
        <v>Transport</v>
      </c>
      <c r="E2262" s="45">
        <v>1.0</v>
      </c>
      <c r="F2262" s="198">
        <v>150000.0</v>
      </c>
      <c r="G2262" s="142">
        <f t="shared" si="68"/>
        <v>150000</v>
      </c>
      <c r="H2262" s="142"/>
      <c r="I2262" s="143">
        <f t="shared" si="65"/>
        <v>150000</v>
      </c>
      <c r="J2262" s="144">
        <f t="shared" si="69"/>
        <v>150000</v>
      </c>
      <c r="K2262" s="108" t="s">
        <v>5648</v>
      </c>
      <c r="L2262" s="199" t="s">
        <v>8308</v>
      </c>
      <c r="M2262" s="17"/>
      <c r="N2262" s="68"/>
      <c r="O2262" s="68"/>
      <c r="P2262" s="170"/>
      <c r="Q2262" s="141"/>
      <c r="R2262" s="149"/>
      <c r="S2262" s="149"/>
      <c r="T2262" s="149"/>
      <c r="U2262" s="149"/>
      <c r="V2262" s="149"/>
      <c r="W2262" s="149"/>
      <c r="X2262" s="64" t="s">
        <v>8219</v>
      </c>
      <c r="Y2262" s="68"/>
      <c r="Z2262" s="68"/>
    </row>
    <row r="2263" ht="15.0" customHeight="1">
      <c r="A2263" s="441">
        <v>46080.0</v>
      </c>
      <c r="B2263" s="201" t="s">
        <v>8310</v>
      </c>
      <c r="C2263" s="45" t="s">
        <v>3225</v>
      </c>
      <c r="D2263" s="140" t="str">
        <f>IFERROR(VLOOKUP(C2263,Stock,3,FALSE),"")</f>
        <v>Toyota Rush / Terios 18-</v>
      </c>
      <c r="E2263" s="45">
        <v>1.0</v>
      </c>
      <c r="F2263" s="198">
        <v>1250000.0</v>
      </c>
      <c r="G2263" s="142">
        <f t="shared" si="68"/>
        <v>1250000</v>
      </c>
      <c r="H2263" s="143">
        <v>150000.0</v>
      </c>
      <c r="I2263" s="143">
        <f t="shared" si="65"/>
        <v>1100000</v>
      </c>
      <c r="J2263" s="144">
        <f t="shared" si="69"/>
        <v>1100000</v>
      </c>
      <c r="K2263" s="108" t="s">
        <v>8311</v>
      </c>
      <c r="L2263" s="199" t="s">
        <v>7968</v>
      </c>
      <c r="M2263" s="17"/>
      <c r="N2263" s="64" t="s">
        <v>8312</v>
      </c>
      <c r="O2263" s="68"/>
      <c r="P2263" s="170"/>
      <c r="Q2263" s="141">
        <v>1000000.0</v>
      </c>
      <c r="R2263" s="141"/>
      <c r="S2263" s="141">
        <v>100000.0</v>
      </c>
      <c r="T2263" s="149"/>
      <c r="U2263" s="149"/>
      <c r="V2263" s="149"/>
      <c r="W2263" s="149"/>
      <c r="X2263" s="64" t="s">
        <v>7976</v>
      </c>
      <c r="Y2263" s="68"/>
      <c r="Z2263" s="68"/>
    </row>
    <row r="2264" ht="15.0" customHeight="1">
      <c r="A2264" s="230">
        <v>46080.0</v>
      </c>
      <c r="B2264" s="231" t="s">
        <v>8313</v>
      </c>
      <c r="C2264" s="232" t="s">
        <v>8314</v>
      </c>
      <c r="D2264" s="233" t="str">
        <f>IFERROR(VLOOKUP(C2264,Stock,3,FALSE),"")</f>
        <v>Subaru Crosstrek 23- (4 Sensor / /\ /\ [] /\ )</v>
      </c>
      <c r="E2264" s="232"/>
      <c r="F2264" s="446"/>
      <c r="G2264" s="235">
        <f t="shared" si="68"/>
        <v>0</v>
      </c>
      <c r="H2264" s="235"/>
      <c r="I2264" s="236">
        <f t="shared" si="65"/>
        <v>0</v>
      </c>
      <c r="J2264" s="237">
        <f t="shared" si="69"/>
        <v>0</v>
      </c>
      <c r="K2264" s="238" t="s">
        <v>8315</v>
      </c>
      <c r="L2264" s="239" t="s">
        <v>8316</v>
      </c>
      <c r="M2264" s="240"/>
      <c r="N2264" s="175"/>
      <c r="O2264" s="175"/>
      <c r="P2264" s="242"/>
      <c r="Q2264" s="243"/>
      <c r="R2264" s="243"/>
      <c r="S2264" s="244" t="s">
        <v>8317</v>
      </c>
      <c r="T2264" s="243"/>
      <c r="U2264" s="243"/>
      <c r="V2264" s="243"/>
      <c r="W2264" s="243"/>
      <c r="X2264" s="241" t="s">
        <v>8232</v>
      </c>
      <c r="Y2264" s="175"/>
      <c r="Z2264" s="175"/>
    </row>
    <row r="2265" ht="15.0" customHeight="1">
      <c r="A2265" s="206">
        <v>46080.0</v>
      </c>
      <c r="B2265" s="201" t="s">
        <v>8318</v>
      </c>
      <c r="C2265" s="45" t="s">
        <v>3246</v>
      </c>
      <c r="D2265" s="229" t="str">
        <f>IFERROR(VLOOKUP(C2265,Stock,3,FALSE),"")</f>
        <v>Toyota Calya / Sigra 16-</v>
      </c>
      <c r="E2265" s="45">
        <v>1.0</v>
      </c>
      <c r="F2265" s="198">
        <v>1000000.0</v>
      </c>
      <c r="G2265" s="142">
        <f t="shared" si="68"/>
        <v>1000000</v>
      </c>
      <c r="H2265" s="229"/>
      <c r="I2265" s="143">
        <f t="shared" si="65"/>
        <v>1000000</v>
      </c>
      <c r="J2265" s="144">
        <f t="shared" si="69"/>
        <v>1000000</v>
      </c>
      <c r="K2265" s="108" t="s">
        <v>8319</v>
      </c>
      <c r="L2265" s="199" t="s">
        <v>8320</v>
      </c>
      <c r="M2265" s="17"/>
      <c r="N2265" s="64" t="s">
        <v>8321</v>
      </c>
      <c r="O2265" s="68"/>
      <c r="P2265" s="170"/>
      <c r="Q2265" s="149"/>
      <c r="R2265" s="149"/>
      <c r="S2265" s="149"/>
      <c r="T2265" s="141">
        <v>1000000.0</v>
      </c>
      <c r="U2265" s="149"/>
      <c r="V2265" s="149"/>
      <c r="W2265" s="149"/>
      <c r="X2265" s="64" t="s">
        <v>7976</v>
      </c>
      <c r="Y2265" s="68"/>
      <c r="Z2265" s="68"/>
    </row>
    <row r="2266" ht="15.0" customHeight="1">
      <c r="A2266" s="206">
        <v>46080.0</v>
      </c>
      <c r="B2266" s="201" t="s">
        <v>8322</v>
      </c>
      <c r="C2266" s="64" t="s">
        <v>3318</v>
      </c>
      <c r="D2266" s="140" t="str">
        <f>IFERROR(VLOOKUP(C2266,Stock,3,FALSE),"")</f>
        <v>Suzuki Swift 11-17 2nd Gen</v>
      </c>
      <c r="E2266" s="45">
        <v>1.0</v>
      </c>
      <c r="F2266" s="198">
        <v>1596000.0</v>
      </c>
      <c r="G2266" s="142">
        <f t="shared" si="68"/>
        <v>1596000</v>
      </c>
      <c r="H2266" s="142"/>
      <c r="I2266" s="143">
        <f t="shared" si="65"/>
        <v>1596000</v>
      </c>
      <c r="J2266" s="144">
        <f t="shared" si="69"/>
        <v>1596000</v>
      </c>
      <c r="K2266" s="108" t="s">
        <v>6014</v>
      </c>
      <c r="L2266" s="199" t="s">
        <v>8323</v>
      </c>
      <c r="M2266" s="17"/>
      <c r="N2266" s="64" t="s">
        <v>8324</v>
      </c>
      <c r="O2266" s="68"/>
      <c r="P2266" s="170"/>
      <c r="Q2266" s="141"/>
      <c r="R2266" s="149"/>
      <c r="S2266" s="149"/>
      <c r="T2266" s="141">
        <v>1596000.0</v>
      </c>
      <c r="U2266" s="149"/>
      <c r="V2266" s="149"/>
      <c r="W2266" s="149"/>
      <c r="X2266" s="64" t="s">
        <v>8219</v>
      </c>
      <c r="Y2266" s="68"/>
      <c r="Z2266" s="68"/>
    </row>
    <row r="2267" ht="15.0" customHeight="1">
      <c r="A2267" s="206">
        <v>46080.0</v>
      </c>
      <c r="B2267" s="201" t="s">
        <v>8325</v>
      </c>
      <c r="C2267" s="45" t="s">
        <v>6850</v>
      </c>
      <c r="D2267" s="140" t="str">
        <f>IFERROR(VLOOKUP(C2267,Stock,3,FALSE),"")</f>
        <v>Isuzu Elf 17- New NMR NLR / Isuzu Giga </v>
      </c>
      <c r="E2267" s="45">
        <v>1.0</v>
      </c>
      <c r="F2267" s="198">
        <v>785000.0</v>
      </c>
      <c r="G2267" s="142">
        <f t="shared" si="68"/>
        <v>785000</v>
      </c>
      <c r="H2267" s="142"/>
      <c r="I2267" s="143">
        <f t="shared" si="65"/>
        <v>785000</v>
      </c>
      <c r="J2267" s="144">
        <f t="shared" si="69"/>
        <v>785000</v>
      </c>
      <c r="K2267" s="108" t="s">
        <v>8326</v>
      </c>
      <c r="L2267" s="45" t="s">
        <v>8327</v>
      </c>
      <c r="M2267" s="17"/>
      <c r="N2267" s="64" t="s">
        <v>8328</v>
      </c>
      <c r="O2267" s="68"/>
      <c r="P2267" s="170"/>
      <c r="Q2267" s="149"/>
      <c r="R2267" s="149"/>
      <c r="S2267" s="141">
        <v>100000.0</v>
      </c>
      <c r="T2267" s="149"/>
      <c r="U2267" s="149"/>
      <c r="V2267" s="149"/>
      <c r="W2267" s="149"/>
      <c r="X2267" s="64" t="s">
        <v>8219</v>
      </c>
      <c r="Y2267" s="68"/>
      <c r="Z2267" s="68"/>
    </row>
    <row r="2268" ht="15.0" customHeight="1">
      <c r="A2268" s="441">
        <v>46080.0</v>
      </c>
      <c r="B2268" s="201" t="s">
        <v>8325</v>
      </c>
      <c r="C2268" s="45" t="s">
        <v>2770</v>
      </c>
      <c r="D2268" s="140" t="str">
        <f>IFERROR(VLOOKUP(C2268,Stock,3,FALSE),"")</f>
        <v>Transport</v>
      </c>
      <c r="E2268" s="45">
        <v>1.0</v>
      </c>
      <c r="F2268" s="198">
        <v>50000.0</v>
      </c>
      <c r="G2268" s="142">
        <f t="shared" si="68"/>
        <v>50000</v>
      </c>
      <c r="H2268" s="142"/>
      <c r="I2268" s="143">
        <f t="shared" si="65"/>
        <v>50000</v>
      </c>
      <c r="J2268" s="144">
        <f t="shared" si="69"/>
        <v>50000</v>
      </c>
      <c r="K2268" s="108" t="s">
        <v>8326</v>
      </c>
      <c r="L2268" s="45" t="s">
        <v>8329</v>
      </c>
      <c r="M2268" s="17"/>
      <c r="N2268" s="64" t="s">
        <v>8328</v>
      </c>
      <c r="O2268" s="68"/>
      <c r="P2268" s="170"/>
      <c r="Q2268" s="149"/>
      <c r="R2268" s="149"/>
      <c r="S2268" s="149"/>
      <c r="T2268" s="149"/>
      <c r="U2268" s="149"/>
      <c r="V2268" s="149"/>
      <c r="W2268" s="149"/>
      <c r="X2268" s="68"/>
      <c r="Y2268" s="68"/>
      <c r="Z2268" s="68"/>
    </row>
    <row r="2269" ht="15.0" customHeight="1">
      <c r="A2269" s="206">
        <v>46080.0</v>
      </c>
      <c r="B2269" s="201" t="s">
        <v>8330</v>
      </c>
      <c r="C2269" s="443" t="s">
        <v>4112</v>
      </c>
      <c r="D2269" s="140" t="str">
        <f>IFERROR(VLOOKUP(C2269,Stock,3,FALSE),"")</f>
        <v>Wuling Air EV 22-</v>
      </c>
      <c r="E2269" s="45">
        <v>1.0</v>
      </c>
      <c r="F2269" s="198">
        <v>1750000.0</v>
      </c>
      <c r="G2269" s="142">
        <f t="shared" si="68"/>
        <v>1750000</v>
      </c>
      <c r="H2269" s="142"/>
      <c r="I2269" s="143">
        <f t="shared" si="65"/>
        <v>1750000</v>
      </c>
      <c r="J2269" s="144">
        <f t="shared" si="69"/>
        <v>1750000</v>
      </c>
      <c r="K2269" s="108" t="s">
        <v>8331</v>
      </c>
      <c r="L2269" s="199" t="s">
        <v>8332</v>
      </c>
      <c r="M2269" s="17"/>
      <c r="N2269" s="64" t="s">
        <v>8333</v>
      </c>
      <c r="O2269" s="68"/>
      <c r="P2269" s="170"/>
      <c r="Q2269" s="149"/>
      <c r="R2269" s="149"/>
      <c r="S2269" s="141">
        <v>100000.0</v>
      </c>
      <c r="T2269" s="141">
        <v>1700000.0</v>
      </c>
      <c r="U2269" s="149"/>
      <c r="V2269" s="149"/>
      <c r="W2269" s="149"/>
      <c r="X2269" s="64" t="s">
        <v>8334</v>
      </c>
      <c r="Y2269" s="68"/>
      <c r="Z2269" s="68"/>
    </row>
    <row r="2270" ht="15.0" customHeight="1">
      <c r="A2270" s="441">
        <v>46080.0</v>
      </c>
      <c r="B2270" s="201" t="s">
        <v>8330</v>
      </c>
      <c r="C2270" s="45" t="s">
        <v>2770</v>
      </c>
      <c r="D2270" s="140" t="str">
        <f>IFERROR(VLOOKUP(C2270,Stock,3,FALSE),"")</f>
        <v>Transport</v>
      </c>
      <c r="E2270" s="45">
        <v>1.0</v>
      </c>
      <c r="F2270" s="198">
        <v>50000.0</v>
      </c>
      <c r="G2270" s="142">
        <f t="shared" si="68"/>
        <v>50000</v>
      </c>
      <c r="H2270" s="142"/>
      <c r="I2270" s="143">
        <f t="shared" si="65"/>
        <v>50000</v>
      </c>
      <c r="J2270" s="144">
        <f t="shared" si="69"/>
        <v>50000</v>
      </c>
      <c r="K2270" s="108" t="s">
        <v>8331</v>
      </c>
      <c r="L2270" s="199" t="s">
        <v>8332</v>
      </c>
      <c r="M2270" s="17"/>
      <c r="N2270" s="68"/>
      <c r="O2270" s="68"/>
      <c r="P2270" s="170"/>
      <c r="Q2270" s="149"/>
      <c r="R2270" s="149"/>
      <c r="S2270" s="149"/>
      <c r="T2270" s="149"/>
      <c r="U2270" s="149"/>
      <c r="V2270" s="149"/>
      <c r="W2270" s="149"/>
      <c r="X2270" s="68"/>
      <c r="Y2270" s="68"/>
      <c r="Z2270" s="68"/>
    </row>
    <row r="2271" ht="15.0" customHeight="1">
      <c r="A2271" s="441">
        <v>46080.0</v>
      </c>
      <c r="B2271" s="201" t="s">
        <v>8335</v>
      </c>
      <c r="C2271" s="45" t="s">
        <v>5123</v>
      </c>
      <c r="D2271" s="140" t="str">
        <f>IFERROR(VLOOKUP(C2271,Stock,3,FALSE),"")</f>
        <v>BMW 3 Series 90-99 E36</v>
      </c>
      <c r="E2271" s="45">
        <v>1.0</v>
      </c>
      <c r="F2271" s="198">
        <v>1649000.0</v>
      </c>
      <c r="G2271" s="142">
        <f t="shared" si="68"/>
        <v>1649000</v>
      </c>
      <c r="H2271" s="142"/>
      <c r="I2271" s="143">
        <f t="shared" si="65"/>
        <v>1649000</v>
      </c>
      <c r="J2271" s="144">
        <f t="shared" si="69"/>
        <v>1649000</v>
      </c>
      <c r="K2271" s="108" t="s">
        <v>7647</v>
      </c>
      <c r="L2271" s="199" t="s">
        <v>8336</v>
      </c>
      <c r="M2271" s="17"/>
      <c r="N2271" s="68"/>
      <c r="O2271" s="68"/>
      <c r="P2271" s="170"/>
      <c r="Q2271" s="149"/>
      <c r="R2271" s="149"/>
      <c r="S2271" s="141">
        <v>100000.0</v>
      </c>
      <c r="T2271" s="149"/>
      <c r="U2271" s="149"/>
      <c r="V2271" s="149"/>
      <c r="W2271" s="149"/>
      <c r="X2271" s="64" t="s">
        <v>8232</v>
      </c>
      <c r="Y2271" s="68"/>
      <c r="Z2271" s="68"/>
    </row>
    <row r="2272" ht="15.0" customHeight="1">
      <c r="A2272" s="206">
        <v>46080.0</v>
      </c>
      <c r="B2272" s="201" t="s">
        <v>8335</v>
      </c>
      <c r="C2272" s="45" t="s">
        <v>2770</v>
      </c>
      <c r="D2272" s="140" t="str">
        <f>IFERROR(VLOOKUP(C2272,Stock,3,FALSE),"")</f>
        <v>Transport</v>
      </c>
      <c r="E2272" s="45">
        <v>1.0</v>
      </c>
      <c r="F2272" s="198">
        <v>150000.0</v>
      </c>
      <c r="G2272" s="142">
        <f t="shared" si="68"/>
        <v>150000</v>
      </c>
      <c r="H2272" s="142"/>
      <c r="I2272" s="143">
        <f t="shared" si="65"/>
        <v>150000</v>
      </c>
      <c r="J2272" s="144">
        <f t="shared" si="69"/>
        <v>150000</v>
      </c>
      <c r="K2272" s="108" t="s">
        <v>7647</v>
      </c>
      <c r="L2272" s="199" t="s">
        <v>8336</v>
      </c>
      <c r="M2272" s="17"/>
      <c r="N2272" s="68"/>
      <c r="O2272" s="68"/>
      <c r="P2272" s="170"/>
      <c r="Q2272" s="149"/>
      <c r="R2272" s="149"/>
      <c r="S2272" s="141"/>
      <c r="T2272" s="149"/>
      <c r="U2272" s="149"/>
      <c r="V2272" s="149"/>
      <c r="W2272" s="149"/>
      <c r="X2272" s="64" t="s">
        <v>8232</v>
      </c>
      <c r="Y2272" s="68"/>
      <c r="Z2272" s="68"/>
    </row>
    <row r="2273" ht="15.0" customHeight="1">
      <c r="A2273" s="206">
        <v>46080.0</v>
      </c>
      <c r="B2273" s="201" t="s">
        <v>8337</v>
      </c>
      <c r="C2273" s="45" t="s">
        <v>7270</v>
      </c>
      <c r="D2273" s="140" t="str">
        <f>IFERROR(VLOOKUP(C2273,Stock,3,FALSE),"")</f>
        <v>Toyota Fortuner 05-15 1st Gen</v>
      </c>
      <c r="E2273" s="45">
        <v>1.0</v>
      </c>
      <c r="F2273" s="198">
        <v>1392000.0</v>
      </c>
      <c r="G2273" s="142">
        <f t="shared" si="68"/>
        <v>1392000</v>
      </c>
      <c r="H2273" s="142"/>
      <c r="I2273" s="143">
        <f t="shared" si="65"/>
        <v>1392000</v>
      </c>
      <c r="J2273" s="144">
        <f t="shared" si="69"/>
        <v>1392000</v>
      </c>
      <c r="K2273" s="108" t="s">
        <v>3813</v>
      </c>
      <c r="L2273" s="199" t="s">
        <v>8338</v>
      </c>
      <c r="M2273" s="17"/>
      <c r="N2273" s="64" t="s">
        <v>8339</v>
      </c>
      <c r="O2273" s="68"/>
      <c r="P2273" s="170"/>
      <c r="Q2273" s="149"/>
      <c r="R2273" s="149"/>
      <c r="S2273" s="141">
        <v>100000.0</v>
      </c>
      <c r="T2273" s="141">
        <v>1952000.0</v>
      </c>
      <c r="U2273" s="149"/>
      <c r="V2273" s="149"/>
      <c r="W2273" s="149"/>
      <c r="X2273" s="64" t="s">
        <v>8334</v>
      </c>
      <c r="Y2273" s="68"/>
      <c r="Z2273" s="68"/>
    </row>
    <row r="2274" ht="15.0" customHeight="1">
      <c r="A2274" s="206">
        <v>46080.0</v>
      </c>
      <c r="B2274" s="201" t="s">
        <v>8337</v>
      </c>
      <c r="C2274" s="45" t="s">
        <v>2770</v>
      </c>
      <c r="D2274" s="140" t="str">
        <f>IFERROR(VLOOKUP(C2274,Stock,3,FALSE),"")</f>
        <v>Transport</v>
      </c>
      <c r="E2274" s="45">
        <v>1.0</v>
      </c>
      <c r="F2274" s="198">
        <v>200000.0</v>
      </c>
      <c r="G2274" s="142">
        <f t="shared" si="68"/>
        <v>200000</v>
      </c>
      <c r="H2274" s="142"/>
      <c r="I2274" s="143">
        <f t="shared" si="65"/>
        <v>200000</v>
      </c>
      <c r="J2274" s="144">
        <f t="shared" si="69"/>
        <v>200000</v>
      </c>
      <c r="K2274" s="108" t="s">
        <v>3813</v>
      </c>
      <c r="L2274" s="199" t="s">
        <v>8338</v>
      </c>
      <c r="M2274" s="17"/>
      <c r="N2274" s="64" t="s">
        <v>8339</v>
      </c>
      <c r="O2274" s="68"/>
      <c r="P2274" s="170"/>
      <c r="Q2274" s="149"/>
      <c r="R2274" s="149"/>
      <c r="S2274" s="149"/>
      <c r="T2274" s="149"/>
      <c r="U2274" s="149"/>
      <c r="V2274" s="149"/>
      <c r="W2274" s="149"/>
      <c r="X2274" s="68"/>
      <c r="Y2274" s="68"/>
      <c r="Z2274" s="68"/>
    </row>
    <row r="2275" ht="15.0" customHeight="1">
      <c r="A2275" s="206">
        <v>46080.0</v>
      </c>
      <c r="B2275" s="201" t="s">
        <v>8337</v>
      </c>
      <c r="C2275" s="45" t="s">
        <v>8340</v>
      </c>
      <c r="D2275" s="140" t="str">
        <f>IFERROR(VLOOKUP(C2275,Stock,3,FALSE),"")</f>
        <v>Moulding List Toyota Fortuner 05-15  1st Gen (Windshield)</v>
      </c>
      <c r="E2275" s="45">
        <v>1.0</v>
      </c>
      <c r="F2275" s="198">
        <v>510000.0</v>
      </c>
      <c r="G2275" s="142">
        <f t="shared" si="68"/>
        <v>510000</v>
      </c>
      <c r="H2275" s="143">
        <v>50000.0</v>
      </c>
      <c r="I2275" s="143">
        <f t="shared" si="65"/>
        <v>460000</v>
      </c>
      <c r="J2275" s="144">
        <f t="shared" si="69"/>
        <v>460000</v>
      </c>
      <c r="K2275" s="108" t="s">
        <v>3813</v>
      </c>
      <c r="L2275" s="199" t="s">
        <v>8338</v>
      </c>
      <c r="M2275" s="17"/>
      <c r="N2275" s="64" t="s">
        <v>8339</v>
      </c>
      <c r="O2275" s="68"/>
      <c r="P2275" s="170"/>
      <c r="Q2275" s="149"/>
      <c r="R2275" s="149"/>
      <c r="S2275" s="149"/>
      <c r="T2275" s="149"/>
      <c r="U2275" s="149"/>
      <c r="V2275" s="149"/>
      <c r="W2275" s="149"/>
      <c r="X2275" s="68"/>
      <c r="Y2275" s="68"/>
      <c r="Z2275" s="68"/>
    </row>
    <row r="2276" ht="15.0" customHeight="1">
      <c r="A2276" s="206">
        <v>46080.0</v>
      </c>
      <c r="B2276" s="201" t="s">
        <v>8341</v>
      </c>
      <c r="C2276" s="64" t="s">
        <v>3354</v>
      </c>
      <c r="D2276" s="140" t="str">
        <f>IFERROR(VLOOKUP(C2276,Stock,3,FALSE),"")</f>
        <v>Honda Brio 10- / Mobilio 11- (Honda)</v>
      </c>
      <c r="E2276" s="45">
        <v>1.0</v>
      </c>
      <c r="F2276" s="198">
        <v>1772000.0</v>
      </c>
      <c r="G2276" s="142">
        <f t="shared" si="68"/>
        <v>1772000</v>
      </c>
      <c r="H2276" s="142"/>
      <c r="I2276" s="143">
        <f t="shared" si="65"/>
        <v>1772000</v>
      </c>
      <c r="J2276" s="144">
        <f t="shared" si="69"/>
        <v>1772000</v>
      </c>
      <c r="K2276" s="108" t="s">
        <v>8342</v>
      </c>
      <c r="L2276" s="199" t="s">
        <v>2767</v>
      </c>
      <c r="M2276" s="17"/>
      <c r="N2276" s="68"/>
      <c r="O2276" s="68"/>
      <c r="P2276" s="170"/>
      <c r="Q2276" s="149"/>
      <c r="R2276" s="149"/>
      <c r="S2276" s="141">
        <v>100000.0</v>
      </c>
      <c r="T2276" s="141">
        <v>1672000.0</v>
      </c>
      <c r="U2276" s="149"/>
      <c r="V2276" s="149"/>
      <c r="W2276" s="149"/>
      <c r="X2276" s="64" t="s">
        <v>8232</v>
      </c>
      <c r="Y2276" s="68"/>
      <c r="Z2276" s="68"/>
    </row>
    <row r="2277" ht="15.0" customHeight="1">
      <c r="A2277" s="206">
        <v>45715.0</v>
      </c>
      <c r="B2277" s="201" t="s">
        <v>8343</v>
      </c>
      <c r="C2277" s="45" t="s">
        <v>3220</v>
      </c>
      <c r="D2277" s="140" t="str">
        <f>IFERROR(VLOOKUP(C2277,Stock,3,FALSE),"")</f>
        <v>BMW 3 Series 12-18 F30/F35 (1 Sensor / O )</v>
      </c>
      <c r="E2277" s="45">
        <v>1.0</v>
      </c>
      <c r="F2277" s="202"/>
      <c r="G2277" s="142">
        <f t="shared" si="68"/>
        <v>0</v>
      </c>
      <c r="H2277" s="142"/>
      <c r="I2277" s="143">
        <f t="shared" si="65"/>
        <v>0</v>
      </c>
      <c r="J2277" s="144"/>
      <c r="K2277" s="108" t="s">
        <v>4827</v>
      </c>
      <c r="L2277" s="17"/>
      <c r="M2277" s="17"/>
      <c r="N2277" s="68"/>
      <c r="O2277" s="68"/>
      <c r="P2277" s="170"/>
      <c r="Q2277" s="149"/>
      <c r="R2277" s="149"/>
      <c r="S2277" s="149"/>
      <c r="T2277" s="149"/>
      <c r="U2277" s="149"/>
      <c r="V2277" s="149"/>
      <c r="W2277" s="149"/>
      <c r="X2277" s="68"/>
      <c r="Y2277" s="68"/>
      <c r="Z2277" s="68"/>
    </row>
    <row r="2278" ht="15.0" customHeight="1">
      <c r="A2278" s="206">
        <v>46081.0</v>
      </c>
      <c r="B2278" s="201" t="s">
        <v>8344</v>
      </c>
      <c r="C2278" s="45" t="s">
        <v>8003</v>
      </c>
      <c r="D2278" s="140" t="str">
        <f>IFERROR(VLOOKUP(C2278,Stock,3,FALSE),"")</f>
        <v>Honda CR-V 07-11 3rd Gen</v>
      </c>
      <c r="E2278" s="45">
        <v>1.0</v>
      </c>
      <c r="F2278" s="198">
        <v>1319000.0</v>
      </c>
      <c r="G2278" s="142">
        <f t="shared" si="68"/>
        <v>1319000</v>
      </c>
      <c r="H2278" s="142"/>
      <c r="I2278" s="143">
        <f t="shared" si="65"/>
        <v>1319000</v>
      </c>
      <c r="J2278" s="144">
        <f t="shared" ref="J2278:J3013" si="70">I2278</f>
        <v>1319000</v>
      </c>
      <c r="K2278" s="108" t="s">
        <v>8345</v>
      </c>
      <c r="L2278" s="45" t="s">
        <v>8346</v>
      </c>
      <c r="M2278" s="17"/>
      <c r="N2278" s="64" t="s">
        <v>8347</v>
      </c>
      <c r="O2278" s="68"/>
      <c r="P2278" s="170"/>
      <c r="Q2278" s="149"/>
      <c r="R2278" s="149"/>
      <c r="S2278" s="149"/>
      <c r="T2278" s="141">
        <v>1319000.0</v>
      </c>
      <c r="U2278" s="149"/>
      <c r="V2278" s="149"/>
      <c r="W2278" s="149"/>
      <c r="X2278" s="64" t="s">
        <v>8219</v>
      </c>
      <c r="Y2278" s="68"/>
      <c r="Z2278" s="68"/>
    </row>
    <row r="2279" ht="15.0" customHeight="1">
      <c r="A2279" s="206">
        <v>46081.0</v>
      </c>
      <c r="B2279" s="201" t="s">
        <v>8348</v>
      </c>
      <c r="C2279" s="443" t="s">
        <v>7220</v>
      </c>
      <c r="D2279" s="140" t="str">
        <f>IFERROR(VLOOKUP(C2279,Stock,3,FALSE),"")</f>
        <v>Toyota Rush / Terios 06-17</v>
      </c>
      <c r="E2279" s="45">
        <v>1.0</v>
      </c>
      <c r="F2279" s="198">
        <v>1249000.0</v>
      </c>
      <c r="G2279" s="142">
        <f t="shared" si="68"/>
        <v>1249000</v>
      </c>
      <c r="H2279" s="142"/>
      <c r="I2279" s="143">
        <f t="shared" si="65"/>
        <v>1249000</v>
      </c>
      <c r="J2279" s="144">
        <f t="shared" si="70"/>
        <v>1249000</v>
      </c>
      <c r="K2279" s="108" t="s">
        <v>8349</v>
      </c>
      <c r="L2279" s="199" t="s">
        <v>8350</v>
      </c>
      <c r="M2279" s="17"/>
      <c r="N2279" s="64" t="s">
        <v>8351</v>
      </c>
      <c r="O2279" s="68"/>
      <c r="P2279" s="170"/>
      <c r="Q2279" s="149"/>
      <c r="R2279" s="149"/>
      <c r="S2279" s="149"/>
      <c r="T2279" s="141">
        <v>1249000.0</v>
      </c>
      <c r="U2279" s="149"/>
      <c r="V2279" s="149"/>
      <c r="W2279" s="149"/>
      <c r="X2279" s="64" t="s">
        <v>8232</v>
      </c>
      <c r="Y2279" s="68"/>
      <c r="Z2279" s="68"/>
    </row>
    <row r="2280" ht="15.0" customHeight="1">
      <c r="A2280" s="206">
        <v>46081.0</v>
      </c>
      <c r="B2280" s="201" t="s">
        <v>8352</v>
      </c>
      <c r="C2280" s="45" t="s">
        <v>7199</v>
      </c>
      <c r="D2280" s="140" t="str">
        <f>IFERROR(VLOOKUP(C2280,Stock,3,FALSE),"")</f>
        <v>Daihatsu Gran Max / Luxio 07-</v>
      </c>
      <c r="E2280" s="45">
        <v>1.0</v>
      </c>
      <c r="F2280" s="198">
        <v>1000000.0</v>
      </c>
      <c r="G2280" s="142">
        <f t="shared" si="68"/>
        <v>1000000</v>
      </c>
      <c r="H2280" s="142"/>
      <c r="I2280" s="143">
        <f t="shared" si="65"/>
        <v>1000000</v>
      </c>
      <c r="J2280" s="144">
        <f t="shared" si="70"/>
        <v>1000000</v>
      </c>
      <c r="K2280" s="64" t="s">
        <v>8353</v>
      </c>
      <c r="L2280" s="199" t="s">
        <v>6611</v>
      </c>
      <c r="M2280" s="17"/>
      <c r="N2280" s="64" t="s">
        <v>8354</v>
      </c>
      <c r="O2280" s="68"/>
      <c r="P2280" s="170"/>
      <c r="Q2280" s="149"/>
      <c r="R2280" s="149"/>
      <c r="S2280" s="149"/>
      <c r="T2280" s="141">
        <v>1000000.0</v>
      </c>
      <c r="U2280" s="149"/>
      <c r="V2280" s="149"/>
      <c r="W2280" s="149"/>
      <c r="X2280" s="68"/>
      <c r="Y2280" s="68"/>
      <c r="Z2280" s="68"/>
    </row>
    <row r="2281" ht="15.0" customHeight="1">
      <c r="A2281" s="206">
        <v>46081.0</v>
      </c>
      <c r="B2281" s="201" t="s">
        <v>8355</v>
      </c>
      <c r="C2281" s="443" t="s">
        <v>2003</v>
      </c>
      <c r="D2281" s="140" t="str">
        <f>IFERROR(VLOOKUP(C2281,Stock,3,FALSE),"")</f>
        <v>Toyota Agya/Ayla 13-22 1st Gen</v>
      </c>
      <c r="E2281" s="45">
        <v>1.0</v>
      </c>
      <c r="F2281" s="198">
        <v>950000.0</v>
      </c>
      <c r="G2281" s="142">
        <f t="shared" si="68"/>
        <v>950000</v>
      </c>
      <c r="H2281" s="142"/>
      <c r="I2281" s="143">
        <f t="shared" si="65"/>
        <v>950000</v>
      </c>
      <c r="J2281" s="144">
        <f t="shared" si="70"/>
        <v>950000</v>
      </c>
      <c r="K2281" s="108" t="s">
        <v>8356</v>
      </c>
      <c r="L2281" s="199" t="s">
        <v>8357</v>
      </c>
      <c r="M2281" s="17"/>
      <c r="N2281" s="64" t="s">
        <v>8358</v>
      </c>
      <c r="O2281" s="68"/>
      <c r="P2281" s="170"/>
      <c r="Q2281" s="149"/>
      <c r="R2281" s="149"/>
      <c r="S2281" s="149"/>
      <c r="T2281" s="141">
        <v>900000.0</v>
      </c>
      <c r="U2281" s="149"/>
      <c r="V2281" s="149"/>
      <c r="W2281" s="149"/>
      <c r="X2281" s="64" t="s">
        <v>8334</v>
      </c>
      <c r="Y2281" s="68"/>
      <c r="Z2281" s="68"/>
    </row>
    <row r="2282" ht="15.0" customHeight="1">
      <c r="A2282" s="206">
        <v>46081.0</v>
      </c>
      <c r="B2282" s="201" t="s">
        <v>8359</v>
      </c>
      <c r="C2282" s="45" t="s">
        <v>3130</v>
      </c>
      <c r="D2282" s="140" t="str">
        <f>IFERROR(VLOOKUP(C2282,Stock,3,FALSE),"")</f>
        <v>Toyota Innova 04-15 1st Gen</v>
      </c>
      <c r="E2282" s="45">
        <v>1.0</v>
      </c>
      <c r="F2282" s="198">
        <v>1320000.0</v>
      </c>
      <c r="G2282" s="142">
        <f t="shared" si="68"/>
        <v>1320000</v>
      </c>
      <c r="H2282" s="142"/>
      <c r="I2282" s="143">
        <f t="shared" si="65"/>
        <v>1320000</v>
      </c>
      <c r="J2282" s="144">
        <f t="shared" si="70"/>
        <v>1320000</v>
      </c>
      <c r="K2282" s="108" t="s">
        <v>8360</v>
      </c>
      <c r="L2282" s="199" t="s">
        <v>8361</v>
      </c>
      <c r="M2282" s="17"/>
      <c r="N2282" s="64" t="s">
        <v>8362</v>
      </c>
      <c r="O2282" s="68"/>
      <c r="P2282" s="170"/>
      <c r="Q2282" s="149"/>
      <c r="R2282" s="149"/>
      <c r="S2282" s="149"/>
      <c r="T2282" s="141">
        <v>1320000.0</v>
      </c>
      <c r="U2282" s="149"/>
      <c r="V2282" s="149"/>
      <c r="W2282" s="149"/>
      <c r="X2282" s="64" t="s">
        <v>8334</v>
      </c>
      <c r="Y2282" s="68"/>
      <c r="Z2282" s="68"/>
    </row>
    <row r="2283" ht="15.0" customHeight="1">
      <c r="A2283" s="249">
        <v>46081.0</v>
      </c>
      <c r="B2283" s="250" t="s">
        <v>8363</v>
      </c>
      <c r="C2283" s="260" t="s">
        <v>4129</v>
      </c>
      <c r="D2283" s="252" t="str">
        <f>IFERROR(VLOOKUP(C2283,Stock,3,FALSE),"")</f>
        <v>Honda Civic 05-11 8th Gen (Civic Batman FD)</v>
      </c>
      <c r="E2283" s="251">
        <v>1.0</v>
      </c>
      <c r="F2283" s="253">
        <v>1105000.0</v>
      </c>
      <c r="G2283" s="254">
        <f t="shared" si="68"/>
        <v>1105000</v>
      </c>
      <c r="H2283" s="254"/>
      <c r="I2283" s="255">
        <f t="shared" si="65"/>
        <v>1105000</v>
      </c>
      <c r="J2283" s="256">
        <f t="shared" si="70"/>
        <v>1105000</v>
      </c>
      <c r="K2283" s="257" t="s">
        <v>8364</v>
      </c>
      <c r="L2283" s="259"/>
      <c r="M2283" s="259"/>
      <c r="N2283" s="372"/>
      <c r="O2283" s="372"/>
      <c r="P2283" s="261"/>
      <c r="Q2283" s="262"/>
      <c r="R2283" s="262"/>
      <c r="S2283" s="262"/>
      <c r="T2283" s="262"/>
      <c r="U2283" s="262"/>
      <c r="V2283" s="262"/>
      <c r="W2283" s="262"/>
      <c r="X2283" s="372"/>
      <c r="Y2283" s="372"/>
      <c r="Z2283" s="372"/>
    </row>
    <row r="2284" ht="15.0" customHeight="1">
      <c r="A2284" s="206">
        <v>46081.0</v>
      </c>
      <c r="B2284" s="201" t="s">
        <v>8365</v>
      </c>
      <c r="C2284" s="45" t="s">
        <v>4129</v>
      </c>
      <c r="D2284" s="140" t="str">
        <f>IFERROR(VLOOKUP(C2284,Stock,3,FALSE),"")</f>
        <v>Honda Civic 05-11 8th Gen (Civic Batman FD)</v>
      </c>
      <c r="E2284" s="45">
        <v>1.0</v>
      </c>
      <c r="F2284" s="198">
        <v>1836000.0</v>
      </c>
      <c r="G2284" s="142">
        <f t="shared" si="68"/>
        <v>1836000</v>
      </c>
      <c r="H2284" s="143">
        <v>36000.0</v>
      </c>
      <c r="I2284" s="143">
        <f t="shared" si="65"/>
        <v>1800000</v>
      </c>
      <c r="J2284" s="144">
        <f t="shared" si="70"/>
        <v>1800000</v>
      </c>
      <c r="K2284" s="108" t="s">
        <v>8366</v>
      </c>
      <c r="L2284" s="199" t="s">
        <v>8367</v>
      </c>
      <c r="M2284" s="17"/>
      <c r="N2284" s="64" t="s">
        <v>8368</v>
      </c>
      <c r="O2284" s="68"/>
      <c r="P2284" s="170"/>
      <c r="Q2284" s="149"/>
      <c r="R2284" s="149"/>
      <c r="S2284" s="149"/>
      <c r="T2284" s="141">
        <v>1800000.0</v>
      </c>
      <c r="U2284" s="149"/>
      <c r="V2284" s="149"/>
      <c r="W2284" s="149"/>
      <c r="X2284" s="64"/>
      <c r="Y2284" s="68"/>
      <c r="Z2284" s="68"/>
    </row>
    <row r="2285" ht="15.0" customHeight="1">
      <c r="A2285" s="206">
        <v>45716.0</v>
      </c>
      <c r="B2285" s="201" t="s">
        <v>8369</v>
      </c>
      <c r="C2285" s="64" t="s">
        <v>3029</v>
      </c>
      <c r="D2285" s="140" t="str">
        <f>IFERROR(VLOOKUP(C2285,Stock,3,FALSE),"")</f>
        <v>Mitsubishi Canter FE700 01- (PS110,125)</v>
      </c>
      <c r="E2285" s="45">
        <v>1.0</v>
      </c>
      <c r="F2285" s="198">
        <v>1100000.0</v>
      </c>
      <c r="G2285" s="142">
        <f t="shared" si="68"/>
        <v>1100000</v>
      </c>
      <c r="H2285" s="143">
        <v>50000.0</v>
      </c>
      <c r="I2285" s="143">
        <f t="shared" si="65"/>
        <v>1050000</v>
      </c>
      <c r="J2285" s="144">
        <f t="shared" si="70"/>
        <v>1050000</v>
      </c>
      <c r="K2285" s="108" t="s">
        <v>8370</v>
      </c>
      <c r="L2285" s="199" t="s">
        <v>8371</v>
      </c>
      <c r="M2285" s="17"/>
      <c r="N2285" s="64" t="s">
        <v>8372</v>
      </c>
      <c r="O2285" s="68"/>
      <c r="P2285" s="170"/>
      <c r="Q2285" s="141">
        <v>1050000.0</v>
      </c>
      <c r="R2285" s="149"/>
      <c r="S2285" s="149"/>
      <c r="T2285" s="149"/>
      <c r="U2285" s="149"/>
      <c r="V2285" s="149"/>
      <c r="W2285" s="149"/>
      <c r="X2285" s="64" t="s">
        <v>8232</v>
      </c>
      <c r="Y2285" s="68"/>
      <c r="Z2285" s="68"/>
    </row>
    <row r="2286" ht="15.0" customHeight="1">
      <c r="A2286" s="206">
        <v>46080.0</v>
      </c>
      <c r="B2286" s="201" t="s">
        <v>8373</v>
      </c>
      <c r="C2286" s="45" t="s">
        <v>8374</v>
      </c>
      <c r="D2286" s="140" t="str">
        <f>IFERROR(VLOOKUP(C2286,Stock,3,FALSE),"")</f>
        <v>Mers-Benz Axor 98- Truck</v>
      </c>
      <c r="E2286" s="45">
        <v>1.0</v>
      </c>
      <c r="F2286" s="198">
        <v>3299000.0</v>
      </c>
      <c r="G2286" s="142">
        <f t="shared" si="68"/>
        <v>3299000</v>
      </c>
      <c r="H2286" s="142"/>
      <c r="I2286" s="143">
        <f t="shared" si="65"/>
        <v>3299000</v>
      </c>
      <c r="J2286" s="144">
        <f t="shared" si="70"/>
        <v>3299000</v>
      </c>
      <c r="K2286" s="108" t="s">
        <v>4288</v>
      </c>
      <c r="L2286" s="199" t="s">
        <v>8375</v>
      </c>
      <c r="M2286" s="17"/>
      <c r="N2286" s="64" t="s">
        <v>8376</v>
      </c>
      <c r="O2286" s="68"/>
      <c r="P2286" s="170"/>
      <c r="Q2286" s="149"/>
      <c r="R2286" s="149"/>
      <c r="S2286" s="141">
        <v>1649000.0</v>
      </c>
      <c r="T2286" s="141">
        <v>1649000.0</v>
      </c>
      <c r="U2286" s="149"/>
      <c r="V2286" s="149"/>
      <c r="W2286" s="149"/>
      <c r="X2286" s="64" t="s">
        <v>8232</v>
      </c>
      <c r="Y2286" s="68"/>
      <c r="Z2286" s="68"/>
    </row>
    <row r="2287" ht="15.0" customHeight="1">
      <c r="A2287" s="206">
        <v>46080.0</v>
      </c>
      <c r="B2287" s="201" t="s">
        <v>8373</v>
      </c>
      <c r="C2287" s="45" t="s">
        <v>2770</v>
      </c>
      <c r="D2287" s="140" t="str">
        <f>IFERROR(VLOOKUP(C2287,Stock,3,FALSE),"")</f>
        <v>Transport</v>
      </c>
      <c r="E2287" s="45">
        <v>1.0</v>
      </c>
      <c r="F2287" s="198">
        <v>1100000.0</v>
      </c>
      <c r="G2287" s="142">
        <f t="shared" si="68"/>
        <v>1100000</v>
      </c>
      <c r="H2287" s="142"/>
      <c r="I2287" s="143">
        <f t="shared" si="65"/>
        <v>1100000</v>
      </c>
      <c r="J2287" s="144">
        <f t="shared" si="70"/>
        <v>1100000</v>
      </c>
      <c r="K2287" s="108" t="s">
        <v>4288</v>
      </c>
      <c r="L2287" s="199" t="s">
        <v>8375</v>
      </c>
      <c r="M2287" s="17"/>
      <c r="N2287" s="64"/>
      <c r="O2287" s="68"/>
      <c r="P2287" s="170"/>
      <c r="Q2287" s="149"/>
      <c r="R2287" s="149"/>
      <c r="S2287" s="149"/>
      <c r="T2287" s="149"/>
      <c r="U2287" s="149"/>
      <c r="V2287" s="149"/>
      <c r="W2287" s="149"/>
      <c r="X2287" s="64" t="s">
        <v>8232</v>
      </c>
      <c r="Y2287" s="68"/>
      <c r="Z2287" s="68"/>
    </row>
    <row r="2288" ht="15.0" customHeight="1">
      <c r="A2288" s="206">
        <v>46081.0</v>
      </c>
      <c r="B2288" s="201" t="s">
        <v>8377</v>
      </c>
      <c r="C2288" s="17" t="s">
        <v>2797</v>
      </c>
      <c r="D2288" s="140" t="str">
        <f>IFERROR(VLOOKUP(C2288,Stock,3,FALSE),"")</f>
        <v>Toyota Calya / Sigra 16-</v>
      </c>
      <c r="E2288" s="45">
        <v>1.0</v>
      </c>
      <c r="F2288" s="198">
        <v>500000.0</v>
      </c>
      <c r="G2288" s="142">
        <f t="shared" si="68"/>
        <v>500000</v>
      </c>
      <c r="H2288" s="142"/>
      <c r="I2288" s="143">
        <f t="shared" si="65"/>
        <v>500000</v>
      </c>
      <c r="J2288" s="144">
        <f t="shared" si="70"/>
        <v>500000</v>
      </c>
      <c r="K2288" s="108" t="s">
        <v>8378</v>
      </c>
      <c r="L2288" s="45" t="s">
        <v>8379</v>
      </c>
      <c r="M2288" s="17"/>
      <c r="N2288" s="64" t="s">
        <v>8380</v>
      </c>
      <c r="O2288" s="68"/>
      <c r="P2288" s="170"/>
      <c r="Q2288" s="141">
        <v>500000.0</v>
      </c>
      <c r="R2288" s="149"/>
      <c r="S2288" s="149"/>
      <c r="T2288" s="149"/>
      <c r="U2288" s="149"/>
      <c r="V2288" s="149"/>
      <c r="W2288" s="149"/>
      <c r="X2288" s="64" t="s">
        <v>8219</v>
      </c>
      <c r="Y2288" s="68"/>
      <c r="Z2288" s="68"/>
    </row>
    <row r="2289" ht="15.0" customHeight="1">
      <c r="A2289" s="265" t="s">
        <v>8381</v>
      </c>
      <c r="B2289" s="266" t="s">
        <v>8382</v>
      </c>
      <c r="C2289" s="269" t="s">
        <v>3475</v>
      </c>
      <c r="D2289" s="268" t="str">
        <f>IFERROR(VLOOKUP(C2289,Stock,3,FALSE),"")</f>
        <v>Toyota Avanza / Xenia 03-11 1st Gen</v>
      </c>
      <c r="E2289" s="269">
        <v>1.0</v>
      </c>
      <c r="F2289" s="270"/>
      <c r="G2289" s="271">
        <f t="shared" si="68"/>
        <v>0</v>
      </c>
      <c r="H2289" s="271"/>
      <c r="I2289" s="272">
        <f t="shared" si="65"/>
        <v>0</v>
      </c>
      <c r="J2289" s="273">
        <f t="shared" si="70"/>
        <v>0</v>
      </c>
      <c r="K2289" s="424"/>
      <c r="L2289" s="274"/>
      <c r="M2289" s="274"/>
      <c r="N2289" s="275"/>
      <c r="O2289" s="278" t="s">
        <v>4509</v>
      </c>
      <c r="P2289" s="276"/>
      <c r="Q2289" s="277"/>
      <c r="R2289" s="277"/>
      <c r="S2289" s="277"/>
      <c r="T2289" s="277"/>
      <c r="U2289" s="277"/>
      <c r="V2289" s="277"/>
      <c r="W2289" s="277"/>
      <c r="X2289" s="275"/>
      <c r="Y2289" s="68"/>
      <c r="Z2289" s="68"/>
    </row>
    <row r="2290" ht="15.0" customHeight="1">
      <c r="A2290" s="265">
        <v>46081.0</v>
      </c>
      <c r="B2290" s="266" t="s">
        <v>8382</v>
      </c>
      <c r="C2290" s="269" t="s">
        <v>3193</v>
      </c>
      <c r="D2290" s="268" t="str">
        <f>IFERROR(VLOOKUP(C2290,Stock,3,FALSE),"")</f>
        <v>Toyota Avanza / Xenia 11-15 2nd Gen</v>
      </c>
      <c r="E2290" s="269">
        <v>2.0</v>
      </c>
      <c r="F2290" s="270"/>
      <c r="G2290" s="271">
        <f t="shared" si="68"/>
        <v>0</v>
      </c>
      <c r="H2290" s="271"/>
      <c r="I2290" s="272">
        <f t="shared" si="65"/>
        <v>0</v>
      </c>
      <c r="J2290" s="273">
        <f t="shared" si="70"/>
        <v>0</v>
      </c>
      <c r="K2290" s="424"/>
      <c r="L2290" s="274"/>
      <c r="M2290" s="274"/>
      <c r="N2290" s="275"/>
      <c r="O2290" s="278" t="s">
        <v>4509</v>
      </c>
      <c r="P2290" s="276"/>
      <c r="Q2290" s="277"/>
      <c r="R2290" s="277"/>
      <c r="S2290" s="277"/>
      <c r="T2290" s="277"/>
      <c r="U2290" s="277"/>
      <c r="V2290" s="277"/>
      <c r="W2290" s="277"/>
      <c r="X2290" s="275"/>
      <c r="Y2290" s="68"/>
      <c r="Z2290" s="68"/>
    </row>
    <row r="2291" ht="15.0" customHeight="1">
      <c r="A2291" s="265">
        <v>46081.0</v>
      </c>
      <c r="B2291" s="266" t="s">
        <v>8382</v>
      </c>
      <c r="C2291" s="269" t="s">
        <v>7427</v>
      </c>
      <c r="D2291" s="268" t="str">
        <f>IFERROR(VLOOKUP(C2291,Stock,3,FALSE),"")</f>
        <v>Nissan Livina 07-18 L10/L11</v>
      </c>
      <c r="E2291" s="269">
        <v>2.0</v>
      </c>
      <c r="F2291" s="270"/>
      <c r="G2291" s="271">
        <f t="shared" si="68"/>
        <v>0</v>
      </c>
      <c r="H2291" s="271"/>
      <c r="I2291" s="272">
        <f t="shared" si="65"/>
        <v>0</v>
      </c>
      <c r="J2291" s="273">
        <f t="shared" si="70"/>
        <v>0</v>
      </c>
      <c r="K2291" s="424"/>
      <c r="L2291" s="274"/>
      <c r="M2291" s="274"/>
      <c r="N2291" s="275"/>
      <c r="O2291" s="278" t="s">
        <v>4509</v>
      </c>
      <c r="P2291" s="276"/>
      <c r="Q2291" s="277"/>
      <c r="R2291" s="277"/>
      <c r="S2291" s="277"/>
      <c r="T2291" s="277"/>
      <c r="U2291" s="277"/>
      <c r="V2291" s="277"/>
      <c r="W2291" s="277"/>
      <c r="X2291" s="275"/>
      <c r="Y2291" s="68"/>
      <c r="Z2291" s="68"/>
    </row>
    <row r="2292" ht="15.0" customHeight="1">
      <c r="A2292" s="265">
        <v>46081.0</v>
      </c>
      <c r="B2292" s="266" t="s">
        <v>8382</v>
      </c>
      <c r="C2292" s="269" t="s">
        <v>3246</v>
      </c>
      <c r="D2292" s="268" t="str">
        <f>IFERROR(VLOOKUP(C2292,Stock,3,FALSE),"")</f>
        <v>Toyota Calya / Sigra 16-</v>
      </c>
      <c r="E2292" s="269">
        <v>2.0</v>
      </c>
      <c r="F2292" s="270"/>
      <c r="G2292" s="271">
        <f t="shared" si="68"/>
        <v>0</v>
      </c>
      <c r="H2292" s="271"/>
      <c r="I2292" s="272">
        <f t="shared" si="65"/>
        <v>0</v>
      </c>
      <c r="J2292" s="273">
        <f t="shared" si="70"/>
        <v>0</v>
      </c>
      <c r="K2292" s="424"/>
      <c r="L2292" s="274"/>
      <c r="M2292" s="274"/>
      <c r="N2292" s="275"/>
      <c r="O2292" s="278" t="s">
        <v>4509</v>
      </c>
      <c r="P2292" s="276"/>
      <c r="Q2292" s="277"/>
      <c r="R2292" s="277"/>
      <c r="S2292" s="277"/>
      <c r="T2292" s="277"/>
      <c r="U2292" s="277"/>
      <c r="V2292" s="277"/>
      <c r="W2292" s="277"/>
      <c r="X2292" s="275"/>
      <c r="Y2292" s="68"/>
      <c r="Z2292" s="68"/>
    </row>
    <row r="2293" ht="15.0" customHeight="1">
      <c r="A2293" s="206">
        <v>46083.0</v>
      </c>
      <c r="B2293" s="201" t="s">
        <v>8383</v>
      </c>
      <c r="C2293" s="64" t="s">
        <v>4001</v>
      </c>
      <c r="D2293" s="140" t="str">
        <f>IFERROR(VLOOKUP(C2293,Stock,3,FALSE),"")</f>
        <v>Daihatsu Gran Max Minibus/Van</v>
      </c>
      <c r="E2293" s="45">
        <v>1.0</v>
      </c>
      <c r="F2293" s="198">
        <v>762000.0</v>
      </c>
      <c r="G2293" s="142">
        <f t="shared" si="68"/>
        <v>762000</v>
      </c>
      <c r="H2293" s="142"/>
      <c r="I2293" s="143">
        <f t="shared" si="65"/>
        <v>762000</v>
      </c>
      <c r="J2293" s="144">
        <f t="shared" si="70"/>
        <v>762000</v>
      </c>
      <c r="K2293" s="108" t="s">
        <v>8384</v>
      </c>
      <c r="L2293" s="199" t="s">
        <v>8385</v>
      </c>
      <c r="M2293" s="17"/>
      <c r="N2293" s="64" t="s">
        <v>8386</v>
      </c>
      <c r="O2293" s="68"/>
      <c r="P2293" s="170"/>
      <c r="Q2293" s="149"/>
      <c r="R2293" s="149"/>
      <c r="S2293" s="149"/>
      <c r="T2293" s="141">
        <v>962000.0</v>
      </c>
      <c r="U2293" s="149"/>
      <c r="V2293" s="149"/>
      <c r="W2293" s="149"/>
      <c r="X2293" s="64" t="s">
        <v>8219</v>
      </c>
      <c r="Y2293" s="68"/>
      <c r="Z2293" s="68"/>
    </row>
    <row r="2294" ht="15.0" customHeight="1">
      <c r="A2294" s="206">
        <v>46083.0</v>
      </c>
      <c r="B2294" s="201" t="s">
        <v>8383</v>
      </c>
      <c r="C2294" s="45" t="s">
        <v>7011</v>
      </c>
      <c r="D2294" s="140" t="str">
        <f>IFERROR(VLOOKUP(C2294,Stock,3,FALSE),"")</f>
        <v>Automotive Film Standard - Black 40%				</v>
      </c>
      <c r="E2294" s="45">
        <v>1.0</v>
      </c>
      <c r="F2294" s="198">
        <v>200000.0</v>
      </c>
      <c r="G2294" s="142">
        <f t="shared" si="68"/>
        <v>200000</v>
      </c>
      <c r="H2294" s="142"/>
      <c r="I2294" s="143">
        <f t="shared" si="65"/>
        <v>200000</v>
      </c>
      <c r="J2294" s="144">
        <f t="shared" si="70"/>
        <v>200000</v>
      </c>
      <c r="K2294" s="108" t="s">
        <v>8384</v>
      </c>
      <c r="L2294" s="45" t="s">
        <v>8387</v>
      </c>
      <c r="M2294" s="17"/>
      <c r="N2294" s="64"/>
      <c r="O2294" s="68"/>
      <c r="P2294" s="170"/>
      <c r="Q2294" s="149"/>
      <c r="R2294" s="149"/>
      <c r="S2294" s="149"/>
      <c r="T2294" s="149"/>
      <c r="U2294" s="149"/>
      <c r="V2294" s="149"/>
      <c r="W2294" s="149"/>
      <c r="X2294" s="64" t="s">
        <v>8388</v>
      </c>
      <c r="Y2294" s="68"/>
      <c r="Z2294" s="68"/>
    </row>
    <row r="2295" ht="15.0" customHeight="1">
      <c r="A2295" s="206">
        <v>46083.0</v>
      </c>
      <c r="B2295" s="201" t="s">
        <v>8389</v>
      </c>
      <c r="C2295" s="45" t="s">
        <v>7320</v>
      </c>
      <c r="D2295" s="140" t="str">
        <f>IFERROR(VLOOKUP(C2295,Stock,3,FALSE),"")</f>
        <v>Wuling Confero (Tanpa Spionnya)</v>
      </c>
      <c r="E2295" s="45">
        <v>1.0</v>
      </c>
      <c r="F2295" s="198">
        <v>1390000.0</v>
      </c>
      <c r="G2295" s="142">
        <f t="shared" si="68"/>
        <v>1390000</v>
      </c>
      <c r="H2295" s="142"/>
      <c r="I2295" s="143">
        <f t="shared" si="65"/>
        <v>1390000</v>
      </c>
      <c r="J2295" s="144">
        <f t="shared" si="70"/>
        <v>1390000</v>
      </c>
      <c r="K2295" s="108" t="s">
        <v>8390</v>
      </c>
      <c r="L2295" s="199" t="s">
        <v>8391</v>
      </c>
      <c r="M2295" s="17"/>
      <c r="N2295" s="64" t="s">
        <v>8392</v>
      </c>
      <c r="O2295" s="68"/>
      <c r="P2295" s="170"/>
      <c r="Q2295" s="149"/>
      <c r="R2295" s="149"/>
      <c r="S2295" s="141">
        <v>100000.0</v>
      </c>
      <c r="T2295" s="141">
        <v>1290000.0</v>
      </c>
      <c r="U2295" s="149"/>
      <c r="V2295" s="149"/>
      <c r="W2295" s="149"/>
      <c r="X2295" s="64" t="s">
        <v>8232</v>
      </c>
      <c r="Y2295" s="68"/>
      <c r="Z2295" s="68"/>
    </row>
    <row r="2296" ht="15.0" customHeight="1">
      <c r="A2296" s="206">
        <v>46083.0</v>
      </c>
      <c r="B2296" s="201" t="s">
        <v>8393</v>
      </c>
      <c r="C2296" s="45" t="s">
        <v>4504</v>
      </c>
      <c r="D2296" s="140" t="str">
        <f>IFERROR(VLOOKUP(C2296,Stock,3,FALSE),"")</f>
        <v>Mitsubishi Xpander 17-21 / Livina 19- 2nd Gen (Mitsubishi)</v>
      </c>
      <c r="E2296" s="45">
        <v>1.0</v>
      </c>
      <c r="F2296" s="198">
        <v>1322000.0</v>
      </c>
      <c r="G2296" s="142">
        <f t="shared" si="68"/>
        <v>1322000</v>
      </c>
      <c r="H2296" s="143">
        <v>72000.0</v>
      </c>
      <c r="I2296" s="143">
        <f t="shared" si="65"/>
        <v>1250000</v>
      </c>
      <c r="J2296" s="144">
        <f t="shared" si="70"/>
        <v>1250000</v>
      </c>
      <c r="K2296" s="108" t="s">
        <v>8394</v>
      </c>
      <c r="L2296" s="199" t="s">
        <v>8395</v>
      </c>
      <c r="M2296" s="17"/>
      <c r="N2296" s="64" t="s">
        <v>8396</v>
      </c>
      <c r="O2296" s="68"/>
      <c r="P2296" s="170"/>
      <c r="Q2296" s="141">
        <v>1500000.0</v>
      </c>
      <c r="R2296" s="141"/>
      <c r="S2296" s="149"/>
      <c r="T2296" s="149"/>
      <c r="U2296" s="149"/>
      <c r="V2296" s="149"/>
      <c r="W2296" s="149"/>
      <c r="X2296" s="64" t="s">
        <v>7976</v>
      </c>
      <c r="Y2296" s="68"/>
      <c r="Z2296" s="68"/>
    </row>
    <row r="2297" ht="15.0" customHeight="1">
      <c r="A2297" s="206">
        <v>46083.0</v>
      </c>
      <c r="B2297" s="201" t="s">
        <v>8393</v>
      </c>
      <c r="C2297" s="45" t="s">
        <v>5254</v>
      </c>
      <c r="D2297" s="140" t="str">
        <f>IFERROR(VLOOKUP(C2297,Stock,3,FALSE),"")</f>
        <v>Automotive Film Standard - Black 40%				</v>
      </c>
      <c r="E2297" s="45">
        <v>1.0</v>
      </c>
      <c r="F2297" s="198">
        <v>250000.0</v>
      </c>
      <c r="G2297" s="142">
        <f t="shared" si="68"/>
        <v>250000</v>
      </c>
      <c r="H2297" s="142"/>
      <c r="I2297" s="143">
        <f t="shared" si="65"/>
        <v>250000</v>
      </c>
      <c r="J2297" s="144">
        <f t="shared" si="70"/>
        <v>250000</v>
      </c>
      <c r="K2297" s="108" t="s">
        <v>8394</v>
      </c>
      <c r="L2297" s="199" t="s">
        <v>8395</v>
      </c>
      <c r="M2297" s="17"/>
      <c r="N2297" s="68"/>
      <c r="O2297" s="68"/>
      <c r="P2297" s="170"/>
      <c r="Q2297" s="149"/>
      <c r="R2297" s="149"/>
      <c r="S2297" s="149"/>
      <c r="T2297" s="149"/>
      <c r="U2297" s="149"/>
      <c r="V2297" s="149"/>
      <c r="W2297" s="149"/>
      <c r="X2297" s="68"/>
      <c r="Y2297" s="68"/>
      <c r="Z2297" s="68"/>
    </row>
    <row r="2298" ht="15.0" customHeight="1">
      <c r="A2298" s="206">
        <v>46083.0</v>
      </c>
      <c r="B2298" s="201" t="s">
        <v>8397</v>
      </c>
      <c r="C2298" s="64" t="s">
        <v>8398</v>
      </c>
      <c r="D2298" s="140" t="str">
        <f>IFERROR(VLOOKUP(C2298,Stock,3,FALSE),"")</f>
        <v>Toyota Rush / Terios 06-17 (Toyota/Daihatsu)</v>
      </c>
      <c r="E2298" s="45">
        <v>1.0</v>
      </c>
      <c r="F2298" s="198">
        <v>2359000.0</v>
      </c>
      <c r="G2298" s="142">
        <f t="shared" si="68"/>
        <v>2359000</v>
      </c>
      <c r="H2298" s="142"/>
      <c r="I2298" s="143">
        <f t="shared" si="65"/>
        <v>2359000</v>
      </c>
      <c r="J2298" s="144">
        <f t="shared" si="70"/>
        <v>2359000</v>
      </c>
      <c r="K2298" s="108" t="s">
        <v>4288</v>
      </c>
      <c r="L2298" s="199" t="s">
        <v>5927</v>
      </c>
      <c r="M2298" s="17"/>
      <c r="N2298" s="64" t="s">
        <v>8399</v>
      </c>
      <c r="O2298" s="68"/>
      <c r="P2298" s="170"/>
      <c r="Q2298" s="149"/>
      <c r="R2298" s="149"/>
      <c r="S2298" s="149"/>
      <c r="T2298" s="141">
        <v>2359000.0</v>
      </c>
      <c r="U2298" s="149"/>
      <c r="V2298" s="149"/>
      <c r="W2298" s="149"/>
      <c r="X2298" s="64" t="s">
        <v>8219</v>
      </c>
      <c r="Y2298" s="68"/>
      <c r="Z2298" s="68"/>
    </row>
    <row r="2299" ht="15.0" customHeight="1">
      <c r="A2299" s="206">
        <v>46083.0</v>
      </c>
      <c r="B2299" s="398" t="s">
        <v>8400</v>
      </c>
      <c r="C2299" s="45" t="s">
        <v>8401</v>
      </c>
      <c r="D2299" s="140" t="str">
        <f>IFERROR(VLOOKUP(C2299,Stock,3,FALSE),"")</f>
        <v>Subaru Forester 22- (3 Sensor / /\ [] /\ ) (Subaru)</v>
      </c>
      <c r="E2299" s="45">
        <v>1.0</v>
      </c>
      <c r="F2299" s="198">
        <v>3.195E7</v>
      </c>
      <c r="G2299" s="142">
        <f t="shared" si="68"/>
        <v>31950000</v>
      </c>
      <c r="H2299" s="142"/>
      <c r="I2299" s="143">
        <f t="shared" si="65"/>
        <v>31950000</v>
      </c>
      <c r="J2299" s="144">
        <f t="shared" si="70"/>
        <v>31950000</v>
      </c>
      <c r="K2299" s="108" t="s">
        <v>8402</v>
      </c>
      <c r="L2299" s="17"/>
      <c r="M2299" s="17"/>
      <c r="N2299" s="68"/>
      <c r="O2299" s="68"/>
      <c r="P2299" s="170"/>
      <c r="Q2299" s="149"/>
      <c r="R2299" s="149"/>
      <c r="S2299" s="149"/>
      <c r="T2299" s="149"/>
      <c r="U2299" s="149"/>
      <c r="V2299" s="149"/>
      <c r="W2299" s="149"/>
      <c r="X2299" s="68"/>
      <c r="Y2299" s="68"/>
      <c r="Z2299" s="68"/>
    </row>
    <row r="2300" ht="15.0" customHeight="1">
      <c r="A2300" s="206">
        <v>46083.0</v>
      </c>
      <c r="B2300" s="201" t="s">
        <v>8403</v>
      </c>
      <c r="C2300" s="45" t="s">
        <v>4447</v>
      </c>
      <c r="D2300" s="140" t="str">
        <f>IFERROR(VLOOKUP(C2300,Stock,3,FALSE),"")</f>
        <v>Isuzu Elf 17- New NMR NLR</v>
      </c>
      <c r="E2300" s="45">
        <v>1.0</v>
      </c>
      <c r="F2300" s="198">
        <v>1200000.0</v>
      </c>
      <c r="G2300" s="142">
        <f t="shared" si="68"/>
        <v>1200000</v>
      </c>
      <c r="H2300" s="142"/>
      <c r="I2300" s="143">
        <f t="shared" si="65"/>
        <v>1200000</v>
      </c>
      <c r="J2300" s="144">
        <f t="shared" si="70"/>
        <v>1200000</v>
      </c>
      <c r="K2300" s="108" t="s">
        <v>8404</v>
      </c>
      <c r="L2300" s="199" t="s">
        <v>8405</v>
      </c>
      <c r="M2300" s="17"/>
      <c r="N2300" s="64" t="s">
        <v>8406</v>
      </c>
      <c r="O2300" s="68"/>
      <c r="P2300" s="170"/>
      <c r="Q2300" s="149"/>
      <c r="R2300" s="149"/>
      <c r="S2300" s="149"/>
      <c r="T2300" s="141">
        <v>1200000.0</v>
      </c>
      <c r="U2300" s="149"/>
      <c r="V2300" s="149"/>
      <c r="W2300" s="149"/>
      <c r="X2300" s="64" t="s">
        <v>7976</v>
      </c>
      <c r="Y2300" s="68"/>
      <c r="Z2300" s="68"/>
    </row>
    <row r="2301" ht="15.0" customHeight="1">
      <c r="A2301" s="206">
        <v>46083.0</v>
      </c>
      <c r="B2301" s="201" t="s">
        <v>8407</v>
      </c>
      <c r="C2301" s="45" t="s">
        <v>8408</v>
      </c>
      <c r="D2301" s="140" t="str">
        <f>IFERROR(VLOOKUP(C2301,Stock,3,FALSE),"")</f>
        <v>Suzuki APV 03- Van</v>
      </c>
      <c r="E2301" s="45">
        <v>1.0</v>
      </c>
      <c r="F2301" s="198">
        <v>450000.0</v>
      </c>
      <c r="G2301" s="142">
        <f t="shared" si="68"/>
        <v>450000</v>
      </c>
      <c r="H2301" s="142"/>
      <c r="I2301" s="143">
        <f t="shared" si="65"/>
        <v>450000</v>
      </c>
      <c r="J2301" s="144">
        <f t="shared" si="70"/>
        <v>450000</v>
      </c>
      <c r="K2301" s="108" t="s">
        <v>8409</v>
      </c>
      <c r="L2301" s="199" t="s">
        <v>8410</v>
      </c>
      <c r="M2301" s="17"/>
      <c r="N2301" s="68"/>
      <c r="O2301" s="68"/>
      <c r="P2301" s="170"/>
      <c r="Q2301" s="141">
        <v>525000.0</v>
      </c>
      <c r="R2301" s="149"/>
      <c r="S2301" s="149"/>
      <c r="T2301" s="149"/>
      <c r="U2301" s="149"/>
      <c r="V2301" s="149"/>
      <c r="W2301" s="149"/>
      <c r="X2301" s="64" t="s">
        <v>8334</v>
      </c>
      <c r="Y2301" s="68"/>
      <c r="Z2301" s="68"/>
    </row>
    <row r="2302" ht="15.0" customHeight="1">
      <c r="A2302" s="206">
        <v>46083.0</v>
      </c>
      <c r="B2302" s="201" t="s">
        <v>8407</v>
      </c>
      <c r="C2302" s="45" t="s">
        <v>8411</v>
      </c>
      <c r="D2302" s="140" t="str">
        <f>IFERROR(VLOOKUP(C2302,Stock,3,FALSE),"")</f>
        <v>Automotive Film Standard - Black 80%</v>
      </c>
      <c r="E2302" s="45">
        <v>1.0</v>
      </c>
      <c r="F2302" s="198">
        <v>75000.0</v>
      </c>
      <c r="G2302" s="142">
        <f t="shared" si="68"/>
        <v>75000</v>
      </c>
      <c r="H2302" s="142"/>
      <c r="I2302" s="143">
        <f t="shared" si="65"/>
        <v>75000</v>
      </c>
      <c r="J2302" s="144">
        <f t="shared" si="70"/>
        <v>75000</v>
      </c>
      <c r="K2302" s="45" t="s">
        <v>8409</v>
      </c>
      <c r="L2302" s="199" t="s">
        <v>8410</v>
      </c>
      <c r="M2302" s="17"/>
      <c r="N2302" s="68"/>
      <c r="O2302" s="68"/>
      <c r="P2302" s="170"/>
      <c r="Q2302" s="149"/>
      <c r="R2302" s="149"/>
      <c r="S2302" s="149"/>
      <c r="T2302" s="149"/>
      <c r="U2302" s="149"/>
      <c r="V2302" s="149"/>
      <c r="W2302" s="149"/>
      <c r="X2302" s="68"/>
      <c r="Y2302" s="68"/>
      <c r="Z2302" s="68"/>
    </row>
    <row r="2303" ht="15.0" customHeight="1">
      <c r="A2303" s="206">
        <v>46083.0</v>
      </c>
      <c r="B2303" s="201" t="s">
        <v>8412</v>
      </c>
      <c r="C2303" s="64" t="s">
        <v>7160</v>
      </c>
      <c r="D2303" s="140" t="str">
        <f>IFERROR(VLOOKUP(C2303,Stock,3,FALSE),"")</f>
        <v>Toyota Avanza / Xenia 11-15 2nd Gen</v>
      </c>
      <c r="E2303" s="45">
        <v>1.0</v>
      </c>
      <c r="F2303" s="198">
        <v>1000000.0</v>
      </c>
      <c r="G2303" s="142">
        <f t="shared" si="68"/>
        <v>1000000</v>
      </c>
      <c r="H2303" s="142"/>
      <c r="I2303" s="143">
        <f t="shared" si="65"/>
        <v>1000000</v>
      </c>
      <c r="J2303" s="144">
        <f t="shared" si="70"/>
        <v>1000000</v>
      </c>
      <c r="K2303" s="108" t="s">
        <v>8413</v>
      </c>
      <c r="L2303" s="199" t="s">
        <v>8414</v>
      </c>
      <c r="M2303" s="17"/>
      <c r="N2303" s="64" t="s">
        <v>8415</v>
      </c>
      <c r="O2303" s="68"/>
      <c r="P2303" s="170"/>
      <c r="Q2303" s="149"/>
      <c r="R2303" s="149"/>
      <c r="S2303" s="141">
        <v>100000.0</v>
      </c>
      <c r="T2303" s="141">
        <v>1275000.0</v>
      </c>
      <c r="U2303" s="149"/>
      <c r="V2303" s="149"/>
      <c r="W2303" s="149"/>
      <c r="X2303" s="64" t="s">
        <v>8219</v>
      </c>
      <c r="Y2303" s="68"/>
      <c r="Z2303" s="68"/>
    </row>
    <row r="2304" ht="15.0" customHeight="1">
      <c r="A2304" s="206">
        <v>46083.0</v>
      </c>
      <c r="B2304" s="201" t="s">
        <v>8412</v>
      </c>
      <c r="C2304" s="45" t="s">
        <v>2770</v>
      </c>
      <c r="D2304" s="140" t="str">
        <f>IFERROR(VLOOKUP(C2304,Stock,3,FALSE),"")</f>
        <v>Transport</v>
      </c>
      <c r="E2304" s="45">
        <v>1.0</v>
      </c>
      <c r="F2304" s="198">
        <v>100000.0</v>
      </c>
      <c r="G2304" s="142">
        <f t="shared" si="68"/>
        <v>100000</v>
      </c>
      <c r="H2304" s="142"/>
      <c r="I2304" s="143">
        <f t="shared" si="65"/>
        <v>100000</v>
      </c>
      <c r="J2304" s="144">
        <f t="shared" si="70"/>
        <v>100000</v>
      </c>
      <c r="K2304" s="108" t="s">
        <v>8413</v>
      </c>
      <c r="L2304" s="199" t="s">
        <v>8414</v>
      </c>
      <c r="M2304" s="17"/>
      <c r="N2304" s="64" t="s">
        <v>8415</v>
      </c>
      <c r="O2304" s="68"/>
      <c r="P2304" s="170"/>
      <c r="Q2304" s="149"/>
      <c r="R2304" s="149"/>
      <c r="S2304" s="149"/>
      <c r="T2304" s="149"/>
      <c r="U2304" s="149"/>
      <c r="V2304" s="149"/>
      <c r="W2304" s="149"/>
      <c r="X2304" s="68"/>
      <c r="Y2304" s="68"/>
      <c r="Z2304" s="68"/>
    </row>
    <row r="2305" ht="15.0" customHeight="1">
      <c r="A2305" s="441">
        <v>46083.0</v>
      </c>
      <c r="B2305" s="201" t="s">
        <v>8412</v>
      </c>
      <c r="C2305" s="45" t="s">
        <v>3456</v>
      </c>
      <c r="D2305" s="140" t="str">
        <f>IFERROR(VLOOKUP(C2305,Stock,3,FALSE),"")</f>
        <v>List Kaca Depan Code 11</v>
      </c>
      <c r="E2305" s="45">
        <v>1.0</v>
      </c>
      <c r="F2305" s="198">
        <v>275000.0</v>
      </c>
      <c r="G2305" s="142">
        <f t="shared" si="68"/>
        <v>275000</v>
      </c>
      <c r="H2305" s="142"/>
      <c r="I2305" s="143">
        <f t="shared" si="65"/>
        <v>275000</v>
      </c>
      <c r="J2305" s="144">
        <f t="shared" si="70"/>
        <v>275000</v>
      </c>
      <c r="K2305" s="108" t="s">
        <v>8413</v>
      </c>
      <c r="L2305" s="199" t="s">
        <v>8414</v>
      </c>
      <c r="M2305" s="17"/>
      <c r="N2305" s="64" t="s">
        <v>8415</v>
      </c>
      <c r="O2305" s="68"/>
      <c r="P2305" s="170"/>
      <c r="Q2305" s="149"/>
      <c r="R2305" s="149"/>
      <c r="S2305" s="149"/>
      <c r="T2305" s="149"/>
      <c r="U2305" s="149"/>
      <c r="V2305" s="149"/>
      <c r="W2305" s="149"/>
      <c r="X2305" s="68"/>
      <c r="Y2305" s="68"/>
      <c r="Z2305" s="68"/>
    </row>
    <row r="2306" ht="15.0" customHeight="1">
      <c r="A2306" s="265">
        <v>46084.0</v>
      </c>
      <c r="B2306" s="266" t="s">
        <v>8416</v>
      </c>
      <c r="C2306" s="269" t="s">
        <v>8417</v>
      </c>
      <c r="D2306" s="268" t="str">
        <f>IFERROR(VLOOKUP(C2306,Stock,3,FALSE),"")</f>
        <v>BMW 3 Series 12-18 F30/F35</v>
      </c>
      <c r="E2306" s="269">
        <v>1.0</v>
      </c>
      <c r="F2306" s="270"/>
      <c r="G2306" s="271">
        <f t="shared" si="68"/>
        <v>0</v>
      </c>
      <c r="H2306" s="271"/>
      <c r="I2306" s="272">
        <f t="shared" si="65"/>
        <v>0</v>
      </c>
      <c r="J2306" s="273">
        <f t="shared" si="70"/>
        <v>0</v>
      </c>
      <c r="K2306" s="267" t="s">
        <v>4509</v>
      </c>
      <c r="L2306" s="274"/>
      <c r="M2306" s="274"/>
      <c r="N2306" s="275"/>
      <c r="O2306" s="275"/>
      <c r="P2306" s="276"/>
      <c r="Q2306" s="277"/>
      <c r="R2306" s="277"/>
      <c r="S2306" s="277"/>
      <c r="T2306" s="277"/>
      <c r="U2306" s="277"/>
      <c r="V2306" s="277"/>
      <c r="W2306" s="277"/>
      <c r="X2306" s="275"/>
      <c r="Y2306" s="275"/>
      <c r="Z2306" s="275"/>
    </row>
    <row r="2307" ht="15.0" customHeight="1">
      <c r="A2307" s="206">
        <v>46084.0</v>
      </c>
      <c r="B2307" s="45" t="s">
        <v>8418</v>
      </c>
      <c r="C2307" s="45" t="s">
        <v>6637</v>
      </c>
      <c r="D2307" s="140" t="str">
        <f>IFERROR(VLOOKUP(C2307,Stock,3,FALSE),"")</f>
        <v>Chery Omoda 5 23- (2 Sensor O /\ )</v>
      </c>
      <c r="E2307" s="45">
        <v>1.0</v>
      </c>
      <c r="F2307" s="198">
        <v>4300000.0</v>
      </c>
      <c r="G2307" s="142">
        <f t="shared" si="68"/>
        <v>4300000</v>
      </c>
      <c r="H2307" s="143"/>
      <c r="I2307" s="143">
        <f t="shared" si="65"/>
        <v>4300000</v>
      </c>
      <c r="J2307" s="144">
        <f t="shared" si="70"/>
        <v>4300000</v>
      </c>
      <c r="K2307" s="108" t="s">
        <v>8419</v>
      </c>
      <c r="L2307" s="199" t="s">
        <v>8420</v>
      </c>
      <c r="M2307" s="17"/>
      <c r="N2307" s="64" t="s">
        <v>8421</v>
      </c>
      <c r="O2307" s="68"/>
      <c r="P2307" s="170"/>
      <c r="Q2307" s="141"/>
      <c r="R2307" s="149"/>
      <c r="S2307" s="141">
        <v>100000.0</v>
      </c>
      <c r="T2307" s="141">
        <v>4400000.0</v>
      </c>
      <c r="U2307" s="149"/>
      <c r="V2307" s="149"/>
      <c r="W2307" s="149"/>
      <c r="X2307" s="64" t="s">
        <v>8334</v>
      </c>
      <c r="Y2307" s="68"/>
      <c r="Z2307" s="68"/>
    </row>
    <row r="2308" ht="15.0" customHeight="1">
      <c r="A2308" s="206">
        <v>46085.0</v>
      </c>
      <c r="B2308" s="45" t="s">
        <v>8418</v>
      </c>
      <c r="C2308" s="45" t="s">
        <v>2770</v>
      </c>
      <c r="D2308" s="140" t="str">
        <f>IFERROR(VLOOKUP(C2308,Stock,3,FALSE),"")</f>
        <v>Transport</v>
      </c>
      <c r="E2308" s="45">
        <v>1.0</v>
      </c>
      <c r="F2308" s="198">
        <v>200000.0</v>
      </c>
      <c r="G2308" s="142">
        <f t="shared" si="68"/>
        <v>200000</v>
      </c>
      <c r="H2308" s="142"/>
      <c r="I2308" s="143">
        <f t="shared" si="65"/>
        <v>200000</v>
      </c>
      <c r="J2308" s="144">
        <f t="shared" si="70"/>
        <v>200000</v>
      </c>
      <c r="K2308" s="108" t="s">
        <v>8419</v>
      </c>
      <c r="L2308" s="199" t="s">
        <v>8420</v>
      </c>
      <c r="M2308" s="17"/>
      <c r="N2308" s="64" t="s">
        <v>8421</v>
      </c>
      <c r="O2308" s="68"/>
      <c r="P2308" s="170"/>
      <c r="Q2308" s="149"/>
      <c r="R2308" s="149"/>
      <c r="S2308" s="149"/>
      <c r="T2308" s="149"/>
      <c r="U2308" s="149"/>
      <c r="V2308" s="149"/>
      <c r="W2308" s="149"/>
      <c r="X2308" s="64" t="s">
        <v>8219</v>
      </c>
      <c r="Y2308" s="68"/>
      <c r="Z2308" s="68"/>
    </row>
    <row r="2309" ht="15.0" customHeight="1">
      <c r="A2309" s="206">
        <v>46084.0</v>
      </c>
      <c r="B2309" s="201" t="s">
        <v>8422</v>
      </c>
      <c r="C2309" s="45" t="s">
        <v>3858</v>
      </c>
      <c r="D2309" s="140" t="str">
        <f>IFERROR(VLOOKUP(C2309,Stock,3,FALSE),"")</f>
        <v>Daihatsu Luxio 07-</v>
      </c>
      <c r="E2309" s="45">
        <v>1.0</v>
      </c>
      <c r="F2309" s="198">
        <v>900000.0</v>
      </c>
      <c r="G2309" s="142">
        <f t="shared" si="68"/>
        <v>900000</v>
      </c>
      <c r="H2309" s="142"/>
      <c r="I2309" s="143">
        <f t="shared" si="65"/>
        <v>900000</v>
      </c>
      <c r="J2309" s="144">
        <f t="shared" si="70"/>
        <v>900000</v>
      </c>
      <c r="K2309" s="108" t="s">
        <v>7358</v>
      </c>
      <c r="L2309" s="199" t="s">
        <v>8423</v>
      </c>
      <c r="M2309" s="17"/>
      <c r="N2309" s="64" t="s">
        <v>8424</v>
      </c>
      <c r="O2309" s="68"/>
      <c r="P2309" s="170"/>
      <c r="Q2309" s="149"/>
      <c r="R2309" s="149"/>
      <c r="S2309" s="149"/>
      <c r="T2309" s="141">
        <v>900000.0</v>
      </c>
      <c r="U2309" s="149"/>
      <c r="V2309" s="149"/>
      <c r="W2309" s="149"/>
      <c r="X2309" s="64" t="s">
        <v>7976</v>
      </c>
      <c r="Y2309" s="68"/>
      <c r="Z2309" s="68"/>
    </row>
    <row r="2310" ht="15.0" customHeight="1">
      <c r="A2310" s="206">
        <v>46084.0</v>
      </c>
      <c r="B2310" s="201" t="s">
        <v>8425</v>
      </c>
      <c r="C2310" s="45" t="s">
        <v>8426</v>
      </c>
      <c r="D2310" s="140" t="str">
        <f>IFERROR(VLOOKUP(C2310,Stock,3,FALSE),"")</f>
        <v>Toyota Alphard 02-08 ANH10 1st Gen</v>
      </c>
      <c r="E2310" s="45">
        <v>1.0</v>
      </c>
      <c r="F2310" s="198">
        <v>4402000.0</v>
      </c>
      <c r="G2310" s="142">
        <f t="shared" si="68"/>
        <v>4402000</v>
      </c>
      <c r="H2310" s="143">
        <v>277000.0</v>
      </c>
      <c r="I2310" s="143">
        <f t="shared" si="65"/>
        <v>4125000</v>
      </c>
      <c r="J2310" s="144">
        <f t="shared" si="70"/>
        <v>4125000</v>
      </c>
      <c r="K2310" s="108" t="s">
        <v>8427</v>
      </c>
      <c r="L2310" s="199" t="s">
        <v>8428</v>
      </c>
      <c r="M2310" s="17"/>
      <c r="N2310" s="64" t="s">
        <v>8429</v>
      </c>
      <c r="O2310" s="68"/>
      <c r="P2310" s="170"/>
      <c r="Q2310" s="149"/>
      <c r="R2310" s="149"/>
      <c r="S2310" s="141"/>
      <c r="T2310" s="141">
        <v>4125000.0</v>
      </c>
      <c r="U2310" s="149"/>
      <c r="V2310" s="149"/>
      <c r="W2310" s="149"/>
      <c r="X2310" s="64" t="s">
        <v>8232</v>
      </c>
      <c r="Y2310" s="68"/>
      <c r="Z2310" s="68"/>
    </row>
    <row r="2311" ht="15.0" customHeight="1">
      <c r="A2311" s="206">
        <v>46084.0</v>
      </c>
      <c r="B2311" s="398" t="s">
        <v>8430</v>
      </c>
      <c r="C2311" s="64" t="s">
        <v>7265</v>
      </c>
      <c r="D2311" s="140" t="str">
        <f>IFERROR(VLOOKUP(C2311,Stock,3,FALSE),"")</f>
        <v>Hino Ranger Louhan 03- / Hino 500</v>
      </c>
      <c r="E2311" s="45">
        <v>1.0</v>
      </c>
      <c r="F2311" s="198">
        <v>1500000.0</v>
      </c>
      <c r="G2311" s="142">
        <f t="shared" si="68"/>
        <v>1500000</v>
      </c>
      <c r="H2311" s="142"/>
      <c r="I2311" s="143">
        <f t="shared" si="65"/>
        <v>1500000</v>
      </c>
      <c r="J2311" s="144">
        <f t="shared" si="70"/>
        <v>1500000</v>
      </c>
      <c r="K2311" s="108" t="s">
        <v>8431</v>
      </c>
      <c r="L2311" s="199" t="s">
        <v>6301</v>
      </c>
      <c r="M2311" s="17"/>
      <c r="N2311" s="68"/>
      <c r="O2311" s="68"/>
      <c r="P2311" s="170"/>
      <c r="Q2311" s="149"/>
      <c r="R2311" s="149"/>
      <c r="S2311" s="149"/>
      <c r="T2311" s="141">
        <v>1500000.0</v>
      </c>
      <c r="U2311" s="149"/>
      <c r="V2311" s="149"/>
      <c r="W2311" s="149"/>
      <c r="X2311" s="68"/>
      <c r="Y2311" s="68"/>
      <c r="Z2311" s="68"/>
    </row>
    <row r="2312" ht="15.0" customHeight="1">
      <c r="A2312" s="206">
        <v>46084.0</v>
      </c>
      <c r="B2312" s="201" t="s">
        <v>8432</v>
      </c>
      <c r="C2312" s="45" t="s">
        <v>2792</v>
      </c>
      <c r="D2312" s="140" t="str">
        <f>IFERROR(VLOOKUP(C2312,Stock,3,FALSE),"")</f>
        <v>Toyota Calya / Sigra 16-</v>
      </c>
      <c r="E2312" s="45">
        <v>1.0</v>
      </c>
      <c r="F2312" s="198">
        <v>818000.0</v>
      </c>
      <c r="G2312" s="142">
        <f t="shared" si="68"/>
        <v>818000</v>
      </c>
      <c r="H2312" s="142"/>
      <c r="I2312" s="143">
        <f t="shared" si="65"/>
        <v>818000</v>
      </c>
      <c r="J2312" s="144">
        <f t="shared" si="70"/>
        <v>818000</v>
      </c>
      <c r="K2312" s="108" t="s">
        <v>8433</v>
      </c>
      <c r="L2312" s="199" t="s">
        <v>6605</v>
      </c>
      <c r="M2312" s="17"/>
      <c r="N2312" s="64" t="s">
        <v>6606</v>
      </c>
      <c r="O2312" s="68"/>
      <c r="P2312" s="170"/>
      <c r="Q2312" s="141">
        <v>818000.0</v>
      </c>
      <c r="R2312" s="149"/>
      <c r="S2312" s="149"/>
      <c r="T2312" s="141"/>
      <c r="U2312" s="149"/>
      <c r="V2312" s="149"/>
      <c r="W2312" s="149"/>
      <c r="X2312" s="64" t="s">
        <v>8334</v>
      </c>
      <c r="Y2312" s="68"/>
      <c r="Z2312" s="68"/>
    </row>
    <row r="2313" ht="15.0" customHeight="1">
      <c r="A2313" s="246">
        <v>46084.0</v>
      </c>
      <c r="B2313" s="370" t="s">
        <v>8434</v>
      </c>
      <c r="C2313" s="447" t="s">
        <v>8435</v>
      </c>
      <c r="D2313" s="448" t="str">
        <f>IFERROR(VLOOKUP(C2313,Stock,3,FALSE),"")</f>
        <v>Suzuki Vitara 88-97 / Escudo / Sidekick</v>
      </c>
      <c r="E2313" s="447">
        <v>1.0</v>
      </c>
      <c r="F2313" s="449">
        <v>1350000.0</v>
      </c>
      <c r="G2313" s="450">
        <f t="shared" si="68"/>
        <v>1350000</v>
      </c>
      <c r="H2313" s="451"/>
      <c r="I2313" s="451">
        <f t="shared" si="65"/>
        <v>1350000</v>
      </c>
      <c r="J2313" s="452">
        <f t="shared" si="70"/>
        <v>1350000</v>
      </c>
      <c r="K2313" s="453" t="s">
        <v>8436</v>
      </c>
      <c r="L2313" s="454" t="s">
        <v>8437</v>
      </c>
      <c r="M2313" s="455"/>
      <c r="N2313" s="456"/>
      <c r="O2313" s="456"/>
      <c r="P2313" s="457"/>
      <c r="Q2313" s="458">
        <v>100000.0</v>
      </c>
      <c r="R2313" s="459"/>
      <c r="S2313" s="459"/>
      <c r="T2313" s="458">
        <v>1250000.0</v>
      </c>
      <c r="U2313" s="459"/>
      <c r="V2313" s="459"/>
      <c r="W2313" s="459"/>
      <c r="X2313" s="456"/>
      <c r="Y2313" s="175"/>
      <c r="Z2313" s="175"/>
    </row>
    <row r="2314" ht="15.0" customHeight="1">
      <c r="A2314" s="206">
        <v>46084.0</v>
      </c>
      <c r="B2314" s="201" t="s">
        <v>8438</v>
      </c>
      <c r="C2314" s="45" t="s">
        <v>2778</v>
      </c>
      <c r="D2314" s="140" t="str">
        <f>IFERROR(VLOOKUP(C2314,Stock,3,FALSE),"")</f>
        <v>Bongkar Pasang Kaca Mobil Depan</v>
      </c>
      <c r="E2314" s="45">
        <v>1.0</v>
      </c>
      <c r="F2314" s="198">
        <v>600000.0</v>
      </c>
      <c r="G2314" s="142">
        <f t="shared" si="68"/>
        <v>600000</v>
      </c>
      <c r="H2314" s="142"/>
      <c r="I2314" s="143">
        <f t="shared" si="65"/>
        <v>600000</v>
      </c>
      <c r="J2314" s="144">
        <f t="shared" si="70"/>
        <v>600000</v>
      </c>
      <c r="K2314" s="108" t="s">
        <v>4122</v>
      </c>
      <c r="L2314" s="199" t="s">
        <v>8439</v>
      </c>
      <c r="M2314" s="17"/>
      <c r="N2314" s="64" t="s">
        <v>8440</v>
      </c>
      <c r="O2314" s="68"/>
      <c r="P2314" s="170"/>
      <c r="Q2314" s="149"/>
      <c r="R2314" s="149"/>
      <c r="S2314" s="149"/>
      <c r="T2314" s="149"/>
      <c r="U2314" s="149"/>
      <c r="V2314" s="149"/>
      <c r="W2314" s="149"/>
      <c r="X2314" s="64" t="s">
        <v>8232</v>
      </c>
      <c r="Y2314" s="68"/>
      <c r="Z2314" s="68"/>
    </row>
    <row r="2315" ht="15.0" customHeight="1">
      <c r="A2315" s="206">
        <v>46085.0</v>
      </c>
      <c r="B2315" s="201" t="s">
        <v>8441</v>
      </c>
      <c r="C2315" s="45" t="s">
        <v>7199</v>
      </c>
      <c r="D2315" s="140" t="str">
        <f>IFERROR(VLOOKUP(C2315,Stock,3,FALSE),"")</f>
        <v>Daihatsu Gran Max / Luxio 07-</v>
      </c>
      <c r="E2315" s="45">
        <v>1.0</v>
      </c>
      <c r="F2315" s="198">
        <v>1000000.0</v>
      </c>
      <c r="G2315" s="142">
        <f t="shared" si="68"/>
        <v>1000000</v>
      </c>
      <c r="H2315" s="142"/>
      <c r="I2315" s="143">
        <f t="shared" si="65"/>
        <v>1000000</v>
      </c>
      <c r="J2315" s="144">
        <f t="shared" si="70"/>
        <v>1000000</v>
      </c>
      <c r="K2315" s="108" t="s">
        <v>8442</v>
      </c>
      <c r="L2315" s="199" t="s">
        <v>8443</v>
      </c>
      <c r="M2315" s="17"/>
      <c r="N2315" s="64" t="s">
        <v>8444</v>
      </c>
      <c r="O2315" s="68"/>
      <c r="P2315" s="170"/>
      <c r="Q2315" s="149"/>
      <c r="R2315" s="149"/>
      <c r="S2315" s="149"/>
      <c r="T2315" s="141">
        <v>1000000.0</v>
      </c>
      <c r="U2315" s="149"/>
      <c r="V2315" s="149"/>
      <c r="W2315" s="149"/>
      <c r="X2315" s="64" t="s">
        <v>7976</v>
      </c>
      <c r="Y2315" s="68"/>
      <c r="Z2315" s="68"/>
    </row>
    <row r="2316" ht="15.0" customHeight="1">
      <c r="A2316" s="206">
        <v>46085.0</v>
      </c>
      <c r="B2316" s="201" t="s">
        <v>8445</v>
      </c>
      <c r="C2316" s="45" t="s">
        <v>7318</v>
      </c>
      <c r="D2316" s="140" t="str">
        <f>IFERROR(VLOOKUP(C2316,Stock,3,FALSE),"")</f>
        <v>Toyota Avanza / Xenia 15-21 3rd Gen</v>
      </c>
      <c r="E2316" s="45">
        <v>1.0</v>
      </c>
      <c r="F2316" s="198">
        <v>999000.0</v>
      </c>
      <c r="G2316" s="142">
        <f t="shared" si="68"/>
        <v>999000</v>
      </c>
      <c r="H2316" s="143"/>
      <c r="I2316" s="143">
        <f t="shared" si="65"/>
        <v>999000</v>
      </c>
      <c r="J2316" s="144">
        <f t="shared" si="70"/>
        <v>999000</v>
      </c>
      <c r="K2316" s="64" t="s">
        <v>4394</v>
      </c>
      <c r="L2316" s="199" t="s">
        <v>4395</v>
      </c>
      <c r="M2316" s="17"/>
      <c r="N2316" s="64" t="s">
        <v>8446</v>
      </c>
      <c r="O2316" s="68"/>
      <c r="P2316" s="170"/>
      <c r="Q2316" s="149"/>
      <c r="R2316" s="149"/>
      <c r="S2316" s="149"/>
      <c r="T2316" s="141">
        <v>1349000.0</v>
      </c>
      <c r="U2316" s="149"/>
      <c r="V2316" s="149"/>
      <c r="W2316" s="149"/>
      <c r="X2316" s="64" t="s">
        <v>7976</v>
      </c>
      <c r="Y2316" s="68"/>
      <c r="Z2316" s="68"/>
    </row>
    <row r="2317" ht="15.0" customHeight="1">
      <c r="A2317" s="206">
        <v>46085.0</v>
      </c>
      <c r="B2317" s="201" t="s">
        <v>8445</v>
      </c>
      <c r="C2317" s="45" t="s">
        <v>7011</v>
      </c>
      <c r="D2317" s="140" t="str">
        <f>IFERROR(VLOOKUP(C2317,Stock,3,FALSE),"")</f>
        <v>Automotive Film Standard - Black 40%				</v>
      </c>
      <c r="E2317" s="45">
        <v>1.0</v>
      </c>
      <c r="F2317" s="198">
        <v>350000.0</v>
      </c>
      <c r="G2317" s="142">
        <f t="shared" si="68"/>
        <v>350000</v>
      </c>
      <c r="H2317" s="142"/>
      <c r="I2317" s="143">
        <f t="shared" si="65"/>
        <v>350000</v>
      </c>
      <c r="J2317" s="144">
        <f t="shared" si="70"/>
        <v>350000</v>
      </c>
      <c r="K2317" s="200"/>
      <c r="L2317" s="17"/>
      <c r="M2317" s="17"/>
      <c r="N2317" s="68"/>
      <c r="O2317" s="68"/>
      <c r="P2317" s="170"/>
      <c r="Q2317" s="149"/>
      <c r="R2317" s="149"/>
      <c r="S2317" s="149"/>
      <c r="T2317" s="149"/>
      <c r="U2317" s="149"/>
      <c r="V2317" s="149"/>
      <c r="W2317" s="149"/>
      <c r="X2317" s="64" t="s">
        <v>7976</v>
      </c>
      <c r="Y2317" s="68"/>
      <c r="Z2317" s="68"/>
    </row>
    <row r="2318" ht="15.0" customHeight="1">
      <c r="A2318" s="206">
        <v>46085.0</v>
      </c>
      <c r="B2318" s="201" t="s">
        <v>8447</v>
      </c>
      <c r="C2318" s="64" t="s">
        <v>4439</v>
      </c>
      <c r="D2318" s="140" t="str">
        <f>IFERROR(VLOOKUP(C2318,Stock,3,FALSE),"")</f>
        <v>Toyota Innova 04-15 1st Gen (Toyota)</v>
      </c>
      <c r="E2318" s="45">
        <v>1.0</v>
      </c>
      <c r="F2318" s="198">
        <v>2788000.0</v>
      </c>
      <c r="G2318" s="142">
        <f t="shared" si="68"/>
        <v>2788000</v>
      </c>
      <c r="H2318" s="143">
        <v>88000.0</v>
      </c>
      <c r="I2318" s="143">
        <f t="shared" si="65"/>
        <v>2700000</v>
      </c>
      <c r="J2318" s="144">
        <f t="shared" si="70"/>
        <v>2700000</v>
      </c>
      <c r="K2318" s="108" t="s">
        <v>8448</v>
      </c>
      <c r="L2318" s="199" t="s">
        <v>8449</v>
      </c>
      <c r="M2318" s="17"/>
      <c r="N2318" s="64" t="s">
        <v>8450</v>
      </c>
      <c r="O2318" s="68"/>
      <c r="P2318" s="170"/>
      <c r="Q2318" s="149"/>
      <c r="R2318" s="149"/>
      <c r="S2318" s="141"/>
      <c r="T2318" s="141">
        <v>2700000.0</v>
      </c>
      <c r="U2318" s="149"/>
      <c r="V2318" s="149"/>
      <c r="W2318" s="149"/>
      <c r="X2318" s="64" t="s">
        <v>8219</v>
      </c>
      <c r="Y2318" s="68"/>
      <c r="Z2318" s="68"/>
    </row>
    <row r="2319" ht="15.0" customHeight="1">
      <c r="A2319" s="206">
        <v>46085.0</v>
      </c>
      <c r="B2319" s="201" t="s">
        <v>8451</v>
      </c>
      <c r="C2319" s="45" t="s">
        <v>8452</v>
      </c>
      <c r="D2319" s="140" t="str">
        <f>IFERROR(VLOOKUP(C2319,Stock,3,FALSE),"")</f>
        <v>Mazda CX-5 12-17 1st Gen KE Pre</v>
      </c>
      <c r="E2319" s="45">
        <v>1.0</v>
      </c>
      <c r="F2319" s="198">
        <v>3194000.0</v>
      </c>
      <c r="G2319" s="142">
        <f t="shared" si="68"/>
        <v>3194000</v>
      </c>
      <c r="H2319" s="142"/>
      <c r="I2319" s="143">
        <f t="shared" si="65"/>
        <v>3194000</v>
      </c>
      <c r="J2319" s="144">
        <f t="shared" si="70"/>
        <v>3194000</v>
      </c>
      <c r="K2319" s="108" t="s">
        <v>8453</v>
      </c>
      <c r="L2319" s="199" t="s">
        <v>8454</v>
      </c>
      <c r="M2319" s="17"/>
      <c r="N2319" s="64" t="s">
        <v>8455</v>
      </c>
      <c r="O2319" s="68"/>
      <c r="P2319" s="170"/>
      <c r="Q2319" s="149"/>
      <c r="R2319" s="149"/>
      <c r="S2319" s="149"/>
      <c r="T2319" s="141">
        <v>3350000.0</v>
      </c>
      <c r="U2319" s="149"/>
      <c r="V2319" s="149"/>
      <c r="W2319" s="149"/>
      <c r="X2319" s="64" t="s">
        <v>8232</v>
      </c>
      <c r="Y2319" s="68"/>
      <c r="Z2319" s="68"/>
    </row>
    <row r="2320" ht="15.0" customHeight="1">
      <c r="A2320" s="206">
        <v>46085.0</v>
      </c>
      <c r="B2320" s="201" t="s">
        <v>8451</v>
      </c>
      <c r="C2320" s="45" t="s">
        <v>2770</v>
      </c>
      <c r="D2320" s="140" t="str">
        <f>IFERROR(VLOOKUP(C2320,Stock,3,FALSE),"")</f>
        <v>Transport</v>
      </c>
      <c r="E2320" s="45">
        <v>1.0</v>
      </c>
      <c r="F2320" s="198">
        <v>180000.0</v>
      </c>
      <c r="G2320" s="142">
        <f t="shared" si="68"/>
        <v>180000</v>
      </c>
      <c r="H2320" s="143">
        <v>24000.0</v>
      </c>
      <c r="I2320" s="143">
        <f t="shared" si="65"/>
        <v>156000</v>
      </c>
      <c r="J2320" s="144">
        <f t="shared" si="70"/>
        <v>156000</v>
      </c>
      <c r="K2320" s="108" t="s">
        <v>8453</v>
      </c>
      <c r="L2320" s="199" t="s">
        <v>8454</v>
      </c>
      <c r="M2320" s="17"/>
      <c r="N2320" s="68"/>
      <c r="O2320" s="68"/>
      <c r="P2320" s="170"/>
      <c r="Q2320" s="149"/>
      <c r="R2320" s="149"/>
      <c r="S2320" s="149"/>
      <c r="T2320" s="149"/>
      <c r="U2320" s="149"/>
      <c r="V2320" s="149"/>
      <c r="W2320" s="149"/>
      <c r="X2320" s="64" t="s">
        <v>8232</v>
      </c>
      <c r="Y2320" s="68"/>
      <c r="Z2320" s="68"/>
    </row>
    <row r="2321" ht="15.0" customHeight="1">
      <c r="A2321" s="206">
        <v>46085.0</v>
      </c>
      <c r="B2321" s="201" t="s">
        <v>8456</v>
      </c>
      <c r="C2321" s="64" t="s">
        <v>3220</v>
      </c>
      <c r="D2321" s="140" t="str">
        <f>IFERROR(VLOOKUP(C2321,Stock,3,FALSE),"")</f>
        <v>BMW 3 Series 12-18 F30/F35 (1 Sensor / O )</v>
      </c>
      <c r="E2321" s="45">
        <v>1.0</v>
      </c>
      <c r="F2321" s="198">
        <v>4402000.0</v>
      </c>
      <c r="G2321" s="142">
        <f t="shared" si="68"/>
        <v>4402000</v>
      </c>
      <c r="H2321" s="142"/>
      <c r="I2321" s="143">
        <f t="shared" si="65"/>
        <v>4402000</v>
      </c>
      <c r="J2321" s="144">
        <f t="shared" si="70"/>
        <v>4402000</v>
      </c>
      <c r="K2321" s="108" t="s">
        <v>8457</v>
      </c>
      <c r="L2321" s="199" t="s">
        <v>8458</v>
      </c>
      <c r="M2321" s="17"/>
      <c r="N2321" s="64" t="s">
        <v>8459</v>
      </c>
      <c r="O2321" s="68"/>
      <c r="P2321" s="170"/>
      <c r="Q2321" s="149"/>
      <c r="R2321" s="149"/>
      <c r="S2321" s="149"/>
      <c r="T2321" s="141">
        <v>4402000.0</v>
      </c>
      <c r="U2321" s="149"/>
      <c r="V2321" s="149"/>
      <c r="W2321" s="149"/>
      <c r="X2321" s="64" t="s">
        <v>8219</v>
      </c>
      <c r="Y2321" s="68"/>
      <c r="Z2321" s="68"/>
    </row>
    <row r="2322" ht="15.0" customHeight="1">
      <c r="A2322" s="206">
        <v>46085.0</v>
      </c>
      <c r="B2322" s="201" t="s">
        <v>8460</v>
      </c>
      <c r="C2322" s="45" t="s">
        <v>3358</v>
      </c>
      <c r="D2322" s="140" t="str">
        <f>IFERROR(VLOOKUP(C2322,Stock,3,FALSE),"")</f>
        <v>Toyota Avanza / Xenia 11-15 2nd Gen / 15-21 3rd Gen</v>
      </c>
      <c r="E2322" s="45">
        <v>1.0</v>
      </c>
      <c r="F2322" s="198">
        <v>799000.0</v>
      </c>
      <c r="G2322" s="142">
        <f t="shared" si="68"/>
        <v>799000</v>
      </c>
      <c r="H2322" s="142"/>
      <c r="I2322" s="143">
        <f t="shared" si="65"/>
        <v>799000</v>
      </c>
      <c r="J2322" s="144">
        <f t="shared" si="70"/>
        <v>799000</v>
      </c>
      <c r="K2322" s="108" t="s">
        <v>8461</v>
      </c>
      <c r="L2322" s="199" t="s">
        <v>8462</v>
      </c>
      <c r="M2322" s="17"/>
      <c r="N2322" s="64" t="s">
        <v>8463</v>
      </c>
      <c r="O2322" s="68"/>
      <c r="P2322" s="170"/>
      <c r="Q2322" s="149"/>
      <c r="R2322" s="149"/>
      <c r="S2322" s="149"/>
      <c r="T2322" s="141">
        <v>799000.0</v>
      </c>
      <c r="U2322" s="149"/>
      <c r="V2322" s="149"/>
      <c r="W2322" s="149"/>
      <c r="X2322" s="64" t="s">
        <v>8334</v>
      </c>
      <c r="Y2322" s="68"/>
      <c r="Z2322" s="68"/>
    </row>
    <row r="2323" ht="15.0" customHeight="1">
      <c r="A2323" s="206">
        <v>46085.0</v>
      </c>
      <c r="B2323" s="201" t="s">
        <v>8464</v>
      </c>
      <c r="C2323" s="45" t="s">
        <v>8465</v>
      </c>
      <c r="D2323" s="140" t="str">
        <f>IFERROR(VLOOKUP(C2323,Stock,3,FALSE),"")</f>
        <v>Suzuki Jimny All New 19-</v>
      </c>
      <c r="E2323" s="45">
        <v>1.0</v>
      </c>
      <c r="F2323" s="198">
        <v>2242000.0</v>
      </c>
      <c r="G2323" s="142">
        <f t="shared" si="68"/>
        <v>2242000</v>
      </c>
      <c r="H2323" s="142"/>
      <c r="I2323" s="143">
        <f t="shared" si="65"/>
        <v>2242000</v>
      </c>
      <c r="J2323" s="144">
        <f t="shared" si="70"/>
        <v>2242000</v>
      </c>
      <c r="K2323" s="108" t="s">
        <v>8466</v>
      </c>
      <c r="L2323" s="199" t="s">
        <v>8467</v>
      </c>
      <c r="M2323" s="17"/>
      <c r="N2323" s="64" t="s">
        <v>8468</v>
      </c>
      <c r="O2323" s="68"/>
      <c r="P2323" s="170"/>
      <c r="Q2323" s="149"/>
      <c r="R2323" s="149"/>
      <c r="S2323" s="141">
        <v>100000.0</v>
      </c>
      <c r="T2323" s="149"/>
      <c r="U2323" s="149"/>
      <c r="V2323" s="149"/>
      <c r="W2323" s="149"/>
      <c r="X2323" s="64" t="s">
        <v>8232</v>
      </c>
      <c r="Y2323" s="68"/>
      <c r="Z2323" s="68"/>
    </row>
    <row r="2324" ht="15.0" customHeight="1">
      <c r="A2324" s="206">
        <v>46057.0</v>
      </c>
      <c r="B2324" s="201" t="s">
        <v>8464</v>
      </c>
      <c r="C2324" s="45" t="s">
        <v>7011</v>
      </c>
      <c r="D2324" s="140" t="str">
        <f>IFERROR(VLOOKUP(C2324,Stock,3,FALSE),"")</f>
        <v>Automotive Film Standard - Black 40%				</v>
      </c>
      <c r="E2324" s="45">
        <v>1.0</v>
      </c>
      <c r="F2324" s="198">
        <v>350000.0</v>
      </c>
      <c r="G2324" s="142">
        <f t="shared" si="68"/>
        <v>350000</v>
      </c>
      <c r="H2324" s="142"/>
      <c r="I2324" s="143">
        <f t="shared" si="65"/>
        <v>350000</v>
      </c>
      <c r="J2324" s="144">
        <f t="shared" si="70"/>
        <v>350000</v>
      </c>
      <c r="K2324" s="108" t="s">
        <v>8466</v>
      </c>
      <c r="L2324" s="199" t="s">
        <v>8467</v>
      </c>
      <c r="M2324" s="17"/>
      <c r="N2324" s="68"/>
      <c r="O2324" s="68"/>
      <c r="P2324" s="170"/>
      <c r="Q2324" s="149"/>
      <c r="R2324" s="149"/>
      <c r="S2324" s="149"/>
      <c r="T2324" s="149"/>
      <c r="U2324" s="149"/>
      <c r="V2324" s="149"/>
      <c r="W2324" s="149"/>
      <c r="X2324" s="68"/>
      <c r="Y2324" s="68"/>
      <c r="Z2324" s="68"/>
    </row>
    <row r="2325" ht="15.0" customHeight="1">
      <c r="A2325" s="206">
        <v>46085.0</v>
      </c>
      <c r="B2325" s="201" t="s">
        <v>8469</v>
      </c>
      <c r="C2325" s="45" t="s">
        <v>3354</v>
      </c>
      <c r="D2325" s="140" t="str">
        <f>IFERROR(VLOOKUP(C2325,Stock,3,FALSE),"")</f>
        <v>Honda Brio 10- / Mobilio 11- (Honda)</v>
      </c>
      <c r="E2325" s="45">
        <v>1.0</v>
      </c>
      <c r="F2325" s="198">
        <v>1772000.0</v>
      </c>
      <c r="G2325" s="142">
        <f t="shared" si="68"/>
        <v>1772000</v>
      </c>
      <c r="H2325" s="142"/>
      <c r="I2325" s="143">
        <f t="shared" si="65"/>
        <v>1772000</v>
      </c>
      <c r="J2325" s="144">
        <f t="shared" si="70"/>
        <v>1772000</v>
      </c>
      <c r="K2325" s="108" t="s">
        <v>8470</v>
      </c>
      <c r="L2325" s="199" t="s">
        <v>8471</v>
      </c>
      <c r="M2325" s="17"/>
      <c r="N2325" s="64" t="s">
        <v>8472</v>
      </c>
      <c r="O2325" s="68"/>
      <c r="P2325" s="170"/>
      <c r="Q2325" s="149"/>
      <c r="R2325" s="149"/>
      <c r="S2325" s="141">
        <v>100000.0</v>
      </c>
      <c r="T2325" s="149"/>
      <c r="U2325" s="149"/>
      <c r="V2325" s="149"/>
      <c r="W2325" s="149"/>
      <c r="X2325" s="64" t="s">
        <v>7976</v>
      </c>
      <c r="Y2325" s="68"/>
      <c r="Z2325" s="68"/>
    </row>
    <row r="2326" ht="15.0" customHeight="1">
      <c r="A2326" s="206">
        <v>46085.0</v>
      </c>
      <c r="B2326" s="201" t="s">
        <v>8469</v>
      </c>
      <c r="C2326" s="45" t="s">
        <v>7011</v>
      </c>
      <c r="D2326" s="140" t="str">
        <f>IFERROR(VLOOKUP(C2326,Stock,3,FALSE),"")</f>
        <v>Automotive Film Standard - Black 40%				</v>
      </c>
      <c r="E2326" s="45">
        <v>1.0</v>
      </c>
      <c r="F2326" s="198">
        <v>350000.0</v>
      </c>
      <c r="G2326" s="142">
        <f t="shared" si="68"/>
        <v>350000</v>
      </c>
      <c r="H2326" s="142"/>
      <c r="I2326" s="143">
        <f t="shared" si="65"/>
        <v>350000</v>
      </c>
      <c r="J2326" s="144">
        <f t="shared" si="70"/>
        <v>350000</v>
      </c>
      <c r="K2326" s="108" t="s">
        <v>8470</v>
      </c>
      <c r="L2326" s="199" t="s">
        <v>8471</v>
      </c>
      <c r="M2326" s="17"/>
      <c r="N2326" s="68"/>
      <c r="O2326" s="68"/>
      <c r="P2326" s="170"/>
      <c r="Q2326" s="149"/>
      <c r="R2326" s="149"/>
      <c r="S2326" s="149"/>
      <c r="T2326" s="149"/>
      <c r="U2326" s="149"/>
      <c r="V2326" s="149"/>
      <c r="W2326" s="149"/>
      <c r="X2326" s="68"/>
      <c r="Y2326" s="68"/>
      <c r="Z2326" s="68"/>
    </row>
    <row r="2327" ht="15.0" customHeight="1">
      <c r="A2327" s="206">
        <v>46085.0</v>
      </c>
      <c r="B2327" s="201" t="s">
        <v>8473</v>
      </c>
      <c r="C2327" s="64" t="s">
        <v>3225</v>
      </c>
      <c r="D2327" s="140" t="str">
        <f>IFERROR(VLOOKUP(C2327,Stock,3,FALSE),"")</f>
        <v>Toyota Rush / Terios 18-</v>
      </c>
      <c r="E2327" s="45">
        <v>1.0</v>
      </c>
      <c r="F2327" s="198">
        <v>1260000.0</v>
      </c>
      <c r="G2327" s="142">
        <f t="shared" si="68"/>
        <v>1260000</v>
      </c>
      <c r="H2327" s="142"/>
      <c r="I2327" s="143">
        <f t="shared" si="65"/>
        <v>1260000</v>
      </c>
      <c r="J2327" s="144">
        <f t="shared" si="70"/>
        <v>1260000</v>
      </c>
      <c r="K2327" s="108" t="s">
        <v>8474</v>
      </c>
      <c r="L2327" s="199" t="s">
        <v>8475</v>
      </c>
      <c r="M2327" s="17"/>
      <c r="N2327" s="64" t="s">
        <v>8476</v>
      </c>
      <c r="O2327" s="68"/>
      <c r="P2327" s="170"/>
      <c r="Q2327" s="149"/>
      <c r="R2327" s="149"/>
      <c r="S2327" s="149"/>
      <c r="T2327" s="141">
        <v>1260000.0</v>
      </c>
      <c r="U2327" s="149"/>
      <c r="V2327" s="149"/>
      <c r="W2327" s="149"/>
      <c r="X2327" s="64" t="s">
        <v>8232</v>
      </c>
      <c r="Y2327" s="68"/>
      <c r="Z2327" s="68"/>
    </row>
    <row r="2328" ht="15.0" customHeight="1">
      <c r="A2328" s="206">
        <v>46085.0</v>
      </c>
      <c r="B2328" s="201" t="s">
        <v>8477</v>
      </c>
      <c r="C2328" s="45" t="s">
        <v>2968</v>
      </c>
      <c r="D2328" s="140" t="str">
        <f>IFERROR(VLOOKUP(C2328,Stock,3,FALSE),"")</f>
        <v>Toyota Rush / Terios 18-</v>
      </c>
      <c r="E2328" s="45">
        <v>1.0</v>
      </c>
      <c r="F2328" s="141">
        <v>1052000.0</v>
      </c>
      <c r="G2328" s="142">
        <f t="shared" si="68"/>
        <v>1052000</v>
      </c>
      <c r="H2328" s="142"/>
      <c r="I2328" s="143">
        <f t="shared" si="65"/>
        <v>1052000</v>
      </c>
      <c r="J2328" s="144">
        <f t="shared" si="70"/>
        <v>1052000</v>
      </c>
      <c r="K2328" s="108" t="s">
        <v>8478</v>
      </c>
      <c r="L2328" s="199" t="s">
        <v>8479</v>
      </c>
      <c r="M2328" s="17"/>
      <c r="N2328" s="64" t="s">
        <v>8480</v>
      </c>
      <c r="O2328" s="68"/>
      <c r="P2328" s="170"/>
      <c r="Q2328" s="149"/>
      <c r="R2328" s="149"/>
      <c r="S2328" s="141">
        <v>100000.0</v>
      </c>
      <c r="T2328" s="141">
        <v>1102000.0</v>
      </c>
      <c r="U2328" s="149"/>
      <c r="V2328" s="149"/>
      <c r="W2328" s="149"/>
      <c r="X2328" s="64" t="s">
        <v>8219</v>
      </c>
      <c r="Y2328" s="175"/>
      <c r="Z2328" s="175"/>
    </row>
    <row r="2329" ht="15.0" customHeight="1">
      <c r="A2329" s="441">
        <v>46085.0</v>
      </c>
      <c r="B2329" s="201" t="s">
        <v>8477</v>
      </c>
      <c r="C2329" s="45" t="s">
        <v>2770</v>
      </c>
      <c r="D2329" s="140" t="str">
        <f>IFERROR(VLOOKUP(C2329,Stock,3,FALSE),"")</f>
        <v>Transport</v>
      </c>
      <c r="E2329" s="45">
        <v>1.0</v>
      </c>
      <c r="F2329" s="198">
        <v>150000.0</v>
      </c>
      <c r="G2329" s="142">
        <f t="shared" si="68"/>
        <v>150000</v>
      </c>
      <c r="H2329" s="142"/>
      <c r="I2329" s="143">
        <f t="shared" si="65"/>
        <v>150000</v>
      </c>
      <c r="J2329" s="144">
        <f t="shared" si="70"/>
        <v>150000</v>
      </c>
      <c r="K2329" s="200"/>
      <c r="L2329" s="17"/>
      <c r="M2329" s="17"/>
      <c r="N2329" s="68"/>
      <c r="O2329" s="68"/>
      <c r="P2329" s="170"/>
      <c r="Q2329" s="149"/>
      <c r="R2329" s="149"/>
      <c r="S2329" s="149"/>
      <c r="T2329" s="149"/>
      <c r="U2329" s="149"/>
      <c r="V2329" s="149"/>
      <c r="W2329" s="149"/>
      <c r="X2329" s="68"/>
      <c r="Y2329" s="175"/>
      <c r="Z2329" s="175"/>
    </row>
    <row r="2330" ht="15.0" customHeight="1">
      <c r="A2330" s="460">
        <v>46057.0</v>
      </c>
      <c r="B2330" s="370" t="s">
        <v>8481</v>
      </c>
      <c r="C2330" s="447" t="s">
        <v>8482</v>
      </c>
      <c r="D2330" s="448" t="str">
        <f>IFERROR(VLOOKUP(C2330,Stock,3,FALSE),"")</f>
        <v>BMW X5 Series 13-18 F15</v>
      </c>
      <c r="E2330" s="447">
        <v>1.0</v>
      </c>
      <c r="F2330" s="449">
        <v>4302000.0</v>
      </c>
      <c r="G2330" s="450">
        <f t="shared" si="68"/>
        <v>4302000</v>
      </c>
      <c r="H2330" s="450"/>
      <c r="I2330" s="451">
        <f t="shared" si="65"/>
        <v>4302000</v>
      </c>
      <c r="J2330" s="452">
        <f t="shared" si="70"/>
        <v>4302000</v>
      </c>
      <c r="K2330" s="453" t="s">
        <v>5226</v>
      </c>
      <c r="L2330" s="461" t="s">
        <v>8483</v>
      </c>
      <c r="M2330" s="462"/>
      <c r="N2330" s="462" t="s">
        <v>8484</v>
      </c>
      <c r="O2330" s="456"/>
      <c r="P2330" s="457"/>
      <c r="Q2330" s="459"/>
      <c r="R2330" s="459"/>
      <c r="S2330" s="458">
        <v>550000.0</v>
      </c>
      <c r="T2330" s="459"/>
      <c r="U2330" s="459"/>
      <c r="V2330" s="459"/>
      <c r="W2330" s="459"/>
      <c r="X2330" s="462" t="s">
        <v>8232</v>
      </c>
      <c r="Y2330" s="175"/>
      <c r="Z2330" s="175"/>
    </row>
    <row r="2331" ht="15.0" customHeight="1">
      <c r="A2331" s="206">
        <v>46085.0</v>
      </c>
      <c r="B2331" s="201" t="s">
        <v>8481</v>
      </c>
      <c r="C2331" s="150" t="s">
        <v>2778</v>
      </c>
      <c r="D2331" s="140" t="str">
        <f>IFERROR(VLOOKUP(C2331,Stock,3,FALSE),"")</f>
        <v>Bongkar Pasang Kaca Mobil Depan</v>
      </c>
      <c r="E2331" s="45">
        <v>1.0</v>
      </c>
      <c r="F2331" s="198">
        <v>500000.0</v>
      </c>
      <c r="G2331" s="142">
        <f t="shared" si="68"/>
        <v>500000</v>
      </c>
      <c r="H2331" s="142"/>
      <c r="I2331" s="143">
        <f t="shared" si="65"/>
        <v>500000</v>
      </c>
      <c r="J2331" s="144">
        <f t="shared" si="70"/>
        <v>500000</v>
      </c>
      <c r="K2331" s="108" t="s">
        <v>8485</v>
      </c>
      <c r="L2331" s="199" t="s">
        <v>8483</v>
      </c>
      <c r="M2331" s="64"/>
      <c r="N2331" s="64" t="s">
        <v>8484</v>
      </c>
      <c r="O2331" s="68"/>
      <c r="P2331" s="170"/>
      <c r="Q2331" s="149"/>
      <c r="R2331" s="149"/>
      <c r="S2331" s="149"/>
      <c r="T2331" s="149"/>
      <c r="U2331" s="149"/>
      <c r="V2331" s="149"/>
      <c r="W2331" s="149"/>
      <c r="X2331" s="64" t="s">
        <v>8232</v>
      </c>
      <c r="Y2331" s="68"/>
      <c r="Z2331" s="68"/>
    </row>
    <row r="2332" ht="15.0" customHeight="1">
      <c r="A2332" s="206">
        <v>46085.0</v>
      </c>
      <c r="B2332" s="201" t="s">
        <v>8481</v>
      </c>
      <c r="C2332" s="45" t="s">
        <v>2770</v>
      </c>
      <c r="D2332" s="140" t="str">
        <f>IFERROR(VLOOKUP(C2332,Stock,3,FALSE),"")</f>
        <v>Transport</v>
      </c>
      <c r="E2332" s="45">
        <v>1.0</v>
      </c>
      <c r="F2332" s="198">
        <v>1100000.0</v>
      </c>
      <c r="G2332" s="142">
        <f t="shared" si="68"/>
        <v>1100000</v>
      </c>
      <c r="H2332" s="142"/>
      <c r="I2332" s="143">
        <f t="shared" si="65"/>
        <v>1100000</v>
      </c>
      <c r="J2332" s="144">
        <f t="shared" si="70"/>
        <v>1100000</v>
      </c>
      <c r="K2332" s="108" t="s">
        <v>5226</v>
      </c>
      <c r="L2332" s="199" t="s">
        <v>8483</v>
      </c>
      <c r="M2332" s="64"/>
      <c r="N2332" s="64" t="s">
        <v>8484</v>
      </c>
      <c r="O2332" s="68"/>
      <c r="P2332" s="170"/>
      <c r="Q2332" s="149"/>
      <c r="R2332" s="149"/>
      <c r="S2332" s="149"/>
      <c r="T2332" s="149"/>
      <c r="U2332" s="149"/>
      <c r="V2332" s="149"/>
      <c r="W2332" s="149"/>
      <c r="X2332" s="64" t="s">
        <v>8232</v>
      </c>
      <c r="Y2332" s="68"/>
      <c r="Z2332" s="68"/>
    </row>
    <row r="2333" ht="15.0" customHeight="1">
      <c r="A2333" s="265">
        <v>46085.0</v>
      </c>
      <c r="B2333" s="266" t="s">
        <v>8486</v>
      </c>
      <c r="C2333" s="269" t="s">
        <v>4375</v>
      </c>
      <c r="D2333" s="268" t="str">
        <f>IFERROR(VLOOKUP(C2333,Stock,3,FALSE),"")</f>
        <v>Mitsubishi Pajero 16- (Mitsubishi)</v>
      </c>
      <c r="E2333" s="269">
        <v>1.0</v>
      </c>
      <c r="F2333" s="270"/>
      <c r="G2333" s="271">
        <f t="shared" si="68"/>
        <v>0</v>
      </c>
      <c r="H2333" s="271"/>
      <c r="I2333" s="272">
        <f t="shared" si="65"/>
        <v>0</v>
      </c>
      <c r="J2333" s="273">
        <f t="shared" si="70"/>
        <v>0</v>
      </c>
      <c r="K2333" s="267" t="s">
        <v>8487</v>
      </c>
      <c r="L2333" s="274"/>
      <c r="M2333" s="274"/>
      <c r="N2333" s="275"/>
      <c r="O2333" s="275"/>
      <c r="P2333" s="276"/>
      <c r="Q2333" s="277"/>
      <c r="R2333" s="277"/>
      <c r="S2333" s="277"/>
      <c r="T2333" s="277"/>
      <c r="U2333" s="277"/>
      <c r="V2333" s="277"/>
      <c r="W2333" s="277"/>
      <c r="X2333" s="275"/>
      <c r="Y2333" s="275"/>
      <c r="Z2333" s="275"/>
    </row>
    <row r="2334" ht="15.0" customHeight="1">
      <c r="A2334" s="265">
        <v>46085.0</v>
      </c>
      <c r="B2334" s="266" t="s">
        <v>8486</v>
      </c>
      <c r="C2334" s="269" t="s">
        <v>2924</v>
      </c>
      <c r="D2334" s="268" t="str">
        <f>IFERROR(VLOOKUP(C2334,Stock,3,FALSE),"")</f>
        <v>Suzuki Ertiga 12-18 1st Gen MPV</v>
      </c>
      <c r="E2334" s="269">
        <v>1.0</v>
      </c>
      <c r="F2334" s="270"/>
      <c r="G2334" s="271">
        <f t="shared" si="68"/>
        <v>0</v>
      </c>
      <c r="H2334" s="271"/>
      <c r="I2334" s="272">
        <f t="shared" si="65"/>
        <v>0</v>
      </c>
      <c r="J2334" s="273">
        <f t="shared" si="70"/>
        <v>0</v>
      </c>
      <c r="K2334" s="267" t="s">
        <v>8487</v>
      </c>
      <c r="L2334" s="274"/>
      <c r="M2334" s="274"/>
      <c r="N2334" s="275"/>
      <c r="O2334" s="275"/>
      <c r="P2334" s="276"/>
      <c r="Q2334" s="277"/>
      <c r="R2334" s="277"/>
      <c r="S2334" s="277"/>
      <c r="T2334" s="277"/>
      <c r="U2334" s="277"/>
      <c r="V2334" s="277"/>
      <c r="W2334" s="277"/>
      <c r="X2334" s="275"/>
      <c r="Y2334" s="275"/>
      <c r="Z2334" s="275"/>
    </row>
    <row r="2335" ht="15.0" customHeight="1">
      <c r="A2335" s="265">
        <v>46085.0</v>
      </c>
      <c r="B2335" s="266" t="s">
        <v>8486</v>
      </c>
      <c r="C2335" s="269" t="s">
        <v>2881</v>
      </c>
      <c r="D2335" s="268" t="str">
        <f>IFERROR(VLOOKUP(C2335,Stock,3,FALSE),"")</f>
        <v>Mitsubishi Outlander 10-21 GA3</v>
      </c>
      <c r="E2335" s="269">
        <v>2.0</v>
      </c>
      <c r="F2335" s="270"/>
      <c r="G2335" s="271">
        <f t="shared" si="68"/>
        <v>0</v>
      </c>
      <c r="H2335" s="271"/>
      <c r="I2335" s="272">
        <f t="shared" si="65"/>
        <v>0</v>
      </c>
      <c r="J2335" s="273">
        <f t="shared" si="70"/>
        <v>0</v>
      </c>
      <c r="K2335" s="267" t="s">
        <v>8487</v>
      </c>
      <c r="L2335" s="274"/>
      <c r="M2335" s="274"/>
      <c r="N2335" s="275"/>
      <c r="O2335" s="275"/>
      <c r="P2335" s="276"/>
      <c r="Q2335" s="277"/>
      <c r="R2335" s="277"/>
      <c r="S2335" s="277"/>
      <c r="T2335" s="277"/>
      <c r="U2335" s="277"/>
      <c r="V2335" s="277"/>
      <c r="W2335" s="277"/>
      <c r="X2335" s="275"/>
      <c r="Y2335" s="275"/>
      <c r="Z2335" s="275"/>
    </row>
    <row r="2336" ht="15.0" customHeight="1">
      <c r="A2336" s="265">
        <v>46085.0</v>
      </c>
      <c r="B2336" s="266" t="s">
        <v>8486</v>
      </c>
      <c r="C2336" s="269" t="s">
        <v>4674</v>
      </c>
      <c r="D2336" s="268" t="str">
        <f>IFERROR(VLOOKUP(C2336,Stock,3,FALSE),"")</f>
        <v>Toyota Alphard 08-15 ANH20 2nd Gen</v>
      </c>
      <c r="E2336" s="269">
        <v>1.0</v>
      </c>
      <c r="F2336" s="270"/>
      <c r="G2336" s="271">
        <f t="shared" si="68"/>
        <v>0</v>
      </c>
      <c r="H2336" s="271"/>
      <c r="I2336" s="272">
        <f t="shared" si="65"/>
        <v>0</v>
      </c>
      <c r="J2336" s="273">
        <f t="shared" si="70"/>
        <v>0</v>
      </c>
      <c r="K2336" s="267" t="s">
        <v>8487</v>
      </c>
      <c r="L2336" s="274"/>
      <c r="M2336" s="274"/>
      <c r="N2336" s="275"/>
      <c r="O2336" s="275"/>
      <c r="P2336" s="276"/>
      <c r="Q2336" s="277"/>
      <c r="R2336" s="277"/>
      <c r="S2336" s="277"/>
      <c r="T2336" s="277"/>
      <c r="U2336" s="277"/>
      <c r="V2336" s="277"/>
      <c r="W2336" s="277"/>
      <c r="X2336" s="275"/>
      <c r="Y2336" s="275"/>
      <c r="Z2336" s="275"/>
    </row>
    <row r="2337" ht="15.0" customHeight="1">
      <c r="A2337" s="265">
        <v>46085.0</v>
      </c>
      <c r="B2337" s="266" t="s">
        <v>8486</v>
      </c>
      <c r="C2337" s="269" t="s">
        <v>4013</v>
      </c>
      <c r="D2337" s="268" t="str">
        <f>IFERROR(VLOOKUP(C2337,Stock,3,FALSE),"")</f>
        <v>Toyota Sienta 15-</v>
      </c>
      <c r="E2337" s="269">
        <v>1.0</v>
      </c>
      <c r="F2337" s="270"/>
      <c r="G2337" s="271">
        <f t="shared" si="68"/>
        <v>0</v>
      </c>
      <c r="H2337" s="271"/>
      <c r="I2337" s="272">
        <f t="shared" si="65"/>
        <v>0</v>
      </c>
      <c r="J2337" s="273">
        <f t="shared" si="70"/>
        <v>0</v>
      </c>
      <c r="K2337" s="267" t="s">
        <v>8487</v>
      </c>
      <c r="L2337" s="274"/>
      <c r="M2337" s="274"/>
      <c r="N2337" s="275"/>
      <c r="O2337" s="275"/>
      <c r="P2337" s="276"/>
      <c r="Q2337" s="277"/>
      <c r="R2337" s="277"/>
      <c r="S2337" s="277"/>
      <c r="T2337" s="277"/>
      <c r="U2337" s="277"/>
      <c r="V2337" s="277"/>
      <c r="W2337" s="277"/>
      <c r="X2337" s="275"/>
      <c r="Y2337" s="275"/>
      <c r="Z2337" s="275"/>
    </row>
    <row r="2338" ht="15.0" customHeight="1">
      <c r="A2338" s="265">
        <v>46085.0</v>
      </c>
      <c r="B2338" s="266" t="s">
        <v>8486</v>
      </c>
      <c r="C2338" s="269" t="s">
        <v>4879</v>
      </c>
      <c r="D2338" s="268" t="str">
        <f>IFERROR(VLOOKUP(C2338,Stock,3,FALSE),"")</f>
        <v>Kia Picanto 11-16 2nd Gen</v>
      </c>
      <c r="E2338" s="269">
        <v>1.0</v>
      </c>
      <c r="F2338" s="270"/>
      <c r="G2338" s="271">
        <f t="shared" si="68"/>
        <v>0</v>
      </c>
      <c r="H2338" s="271"/>
      <c r="I2338" s="272">
        <f t="shared" si="65"/>
        <v>0</v>
      </c>
      <c r="J2338" s="273">
        <f t="shared" si="70"/>
        <v>0</v>
      </c>
      <c r="K2338" s="267" t="s">
        <v>8487</v>
      </c>
      <c r="L2338" s="269"/>
      <c r="M2338" s="274"/>
      <c r="N2338" s="275"/>
      <c r="O2338" s="275"/>
      <c r="P2338" s="276"/>
      <c r="Q2338" s="277"/>
      <c r="R2338" s="277"/>
      <c r="S2338" s="277"/>
      <c r="T2338" s="277"/>
      <c r="U2338" s="277"/>
      <c r="V2338" s="277"/>
      <c r="W2338" s="277"/>
      <c r="X2338" s="275"/>
      <c r="Y2338" s="275"/>
      <c r="Z2338" s="275"/>
    </row>
    <row r="2339" ht="15.0" customHeight="1">
      <c r="A2339" s="265">
        <v>46085.0</v>
      </c>
      <c r="B2339" s="266" t="s">
        <v>8486</v>
      </c>
      <c r="C2339" s="269" t="s">
        <v>4418</v>
      </c>
      <c r="D2339" s="268" t="str">
        <f>IFERROR(VLOOKUP(C2339,Stock,3,FALSE),"")</f>
        <v>Isuzu Elf 93- NKR NHR</v>
      </c>
      <c r="E2339" s="269">
        <v>1.0</v>
      </c>
      <c r="F2339" s="270"/>
      <c r="G2339" s="271">
        <f t="shared" si="68"/>
        <v>0</v>
      </c>
      <c r="H2339" s="271"/>
      <c r="I2339" s="272">
        <f t="shared" si="65"/>
        <v>0</v>
      </c>
      <c r="J2339" s="273">
        <f t="shared" si="70"/>
        <v>0</v>
      </c>
      <c r="K2339" s="267" t="s">
        <v>8487</v>
      </c>
      <c r="L2339" s="274"/>
      <c r="M2339" s="274"/>
      <c r="N2339" s="275"/>
      <c r="O2339" s="275"/>
      <c r="P2339" s="276"/>
      <c r="Q2339" s="277"/>
      <c r="R2339" s="277"/>
      <c r="S2339" s="277"/>
      <c r="T2339" s="277"/>
      <c r="U2339" s="277"/>
      <c r="V2339" s="277"/>
      <c r="W2339" s="277"/>
      <c r="X2339" s="275"/>
      <c r="Y2339" s="275"/>
      <c r="Z2339" s="275"/>
    </row>
    <row r="2340" ht="15.0" customHeight="1">
      <c r="A2340" s="265">
        <v>46085.0</v>
      </c>
      <c r="B2340" s="266" t="s">
        <v>8486</v>
      </c>
      <c r="C2340" s="269" t="s">
        <v>4103</v>
      </c>
      <c r="D2340" s="268" t="str">
        <f>IFERROR(VLOOKUP(C2340,Stock,3,FALSE),"")</f>
        <v>Toyota Hi-Ace 04-20 Commuter</v>
      </c>
      <c r="E2340" s="269">
        <v>1.0</v>
      </c>
      <c r="F2340" s="270"/>
      <c r="G2340" s="271">
        <f t="shared" si="68"/>
        <v>0</v>
      </c>
      <c r="H2340" s="271"/>
      <c r="I2340" s="272">
        <f t="shared" si="65"/>
        <v>0</v>
      </c>
      <c r="J2340" s="273">
        <f t="shared" si="70"/>
        <v>0</v>
      </c>
      <c r="K2340" s="267" t="s">
        <v>8487</v>
      </c>
      <c r="L2340" s="274"/>
      <c r="M2340" s="274"/>
      <c r="N2340" s="275"/>
      <c r="O2340" s="275"/>
      <c r="P2340" s="276"/>
      <c r="Q2340" s="277"/>
      <c r="R2340" s="277"/>
      <c r="S2340" s="277"/>
      <c r="T2340" s="277"/>
      <c r="U2340" s="277"/>
      <c r="V2340" s="277"/>
      <c r="W2340" s="277"/>
      <c r="X2340" s="275"/>
      <c r="Y2340" s="275"/>
      <c r="Z2340" s="275"/>
    </row>
    <row r="2341" ht="15.0" customHeight="1">
      <c r="A2341" s="265">
        <v>46085.0</v>
      </c>
      <c r="B2341" s="266" t="s">
        <v>8486</v>
      </c>
      <c r="C2341" s="269" t="s">
        <v>5114</v>
      </c>
      <c r="D2341" s="268" t="str">
        <f>IFERROR(VLOOKUP(C2341,Stock,3,FALSE),"")</f>
        <v>Daihatsu Sirion 11-18 2nd Gen</v>
      </c>
      <c r="E2341" s="269">
        <v>1.0</v>
      </c>
      <c r="F2341" s="270"/>
      <c r="G2341" s="271">
        <f t="shared" si="68"/>
        <v>0</v>
      </c>
      <c r="H2341" s="271"/>
      <c r="I2341" s="272">
        <f t="shared" si="65"/>
        <v>0</v>
      </c>
      <c r="J2341" s="273">
        <f t="shared" si="70"/>
        <v>0</v>
      </c>
      <c r="K2341" s="267" t="s">
        <v>8487</v>
      </c>
      <c r="L2341" s="274"/>
      <c r="M2341" s="274"/>
      <c r="N2341" s="275"/>
      <c r="O2341" s="275"/>
      <c r="P2341" s="276"/>
      <c r="Q2341" s="277"/>
      <c r="R2341" s="277"/>
      <c r="S2341" s="277"/>
      <c r="T2341" s="277"/>
      <c r="U2341" s="277"/>
      <c r="V2341" s="277"/>
      <c r="W2341" s="277"/>
      <c r="X2341" s="275"/>
      <c r="Y2341" s="275"/>
      <c r="Z2341" s="275"/>
    </row>
    <row r="2342" ht="15.0" customHeight="1">
      <c r="A2342" s="265">
        <v>46085.0</v>
      </c>
      <c r="B2342" s="266" t="s">
        <v>8486</v>
      </c>
      <c r="C2342" s="269" t="s">
        <v>2916</v>
      </c>
      <c r="D2342" s="268" t="str">
        <f>IFERROR(VLOOKUP(C2342,Stock,3,FALSE),"")</f>
        <v>Toyota Alphard 08-15 ANH20 2nd Gen (Hitam)</v>
      </c>
      <c r="E2342" s="269">
        <v>1.0</v>
      </c>
      <c r="F2342" s="270"/>
      <c r="G2342" s="271">
        <f t="shared" si="68"/>
        <v>0</v>
      </c>
      <c r="H2342" s="271"/>
      <c r="I2342" s="272">
        <f t="shared" si="65"/>
        <v>0</v>
      </c>
      <c r="J2342" s="273">
        <f t="shared" si="70"/>
        <v>0</v>
      </c>
      <c r="K2342" s="267" t="s">
        <v>8487</v>
      </c>
      <c r="L2342" s="274"/>
      <c r="M2342" s="274"/>
      <c r="N2342" s="275"/>
      <c r="O2342" s="275"/>
      <c r="P2342" s="276"/>
      <c r="Q2342" s="277"/>
      <c r="R2342" s="277"/>
      <c r="S2342" s="277"/>
      <c r="T2342" s="277"/>
      <c r="U2342" s="277"/>
      <c r="V2342" s="277"/>
      <c r="W2342" s="277"/>
      <c r="X2342" s="275"/>
      <c r="Y2342" s="275"/>
      <c r="Z2342" s="275"/>
    </row>
    <row r="2343" ht="15.0" customHeight="1">
      <c r="A2343" s="265">
        <v>46085.0</v>
      </c>
      <c r="B2343" s="266" t="s">
        <v>8486</v>
      </c>
      <c r="C2343" s="269" t="s">
        <v>3152</v>
      </c>
      <c r="D2343" s="268" t="str">
        <f>IFERROR(VLOOKUP(C2343,Stock,3,FALSE),"")</f>
        <v>Honda Civic 05-11 8th Gen (Civic Batman FD)</v>
      </c>
      <c r="E2343" s="269">
        <v>1.0</v>
      </c>
      <c r="F2343" s="270"/>
      <c r="G2343" s="271">
        <f t="shared" si="68"/>
        <v>0</v>
      </c>
      <c r="H2343" s="271"/>
      <c r="I2343" s="272">
        <f t="shared" si="65"/>
        <v>0</v>
      </c>
      <c r="J2343" s="273">
        <f t="shared" si="70"/>
        <v>0</v>
      </c>
      <c r="K2343" s="267" t="s">
        <v>8487</v>
      </c>
      <c r="L2343" s="274"/>
      <c r="M2343" s="274"/>
      <c r="N2343" s="275"/>
      <c r="O2343" s="275"/>
      <c r="P2343" s="276"/>
      <c r="Q2343" s="277"/>
      <c r="R2343" s="277"/>
      <c r="S2343" s="277"/>
      <c r="T2343" s="277"/>
      <c r="U2343" s="277"/>
      <c r="V2343" s="277"/>
      <c r="W2343" s="277"/>
      <c r="X2343" s="275"/>
      <c r="Y2343" s="275"/>
      <c r="Z2343" s="275"/>
    </row>
    <row r="2344" ht="15.0" customHeight="1">
      <c r="A2344" s="265">
        <v>46085.0</v>
      </c>
      <c r="B2344" s="266" t="s">
        <v>8486</v>
      </c>
      <c r="C2344" s="269" t="s">
        <v>5843</v>
      </c>
      <c r="D2344" s="268" t="str">
        <f>IFERROR(VLOOKUP(C2344,Stock,3,FALSE),"")</f>
        <v>Isuzu Panther 91-99 1st Gen Kotak</v>
      </c>
      <c r="E2344" s="269">
        <v>1.0</v>
      </c>
      <c r="F2344" s="270"/>
      <c r="G2344" s="271">
        <f t="shared" si="68"/>
        <v>0</v>
      </c>
      <c r="H2344" s="271"/>
      <c r="I2344" s="272">
        <f t="shared" si="65"/>
        <v>0</v>
      </c>
      <c r="J2344" s="273">
        <f t="shared" si="70"/>
        <v>0</v>
      </c>
      <c r="K2344" s="267" t="s">
        <v>8487</v>
      </c>
      <c r="L2344" s="274"/>
      <c r="M2344" s="274"/>
      <c r="N2344" s="275"/>
      <c r="O2344" s="275"/>
      <c r="P2344" s="276"/>
      <c r="Q2344" s="277"/>
      <c r="R2344" s="277"/>
      <c r="S2344" s="277"/>
      <c r="T2344" s="277"/>
      <c r="U2344" s="277"/>
      <c r="V2344" s="277"/>
      <c r="W2344" s="277"/>
      <c r="X2344" s="275"/>
      <c r="Y2344" s="275"/>
      <c r="Z2344" s="275"/>
    </row>
    <row r="2345" ht="15.0" customHeight="1">
      <c r="A2345" s="265">
        <v>46085.0</v>
      </c>
      <c r="B2345" s="266" t="s">
        <v>8486</v>
      </c>
      <c r="C2345" s="269" t="s">
        <v>3193</v>
      </c>
      <c r="D2345" s="268" t="str">
        <f>IFERROR(VLOOKUP(C2345,Stock,3,FALSE),"")</f>
        <v>Toyota Avanza / Xenia 11-15 2nd Gen</v>
      </c>
      <c r="E2345" s="269">
        <v>3.0</v>
      </c>
      <c r="F2345" s="270"/>
      <c r="G2345" s="271">
        <f t="shared" si="68"/>
        <v>0</v>
      </c>
      <c r="H2345" s="271"/>
      <c r="I2345" s="272">
        <f t="shared" si="65"/>
        <v>0</v>
      </c>
      <c r="J2345" s="273">
        <f t="shared" si="70"/>
        <v>0</v>
      </c>
      <c r="K2345" s="267" t="s">
        <v>8487</v>
      </c>
      <c r="L2345" s="274"/>
      <c r="M2345" s="274"/>
      <c r="N2345" s="275"/>
      <c r="O2345" s="275"/>
      <c r="P2345" s="276"/>
      <c r="Q2345" s="277"/>
      <c r="R2345" s="277"/>
      <c r="S2345" s="277"/>
      <c r="T2345" s="277"/>
      <c r="U2345" s="277"/>
      <c r="V2345" s="277"/>
      <c r="W2345" s="277"/>
      <c r="X2345" s="275"/>
      <c r="Y2345" s="275"/>
      <c r="Z2345" s="275"/>
    </row>
    <row r="2346" ht="15.0" customHeight="1">
      <c r="A2346" s="265">
        <v>46085.0</v>
      </c>
      <c r="B2346" s="266" t="s">
        <v>8486</v>
      </c>
      <c r="C2346" s="269" t="s">
        <v>8488</v>
      </c>
      <c r="D2346" s="268" t="str">
        <f>IFERROR(VLOOKUP(C2346,Stock,3,FALSE),"")</f>
        <v>Chery Tiggo 5X 24- (Chery)</v>
      </c>
      <c r="E2346" s="269">
        <v>0.0</v>
      </c>
      <c r="F2346" s="270"/>
      <c r="G2346" s="271">
        <f t="shared" si="68"/>
        <v>0</v>
      </c>
      <c r="H2346" s="271"/>
      <c r="I2346" s="272">
        <f t="shared" si="65"/>
        <v>0</v>
      </c>
      <c r="J2346" s="273">
        <f t="shared" si="70"/>
        <v>0</v>
      </c>
      <c r="K2346" s="267" t="s">
        <v>8487</v>
      </c>
      <c r="L2346" s="274"/>
      <c r="M2346" s="274"/>
      <c r="N2346" s="275"/>
      <c r="O2346" s="275"/>
      <c r="P2346" s="276"/>
      <c r="Q2346" s="277"/>
      <c r="R2346" s="277"/>
      <c r="S2346" s="277"/>
      <c r="T2346" s="277"/>
      <c r="U2346" s="277"/>
      <c r="V2346" s="277"/>
      <c r="W2346" s="277"/>
      <c r="X2346" s="275"/>
      <c r="Y2346" s="275"/>
      <c r="Z2346" s="275"/>
    </row>
    <row r="2347" ht="15.0" customHeight="1">
      <c r="A2347" s="265">
        <v>46085.0</v>
      </c>
      <c r="B2347" s="266" t="s">
        <v>8486</v>
      </c>
      <c r="C2347" s="269" t="s">
        <v>8489</v>
      </c>
      <c r="D2347" s="268" t="str">
        <f>IFERROR(VLOOKUP(C2347,Stock,3,FALSE),"")</f>
        <v>Toyota Alphard 15- ANH30 3rd Gen</v>
      </c>
      <c r="E2347" s="269">
        <v>1.0</v>
      </c>
      <c r="F2347" s="270"/>
      <c r="G2347" s="271">
        <f t="shared" si="68"/>
        <v>0</v>
      </c>
      <c r="H2347" s="271"/>
      <c r="I2347" s="272">
        <f t="shared" si="65"/>
        <v>0</v>
      </c>
      <c r="J2347" s="273">
        <f t="shared" si="70"/>
        <v>0</v>
      </c>
      <c r="K2347" s="267" t="s">
        <v>8487</v>
      </c>
      <c r="L2347" s="274"/>
      <c r="M2347" s="274"/>
      <c r="N2347" s="275"/>
      <c r="O2347" s="275"/>
      <c r="P2347" s="276"/>
      <c r="Q2347" s="277"/>
      <c r="R2347" s="277"/>
      <c r="S2347" s="277"/>
      <c r="T2347" s="277"/>
      <c r="U2347" s="277"/>
      <c r="V2347" s="277"/>
      <c r="W2347" s="277"/>
      <c r="X2347" s="275"/>
      <c r="Y2347" s="275"/>
      <c r="Z2347" s="275"/>
    </row>
    <row r="2348" ht="15.0" customHeight="1">
      <c r="A2348" s="265">
        <v>46085.0</v>
      </c>
      <c r="B2348" s="266" t="s">
        <v>8486</v>
      </c>
      <c r="C2348" s="269" t="s">
        <v>2792</v>
      </c>
      <c r="D2348" s="268" t="str">
        <f>IFERROR(VLOOKUP(C2348,Stock,3,FALSE),"")</f>
        <v>Toyota Calya / Sigra 16-</v>
      </c>
      <c r="E2348" s="269">
        <v>10.0</v>
      </c>
      <c r="F2348" s="270"/>
      <c r="G2348" s="271">
        <f t="shared" si="68"/>
        <v>0</v>
      </c>
      <c r="H2348" s="271"/>
      <c r="I2348" s="272">
        <f t="shared" si="65"/>
        <v>0</v>
      </c>
      <c r="J2348" s="273">
        <f t="shared" si="70"/>
        <v>0</v>
      </c>
      <c r="K2348" s="267" t="s">
        <v>8487</v>
      </c>
      <c r="L2348" s="274"/>
      <c r="M2348" s="274"/>
      <c r="N2348" s="275"/>
      <c r="O2348" s="275"/>
      <c r="P2348" s="276"/>
      <c r="Q2348" s="277"/>
      <c r="R2348" s="277"/>
      <c r="S2348" s="277"/>
      <c r="T2348" s="277"/>
      <c r="U2348" s="277"/>
      <c r="V2348" s="277"/>
      <c r="W2348" s="277"/>
      <c r="X2348" s="275"/>
      <c r="Y2348" s="275"/>
      <c r="Z2348" s="275"/>
    </row>
    <row r="2349" ht="15.0" customHeight="1">
      <c r="A2349" s="206">
        <v>46086.0</v>
      </c>
      <c r="B2349" s="201" t="s">
        <v>8490</v>
      </c>
      <c r="C2349" s="45" t="s">
        <v>4226</v>
      </c>
      <c r="D2349" s="140" t="str">
        <f>IFERROR(VLOOKUP(C2349,Stock,3,FALSE),"")</f>
        <v>Honda HR-V 14-21 5D SUV (Honda)</v>
      </c>
      <c r="E2349" s="45">
        <v>1.0</v>
      </c>
      <c r="F2349" s="198">
        <v>3150000.0</v>
      </c>
      <c r="G2349" s="142">
        <f t="shared" si="68"/>
        <v>3150000</v>
      </c>
      <c r="H2349" s="143"/>
      <c r="I2349" s="143">
        <f t="shared" si="65"/>
        <v>3150000</v>
      </c>
      <c r="J2349" s="144">
        <f t="shared" si="70"/>
        <v>3150000</v>
      </c>
      <c r="K2349" s="108" t="s">
        <v>8491</v>
      </c>
      <c r="L2349" s="199" t="s">
        <v>8492</v>
      </c>
      <c r="M2349" s="17"/>
      <c r="N2349" s="64" t="s">
        <v>8493</v>
      </c>
      <c r="O2349" s="68"/>
      <c r="P2349" s="170"/>
      <c r="Q2349" s="149"/>
      <c r="R2349" s="149"/>
      <c r="S2349" s="149"/>
      <c r="T2349" s="141">
        <v>3500000.0</v>
      </c>
      <c r="U2349" s="149"/>
      <c r="V2349" s="149"/>
      <c r="W2349" s="149"/>
      <c r="X2349" s="64" t="s">
        <v>7976</v>
      </c>
      <c r="Y2349" s="68"/>
      <c r="Z2349" s="68"/>
    </row>
    <row r="2350" ht="15.0" customHeight="1">
      <c r="A2350" s="206">
        <v>46086.0</v>
      </c>
      <c r="B2350" s="201" t="s">
        <v>8490</v>
      </c>
      <c r="C2350" s="64" t="s">
        <v>7011</v>
      </c>
      <c r="D2350" s="140" t="str">
        <f>IFERROR(VLOOKUP(C2350,Stock,3,FALSE),"")</f>
        <v>Automotive Film Standard - Black 40%				</v>
      </c>
      <c r="E2350" s="45">
        <v>1.0</v>
      </c>
      <c r="F2350" s="198">
        <v>450000.0</v>
      </c>
      <c r="G2350" s="142">
        <f t="shared" si="68"/>
        <v>450000</v>
      </c>
      <c r="H2350" s="143">
        <v>100000.0</v>
      </c>
      <c r="I2350" s="143">
        <f t="shared" si="65"/>
        <v>350000</v>
      </c>
      <c r="J2350" s="144">
        <f t="shared" si="70"/>
        <v>350000</v>
      </c>
      <c r="K2350" s="200"/>
      <c r="L2350" s="17"/>
      <c r="M2350" s="17"/>
      <c r="N2350" s="68"/>
      <c r="O2350" s="68"/>
      <c r="P2350" s="170"/>
      <c r="Q2350" s="149"/>
      <c r="R2350" s="149"/>
      <c r="S2350" s="149"/>
      <c r="T2350" s="149"/>
      <c r="U2350" s="149"/>
      <c r="V2350" s="149"/>
      <c r="W2350" s="149"/>
      <c r="X2350" s="68"/>
      <c r="Y2350" s="68"/>
      <c r="Z2350" s="68"/>
    </row>
    <row r="2351" ht="15.0" customHeight="1">
      <c r="A2351" s="206">
        <v>46086.0</v>
      </c>
      <c r="B2351" s="201" t="s">
        <v>8494</v>
      </c>
      <c r="C2351" s="64" t="s">
        <v>7221</v>
      </c>
      <c r="D2351" s="140" t="str">
        <f>IFERROR(VLOOKUP(C2351,Stock,3,FALSE),"")</f>
        <v>Suzuki Ertiga 12-18 1st Gen MPV</v>
      </c>
      <c r="E2351" s="45">
        <v>1.0</v>
      </c>
      <c r="F2351" s="198">
        <v>1160000.0</v>
      </c>
      <c r="G2351" s="142">
        <f t="shared" si="68"/>
        <v>1160000</v>
      </c>
      <c r="H2351" s="142"/>
      <c r="I2351" s="143">
        <f t="shared" si="65"/>
        <v>1160000</v>
      </c>
      <c r="J2351" s="144">
        <f t="shared" si="70"/>
        <v>1160000</v>
      </c>
      <c r="K2351" s="108" t="s">
        <v>8495</v>
      </c>
      <c r="L2351" s="199" t="s">
        <v>8496</v>
      </c>
      <c r="M2351" s="17"/>
      <c r="N2351" s="64" t="s">
        <v>8497</v>
      </c>
      <c r="O2351" s="68"/>
      <c r="P2351" s="170"/>
      <c r="Q2351" s="141">
        <v>1510000.0</v>
      </c>
      <c r="R2351" s="149"/>
      <c r="S2351" s="149"/>
      <c r="T2351" s="149"/>
      <c r="U2351" s="149"/>
      <c r="V2351" s="149"/>
      <c r="W2351" s="149"/>
      <c r="X2351" s="64" t="s">
        <v>7976</v>
      </c>
      <c r="Y2351" s="68"/>
      <c r="Z2351" s="68"/>
    </row>
    <row r="2352" ht="15.0" customHeight="1">
      <c r="A2352" s="206">
        <v>46086.0</v>
      </c>
      <c r="B2352" s="201" t="s">
        <v>8494</v>
      </c>
      <c r="C2352" s="45" t="s">
        <v>7011</v>
      </c>
      <c r="D2352" s="140" t="str">
        <f>IFERROR(VLOOKUP(C2352,Stock,3,FALSE),"")</f>
        <v>Automotive Film Standard - Black 40%				</v>
      </c>
      <c r="E2352" s="45">
        <v>1.0</v>
      </c>
      <c r="F2352" s="198">
        <v>350000.0</v>
      </c>
      <c r="G2352" s="142">
        <f t="shared" si="68"/>
        <v>350000</v>
      </c>
      <c r="H2352" s="142"/>
      <c r="I2352" s="143">
        <f t="shared" si="65"/>
        <v>350000</v>
      </c>
      <c r="J2352" s="144">
        <f t="shared" si="70"/>
        <v>350000</v>
      </c>
      <c r="K2352" s="200"/>
      <c r="L2352" s="17"/>
      <c r="M2352" s="17"/>
      <c r="N2352" s="68"/>
      <c r="O2352" s="68"/>
      <c r="P2352" s="170"/>
      <c r="Q2352" s="149"/>
      <c r="R2352" s="149"/>
      <c r="S2352" s="149"/>
      <c r="T2352" s="149"/>
      <c r="U2352" s="149"/>
      <c r="V2352" s="149"/>
      <c r="W2352" s="149"/>
      <c r="X2352" s="68"/>
      <c r="Y2352" s="68"/>
      <c r="Z2352" s="68"/>
    </row>
    <row r="2353" ht="15.0" customHeight="1">
      <c r="A2353" s="206">
        <v>46086.0</v>
      </c>
      <c r="B2353" s="201" t="s">
        <v>8498</v>
      </c>
      <c r="C2353" s="45" t="s">
        <v>3528</v>
      </c>
      <c r="D2353" s="140" t="str">
        <f>IFERROR(VLOOKUP(C2353,Stock,3,FALSE),"")</f>
        <v>Hyundai Stargazer 22-</v>
      </c>
      <c r="E2353" s="45">
        <v>1.0</v>
      </c>
      <c r="F2353" s="198">
        <v>1550000.0</v>
      </c>
      <c r="G2353" s="142">
        <f t="shared" si="68"/>
        <v>1550000</v>
      </c>
      <c r="H2353" s="142"/>
      <c r="I2353" s="143">
        <v>1550000.0</v>
      </c>
      <c r="J2353" s="144">
        <f t="shared" si="70"/>
        <v>1550000</v>
      </c>
      <c r="K2353" s="64" t="s">
        <v>8499</v>
      </c>
      <c r="L2353" s="199" t="s">
        <v>8500</v>
      </c>
      <c r="M2353" s="17"/>
      <c r="N2353" s="64" t="s">
        <v>8501</v>
      </c>
      <c r="O2353" s="68"/>
      <c r="P2353" s="170"/>
      <c r="Q2353" s="141"/>
      <c r="R2353" s="149"/>
      <c r="S2353" s="141"/>
      <c r="T2353" s="141">
        <v>1630000.0</v>
      </c>
      <c r="U2353" s="149"/>
      <c r="V2353" s="149"/>
      <c r="W2353" s="149"/>
      <c r="X2353" s="64" t="s">
        <v>7976</v>
      </c>
      <c r="Y2353" s="68"/>
      <c r="Z2353" s="68"/>
    </row>
    <row r="2354" ht="15.0" customHeight="1">
      <c r="A2354" s="206">
        <v>46086.0</v>
      </c>
      <c r="B2354" s="201" t="s">
        <v>8498</v>
      </c>
      <c r="C2354" s="45" t="s">
        <v>2770</v>
      </c>
      <c r="D2354" s="140" t="str">
        <f>IFERROR(VLOOKUP(C2354,Stock,3,FALSE),"")</f>
        <v>Transport</v>
      </c>
      <c r="E2354" s="45">
        <v>1.0</v>
      </c>
      <c r="F2354" s="198">
        <v>180000.0</v>
      </c>
      <c r="G2354" s="142">
        <f t="shared" si="68"/>
        <v>180000</v>
      </c>
      <c r="H2354" s="142"/>
      <c r="I2354" s="143">
        <f t="shared" ref="I2354:I2561" si="71">G2354-H2354</f>
        <v>180000</v>
      </c>
      <c r="J2354" s="144">
        <f t="shared" si="70"/>
        <v>180000</v>
      </c>
      <c r="K2354" s="200"/>
      <c r="L2354" s="17"/>
      <c r="M2354" s="17"/>
      <c r="N2354" s="68"/>
      <c r="O2354" s="68"/>
      <c r="P2354" s="170"/>
      <c r="Q2354" s="149"/>
      <c r="R2354" s="149"/>
      <c r="S2354" s="149"/>
      <c r="T2354" s="149"/>
      <c r="U2354" s="149"/>
      <c r="V2354" s="149"/>
      <c r="W2354" s="149"/>
      <c r="X2354" s="68"/>
      <c r="Y2354" s="68"/>
      <c r="Z2354" s="68"/>
    </row>
    <row r="2355" ht="15.0" customHeight="1">
      <c r="A2355" s="206">
        <v>46086.0</v>
      </c>
      <c r="B2355" s="201" t="s">
        <v>8502</v>
      </c>
      <c r="C2355" s="45" t="s">
        <v>8503</v>
      </c>
      <c r="D2355" s="140" t="str">
        <f>IFERROR(VLOOKUP(C2355,Stock,3,FALSE),"")</f>
        <v>Wuling Confero / Formo</v>
      </c>
      <c r="E2355" s="45">
        <v>1.0</v>
      </c>
      <c r="F2355" s="198">
        <v>685000.0</v>
      </c>
      <c r="G2355" s="142">
        <f t="shared" si="68"/>
        <v>685000</v>
      </c>
      <c r="H2355" s="142"/>
      <c r="I2355" s="143">
        <f t="shared" si="71"/>
        <v>685000</v>
      </c>
      <c r="J2355" s="144">
        <f t="shared" si="70"/>
        <v>685000</v>
      </c>
      <c r="K2355" s="200"/>
      <c r="L2355" s="199" t="s">
        <v>8504</v>
      </c>
      <c r="M2355" s="17"/>
      <c r="N2355" s="64" t="s">
        <v>8505</v>
      </c>
      <c r="O2355" s="68"/>
      <c r="P2355" s="170"/>
      <c r="Q2355" s="149"/>
      <c r="R2355" s="149"/>
      <c r="S2355" s="141">
        <v>100000.0</v>
      </c>
      <c r="T2355" s="141">
        <v>685000.0</v>
      </c>
      <c r="U2355" s="149"/>
      <c r="V2355" s="149"/>
      <c r="W2355" s="149"/>
      <c r="X2355" s="64" t="s">
        <v>8232</v>
      </c>
      <c r="Y2355" s="68"/>
      <c r="Z2355" s="68"/>
    </row>
    <row r="2356" ht="15.0" customHeight="1">
      <c r="A2356" s="206">
        <v>46086.0</v>
      </c>
      <c r="B2356" s="201" t="s">
        <v>8502</v>
      </c>
      <c r="C2356" s="45" t="s">
        <v>5254</v>
      </c>
      <c r="D2356" s="140" t="str">
        <f>IFERROR(VLOOKUP(C2356,Stock,3,FALSE),"")</f>
        <v>Automotive Film Standard - Black 40%				</v>
      </c>
      <c r="E2356" s="45">
        <v>1.0</v>
      </c>
      <c r="F2356" s="198">
        <v>100000.0</v>
      </c>
      <c r="G2356" s="142">
        <f t="shared" si="68"/>
        <v>100000</v>
      </c>
      <c r="H2356" s="142"/>
      <c r="I2356" s="143">
        <f t="shared" si="71"/>
        <v>100000</v>
      </c>
      <c r="J2356" s="144">
        <f t="shared" si="70"/>
        <v>100000</v>
      </c>
      <c r="K2356" s="200"/>
      <c r="L2356" s="17"/>
      <c r="M2356" s="17"/>
      <c r="N2356" s="68"/>
      <c r="O2356" s="68"/>
      <c r="P2356" s="170"/>
      <c r="Q2356" s="149"/>
      <c r="R2356" s="149"/>
      <c r="S2356" s="149"/>
      <c r="T2356" s="149"/>
      <c r="U2356" s="149"/>
      <c r="V2356" s="149"/>
      <c r="W2356" s="149"/>
      <c r="X2356" s="68"/>
      <c r="Y2356" s="68"/>
      <c r="Z2356" s="68"/>
    </row>
    <row r="2357" ht="15.0" customHeight="1">
      <c r="A2357" s="206">
        <v>46086.0</v>
      </c>
      <c r="B2357" s="201" t="s">
        <v>8506</v>
      </c>
      <c r="C2357" s="45" t="s">
        <v>7265</v>
      </c>
      <c r="D2357" s="140" t="str">
        <f>IFERROR(VLOOKUP(C2357,Stock,3,FALSE),"")</f>
        <v>Hino Ranger Louhan 03- / Hino 500</v>
      </c>
      <c r="E2357" s="45">
        <v>1.0</v>
      </c>
      <c r="F2357" s="198">
        <v>1921000.0</v>
      </c>
      <c r="G2357" s="142">
        <f t="shared" si="68"/>
        <v>1921000</v>
      </c>
      <c r="H2357" s="143">
        <v>21000.0</v>
      </c>
      <c r="I2357" s="143">
        <f t="shared" si="71"/>
        <v>1900000</v>
      </c>
      <c r="J2357" s="144">
        <f t="shared" si="70"/>
        <v>1900000</v>
      </c>
      <c r="K2357" s="108" t="s">
        <v>8507</v>
      </c>
      <c r="L2357" s="199" t="s">
        <v>8508</v>
      </c>
      <c r="M2357" s="17"/>
      <c r="N2357" s="64" t="s">
        <v>8509</v>
      </c>
      <c r="O2357" s="68"/>
      <c r="P2357" s="170"/>
      <c r="Q2357" s="141">
        <v>1800000.0</v>
      </c>
      <c r="R2357" s="149"/>
      <c r="S2357" s="141">
        <v>100000.0</v>
      </c>
      <c r="T2357" s="149"/>
      <c r="U2357" s="149"/>
      <c r="V2357" s="149"/>
      <c r="W2357" s="149"/>
      <c r="X2357" s="64"/>
      <c r="Y2357" s="68"/>
      <c r="Z2357" s="68"/>
    </row>
    <row r="2358" ht="15.0" customHeight="1">
      <c r="A2358" s="206">
        <v>46086.0</v>
      </c>
      <c r="B2358" s="201" t="s">
        <v>8506</v>
      </c>
      <c r="C2358" s="45" t="s">
        <v>2770</v>
      </c>
      <c r="D2358" s="140" t="str">
        <f>IFERROR(VLOOKUP(C2358,Stock,3,FALSE),"")</f>
        <v>Transport</v>
      </c>
      <c r="E2358" s="45">
        <v>1.0</v>
      </c>
      <c r="F2358" s="198">
        <v>50000.0</v>
      </c>
      <c r="G2358" s="142">
        <f t="shared" si="68"/>
        <v>50000</v>
      </c>
      <c r="H2358" s="142"/>
      <c r="I2358" s="143">
        <f t="shared" si="71"/>
        <v>50000</v>
      </c>
      <c r="J2358" s="144">
        <f t="shared" si="70"/>
        <v>50000</v>
      </c>
      <c r="K2358" s="200"/>
      <c r="L2358" s="17"/>
      <c r="M2358" s="17"/>
      <c r="N2358" s="68"/>
      <c r="O2358" s="68"/>
      <c r="P2358" s="170"/>
      <c r="Q2358" s="149"/>
      <c r="R2358" s="149"/>
      <c r="S2358" s="149"/>
      <c r="T2358" s="149"/>
      <c r="U2358" s="149"/>
      <c r="V2358" s="149"/>
      <c r="W2358" s="149"/>
      <c r="X2358" s="68"/>
      <c r="Y2358" s="68"/>
      <c r="Z2358" s="68"/>
    </row>
    <row r="2359" ht="15.0" customHeight="1">
      <c r="A2359" s="206">
        <v>46086.0</v>
      </c>
      <c r="B2359" s="398" t="s">
        <v>8510</v>
      </c>
      <c r="C2359" s="45" t="s">
        <v>3246</v>
      </c>
      <c r="D2359" s="140" t="str">
        <f>IFERROR(VLOOKUP(C2359,Stock,3,FALSE),"")</f>
        <v>Toyota Calya / Sigra 16-</v>
      </c>
      <c r="E2359" s="45">
        <v>1.0</v>
      </c>
      <c r="F2359" s="198">
        <v>919000.0</v>
      </c>
      <c r="G2359" s="142">
        <f t="shared" si="68"/>
        <v>919000</v>
      </c>
      <c r="H2359" s="142"/>
      <c r="I2359" s="143">
        <f t="shared" si="71"/>
        <v>919000</v>
      </c>
      <c r="J2359" s="144">
        <f t="shared" si="70"/>
        <v>919000</v>
      </c>
      <c r="K2359" s="108" t="s">
        <v>8511</v>
      </c>
      <c r="L2359" s="199" t="s">
        <v>8512</v>
      </c>
      <c r="M2359" s="17"/>
      <c r="N2359" s="68"/>
      <c r="O2359" s="68"/>
      <c r="P2359" s="170"/>
      <c r="Q2359" s="149"/>
      <c r="R2359" s="149"/>
      <c r="S2359" s="149"/>
      <c r="T2359" s="141">
        <v>919000.0</v>
      </c>
      <c r="U2359" s="149"/>
      <c r="V2359" s="149"/>
      <c r="W2359" s="149"/>
      <c r="X2359" s="64" t="s">
        <v>8232</v>
      </c>
      <c r="Y2359" s="68"/>
      <c r="Z2359" s="68"/>
    </row>
    <row r="2360" ht="15.0" customHeight="1">
      <c r="A2360" s="206">
        <v>46087.0</v>
      </c>
      <c r="B2360" s="201" t="s">
        <v>8513</v>
      </c>
      <c r="C2360" s="45" t="s">
        <v>7199</v>
      </c>
      <c r="D2360" s="140" t="str">
        <f>IFERROR(VLOOKUP(C2360,Stock,3,FALSE),"")</f>
        <v>Daihatsu Gran Max / Luxio 07-</v>
      </c>
      <c r="E2360" s="45">
        <v>1.0</v>
      </c>
      <c r="F2360" s="198">
        <v>1000000.0</v>
      </c>
      <c r="G2360" s="142">
        <f t="shared" si="68"/>
        <v>1000000</v>
      </c>
      <c r="H2360" s="142"/>
      <c r="I2360" s="143">
        <f t="shared" si="71"/>
        <v>1000000</v>
      </c>
      <c r="J2360" s="144">
        <f t="shared" si="70"/>
        <v>1000000</v>
      </c>
      <c r="K2360" s="108" t="s">
        <v>6014</v>
      </c>
      <c r="L2360" s="199" t="s">
        <v>8514</v>
      </c>
      <c r="M2360" s="17"/>
      <c r="N2360" s="64" t="s">
        <v>8515</v>
      </c>
      <c r="O2360" s="68"/>
      <c r="P2360" s="170"/>
      <c r="Q2360" s="149"/>
      <c r="R2360" s="149"/>
      <c r="S2360" s="149"/>
      <c r="T2360" s="141"/>
      <c r="U2360" s="149"/>
      <c r="V2360" s="149"/>
      <c r="W2360" s="149"/>
      <c r="X2360" s="64"/>
      <c r="Y2360" s="68"/>
      <c r="Z2360" s="68"/>
    </row>
    <row r="2361" ht="15.0" customHeight="1">
      <c r="A2361" s="206">
        <v>46087.0</v>
      </c>
      <c r="B2361" s="201" t="s">
        <v>8516</v>
      </c>
      <c r="C2361" s="45" t="s">
        <v>5526</v>
      </c>
      <c r="D2361" s="140" t="str">
        <f>IFERROR(VLOOKUP(C2361,Stock,3,FALSE),"")</f>
        <v>Toyota Fortuner 05-15 1st Gen (Hitam)</v>
      </c>
      <c r="E2361" s="45">
        <v>1.0</v>
      </c>
      <c r="F2361" s="198">
        <v>2000000.0</v>
      </c>
      <c r="G2361" s="142">
        <f t="shared" si="68"/>
        <v>2000000</v>
      </c>
      <c r="H2361" s="143">
        <v>291250.0</v>
      </c>
      <c r="I2361" s="143">
        <f t="shared" si="71"/>
        <v>1708750</v>
      </c>
      <c r="J2361" s="144">
        <f t="shared" si="70"/>
        <v>1708750</v>
      </c>
      <c r="K2361" s="108" t="s">
        <v>8517</v>
      </c>
      <c r="L2361" s="199" t="s">
        <v>8518</v>
      </c>
      <c r="M2361" s="17"/>
      <c r="N2361" s="68"/>
      <c r="O2361" s="68"/>
      <c r="P2361" s="170"/>
      <c r="Q2361" s="149"/>
      <c r="R2361" s="149"/>
      <c r="S2361" s="149"/>
      <c r="T2361" s="149"/>
      <c r="U2361" s="149"/>
      <c r="V2361" s="149"/>
      <c r="W2361" s="149"/>
      <c r="X2361" s="68"/>
      <c r="Y2361" s="68"/>
      <c r="Z2361" s="68"/>
    </row>
    <row r="2362" ht="15.0" customHeight="1">
      <c r="A2362" s="206">
        <v>46087.0</v>
      </c>
      <c r="B2362" s="201" t="s">
        <v>8516</v>
      </c>
      <c r="C2362" s="45" t="s">
        <v>2885</v>
      </c>
      <c r="D2362" s="140" t="str">
        <f>IFERROR(VLOOKUP(C2362,Stock,3,FALSE),"")</f>
        <v>Bongkar Pasang Kaca Mobil Belakang</v>
      </c>
      <c r="E2362" s="45">
        <v>1.0</v>
      </c>
      <c r="F2362" s="198">
        <v>350000.0</v>
      </c>
      <c r="G2362" s="142">
        <f t="shared" si="68"/>
        <v>350000</v>
      </c>
      <c r="H2362" s="142"/>
      <c r="I2362" s="143">
        <f t="shared" si="71"/>
        <v>350000</v>
      </c>
      <c r="J2362" s="144">
        <f t="shared" si="70"/>
        <v>350000</v>
      </c>
      <c r="K2362" s="200"/>
      <c r="L2362" s="17"/>
      <c r="M2362" s="17"/>
      <c r="N2362" s="68"/>
      <c r="O2362" s="68"/>
      <c r="P2362" s="170"/>
      <c r="Q2362" s="149"/>
      <c r="R2362" s="149"/>
      <c r="S2362" s="149"/>
      <c r="T2362" s="149"/>
      <c r="U2362" s="149"/>
      <c r="V2362" s="149"/>
      <c r="W2362" s="149"/>
      <c r="X2362" s="68"/>
      <c r="Y2362" s="68"/>
      <c r="Z2362" s="68"/>
    </row>
    <row r="2363" ht="15.0" customHeight="1">
      <c r="A2363" s="441">
        <v>46087.0</v>
      </c>
      <c r="B2363" s="201" t="s">
        <v>8519</v>
      </c>
      <c r="C2363" s="45" t="s">
        <v>3246</v>
      </c>
      <c r="D2363" s="140" t="str">
        <f>IFERROR(VLOOKUP(C2363,Stock,3,FALSE),"")</f>
        <v>Toyota Calya / Sigra 16-</v>
      </c>
      <c r="E2363" s="45">
        <v>1.0</v>
      </c>
      <c r="F2363" s="198">
        <v>1119000.0</v>
      </c>
      <c r="G2363" s="142">
        <f t="shared" si="68"/>
        <v>1119000</v>
      </c>
      <c r="H2363" s="143">
        <v>49000.0</v>
      </c>
      <c r="I2363" s="143">
        <f t="shared" si="71"/>
        <v>1070000</v>
      </c>
      <c r="J2363" s="144">
        <f t="shared" si="70"/>
        <v>1070000</v>
      </c>
      <c r="K2363" s="108" t="s">
        <v>4419</v>
      </c>
      <c r="L2363" s="199" t="s">
        <v>8520</v>
      </c>
      <c r="M2363" s="17"/>
      <c r="N2363" s="64" t="s">
        <v>8521</v>
      </c>
      <c r="O2363" s="68"/>
      <c r="P2363" s="170"/>
      <c r="Q2363" s="149"/>
      <c r="R2363" s="149"/>
      <c r="S2363" s="149"/>
      <c r="T2363" s="141">
        <v>1070000.0</v>
      </c>
      <c r="U2363" s="149"/>
      <c r="V2363" s="149"/>
      <c r="W2363" s="149"/>
      <c r="X2363" s="64" t="s">
        <v>8232</v>
      </c>
      <c r="Y2363" s="68"/>
      <c r="Z2363" s="68"/>
    </row>
    <row r="2364" ht="15.0" customHeight="1">
      <c r="A2364" s="206">
        <v>46087.0</v>
      </c>
      <c r="B2364" s="201" t="s">
        <v>8522</v>
      </c>
      <c r="C2364" s="45" t="s">
        <v>3126</v>
      </c>
      <c r="D2364" s="140" t="str">
        <f>IFERROR(VLOOKUP(C2364,Stock,3,FALSE),"")</f>
        <v>Suzuki Carry New 19-</v>
      </c>
      <c r="E2364" s="45">
        <v>1.0</v>
      </c>
      <c r="F2364" s="198">
        <v>1040000.0</v>
      </c>
      <c r="G2364" s="142">
        <f t="shared" si="68"/>
        <v>1040000</v>
      </c>
      <c r="H2364" s="142"/>
      <c r="I2364" s="143">
        <f t="shared" si="71"/>
        <v>1040000</v>
      </c>
      <c r="J2364" s="144">
        <f t="shared" si="70"/>
        <v>1040000</v>
      </c>
      <c r="K2364" s="108" t="s">
        <v>8523</v>
      </c>
      <c r="L2364" s="199" t="s">
        <v>8524</v>
      </c>
      <c r="M2364" s="17"/>
      <c r="N2364" s="64" t="s">
        <v>8525</v>
      </c>
      <c r="O2364" s="68"/>
      <c r="P2364" s="170"/>
      <c r="Q2364" s="149"/>
      <c r="R2364" s="149"/>
      <c r="S2364" s="141">
        <v>100000.0</v>
      </c>
      <c r="T2364" s="141">
        <v>990000.0</v>
      </c>
      <c r="U2364" s="149"/>
      <c r="V2364" s="149"/>
      <c r="W2364" s="149"/>
      <c r="X2364" s="64" t="s">
        <v>7976</v>
      </c>
      <c r="Y2364" s="68"/>
      <c r="Z2364" s="68"/>
    </row>
    <row r="2365" ht="15.0" customHeight="1">
      <c r="A2365" s="206">
        <v>46087.0</v>
      </c>
      <c r="B2365" s="201" t="s">
        <v>8522</v>
      </c>
      <c r="C2365" s="45" t="s">
        <v>2770</v>
      </c>
      <c r="D2365" s="140" t="str">
        <f>IFERROR(VLOOKUP(C2365,Stock,3,FALSE),"")</f>
        <v>Transport</v>
      </c>
      <c r="E2365" s="45">
        <v>1.0</v>
      </c>
      <c r="F2365" s="198">
        <v>50000.0</v>
      </c>
      <c r="G2365" s="142">
        <f t="shared" si="68"/>
        <v>50000</v>
      </c>
      <c r="H2365" s="142"/>
      <c r="I2365" s="143">
        <f t="shared" si="71"/>
        <v>50000</v>
      </c>
      <c r="J2365" s="144">
        <f t="shared" si="70"/>
        <v>50000</v>
      </c>
      <c r="K2365" s="108" t="s">
        <v>8523</v>
      </c>
      <c r="L2365" s="199" t="s">
        <v>8524</v>
      </c>
      <c r="M2365" s="17"/>
      <c r="N2365" s="64" t="s">
        <v>8525</v>
      </c>
      <c r="O2365" s="68"/>
      <c r="P2365" s="170"/>
      <c r="Q2365" s="149"/>
      <c r="R2365" s="149"/>
      <c r="S2365" s="149"/>
      <c r="T2365" s="149"/>
      <c r="U2365" s="149"/>
      <c r="V2365" s="149"/>
      <c r="W2365" s="149"/>
      <c r="X2365" s="68"/>
      <c r="Y2365" s="68"/>
      <c r="Z2365" s="68"/>
    </row>
    <row r="2366" ht="15.0" customHeight="1">
      <c r="A2366" s="206">
        <v>46087.0</v>
      </c>
      <c r="B2366" s="201" t="s">
        <v>8526</v>
      </c>
      <c r="C2366" s="45" t="s">
        <v>7589</v>
      </c>
      <c r="D2366" s="140" t="str">
        <f>IFERROR(VLOOKUP(C2366,Stock,3,FALSE),"")</f>
        <v>Honda Jazz 07-13 2nd Gen</v>
      </c>
      <c r="E2366" s="45">
        <v>1.0</v>
      </c>
      <c r="F2366" s="198">
        <v>1618000.0</v>
      </c>
      <c r="G2366" s="142">
        <f t="shared" si="68"/>
        <v>1618000</v>
      </c>
      <c r="H2366" s="142"/>
      <c r="I2366" s="143">
        <f t="shared" si="71"/>
        <v>1618000</v>
      </c>
      <c r="J2366" s="144">
        <f t="shared" si="70"/>
        <v>1618000</v>
      </c>
      <c r="K2366" s="108" t="s">
        <v>8527</v>
      </c>
      <c r="L2366" s="199" t="s">
        <v>8528</v>
      </c>
      <c r="M2366" s="17"/>
      <c r="N2366" s="64" t="s">
        <v>8529</v>
      </c>
      <c r="O2366" s="68"/>
      <c r="P2366" s="170"/>
      <c r="Q2366" s="149"/>
      <c r="R2366" s="149"/>
      <c r="S2366" s="149"/>
      <c r="T2366" s="141">
        <v>1618000.0</v>
      </c>
      <c r="U2366" s="149"/>
      <c r="V2366" s="149"/>
      <c r="W2366" s="149"/>
      <c r="X2366" s="64" t="s">
        <v>8232</v>
      </c>
      <c r="Y2366" s="68"/>
      <c r="Z2366" s="68"/>
    </row>
    <row r="2367" ht="15.0" customHeight="1">
      <c r="A2367" s="206">
        <v>46087.0</v>
      </c>
      <c r="B2367" s="370" t="s">
        <v>8530</v>
      </c>
      <c r="C2367" s="447" t="s">
        <v>6637</v>
      </c>
      <c r="D2367" s="448" t="str">
        <f>IFERROR(VLOOKUP(C2367,Stock,3,FALSE),"")</f>
        <v>Chery Omoda 5 23- (2 Sensor O /\ )</v>
      </c>
      <c r="E2367" s="447">
        <v>1.0</v>
      </c>
      <c r="F2367" s="449">
        <v>3900000.0</v>
      </c>
      <c r="G2367" s="450">
        <f t="shared" si="68"/>
        <v>3900000</v>
      </c>
      <c r="H2367" s="450"/>
      <c r="I2367" s="451">
        <f t="shared" si="71"/>
        <v>3900000</v>
      </c>
      <c r="J2367" s="452">
        <f t="shared" si="70"/>
        <v>3900000</v>
      </c>
      <c r="K2367" s="453" t="s">
        <v>6615</v>
      </c>
      <c r="L2367" s="461" t="s">
        <v>8531</v>
      </c>
      <c r="M2367" s="455"/>
      <c r="N2367" s="462" t="s">
        <v>8532</v>
      </c>
      <c r="O2367" s="456"/>
      <c r="P2367" s="457"/>
      <c r="Q2367" s="458">
        <v>3800000.0</v>
      </c>
      <c r="R2367" s="459"/>
      <c r="S2367" s="458">
        <v>100000.0</v>
      </c>
      <c r="T2367" s="459"/>
      <c r="U2367" s="459"/>
      <c r="V2367" s="459"/>
      <c r="W2367" s="459"/>
      <c r="X2367" s="462" t="s">
        <v>7976</v>
      </c>
      <c r="Y2367" s="175"/>
      <c r="Z2367" s="175"/>
    </row>
    <row r="2368" ht="15.0" customHeight="1">
      <c r="A2368" s="206">
        <v>46087.0</v>
      </c>
      <c r="B2368" s="398" t="s">
        <v>8533</v>
      </c>
      <c r="C2368" s="45" t="s">
        <v>7162</v>
      </c>
      <c r="D2368" s="140" t="str">
        <f>IFERROR(VLOOKUP(C2368,Stock,3,FALSE),"")</f>
        <v>Toyota Innova 04-15 1st Gen</v>
      </c>
      <c r="E2368" s="45">
        <v>1.0</v>
      </c>
      <c r="F2368" s="198">
        <v>1366000.0</v>
      </c>
      <c r="G2368" s="142">
        <f t="shared" si="68"/>
        <v>1366000</v>
      </c>
      <c r="H2368" s="143">
        <v>227605.0</v>
      </c>
      <c r="I2368" s="143">
        <f t="shared" si="71"/>
        <v>1138395</v>
      </c>
      <c r="J2368" s="144">
        <f t="shared" si="70"/>
        <v>1138395</v>
      </c>
      <c r="K2368" s="200"/>
      <c r="L2368" s="17"/>
      <c r="M2368" s="17"/>
      <c r="N2368" s="68"/>
      <c r="O2368" s="68"/>
      <c r="P2368" s="147" t="s">
        <v>8534</v>
      </c>
      <c r="Q2368" s="149"/>
      <c r="R2368" s="149"/>
      <c r="S2368" s="149"/>
      <c r="T2368" s="149"/>
      <c r="U2368" s="149"/>
      <c r="V2368" s="149"/>
      <c r="W2368" s="149"/>
      <c r="X2368" s="64" t="s">
        <v>8232</v>
      </c>
      <c r="Y2368" s="68"/>
      <c r="Z2368" s="68"/>
    </row>
    <row r="2369" ht="15.0" customHeight="1">
      <c r="A2369" s="265">
        <v>46087.0</v>
      </c>
      <c r="B2369" s="266" t="s">
        <v>8535</v>
      </c>
      <c r="C2369" s="266" t="s">
        <v>8536</v>
      </c>
      <c r="D2369" s="268" t="str">
        <f>IFERROR(VLOOKUP(C2369,Stock,3,FALSE),"")</f>
        <v>Toyota Voxy 22- 2nd Gen (Hitam)</v>
      </c>
      <c r="E2369" s="269">
        <v>1.0</v>
      </c>
      <c r="F2369" s="270"/>
      <c r="G2369" s="271">
        <f t="shared" si="68"/>
        <v>0</v>
      </c>
      <c r="H2369" s="271"/>
      <c r="I2369" s="272">
        <f t="shared" si="71"/>
        <v>0</v>
      </c>
      <c r="J2369" s="273">
        <f t="shared" si="70"/>
        <v>0</v>
      </c>
      <c r="K2369" s="267" t="s">
        <v>8487</v>
      </c>
      <c r="L2369" s="274"/>
      <c r="M2369" s="274"/>
      <c r="N2369" s="275"/>
      <c r="O2369" s="275"/>
      <c r="P2369" s="276"/>
      <c r="Q2369" s="277"/>
      <c r="R2369" s="277"/>
      <c r="S2369" s="277"/>
      <c r="T2369" s="277"/>
      <c r="U2369" s="277"/>
      <c r="V2369" s="277"/>
      <c r="W2369" s="277"/>
      <c r="X2369" s="275"/>
      <c r="Y2369" s="275"/>
      <c r="Z2369" s="275"/>
    </row>
    <row r="2370" ht="15.0" customHeight="1">
      <c r="A2370" s="265">
        <v>46087.0</v>
      </c>
      <c r="B2370" s="266"/>
      <c r="C2370" s="269" t="s">
        <v>8537</v>
      </c>
      <c r="D2370" s="268" t="str">
        <f>IFERROR(VLOOKUP(C2370,Stock,3,FALSE),"")</f>
        <v>Suzuki Wagon R 12-</v>
      </c>
      <c r="E2370" s="269">
        <v>1.0</v>
      </c>
      <c r="F2370" s="270"/>
      <c r="G2370" s="271">
        <f t="shared" si="68"/>
        <v>0</v>
      </c>
      <c r="H2370" s="271"/>
      <c r="I2370" s="272">
        <f t="shared" si="71"/>
        <v>0</v>
      </c>
      <c r="J2370" s="273">
        <f t="shared" si="70"/>
        <v>0</v>
      </c>
      <c r="K2370" s="267" t="s">
        <v>8487</v>
      </c>
      <c r="L2370" s="274"/>
      <c r="M2370" s="274"/>
      <c r="N2370" s="275"/>
      <c r="O2370" s="275"/>
      <c r="P2370" s="276"/>
      <c r="Q2370" s="277"/>
      <c r="R2370" s="277"/>
      <c r="S2370" s="277"/>
      <c r="T2370" s="277"/>
      <c r="U2370" s="277"/>
      <c r="V2370" s="277"/>
      <c r="W2370" s="277"/>
      <c r="X2370" s="275"/>
      <c r="Y2370" s="275"/>
      <c r="Z2370" s="275"/>
    </row>
    <row r="2371" ht="15.0" customHeight="1">
      <c r="A2371" s="265">
        <v>46087.0</v>
      </c>
      <c r="B2371" s="266"/>
      <c r="C2371" s="269" t="s">
        <v>3722</v>
      </c>
      <c r="D2371" s="268" t="str">
        <f>IFERROR(VLOOKUP(C2371,Stock,3,FALSE),"")</f>
        <v>Hyundai Santa Fe 12-18</v>
      </c>
      <c r="E2371" s="269">
        <v>1.0</v>
      </c>
      <c r="F2371" s="270"/>
      <c r="G2371" s="271">
        <f t="shared" si="68"/>
        <v>0</v>
      </c>
      <c r="H2371" s="271"/>
      <c r="I2371" s="272">
        <f t="shared" si="71"/>
        <v>0</v>
      </c>
      <c r="J2371" s="273">
        <f t="shared" si="70"/>
        <v>0</v>
      </c>
      <c r="K2371" s="267" t="s">
        <v>8487</v>
      </c>
      <c r="L2371" s="274"/>
      <c r="M2371" s="274"/>
      <c r="N2371" s="275"/>
      <c r="O2371" s="275"/>
      <c r="P2371" s="276"/>
      <c r="Q2371" s="277"/>
      <c r="R2371" s="277"/>
      <c r="S2371" s="277"/>
      <c r="T2371" s="277"/>
      <c r="U2371" s="277"/>
      <c r="V2371" s="277"/>
      <c r="W2371" s="277"/>
      <c r="X2371" s="275"/>
      <c r="Y2371" s="275"/>
      <c r="Z2371" s="275"/>
    </row>
    <row r="2372" ht="15.0" customHeight="1">
      <c r="A2372" s="265">
        <v>46087.0</v>
      </c>
      <c r="B2372" s="266"/>
      <c r="C2372" s="269" t="s">
        <v>3595</v>
      </c>
      <c r="D2372" s="268" t="str">
        <f>IFERROR(VLOOKUP(C2372,Stock,3,FALSE),"")</f>
        <v>Nissan X-Trail 07-13 T31</v>
      </c>
      <c r="E2372" s="269">
        <v>2.0</v>
      </c>
      <c r="F2372" s="270"/>
      <c r="G2372" s="271">
        <f t="shared" si="68"/>
        <v>0</v>
      </c>
      <c r="H2372" s="271"/>
      <c r="I2372" s="272">
        <f t="shared" si="71"/>
        <v>0</v>
      </c>
      <c r="J2372" s="273">
        <f t="shared" si="70"/>
        <v>0</v>
      </c>
      <c r="K2372" s="267" t="s">
        <v>8487</v>
      </c>
      <c r="L2372" s="274"/>
      <c r="M2372" s="274"/>
      <c r="N2372" s="275"/>
      <c r="O2372" s="275"/>
      <c r="P2372" s="276"/>
      <c r="Q2372" s="277"/>
      <c r="R2372" s="277"/>
      <c r="S2372" s="277"/>
      <c r="T2372" s="277"/>
      <c r="U2372" s="277"/>
      <c r="V2372" s="277"/>
      <c r="W2372" s="277"/>
      <c r="X2372" s="275"/>
      <c r="Y2372" s="275"/>
      <c r="Z2372" s="275"/>
    </row>
    <row r="2373" ht="15.0" customHeight="1">
      <c r="A2373" s="265">
        <v>46087.0</v>
      </c>
      <c r="B2373" s="266"/>
      <c r="C2373" s="269" t="s">
        <v>7011</v>
      </c>
      <c r="D2373" s="268" t="str">
        <f>IFERROR(VLOOKUP(C2373,Stock,3,FALSE),"")</f>
        <v>Automotive Film Standard - Black 40%				</v>
      </c>
      <c r="E2373" s="269">
        <v>1.0</v>
      </c>
      <c r="F2373" s="270"/>
      <c r="G2373" s="271">
        <f t="shared" si="68"/>
        <v>0</v>
      </c>
      <c r="H2373" s="271"/>
      <c r="I2373" s="272">
        <f t="shared" si="71"/>
        <v>0</v>
      </c>
      <c r="J2373" s="273">
        <f t="shared" si="70"/>
        <v>0</v>
      </c>
      <c r="K2373" s="267" t="s">
        <v>8487</v>
      </c>
      <c r="L2373" s="274"/>
      <c r="M2373" s="274"/>
      <c r="N2373" s="275"/>
      <c r="O2373" s="275"/>
      <c r="P2373" s="276"/>
      <c r="Q2373" s="277"/>
      <c r="R2373" s="277"/>
      <c r="S2373" s="277"/>
      <c r="T2373" s="277"/>
      <c r="U2373" s="277"/>
      <c r="V2373" s="277"/>
      <c r="W2373" s="277"/>
      <c r="X2373" s="275"/>
      <c r="Y2373" s="275"/>
      <c r="Z2373" s="275"/>
    </row>
    <row r="2374" ht="15.0" customHeight="1">
      <c r="A2374" s="265">
        <v>46087.0</v>
      </c>
      <c r="B2374" s="266"/>
      <c r="C2374" s="269" t="s">
        <v>8538</v>
      </c>
      <c r="D2374" s="268" t="str">
        <f>IFERROR(VLOOKUP(C2374,Stock,3,FALSE),"")</f>
        <v/>
      </c>
      <c r="E2374" s="269">
        <v>1.0</v>
      </c>
      <c r="F2374" s="270"/>
      <c r="G2374" s="271">
        <f t="shared" si="68"/>
        <v>0</v>
      </c>
      <c r="H2374" s="271"/>
      <c r="I2374" s="272">
        <f t="shared" si="71"/>
        <v>0</v>
      </c>
      <c r="J2374" s="273">
        <f t="shared" si="70"/>
        <v>0</v>
      </c>
      <c r="K2374" s="267" t="s">
        <v>8487</v>
      </c>
      <c r="L2374" s="274"/>
      <c r="M2374" s="274"/>
      <c r="N2374" s="275"/>
      <c r="O2374" s="275"/>
      <c r="P2374" s="276"/>
      <c r="Q2374" s="277"/>
      <c r="R2374" s="277"/>
      <c r="S2374" s="277"/>
      <c r="T2374" s="277"/>
      <c r="U2374" s="277"/>
      <c r="V2374" s="277"/>
      <c r="W2374" s="277"/>
      <c r="X2374" s="275"/>
      <c r="Y2374" s="275"/>
      <c r="Z2374" s="275"/>
    </row>
    <row r="2375" ht="15.0" customHeight="1">
      <c r="A2375" s="265">
        <v>46087.0</v>
      </c>
      <c r="B2375" s="266"/>
      <c r="C2375" s="269" t="s">
        <v>8539</v>
      </c>
      <c r="D2375" s="268" t="str">
        <f>IFERROR(VLOOKUP(C2375,Stock,3,FALSE),"")</f>
        <v/>
      </c>
      <c r="E2375" s="269">
        <v>1.0</v>
      </c>
      <c r="F2375" s="270"/>
      <c r="G2375" s="271">
        <f t="shared" si="68"/>
        <v>0</v>
      </c>
      <c r="H2375" s="271"/>
      <c r="I2375" s="272">
        <f t="shared" si="71"/>
        <v>0</v>
      </c>
      <c r="J2375" s="273">
        <f t="shared" si="70"/>
        <v>0</v>
      </c>
      <c r="K2375" s="267" t="s">
        <v>8487</v>
      </c>
      <c r="L2375" s="274"/>
      <c r="M2375" s="274"/>
      <c r="N2375" s="275"/>
      <c r="O2375" s="275"/>
      <c r="P2375" s="276"/>
      <c r="Q2375" s="277"/>
      <c r="R2375" s="277"/>
      <c r="S2375" s="277"/>
      <c r="T2375" s="277"/>
      <c r="U2375" s="277"/>
      <c r="V2375" s="277"/>
      <c r="W2375" s="277"/>
      <c r="X2375" s="275"/>
      <c r="Y2375" s="275"/>
      <c r="Z2375" s="275"/>
    </row>
    <row r="2376" ht="15.0" customHeight="1">
      <c r="A2376" s="206">
        <v>46088.0</v>
      </c>
      <c r="B2376" s="201" t="s">
        <v>8540</v>
      </c>
      <c r="C2376" s="45" t="s">
        <v>6892</v>
      </c>
      <c r="D2376" s="448" t="str">
        <f>IFERROR(VLOOKUP(C2376,Stock,3,FALSE),"")</f>
        <v>Toyota Avanza / Xenia 11-15 2nd Gen / 15-21 3rd Gen</v>
      </c>
      <c r="E2376" s="447">
        <v>1.0</v>
      </c>
      <c r="F2376" s="449">
        <v>480000.0</v>
      </c>
      <c r="G2376" s="450">
        <f t="shared" si="68"/>
        <v>480000</v>
      </c>
      <c r="H2376" s="450"/>
      <c r="I2376" s="143">
        <f t="shared" si="71"/>
        <v>480000</v>
      </c>
      <c r="J2376" s="144">
        <f t="shared" si="70"/>
        <v>480000</v>
      </c>
      <c r="K2376" s="108" t="s">
        <v>8541</v>
      </c>
      <c r="L2376" s="199" t="s">
        <v>8542</v>
      </c>
      <c r="M2376" s="17"/>
      <c r="N2376" s="64" t="s">
        <v>8543</v>
      </c>
      <c r="O2376" s="68"/>
      <c r="P2376" s="170"/>
      <c r="Q2376" s="149"/>
      <c r="R2376" s="149"/>
      <c r="S2376" s="149"/>
      <c r="T2376" s="141">
        <v>480000.0</v>
      </c>
      <c r="U2376" s="149"/>
      <c r="V2376" s="149"/>
      <c r="W2376" s="149"/>
      <c r="X2376" s="64" t="s">
        <v>7976</v>
      </c>
      <c r="Y2376" s="68"/>
      <c r="Z2376" s="68"/>
    </row>
    <row r="2377" ht="15.0" customHeight="1">
      <c r="A2377" s="206" t="s">
        <v>8544</v>
      </c>
      <c r="B2377" s="201" t="s">
        <v>8545</v>
      </c>
      <c r="C2377" s="45" t="s">
        <v>2944</v>
      </c>
      <c r="D2377" s="140" t="str">
        <f>IFERROR(VLOOKUP(C2377,Stock,3,FALSE),"")</f>
        <v>Toyota Innova 04-15 1st Gen</v>
      </c>
      <c r="E2377" s="447">
        <v>1.0</v>
      </c>
      <c r="F2377" s="198">
        <v>1250000.0</v>
      </c>
      <c r="G2377" s="142">
        <f t="shared" si="68"/>
        <v>1250000</v>
      </c>
      <c r="H2377" s="142"/>
      <c r="I2377" s="143">
        <f t="shared" si="71"/>
        <v>1250000</v>
      </c>
      <c r="J2377" s="144">
        <f t="shared" si="70"/>
        <v>1250000</v>
      </c>
      <c r="K2377" s="108" t="s">
        <v>8546</v>
      </c>
      <c r="L2377" s="199" t="s">
        <v>8547</v>
      </c>
      <c r="M2377" s="17"/>
      <c r="N2377" s="64" t="s">
        <v>8548</v>
      </c>
      <c r="O2377" s="68"/>
      <c r="P2377" s="170"/>
      <c r="Q2377" s="149"/>
      <c r="R2377" s="149"/>
      <c r="S2377" s="149"/>
      <c r="T2377" s="141">
        <v>2625000.0</v>
      </c>
      <c r="U2377" s="149"/>
      <c r="V2377" s="149"/>
      <c r="W2377" s="149"/>
      <c r="X2377" s="64" t="s">
        <v>7976</v>
      </c>
      <c r="Y2377" s="68"/>
      <c r="Z2377" s="68"/>
    </row>
    <row r="2378" ht="15.0" customHeight="1">
      <c r="A2378" s="206">
        <v>46088.0</v>
      </c>
      <c r="B2378" s="201" t="s">
        <v>8545</v>
      </c>
      <c r="C2378" s="45" t="s">
        <v>4017</v>
      </c>
      <c r="D2378" s="140" t="str">
        <f>IFERROR(VLOOKUP(C2378,Stock,3,FALSE),"")</f>
        <v>Black Phantom Solar Gard</v>
      </c>
      <c r="E2378" s="447">
        <v>1.0</v>
      </c>
      <c r="F2378" s="198">
        <v>1375000.0</v>
      </c>
      <c r="G2378" s="142">
        <f t="shared" si="68"/>
        <v>1375000</v>
      </c>
      <c r="H2378" s="142"/>
      <c r="I2378" s="143">
        <f t="shared" si="71"/>
        <v>1375000</v>
      </c>
      <c r="J2378" s="144">
        <f t="shared" si="70"/>
        <v>1375000</v>
      </c>
      <c r="K2378" s="108"/>
      <c r="L2378" s="45"/>
      <c r="M2378" s="17"/>
      <c r="N2378" s="68"/>
      <c r="O2378" s="68"/>
      <c r="P2378" s="170"/>
      <c r="Q2378" s="149"/>
      <c r="R2378" s="149"/>
      <c r="S2378" s="149"/>
      <c r="T2378" s="149"/>
      <c r="U2378" s="149"/>
      <c r="V2378" s="149"/>
      <c r="W2378" s="149"/>
      <c r="X2378" s="68"/>
      <c r="Y2378" s="68"/>
      <c r="Z2378" s="68"/>
    </row>
    <row r="2379" ht="15.0" customHeight="1">
      <c r="A2379" s="206">
        <v>46088.0</v>
      </c>
      <c r="B2379" s="201" t="s">
        <v>8549</v>
      </c>
      <c r="C2379" s="45" t="s">
        <v>2990</v>
      </c>
      <c r="D2379" s="140" t="str">
        <f>IFERROR(VLOOKUP(C2379,Stock,3,FALSE),"")</f>
        <v>Daihatsu Sirion 18- 3rd Gen</v>
      </c>
      <c r="E2379" s="45">
        <v>1.0</v>
      </c>
      <c r="F2379" s="198">
        <v>1650000.0</v>
      </c>
      <c r="G2379" s="142">
        <f t="shared" si="68"/>
        <v>1650000</v>
      </c>
      <c r="H2379" s="142"/>
      <c r="I2379" s="143">
        <f t="shared" si="71"/>
        <v>1650000</v>
      </c>
      <c r="J2379" s="144">
        <f t="shared" si="70"/>
        <v>1650000</v>
      </c>
      <c r="K2379" s="108" t="s">
        <v>8550</v>
      </c>
      <c r="L2379" s="199" t="s">
        <v>8551</v>
      </c>
      <c r="M2379" s="17"/>
      <c r="N2379" s="64" t="s">
        <v>8552</v>
      </c>
      <c r="O2379" s="68"/>
      <c r="P2379" s="170"/>
      <c r="Q2379" s="149"/>
      <c r="R2379" s="149"/>
      <c r="S2379" s="149"/>
      <c r="T2379" s="64">
        <v>1650000.0</v>
      </c>
      <c r="U2379" s="149"/>
      <c r="V2379" s="149"/>
      <c r="W2379" s="149"/>
      <c r="X2379" s="64" t="s">
        <v>8219</v>
      </c>
      <c r="Y2379" s="68"/>
      <c r="Z2379" s="68"/>
    </row>
    <row r="2380" ht="15.0" customHeight="1">
      <c r="A2380" s="206">
        <v>46088.0</v>
      </c>
      <c r="B2380" s="201" t="s">
        <v>8553</v>
      </c>
      <c r="C2380" s="45" t="s">
        <v>7476</v>
      </c>
      <c r="D2380" s="140" t="str">
        <f>IFERROR(VLOOKUP(C2380,Stock,3,FALSE),"")</f>
        <v>Suzuki APV 03- Pickup/ Van (MULIA)</v>
      </c>
      <c r="E2380" s="45">
        <v>1.0</v>
      </c>
      <c r="F2380" s="198">
        <v>1200000.0</v>
      </c>
      <c r="G2380" s="142">
        <f t="shared" si="68"/>
        <v>1200000</v>
      </c>
      <c r="H2380" s="142"/>
      <c r="I2380" s="143">
        <f t="shared" si="71"/>
        <v>1200000</v>
      </c>
      <c r="J2380" s="144">
        <f t="shared" si="70"/>
        <v>1200000</v>
      </c>
      <c r="K2380" s="108" t="s">
        <v>8554</v>
      </c>
      <c r="L2380" s="199" t="s">
        <v>8555</v>
      </c>
      <c r="M2380" s="17"/>
      <c r="N2380" s="64" t="s">
        <v>8556</v>
      </c>
      <c r="O2380" s="68"/>
      <c r="P2380" s="170"/>
      <c r="Q2380" s="141">
        <v>1200000.0</v>
      </c>
      <c r="R2380" s="149"/>
      <c r="S2380" s="149"/>
      <c r="T2380" s="149"/>
      <c r="U2380" s="149"/>
      <c r="V2380" s="149"/>
      <c r="W2380" s="149"/>
      <c r="X2380" s="64" t="s">
        <v>8219</v>
      </c>
      <c r="Y2380" s="68"/>
      <c r="Z2380" s="68"/>
    </row>
    <row r="2381" ht="15.0" customHeight="1">
      <c r="A2381" s="206">
        <v>46088.0</v>
      </c>
      <c r="B2381" s="201" t="s">
        <v>8557</v>
      </c>
      <c r="C2381" s="45" t="s">
        <v>2003</v>
      </c>
      <c r="D2381" s="140" t="str">
        <f>IFERROR(VLOOKUP(C2381,Stock,3,FALSE),"")</f>
        <v>Toyota Agya/Ayla 13-22 1st Gen</v>
      </c>
      <c r="E2381" s="45">
        <v>1.0</v>
      </c>
      <c r="F2381" s="198">
        <v>950000.0</v>
      </c>
      <c r="G2381" s="142">
        <f t="shared" si="68"/>
        <v>950000</v>
      </c>
      <c r="H2381" s="143">
        <v>50000.0</v>
      </c>
      <c r="I2381" s="143">
        <f t="shared" si="71"/>
        <v>900000</v>
      </c>
      <c r="J2381" s="144">
        <f t="shared" si="70"/>
        <v>900000</v>
      </c>
      <c r="K2381" s="108" t="s">
        <v>8558</v>
      </c>
      <c r="L2381" s="45" t="s">
        <v>8559</v>
      </c>
      <c r="M2381" s="17"/>
      <c r="N2381" s="64" t="s">
        <v>8560</v>
      </c>
      <c r="O2381" s="68"/>
      <c r="P2381" s="170"/>
      <c r="Q2381" s="141">
        <v>950000.0</v>
      </c>
      <c r="R2381" s="149"/>
      <c r="S2381" s="141">
        <v>100000.0</v>
      </c>
      <c r="T2381" s="149"/>
      <c r="U2381" s="149"/>
      <c r="V2381" s="149"/>
      <c r="W2381" s="149"/>
      <c r="X2381" s="64" t="s">
        <v>8219</v>
      </c>
      <c r="Y2381" s="68"/>
      <c r="Z2381" s="68"/>
    </row>
    <row r="2382" ht="15.0" customHeight="1">
      <c r="A2382" s="206">
        <v>46088.0</v>
      </c>
      <c r="B2382" s="201" t="s">
        <v>8557</v>
      </c>
      <c r="C2382" s="45" t="s">
        <v>2770</v>
      </c>
      <c r="D2382" s="140" t="str">
        <f>IFERROR(VLOOKUP(C2382,Stock,3,FALSE),"")</f>
        <v>Transport</v>
      </c>
      <c r="E2382" s="45">
        <v>1.0</v>
      </c>
      <c r="F2382" s="198">
        <v>150000.0</v>
      </c>
      <c r="G2382" s="142">
        <f t="shared" si="68"/>
        <v>150000</v>
      </c>
      <c r="H2382" s="142"/>
      <c r="I2382" s="143">
        <f t="shared" si="71"/>
        <v>150000</v>
      </c>
      <c r="J2382" s="144">
        <f t="shared" si="70"/>
        <v>150000</v>
      </c>
      <c r="K2382" s="200"/>
      <c r="L2382" s="17"/>
      <c r="M2382" s="17"/>
      <c r="N2382" s="68"/>
      <c r="O2382" s="68"/>
      <c r="P2382" s="170"/>
      <c r="Q2382" s="149"/>
      <c r="R2382" s="149"/>
      <c r="S2382" s="149"/>
      <c r="T2382" s="149"/>
      <c r="U2382" s="149"/>
      <c r="V2382" s="149"/>
      <c r="W2382" s="149"/>
      <c r="X2382" s="68"/>
      <c r="Y2382" s="68"/>
      <c r="Z2382" s="68"/>
    </row>
    <row r="2383" ht="15.0" customHeight="1">
      <c r="A2383" s="206">
        <v>46088.0</v>
      </c>
      <c r="B2383" s="201" t="s">
        <v>8561</v>
      </c>
      <c r="C2383" s="45" t="s">
        <v>3930</v>
      </c>
      <c r="D2383" s="140" t="str">
        <f>IFERROR(VLOOKUP(C2383,Stock,3,FALSE),"")</f>
        <v>Suzuki Ertiga 18- 2nd Gen / XL7</v>
      </c>
      <c r="E2383" s="45">
        <v>1.0</v>
      </c>
      <c r="F2383" s="198">
        <v>1354000.0</v>
      </c>
      <c r="G2383" s="142">
        <f t="shared" si="68"/>
        <v>1354000</v>
      </c>
      <c r="H2383" s="142"/>
      <c r="I2383" s="143">
        <f t="shared" si="71"/>
        <v>1354000</v>
      </c>
      <c r="J2383" s="144">
        <f t="shared" si="70"/>
        <v>1354000</v>
      </c>
      <c r="K2383" s="108" t="s">
        <v>8562</v>
      </c>
      <c r="L2383" s="199" t="s">
        <v>8563</v>
      </c>
      <c r="M2383" s="17"/>
      <c r="N2383" s="64" t="s">
        <v>8564</v>
      </c>
      <c r="O2383" s="68"/>
      <c r="P2383" s="170"/>
      <c r="Q2383" s="141"/>
      <c r="R2383" s="149"/>
      <c r="S2383" s="141">
        <v>100000.0</v>
      </c>
      <c r="T2383" s="141">
        <v>1474000.0</v>
      </c>
      <c r="U2383" s="149"/>
      <c r="V2383" s="149"/>
      <c r="W2383" s="149"/>
      <c r="X2383" s="64" t="s">
        <v>8334</v>
      </c>
      <c r="Y2383" s="68"/>
      <c r="Z2383" s="68"/>
    </row>
    <row r="2384" ht="15.0" customHeight="1">
      <c r="A2384" s="206">
        <v>46088.0</v>
      </c>
      <c r="B2384" s="201" t="s">
        <v>8561</v>
      </c>
      <c r="C2384" s="45" t="s">
        <v>2770</v>
      </c>
      <c r="D2384" s="140" t="str">
        <f>IFERROR(VLOOKUP(C2384,Stock,3,FALSE),"")</f>
        <v>Transport</v>
      </c>
      <c r="E2384" s="45">
        <v>1.0</v>
      </c>
      <c r="F2384" s="198">
        <v>220000.0</v>
      </c>
      <c r="G2384" s="142">
        <f t="shared" si="68"/>
        <v>220000</v>
      </c>
      <c r="H2384" s="142"/>
      <c r="I2384" s="143">
        <f t="shared" si="71"/>
        <v>220000</v>
      </c>
      <c r="J2384" s="144">
        <f t="shared" si="70"/>
        <v>220000</v>
      </c>
      <c r="K2384" s="108" t="s">
        <v>8562</v>
      </c>
      <c r="L2384" s="199" t="s">
        <v>8563</v>
      </c>
      <c r="M2384" s="17"/>
      <c r="N2384" s="68"/>
      <c r="O2384" s="68"/>
      <c r="P2384" s="170"/>
      <c r="Q2384" s="149"/>
      <c r="R2384" s="149"/>
      <c r="S2384" s="149"/>
      <c r="T2384" s="149"/>
      <c r="U2384" s="149"/>
      <c r="V2384" s="149"/>
      <c r="W2384" s="149"/>
      <c r="X2384" s="68"/>
      <c r="Y2384" s="68"/>
      <c r="Z2384" s="68"/>
    </row>
    <row r="2385" ht="15.0" customHeight="1">
      <c r="A2385" s="206">
        <v>46088.0</v>
      </c>
      <c r="B2385" s="201" t="s">
        <v>8565</v>
      </c>
      <c r="C2385" s="45" t="s">
        <v>5166</v>
      </c>
      <c r="D2385" s="140" t="str">
        <f>IFERROR(VLOOKUP(C2385,Stock,3,FALSE),"")</f>
        <v>Honda BR-V 16-</v>
      </c>
      <c r="E2385" s="45">
        <v>1.0</v>
      </c>
      <c r="F2385" s="198">
        <v>1856000.0</v>
      </c>
      <c r="G2385" s="142">
        <f t="shared" si="68"/>
        <v>1856000</v>
      </c>
      <c r="H2385" s="142"/>
      <c r="I2385" s="143">
        <f t="shared" si="71"/>
        <v>1856000</v>
      </c>
      <c r="J2385" s="144">
        <f t="shared" si="70"/>
        <v>1856000</v>
      </c>
      <c r="K2385" s="108" t="s">
        <v>7087</v>
      </c>
      <c r="L2385" s="199" t="s">
        <v>8566</v>
      </c>
      <c r="M2385" s="17"/>
      <c r="N2385" s="463" t="s">
        <v>8567</v>
      </c>
      <c r="O2385" s="68"/>
      <c r="P2385" s="170"/>
      <c r="Q2385" s="149"/>
      <c r="R2385" s="149"/>
      <c r="S2385" s="149"/>
      <c r="T2385" s="141">
        <v>1856000.0</v>
      </c>
      <c r="U2385" s="149"/>
      <c r="V2385" s="149"/>
      <c r="W2385" s="149"/>
      <c r="X2385" s="64" t="s">
        <v>8232</v>
      </c>
      <c r="Y2385" s="68"/>
      <c r="Z2385" s="68"/>
    </row>
    <row r="2386" ht="15.0" customHeight="1">
      <c r="A2386" s="206">
        <v>46088.0</v>
      </c>
      <c r="B2386" s="201" t="s">
        <v>8568</v>
      </c>
      <c r="C2386" s="45" t="s">
        <v>8569</v>
      </c>
      <c r="D2386" s="140" t="str">
        <f>IFERROR(VLOOKUP(C2386,Stock,3,FALSE),"")</f>
        <v>Nissan Elgrand 02-10 E51 2nd Gen</v>
      </c>
      <c r="E2386" s="45">
        <v>1.0</v>
      </c>
      <c r="F2386" s="198">
        <v>3550000.0</v>
      </c>
      <c r="G2386" s="142">
        <f t="shared" si="68"/>
        <v>3550000</v>
      </c>
      <c r="H2386" s="142"/>
      <c r="I2386" s="143">
        <f t="shared" si="71"/>
        <v>3550000</v>
      </c>
      <c r="J2386" s="144">
        <f t="shared" si="70"/>
        <v>3550000</v>
      </c>
      <c r="K2386" s="108" t="s">
        <v>8570</v>
      </c>
      <c r="L2386" s="199" t="s">
        <v>8571</v>
      </c>
      <c r="M2386" s="17"/>
      <c r="N2386" s="64" t="s">
        <v>8572</v>
      </c>
      <c r="O2386" s="68"/>
      <c r="P2386" s="170"/>
      <c r="Q2386" s="141">
        <v>2050000.0</v>
      </c>
      <c r="R2386" s="149"/>
      <c r="S2386" s="141">
        <v>1500000.0</v>
      </c>
      <c r="T2386" s="149"/>
      <c r="U2386" s="149"/>
      <c r="V2386" s="149"/>
      <c r="W2386" s="149"/>
      <c r="X2386" s="64" t="s">
        <v>8232</v>
      </c>
      <c r="Y2386" s="68"/>
      <c r="Z2386" s="68"/>
    </row>
    <row r="2387" ht="15.0" customHeight="1">
      <c r="A2387" s="206">
        <v>46088.0</v>
      </c>
      <c r="B2387" s="201" t="s">
        <v>8573</v>
      </c>
      <c r="C2387" s="45" t="s">
        <v>3358</v>
      </c>
      <c r="D2387" s="140" t="str">
        <f>IFERROR(VLOOKUP(C2387,Stock,3,FALSE),"")</f>
        <v>Toyota Avanza / Xenia 11-15 2nd Gen / 15-21 3rd Gen</v>
      </c>
      <c r="E2387" s="45">
        <v>1.0</v>
      </c>
      <c r="F2387" s="198">
        <v>839000.0</v>
      </c>
      <c r="G2387" s="142">
        <f t="shared" si="68"/>
        <v>839000</v>
      </c>
      <c r="H2387" s="142"/>
      <c r="I2387" s="143">
        <f t="shared" si="71"/>
        <v>839000</v>
      </c>
      <c r="J2387" s="144">
        <f t="shared" si="70"/>
        <v>839000</v>
      </c>
      <c r="K2387" s="108" t="s">
        <v>7296</v>
      </c>
      <c r="L2387" s="199" t="s">
        <v>7297</v>
      </c>
      <c r="M2387" s="17"/>
      <c r="N2387" s="64" t="s">
        <v>8574</v>
      </c>
      <c r="O2387" s="68"/>
      <c r="P2387" s="170"/>
      <c r="Q2387" s="149"/>
      <c r="R2387" s="149"/>
      <c r="S2387" s="141">
        <v>100000.0</v>
      </c>
      <c r="T2387" s="141">
        <v>789000.0</v>
      </c>
      <c r="U2387" s="149"/>
      <c r="V2387" s="149"/>
      <c r="W2387" s="149"/>
      <c r="X2387" s="64" t="s">
        <v>8334</v>
      </c>
      <c r="Y2387" s="68"/>
      <c r="Z2387" s="68"/>
    </row>
    <row r="2388" ht="15.0" customHeight="1">
      <c r="A2388" s="206">
        <v>46088.0</v>
      </c>
      <c r="B2388" s="201" t="s">
        <v>8573</v>
      </c>
      <c r="C2388" s="45" t="s">
        <v>2770</v>
      </c>
      <c r="D2388" s="140" t="str">
        <f>IFERROR(VLOOKUP(C2388,Stock,3,FALSE),"")</f>
        <v>Transport</v>
      </c>
      <c r="E2388" s="45">
        <v>1.0</v>
      </c>
      <c r="F2388" s="198">
        <v>50000.0</v>
      </c>
      <c r="G2388" s="142">
        <f t="shared" si="68"/>
        <v>50000</v>
      </c>
      <c r="H2388" s="142"/>
      <c r="I2388" s="143">
        <f t="shared" si="71"/>
        <v>50000</v>
      </c>
      <c r="J2388" s="144">
        <f t="shared" si="70"/>
        <v>50000</v>
      </c>
      <c r="K2388" s="108" t="s">
        <v>7296</v>
      </c>
      <c r="L2388" s="199" t="s">
        <v>7297</v>
      </c>
      <c r="M2388" s="17"/>
      <c r="N2388" s="64" t="s">
        <v>8574</v>
      </c>
      <c r="O2388" s="68"/>
      <c r="P2388" s="170"/>
      <c r="Q2388" s="149"/>
      <c r="R2388" s="149"/>
      <c r="S2388" s="149"/>
      <c r="T2388" s="149"/>
      <c r="U2388" s="149"/>
      <c r="V2388" s="149"/>
      <c r="W2388" s="149"/>
      <c r="X2388" s="68"/>
      <c r="Y2388" s="68"/>
      <c r="Z2388" s="68"/>
    </row>
    <row r="2389" ht="15.0" customHeight="1">
      <c r="A2389" s="249">
        <v>46088.0</v>
      </c>
      <c r="B2389" s="250" t="s">
        <v>8575</v>
      </c>
      <c r="C2389" s="260" t="s">
        <v>2944</v>
      </c>
      <c r="D2389" s="252" t="str">
        <f>IFERROR(VLOOKUP(C2389,Stock,3,FALSE),"")</f>
        <v>Toyota Innova 04-15 1st Gen</v>
      </c>
      <c r="E2389" s="251">
        <v>1.0</v>
      </c>
      <c r="F2389" s="253"/>
      <c r="G2389" s="254">
        <f t="shared" si="68"/>
        <v>0</v>
      </c>
      <c r="H2389" s="254"/>
      <c r="I2389" s="255">
        <f t="shared" si="71"/>
        <v>0</v>
      </c>
      <c r="J2389" s="256">
        <f t="shared" si="70"/>
        <v>0</v>
      </c>
      <c r="K2389" s="260" t="s">
        <v>8576</v>
      </c>
      <c r="L2389" s="259"/>
      <c r="M2389" s="259"/>
      <c r="N2389" s="372"/>
      <c r="O2389" s="372"/>
      <c r="P2389" s="261"/>
      <c r="Q2389" s="262"/>
      <c r="R2389" s="262"/>
      <c r="S2389" s="262"/>
      <c r="T2389" s="262"/>
      <c r="U2389" s="262"/>
      <c r="V2389" s="262"/>
      <c r="W2389" s="262"/>
      <c r="X2389" s="372"/>
      <c r="Y2389" s="372"/>
      <c r="Z2389" s="372"/>
    </row>
    <row r="2390" ht="15.0" customHeight="1">
      <c r="A2390" s="206">
        <v>46088.0</v>
      </c>
      <c r="B2390" s="201" t="s">
        <v>8577</v>
      </c>
      <c r="C2390" s="45" t="s">
        <v>8578</v>
      </c>
      <c r="D2390" s="140" t="str">
        <f>IFERROR(VLOOKUP(C2390,Stock,3,FALSE),"")</f>
        <v>Toyota Camry 02-06 ACV30 3rd Gen</v>
      </c>
      <c r="E2390" s="45">
        <v>1.0</v>
      </c>
      <c r="F2390" s="198">
        <v>2850000.0</v>
      </c>
      <c r="G2390" s="142">
        <f t="shared" si="68"/>
        <v>2850000</v>
      </c>
      <c r="H2390" s="142"/>
      <c r="I2390" s="143">
        <f t="shared" si="71"/>
        <v>2850000</v>
      </c>
      <c r="J2390" s="144">
        <f t="shared" si="70"/>
        <v>2850000</v>
      </c>
      <c r="K2390" s="64" t="s">
        <v>8579</v>
      </c>
      <c r="L2390" s="199" t="s">
        <v>8580</v>
      </c>
      <c r="M2390" s="17"/>
      <c r="N2390" s="64" t="s">
        <v>8581</v>
      </c>
      <c r="O2390" s="68"/>
      <c r="P2390" s="170"/>
      <c r="Q2390" s="149"/>
      <c r="R2390" s="149"/>
      <c r="S2390" s="141">
        <v>855000.0</v>
      </c>
      <c r="T2390" s="141">
        <v>2000000.0</v>
      </c>
      <c r="U2390" s="149"/>
      <c r="V2390" s="149"/>
      <c r="W2390" s="149"/>
      <c r="X2390" s="64" t="s">
        <v>8232</v>
      </c>
      <c r="Y2390" s="68"/>
      <c r="Z2390" s="68"/>
    </row>
    <row r="2391" ht="15.0" customHeight="1">
      <c r="A2391" s="206">
        <v>46088.0</v>
      </c>
      <c r="B2391" s="201" t="s">
        <v>8582</v>
      </c>
      <c r="C2391" s="45" t="s">
        <v>3100</v>
      </c>
      <c r="D2391" s="140" t="str">
        <f>IFERROR(VLOOKUP(C2391,Stock,3,FALSE),"")</f>
        <v>Toyota Kijang 02-04 Kapsul Lem Efi</v>
      </c>
      <c r="E2391" s="45">
        <v>1.0</v>
      </c>
      <c r="F2391" s="198">
        <v>1298000.0</v>
      </c>
      <c r="G2391" s="142">
        <f t="shared" si="68"/>
        <v>1298000</v>
      </c>
      <c r="H2391" s="143">
        <v>48000.0</v>
      </c>
      <c r="I2391" s="143">
        <f t="shared" si="71"/>
        <v>1250000</v>
      </c>
      <c r="J2391" s="144">
        <f t="shared" si="70"/>
        <v>1250000</v>
      </c>
      <c r="K2391" s="108" t="s">
        <v>8583</v>
      </c>
      <c r="L2391" s="199" t="s">
        <v>8584</v>
      </c>
      <c r="M2391" s="17"/>
      <c r="N2391" s="64" t="s">
        <v>8585</v>
      </c>
      <c r="O2391" s="68"/>
      <c r="P2391" s="170"/>
      <c r="Q2391" s="141">
        <v>675000.0</v>
      </c>
      <c r="R2391" s="149"/>
      <c r="S2391" s="141">
        <v>675000.0</v>
      </c>
      <c r="T2391" s="149"/>
      <c r="U2391" s="149"/>
      <c r="V2391" s="149"/>
      <c r="W2391" s="149"/>
      <c r="X2391" s="64" t="s">
        <v>8219</v>
      </c>
      <c r="Y2391" s="68"/>
      <c r="Z2391" s="68"/>
    </row>
    <row r="2392" ht="15.0" customHeight="1">
      <c r="A2392" s="206">
        <v>46088.0</v>
      </c>
      <c r="B2392" s="201" t="s">
        <v>8582</v>
      </c>
      <c r="C2392" s="45" t="s">
        <v>2770</v>
      </c>
      <c r="D2392" s="140" t="str">
        <f>IFERROR(VLOOKUP(C2392,Stock,3,FALSE),"")</f>
        <v>Transport</v>
      </c>
      <c r="E2392" s="45">
        <v>1.0</v>
      </c>
      <c r="F2392" s="198">
        <v>100000.0</v>
      </c>
      <c r="G2392" s="142">
        <f t="shared" si="68"/>
        <v>100000</v>
      </c>
      <c r="H2392" s="142"/>
      <c r="I2392" s="143">
        <f t="shared" si="71"/>
        <v>100000</v>
      </c>
      <c r="J2392" s="144">
        <f t="shared" si="70"/>
        <v>100000</v>
      </c>
      <c r="K2392" s="108" t="s">
        <v>8583</v>
      </c>
      <c r="L2392" s="45" t="s">
        <v>8586</v>
      </c>
      <c r="M2392" s="17"/>
      <c r="N2392" s="64" t="s">
        <v>8585</v>
      </c>
      <c r="O2392" s="68"/>
      <c r="P2392" s="170"/>
      <c r="Q2392" s="149"/>
      <c r="R2392" s="149"/>
      <c r="S2392" s="149"/>
      <c r="T2392" s="149"/>
      <c r="U2392" s="149"/>
      <c r="V2392" s="149"/>
      <c r="W2392" s="149"/>
      <c r="X2392" s="68"/>
      <c r="Y2392" s="68"/>
      <c r="Z2392" s="68"/>
    </row>
    <row r="2393" ht="15.0" customHeight="1">
      <c r="A2393" s="206">
        <v>46090.0</v>
      </c>
      <c r="B2393" s="201" t="s">
        <v>8587</v>
      </c>
      <c r="C2393" s="45" t="s">
        <v>5740</v>
      </c>
      <c r="D2393" s="140" t="str">
        <f>IFERROR(VLOOKUP(C2393,Stock,3,FALSE),"")</f>
        <v>Isuzu Elf  93- NKR NHR </v>
      </c>
      <c r="E2393" s="45">
        <v>1.0</v>
      </c>
      <c r="F2393" s="198">
        <v>665000.0</v>
      </c>
      <c r="G2393" s="142">
        <f t="shared" si="68"/>
        <v>665000</v>
      </c>
      <c r="H2393" s="142"/>
      <c r="I2393" s="143">
        <f t="shared" si="71"/>
        <v>665000</v>
      </c>
      <c r="J2393" s="144">
        <f t="shared" si="70"/>
        <v>665000</v>
      </c>
      <c r="K2393" s="108" t="s">
        <v>8588</v>
      </c>
      <c r="L2393" s="199" t="s">
        <v>8589</v>
      </c>
      <c r="M2393" s="17"/>
      <c r="N2393" s="64" t="s">
        <v>8590</v>
      </c>
      <c r="O2393" s="68"/>
      <c r="P2393" s="170"/>
      <c r="Q2393" s="141">
        <v>665000.0</v>
      </c>
      <c r="R2393" s="149"/>
      <c r="S2393" s="149"/>
      <c r="T2393" s="149"/>
      <c r="U2393" s="149"/>
      <c r="V2393" s="149"/>
      <c r="W2393" s="149"/>
      <c r="X2393" s="64" t="s">
        <v>8334</v>
      </c>
      <c r="Y2393" s="68"/>
      <c r="Z2393" s="68"/>
    </row>
    <row r="2394" ht="15.0" customHeight="1">
      <c r="A2394" s="206">
        <v>46090.0</v>
      </c>
      <c r="B2394" s="201" t="s">
        <v>8591</v>
      </c>
      <c r="C2394" s="64" t="s">
        <v>4080</v>
      </c>
      <c r="D2394" s="140" t="str">
        <f>IFERROR(VLOOKUP(C2394,Stock,3,FALSE),"")</f>
        <v>Isuzu Panther 00- 2nd Gen</v>
      </c>
      <c r="E2394" s="45">
        <v>1.0</v>
      </c>
      <c r="F2394" s="198">
        <v>1638000.0</v>
      </c>
      <c r="G2394" s="142">
        <f t="shared" si="68"/>
        <v>1638000</v>
      </c>
      <c r="H2394" s="142"/>
      <c r="I2394" s="143">
        <f t="shared" si="71"/>
        <v>1638000</v>
      </c>
      <c r="J2394" s="144">
        <f t="shared" si="70"/>
        <v>1638000</v>
      </c>
      <c r="K2394" s="108" t="s">
        <v>8592</v>
      </c>
      <c r="L2394" s="199" t="s">
        <v>8593</v>
      </c>
      <c r="M2394" s="17"/>
      <c r="N2394" s="68"/>
      <c r="O2394" s="68"/>
      <c r="P2394" s="170"/>
      <c r="Q2394" s="149"/>
      <c r="R2394" s="149"/>
      <c r="S2394" s="149"/>
      <c r="T2394" s="141">
        <v>1638000.0</v>
      </c>
      <c r="U2394" s="149"/>
      <c r="V2394" s="149"/>
      <c r="W2394" s="149"/>
      <c r="X2394" s="64" t="s">
        <v>8283</v>
      </c>
      <c r="Y2394" s="68"/>
      <c r="Z2394" s="68"/>
    </row>
    <row r="2395" ht="15.0" customHeight="1">
      <c r="A2395" s="441">
        <v>46090.0</v>
      </c>
      <c r="B2395" s="201" t="s">
        <v>8594</v>
      </c>
      <c r="C2395" s="64" t="s">
        <v>3462</v>
      </c>
      <c r="D2395" s="140" t="str">
        <f>IFERROR(VLOOKUP(C2395,Stock,3,FALSE),"")</f>
        <v>BMW X1 Series 15- F48</v>
      </c>
      <c r="E2395" s="45">
        <v>1.0</v>
      </c>
      <c r="F2395" s="198">
        <v>4145000.0</v>
      </c>
      <c r="G2395" s="142">
        <f t="shared" si="68"/>
        <v>4145000</v>
      </c>
      <c r="H2395" s="142"/>
      <c r="I2395" s="143">
        <f t="shared" si="71"/>
        <v>4145000</v>
      </c>
      <c r="J2395" s="144">
        <f t="shared" si="70"/>
        <v>4145000</v>
      </c>
      <c r="K2395" s="108" t="s">
        <v>8595</v>
      </c>
      <c r="L2395" s="199" t="s">
        <v>8596</v>
      </c>
      <c r="M2395" s="17"/>
      <c r="N2395" s="68"/>
      <c r="O2395" s="68"/>
      <c r="P2395" s="170"/>
      <c r="Q2395" s="149"/>
      <c r="R2395" s="149"/>
      <c r="S2395" s="149"/>
      <c r="T2395" s="141">
        <v>4145000.0</v>
      </c>
      <c r="U2395" s="149"/>
      <c r="V2395" s="149"/>
      <c r="W2395" s="149"/>
      <c r="X2395" s="64" t="s">
        <v>8283</v>
      </c>
      <c r="Y2395" s="68"/>
      <c r="Z2395" s="68"/>
    </row>
    <row r="2396" ht="15.0" customHeight="1">
      <c r="A2396" s="206">
        <v>46090.0</v>
      </c>
      <c r="B2396" s="201" t="s">
        <v>8597</v>
      </c>
      <c r="C2396" s="45" t="s">
        <v>4112</v>
      </c>
      <c r="D2396" s="140" t="str">
        <f>IFERROR(VLOOKUP(C2396,Stock,3,FALSE),"")</f>
        <v>Wuling Air EV 22-</v>
      </c>
      <c r="E2396" s="45">
        <v>1.0</v>
      </c>
      <c r="F2396" s="202"/>
      <c r="G2396" s="142">
        <f t="shared" si="68"/>
        <v>0</v>
      </c>
      <c r="H2396" s="142"/>
      <c r="I2396" s="143">
        <f t="shared" si="71"/>
        <v>0</v>
      </c>
      <c r="J2396" s="144">
        <f t="shared" si="70"/>
        <v>0</v>
      </c>
      <c r="K2396" s="108" t="s">
        <v>8598</v>
      </c>
      <c r="L2396" s="199" t="s">
        <v>8599</v>
      </c>
      <c r="M2396" s="17"/>
      <c r="N2396" s="68"/>
      <c r="O2396" s="68"/>
      <c r="P2396" s="170"/>
      <c r="Q2396" s="149"/>
      <c r="R2396" s="149"/>
      <c r="S2396" s="141"/>
      <c r="T2396" s="149"/>
      <c r="U2396" s="149"/>
      <c r="V2396" s="149"/>
      <c r="W2396" s="149"/>
      <c r="X2396" s="64" t="s">
        <v>8334</v>
      </c>
      <c r="Y2396" s="68"/>
      <c r="Z2396" s="68"/>
    </row>
    <row r="2397" ht="15.0" customHeight="1">
      <c r="A2397" s="206">
        <v>46090.0</v>
      </c>
      <c r="B2397" s="201" t="s">
        <v>8600</v>
      </c>
      <c r="C2397" s="45" t="s">
        <v>3634</v>
      </c>
      <c r="D2397" s="140" t="str">
        <f>IFERROR(VLOOKUP(C2397,Stock,3,FALSE),"")</f>
        <v>Toyota Agya/Ayla 13-22 1st Gen (Toyota/Daihatsu)</v>
      </c>
      <c r="E2397" s="45">
        <v>1.0</v>
      </c>
      <c r="F2397" s="198">
        <v>839000.0</v>
      </c>
      <c r="G2397" s="142">
        <f t="shared" si="68"/>
        <v>839000</v>
      </c>
      <c r="H2397" s="142"/>
      <c r="I2397" s="143">
        <f t="shared" si="71"/>
        <v>839000</v>
      </c>
      <c r="J2397" s="144">
        <f t="shared" si="70"/>
        <v>839000</v>
      </c>
      <c r="K2397" s="108" t="s">
        <v>8601</v>
      </c>
      <c r="L2397" s="199" t="s">
        <v>8602</v>
      </c>
      <c r="M2397" s="17"/>
      <c r="N2397" s="68"/>
      <c r="O2397" s="68"/>
      <c r="P2397" s="170"/>
      <c r="Q2397" s="141">
        <v>820000.0</v>
      </c>
      <c r="R2397" s="149"/>
      <c r="S2397" s="141">
        <v>100000.0</v>
      </c>
      <c r="T2397" s="149"/>
      <c r="U2397" s="149"/>
      <c r="V2397" s="149"/>
      <c r="W2397" s="149"/>
      <c r="X2397" s="64" t="s">
        <v>7976</v>
      </c>
      <c r="Y2397" s="68"/>
      <c r="Z2397" s="68"/>
    </row>
    <row r="2398" ht="15.0" customHeight="1">
      <c r="A2398" s="206">
        <v>46090.0</v>
      </c>
      <c r="B2398" s="201" t="s">
        <v>8600</v>
      </c>
      <c r="C2398" s="45" t="s">
        <v>2770</v>
      </c>
      <c r="D2398" s="140" t="str">
        <f>IFERROR(VLOOKUP(C2398,Stock,3,FALSE),"")</f>
        <v>Transport</v>
      </c>
      <c r="E2398" s="45">
        <v>1.0</v>
      </c>
      <c r="F2398" s="198">
        <v>80000.0</v>
      </c>
      <c r="G2398" s="142">
        <f t="shared" si="68"/>
        <v>80000</v>
      </c>
      <c r="H2398" s="142"/>
      <c r="I2398" s="143">
        <f t="shared" si="71"/>
        <v>80000</v>
      </c>
      <c r="J2398" s="144">
        <f t="shared" si="70"/>
        <v>80000</v>
      </c>
      <c r="K2398" s="200"/>
      <c r="L2398" s="17"/>
      <c r="M2398" s="17"/>
      <c r="N2398" s="68"/>
      <c r="O2398" s="68"/>
      <c r="P2398" s="170"/>
      <c r="Q2398" s="149"/>
      <c r="R2398" s="149"/>
      <c r="S2398" s="149"/>
      <c r="T2398" s="149"/>
      <c r="U2398" s="149"/>
      <c r="V2398" s="149"/>
      <c r="W2398" s="149"/>
      <c r="X2398" s="68"/>
      <c r="Y2398" s="68"/>
      <c r="Z2398" s="68"/>
    </row>
    <row r="2399" ht="15.0" customHeight="1">
      <c r="A2399" s="265">
        <v>46090.0</v>
      </c>
      <c r="B2399" s="266" t="s">
        <v>8603</v>
      </c>
      <c r="C2399" s="269" t="s">
        <v>2869</v>
      </c>
      <c r="D2399" s="268" t="str">
        <f>IFERROR(VLOOKUP(C2399,Stock,3,FALSE),"")</f>
        <v>Daihatsu Gran Max / Luxio 07-</v>
      </c>
      <c r="E2399" s="269">
        <v>1.0</v>
      </c>
      <c r="F2399" s="270"/>
      <c r="G2399" s="142">
        <f t="shared" si="68"/>
        <v>0</v>
      </c>
      <c r="H2399" s="271"/>
      <c r="I2399" s="272">
        <f t="shared" si="71"/>
        <v>0</v>
      </c>
      <c r="J2399" s="144">
        <f t="shared" si="70"/>
        <v>0</v>
      </c>
      <c r="K2399" s="267" t="s">
        <v>8487</v>
      </c>
      <c r="L2399" s="274"/>
      <c r="M2399" s="274"/>
      <c r="N2399" s="275"/>
      <c r="O2399" s="275"/>
      <c r="P2399" s="276"/>
      <c r="Q2399" s="277"/>
      <c r="R2399" s="277"/>
      <c r="S2399" s="277"/>
      <c r="T2399" s="277"/>
      <c r="U2399" s="277"/>
      <c r="V2399" s="277"/>
      <c r="W2399" s="277"/>
      <c r="X2399" s="275"/>
      <c r="Y2399" s="275"/>
      <c r="Z2399" s="275"/>
    </row>
    <row r="2400" ht="15.0" customHeight="1">
      <c r="A2400" s="265">
        <v>46090.0</v>
      </c>
      <c r="B2400" s="266" t="s">
        <v>8603</v>
      </c>
      <c r="C2400" s="269" t="s">
        <v>7199</v>
      </c>
      <c r="D2400" s="268" t="str">
        <f>IFERROR(VLOOKUP(C2400,Stock,3,FALSE),"")</f>
        <v>Daihatsu Gran Max / Luxio 07-</v>
      </c>
      <c r="E2400" s="269">
        <v>2.0</v>
      </c>
      <c r="F2400" s="270"/>
      <c r="G2400" s="142">
        <f t="shared" si="68"/>
        <v>0</v>
      </c>
      <c r="H2400" s="271"/>
      <c r="I2400" s="272">
        <f t="shared" si="71"/>
        <v>0</v>
      </c>
      <c r="J2400" s="144">
        <f t="shared" si="70"/>
        <v>0</v>
      </c>
      <c r="K2400" s="278" t="s">
        <v>8487</v>
      </c>
      <c r="L2400" s="274"/>
      <c r="M2400" s="274"/>
      <c r="N2400" s="275"/>
      <c r="O2400" s="275"/>
      <c r="P2400" s="276"/>
      <c r="Q2400" s="277"/>
      <c r="R2400" s="277"/>
      <c r="S2400" s="277"/>
      <c r="T2400" s="277"/>
      <c r="U2400" s="277"/>
      <c r="V2400" s="277"/>
      <c r="W2400" s="277"/>
      <c r="X2400" s="275"/>
      <c r="Y2400" s="275"/>
      <c r="Z2400" s="275"/>
    </row>
    <row r="2401" ht="15.0" customHeight="1">
      <c r="A2401" s="265">
        <v>46090.0</v>
      </c>
      <c r="B2401" s="266" t="s">
        <v>8603</v>
      </c>
      <c r="C2401" s="269" t="s">
        <v>3029</v>
      </c>
      <c r="D2401" s="268" t="str">
        <f>IFERROR(VLOOKUP(C2401,Stock,3,FALSE),"")</f>
        <v>Mitsubishi Canter FE700 01- (PS110,125)</v>
      </c>
      <c r="E2401" s="269">
        <v>1.0</v>
      </c>
      <c r="F2401" s="270"/>
      <c r="G2401" s="142">
        <f t="shared" si="68"/>
        <v>0</v>
      </c>
      <c r="H2401" s="271"/>
      <c r="I2401" s="272">
        <f t="shared" si="71"/>
        <v>0</v>
      </c>
      <c r="J2401" s="144">
        <f t="shared" si="70"/>
        <v>0</v>
      </c>
      <c r="K2401" s="267" t="s">
        <v>8487</v>
      </c>
      <c r="L2401" s="274"/>
      <c r="M2401" s="274"/>
      <c r="N2401" s="275"/>
      <c r="O2401" s="275"/>
      <c r="P2401" s="276"/>
      <c r="Q2401" s="277"/>
      <c r="R2401" s="277"/>
      <c r="S2401" s="277"/>
      <c r="T2401" s="277"/>
      <c r="U2401" s="277"/>
      <c r="V2401" s="277"/>
      <c r="W2401" s="277"/>
      <c r="X2401" s="275"/>
      <c r="Y2401" s="275"/>
      <c r="Z2401" s="275"/>
    </row>
    <row r="2402" ht="15.0" customHeight="1">
      <c r="A2402" s="265">
        <v>46090.0</v>
      </c>
      <c r="B2402" s="266" t="s">
        <v>8603</v>
      </c>
      <c r="C2402" s="269" t="s">
        <v>2003</v>
      </c>
      <c r="D2402" s="268" t="str">
        <f>IFERROR(VLOOKUP(C2402,Stock,3,FALSE),"")</f>
        <v>Toyota Agya/Ayla 13-22 1st Gen</v>
      </c>
      <c r="E2402" s="269">
        <v>2.0</v>
      </c>
      <c r="F2402" s="270"/>
      <c r="G2402" s="142">
        <f t="shared" si="68"/>
        <v>0</v>
      </c>
      <c r="H2402" s="271"/>
      <c r="I2402" s="272">
        <f t="shared" si="71"/>
        <v>0</v>
      </c>
      <c r="J2402" s="144">
        <f t="shared" si="70"/>
        <v>0</v>
      </c>
      <c r="K2402" s="267" t="s">
        <v>8487</v>
      </c>
      <c r="L2402" s="274"/>
      <c r="M2402" s="274"/>
      <c r="N2402" s="275"/>
      <c r="O2402" s="275"/>
      <c r="P2402" s="276"/>
      <c r="Q2402" s="277"/>
      <c r="R2402" s="277"/>
      <c r="S2402" s="277"/>
      <c r="T2402" s="277"/>
      <c r="U2402" s="277"/>
      <c r="V2402" s="277"/>
      <c r="W2402" s="277"/>
      <c r="X2402" s="275"/>
      <c r="Y2402" s="275"/>
      <c r="Z2402" s="275"/>
    </row>
    <row r="2403" ht="15.0" customHeight="1">
      <c r="A2403" s="464">
        <v>46090.0</v>
      </c>
      <c r="B2403" s="465" t="s">
        <v>8604</v>
      </c>
      <c r="C2403" s="466" t="s">
        <v>2830</v>
      </c>
      <c r="D2403" s="467" t="str">
        <f>IFERROR(VLOOKUP(C2403,Stock,3,FALSE),"")</f>
        <v/>
      </c>
      <c r="E2403" s="466"/>
      <c r="F2403" s="468"/>
      <c r="G2403" s="469">
        <f t="shared" si="68"/>
        <v>0</v>
      </c>
      <c r="H2403" s="469"/>
      <c r="I2403" s="470">
        <f t="shared" si="71"/>
        <v>0</v>
      </c>
      <c r="J2403" s="471">
        <f t="shared" si="70"/>
        <v>0</v>
      </c>
      <c r="K2403" s="472"/>
      <c r="L2403" s="473"/>
      <c r="M2403" s="473"/>
      <c r="N2403" s="474"/>
      <c r="O2403" s="474"/>
      <c r="P2403" s="475"/>
      <c r="Q2403" s="476"/>
      <c r="R2403" s="476"/>
      <c r="S2403" s="477">
        <v>100000.0</v>
      </c>
      <c r="T2403" s="476"/>
      <c r="U2403" s="476"/>
      <c r="V2403" s="476"/>
      <c r="W2403" s="476"/>
      <c r="X2403" s="478" t="s">
        <v>8232</v>
      </c>
      <c r="Y2403" s="474"/>
      <c r="Z2403" s="474"/>
    </row>
    <row r="2404" ht="15.0" customHeight="1">
      <c r="A2404" s="206">
        <v>46090.0</v>
      </c>
      <c r="B2404" s="201" t="s">
        <v>8605</v>
      </c>
      <c r="C2404" s="45" t="s">
        <v>8606</v>
      </c>
      <c r="D2404" s="140" t="str">
        <f>IFERROR(VLOOKUP(C2404,Stock,3,FALSE),"")</f>
        <v>Mers-Benz CLA-Class 13-19 W117 </v>
      </c>
      <c r="E2404" s="45">
        <v>1.0</v>
      </c>
      <c r="F2404" s="198">
        <v>5122000.0</v>
      </c>
      <c r="G2404" s="142">
        <f t="shared" si="68"/>
        <v>5122000</v>
      </c>
      <c r="H2404" s="142"/>
      <c r="I2404" s="143">
        <f t="shared" si="71"/>
        <v>5122000</v>
      </c>
      <c r="J2404" s="144">
        <f t="shared" si="70"/>
        <v>5122000</v>
      </c>
      <c r="K2404" s="108" t="s">
        <v>8607</v>
      </c>
      <c r="L2404" s="199" t="s">
        <v>8608</v>
      </c>
      <c r="M2404" s="17"/>
      <c r="N2404" s="68"/>
      <c r="O2404" s="68"/>
      <c r="P2404" s="170"/>
      <c r="Q2404" s="149"/>
      <c r="R2404" s="149"/>
      <c r="S2404" s="149"/>
      <c r="T2404" s="141">
        <v>5122000.0</v>
      </c>
      <c r="U2404" s="149"/>
      <c r="V2404" s="149"/>
      <c r="W2404" s="149"/>
      <c r="X2404" s="64" t="s">
        <v>7976</v>
      </c>
      <c r="Y2404" s="68"/>
      <c r="Z2404" s="68"/>
    </row>
    <row r="2405" ht="15.0" customHeight="1">
      <c r="A2405" s="206">
        <v>46090.0</v>
      </c>
      <c r="B2405" s="201" t="s">
        <v>8609</v>
      </c>
      <c r="C2405" s="64" t="s">
        <v>5346</v>
      </c>
      <c r="D2405" s="140" t="str">
        <f>IFERROR(VLOOKUP(C2405,Stock,3,FALSE),"")</f>
        <v>Isuzu Traga</v>
      </c>
      <c r="E2405" s="45">
        <v>1.0</v>
      </c>
      <c r="F2405" s="198">
        <v>1450000.0</v>
      </c>
      <c r="G2405" s="142">
        <f t="shared" si="68"/>
        <v>1450000</v>
      </c>
      <c r="H2405" s="142"/>
      <c r="I2405" s="143">
        <f t="shared" si="71"/>
        <v>1450000</v>
      </c>
      <c r="J2405" s="144">
        <f t="shared" si="70"/>
        <v>1450000</v>
      </c>
      <c r="K2405" s="108" t="s">
        <v>8610</v>
      </c>
      <c r="L2405" s="199" t="s">
        <v>8611</v>
      </c>
      <c r="M2405" s="17"/>
      <c r="N2405" s="444" t="s">
        <v>8612</v>
      </c>
      <c r="O2405" s="68"/>
      <c r="P2405" s="170"/>
      <c r="Q2405" s="149"/>
      <c r="R2405" s="149"/>
      <c r="S2405" s="141">
        <v>100000.0</v>
      </c>
      <c r="T2405" s="141">
        <v>1550000.0</v>
      </c>
      <c r="U2405" s="149"/>
      <c r="V2405" s="149"/>
      <c r="W2405" s="149"/>
      <c r="X2405" s="64" t="s">
        <v>8232</v>
      </c>
      <c r="Y2405" s="68"/>
      <c r="Z2405" s="68"/>
    </row>
    <row r="2406" ht="15.0" customHeight="1">
      <c r="A2406" s="206">
        <v>46090.0</v>
      </c>
      <c r="B2406" s="201" t="s">
        <v>8613</v>
      </c>
      <c r="C2406" s="45" t="s">
        <v>2770</v>
      </c>
      <c r="D2406" s="448" t="str">
        <f>IFERROR(VLOOKUP(C2406,Stock,3,FALSE),"")</f>
        <v>Transport</v>
      </c>
      <c r="E2406" s="45">
        <v>1.0</v>
      </c>
      <c r="F2406" s="198">
        <v>200000.0</v>
      </c>
      <c r="G2406" s="142">
        <f t="shared" si="68"/>
        <v>200000</v>
      </c>
      <c r="H2406" s="142"/>
      <c r="I2406" s="143">
        <f t="shared" si="71"/>
        <v>200000</v>
      </c>
      <c r="J2406" s="144">
        <f t="shared" si="70"/>
        <v>200000</v>
      </c>
      <c r="K2406" s="108" t="s">
        <v>8610</v>
      </c>
      <c r="L2406" s="199" t="s">
        <v>8611</v>
      </c>
      <c r="M2406" s="17"/>
      <c r="N2406" s="68"/>
      <c r="O2406" s="68"/>
      <c r="P2406" s="170"/>
      <c r="Q2406" s="149"/>
      <c r="R2406" s="149"/>
      <c r="S2406" s="149"/>
      <c r="T2406" s="149"/>
      <c r="U2406" s="149"/>
      <c r="V2406" s="149"/>
      <c r="W2406" s="149"/>
      <c r="X2406" s="64" t="s">
        <v>7976</v>
      </c>
      <c r="Y2406" s="68"/>
      <c r="Z2406" s="68"/>
    </row>
    <row r="2407" ht="15.0" customHeight="1">
      <c r="A2407" s="206">
        <v>46090.0</v>
      </c>
      <c r="B2407" s="201" t="s">
        <v>8614</v>
      </c>
      <c r="C2407" s="201" t="s">
        <v>8028</v>
      </c>
      <c r="D2407" s="140" t="str">
        <f>IFERROR(VLOOKUP(C2407,Stock,3,FALSE),"")</f>
        <v>Wuling Binguo</v>
      </c>
      <c r="E2407" s="45">
        <v>1.0</v>
      </c>
      <c r="F2407" s="198">
        <v>3371000.0</v>
      </c>
      <c r="G2407" s="142">
        <f t="shared" si="68"/>
        <v>3371000</v>
      </c>
      <c r="H2407" s="142"/>
      <c r="I2407" s="143">
        <f t="shared" si="71"/>
        <v>3371000</v>
      </c>
      <c r="J2407" s="144">
        <f t="shared" si="70"/>
        <v>3371000</v>
      </c>
      <c r="K2407" s="108" t="s">
        <v>8615</v>
      </c>
      <c r="L2407" s="199" t="s">
        <v>8616</v>
      </c>
      <c r="M2407" s="17"/>
      <c r="N2407" s="68"/>
      <c r="O2407" s="68"/>
      <c r="P2407" s="170"/>
      <c r="Q2407" s="149"/>
      <c r="R2407" s="149"/>
      <c r="S2407" s="141">
        <v>100000.0</v>
      </c>
      <c r="T2407" s="141">
        <v>3471000.0</v>
      </c>
      <c r="U2407" s="149"/>
      <c r="V2407" s="149"/>
      <c r="W2407" s="149"/>
      <c r="X2407" s="64" t="s">
        <v>8232</v>
      </c>
      <c r="Y2407" s="68"/>
      <c r="Z2407" s="68"/>
    </row>
    <row r="2408" ht="15.0" customHeight="1">
      <c r="A2408" s="206">
        <v>46090.0</v>
      </c>
      <c r="B2408" s="201" t="s">
        <v>8614</v>
      </c>
      <c r="C2408" s="45" t="s">
        <v>2770</v>
      </c>
      <c r="D2408" s="140" t="str">
        <f>IFERROR(VLOOKUP(C2408,Stock,3,FALSE),"")</f>
        <v>Transport</v>
      </c>
      <c r="E2408" s="45">
        <v>1.0</v>
      </c>
      <c r="F2408" s="198">
        <v>200000.0</v>
      </c>
      <c r="G2408" s="142">
        <f t="shared" si="68"/>
        <v>200000</v>
      </c>
      <c r="H2408" s="142"/>
      <c r="I2408" s="143">
        <f t="shared" si="71"/>
        <v>200000</v>
      </c>
      <c r="J2408" s="144">
        <f t="shared" si="70"/>
        <v>200000</v>
      </c>
      <c r="K2408" s="108" t="s">
        <v>8615</v>
      </c>
      <c r="L2408" s="199" t="s">
        <v>8616</v>
      </c>
      <c r="M2408" s="17"/>
      <c r="N2408" s="68"/>
      <c r="O2408" s="68"/>
      <c r="P2408" s="170"/>
      <c r="Q2408" s="149"/>
      <c r="R2408" s="149"/>
      <c r="S2408" s="149"/>
      <c r="T2408" s="149"/>
      <c r="U2408" s="149"/>
      <c r="V2408" s="149"/>
      <c r="W2408" s="149"/>
      <c r="X2408" s="68"/>
      <c r="Y2408" s="68"/>
      <c r="Z2408" s="68"/>
    </row>
    <row r="2409" ht="15.0" customHeight="1">
      <c r="A2409" s="206">
        <v>46090.0</v>
      </c>
      <c r="B2409" s="398" t="s">
        <v>8617</v>
      </c>
      <c r="C2409" s="479" t="s">
        <v>3382</v>
      </c>
      <c r="D2409" s="140" t="str">
        <f>IFERROR(VLOOKUP(C2409,Stock,3,FALSE),"")</f>
        <v>Mitsubishi Outlander 10-21 GA3</v>
      </c>
      <c r="E2409" s="45">
        <v>1.0</v>
      </c>
      <c r="F2409" s="198">
        <v>1141000.0</v>
      </c>
      <c r="G2409" s="142">
        <f t="shared" si="68"/>
        <v>1141000</v>
      </c>
      <c r="H2409" s="142"/>
      <c r="I2409" s="143">
        <f t="shared" si="71"/>
        <v>1141000</v>
      </c>
      <c r="J2409" s="144">
        <f t="shared" si="70"/>
        <v>1141000</v>
      </c>
      <c r="K2409" s="64" t="s">
        <v>8618</v>
      </c>
      <c r="L2409" s="199" t="s">
        <v>8619</v>
      </c>
      <c r="M2409" s="17"/>
      <c r="N2409" s="68"/>
      <c r="O2409" s="68"/>
      <c r="P2409" s="170"/>
      <c r="Q2409" s="149"/>
      <c r="R2409" s="149"/>
      <c r="S2409" s="141"/>
      <c r="T2409" s="141">
        <v>3150000.0</v>
      </c>
      <c r="U2409" s="149"/>
      <c r="V2409" s="149"/>
      <c r="W2409" s="149"/>
      <c r="X2409" s="64"/>
      <c r="Y2409" s="68"/>
      <c r="Z2409" s="68"/>
    </row>
    <row r="2410" ht="15.0" customHeight="1">
      <c r="A2410" s="206">
        <v>46090.0</v>
      </c>
      <c r="B2410" s="398" t="s">
        <v>8617</v>
      </c>
      <c r="C2410" s="479" t="s">
        <v>2881</v>
      </c>
      <c r="D2410" s="140" t="str">
        <f>IFERROR(VLOOKUP(C2410,Stock,3,FALSE),"")</f>
        <v>Mitsubishi Outlander 10-21 GA3</v>
      </c>
      <c r="E2410" s="45">
        <v>1.0</v>
      </c>
      <c r="F2410" s="198">
        <v>1888000.0</v>
      </c>
      <c r="G2410" s="142">
        <f t="shared" si="68"/>
        <v>1888000</v>
      </c>
      <c r="H2410" s="142"/>
      <c r="I2410" s="143">
        <f t="shared" si="71"/>
        <v>1888000</v>
      </c>
      <c r="J2410" s="144">
        <f t="shared" si="70"/>
        <v>1888000</v>
      </c>
      <c r="K2410" s="64" t="s">
        <v>8618</v>
      </c>
      <c r="L2410" s="45" t="s">
        <v>8620</v>
      </c>
      <c r="M2410" s="17"/>
      <c r="N2410" s="68"/>
      <c r="O2410" s="68"/>
      <c r="P2410" s="170"/>
      <c r="Q2410" s="149"/>
      <c r="R2410" s="149"/>
      <c r="S2410" s="149"/>
      <c r="T2410" s="149"/>
      <c r="U2410" s="149"/>
      <c r="V2410" s="149"/>
      <c r="W2410" s="149"/>
      <c r="X2410" s="68"/>
      <c r="Y2410" s="68"/>
      <c r="Z2410" s="68"/>
    </row>
    <row r="2411" ht="15.0" customHeight="1">
      <c r="A2411" s="206">
        <v>46090.0</v>
      </c>
      <c r="B2411" s="398" t="s">
        <v>8617</v>
      </c>
      <c r="C2411" s="480" t="s">
        <v>2835</v>
      </c>
      <c r="D2411" s="140" t="str">
        <f>IFERROR(VLOOKUP(C2411,Stock,3,FALSE),"")</f>
        <v>Peti Kayu</v>
      </c>
      <c r="E2411" s="45">
        <v>1.0</v>
      </c>
      <c r="F2411" s="198">
        <v>200000.0</v>
      </c>
      <c r="G2411" s="142">
        <f t="shared" si="68"/>
        <v>200000</v>
      </c>
      <c r="H2411" s="143">
        <v>79000.0</v>
      </c>
      <c r="I2411" s="143">
        <f t="shared" si="71"/>
        <v>121000</v>
      </c>
      <c r="J2411" s="144">
        <f t="shared" si="70"/>
        <v>121000</v>
      </c>
      <c r="K2411" s="64" t="s">
        <v>8618</v>
      </c>
      <c r="L2411" s="45" t="s">
        <v>8621</v>
      </c>
      <c r="M2411" s="17"/>
      <c r="N2411" s="68"/>
      <c r="O2411" s="68"/>
      <c r="P2411" s="170"/>
      <c r="Q2411" s="149"/>
      <c r="R2411" s="149"/>
      <c r="S2411" s="149"/>
      <c r="T2411" s="149"/>
      <c r="U2411" s="149"/>
      <c r="V2411" s="149"/>
      <c r="W2411" s="149"/>
      <c r="X2411" s="68"/>
      <c r="Y2411" s="68"/>
      <c r="Z2411" s="68"/>
    </row>
    <row r="2412" ht="15.0" customHeight="1">
      <c r="A2412" s="206">
        <v>46090.0</v>
      </c>
      <c r="B2412" s="201" t="s">
        <v>8622</v>
      </c>
      <c r="C2412" s="45" t="s">
        <v>4383</v>
      </c>
      <c r="D2412" s="140" t="str">
        <f>IFERROR(VLOOKUP(C2412,Stock,3,FALSE),"")</f>
        <v>Honda HR-V 14-21 5D SUV</v>
      </c>
      <c r="E2412" s="45">
        <v>1.0</v>
      </c>
      <c r="F2412" s="198">
        <v>1856000.0</v>
      </c>
      <c r="G2412" s="142">
        <f t="shared" si="68"/>
        <v>1856000</v>
      </c>
      <c r="H2412" s="142"/>
      <c r="I2412" s="143">
        <f t="shared" si="71"/>
        <v>1856000</v>
      </c>
      <c r="J2412" s="144">
        <f t="shared" si="70"/>
        <v>1856000</v>
      </c>
      <c r="K2412" s="108" t="s">
        <v>8623</v>
      </c>
      <c r="L2412" s="199" t="s">
        <v>8624</v>
      </c>
      <c r="M2412" s="17"/>
      <c r="N2412" s="64" t="s">
        <v>8625</v>
      </c>
      <c r="O2412" s="68"/>
      <c r="P2412" s="170"/>
      <c r="Q2412" s="149"/>
      <c r="R2412" s="149"/>
      <c r="S2412" s="141">
        <v>100000.0</v>
      </c>
      <c r="T2412" s="141">
        <v>1756000.0</v>
      </c>
      <c r="U2412" s="149"/>
      <c r="V2412" s="149"/>
      <c r="W2412" s="149"/>
      <c r="X2412" s="64" t="s">
        <v>8232</v>
      </c>
      <c r="Y2412" s="68"/>
      <c r="Z2412" s="68"/>
    </row>
    <row r="2413" ht="15.0" customHeight="1">
      <c r="A2413" s="206">
        <v>46091.0</v>
      </c>
      <c r="B2413" s="201" t="s">
        <v>8626</v>
      </c>
      <c r="C2413" s="45" t="s">
        <v>7784</v>
      </c>
      <c r="D2413" s="140" t="str">
        <f>IFERROR(VLOOKUP(C2413,Stock,3,FALSE),"")</f>
        <v>Mitsubishi Pajero 16-</v>
      </c>
      <c r="E2413" s="45">
        <v>1.0</v>
      </c>
      <c r="F2413" s="198">
        <v>1480000.0</v>
      </c>
      <c r="G2413" s="142">
        <f t="shared" si="68"/>
        <v>1480000</v>
      </c>
      <c r="H2413" s="142"/>
      <c r="I2413" s="143">
        <f t="shared" si="71"/>
        <v>1480000</v>
      </c>
      <c r="J2413" s="144">
        <f t="shared" si="70"/>
        <v>1480000</v>
      </c>
      <c r="K2413" s="108" t="s">
        <v>8627</v>
      </c>
      <c r="L2413" s="199" t="s">
        <v>8628</v>
      </c>
      <c r="M2413" s="17"/>
      <c r="N2413" s="68"/>
      <c r="O2413" s="68"/>
      <c r="P2413" s="170"/>
      <c r="Q2413" s="149"/>
      <c r="R2413" s="149"/>
      <c r="S2413" s="141">
        <v>100000.0</v>
      </c>
      <c r="T2413" s="141">
        <v>1380000.0</v>
      </c>
      <c r="U2413" s="149"/>
      <c r="V2413" s="149"/>
      <c r="W2413" s="149"/>
      <c r="X2413" s="64" t="s">
        <v>8219</v>
      </c>
      <c r="Y2413" s="68"/>
      <c r="Z2413" s="68"/>
    </row>
    <row r="2414" ht="15.0" customHeight="1">
      <c r="A2414" s="206">
        <v>46091.0</v>
      </c>
      <c r="B2414" s="201" t="s">
        <v>8629</v>
      </c>
      <c r="C2414" s="45" t="s">
        <v>6054</v>
      </c>
      <c r="D2414" s="140" t="str">
        <f>IFERROR(VLOOKUP(C2414,Stock,3,FALSE),"")</f>
        <v>Mitsubishi Pajero 08-16</v>
      </c>
      <c r="E2414" s="45">
        <v>1.0</v>
      </c>
      <c r="F2414" s="198">
        <v>1480000.0</v>
      </c>
      <c r="G2414" s="142">
        <f t="shared" si="68"/>
        <v>1480000</v>
      </c>
      <c r="H2414" s="142"/>
      <c r="I2414" s="143">
        <f t="shared" si="71"/>
        <v>1480000</v>
      </c>
      <c r="J2414" s="144">
        <f t="shared" si="70"/>
        <v>1480000</v>
      </c>
      <c r="K2414" s="108" t="s">
        <v>8630</v>
      </c>
      <c r="L2414" s="199" t="s">
        <v>8631</v>
      </c>
      <c r="M2414" s="17"/>
      <c r="N2414" s="64" t="s">
        <v>8632</v>
      </c>
      <c r="O2414" s="68"/>
      <c r="P2414" s="170"/>
      <c r="Q2414" s="149"/>
      <c r="R2414" s="149"/>
      <c r="S2414" s="149"/>
      <c r="T2414" s="141">
        <v>1480000.0</v>
      </c>
      <c r="U2414" s="149"/>
      <c r="V2414" s="149"/>
      <c r="W2414" s="149"/>
      <c r="X2414" s="64" t="s">
        <v>8232</v>
      </c>
      <c r="Y2414" s="68"/>
      <c r="Z2414" s="68"/>
    </row>
    <row r="2415" ht="15.0" customHeight="1">
      <c r="A2415" s="206">
        <v>46091.0</v>
      </c>
      <c r="B2415" s="201" t="s">
        <v>8633</v>
      </c>
      <c r="C2415" s="45" t="s">
        <v>8634</v>
      </c>
      <c r="D2415" s="140" t="str">
        <f>IFERROR(VLOOKUP(C2415,Stock,3,FALSE),"")</f>
        <v>Isuzu Panther 00- 2nd Gen (Sealant)</v>
      </c>
      <c r="E2415" s="45">
        <v>1.0</v>
      </c>
      <c r="F2415" s="198">
        <v>985000.0</v>
      </c>
      <c r="G2415" s="142">
        <f t="shared" si="68"/>
        <v>985000</v>
      </c>
      <c r="H2415" s="143">
        <v>235000.0</v>
      </c>
      <c r="I2415" s="143">
        <f t="shared" si="71"/>
        <v>750000</v>
      </c>
      <c r="J2415" s="144">
        <f t="shared" si="70"/>
        <v>750000</v>
      </c>
      <c r="K2415" s="108" t="s">
        <v>8635</v>
      </c>
      <c r="L2415" s="199" t="s">
        <v>8636</v>
      </c>
      <c r="M2415" s="17"/>
      <c r="N2415" s="68"/>
      <c r="O2415" s="68"/>
      <c r="P2415" s="170"/>
      <c r="Q2415" s="149"/>
      <c r="R2415" s="149"/>
      <c r="S2415" s="141">
        <v>100000.0</v>
      </c>
      <c r="T2415" s="149"/>
      <c r="U2415" s="149"/>
      <c r="V2415" s="149"/>
      <c r="W2415" s="149"/>
      <c r="X2415" s="64" t="s">
        <v>8232</v>
      </c>
      <c r="Y2415" s="68"/>
      <c r="Z2415" s="68"/>
    </row>
    <row r="2416" ht="15.0" customHeight="1">
      <c r="A2416" s="206">
        <v>46091.0</v>
      </c>
      <c r="B2416" s="201" t="s">
        <v>8633</v>
      </c>
      <c r="C2416" s="45" t="s">
        <v>8411</v>
      </c>
      <c r="D2416" s="140" t="str">
        <f>IFERROR(VLOOKUP(C2416,Stock,3,FALSE),"")</f>
        <v>Automotive Film Standard - Black 80%</v>
      </c>
      <c r="E2416" s="45">
        <v>1.0</v>
      </c>
      <c r="F2416" s="198">
        <v>250000.0</v>
      </c>
      <c r="G2416" s="142">
        <f t="shared" si="68"/>
        <v>250000</v>
      </c>
      <c r="H2416" s="142"/>
      <c r="I2416" s="143">
        <f t="shared" si="71"/>
        <v>250000</v>
      </c>
      <c r="J2416" s="144">
        <f t="shared" si="70"/>
        <v>250000</v>
      </c>
      <c r="K2416" s="200"/>
      <c r="L2416" s="17"/>
      <c r="M2416" s="17"/>
      <c r="N2416" s="68"/>
      <c r="O2416" s="68"/>
      <c r="P2416" s="170"/>
      <c r="Q2416" s="149"/>
      <c r="R2416" s="149"/>
      <c r="S2416" s="149"/>
      <c r="T2416" s="149"/>
      <c r="U2416" s="149"/>
      <c r="V2416" s="149"/>
      <c r="W2416" s="149"/>
      <c r="X2416" s="68"/>
      <c r="Y2416" s="68"/>
      <c r="Z2416" s="68"/>
    </row>
    <row r="2417" ht="15.0" customHeight="1">
      <c r="A2417" s="206">
        <v>46091.0</v>
      </c>
      <c r="B2417" s="201" t="s">
        <v>8633</v>
      </c>
      <c r="C2417" s="45" t="s">
        <v>2770</v>
      </c>
      <c r="D2417" s="140" t="str">
        <f>IFERROR(VLOOKUP(C2417,Stock,3,FALSE),"")</f>
        <v>Transport</v>
      </c>
      <c r="E2417" s="45">
        <v>1.0</v>
      </c>
      <c r="F2417" s="198">
        <v>100000.0</v>
      </c>
      <c r="G2417" s="142">
        <f t="shared" si="68"/>
        <v>100000</v>
      </c>
      <c r="H2417" s="142"/>
      <c r="I2417" s="143">
        <f t="shared" si="71"/>
        <v>100000</v>
      </c>
      <c r="J2417" s="144">
        <f t="shared" si="70"/>
        <v>100000</v>
      </c>
      <c r="K2417" s="200"/>
      <c r="L2417" s="17"/>
      <c r="M2417" s="17"/>
      <c r="N2417" s="68"/>
      <c r="O2417" s="68"/>
      <c r="P2417" s="170"/>
      <c r="Q2417" s="149"/>
      <c r="R2417" s="149"/>
      <c r="S2417" s="149"/>
      <c r="T2417" s="149"/>
      <c r="U2417" s="149"/>
      <c r="V2417" s="149"/>
      <c r="W2417" s="149"/>
      <c r="X2417" s="68"/>
      <c r="Y2417" s="68"/>
      <c r="Z2417" s="68"/>
    </row>
    <row r="2418" ht="15.0" customHeight="1">
      <c r="A2418" s="481">
        <v>46091.0</v>
      </c>
      <c r="B2418" s="482" t="s">
        <v>8637</v>
      </c>
      <c r="C2418" s="483" t="s">
        <v>2830</v>
      </c>
      <c r="D2418" s="484" t="str">
        <f>IFERROR(VLOOKUP(C2418,Stock,3,FALSE),"")</f>
        <v/>
      </c>
      <c r="E2418" s="483"/>
      <c r="F2418" s="485">
        <v>4612000.0</v>
      </c>
      <c r="G2418" s="486">
        <f t="shared" si="68"/>
        <v>0</v>
      </c>
      <c r="H2418" s="486"/>
      <c r="I2418" s="487">
        <f t="shared" si="71"/>
        <v>0</v>
      </c>
      <c r="J2418" s="488">
        <f t="shared" si="70"/>
        <v>0</v>
      </c>
      <c r="K2418" s="489" t="s">
        <v>8638</v>
      </c>
      <c r="L2418" s="490" t="s">
        <v>8639</v>
      </c>
      <c r="M2418" s="491"/>
      <c r="N2418" s="483" t="s">
        <v>8640</v>
      </c>
      <c r="O2418" s="492"/>
      <c r="P2418" s="493"/>
      <c r="Q2418" s="494"/>
      <c r="R2418" s="494"/>
      <c r="S2418" s="495">
        <v>2306000.0</v>
      </c>
      <c r="T2418" s="243"/>
      <c r="U2418" s="243"/>
      <c r="V2418" s="243"/>
      <c r="W2418" s="243"/>
      <c r="X2418" s="241" t="s">
        <v>8232</v>
      </c>
      <c r="Y2418" s="175"/>
      <c r="Z2418" s="175"/>
    </row>
    <row r="2419" ht="15.0" customHeight="1">
      <c r="A2419" s="206">
        <v>46091.0</v>
      </c>
      <c r="B2419" s="201" t="s">
        <v>8641</v>
      </c>
      <c r="C2419" s="45" t="s">
        <v>4439</v>
      </c>
      <c r="D2419" s="140" t="str">
        <f>IFERROR(VLOOKUP(C2419,Stock,3,FALSE),"")</f>
        <v>Toyota Innova 04-15 1st Gen (Toyota)</v>
      </c>
      <c r="E2419" s="45">
        <v>1.0</v>
      </c>
      <c r="F2419" s="198">
        <v>2465000.0</v>
      </c>
      <c r="G2419" s="142">
        <f t="shared" si="68"/>
        <v>2465000</v>
      </c>
      <c r="H2419" s="143">
        <v>8000.0</v>
      </c>
      <c r="I2419" s="143">
        <f t="shared" si="71"/>
        <v>2457000</v>
      </c>
      <c r="J2419" s="144">
        <f t="shared" si="70"/>
        <v>2457000</v>
      </c>
      <c r="K2419" s="108" t="s">
        <v>8642</v>
      </c>
      <c r="L2419" s="199" t="s">
        <v>8643</v>
      </c>
      <c r="M2419" s="17"/>
      <c r="N2419" s="68"/>
      <c r="O2419" s="68"/>
      <c r="P2419" s="170"/>
      <c r="Q2419" s="149"/>
      <c r="R2419" s="149"/>
      <c r="S2419" s="149"/>
      <c r="T2419" s="141">
        <v>3257000.0</v>
      </c>
      <c r="U2419" s="141">
        <v>3257000.0</v>
      </c>
      <c r="V2419" s="149"/>
      <c r="W2419" s="149"/>
      <c r="X2419" s="64" t="s">
        <v>8219</v>
      </c>
      <c r="Y2419" s="175"/>
      <c r="Z2419" s="175"/>
    </row>
    <row r="2420" ht="15.0" customHeight="1">
      <c r="A2420" s="206">
        <v>46091.0</v>
      </c>
      <c r="B2420" s="201" t="s">
        <v>8641</v>
      </c>
      <c r="C2420" s="45" t="s">
        <v>7011</v>
      </c>
      <c r="D2420" s="140" t="str">
        <f>IFERROR(VLOOKUP(C2420,Stock,3,FALSE),"")</f>
        <v>Automotive Film Standard - Black 40%				</v>
      </c>
      <c r="E2420" s="45">
        <v>1.0</v>
      </c>
      <c r="F2420" s="198">
        <v>400000.0</v>
      </c>
      <c r="G2420" s="142">
        <f t="shared" si="68"/>
        <v>400000</v>
      </c>
      <c r="H2420" s="142"/>
      <c r="I2420" s="143">
        <f t="shared" si="71"/>
        <v>400000</v>
      </c>
      <c r="J2420" s="144">
        <f t="shared" si="70"/>
        <v>400000</v>
      </c>
      <c r="K2420" s="108" t="s">
        <v>8642</v>
      </c>
      <c r="L2420" s="45" t="s">
        <v>8644</v>
      </c>
      <c r="M2420" s="17"/>
      <c r="N2420" s="68"/>
      <c r="O2420" s="68"/>
      <c r="P2420" s="170"/>
      <c r="Q2420" s="149"/>
      <c r="R2420" s="149"/>
      <c r="S2420" s="149"/>
      <c r="T2420" s="149"/>
      <c r="U2420" s="149"/>
      <c r="V2420" s="149"/>
      <c r="W2420" s="243"/>
      <c r="X2420" s="241" t="s">
        <v>8219</v>
      </c>
      <c r="Y2420" s="175"/>
      <c r="Z2420" s="175"/>
    </row>
    <row r="2421" ht="15.0" customHeight="1">
      <c r="A2421" s="206">
        <v>46091.0</v>
      </c>
      <c r="B2421" s="201" t="s">
        <v>8641</v>
      </c>
      <c r="C2421" s="201" t="s">
        <v>2778</v>
      </c>
      <c r="D2421" s="140" t="str">
        <f>IFERROR(VLOOKUP(C2421,Stock,3,FALSE),"")</f>
        <v>Bongkar Pasang Kaca Mobil Depan</v>
      </c>
      <c r="E2421" s="45">
        <v>1.0</v>
      </c>
      <c r="F2421" s="198">
        <v>400000.0</v>
      </c>
      <c r="G2421" s="142">
        <f t="shared" si="68"/>
        <v>400000</v>
      </c>
      <c r="H2421" s="142"/>
      <c r="I2421" s="143">
        <f t="shared" si="71"/>
        <v>400000</v>
      </c>
      <c r="J2421" s="144">
        <f t="shared" si="70"/>
        <v>400000</v>
      </c>
      <c r="K2421" s="108" t="s">
        <v>8642</v>
      </c>
      <c r="L2421" s="45" t="s">
        <v>8645</v>
      </c>
      <c r="M2421" s="17"/>
      <c r="N2421" s="68"/>
      <c r="O2421" s="68"/>
      <c r="P2421" s="170"/>
      <c r="Q2421" s="149"/>
      <c r="R2421" s="149"/>
      <c r="S2421" s="149"/>
      <c r="T2421" s="149"/>
      <c r="U2421" s="149"/>
      <c r="V2421" s="149"/>
      <c r="W2421" s="149"/>
      <c r="X2421" s="64" t="s">
        <v>8219</v>
      </c>
      <c r="Y2421" s="175"/>
      <c r="Z2421" s="175"/>
    </row>
    <row r="2422" ht="15.0" customHeight="1">
      <c r="A2422" s="206">
        <v>46091.0</v>
      </c>
      <c r="B2422" s="398" t="s">
        <v>8646</v>
      </c>
      <c r="C2422" s="496" t="s">
        <v>8647</v>
      </c>
      <c r="D2422" s="140" t="str">
        <f>IFERROR(VLOOKUP(C2422,Stock,3,FALSE),"")</f>
        <v>BMW 3 Series 98-06 E46</v>
      </c>
      <c r="E2422" s="45">
        <v>1.0</v>
      </c>
      <c r="F2422" s="198">
        <v>825000.0</v>
      </c>
      <c r="G2422" s="142">
        <f t="shared" si="68"/>
        <v>825000</v>
      </c>
      <c r="H2422" s="142"/>
      <c r="I2422" s="143">
        <f t="shared" si="71"/>
        <v>825000</v>
      </c>
      <c r="J2422" s="144">
        <f t="shared" si="70"/>
        <v>825000</v>
      </c>
      <c r="K2422" s="108" t="s">
        <v>8648</v>
      </c>
      <c r="L2422" s="199" t="s">
        <v>8649</v>
      </c>
      <c r="M2422" s="17"/>
      <c r="N2422" s="64"/>
      <c r="O2422" s="68"/>
      <c r="P2422" s="170"/>
      <c r="Q2422" s="149"/>
      <c r="R2422" s="149"/>
      <c r="S2422" s="149"/>
      <c r="T2422" s="149"/>
      <c r="U2422" s="149"/>
      <c r="V2422" s="149"/>
      <c r="W2422" s="149"/>
      <c r="X2422" s="64" t="s">
        <v>8219</v>
      </c>
      <c r="Y2422" s="68"/>
      <c r="Z2422" s="68"/>
    </row>
    <row r="2423" ht="15.0" customHeight="1">
      <c r="A2423" s="206">
        <v>46091.0</v>
      </c>
      <c r="B2423" s="201" t="s">
        <v>8650</v>
      </c>
      <c r="C2423" s="45" t="s">
        <v>5970</v>
      </c>
      <c r="D2423" s="140" t="str">
        <f>IFERROR(VLOOKUP(C2423,Stock,3,FALSE),"")</f>
        <v>Honda CR-V 12-16 4th Gen</v>
      </c>
      <c r="E2423" s="45">
        <v>1.0</v>
      </c>
      <c r="F2423" s="198">
        <v>1799000.0</v>
      </c>
      <c r="G2423" s="142">
        <f t="shared" si="68"/>
        <v>1799000</v>
      </c>
      <c r="H2423" s="142"/>
      <c r="I2423" s="143">
        <f t="shared" si="71"/>
        <v>1799000</v>
      </c>
      <c r="J2423" s="144">
        <f t="shared" si="70"/>
        <v>1799000</v>
      </c>
      <c r="K2423" s="108" t="s">
        <v>8651</v>
      </c>
      <c r="L2423" s="199" t="s">
        <v>8652</v>
      </c>
      <c r="M2423" s="17"/>
      <c r="N2423" s="64" t="s">
        <v>8653</v>
      </c>
      <c r="O2423" s="68"/>
      <c r="P2423" s="170"/>
      <c r="Q2423" s="149"/>
      <c r="R2423" s="149"/>
      <c r="S2423" s="149"/>
      <c r="T2423" s="149"/>
      <c r="U2423" s="149"/>
      <c r="V2423" s="149"/>
      <c r="W2423" s="149"/>
      <c r="X2423" s="64" t="s">
        <v>8219</v>
      </c>
      <c r="Y2423" s="68"/>
      <c r="Z2423" s="68"/>
    </row>
    <row r="2424" ht="15.0" customHeight="1">
      <c r="A2424" s="265">
        <v>46091.0</v>
      </c>
      <c r="B2424" s="266" t="s">
        <v>8654</v>
      </c>
      <c r="C2424" s="269" t="s">
        <v>3680</v>
      </c>
      <c r="D2424" s="268" t="str">
        <f>IFERROR(VLOOKUP(C2424,Stock,3,FALSE),"")</f>
        <v>Wuling Almaz (Orisinil)</v>
      </c>
      <c r="E2424" s="269">
        <v>2.0</v>
      </c>
      <c r="F2424" s="270"/>
      <c r="G2424" s="271">
        <f t="shared" si="68"/>
        <v>0</v>
      </c>
      <c r="H2424" s="271"/>
      <c r="I2424" s="272">
        <f t="shared" si="71"/>
        <v>0</v>
      </c>
      <c r="J2424" s="273">
        <f t="shared" si="70"/>
        <v>0</v>
      </c>
      <c r="K2424" s="267" t="s">
        <v>8487</v>
      </c>
      <c r="L2424" s="274"/>
      <c r="M2424" s="274"/>
      <c r="N2424" s="275"/>
      <c r="O2424" s="275"/>
      <c r="P2424" s="276"/>
      <c r="Q2424" s="277"/>
      <c r="R2424" s="277"/>
      <c r="S2424" s="277"/>
      <c r="T2424" s="277"/>
      <c r="U2424" s="277"/>
      <c r="V2424" s="277"/>
      <c r="W2424" s="277"/>
      <c r="X2424" s="278" t="s">
        <v>7976</v>
      </c>
      <c r="Y2424" s="275"/>
      <c r="Z2424" s="275"/>
    </row>
    <row r="2425" ht="15.0" customHeight="1">
      <c r="A2425" s="497">
        <v>46091.0</v>
      </c>
      <c r="B2425" s="266" t="s">
        <v>8654</v>
      </c>
      <c r="C2425" s="269" t="s">
        <v>8655</v>
      </c>
      <c r="D2425" s="268" t="str">
        <f>IFERROR(VLOOKUP(C2425,Stock,3,FALSE),"")</f>
        <v>Suzuki Baleno 08-15 SX4 Hatchback</v>
      </c>
      <c r="E2425" s="269">
        <v>1.0</v>
      </c>
      <c r="F2425" s="270"/>
      <c r="G2425" s="271">
        <f t="shared" si="68"/>
        <v>0</v>
      </c>
      <c r="H2425" s="271"/>
      <c r="I2425" s="272">
        <f t="shared" si="71"/>
        <v>0</v>
      </c>
      <c r="J2425" s="273">
        <f t="shared" si="70"/>
        <v>0</v>
      </c>
      <c r="K2425" s="267" t="s">
        <v>8487</v>
      </c>
      <c r="L2425" s="274"/>
      <c r="M2425" s="274"/>
      <c r="N2425" s="275"/>
      <c r="O2425" s="275"/>
      <c r="P2425" s="276"/>
      <c r="Q2425" s="277"/>
      <c r="R2425" s="277"/>
      <c r="S2425" s="277"/>
      <c r="T2425" s="277"/>
      <c r="U2425" s="277"/>
      <c r="V2425" s="277"/>
      <c r="W2425" s="277"/>
      <c r="X2425" s="278" t="s">
        <v>7976</v>
      </c>
      <c r="Y2425" s="275"/>
      <c r="Z2425" s="275"/>
    </row>
    <row r="2426" ht="15.0" customHeight="1">
      <c r="A2426" s="206">
        <v>46091.0</v>
      </c>
      <c r="B2426" s="201" t="s">
        <v>8656</v>
      </c>
      <c r="C2426" s="45" t="s">
        <v>5096</v>
      </c>
      <c r="D2426" s="140" t="str">
        <f>IFERROR(VLOOKUP(C2426,Stock,3,FALSE),"")</f>
        <v>Suzuki Baleno 16- SX4 Scross Hatchback (1 Sensor / I )</v>
      </c>
      <c r="E2426" s="45">
        <v>1.0</v>
      </c>
      <c r="F2426" s="198">
        <v>1750000.0</v>
      </c>
      <c r="G2426" s="236">
        <v>1750000.0</v>
      </c>
      <c r="H2426" s="235"/>
      <c r="I2426" s="236">
        <f t="shared" si="71"/>
        <v>1750000</v>
      </c>
      <c r="J2426" s="237">
        <f t="shared" si="70"/>
        <v>1750000</v>
      </c>
      <c r="K2426" s="238" t="s">
        <v>8657</v>
      </c>
      <c r="L2426" s="239" t="s">
        <v>8658</v>
      </c>
      <c r="M2426" s="240"/>
      <c r="N2426" s="241" t="s">
        <v>8659</v>
      </c>
      <c r="O2426" s="175"/>
      <c r="P2426" s="242"/>
      <c r="Q2426" s="243"/>
      <c r="R2426" s="243"/>
      <c r="S2426" s="244">
        <v>100000.0</v>
      </c>
      <c r="T2426" s="244">
        <v>1830000.0</v>
      </c>
      <c r="U2426" s="243"/>
      <c r="V2426" s="243"/>
      <c r="W2426" s="243"/>
      <c r="X2426" s="241" t="s">
        <v>7976</v>
      </c>
      <c r="Y2426" s="175"/>
      <c r="Z2426" s="175"/>
    </row>
    <row r="2427" ht="15.0" customHeight="1">
      <c r="A2427" s="206">
        <v>46095.0</v>
      </c>
      <c r="B2427" s="201" t="s">
        <v>8656</v>
      </c>
      <c r="C2427" s="45" t="s">
        <v>2770</v>
      </c>
      <c r="D2427" s="448" t="str">
        <f>IFERROR(VLOOKUP(C2427,Stock,3,FALSE),"")</f>
        <v>Transport</v>
      </c>
      <c r="E2427" s="45">
        <v>1.0</v>
      </c>
      <c r="F2427" s="198">
        <v>180000.0</v>
      </c>
      <c r="G2427" s="142">
        <f t="shared" ref="G2427:G2465" si="72">E2427*F2427</f>
        <v>180000</v>
      </c>
      <c r="H2427" s="142"/>
      <c r="I2427" s="143">
        <f t="shared" si="71"/>
        <v>180000</v>
      </c>
      <c r="J2427" s="144">
        <f t="shared" si="70"/>
        <v>180000</v>
      </c>
      <c r="K2427" s="200"/>
      <c r="L2427" s="17"/>
      <c r="M2427" s="17"/>
      <c r="N2427" s="68"/>
      <c r="O2427" s="68"/>
      <c r="P2427" s="170"/>
      <c r="Q2427" s="149"/>
      <c r="R2427" s="149"/>
      <c r="S2427" s="149"/>
      <c r="T2427" s="149"/>
      <c r="U2427" s="149"/>
      <c r="V2427" s="149"/>
      <c r="W2427" s="149"/>
      <c r="X2427" s="64" t="s">
        <v>7976</v>
      </c>
      <c r="Y2427" s="68"/>
      <c r="Z2427" s="68"/>
    </row>
    <row r="2428" ht="15.0" customHeight="1">
      <c r="A2428" s="206">
        <v>46091.0</v>
      </c>
      <c r="B2428" s="201" t="s">
        <v>8660</v>
      </c>
      <c r="C2428" s="45" t="s">
        <v>4447</v>
      </c>
      <c r="D2428" s="140" t="str">
        <f>IFERROR(VLOOKUP(C2428,Stock,3,FALSE),"")</f>
        <v>Isuzu Elf 17- New NMR NLR</v>
      </c>
      <c r="E2428" s="45">
        <v>1.0</v>
      </c>
      <c r="F2428" s="198">
        <v>1114000.0</v>
      </c>
      <c r="G2428" s="142">
        <f t="shared" si="72"/>
        <v>1114000</v>
      </c>
      <c r="H2428" s="142"/>
      <c r="I2428" s="143">
        <f t="shared" si="71"/>
        <v>1114000</v>
      </c>
      <c r="J2428" s="144">
        <f t="shared" si="70"/>
        <v>1114000</v>
      </c>
      <c r="K2428" s="108" t="s">
        <v>8661</v>
      </c>
      <c r="L2428" s="199" t="s">
        <v>8662</v>
      </c>
      <c r="M2428" s="17"/>
      <c r="N2428" s="68"/>
      <c r="O2428" s="68"/>
      <c r="P2428" s="170"/>
      <c r="Q2428" s="149"/>
      <c r="R2428" s="149"/>
      <c r="S2428" s="141">
        <v>100000.0</v>
      </c>
      <c r="T2428" s="141">
        <v>1094000.0</v>
      </c>
      <c r="U2428" s="149"/>
      <c r="V2428" s="149"/>
      <c r="W2428" s="149"/>
      <c r="X2428" s="64" t="s">
        <v>8334</v>
      </c>
      <c r="Y2428" s="68"/>
      <c r="Z2428" s="68"/>
    </row>
    <row r="2429" ht="15.0" customHeight="1">
      <c r="A2429" s="206">
        <v>46091.0</v>
      </c>
      <c r="B2429" s="201" t="s">
        <v>8660</v>
      </c>
      <c r="C2429" s="45" t="s">
        <v>2770</v>
      </c>
      <c r="D2429" s="140" t="str">
        <f>IFERROR(VLOOKUP(C2429,Stock,3,FALSE),"")</f>
        <v>Transport</v>
      </c>
      <c r="E2429" s="45">
        <v>1.0</v>
      </c>
      <c r="F2429" s="198">
        <v>80000.0</v>
      </c>
      <c r="G2429" s="142">
        <f t="shared" si="72"/>
        <v>80000</v>
      </c>
      <c r="H2429" s="142"/>
      <c r="I2429" s="143">
        <f t="shared" si="71"/>
        <v>80000</v>
      </c>
      <c r="J2429" s="144">
        <f t="shared" si="70"/>
        <v>80000</v>
      </c>
      <c r="K2429" s="108" t="s">
        <v>8661</v>
      </c>
      <c r="L2429" s="199" t="s">
        <v>8662</v>
      </c>
      <c r="M2429" s="17"/>
      <c r="N2429" s="68"/>
      <c r="O2429" s="68"/>
      <c r="P2429" s="170"/>
      <c r="Q2429" s="149"/>
      <c r="R2429" s="149"/>
      <c r="S2429" s="141"/>
      <c r="T2429" s="149"/>
      <c r="U2429" s="149"/>
      <c r="V2429" s="149"/>
      <c r="W2429" s="149"/>
      <c r="X2429" s="64" t="s">
        <v>8334</v>
      </c>
      <c r="Y2429" s="68"/>
      <c r="Z2429" s="68"/>
    </row>
    <row r="2430" ht="15.0" customHeight="1">
      <c r="A2430" s="206">
        <v>46091.0</v>
      </c>
      <c r="B2430" s="201" t="s">
        <v>8663</v>
      </c>
      <c r="C2430" s="45" t="s">
        <v>2778</v>
      </c>
      <c r="D2430" s="140" t="str">
        <f>IFERROR(VLOOKUP(C2430,Stock,3,FALSE),"")</f>
        <v>Bongkar Pasang Kaca Mobil Depan</v>
      </c>
      <c r="E2430" s="45">
        <v>1.0</v>
      </c>
      <c r="F2430" s="198">
        <v>600000.0</v>
      </c>
      <c r="G2430" s="142">
        <f t="shared" si="72"/>
        <v>600000</v>
      </c>
      <c r="H2430" s="142"/>
      <c r="I2430" s="143">
        <f t="shared" si="71"/>
        <v>600000</v>
      </c>
      <c r="J2430" s="144">
        <f t="shared" si="70"/>
        <v>600000</v>
      </c>
      <c r="K2430" s="108" t="s">
        <v>8664</v>
      </c>
      <c r="L2430" s="199" t="s">
        <v>8665</v>
      </c>
      <c r="M2430" s="17"/>
      <c r="N2430" s="68"/>
      <c r="O2430" s="68"/>
      <c r="P2430" s="170"/>
      <c r="Q2430" s="243"/>
      <c r="R2430" s="243"/>
      <c r="S2430" s="244">
        <v>100000.0</v>
      </c>
      <c r="T2430" s="244">
        <v>750000.0</v>
      </c>
      <c r="U2430" s="243"/>
      <c r="V2430" s="243"/>
      <c r="W2430" s="243"/>
      <c r="X2430" s="241" t="s">
        <v>8334</v>
      </c>
      <c r="Y2430" s="175"/>
      <c r="Z2430" s="175"/>
    </row>
    <row r="2431" ht="15.0" customHeight="1">
      <c r="A2431" s="206">
        <v>46091.0</v>
      </c>
      <c r="B2431" s="201" t="s">
        <v>8663</v>
      </c>
      <c r="C2431" s="45" t="s">
        <v>2770</v>
      </c>
      <c r="D2431" s="140" t="str">
        <f>IFERROR(VLOOKUP(C2431,Stock,3,FALSE),"")</f>
        <v>Transport</v>
      </c>
      <c r="E2431" s="45">
        <v>1.0</v>
      </c>
      <c r="F2431" s="198">
        <v>250000.0</v>
      </c>
      <c r="G2431" s="142">
        <f t="shared" si="72"/>
        <v>250000</v>
      </c>
      <c r="H2431" s="142"/>
      <c r="I2431" s="143">
        <f t="shared" si="71"/>
        <v>250000</v>
      </c>
      <c r="J2431" s="144">
        <f t="shared" si="70"/>
        <v>250000</v>
      </c>
      <c r="K2431" s="108" t="s">
        <v>8664</v>
      </c>
      <c r="L2431" s="199" t="s">
        <v>8665</v>
      </c>
      <c r="M2431" s="17"/>
      <c r="N2431" s="68"/>
      <c r="O2431" s="68"/>
      <c r="P2431" s="170"/>
      <c r="Q2431" s="243"/>
      <c r="R2431" s="243"/>
      <c r="S2431" s="243"/>
      <c r="T2431" s="243"/>
      <c r="U2431" s="243"/>
      <c r="V2431" s="243"/>
      <c r="W2431" s="243"/>
      <c r="X2431" s="175"/>
      <c r="Y2431" s="175"/>
      <c r="Z2431" s="175"/>
    </row>
    <row r="2432" ht="15.0" customHeight="1">
      <c r="A2432" s="206">
        <v>46092.0</v>
      </c>
      <c r="B2432" s="201" t="s">
        <v>8666</v>
      </c>
      <c r="C2432" s="64" t="s">
        <v>8667</v>
      </c>
      <c r="D2432" s="140" t="str">
        <f>IFERROR(VLOOKUP(C2432,Stock,3,FALSE),"")</f>
        <v>Suzuki Ertiga 18- 2nd Gen / XL7 (Suzuki)</v>
      </c>
      <c r="E2432" s="45">
        <v>1.0</v>
      </c>
      <c r="F2432" s="198">
        <v>1050000.0</v>
      </c>
      <c r="G2432" s="142">
        <f t="shared" si="72"/>
        <v>1050000</v>
      </c>
      <c r="H2432" s="142"/>
      <c r="I2432" s="143">
        <f t="shared" si="71"/>
        <v>1050000</v>
      </c>
      <c r="J2432" s="144">
        <f t="shared" si="70"/>
        <v>1050000</v>
      </c>
      <c r="K2432" s="108" t="s">
        <v>8668</v>
      </c>
      <c r="L2432" s="199" t="s">
        <v>8669</v>
      </c>
      <c r="M2432" s="17"/>
      <c r="N2432" s="64" t="s">
        <v>8670</v>
      </c>
      <c r="O2432" s="68"/>
      <c r="P2432" s="170"/>
      <c r="Q2432" s="149"/>
      <c r="R2432" s="149"/>
      <c r="S2432" s="149"/>
      <c r="T2432" s="141">
        <v>1050000.0</v>
      </c>
      <c r="U2432" s="149"/>
      <c r="V2432" s="149"/>
      <c r="W2432" s="149"/>
      <c r="X2432" s="64" t="s">
        <v>8219</v>
      </c>
      <c r="Y2432" s="68"/>
      <c r="Z2432" s="68"/>
    </row>
    <row r="2433" ht="15.0" customHeight="1">
      <c r="A2433" s="206">
        <v>46092.0</v>
      </c>
      <c r="B2433" s="201" t="s">
        <v>8671</v>
      </c>
      <c r="C2433" s="64" t="s">
        <v>7476</v>
      </c>
      <c r="D2433" s="140" t="str">
        <f>IFERROR(VLOOKUP(C2433,Stock,3,FALSE),"")</f>
        <v>Suzuki APV 03- Pickup/ Van (MULIA)</v>
      </c>
      <c r="E2433" s="45">
        <v>1.0</v>
      </c>
      <c r="F2433" s="198">
        <v>1094000.0</v>
      </c>
      <c r="G2433" s="142">
        <f t="shared" si="72"/>
        <v>1094000</v>
      </c>
      <c r="H2433" s="142"/>
      <c r="I2433" s="143">
        <f t="shared" si="71"/>
        <v>1094000</v>
      </c>
      <c r="J2433" s="144">
        <f t="shared" si="70"/>
        <v>1094000</v>
      </c>
      <c r="K2433" s="108" t="s">
        <v>8672</v>
      </c>
      <c r="L2433" s="199" t="s">
        <v>8673</v>
      </c>
      <c r="M2433" s="17"/>
      <c r="N2433" s="68"/>
      <c r="O2433" s="68"/>
      <c r="P2433" s="242"/>
      <c r="Q2433" s="243"/>
      <c r="R2433" s="243"/>
      <c r="S2433" s="244">
        <v>100000.0</v>
      </c>
      <c r="T2433" s="244">
        <v>1699000.0</v>
      </c>
      <c r="U2433" s="243"/>
      <c r="V2433" s="243"/>
      <c r="W2433" s="243"/>
      <c r="X2433" s="241" t="s">
        <v>8388</v>
      </c>
      <c r="Y2433" s="175"/>
      <c r="Z2433" s="175"/>
    </row>
    <row r="2434" ht="15.0" customHeight="1">
      <c r="A2434" s="206">
        <v>46092.0</v>
      </c>
      <c r="B2434" s="201" t="s">
        <v>8671</v>
      </c>
      <c r="C2434" s="64" t="s">
        <v>8674</v>
      </c>
      <c r="D2434" s="140" t="str">
        <f>IFERROR(VLOOKUP(C2434,Stock,3,FALSE),"")</f>
        <v>Suzuki APV 03- Pickup/ Van</v>
      </c>
      <c r="E2434" s="45">
        <v>1.0</v>
      </c>
      <c r="F2434" s="198">
        <v>525000.0</v>
      </c>
      <c r="G2434" s="142">
        <f t="shared" si="72"/>
        <v>525000</v>
      </c>
      <c r="H2434" s="142"/>
      <c r="I2434" s="143">
        <f t="shared" si="71"/>
        <v>525000</v>
      </c>
      <c r="J2434" s="144">
        <f t="shared" si="70"/>
        <v>525000</v>
      </c>
      <c r="K2434" s="200"/>
      <c r="L2434" s="17"/>
      <c r="M2434" s="17"/>
      <c r="N2434" s="68"/>
      <c r="O2434" s="68"/>
      <c r="P2434" s="242"/>
      <c r="Q2434" s="243"/>
      <c r="R2434" s="243"/>
      <c r="S2434" s="243"/>
      <c r="T2434" s="243"/>
      <c r="U2434" s="243"/>
      <c r="V2434" s="243"/>
      <c r="W2434" s="243"/>
      <c r="X2434" s="241" t="s">
        <v>8388</v>
      </c>
      <c r="Y2434" s="175"/>
      <c r="Z2434" s="175"/>
    </row>
    <row r="2435" ht="15.0" customHeight="1">
      <c r="A2435" s="206">
        <v>46092.0</v>
      </c>
      <c r="B2435" s="201" t="s">
        <v>8671</v>
      </c>
      <c r="C2435" s="45" t="s">
        <v>2770</v>
      </c>
      <c r="D2435" s="140" t="str">
        <f>IFERROR(VLOOKUP(C2435,Stock,3,FALSE),"")</f>
        <v>Transport</v>
      </c>
      <c r="E2435" s="45">
        <v>1.0</v>
      </c>
      <c r="F2435" s="198">
        <v>180000.0</v>
      </c>
      <c r="G2435" s="142">
        <f t="shared" si="72"/>
        <v>180000</v>
      </c>
      <c r="H2435" s="142"/>
      <c r="I2435" s="143">
        <f t="shared" si="71"/>
        <v>180000</v>
      </c>
      <c r="J2435" s="144">
        <f t="shared" si="70"/>
        <v>180000</v>
      </c>
      <c r="K2435" s="200"/>
      <c r="L2435" s="17"/>
      <c r="M2435" s="17"/>
      <c r="N2435" s="68"/>
      <c r="O2435" s="68"/>
      <c r="P2435" s="242"/>
      <c r="Q2435" s="243"/>
      <c r="R2435" s="243"/>
      <c r="S2435" s="243"/>
      <c r="T2435" s="243"/>
      <c r="U2435" s="243"/>
      <c r="V2435" s="243"/>
      <c r="W2435" s="243"/>
      <c r="X2435" s="241" t="s">
        <v>8388</v>
      </c>
      <c r="Y2435" s="175"/>
      <c r="Z2435" s="175"/>
    </row>
    <row r="2436" ht="15.0" customHeight="1">
      <c r="A2436" s="265">
        <v>46092.0</v>
      </c>
      <c r="B2436" s="266" t="s">
        <v>8675</v>
      </c>
      <c r="C2436" s="269" t="s">
        <v>5041</v>
      </c>
      <c r="D2436" s="268" t="str">
        <f>IFERROR(VLOOKUP(C2436,Stock,3,FALSE),"")</f>
        <v>Honda Freed 08-16 1st gen</v>
      </c>
      <c r="E2436" s="269">
        <v>1.0</v>
      </c>
      <c r="F2436" s="270"/>
      <c r="G2436" s="271">
        <f t="shared" si="72"/>
        <v>0</v>
      </c>
      <c r="H2436" s="271"/>
      <c r="I2436" s="272">
        <f t="shared" si="71"/>
        <v>0</v>
      </c>
      <c r="J2436" s="273">
        <f t="shared" si="70"/>
        <v>0</v>
      </c>
      <c r="K2436" s="267" t="s">
        <v>8487</v>
      </c>
      <c r="L2436" s="274"/>
      <c r="M2436" s="274"/>
      <c r="N2436" s="275"/>
      <c r="O2436" s="275"/>
      <c r="P2436" s="276"/>
      <c r="Q2436" s="277"/>
      <c r="R2436" s="277"/>
      <c r="S2436" s="277"/>
      <c r="T2436" s="277"/>
      <c r="U2436" s="277"/>
      <c r="V2436" s="277"/>
      <c r="W2436" s="277"/>
      <c r="X2436" s="278" t="s">
        <v>7976</v>
      </c>
      <c r="Y2436" s="275"/>
      <c r="Z2436" s="275"/>
    </row>
    <row r="2437" ht="15.0" customHeight="1">
      <c r="A2437" s="265">
        <v>46092.0</v>
      </c>
      <c r="B2437" s="266" t="s">
        <v>8675</v>
      </c>
      <c r="C2437" s="269" t="s">
        <v>2869</v>
      </c>
      <c r="D2437" s="268" t="str">
        <f>IFERROR(VLOOKUP(C2437,Stock,3,FALSE),"")</f>
        <v>Daihatsu Gran Max / Luxio 07-</v>
      </c>
      <c r="E2437" s="269">
        <v>4.0</v>
      </c>
      <c r="F2437" s="270"/>
      <c r="G2437" s="271">
        <f t="shared" si="72"/>
        <v>0</v>
      </c>
      <c r="H2437" s="271"/>
      <c r="I2437" s="272">
        <f t="shared" si="71"/>
        <v>0</v>
      </c>
      <c r="J2437" s="273">
        <f t="shared" si="70"/>
        <v>0</v>
      </c>
      <c r="K2437" s="267" t="s">
        <v>8487</v>
      </c>
      <c r="L2437" s="274"/>
      <c r="M2437" s="274"/>
      <c r="N2437" s="275"/>
      <c r="O2437" s="275"/>
      <c r="P2437" s="276"/>
      <c r="Q2437" s="277"/>
      <c r="R2437" s="277"/>
      <c r="S2437" s="277"/>
      <c r="T2437" s="277"/>
      <c r="U2437" s="277"/>
      <c r="V2437" s="277"/>
      <c r="W2437" s="277"/>
      <c r="X2437" s="275"/>
      <c r="Y2437" s="275"/>
      <c r="Z2437" s="275"/>
    </row>
    <row r="2438" ht="15.0" customHeight="1">
      <c r="A2438" s="265">
        <v>46092.0</v>
      </c>
      <c r="B2438" s="266" t="s">
        <v>8675</v>
      </c>
      <c r="C2438" s="278" t="s">
        <v>5066</v>
      </c>
      <c r="D2438" s="268" t="str">
        <f>IFERROR(VLOOKUP(C2438,Stock,3,FALSE),"")</f>
        <v>Suzuki Baleno 96-01</v>
      </c>
      <c r="E2438" s="269">
        <v>1.0</v>
      </c>
      <c r="F2438" s="270"/>
      <c r="G2438" s="271">
        <f t="shared" si="72"/>
        <v>0</v>
      </c>
      <c r="H2438" s="271"/>
      <c r="I2438" s="272">
        <f t="shared" si="71"/>
        <v>0</v>
      </c>
      <c r="J2438" s="273">
        <f t="shared" si="70"/>
        <v>0</v>
      </c>
      <c r="K2438" s="267" t="s">
        <v>8487</v>
      </c>
      <c r="L2438" s="274"/>
      <c r="M2438" s="274"/>
      <c r="N2438" s="275"/>
      <c r="O2438" s="275"/>
      <c r="P2438" s="276"/>
      <c r="Q2438" s="277"/>
      <c r="R2438" s="277"/>
      <c r="S2438" s="277"/>
      <c r="T2438" s="277"/>
      <c r="U2438" s="277"/>
      <c r="V2438" s="277"/>
      <c r="W2438" s="277"/>
      <c r="X2438" s="275"/>
      <c r="Y2438" s="275"/>
      <c r="Z2438" s="275"/>
    </row>
    <row r="2439" ht="15.0" customHeight="1">
      <c r="A2439" s="265">
        <v>46092.0</v>
      </c>
      <c r="B2439" s="266" t="s">
        <v>8675</v>
      </c>
      <c r="C2439" s="269" t="s">
        <v>3475</v>
      </c>
      <c r="D2439" s="268" t="str">
        <f>IFERROR(VLOOKUP(C2439,Stock,3,FALSE),"")</f>
        <v>Toyota Avanza / Xenia 03-11 1st Gen</v>
      </c>
      <c r="E2439" s="269">
        <v>1.0</v>
      </c>
      <c r="F2439" s="270"/>
      <c r="G2439" s="271">
        <f t="shared" si="72"/>
        <v>0</v>
      </c>
      <c r="H2439" s="271"/>
      <c r="I2439" s="272">
        <f t="shared" si="71"/>
        <v>0</v>
      </c>
      <c r="J2439" s="273">
        <f t="shared" si="70"/>
        <v>0</v>
      </c>
      <c r="K2439" s="267" t="s">
        <v>8487</v>
      </c>
      <c r="L2439" s="274"/>
      <c r="M2439" s="274"/>
      <c r="N2439" s="275"/>
      <c r="O2439" s="275"/>
      <c r="P2439" s="276"/>
      <c r="Q2439" s="277"/>
      <c r="R2439" s="277"/>
      <c r="S2439" s="277"/>
      <c r="T2439" s="277"/>
      <c r="U2439" s="277"/>
      <c r="V2439" s="277"/>
      <c r="W2439" s="277"/>
      <c r="X2439" s="275"/>
      <c r="Y2439" s="275"/>
      <c r="Z2439" s="275"/>
    </row>
    <row r="2440" ht="15.0" customHeight="1">
      <c r="A2440" s="265">
        <v>46092.0</v>
      </c>
      <c r="B2440" s="266" t="s">
        <v>8675</v>
      </c>
      <c r="C2440" s="269" t="s">
        <v>5283</v>
      </c>
      <c r="D2440" s="268" t="str">
        <f>IFERROR(VLOOKUP(C2440,Stock,3,FALSE),"")</f>
        <v>BMW 3 Series 12-18 F30/F35</v>
      </c>
      <c r="E2440" s="269">
        <v>1.0</v>
      </c>
      <c r="F2440" s="270"/>
      <c r="G2440" s="271">
        <f t="shared" si="72"/>
        <v>0</v>
      </c>
      <c r="H2440" s="271"/>
      <c r="I2440" s="272">
        <f t="shared" si="71"/>
        <v>0</v>
      </c>
      <c r="J2440" s="273">
        <f t="shared" si="70"/>
        <v>0</v>
      </c>
      <c r="K2440" s="267" t="s">
        <v>8487</v>
      </c>
      <c r="L2440" s="274"/>
      <c r="M2440" s="274"/>
      <c r="N2440" s="275"/>
      <c r="O2440" s="275"/>
      <c r="P2440" s="276"/>
      <c r="Q2440" s="277"/>
      <c r="R2440" s="277"/>
      <c r="S2440" s="277"/>
      <c r="T2440" s="277"/>
      <c r="U2440" s="277"/>
      <c r="V2440" s="277"/>
      <c r="W2440" s="277"/>
      <c r="X2440" s="275"/>
      <c r="Y2440" s="275"/>
      <c r="Z2440" s="275"/>
    </row>
    <row r="2441" ht="15.0" customHeight="1">
      <c r="A2441" s="206">
        <v>46092.0</v>
      </c>
      <c r="B2441" s="201" t="s">
        <v>8676</v>
      </c>
      <c r="C2441" s="64" t="s">
        <v>3029</v>
      </c>
      <c r="D2441" s="140" t="str">
        <f>IFERROR(VLOOKUP(C2441,Stock,3,FALSE),"")</f>
        <v>Mitsubishi Canter FE700 01- (PS110,125)</v>
      </c>
      <c r="E2441" s="45">
        <v>1.0</v>
      </c>
      <c r="F2441" s="198">
        <v>1044000.0</v>
      </c>
      <c r="G2441" s="142">
        <f t="shared" si="72"/>
        <v>1044000</v>
      </c>
      <c r="H2441" s="142"/>
      <c r="I2441" s="143">
        <f t="shared" si="71"/>
        <v>1044000</v>
      </c>
      <c r="J2441" s="144">
        <f t="shared" si="70"/>
        <v>1044000</v>
      </c>
      <c r="K2441" s="108" t="s">
        <v>8677</v>
      </c>
      <c r="L2441" s="45" t="s">
        <v>8678</v>
      </c>
      <c r="M2441" s="17"/>
      <c r="N2441" s="64" t="s">
        <v>8679</v>
      </c>
      <c r="O2441" s="68"/>
      <c r="P2441" s="170"/>
      <c r="Q2441" s="149"/>
      <c r="R2441" s="149"/>
      <c r="S2441" s="149"/>
      <c r="T2441" s="141">
        <v>1044000.0</v>
      </c>
      <c r="U2441" s="149"/>
      <c r="V2441" s="149"/>
      <c r="W2441" s="149"/>
      <c r="X2441" s="64" t="s">
        <v>8219</v>
      </c>
      <c r="Y2441" s="68"/>
      <c r="Z2441" s="68"/>
    </row>
    <row r="2442" ht="15.0" customHeight="1">
      <c r="A2442" s="206">
        <v>46092.0</v>
      </c>
      <c r="B2442" s="201" t="s">
        <v>8680</v>
      </c>
      <c r="C2442" s="64" t="s">
        <v>8681</v>
      </c>
      <c r="D2442" s="140" t="str">
        <f>IFERROR(VLOOKUP(C2442,Stock,3,FALSE),"")</f>
        <v>Hyundai i10 08-13 - Hatchback</v>
      </c>
      <c r="E2442" s="45">
        <v>1.0</v>
      </c>
      <c r="F2442" s="198">
        <v>2250000.0</v>
      </c>
      <c r="G2442" s="142">
        <f t="shared" si="72"/>
        <v>2250000</v>
      </c>
      <c r="H2442" s="142"/>
      <c r="I2442" s="143">
        <f t="shared" si="71"/>
        <v>2250000</v>
      </c>
      <c r="J2442" s="144">
        <f t="shared" si="70"/>
        <v>2250000</v>
      </c>
      <c r="K2442" s="108" t="s">
        <v>8682</v>
      </c>
      <c r="L2442" s="199" t="s">
        <v>8683</v>
      </c>
      <c r="M2442" s="17"/>
      <c r="N2442" s="64" t="s">
        <v>8684</v>
      </c>
      <c r="O2442" s="68"/>
      <c r="P2442" s="170"/>
      <c r="Q2442" s="149"/>
      <c r="R2442" s="149"/>
      <c r="S2442" s="149"/>
      <c r="T2442" s="149"/>
      <c r="U2442" s="149"/>
      <c r="V2442" s="149"/>
      <c r="W2442" s="149"/>
      <c r="X2442" s="64" t="s">
        <v>8219</v>
      </c>
      <c r="Y2442" s="68"/>
      <c r="Z2442" s="68"/>
    </row>
    <row r="2443" ht="15.0" customHeight="1">
      <c r="A2443" s="206">
        <v>46092.0</v>
      </c>
      <c r="B2443" s="398" t="s">
        <v>8685</v>
      </c>
      <c r="C2443" s="479" t="s">
        <v>7320</v>
      </c>
      <c r="D2443" s="498" t="str">
        <f>IFERROR(VLOOKUP(C2443,Stock,3,FALSE),"")</f>
        <v>Wuling Confero (Tanpa Spionnya)</v>
      </c>
      <c r="E2443" s="45">
        <v>1.0</v>
      </c>
      <c r="F2443" s="198">
        <v>1140000.0</v>
      </c>
      <c r="G2443" s="142">
        <f t="shared" si="72"/>
        <v>1140000</v>
      </c>
      <c r="H2443" s="142"/>
      <c r="I2443" s="143">
        <f t="shared" si="71"/>
        <v>1140000</v>
      </c>
      <c r="J2443" s="144">
        <f t="shared" si="70"/>
        <v>1140000</v>
      </c>
      <c r="K2443" s="108" t="s">
        <v>8686</v>
      </c>
      <c r="L2443" s="199" t="s">
        <v>8687</v>
      </c>
      <c r="M2443" s="17"/>
      <c r="N2443" s="68"/>
      <c r="O2443" s="68"/>
      <c r="P2443" s="170"/>
      <c r="Q2443" s="141">
        <v>1365000.0</v>
      </c>
      <c r="R2443" s="149"/>
      <c r="S2443" s="149"/>
      <c r="T2443" s="149"/>
      <c r="U2443" s="149"/>
      <c r="V2443" s="149"/>
      <c r="W2443" s="149"/>
      <c r="X2443" s="64" t="s">
        <v>7976</v>
      </c>
      <c r="Y2443" s="68"/>
      <c r="Z2443" s="68"/>
    </row>
    <row r="2444" ht="15.0" customHeight="1">
      <c r="A2444" s="206">
        <v>46092.0</v>
      </c>
      <c r="B2444" s="201" t="s">
        <v>8685</v>
      </c>
      <c r="C2444" s="45" t="s">
        <v>2703</v>
      </c>
      <c r="D2444" s="286"/>
      <c r="E2444" s="45">
        <v>3.0</v>
      </c>
      <c r="F2444" s="198">
        <v>75000.0</v>
      </c>
      <c r="G2444" s="142">
        <f t="shared" si="72"/>
        <v>225000</v>
      </c>
      <c r="H2444" s="142"/>
      <c r="I2444" s="143">
        <f t="shared" si="71"/>
        <v>225000</v>
      </c>
      <c r="J2444" s="144">
        <f t="shared" si="70"/>
        <v>225000</v>
      </c>
      <c r="K2444" s="108" t="s">
        <v>8686</v>
      </c>
      <c r="L2444" s="199" t="s">
        <v>8687</v>
      </c>
      <c r="M2444" s="17"/>
      <c r="N2444" s="68"/>
      <c r="O2444" s="68"/>
      <c r="P2444" s="170"/>
      <c r="Q2444" s="149"/>
      <c r="R2444" s="149"/>
      <c r="S2444" s="149"/>
      <c r="T2444" s="149"/>
      <c r="U2444" s="149"/>
      <c r="V2444" s="149"/>
      <c r="W2444" s="149"/>
      <c r="X2444" s="64" t="s">
        <v>7976</v>
      </c>
      <c r="Y2444" s="68"/>
      <c r="Z2444" s="68"/>
    </row>
    <row r="2445" ht="15.0" customHeight="1">
      <c r="A2445" s="230">
        <v>46092.0</v>
      </c>
      <c r="B2445" s="231" t="s">
        <v>8688</v>
      </c>
      <c r="C2445" s="232" t="s">
        <v>8689</v>
      </c>
      <c r="D2445" s="233" t="str">
        <f>IFERROR(VLOOKUP(C2445,Stock,3,FALSE),"")</f>
        <v>Mini Cooper Hatch. F60 17-23 ( O /\ )</v>
      </c>
      <c r="E2445" s="240"/>
      <c r="F2445" s="234">
        <v>9122000.0</v>
      </c>
      <c r="G2445" s="235">
        <f t="shared" si="72"/>
        <v>0</v>
      </c>
      <c r="H2445" s="235"/>
      <c r="I2445" s="236">
        <f t="shared" si="71"/>
        <v>0</v>
      </c>
      <c r="J2445" s="237">
        <f t="shared" si="70"/>
        <v>0</v>
      </c>
      <c r="K2445" s="238" t="s">
        <v>8690</v>
      </c>
      <c r="L2445" s="239" t="s">
        <v>8691</v>
      </c>
      <c r="M2445" s="240"/>
      <c r="N2445" s="175"/>
      <c r="O2445" s="175"/>
      <c r="P2445" s="242"/>
      <c r="Q2445" s="243"/>
      <c r="R2445" s="243"/>
      <c r="S2445" s="244">
        <v>4561000.0</v>
      </c>
      <c r="T2445" s="243"/>
      <c r="U2445" s="243"/>
      <c r="V2445" s="243"/>
      <c r="W2445" s="243"/>
      <c r="X2445" s="241" t="s">
        <v>8388</v>
      </c>
      <c r="Y2445" s="175"/>
      <c r="Z2445" s="175"/>
    </row>
    <row r="2446" ht="15.0" customHeight="1">
      <c r="A2446" s="206">
        <v>46092.0</v>
      </c>
      <c r="B2446" s="201" t="s">
        <v>8692</v>
      </c>
      <c r="C2446" s="45" t="s">
        <v>8693</v>
      </c>
      <c r="D2446" s="140" t="str">
        <f>IFERROR(VLOOKUP(C2446,Stock,3,FALSE),"")</f>
        <v>Mers-Benz A180/200/250 13-18 W176 / GLA 13-19 W156</v>
      </c>
      <c r="E2446" s="45">
        <v>1.0</v>
      </c>
      <c r="F2446" s="198">
        <v>5576000.0</v>
      </c>
      <c r="G2446" s="142">
        <f t="shared" si="72"/>
        <v>5576000</v>
      </c>
      <c r="H2446" s="143">
        <v>5576000.0</v>
      </c>
      <c r="I2446" s="143">
        <f t="shared" si="71"/>
        <v>0</v>
      </c>
      <c r="J2446" s="144">
        <f t="shared" si="70"/>
        <v>0</v>
      </c>
      <c r="K2446" s="108" t="s">
        <v>8694</v>
      </c>
      <c r="L2446" s="199" t="s">
        <v>8695</v>
      </c>
      <c r="M2446" s="17"/>
      <c r="N2446" s="68"/>
      <c r="O2446" s="68"/>
      <c r="P2446" s="170"/>
      <c r="Q2446" s="149"/>
      <c r="R2446" s="149"/>
      <c r="S2446" s="141">
        <v>100000.0</v>
      </c>
      <c r="T2446" s="149"/>
      <c r="U2446" s="149"/>
      <c r="V2446" s="149"/>
      <c r="W2446" s="149"/>
      <c r="X2446" s="64" t="s">
        <v>8232</v>
      </c>
      <c r="Y2446" s="68"/>
      <c r="Z2446" s="68"/>
    </row>
    <row r="2447" ht="15.0" customHeight="1">
      <c r="A2447" s="206">
        <v>46093.0</v>
      </c>
      <c r="B2447" s="201" t="s">
        <v>8692</v>
      </c>
      <c r="C2447" s="45" t="s">
        <v>2770</v>
      </c>
      <c r="D2447" s="448" t="str">
        <f>IFERROR(VLOOKUP(C2447,Stock,3,FALSE),"")</f>
        <v>Transport</v>
      </c>
      <c r="E2447" s="45">
        <v>1.0</v>
      </c>
      <c r="F2447" s="198">
        <v>100000.0</v>
      </c>
      <c r="G2447" s="142">
        <f t="shared" si="72"/>
        <v>100000</v>
      </c>
      <c r="H2447" s="142"/>
      <c r="I2447" s="143">
        <f t="shared" si="71"/>
        <v>100000</v>
      </c>
      <c r="J2447" s="144">
        <f t="shared" si="70"/>
        <v>100000</v>
      </c>
      <c r="K2447" s="200"/>
      <c r="L2447" s="17"/>
      <c r="M2447" s="17"/>
      <c r="N2447" s="68"/>
      <c r="O2447" s="68"/>
      <c r="P2447" s="170"/>
      <c r="Q2447" s="149"/>
      <c r="R2447" s="149"/>
      <c r="S2447" s="149"/>
      <c r="T2447" s="149"/>
      <c r="U2447" s="149"/>
      <c r="V2447" s="149"/>
      <c r="W2447" s="149"/>
      <c r="X2447" s="68"/>
      <c r="Y2447" s="68"/>
      <c r="Z2447" s="68"/>
    </row>
    <row r="2448" ht="15.0" customHeight="1">
      <c r="A2448" s="206">
        <v>46092.0</v>
      </c>
      <c r="B2448" s="201" t="s">
        <v>8696</v>
      </c>
      <c r="C2448" s="45" t="s">
        <v>3246</v>
      </c>
      <c r="D2448" s="448" t="str">
        <f>IFERROR(VLOOKUP(C2448,Stock,3,FALSE),"")</f>
        <v>Toyota Calya / Sigra 16-</v>
      </c>
      <c r="E2448" s="45">
        <v>1.0</v>
      </c>
      <c r="F2448" s="198">
        <v>1119000.0</v>
      </c>
      <c r="G2448" s="142">
        <f t="shared" si="72"/>
        <v>1119000</v>
      </c>
      <c r="H2448" s="143">
        <v>69000.0</v>
      </c>
      <c r="I2448" s="143">
        <f t="shared" si="71"/>
        <v>1050000</v>
      </c>
      <c r="J2448" s="144">
        <f t="shared" si="70"/>
        <v>1050000</v>
      </c>
      <c r="K2448" s="108" t="s">
        <v>8697</v>
      </c>
      <c r="L2448" s="199" t="s">
        <v>8698</v>
      </c>
      <c r="M2448" s="17"/>
      <c r="N2448" s="444" t="s">
        <v>8699</v>
      </c>
      <c r="O2448" s="68"/>
      <c r="P2448" s="170"/>
      <c r="Q2448" s="141">
        <v>1050000.0</v>
      </c>
      <c r="R2448" s="149"/>
      <c r="S2448" s="149"/>
      <c r="T2448" s="149"/>
      <c r="U2448" s="149"/>
      <c r="V2448" s="149"/>
      <c r="W2448" s="149"/>
      <c r="X2448" s="64" t="s">
        <v>7976</v>
      </c>
      <c r="Y2448" s="68"/>
      <c r="Z2448" s="68"/>
    </row>
    <row r="2449" ht="15.0" customHeight="1">
      <c r="A2449" s="206">
        <v>46092.0</v>
      </c>
      <c r="B2449" s="201" t="s">
        <v>8700</v>
      </c>
      <c r="C2449" s="45" t="s">
        <v>7163</v>
      </c>
      <c r="D2449" s="448" t="str">
        <f>IFERROR(VLOOKUP(C2449,Stock,3,FALSE),"")</f>
        <v>Toyota Innova 15- 2nd Gen</v>
      </c>
      <c r="E2449" s="45">
        <v>1.0</v>
      </c>
      <c r="F2449" s="198">
        <v>1600000.0</v>
      </c>
      <c r="G2449" s="142">
        <f t="shared" si="72"/>
        <v>1600000</v>
      </c>
      <c r="H2449" s="142"/>
      <c r="I2449" s="143">
        <f t="shared" si="71"/>
        <v>1600000</v>
      </c>
      <c r="J2449" s="144">
        <f t="shared" si="70"/>
        <v>1600000</v>
      </c>
      <c r="K2449" s="108" t="s">
        <v>8701</v>
      </c>
      <c r="L2449" s="199" t="s">
        <v>8702</v>
      </c>
      <c r="M2449" s="17"/>
      <c r="N2449" s="64" t="s">
        <v>8703</v>
      </c>
      <c r="O2449" s="68"/>
      <c r="P2449" s="170"/>
      <c r="Q2449" s="149"/>
      <c r="R2449" s="149"/>
      <c r="S2449" s="149"/>
      <c r="T2449" s="149"/>
      <c r="U2449" s="149"/>
      <c r="V2449" s="149"/>
      <c r="W2449" s="149"/>
      <c r="X2449" s="64" t="s">
        <v>8232</v>
      </c>
      <c r="Y2449" s="68"/>
      <c r="Z2449" s="68"/>
    </row>
    <row r="2450" ht="15.0" customHeight="1">
      <c r="A2450" s="206">
        <v>46092.0</v>
      </c>
      <c r="B2450" s="201" t="s">
        <v>8704</v>
      </c>
      <c r="C2450" s="45" t="s">
        <v>7161</v>
      </c>
      <c r="D2450" s="448" t="str">
        <f>IFERROR(VLOOKUP(C2450,Stock,3,FALSE),"")</f>
        <v>Honda Brio 10- / Mobilio 11-</v>
      </c>
      <c r="E2450" s="45">
        <v>1.0</v>
      </c>
      <c r="F2450" s="198">
        <v>1250000.0</v>
      </c>
      <c r="G2450" s="142">
        <f t="shared" si="72"/>
        <v>1250000</v>
      </c>
      <c r="H2450" s="142"/>
      <c r="I2450" s="143">
        <f t="shared" si="71"/>
        <v>1250000</v>
      </c>
      <c r="J2450" s="144">
        <f t="shared" si="70"/>
        <v>1250000</v>
      </c>
      <c r="K2450" s="108" t="s">
        <v>8705</v>
      </c>
      <c r="L2450" s="199" t="s">
        <v>8706</v>
      </c>
      <c r="M2450" s="17"/>
      <c r="N2450" s="64" t="s">
        <v>8707</v>
      </c>
      <c r="O2450" s="68"/>
      <c r="P2450" s="170"/>
      <c r="Q2450" s="149"/>
      <c r="R2450" s="149"/>
      <c r="S2450" s="141">
        <v>100000.0</v>
      </c>
      <c r="T2450" s="149"/>
      <c r="U2450" s="149"/>
      <c r="V2450" s="149"/>
      <c r="W2450" s="149"/>
      <c r="X2450" s="64" t="s">
        <v>8232</v>
      </c>
      <c r="Y2450" s="68"/>
      <c r="Z2450" s="68"/>
    </row>
    <row r="2451" ht="15.0" customHeight="1">
      <c r="A2451" s="206">
        <v>46092.0</v>
      </c>
      <c r="B2451" s="201" t="s">
        <v>8704</v>
      </c>
      <c r="C2451" s="45" t="s">
        <v>2770</v>
      </c>
      <c r="D2451" s="448" t="str">
        <f>IFERROR(VLOOKUP(C2451,Stock,3,FALSE),"")</f>
        <v>Transport</v>
      </c>
      <c r="E2451" s="45">
        <v>1.0</v>
      </c>
      <c r="F2451" s="198">
        <v>200000.0</v>
      </c>
      <c r="G2451" s="142">
        <f t="shared" si="72"/>
        <v>200000</v>
      </c>
      <c r="H2451" s="142"/>
      <c r="I2451" s="143">
        <f t="shared" si="71"/>
        <v>200000</v>
      </c>
      <c r="J2451" s="144">
        <f t="shared" si="70"/>
        <v>200000</v>
      </c>
      <c r="K2451" s="108" t="s">
        <v>8705</v>
      </c>
      <c r="L2451" s="199" t="s">
        <v>8706</v>
      </c>
      <c r="M2451" s="17"/>
      <c r="N2451" s="68"/>
      <c r="O2451" s="68"/>
      <c r="P2451" s="170"/>
      <c r="Q2451" s="149"/>
      <c r="R2451" s="149"/>
      <c r="S2451" s="149"/>
      <c r="T2451" s="149"/>
      <c r="U2451" s="149"/>
      <c r="V2451" s="149"/>
      <c r="W2451" s="149"/>
      <c r="X2451" s="68"/>
      <c r="Y2451" s="68"/>
      <c r="Z2451" s="68"/>
    </row>
    <row r="2452" ht="15.0" customHeight="1">
      <c r="A2452" s="206">
        <v>46092.0</v>
      </c>
      <c r="B2452" s="201" t="s">
        <v>8708</v>
      </c>
      <c r="C2452" s="45" t="s">
        <v>7222</v>
      </c>
      <c r="D2452" s="140" t="str">
        <f>IFERROR(VLOOKUP(C2452,Stock,3,FALSE),"")</f>
        <v>Jeep Wrangler Rubicon 07-18 JK</v>
      </c>
      <c r="E2452" s="45">
        <v>1.0</v>
      </c>
      <c r="F2452" s="198">
        <v>4863000.0</v>
      </c>
      <c r="G2452" s="142">
        <f t="shared" si="72"/>
        <v>4863000</v>
      </c>
      <c r="H2452" s="142"/>
      <c r="I2452" s="143">
        <f t="shared" si="71"/>
        <v>4863000</v>
      </c>
      <c r="J2452" s="144">
        <f t="shared" si="70"/>
        <v>4863000</v>
      </c>
      <c r="K2452" s="108" t="s">
        <v>8709</v>
      </c>
      <c r="L2452" s="199" t="s">
        <v>8710</v>
      </c>
      <c r="M2452" s="240"/>
      <c r="N2452" s="175"/>
      <c r="O2452" s="175"/>
      <c r="P2452" s="242"/>
      <c r="Q2452" s="243"/>
      <c r="R2452" s="243"/>
      <c r="S2452" s="244">
        <v>100000.0</v>
      </c>
      <c r="T2452" s="244">
        <v>4963000.0</v>
      </c>
      <c r="U2452" s="243"/>
      <c r="V2452" s="243"/>
      <c r="W2452" s="243"/>
      <c r="X2452" s="241" t="s">
        <v>8232</v>
      </c>
      <c r="Y2452" s="175"/>
      <c r="Z2452" s="175"/>
    </row>
    <row r="2453" ht="15.0" customHeight="1">
      <c r="A2453" s="206">
        <v>46092.0</v>
      </c>
      <c r="B2453" s="201" t="s">
        <v>8708</v>
      </c>
      <c r="C2453" s="45" t="s">
        <v>2770</v>
      </c>
      <c r="D2453" s="140" t="str">
        <f>IFERROR(VLOOKUP(C2453,Stock,3,FALSE),"")</f>
        <v>Transport</v>
      </c>
      <c r="E2453" s="45">
        <v>1.0</v>
      </c>
      <c r="F2453" s="198">
        <v>200000.0</v>
      </c>
      <c r="G2453" s="142">
        <f t="shared" si="72"/>
        <v>200000</v>
      </c>
      <c r="H2453" s="142"/>
      <c r="I2453" s="143">
        <f t="shared" si="71"/>
        <v>200000</v>
      </c>
      <c r="J2453" s="144">
        <f t="shared" si="70"/>
        <v>200000</v>
      </c>
      <c r="K2453" s="200"/>
      <c r="L2453" s="17"/>
      <c r="M2453" s="240"/>
      <c r="N2453" s="175"/>
      <c r="O2453" s="175"/>
      <c r="P2453" s="242"/>
      <c r="Q2453" s="243"/>
      <c r="R2453" s="243"/>
      <c r="S2453" s="243"/>
      <c r="T2453" s="243"/>
      <c r="U2453" s="243"/>
      <c r="V2453" s="243"/>
      <c r="W2453" s="243"/>
      <c r="X2453" s="175"/>
      <c r="Y2453" s="175"/>
      <c r="Z2453" s="175"/>
    </row>
    <row r="2454" ht="15.0" customHeight="1">
      <c r="A2454" s="206">
        <v>46092.0</v>
      </c>
      <c r="B2454" s="201" t="s">
        <v>8711</v>
      </c>
      <c r="C2454" s="45" t="s">
        <v>7500</v>
      </c>
      <c r="D2454" s="448" t="str">
        <f>IFERROR(VLOOKUP(C2454,Stock,3,FALSE),"")</f>
        <v>Ford Fiesta 09-17</v>
      </c>
      <c r="E2454" s="45">
        <v>1.0</v>
      </c>
      <c r="F2454" s="198">
        <v>1502000.0</v>
      </c>
      <c r="G2454" s="142">
        <f t="shared" si="72"/>
        <v>1502000</v>
      </c>
      <c r="H2454" s="142"/>
      <c r="I2454" s="143">
        <f t="shared" si="71"/>
        <v>1502000</v>
      </c>
      <c r="J2454" s="144">
        <f t="shared" si="70"/>
        <v>1502000</v>
      </c>
      <c r="K2454" s="64" t="s">
        <v>8712</v>
      </c>
      <c r="L2454" s="199" t="s">
        <v>8713</v>
      </c>
      <c r="M2454" s="17"/>
      <c r="N2454" s="68"/>
      <c r="O2454" s="68"/>
      <c r="P2454" s="170"/>
      <c r="Q2454" s="149"/>
      <c r="R2454" s="149"/>
      <c r="S2454" s="141">
        <v>100000.0</v>
      </c>
      <c r="T2454" s="149"/>
      <c r="U2454" s="149"/>
      <c r="V2454" s="149"/>
      <c r="W2454" s="149"/>
      <c r="X2454" s="64" t="s">
        <v>8232</v>
      </c>
      <c r="Y2454" s="68"/>
      <c r="Z2454" s="68"/>
    </row>
    <row r="2455" ht="15.0" customHeight="1">
      <c r="A2455" s="206">
        <v>46092.0</v>
      </c>
      <c r="B2455" s="201" t="s">
        <v>8711</v>
      </c>
      <c r="C2455" s="45" t="s">
        <v>2770</v>
      </c>
      <c r="D2455" s="448" t="str">
        <f>IFERROR(VLOOKUP(C2455,Stock,3,FALSE),"")</f>
        <v>Transport</v>
      </c>
      <c r="E2455" s="45">
        <v>1.0</v>
      </c>
      <c r="F2455" s="198">
        <v>70000.0</v>
      </c>
      <c r="G2455" s="142">
        <f t="shared" si="72"/>
        <v>70000</v>
      </c>
      <c r="H2455" s="142"/>
      <c r="I2455" s="143">
        <f t="shared" si="71"/>
        <v>70000</v>
      </c>
      <c r="J2455" s="144">
        <f t="shared" si="70"/>
        <v>70000</v>
      </c>
      <c r="K2455" s="45"/>
      <c r="L2455" s="17"/>
      <c r="M2455" s="17"/>
      <c r="N2455" s="68"/>
      <c r="O2455" s="68"/>
      <c r="P2455" s="170"/>
      <c r="Q2455" s="149"/>
      <c r="R2455" s="149"/>
      <c r="S2455" s="141"/>
      <c r="T2455" s="149"/>
      <c r="U2455" s="149"/>
      <c r="V2455" s="149"/>
      <c r="W2455" s="149"/>
      <c r="X2455" s="68"/>
      <c r="Y2455" s="68"/>
      <c r="Z2455" s="68"/>
    </row>
    <row r="2456" ht="15.0" customHeight="1">
      <c r="A2456" s="206">
        <v>46092.0</v>
      </c>
      <c r="B2456" s="201" t="s">
        <v>8711</v>
      </c>
      <c r="C2456" s="45" t="s">
        <v>7011</v>
      </c>
      <c r="D2456" s="448" t="str">
        <f>IFERROR(VLOOKUP(C2456,Stock,3,FALSE),"")</f>
        <v>Automotive Film Standard - Black 40%				</v>
      </c>
      <c r="E2456" s="45">
        <v>1.0</v>
      </c>
      <c r="F2456" s="198">
        <v>350000.0</v>
      </c>
      <c r="G2456" s="142">
        <f t="shared" si="72"/>
        <v>350000</v>
      </c>
      <c r="H2456" s="142"/>
      <c r="I2456" s="143">
        <f t="shared" si="71"/>
        <v>350000</v>
      </c>
      <c r="J2456" s="144">
        <f t="shared" si="70"/>
        <v>350000</v>
      </c>
      <c r="K2456" s="200"/>
      <c r="L2456" s="17"/>
      <c r="M2456" s="17"/>
      <c r="N2456" s="68"/>
      <c r="O2456" s="68"/>
      <c r="P2456" s="170"/>
      <c r="Q2456" s="149"/>
      <c r="R2456" s="149"/>
      <c r="S2456" s="149"/>
      <c r="T2456" s="149"/>
      <c r="U2456" s="149"/>
      <c r="V2456" s="149"/>
      <c r="W2456" s="149"/>
      <c r="X2456" s="68"/>
      <c r="Y2456" s="68"/>
      <c r="Z2456" s="68"/>
    </row>
    <row r="2457" ht="15.0" customHeight="1">
      <c r="A2457" s="246">
        <v>46092.0</v>
      </c>
      <c r="B2457" s="370" t="s">
        <v>8714</v>
      </c>
      <c r="C2457" s="447" t="s">
        <v>8715</v>
      </c>
      <c r="D2457" s="448" t="str">
        <f>IFERROR(VLOOKUP(C2457,Stock,3,FALSE),"")</f>
        <v>Toyota Kijang Super/Grand K125</v>
      </c>
      <c r="E2457" s="447">
        <v>1.0</v>
      </c>
      <c r="F2457" s="449">
        <v>1482000.0</v>
      </c>
      <c r="G2457" s="450">
        <f t="shared" si="72"/>
        <v>1482000</v>
      </c>
      <c r="H2457" s="450"/>
      <c r="I2457" s="451">
        <f t="shared" si="71"/>
        <v>1482000</v>
      </c>
      <c r="J2457" s="452">
        <f t="shared" si="70"/>
        <v>1482000</v>
      </c>
      <c r="K2457" s="453" t="s">
        <v>8716</v>
      </c>
      <c r="L2457" s="447" t="s">
        <v>8717</v>
      </c>
      <c r="M2457" s="455"/>
      <c r="N2457" s="456"/>
      <c r="O2457" s="456"/>
      <c r="P2457" s="457"/>
      <c r="Q2457" s="459"/>
      <c r="R2457" s="459"/>
      <c r="S2457" s="458">
        <v>100000.0</v>
      </c>
      <c r="T2457" s="458">
        <v>1632000.0</v>
      </c>
      <c r="U2457" s="459"/>
      <c r="V2457" s="459"/>
      <c r="W2457" s="459"/>
      <c r="X2457" s="462" t="s">
        <v>8232</v>
      </c>
      <c r="Y2457" s="175"/>
      <c r="Z2457" s="175"/>
    </row>
    <row r="2458" ht="15.0" customHeight="1">
      <c r="A2458" s="460">
        <v>46092.0</v>
      </c>
      <c r="B2458" s="370" t="s">
        <v>8714</v>
      </c>
      <c r="C2458" s="447" t="s">
        <v>2770</v>
      </c>
      <c r="D2458" s="448" t="str">
        <f>IFERROR(VLOOKUP(C2458,Stock,3,FALSE),"")</f>
        <v>Transport</v>
      </c>
      <c r="E2458" s="447">
        <v>1.0</v>
      </c>
      <c r="F2458" s="449">
        <v>250000.0</v>
      </c>
      <c r="G2458" s="450">
        <f t="shared" si="72"/>
        <v>250000</v>
      </c>
      <c r="H2458" s="450"/>
      <c r="I2458" s="451">
        <f t="shared" si="71"/>
        <v>250000</v>
      </c>
      <c r="J2458" s="452">
        <f t="shared" si="70"/>
        <v>250000</v>
      </c>
      <c r="K2458" s="499"/>
      <c r="L2458" s="455"/>
      <c r="M2458" s="455"/>
      <c r="N2458" s="456"/>
      <c r="O2458" s="456"/>
      <c r="P2458" s="457"/>
      <c r="Q2458" s="459"/>
      <c r="R2458" s="459"/>
      <c r="S2458" s="459"/>
      <c r="T2458" s="459"/>
      <c r="U2458" s="459"/>
      <c r="V2458" s="459"/>
      <c r="W2458" s="459"/>
      <c r="X2458" s="462" t="s">
        <v>8232</v>
      </c>
      <c r="Y2458" s="175"/>
      <c r="Z2458" s="175"/>
    </row>
    <row r="2459" ht="15.0" customHeight="1">
      <c r="A2459" s="441">
        <v>46092.0</v>
      </c>
      <c r="B2459" s="201" t="s">
        <v>8718</v>
      </c>
      <c r="C2459" s="45" t="s">
        <v>3424</v>
      </c>
      <c r="D2459" s="140" t="str">
        <f>IFERROR(VLOOKUP(C2459,Stock,3,FALSE),"")</f>
        <v>Mitsubishi Xpander 22-  (Mitsubishi)</v>
      </c>
      <c r="E2459" s="45">
        <v>1.0</v>
      </c>
      <c r="F2459" s="198">
        <v>1300000.0</v>
      </c>
      <c r="G2459" s="142">
        <f t="shared" si="72"/>
        <v>1300000</v>
      </c>
      <c r="H2459" s="143">
        <v>300000.0</v>
      </c>
      <c r="I2459" s="143">
        <f t="shared" si="71"/>
        <v>1000000</v>
      </c>
      <c r="J2459" s="144">
        <f t="shared" si="70"/>
        <v>1000000</v>
      </c>
      <c r="K2459" s="108" t="s">
        <v>8719</v>
      </c>
      <c r="L2459" s="199" t="s">
        <v>8720</v>
      </c>
      <c r="M2459" s="17"/>
      <c r="N2459" s="68"/>
      <c r="O2459" s="68"/>
      <c r="P2459" s="170"/>
      <c r="Q2459" s="149"/>
      <c r="R2459" s="149"/>
      <c r="S2459" s="141">
        <v>100000.0</v>
      </c>
      <c r="T2459" s="458">
        <v>950000.0</v>
      </c>
      <c r="U2459" s="459"/>
      <c r="V2459" s="459"/>
      <c r="W2459" s="459"/>
      <c r="X2459" s="462" t="s">
        <v>8232</v>
      </c>
      <c r="Y2459" s="175"/>
      <c r="Z2459" s="175"/>
    </row>
    <row r="2460" ht="15.0" customHeight="1">
      <c r="A2460" s="441">
        <v>46092.0</v>
      </c>
      <c r="B2460" s="201" t="s">
        <v>8718</v>
      </c>
      <c r="C2460" s="45" t="s">
        <v>2770</v>
      </c>
      <c r="D2460" s="140" t="str">
        <f>IFERROR(VLOOKUP(C2460,Stock,3,FALSE),"")</f>
        <v>Transport</v>
      </c>
      <c r="E2460" s="45">
        <v>1.0</v>
      </c>
      <c r="F2460" s="198">
        <v>120000.0</v>
      </c>
      <c r="G2460" s="142">
        <f t="shared" si="72"/>
        <v>120000</v>
      </c>
      <c r="H2460" s="143">
        <v>70000.0</v>
      </c>
      <c r="I2460" s="143">
        <f t="shared" si="71"/>
        <v>50000</v>
      </c>
      <c r="J2460" s="144">
        <f t="shared" si="70"/>
        <v>50000</v>
      </c>
      <c r="K2460" s="200"/>
      <c r="L2460" s="17"/>
      <c r="M2460" s="17"/>
      <c r="N2460" s="68"/>
      <c r="O2460" s="68"/>
      <c r="P2460" s="170"/>
      <c r="Q2460" s="149"/>
      <c r="R2460" s="149"/>
      <c r="S2460" s="149"/>
      <c r="T2460" s="459"/>
      <c r="U2460" s="459"/>
      <c r="V2460" s="459"/>
      <c r="W2460" s="459"/>
      <c r="X2460" s="456"/>
      <c r="Y2460" s="175"/>
      <c r="Z2460" s="175"/>
    </row>
    <row r="2461" ht="15.0" customHeight="1">
      <c r="A2461" s="441">
        <v>46092.0</v>
      </c>
      <c r="B2461" s="201" t="s">
        <v>8721</v>
      </c>
      <c r="C2461" s="45" t="s">
        <v>2778</v>
      </c>
      <c r="D2461" s="448" t="str">
        <f>IFERROR(VLOOKUP(C2461,Stock,3,FALSE),"")</f>
        <v>Bongkar Pasang Kaca Mobil Depan</v>
      </c>
      <c r="E2461" s="45">
        <v>1.0</v>
      </c>
      <c r="F2461" s="198">
        <v>600000.0</v>
      </c>
      <c r="G2461" s="142">
        <f t="shared" si="72"/>
        <v>600000</v>
      </c>
      <c r="H2461" s="142"/>
      <c r="I2461" s="143">
        <f t="shared" si="71"/>
        <v>600000</v>
      </c>
      <c r="J2461" s="144">
        <f t="shared" si="70"/>
        <v>600000</v>
      </c>
      <c r="K2461" s="200"/>
      <c r="L2461" s="17"/>
      <c r="M2461" s="17"/>
      <c r="N2461" s="68"/>
      <c r="O2461" s="68"/>
      <c r="P2461" s="170"/>
      <c r="Q2461" s="149"/>
      <c r="R2461" s="149"/>
      <c r="S2461" s="149"/>
      <c r="T2461" s="149"/>
      <c r="U2461" s="149"/>
      <c r="V2461" s="149"/>
      <c r="W2461" s="149"/>
      <c r="X2461" s="68"/>
      <c r="Y2461" s="68"/>
      <c r="Z2461" s="68"/>
    </row>
    <row r="2462" ht="15.0" customHeight="1">
      <c r="A2462" s="206">
        <v>46093.0</v>
      </c>
      <c r="B2462" s="398" t="s">
        <v>8722</v>
      </c>
      <c r="C2462" s="479" t="s">
        <v>8723</v>
      </c>
      <c r="D2462" s="498" t="str">
        <f>IFERROR(VLOOKUP(C2462,Stock,3,FALSE),"")</f>
        <v>Chevrolet Spark 10-15 M300 3rd Gen (1200cc)</v>
      </c>
      <c r="E2462" s="45">
        <v>1.0</v>
      </c>
      <c r="F2462" s="198">
        <v>1837000.0</v>
      </c>
      <c r="G2462" s="142">
        <f t="shared" si="72"/>
        <v>1837000</v>
      </c>
      <c r="H2462" s="143">
        <v>275765.0</v>
      </c>
      <c r="I2462" s="143">
        <f t="shared" si="71"/>
        <v>1561235</v>
      </c>
      <c r="J2462" s="144">
        <f t="shared" si="70"/>
        <v>1561235</v>
      </c>
      <c r="K2462" s="108" t="s">
        <v>4959</v>
      </c>
      <c r="L2462" s="17"/>
      <c r="M2462" s="17"/>
      <c r="N2462" s="68"/>
      <c r="O2462" s="68"/>
      <c r="P2462" s="170"/>
      <c r="Q2462" s="149"/>
      <c r="R2462" s="149"/>
      <c r="S2462" s="149"/>
      <c r="T2462" s="141"/>
      <c r="U2462" s="149"/>
      <c r="V2462" s="149"/>
      <c r="W2462" s="149"/>
      <c r="X2462" s="64" t="s">
        <v>7976</v>
      </c>
      <c r="Y2462" s="68"/>
      <c r="Z2462" s="68"/>
    </row>
    <row r="2463" ht="15.0" customHeight="1">
      <c r="A2463" s="206">
        <v>46093.0</v>
      </c>
      <c r="B2463" s="201" t="s">
        <v>8724</v>
      </c>
      <c r="C2463" s="45" t="s">
        <v>6654</v>
      </c>
      <c r="D2463" s="448" t="str">
        <f>IFERROR(VLOOKUP(C2463,Stock,3,FALSE),"")</f>
        <v>Honda CR-V 12-16  4th Gen (Honda)</v>
      </c>
      <c r="E2463" s="45">
        <v>1.0</v>
      </c>
      <c r="F2463" s="198">
        <v>4107000.0</v>
      </c>
      <c r="G2463" s="142">
        <f t="shared" si="72"/>
        <v>4107000</v>
      </c>
      <c r="H2463" s="143">
        <v>205350.0</v>
      </c>
      <c r="I2463" s="143">
        <f t="shared" si="71"/>
        <v>3901650</v>
      </c>
      <c r="J2463" s="144">
        <f t="shared" si="70"/>
        <v>3901650</v>
      </c>
      <c r="K2463" s="108" t="s">
        <v>8725</v>
      </c>
      <c r="L2463" s="199" t="s">
        <v>8726</v>
      </c>
      <c r="M2463" s="17"/>
      <c r="N2463" s="68"/>
      <c r="O2463" s="68"/>
      <c r="P2463" s="170"/>
      <c r="Q2463" s="149"/>
      <c r="R2463" s="149"/>
      <c r="S2463" s="149"/>
      <c r="T2463" s="141">
        <v>3901650.0</v>
      </c>
      <c r="U2463" s="149"/>
      <c r="V2463" s="149"/>
      <c r="W2463" s="149"/>
      <c r="X2463" s="64" t="s">
        <v>8219</v>
      </c>
      <c r="Y2463" s="68"/>
      <c r="Z2463" s="68"/>
    </row>
    <row r="2464" ht="15.0" customHeight="1">
      <c r="A2464" s="206">
        <v>46093.0</v>
      </c>
      <c r="B2464" s="201" t="s">
        <v>8727</v>
      </c>
      <c r="C2464" s="45" t="s">
        <v>6604</v>
      </c>
      <c r="D2464" s="448" t="str">
        <f>IFERROR(VLOOKUP(C2464,Stock,3,FALSE),"")</f>
        <v>Toyota Calya /  Sigra 16-</v>
      </c>
      <c r="E2464" s="45">
        <v>1.0</v>
      </c>
      <c r="F2464" s="198"/>
      <c r="G2464" s="142">
        <f t="shared" si="72"/>
        <v>0</v>
      </c>
      <c r="H2464" s="142"/>
      <c r="I2464" s="143">
        <f t="shared" si="71"/>
        <v>0</v>
      </c>
      <c r="J2464" s="144">
        <f t="shared" si="70"/>
        <v>0</v>
      </c>
      <c r="K2464" s="108"/>
      <c r="L2464" s="45"/>
      <c r="M2464" s="17"/>
      <c r="N2464" s="68"/>
      <c r="O2464" s="68"/>
      <c r="P2464" s="170"/>
      <c r="Q2464" s="149"/>
      <c r="R2464" s="149"/>
      <c r="S2464" s="149"/>
      <c r="T2464" s="149"/>
      <c r="U2464" s="149"/>
      <c r="V2464" s="149"/>
      <c r="W2464" s="149"/>
      <c r="X2464" s="68"/>
      <c r="Y2464" s="68"/>
      <c r="Z2464" s="68"/>
    </row>
    <row r="2465" ht="15.0" customHeight="1">
      <c r="A2465" s="206">
        <v>46093.0</v>
      </c>
      <c r="B2465" s="201" t="s">
        <v>8728</v>
      </c>
      <c r="C2465" s="45" t="s">
        <v>4529</v>
      </c>
      <c r="D2465" s="448" t="str">
        <f>IFERROR(VLOOKUP(C2465,Stock,3,FALSE),"")</f>
        <v>Mitsubishi Pajero 16-</v>
      </c>
      <c r="E2465" s="45">
        <v>1.0</v>
      </c>
      <c r="F2465" s="198">
        <v>985000.0</v>
      </c>
      <c r="G2465" s="142">
        <f t="shared" si="72"/>
        <v>985000</v>
      </c>
      <c r="H2465" s="142"/>
      <c r="I2465" s="143">
        <f t="shared" si="71"/>
        <v>985000</v>
      </c>
      <c r="J2465" s="144">
        <f t="shared" si="70"/>
        <v>985000</v>
      </c>
      <c r="K2465" s="108" t="s">
        <v>8729</v>
      </c>
      <c r="L2465" s="45"/>
      <c r="M2465" s="17"/>
      <c r="N2465" s="68"/>
      <c r="O2465" s="68"/>
      <c r="P2465" s="170"/>
      <c r="Q2465" s="149"/>
      <c r="R2465" s="149"/>
      <c r="S2465" s="149"/>
      <c r="T2465" s="141">
        <v>985000.0</v>
      </c>
      <c r="U2465" s="149"/>
      <c r="V2465" s="149"/>
      <c r="W2465" s="149"/>
      <c r="X2465" s="64" t="s">
        <v>7976</v>
      </c>
      <c r="Y2465" s="68"/>
      <c r="Z2465" s="68"/>
    </row>
    <row r="2466" ht="15.0" customHeight="1">
      <c r="A2466" s="206">
        <v>46093.0</v>
      </c>
      <c r="B2466" s="201" t="s">
        <v>8730</v>
      </c>
      <c r="C2466" s="64" t="s">
        <v>7425</v>
      </c>
      <c r="D2466" s="140" t="str">
        <f>IFERROR(VLOOKUP(C2466,Stock,3,FALSE),"")</f>
        <v>Honda Jazz 01-07 1st Gen</v>
      </c>
      <c r="E2466" s="45">
        <v>1.0</v>
      </c>
      <c r="F2466" s="198">
        <v>1450000.0</v>
      </c>
      <c r="G2466" s="143">
        <v>1450000.0</v>
      </c>
      <c r="H2466" s="143">
        <v>26000.0</v>
      </c>
      <c r="I2466" s="143">
        <f t="shared" si="71"/>
        <v>1424000</v>
      </c>
      <c r="J2466" s="144">
        <f t="shared" si="70"/>
        <v>1424000</v>
      </c>
      <c r="K2466" s="108" t="s">
        <v>8731</v>
      </c>
      <c r="L2466" s="199" t="s">
        <v>8732</v>
      </c>
      <c r="M2466" s="17"/>
      <c r="N2466" s="64" t="s">
        <v>8733</v>
      </c>
      <c r="O2466" s="68"/>
      <c r="P2466" s="170"/>
      <c r="Q2466" s="141">
        <v>1524000.0</v>
      </c>
      <c r="R2466" s="149"/>
      <c r="S2466" s="141">
        <v>100000.0</v>
      </c>
      <c r="T2466" s="149"/>
      <c r="U2466" s="149"/>
      <c r="V2466" s="149"/>
      <c r="W2466" s="149"/>
      <c r="X2466" s="64" t="s">
        <v>7976</v>
      </c>
      <c r="Y2466" s="68"/>
      <c r="Z2466" s="68"/>
    </row>
    <row r="2467" ht="15.0" customHeight="1">
      <c r="A2467" s="206">
        <v>46093.0</v>
      </c>
      <c r="B2467" s="201" t="s">
        <v>8730</v>
      </c>
      <c r="C2467" s="45" t="s">
        <v>2770</v>
      </c>
      <c r="D2467" s="140" t="str">
        <f>IFERROR(VLOOKUP(C2467,Stock,3,FALSE),"")</f>
        <v>Transport</v>
      </c>
      <c r="E2467" s="45">
        <v>1.0</v>
      </c>
      <c r="F2467" s="198">
        <v>200000.0</v>
      </c>
      <c r="G2467" s="142">
        <f t="shared" ref="G2467:G2544" si="73">E2467*F2467</f>
        <v>200000</v>
      </c>
      <c r="H2467" s="143"/>
      <c r="I2467" s="143">
        <f t="shared" si="71"/>
        <v>200000</v>
      </c>
      <c r="J2467" s="144">
        <f t="shared" si="70"/>
        <v>200000</v>
      </c>
      <c r="K2467" s="200"/>
      <c r="L2467" s="17"/>
      <c r="M2467" s="17"/>
      <c r="N2467" s="68"/>
      <c r="O2467" s="68"/>
      <c r="P2467" s="170"/>
      <c r="Q2467" s="149"/>
      <c r="R2467" s="149"/>
      <c r="S2467" s="149"/>
      <c r="T2467" s="149"/>
      <c r="U2467" s="149"/>
      <c r="V2467" s="149"/>
      <c r="W2467" s="149"/>
      <c r="X2467" s="64" t="s">
        <v>7976</v>
      </c>
      <c r="Y2467" s="68"/>
      <c r="Z2467" s="68"/>
    </row>
    <row r="2468" ht="15.0" customHeight="1">
      <c r="A2468" s="206">
        <v>46093.0</v>
      </c>
      <c r="B2468" s="201" t="s">
        <v>8734</v>
      </c>
      <c r="C2468" s="64" t="s">
        <v>4226</v>
      </c>
      <c r="D2468" s="448" t="str">
        <f>IFERROR(VLOOKUP(C2468,Stock,3,FALSE),"")</f>
        <v>Honda HR-V 14-21 5D SUV (Honda)</v>
      </c>
      <c r="E2468" s="45">
        <v>1.0</v>
      </c>
      <c r="F2468" s="198">
        <v>3150000.0</v>
      </c>
      <c r="G2468" s="142">
        <f t="shared" si="73"/>
        <v>3150000</v>
      </c>
      <c r="H2468" s="143">
        <v>200000.0</v>
      </c>
      <c r="I2468" s="143">
        <f t="shared" si="71"/>
        <v>2950000</v>
      </c>
      <c r="J2468" s="144">
        <f t="shared" si="70"/>
        <v>2950000</v>
      </c>
      <c r="K2468" s="108" t="s">
        <v>8735</v>
      </c>
      <c r="L2468" s="199" t="s">
        <v>8736</v>
      </c>
      <c r="M2468" s="17"/>
      <c r="N2468" s="64" t="s">
        <v>8737</v>
      </c>
      <c r="O2468" s="68"/>
      <c r="P2468" s="170"/>
      <c r="Q2468" s="149"/>
      <c r="R2468" s="149"/>
      <c r="S2468" s="149"/>
      <c r="T2468" s="141">
        <v>2950000.0</v>
      </c>
      <c r="U2468" s="149"/>
      <c r="V2468" s="149"/>
      <c r="W2468" s="149"/>
      <c r="X2468" s="64" t="s">
        <v>8219</v>
      </c>
      <c r="Y2468" s="68"/>
      <c r="Z2468" s="68"/>
    </row>
    <row r="2469" ht="15.0" customHeight="1">
      <c r="A2469" s="206">
        <v>46093.0</v>
      </c>
      <c r="B2469" s="201" t="s">
        <v>8738</v>
      </c>
      <c r="C2469" s="45" t="s">
        <v>3193</v>
      </c>
      <c r="D2469" s="448" t="str">
        <f>IFERROR(VLOOKUP(C2469,Stock,3,FALSE),"")</f>
        <v>Toyota Avanza / Xenia 11-15 2nd Gen</v>
      </c>
      <c r="E2469" s="45">
        <v>1.0</v>
      </c>
      <c r="F2469" s="198">
        <v>1200000.0</v>
      </c>
      <c r="G2469" s="142">
        <f t="shared" si="73"/>
        <v>1200000</v>
      </c>
      <c r="H2469" s="143">
        <v>200000.0</v>
      </c>
      <c r="I2469" s="143">
        <f t="shared" si="71"/>
        <v>1000000</v>
      </c>
      <c r="J2469" s="144">
        <f t="shared" si="70"/>
        <v>1000000</v>
      </c>
      <c r="K2469" s="108" t="s">
        <v>8739</v>
      </c>
      <c r="L2469" s="199" t="s">
        <v>8740</v>
      </c>
      <c r="M2469" s="17"/>
      <c r="N2469" s="64" t="s">
        <v>8741</v>
      </c>
      <c r="O2469" s="68"/>
      <c r="P2469" s="170"/>
      <c r="Q2469" s="149"/>
      <c r="R2469" s="149"/>
      <c r="S2469" s="149"/>
      <c r="T2469" s="141">
        <v>1000000.0</v>
      </c>
      <c r="U2469" s="149"/>
      <c r="V2469" s="149"/>
      <c r="W2469" s="149"/>
      <c r="X2469" s="68"/>
      <c r="Y2469" s="68"/>
      <c r="Z2469" s="68"/>
    </row>
    <row r="2470" ht="15.0" customHeight="1">
      <c r="A2470" s="206">
        <v>46093.0</v>
      </c>
      <c r="B2470" s="201" t="s">
        <v>8742</v>
      </c>
      <c r="C2470" s="45" t="s">
        <v>3234</v>
      </c>
      <c r="D2470" s="448" t="str">
        <f>IFERROR(VLOOKUP(C2470,Stock,3,FALSE),"")</f>
        <v>Toyota Avanza / Xenia 21- 4th Gen (Non sensor)</v>
      </c>
      <c r="E2470" s="45">
        <v>1.0</v>
      </c>
      <c r="F2470" s="198">
        <v>1440000.0</v>
      </c>
      <c r="G2470" s="142">
        <f t="shared" si="73"/>
        <v>1440000</v>
      </c>
      <c r="H2470" s="142"/>
      <c r="I2470" s="143">
        <f t="shared" si="71"/>
        <v>1440000</v>
      </c>
      <c r="J2470" s="144">
        <f t="shared" si="70"/>
        <v>1440000</v>
      </c>
      <c r="K2470" s="108" t="s">
        <v>8743</v>
      </c>
      <c r="L2470" s="199" t="s">
        <v>8744</v>
      </c>
      <c r="M2470" s="17"/>
      <c r="N2470" s="64" t="s">
        <v>8745</v>
      </c>
      <c r="O2470" s="68"/>
      <c r="P2470" s="170"/>
      <c r="Q2470" s="149"/>
      <c r="R2470" s="149"/>
      <c r="S2470" s="149"/>
      <c r="T2470" s="141">
        <v>1440000.0</v>
      </c>
      <c r="U2470" s="149"/>
      <c r="V2470" s="149"/>
      <c r="W2470" s="149"/>
      <c r="X2470" s="64" t="s">
        <v>8232</v>
      </c>
      <c r="Y2470" s="68"/>
      <c r="Z2470" s="68"/>
    </row>
    <row r="2471" ht="15.0" customHeight="1">
      <c r="A2471" s="206">
        <v>46093.0</v>
      </c>
      <c r="B2471" s="201" t="s">
        <v>8746</v>
      </c>
      <c r="C2471" s="45" t="s">
        <v>3126</v>
      </c>
      <c r="D2471" s="448" t="str">
        <f>IFERROR(VLOOKUP(C2471,Stock,3,FALSE),"")</f>
        <v>Suzuki Carry New 19-</v>
      </c>
      <c r="E2471" s="45">
        <v>1.0</v>
      </c>
      <c r="F2471" s="198">
        <v>1040000.0</v>
      </c>
      <c r="G2471" s="142">
        <f t="shared" si="73"/>
        <v>1040000</v>
      </c>
      <c r="H2471" s="142"/>
      <c r="I2471" s="143">
        <f t="shared" si="71"/>
        <v>1040000</v>
      </c>
      <c r="J2471" s="144">
        <f t="shared" si="70"/>
        <v>1040000</v>
      </c>
      <c r="K2471" s="64" t="s">
        <v>8747</v>
      </c>
      <c r="L2471" s="199" t="s">
        <v>8748</v>
      </c>
      <c r="M2471" s="17"/>
      <c r="N2471" s="45" t="s">
        <v>8749</v>
      </c>
      <c r="O2471" s="68"/>
      <c r="P2471" s="170"/>
      <c r="Q2471" s="149"/>
      <c r="R2471" s="149"/>
      <c r="S2471" s="149"/>
      <c r="T2471" s="141">
        <v>1040000.0</v>
      </c>
      <c r="U2471" s="149"/>
      <c r="V2471" s="149"/>
      <c r="W2471" s="149"/>
      <c r="X2471" s="64" t="s">
        <v>8232</v>
      </c>
      <c r="Y2471" s="68"/>
      <c r="Z2471" s="68"/>
    </row>
    <row r="2472" ht="15.0" customHeight="1">
      <c r="A2472" s="206">
        <v>46093.0</v>
      </c>
      <c r="B2472" s="201" t="s">
        <v>8750</v>
      </c>
      <c r="C2472" s="45" t="s">
        <v>5188</v>
      </c>
      <c r="D2472" s="448" t="str">
        <f>IFERROR(VLOOKUP(C2472,Stock,3,FALSE),"")</f>
        <v>Suzuki Ertiga 18- 2nd Gen / XL7</v>
      </c>
      <c r="E2472" s="45">
        <v>1.0</v>
      </c>
      <c r="F2472" s="198">
        <v>1528000.0</v>
      </c>
      <c r="G2472" s="142">
        <f t="shared" si="73"/>
        <v>1528000</v>
      </c>
      <c r="H2472" s="142"/>
      <c r="I2472" s="143">
        <f t="shared" si="71"/>
        <v>1528000</v>
      </c>
      <c r="J2472" s="144">
        <f t="shared" si="70"/>
        <v>1528000</v>
      </c>
      <c r="K2472" s="200"/>
      <c r="L2472" s="17"/>
      <c r="M2472" s="17"/>
      <c r="N2472" s="68"/>
      <c r="O2472" s="68"/>
      <c r="P2472" s="170"/>
      <c r="Q2472" s="141"/>
      <c r="R2472" s="149"/>
      <c r="S2472" s="141">
        <v>100000.0</v>
      </c>
      <c r="T2472" s="141">
        <v>1428000.0</v>
      </c>
      <c r="U2472" s="149"/>
      <c r="V2472" s="149"/>
      <c r="W2472" s="149"/>
      <c r="X2472" s="68"/>
      <c r="Y2472" s="68"/>
      <c r="Z2472" s="68"/>
    </row>
    <row r="2473" ht="15.0" customHeight="1">
      <c r="A2473" s="206">
        <v>46093.0</v>
      </c>
      <c r="B2473" s="201" t="s">
        <v>8751</v>
      </c>
      <c r="C2473" s="45" t="s">
        <v>3246</v>
      </c>
      <c r="D2473" s="448" t="str">
        <f>IFERROR(VLOOKUP(C2473,Stock,3,FALSE),"")</f>
        <v>Toyota Calya / Sigra 16-</v>
      </c>
      <c r="E2473" s="45">
        <v>1.0</v>
      </c>
      <c r="F2473" s="198">
        <v>1150000.0</v>
      </c>
      <c r="G2473" s="142">
        <f t="shared" si="73"/>
        <v>1150000</v>
      </c>
      <c r="H2473" s="142"/>
      <c r="I2473" s="143">
        <f t="shared" si="71"/>
        <v>1150000</v>
      </c>
      <c r="J2473" s="144">
        <f t="shared" si="70"/>
        <v>1150000</v>
      </c>
      <c r="K2473" s="148" t="s">
        <v>8752</v>
      </c>
      <c r="L2473" s="199" t="s">
        <v>8753</v>
      </c>
      <c r="M2473" s="17"/>
      <c r="N2473" s="64" t="s">
        <v>8754</v>
      </c>
      <c r="O2473" s="68"/>
      <c r="P2473" s="170"/>
      <c r="Q2473" s="141">
        <v>1000000.0</v>
      </c>
      <c r="R2473" s="149"/>
      <c r="S2473" s="149"/>
      <c r="T2473" s="141">
        <v>989000.0</v>
      </c>
      <c r="U2473" s="149"/>
      <c r="V2473" s="149"/>
      <c r="W2473" s="149"/>
      <c r="X2473" s="64" t="s">
        <v>7976</v>
      </c>
      <c r="Y2473" s="68"/>
      <c r="Z2473" s="68"/>
    </row>
    <row r="2474" ht="15.0" customHeight="1">
      <c r="A2474" s="441">
        <v>46093.0</v>
      </c>
      <c r="B2474" s="201" t="s">
        <v>8751</v>
      </c>
      <c r="C2474" s="45" t="s">
        <v>2792</v>
      </c>
      <c r="D2474" s="448" t="str">
        <f>IFERROR(VLOOKUP(C2474,Stock,3,FALSE),"")</f>
        <v>Toyota Calya / Sigra 16-</v>
      </c>
      <c r="E2474" s="45">
        <v>1.0</v>
      </c>
      <c r="F2474" s="198">
        <v>839000.0</v>
      </c>
      <c r="G2474" s="142">
        <f t="shared" si="73"/>
        <v>839000</v>
      </c>
      <c r="H2474" s="142"/>
      <c r="I2474" s="143">
        <f t="shared" si="71"/>
        <v>839000</v>
      </c>
      <c r="J2474" s="144">
        <f t="shared" si="70"/>
        <v>839000</v>
      </c>
      <c r="K2474" s="108" t="s">
        <v>8752</v>
      </c>
      <c r="L2474" s="199" t="s">
        <v>8753</v>
      </c>
      <c r="M2474" s="17"/>
      <c r="N2474" s="64" t="s">
        <v>8754</v>
      </c>
      <c r="O2474" s="68"/>
      <c r="P2474" s="170"/>
      <c r="Q2474" s="149"/>
      <c r="R2474" s="149"/>
      <c r="S2474" s="149"/>
      <c r="T2474" s="149"/>
      <c r="U2474" s="149"/>
      <c r="V2474" s="149"/>
      <c r="W2474" s="149"/>
      <c r="X2474" s="64" t="s">
        <v>7976</v>
      </c>
      <c r="Y2474" s="68"/>
      <c r="Z2474" s="68"/>
    </row>
    <row r="2475" ht="15.0" customHeight="1">
      <c r="A2475" s="206">
        <v>46093.0</v>
      </c>
      <c r="B2475" s="201" t="s">
        <v>8755</v>
      </c>
      <c r="C2475" s="45" t="s">
        <v>7318</v>
      </c>
      <c r="D2475" s="448" t="str">
        <f>IFERROR(VLOOKUP(C2475,Stock,3,FALSE),"")</f>
        <v>Toyota Avanza / Xenia 15-21 3rd Gen</v>
      </c>
      <c r="E2475" s="45">
        <v>1.0</v>
      </c>
      <c r="F2475" s="198">
        <v>1000000.0</v>
      </c>
      <c r="G2475" s="142">
        <f t="shared" si="73"/>
        <v>1000000</v>
      </c>
      <c r="H2475" s="142"/>
      <c r="I2475" s="143">
        <f t="shared" si="71"/>
        <v>1000000</v>
      </c>
      <c r="J2475" s="144">
        <f t="shared" si="70"/>
        <v>1000000</v>
      </c>
      <c r="K2475" s="108" t="s">
        <v>8756</v>
      </c>
      <c r="L2475" s="199" t="s">
        <v>8757</v>
      </c>
      <c r="M2475" s="17"/>
      <c r="N2475" s="64" t="s">
        <v>8758</v>
      </c>
      <c r="O2475" s="68"/>
      <c r="P2475" s="170"/>
      <c r="Q2475" s="141">
        <v>1000000.0</v>
      </c>
      <c r="R2475" s="149"/>
      <c r="S2475" s="149"/>
      <c r="T2475" s="149"/>
      <c r="U2475" s="149"/>
      <c r="V2475" s="149"/>
      <c r="W2475" s="149"/>
      <c r="X2475" s="68"/>
      <c r="Y2475" s="68"/>
      <c r="Z2475" s="68"/>
    </row>
    <row r="2476" ht="15.0" customHeight="1">
      <c r="A2476" s="206">
        <v>46094.0</v>
      </c>
      <c r="B2476" s="500" t="s">
        <v>8759</v>
      </c>
      <c r="C2476" s="45" t="s">
        <v>2952</v>
      </c>
      <c r="D2476" s="448" t="str">
        <f>IFERROR(VLOOKUP(C2476,Stock,3,FALSE),"")</f>
        <v/>
      </c>
      <c r="E2476" s="45">
        <v>1.0</v>
      </c>
      <c r="F2476" s="198">
        <v>1100000.0</v>
      </c>
      <c r="G2476" s="142">
        <f t="shared" si="73"/>
        <v>1100000</v>
      </c>
      <c r="H2476" s="142"/>
      <c r="I2476" s="143">
        <f t="shared" si="71"/>
        <v>1100000</v>
      </c>
      <c r="J2476" s="144">
        <f t="shared" si="70"/>
        <v>1100000</v>
      </c>
      <c r="K2476" s="64" t="s">
        <v>8760</v>
      </c>
      <c r="L2476" s="199" t="s">
        <v>8761</v>
      </c>
      <c r="M2476" s="17"/>
      <c r="N2476" s="64" t="s">
        <v>8762</v>
      </c>
      <c r="O2476" s="68"/>
      <c r="P2476" s="170"/>
      <c r="Q2476" s="141">
        <v>1100000.0</v>
      </c>
      <c r="R2476" s="149"/>
      <c r="S2476" s="149"/>
      <c r="T2476" s="149"/>
      <c r="U2476" s="149"/>
      <c r="V2476" s="149"/>
      <c r="W2476" s="149"/>
      <c r="X2476" s="64" t="s">
        <v>7976</v>
      </c>
      <c r="Y2476" s="68"/>
      <c r="Z2476" s="68"/>
    </row>
    <row r="2477" ht="15.0" customHeight="1">
      <c r="A2477" s="206">
        <v>46094.0</v>
      </c>
      <c r="B2477" s="500" t="s">
        <v>8763</v>
      </c>
      <c r="C2477" s="64" t="s">
        <v>3795</v>
      </c>
      <c r="D2477" s="448" t="str">
        <f>IFERROR(VLOOKUP(C2477,Stock,3,FALSE),"")</f>
        <v>Toyota Agya/Ayla 23- 2nd Gen</v>
      </c>
      <c r="E2477" s="45">
        <v>1.0</v>
      </c>
      <c r="F2477" s="198">
        <v>1317000.0</v>
      </c>
      <c r="G2477" s="142">
        <f t="shared" si="73"/>
        <v>1317000</v>
      </c>
      <c r="H2477" s="143">
        <v>150000.0</v>
      </c>
      <c r="I2477" s="143">
        <f t="shared" si="71"/>
        <v>1167000</v>
      </c>
      <c r="J2477" s="144">
        <f t="shared" si="70"/>
        <v>1167000</v>
      </c>
      <c r="K2477" s="64" t="s">
        <v>7296</v>
      </c>
      <c r="L2477" s="199" t="s">
        <v>7297</v>
      </c>
      <c r="M2477" s="17"/>
      <c r="N2477" s="68"/>
      <c r="O2477" s="68"/>
      <c r="P2477" s="170"/>
      <c r="Q2477" s="149"/>
      <c r="R2477" s="68"/>
      <c r="S2477" s="141">
        <v>100000.0</v>
      </c>
      <c r="T2477" s="141">
        <v>1067000.0</v>
      </c>
      <c r="U2477" s="149"/>
      <c r="V2477" s="149"/>
      <c r="W2477" s="149"/>
      <c r="X2477" s="68"/>
      <c r="Y2477" s="68"/>
      <c r="Z2477" s="68"/>
    </row>
    <row r="2478" ht="15.0" customHeight="1">
      <c r="A2478" s="206">
        <v>46094.0</v>
      </c>
      <c r="B2478" s="501" t="s">
        <v>8764</v>
      </c>
      <c r="C2478" s="502" t="s">
        <v>2770</v>
      </c>
      <c r="D2478" s="503" t="str">
        <f>IFERROR(VLOOKUP(C2478,Stock,3,FALSE),"")</f>
        <v>Transport</v>
      </c>
      <c r="E2478" s="45">
        <v>1.0</v>
      </c>
      <c r="F2478" s="198">
        <v>250000.0</v>
      </c>
      <c r="G2478" s="142">
        <f t="shared" si="73"/>
        <v>250000</v>
      </c>
      <c r="H2478" s="142"/>
      <c r="I2478" s="143">
        <f t="shared" si="71"/>
        <v>250000</v>
      </c>
      <c r="J2478" s="144">
        <f t="shared" si="70"/>
        <v>250000</v>
      </c>
      <c r="K2478" s="108"/>
      <c r="L2478" s="17"/>
      <c r="M2478" s="17"/>
      <c r="N2478" s="68"/>
      <c r="O2478" s="68"/>
      <c r="P2478" s="170"/>
      <c r="Q2478" s="141"/>
      <c r="R2478" s="149"/>
      <c r="S2478" s="149"/>
      <c r="T2478" s="141">
        <v>250000.0</v>
      </c>
      <c r="U2478" s="149"/>
      <c r="V2478" s="149"/>
      <c r="W2478" s="149"/>
      <c r="X2478" s="64" t="s">
        <v>7976</v>
      </c>
      <c r="Y2478" s="68"/>
      <c r="Z2478" s="68"/>
    </row>
    <row r="2479" ht="15.0" customHeight="1">
      <c r="A2479" s="206">
        <v>46094.0</v>
      </c>
      <c r="B2479" s="201" t="s">
        <v>8765</v>
      </c>
      <c r="C2479" s="45" t="s">
        <v>7164</v>
      </c>
      <c r="D2479" s="448" t="str">
        <f>IFERROR(VLOOKUP(C2479,Stock,3,FALSE),"")</f>
        <v>Ford Everest 04-15 / Ranger 04-11 / Mazda BT-50</v>
      </c>
      <c r="E2479" s="45">
        <v>1.0</v>
      </c>
      <c r="F2479" s="198">
        <v>1450000.0</v>
      </c>
      <c r="G2479" s="142">
        <f t="shared" si="73"/>
        <v>1450000</v>
      </c>
      <c r="H2479" s="142"/>
      <c r="I2479" s="143">
        <f t="shared" si="71"/>
        <v>1450000</v>
      </c>
      <c r="J2479" s="144">
        <f t="shared" si="70"/>
        <v>1450000</v>
      </c>
      <c r="K2479" s="64" t="s">
        <v>5048</v>
      </c>
      <c r="L2479" s="199" t="s">
        <v>8766</v>
      </c>
      <c r="M2479" s="17"/>
      <c r="N2479" s="64" t="s">
        <v>8767</v>
      </c>
      <c r="O2479" s="68"/>
      <c r="P2479" s="170"/>
      <c r="Q2479" s="141"/>
      <c r="R2479" s="149"/>
      <c r="S2479" s="149"/>
      <c r="T2479" s="141">
        <v>1450000.0</v>
      </c>
      <c r="U2479" s="149"/>
      <c r="V2479" s="149"/>
      <c r="W2479" s="149"/>
      <c r="X2479" s="64" t="s">
        <v>7976</v>
      </c>
      <c r="Y2479" s="68"/>
      <c r="Z2479" s="68"/>
    </row>
    <row r="2480" ht="15.0" customHeight="1">
      <c r="A2480" s="206">
        <v>46094.0</v>
      </c>
      <c r="B2480" s="201" t="s">
        <v>8768</v>
      </c>
      <c r="C2480" s="45" t="s">
        <v>7161</v>
      </c>
      <c r="D2480" s="448" t="str">
        <f>IFERROR(VLOOKUP(C2480,Stock,3,FALSE),"")</f>
        <v>Honda Brio 10- / Mobilio 11-</v>
      </c>
      <c r="E2480" s="45">
        <v>1.0</v>
      </c>
      <c r="F2480" s="198">
        <v>1250000.0</v>
      </c>
      <c r="G2480" s="142">
        <f t="shared" si="73"/>
        <v>1250000</v>
      </c>
      <c r="H2480" s="142"/>
      <c r="I2480" s="143">
        <f t="shared" si="71"/>
        <v>1250000</v>
      </c>
      <c r="J2480" s="144">
        <f t="shared" si="70"/>
        <v>1250000</v>
      </c>
      <c r="K2480" s="108" t="s">
        <v>8769</v>
      </c>
      <c r="L2480" s="199" t="s">
        <v>8770</v>
      </c>
      <c r="M2480" s="17"/>
      <c r="N2480" s="64" t="s">
        <v>8771</v>
      </c>
      <c r="O2480" s="68"/>
      <c r="P2480" s="170"/>
      <c r="Q2480" s="149"/>
      <c r="R2480" s="149"/>
      <c r="S2480" s="149"/>
      <c r="T2480" s="149"/>
      <c r="U2480" s="149"/>
      <c r="V2480" s="149"/>
      <c r="W2480" s="149"/>
      <c r="X2480" s="64" t="s">
        <v>8232</v>
      </c>
      <c r="Y2480" s="68"/>
      <c r="Z2480" s="68"/>
    </row>
    <row r="2481" ht="15.0" customHeight="1">
      <c r="A2481" s="206">
        <v>46094.0</v>
      </c>
      <c r="B2481" s="398" t="s">
        <v>8772</v>
      </c>
      <c r="C2481" s="398" t="s">
        <v>2778</v>
      </c>
      <c r="D2481" s="498" t="str">
        <f>IFERROR(VLOOKUP(C2481,Stock,3,FALSE),"")</f>
        <v>Bongkar Pasang Kaca Mobil Depan</v>
      </c>
      <c r="E2481" s="45">
        <v>1.0</v>
      </c>
      <c r="F2481" s="198">
        <v>600000.0</v>
      </c>
      <c r="G2481" s="142">
        <f t="shared" si="73"/>
        <v>600000</v>
      </c>
      <c r="H2481" s="142"/>
      <c r="I2481" s="143">
        <f t="shared" si="71"/>
        <v>600000</v>
      </c>
      <c r="J2481" s="144">
        <f t="shared" si="70"/>
        <v>600000</v>
      </c>
      <c r="K2481" s="108" t="s">
        <v>5016</v>
      </c>
      <c r="L2481" s="199" t="s">
        <v>8773</v>
      </c>
      <c r="M2481" s="17"/>
      <c r="N2481" s="68"/>
      <c r="O2481" s="68"/>
      <c r="P2481" s="170"/>
      <c r="Q2481" s="141">
        <v>600000.0</v>
      </c>
      <c r="R2481" s="149"/>
      <c r="S2481" s="149"/>
      <c r="T2481" s="149"/>
      <c r="U2481" s="149"/>
      <c r="V2481" s="149"/>
      <c r="W2481" s="149"/>
      <c r="X2481" s="68"/>
      <c r="Y2481" s="68"/>
      <c r="Z2481" s="68"/>
    </row>
    <row r="2482" ht="15.0" customHeight="1">
      <c r="A2482" s="441">
        <v>46094.0</v>
      </c>
      <c r="B2482" s="201" t="s">
        <v>8774</v>
      </c>
      <c r="C2482" s="45" t="s">
        <v>3193</v>
      </c>
      <c r="D2482" s="448" t="str">
        <f>IFERROR(VLOOKUP(C2482,Stock,3,FALSE),"")</f>
        <v>Toyota Avanza / Xenia 11-15 2nd Gen</v>
      </c>
      <c r="E2482" s="45">
        <v>1.0</v>
      </c>
      <c r="F2482" s="198">
        <v>1200000.0</v>
      </c>
      <c r="G2482" s="142">
        <f t="shared" si="73"/>
        <v>1200000</v>
      </c>
      <c r="H2482" s="142"/>
      <c r="I2482" s="143">
        <f t="shared" si="71"/>
        <v>1200000</v>
      </c>
      <c r="J2482" s="144">
        <f t="shared" si="70"/>
        <v>1200000</v>
      </c>
      <c r="K2482" s="64" t="s">
        <v>8775</v>
      </c>
      <c r="L2482" s="199" t="s">
        <v>8776</v>
      </c>
      <c r="M2482" s="17"/>
      <c r="N2482" s="68"/>
      <c r="O2482" s="68"/>
      <c r="P2482" s="170"/>
      <c r="Q2482" s="149"/>
      <c r="R2482" s="149"/>
      <c r="S2482" s="141">
        <v>100000.0</v>
      </c>
      <c r="T2482" s="149"/>
      <c r="U2482" s="149"/>
      <c r="V2482" s="149"/>
      <c r="W2482" s="149"/>
      <c r="X2482" s="68"/>
      <c r="Y2482" s="68"/>
      <c r="Z2482" s="68"/>
    </row>
    <row r="2483" ht="15.0" customHeight="1">
      <c r="A2483" s="206">
        <v>46094.0</v>
      </c>
      <c r="B2483" s="201" t="s">
        <v>8777</v>
      </c>
      <c r="C2483" s="45" t="s">
        <v>4112</v>
      </c>
      <c r="D2483" s="448" t="str">
        <f>IFERROR(VLOOKUP(C2483,Stock,3,FALSE),"")</f>
        <v>Wuling Air EV 22-</v>
      </c>
      <c r="E2483" s="45">
        <v>1.0</v>
      </c>
      <c r="F2483" s="198">
        <v>1750000.0</v>
      </c>
      <c r="G2483" s="142">
        <f t="shared" si="73"/>
        <v>1750000</v>
      </c>
      <c r="H2483" s="142"/>
      <c r="I2483" s="143">
        <f t="shared" si="71"/>
        <v>1750000</v>
      </c>
      <c r="J2483" s="144">
        <f t="shared" si="70"/>
        <v>1750000</v>
      </c>
      <c r="K2483" s="108" t="s">
        <v>8778</v>
      </c>
      <c r="L2483" s="199" t="s">
        <v>8779</v>
      </c>
      <c r="M2483" s="17"/>
      <c r="N2483" s="64" t="s">
        <v>8780</v>
      </c>
      <c r="O2483" s="68"/>
      <c r="P2483" s="170"/>
      <c r="Q2483" s="149"/>
      <c r="R2483" s="149"/>
      <c r="S2483" s="149"/>
      <c r="T2483" s="141">
        <v>1750000.0</v>
      </c>
      <c r="U2483" s="149"/>
      <c r="V2483" s="149"/>
      <c r="W2483" s="149"/>
      <c r="X2483" s="64" t="s">
        <v>8232</v>
      </c>
      <c r="Y2483" s="68"/>
      <c r="Z2483" s="68"/>
    </row>
    <row r="2484" ht="15.0" customHeight="1">
      <c r="A2484" s="441">
        <v>46094.0</v>
      </c>
      <c r="B2484" s="201" t="s">
        <v>8781</v>
      </c>
      <c r="C2484" s="45" t="s">
        <v>3225</v>
      </c>
      <c r="D2484" s="448" t="str">
        <f>IFERROR(VLOOKUP(C2484,Stock,3,FALSE),"")</f>
        <v>Toyota Rush / Terios 18-</v>
      </c>
      <c r="E2484" s="45">
        <v>1.0</v>
      </c>
      <c r="F2484" s="198">
        <v>1250000.0</v>
      </c>
      <c r="G2484" s="142">
        <f t="shared" si="73"/>
        <v>1250000</v>
      </c>
      <c r="H2484" s="142"/>
      <c r="I2484" s="143">
        <f t="shared" si="71"/>
        <v>1250000</v>
      </c>
      <c r="J2484" s="144">
        <f t="shared" si="70"/>
        <v>1250000</v>
      </c>
      <c r="K2484" s="108" t="s">
        <v>8782</v>
      </c>
      <c r="L2484" s="199" t="s">
        <v>8783</v>
      </c>
      <c r="M2484" s="17"/>
      <c r="N2484" s="64" t="s">
        <v>8784</v>
      </c>
      <c r="O2484" s="68"/>
      <c r="P2484" s="170"/>
      <c r="Q2484" s="149"/>
      <c r="R2484" s="149"/>
      <c r="S2484" s="149"/>
      <c r="T2484" s="141">
        <v>1250000.0</v>
      </c>
      <c r="U2484" s="149"/>
      <c r="V2484" s="149"/>
      <c r="W2484" s="149"/>
      <c r="X2484" s="64" t="s">
        <v>7976</v>
      </c>
      <c r="Y2484" s="68"/>
      <c r="Z2484" s="68"/>
    </row>
    <row r="2485" ht="15.0" customHeight="1">
      <c r="A2485" s="206">
        <v>45729.0</v>
      </c>
      <c r="B2485" s="201" t="s">
        <v>8785</v>
      </c>
      <c r="C2485" s="45" t="s">
        <v>3246</v>
      </c>
      <c r="D2485" s="448" t="str">
        <f>IFERROR(VLOOKUP(C2485,Stock,3,FALSE),"")</f>
        <v>Toyota Calya / Sigra 16-</v>
      </c>
      <c r="E2485" s="45">
        <v>1.0</v>
      </c>
      <c r="F2485" s="198">
        <v>1150000.0</v>
      </c>
      <c r="G2485" s="142">
        <f t="shared" si="73"/>
        <v>1150000</v>
      </c>
      <c r="H2485" s="142"/>
      <c r="I2485" s="143">
        <f t="shared" si="71"/>
        <v>1150000</v>
      </c>
      <c r="J2485" s="144">
        <f t="shared" si="70"/>
        <v>1150000</v>
      </c>
      <c r="K2485" s="108" t="s">
        <v>8786</v>
      </c>
      <c r="L2485" s="199" t="s">
        <v>8787</v>
      </c>
      <c r="M2485" s="17"/>
      <c r="N2485" s="64" t="s">
        <v>8788</v>
      </c>
      <c r="O2485" s="68"/>
      <c r="P2485" s="170"/>
      <c r="Q2485" s="149"/>
      <c r="R2485" s="149"/>
      <c r="S2485" s="149"/>
      <c r="T2485" s="141">
        <v>1150000.0</v>
      </c>
      <c r="U2485" s="149"/>
      <c r="V2485" s="149"/>
      <c r="W2485" s="149"/>
      <c r="X2485" s="68"/>
      <c r="Y2485" s="68"/>
      <c r="Z2485" s="68"/>
    </row>
    <row r="2486" ht="15.0" customHeight="1">
      <c r="A2486" s="206">
        <v>46094.0</v>
      </c>
      <c r="B2486" s="201" t="s">
        <v>8789</v>
      </c>
      <c r="C2486" s="45" t="s">
        <v>4157</v>
      </c>
      <c r="D2486" s="448" t="str">
        <f>IFERROR(VLOOKUP(C2486,Stock,3,FALSE),"")</f>
        <v>Toyota Yaris 05-13 XP90 1st Gen</v>
      </c>
      <c r="E2486" s="45">
        <v>1.0</v>
      </c>
      <c r="F2486" s="198">
        <v>1188000.0</v>
      </c>
      <c r="G2486" s="142">
        <f t="shared" si="73"/>
        <v>1188000</v>
      </c>
      <c r="H2486" s="142"/>
      <c r="I2486" s="143">
        <f t="shared" si="71"/>
        <v>1188000</v>
      </c>
      <c r="J2486" s="144">
        <f t="shared" si="70"/>
        <v>1188000</v>
      </c>
      <c r="K2486" s="108" t="s">
        <v>8790</v>
      </c>
      <c r="L2486" s="199" t="s">
        <v>8791</v>
      </c>
      <c r="M2486" s="17"/>
      <c r="N2486" s="64" t="s">
        <v>8792</v>
      </c>
      <c r="O2486" s="68"/>
      <c r="P2486" s="170"/>
      <c r="Q2486" s="149"/>
      <c r="R2486" s="149"/>
      <c r="S2486" s="141">
        <v>100000.0</v>
      </c>
      <c r="T2486" s="149"/>
      <c r="U2486" s="149"/>
      <c r="V2486" s="149"/>
      <c r="W2486" s="149"/>
      <c r="X2486" s="68"/>
      <c r="Y2486" s="68"/>
      <c r="Z2486" s="68"/>
    </row>
    <row r="2487" ht="15.0" customHeight="1">
      <c r="A2487" s="206">
        <v>46094.0</v>
      </c>
      <c r="B2487" s="201" t="s">
        <v>8789</v>
      </c>
      <c r="C2487" s="45" t="s">
        <v>8411</v>
      </c>
      <c r="D2487" s="448" t="str">
        <f>IFERROR(VLOOKUP(C2487,Stock,3,FALSE),"")</f>
        <v>Automotive Film Standard - Black 80%</v>
      </c>
      <c r="E2487" s="45">
        <v>1.0</v>
      </c>
      <c r="F2487" s="198">
        <v>350000.0</v>
      </c>
      <c r="G2487" s="142">
        <f t="shared" si="73"/>
        <v>350000</v>
      </c>
      <c r="H2487" s="142"/>
      <c r="I2487" s="143">
        <f t="shared" si="71"/>
        <v>350000</v>
      </c>
      <c r="J2487" s="144">
        <f t="shared" si="70"/>
        <v>350000</v>
      </c>
      <c r="K2487" s="108" t="s">
        <v>8790</v>
      </c>
      <c r="L2487" s="199" t="s">
        <v>8791</v>
      </c>
      <c r="M2487" s="17"/>
      <c r="N2487" s="64"/>
      <c r="O2487" s="68"/>
      <c r="P2487" s="170"/>
      <c r="Q2487" s="149"/>
      <c r="R2487" s="149"/>
      <c r="S2487" s="149"/>
      <c r="T2487" s="149"/>
      <c r="U2487" s="149"/>
      <c r="V2487" s="149"/>
      <c r="W2487" s="149"/>
      <c r="X2487" s="68"/>
      <c r="Y2487" s="68"/>
      <c r="Z2487" s="68"/>
    </row>
    <row r="2488" ht="15.0" customHeight="1">
      <c r="A2488" s="441">
        <v>46094.0</v>
      </c>
      <c r="B2488" s="201" t="s">
        <v>8793</v>
      </c>
      <c r="C2488" s="64" t="s">
        <v>3029</v>
      </c>
      <c r="D2488" s="448" t="str">
        <f>IFERROR(VLOOKUP(C2488,Stock,3,FALSE),"")</f>
        <v>Mitsubishi Canter FE700 01- (PS110,125)</v>
      </c>
      <c r="E2488" s="45">
        <v>1.0</v>
      </c>
      <c r="F2488" s="198">
        <v>1044000.0</v>
      </c>
      <c r="G2488" s="142">
        <f t="shared" si="73"/>
        <v>1044000</v>
      </c>
      <c r="H2488" s="143">
        <v>522000.0</v>
      </c>
      <c r="I2488" s="143">
        <f t="shared" si="71"/>
        <v>522000</v>
      </c>
      <c r="J2488" s="144">
        <f t="shared" si="70"/>
        <v>522000</v>
      </c>
      <c r="K2488" s="108" t="s">
        <v>8677</v>
      </c>
      <c r="L2488" s="45" t="s">
        <v>8678</v>
      </c>
      <c r="M2488" s="17"/>
      <c r="N2488" s="64" t="s">
        <v>8679</v>
      </c>
      <c r="O2488" s="68"/>
      <c r="P2488" s="170"/>
      <c r="Q2488" s="149"/>
      <c r="R2488" s="149"/>
      <c r="S2488" s="149"/>
      <c r="T2488" s="141">
        <v>522000.0</v>
      </c>
      <c r="U2488" s="149"/>
      <c r="V2488" s="149"/>
      <c r="W2488" s="149"/>
      <c r="X2488" s="68"/>
      <c r="Y2488" s="68"/>
      <c r="Z2488" s="68"/>
    </row>
    <row r="2489" ht="15.0" customHeight="1">
      <c r="A2489" s="206">
        <v>46095.0</v>
      </c>
      <c r="B2489" s="201" t="s">
        <v>8794</v>
      </c>
      <c r="C2489" s="45" t="s">
        <v>6892</v>
      </c>
      <c r="D2489" s="448" t="str">
        <f>IFERROR(VLOOKUP(C2489,Stock,3,FALSE),"")</f>
        <v>Toyota Avanza / Xenia 11-15 2nd Gen / 15-21 3rd Gen</v>
      </c>
      <c r="E2489" s="45">
        <v>1.0</v>
      </c>
      <c r="F2489" s="198">
        <v>500000.0</v>
      </c>
      <c r="G2489" s="142">
        <f t="shared" si="73"/>
        <v>500000</v>
      </c>
      <c r="H2489" s="142"/>
      <c r="I2489" s="143">
        <f t="shared" si="71"/>
        <v>500000</v>
      </c>
      <c r="J2489" s="144">
        <f t="shared" si="70"/>
        <v>500000</v>
      </c>
      <c r="K2489" s="108" t="s">
        <v>8795</v>
      </c>
      <c r="L2489" s="199" t="s">
        <v>8796</v>
      </c>
      <c r="M2489" s="17"/>
      <c r="N2489" s="64" t="s">
        <v>8797</v>
      </c>
      <c r="O2489" s="68"/>
      <c r="P2489" s="170"/>
      <c r="Q2489" s="149"/>
      <c r="R2489" s="149"/>
      <c r="S2489" s="149"/>
      <c r="T2489" s="141">
        <v>500000.0</v>
      </c>
      <c r="U2489" s="149"/>
      <c r="V2489" s="149"/>
      <c r="W2489" s="149"/>
      <c r="X2489" s="64" t="s">
        <v>8232</v>
      </c>
      <c r="Y2489" s="68"/>
      <c r="Z2489" s="68"/>
    </row>
    <row r="2490" ht="15.0" customHeight="1">
      <c r="A2490" s="206">
        <v>46095.0</v>
      </c>
      <c r="B2490" s="201" t="s">
        <v>8798</v>
      </c>
      <c r="C2490" s="45" t="s">
        <v>5225</v>
      </c>
      <c r="D2490" s="448" t="str">
        <f>IFERROR(VLOOKUP(C2490,Stock,3,FALSE),"")</f>
        <v>Toyota Avanza / Xenia 11-15 2nd Gen/3rd Gen</v>
      </c>
      <c r="E2490" s="45">
        <v>1.0</v>
      </c>
      <c r="F2490" s="198">
        <v>500000.0</v>
      </c>
      <c r="G2490" s="142">
        <f t="shared" si="73"/>
        <v>500000</v>
      </c>
      <c r="H2490" s="142"/>
      <c r="I2490" s="143">
        <f t="shared" si="71"/>
        <v>500000</v>
      </c>
      <c r="J2490" s="144">
        <f t="shared" si="70"/>
        <v>500000</v>
      </c>
      <c r="K2490" s="108" t="s">
        <v>8799</v>
      </c>
      <c r="L2490" s="199" t="s">
        <v>8800</v>
      </c>
      <c r="M2490" s="17"/>
      <c r="N2490" s="64" t="s">
        <v>8801</v>
      </c>
      <c r="O2490" s="68"/>
      <c r="P2490" s="170"/>
      <c r="Q2490" s="149"/>
      <c r="R2490" s="149"/>
      <c r="S2490" s="149"/>
      <c r="T2490" s="141">
        <v>650000.0</v>
      </c>
      <c r="U2490" s="149"/>
      <c r="V2490" s="149"/>
      <c r="W2490" s="149"/>
      <c r="X2490" s="68"/>
      <c r="Y2490" s="68"/>
      <c r="Z2490" s="68"/>
    </row>
    <row r="2491" ht="15.0" customHeight="1">
      <c r="A2491" s="206">
        <v>46095.0</v>
      </c>
      <c r="B2491" s="201" t="s">
        <v>8798</v>
      </c>
      <c r="C2491" s="45" t="s">
        <v>8411</v>
      </c>
      <c r="D2491" s="448" t="str">
        <f>IFERROR(VLOOKUP(C2491,Stock,3,FALSE),"")</f>
        <v>Automotive Film Standard - Black 80%</v>
      </c>
      <c r="E2491" s="45">
        <v>1.0</v>
      </c>
      <c r="F2491" s="198">
        <v>150000.0</v>
      </c>
      <c r="G2491" s="142">
        <f t="shared" si="73"/>
        <v>150000</v>
      </c>
      <c r="H2491" s="142"/>
      <c r="I2491" s="143">
        <f t="shared" si="71"/>
        <v>150000</v>
      </c>
      <c r="J2491" s="144">
        <f t="shared" si="70"/>
        <v>150000</v>
      </c>
      <c r="K2491" s="108" t="s">
        <v>8799</v>
      </c>
      <c r="L2491" s="199" t="s">
        <v>8800</v>
      </c>
      <c r="M2491" s="17"/>
      <c r="N2491" s="64" t="s">
        <v>8801</v>
      </c>
      <c r="O2491" s="68"/>
      <c r="P2491" s="170"/>
      <c r="Q2491" s="149"/>
      <c r="R2491" s="149"/>
      <c r="S2491" s="149"/>
      <c r="T2491" s="149"/>
      <c r="U2491" s="149"/>
      <c r="V2491" s="149"/>
      <c r="W2491" s="149"/>
      <c r="X2491" s="68"/>
      <c r="Y2491" s="68"/>
      <c r="Z2491" s="68"/>
    </row>
    <row r="2492" ht="15.0" customHeight="1">
      <c r="A2492" s="206">
        <v>46095.0</v>
      </c>
      <c r="B2492" s="201" t="s">
        <v>8802</v>
      </c>
      <c r="C2492" s="64" t="s">
        <v>8803</v>
      </c>
      <c r="D2492" s="448" t="str">
        <f>IFERROR(VLOOKUP(C2492,Stock,3,FALSE),"")</f>
        <v>Honda Accord 03-07 7th Gen CM5,6,7</v>
      </c>
      <c r="E2492" s="45">
        <v>1.0</v>
      </c>
      <c r="F2492" s="198">
        <v>2183000.0</v>
      </c>
      <c r="G2492" s="142">
        <f t="shared" si="73"/>
        <v>2183000</v>
      </c>
      <c r="H2492" s="142"/>
      <c r="I2492" s="143">
        <f t="shared" si="71"/>
        <v>2183000</v>
      </c>
      <c r="J2492" s="144">
        <f t="shared" si="70"/>
        <v>2183000</v>
      </c>
      <c r="K2492" s="108" t="s">
        <v>8804</v>
      </c>
      <c r="L2492" s="199" t="s">
        <v>8805</v>
      </c>
      <c r="M2492" s="17"/>
      <c r="N2492" s="64" t="s">
        <v>8806</v>
      </c>
      <c r="O2492" s="68"/>
      <c r="P2492" s="170"/>
      <c r="Q2492" s="141">
        <v>2183000.0</v>
      </c>
      <c r="R2492" s="149"/>
      <c r="S2492" s="149"/>
      <c r="T2492" s="149"/>
      <c r="U2492" s="149"/>
      <c r="V2492" s="149"/>
      <c r="W2492" s="149"/>
      <c r="X2492" s="68"/>
      <c r="Y2492" s="68"/>
      <c r="Z2492" s="68"/>
    </row>
    <row r="2493" ht="15.0" customHeight="1">
      <c r="A2493" s="206">
        <v>46095.0</v>
      </c>
      <c r="B2493" s="201" t="s">
        <v>8807</v>
      </c>
      <c r="C2493" s="45" t="s">
        <v>8808</v>
      </c>
      <c r="D2493" s="448" t="str">
        <f>IFERROR(VLOOKUP(C2493,Stock,3,FALSE),"")</f>
        <v>BMW 3 Series 05-12 E90</v>
      </c>
      <c r="E2493" s="45">
        <v>1.0</v>
      </c>
      <c r="F2493" s="198">
        <v>2776000.0</v>
      </c>
      <c r="G2493" s="142">
        <f t="shared" si="73"/>
        <v>2776000</v>
      </c>
      <c r="H2493" s="142"/>
      <c r="I2493" s="143">
        <f t="shared" si="71"/>
        <v>2776000</v>
      </c>
      <c r="J2493" s="144">
        <f t="shared" si="70"/>
        <v>2776000</v>
      </c>
      <c r="K2493" s="64" t="s">
        <v>8809</v>
      </c>
      <c r="L2493" s="199" t="s">
        <v>8810</v>
      </c>
      <c r="M2493" s="17"/>
      <c r="N2493" s="64" t="s">
        <v>8811</v>
      </c>
      <c r="O2493" s="68"/>
      <c r="P2493" s="170"/>
      <c r="Q2493" s="149"/>
      <c r="R2493" s="149"/>
      <c r="S2493" s="149"/>
      <c r="T2493" s="419">
        <v>2776000.0</v>
      </c>
      <c r="U2493" s="149"/>
      <c r="V2493" s="149"/>
      <c r="W2493" s="149"/>
      <c r="X2493" s="64" t="s">
        <v>8388</v>
      </c>
      <c r="Y2493" s="68"/>
      <c r="Z2493" s="68"/>
    </row>
    <row r="2494" ht="15.0" customHeight="1">
      <c r="A2494" s="206">
        <v>46095.0</v>
      </c>
      <c r="B2494" s="201" t="s">
        <v>8812</v>
      </c>
      <c r="C2494" s="45" t="s">
        <v>7551</v>
      </c>
      <c r="D2494" s="448" t="str">
        <f>IFERROR(VLOOKUP(C2494,Stock,3,FALSE),"")</f>
        <v>Mitsubishi L300</v>
      </c>
      <c r="E2494" s="45">
        <v>1.0</v>
      </c>
      <c r="F2494" s="198">
        <v>998000.0</v>
      </c>
      <c r="G2494" s="142">
        <f t="shared" si="73"/>
        <v>998000</v>
      </c>
      <c r="H2494" s="142"/>
      <c r="I2494" s="143">
        <f t="shared" si="71"/>
        <v>998000</v>
      </c>
      <c r="J2494" s="144">
        <f t="shared" si="70"/>
        <v>998000</v>
      </c>
      <c r="K2494" s="108" t="s">
        <v>8813</v>
      </c>
      <c r="L2494" s="17"/>
      <c r="M2494" s="17"/>
      <c r="N2494" s="64" t="s">
        <v>8814</v>
      </c>
      <c r="O2494" s="68"/>
      <c r="P2494" s="170"/>
      <c r="Q2494" s="149"/>
      <c r="R2494" s="149"/>
      <c r="S2494" s="149"/>
      <c r="T2494" s="141">
        <v>998000.0</v>
      </c>
      <c r="U2494" s="149"/>
      <c r="V2494" s="149"/>
      <c r="W2494" s="149"/>
      <c r="X2494" s="64" t="s">
        <v>8232</v>
      </c>
      <c r="Y2494" s="68"/>
      <c r="Z2494" s="68"/>
    </row>
    <row r="2495" ht="15.0" customHeight="1">
      <c r="A2495" s="206">
        <v>46095.0</v>
      </c>
      <c r="B2495" s="201" t="s">
        <v>8815</v>
      </c>
      <c r="C2495" s="45" t="s">
        <v>8816</v>
      </c>
      <c r="D2495" s="448" t="str">
        <f>IFERROR(VLOOKUP(C2495,Stock,3,FALSE),"")</f>
        <v>Nissan Serena 19- MKV C27</v>
      </c>
      <c r="E2495" s="45">
        <v>1.0</v>
      </c>
      <c r="F2495" s="198">
        <v>2910000.0</v>
      </c>
      <c r="G2495" s="142">
        <f t="shared" si="73"/>
        <v>2910000</v>
      </c>
      <c r="H2495" s="142"/>
      <c r="I2495" s="143">
        <f t="shared" si="71"/>
        <v>2910000</v>
      </c>
      <c r="J2495" s="144">
        <f t="shared" si="70"/>
        <v>2910000</v>
      </c>
      <c r="K2495" s="108" t="s">
        <v>8817</v>
      </c>
      <c r="L2495" s="199" t="s">
        <v>8818</v>
      </c>
      <c r="M2495" s="17"/>
      <c r="N2495" s="64" t="s">
        <v>8819</v>
      </c>
      <c r="O2495" s="68"/>
      <c r="P2495" s="170"/>
      <c r="Q2495" s="149"/>
      <c r="R2495" s="149"/>
      <c r="S2495" s="149"/>
      <c r="T2495" s="149"/>
      <c r="U2495" s="149"/>
      <c r="V2495" s="149"/>
      <c r="W2495" s="149"/>
      <c r="X2495" s="68"/>
      <c r="Y2495" s="68"/>
      <c r="Z2495" s="68"/>
    </row>
    <row r="2496" ht="15.0" customHeight="1">
      <c r="A2496" s="206">
        <v>46095.0</v>
      </c>
      <c r="B2496" s="201" t="s">
        <v>8820</v>
      </c>
      <c r="C2496" s="45" t="s">
        <v>7162</v>
      </c>
      <c r="D2496" s="448" t="str">
        <f>IFERROR(VLOOKUP(C2496,Stock,3,FALSE),"")</f>
        <v>Toyota Innova 04-15 1st Gen</v>
      </c>
      <c r="E2496" s="45">
        <v>1.0</v>
      </c>
      <c r="F2496" s="198">
        <v>1300000.0</v>
      </c>
      <c r="G2496" s="142">
        <f t="shared" si="73"/>
        <v>1300000</v>
      </c>
      <c r="H2496" s="142"/>
      <c r="I2496" s="143">
        <f t="shared" si="71"/>
        <v>1300000</v>
      </c>
      <c r="J2496" s="144">
        <f t="shared" si="70"/>
        <v>1300000</v>
      </c>
      <c r="K2496" s="108" t="s">
        <v>8821</v>
      </c>
      <c r="L2496" s="199" t="s">
        <v>8822</v>
      </c>
      <c r="M2496" s="17"/>
      <c r="N2496" s="64" t="s">
        <v>8823</v>
      </c>
      <c r="O2496" s="68"/>
      <c r="P2496" s="170"/>
      <c r="Q2496" s="149"/>
      <c r="R2496" s="149"/>
      <c r="S2496" s="149"/>
      <c r="T2496" s="141">
        <v>1650000.0</v>
      </c>
      <c r="U2496" s="149"/>
      <c r="V2496" s="149"/>
      <c r="W2496" s="149"/>
      <c r="X2496" s="64" t="s">
        <v>7976</v>
      </c>
      <c r="Y2496" s="68"/>
      <c r="Z2496" s="68"/>
    </row>
    <row r="2497" ht="15.0" customHeight="1">
      <c r="A2497" s="206">
        <v>46095.0</v>
      </c>
      <c r="B2497" s="201" t="s">
        <v>8820</v>
      </c>
      <c r="C2497" s="45" t="s">
        <v>8411</v>
      </c>
      <c r="D2497" s="448" t="str">
        <f>IFERROR(VLOOKUP(C2497,Stock,3,FALSE),"")</f>
        <v>Automotive Film Standard - Black 80%</v>
      </c>
      <c r="E2497" s="45">
        <v>1.0</v>
      </c>
      <c r="F2497" s="198">
        <v>400000.0</v>
      </c>
      <c r="G2497" s="142">
        <f t="shared" si="73"/>
        <v>400000</v>
      </c>
      <c r="H2497" s="143">
        <v>50000.0</v>
      </c>
      <c r="I2497" s="143">
        <f t="shared" si="71"/>
        <v>350000</v>
      </c>
      <c r="J2497" s="144">
        <f t="shared" si="70"/>
        <v>350000</v>
      </c>
      <c r="K2497" s="200"/>
      <c r="L2497" s="17"/>
      <c r="M2497" s="17"/>
      <c r="N2497" s="68"/>
      <c r="O2497" s="68"/>
      <c r="P2497" s="170"/>
      <c r="Q2497" s="149"/>
      <c r="R2497" s="149"/>
      <c r="S2497" s="149"/>
      <c r="T2497" s="149"/>
      <c r="U2497" s="149"/>
      <c r="V2497" s="149"/>
      <c r="W2497" s="149"/>
      <c r="X2497" s="64" t="s">
        <v>8388</v>
      </c>
      <c r="Y2497" s="68"/>
      <c r="Z2497" s="68"/>
    </row>
    <row r="2498" ht="15.0" customHeight="1">
      <c r="A2498" s="504">
        <v>46095.0</v>
      </c>
      <c r="B2498" s="505" t="s">
        <v>8824</v>
      </c>
      <c r="C2498" s="506" t="s">
        <v>2830</v>
      </c>
      <c r="D2498" s="507" t="str">
        <f>IFERROR(VLOOKUP(C2498,Stock,3,FALSE),"")</f>
        <v/>
      </c>
      <c r="E2498" s="506"/>
      <c r="F2498" s="508"/>
      <c r="G2498" s="509">
        <f t="shared" si="73"/>
        <v>0</v>
      </c>
      <c r="H2498" s="509"/>
      <c r="I2498" s="510">
        <f t="shared" si="71"/>
        <v>0</v>
      </c>
      <c r="J2498" s="511">
        <f t="shared" si="70"/>
        <v>0</v>
      </c>
      <c r="K2498" s="512" t="s">
        <v>8825</v>
      </c>
      <c r="L2498" s="513" t="s">
        <v>8826</v>
      </c>
      <c r="M2498" s="514"/>
      <c r="N2498" s="515"/>
      <c r="O2498" s="515"/>
      <c r="P2498" s="516"/>
      <c r="Q2498" s="517"/>
      <c r="R2498" s="517"/>
      <c r="S2498" s="517"/>
      <c r="T2498" s="517"/>
      <c r="U2498" s="517"/>
      <c r="V2498" s="517"/>
      <c r="W2498" s="517"/>
      <c r="X2498" s="518" t="s">
        <v>7976</v>
      </c>
      <c r="Y2498" s="515"/>
      <c r="Z2498" s="515"/>
    </row>
    <row r="2499" ht="15.0" customHeight="1">
      <c r="A2499" s="206">
        <v>46095.0</v>
      </c>
      <c r="B2499" s="201" t="s">
        <v>8827</v>
      </c>
      <c r="C2499" s="64" t="s">
        <v>7425</v>
      </c>
      <c r="D2499" s="448" t="str">
        <f>IFERROR(VLOOKUP(C2499,Stock,3,FALSE),"")</f>
        <v>Honda Jazz 01-07 1st Gen</v>
      </c>
      <c r="E2499" s="45">
        <v>1.0</v>
      </c>
      <c r="F2499" s="198">
        <v>1424000.0</v>
      </c>
      <c r="G2499" s="142">
        <f t="shared" si="73"/>
        <v>1424000</v>
      </c>
      <c r="H2499" s="142"/>
      <c r="I2499" s="143">
        <f t="shared" si="71"/>
        <v>1424000</v>
      </c>
      <c r="J2499" s="144">
        <f t="shared" si="70"/>
        <v>1424000</v>
      </c>
      <c r="K2499" s="108" t="s">
        <v>8828</v>
      </c>
      <c r="L2499" s="199" t="s">
        <v>8829</v>
      </c>
      <c r="M2499" s="17"/>
      <c r="N2499" s="64" t="s">
        <v>8830</v>
      </c>
      <c r="O2499" s="68"/>
      <c r="P2499" s="170"/>
      <c r="Q2499" s="149"/>
      <c r="R2499" s="149"/>
      <c r="S2499" s="149"/>
      <c r="T2499" s="141">
        <v>1424000.0</v>
      </c>
      <c r="U2499" s="149"/>
      <c r="V2499" s="149"/>
      <c r="W2499" s="149"/>
      <c r="X2499" s="64" t="s">
        <v>8388</v>
      </c>
      <c r="Y2499" s="68"/>
      <c r="Z2499" s="68"/>
    </row>
    <row r="2500" ht="15.0" customHeight="1">
      <c r="A2500" s="206">
        <v>46095.0</v>
      </c>
      <c r="B2500" s="201" t="s">
        <v>8831</v>
      </c>
      <c r="C2500" s="64" t="s">
        <v>6425</v>
      </c>
      <c r="D2500" s="448" t="str">
        <f>IFERROR(VLOOKUP(C2500,Stock,3,FALSE),"")</f>
        <v>Honda Jazz 13- 3rd Gen</v>
      </c>
      <c r="E2500" s="45">
        <v>1.0</v>
      </c>
      <c r="F2500" s="198">
        <v>1357000.0</v>
      </c>
      <c r="G2500" s="142">
        <f t="shared" si="73"/>
        <v>1357000</v>
      </c>
      <c r="H2500" s="142"/>
      <c r="I2500" s="143">
        <f t="shared" si="71"/>
        <v>1357000</v>
      </c>
      <c r="J2500" s="144">
        <f t="shared" si="70"/>
        <v>1357000</v>
      </c>
      <c r="K2500" s="64" t="s">
        <v>8832</v>
      </c>
      <c r="L2500" s="199" t="s">
        <v>8833</v>
      </c>
      <c r="M2500" s="17"/>
      <c r="N2500" s="64" t="s">
        <v>8834</v>
      </c>
      <c r="O2500" s="68"/>
      <c r="P2500" s="170"/>
      <c r="Q2500" s="149"/>
      <c r="R2500" s="149"/>
      <c r="S2500" s="141">
        <v>150000.0</v>
      </c>
      <c r="T2500" s="149"/>
      <c r="U2500" s="149"/>
      <c r="V2500" s="149"/>
      <c r="W2500" s="149"/>
      <c r="X2500" s="64" t="s">
        <v>8232</v>
      </c>
      <c r="Y2500" s="68"/>
      <c r="Z2500" s="68"/>
    </row>
    <row r="2501" ht="15.0" customHeight="1">
      <c r="A2501" s="206">
        <v>46095.0</v>
      </c>
      <c r="B2501" s="201" t="s">
        <v>8831</v>
      </c>
      <c r="C2501" s="201" t="s">
        <v>2962</v>
      </c>
      <c r="D2501" s="448" t="str">
        <f>IFERROR(VLOOKUP(C2501,Stock,3,FALSE),"")</f>
        <v>Lembur</v>
      </c>
      <c r="E2501" s="45">
        <v>1.0</v>
      </c>
      <c r="F2501" s="198">
        <v>150000.0</v>
      </c>
      <c r="G2501" s="142">
        <f t="shared" si="73"/>
        <v>150000</v>
      </c>
      <c r="H2501" s="142"/>
      <c r="I2501" s="143">
        <f t="shared" si="71"/>
        <v>150000</v>
      </c>
      <c r="J2501" s="144">
        <f t="shared" si="70"/>
        <v>150000</v>
      </c>
      <c r="K2501" s="200"/>
      <c r="L2501" s="17"/>
      <c r="M2501" s="17"/>
      <c r="N2501" s="68"/>
      <c r="O2501" s="68"/>
      <c r="P2501" s="170"/>
      <c r="Q2501" s="149"/>
      <c r="R2501" s="149"/>
      <c r="S2501" s="149"/>
      <c r="T2501" s="149"/>
      <c r="U2501" s="149"/>
      <c r="V2501" s="149"/>
      <c r="W2501" s="149"/>
      <c r="X2501" s="68"/>
      <c r="Y2501" s="68"/>
      <c r="Z2501" s="68"/>
    </row>
    <row r="2502" ht="15.0" customHeight="1">
      <c r="A2502" s="206">
        <v>46095.0</v>
      </c>
      <c r="B2502" s="398" t="s">
        <v>8835</v>
      </c>
      <c r="C2502" s="479" t="s">
        <v>8836</v>
      </c>
      <c r="D2502" s="498" t="str">
        <f>IFERROR(VLOOKUP(C2502,Stock,3,FALSE),"")</f>
        <v>Toyota Dyna/Hino Dutro 00-</v>
      </c>
      <c r="E2502" s="479">
        <v>1.0</v>
      </c>
      <c r="F2502" s="519">
        <v>550000.0</v>
      </c>
      <c r="G2502" s="520">
        <f t="shared" si="73"/>
        <v>550000</v>
      </c>
      <c r="H2502" s="520"/>
      <c r="I2502" s="521">
        <f t="shared" si="71"/>
        <v>550000</v>
      </c>
      <c r="J2502" s="522">
        <f t="shared" si="70"/>
        <v>550000</v>
      </c>
      <c r="K2502" s="521" t="s">
        <v>8837</v>
      </c>
      <c r="L2502" s="523" t="s">
        <v>8838</v>
      </c>
      <c r="M2502" s="17"/>
      <c r="N2502" s="68"/>
      <c r="O2502" s="68"/>
      <c r="P2502" s="170"/>
      <c r="Q2502" s="149"/>
      <c r="R2502" s="149"/>
      <c r="S2502" s="149"/>
      <c r="T2502" s="149"/>
      <c r="U2502" s="149"/>
      <c r="V2502" s="149"/>
      <c r="W2502" s="149"/>
      <c r="X2502" s="68"/>
      <c r="Y2502" s="68"/>
      <c r="Z2502" s="68"/>
    </row>
    <row r="2503" ht="15.0" customHeight="1">
      <c r="A2503" s="206">
        <v>46095.0</v>
      </c>
      <c r="B2503" s="201" t="s">
        <v>8835</v>
      </c>
      <c r="C2503" s="45" t="s">
        <v>2835</v>
      </c>
      <c r="D2503" s="448" t="str">
        <f>IFERROR(VLOOKUP(C2503,Stock,3,FALSE),"")</f>
        <v>Peti Kayu</v>
      </c>
      <c r="E2503" s="45">
        <v>1.0</v>
      </c>
      <c r="F2503" s="198">
        <v>120000.0</v>
      </c>
      <c r="G2503" s="142">
        <f t="shared" si="73"/>
        <v>120000</v>
      </c>
      <c r="H2503" s="142"/>
      <c r="I2503" s="143">
        <f t="shared" si="71"/>
        <v>120000</v>
      </c>
      <c r="J2503" s="144">
        <f t="shared" si="70"/>
        <v>120000</v>
      </c>
      <c r="K2503" s="200"/>
      <c r="L2503" s="17"/>
      <c r="M2503" s="17"/>
      <c r="N2503" s="68"/>
      <c r="O2503" s="68"/>
      <c r="P2503" s="170"/>
      <c r="Q2503" s="149"/>
      <c r="R2503" s="149"/>
      <c r="S2503" s="149"/>
      <c r="T2503" s="149"/>
      <c r="U2503" s="149"/>
      <c r="V2503" s="149"/>
      <c r="W2503" s="149"/>
      <c r="X2503" s="68"/>
      <c r="Y2503" s="68"/>
      <c r="Z2503" s="68"/>
    </row>
    <row r="2504" ht="15.0" customHeight="1">
      <c r="A2504" s="206">
        <v>46097.0</v>
      </c>
      <c r="B2504" s="398" t="s">
        <v>8839</v>
      </c>
      <c r="C2504" s="479" t="s">
        <v>8840</v>
      </c>
      <c r="D2504" s="498" t="str">
        <f>IFERROR(VLOOKUP(C2504,Stock,3,FALSE),"")</f>
        <v>Daihatsu Sirion 18- 3rd Gen (Daihatsu)</v>
      </c>
      <c r="E2504" s="479">
        <v>1.0</v>
      </c>
      <c r="F2504" s="519">
        <v>850000.0</v>
      </c>
      <c r="G2504" s="520">
        <f t="shared" si="73"/>
        <v>850000</v>
      </c>
      <c r="H2504" s="520"/>
      <c r="I2504" s="521">
        <f t="shared" si="71"/>
        <v>850000</v>
      </c>
      <c r="J2504" s="522">
        <f t="shared" si="70"/>
        <v>850000</v>
      </c>
      <c r="K2504" s="524"/>
      <c r="L2504" s="525"/>
      <c r="M2504" s="17"/>
      <c r="N2504" s="68"/>
      <c r="O2504" s="68"/>
      <c r="P2504" s="170"/>
      <c r="Q2504" s="149"/>
      <c r="R2504" s="149"/>
      <c r="S2504" s="149"/>
      <c r="T2504" s="149"/>
      <c r="U2504" s="149"/>
      <c r="V2504" s="149"/>
      <c r="W2504" s="149"/>
      <c r="X2504" s="68"/>
      <c r="Y2504" s="68"/>
      <c r="Z2504" s="68"/>
    </row>
    <row r="2505" ht="15.0" customHeight="1">
      <c r="A2505" s="206">
        <v>46097.0</v>
      </c>
      <c r="B2505" s="201" t="s">
        <v>8841</v>
      </c>
      <c r="C2505" s="45" t="s">
        <v>3246</v>
      </c>
      <c r="D2505" s="448" t="str">
        <f>IFERROR(VLOOKUP(C2505,Stock,3,FALSE),"")</f>
        <v>Toyota Calya / Sigra 16-</v>
      </c>
      <c r="E2505" s="45">
        <v>1.0</v>
      </c>
      <c r="F2505" s="198">
        <v>1150000.0</v>
      </c>
      <c r="G2505" s="142">
        <f t="shared" si="73"/>
        <v>1150000</v>
      </c>
      <c r="H2505" s="142"/>
      <c r="I2505" s="143">
        <f t="shared" si="71"/>
        <v>1150000</v>
      </c>
      <c r="J2505" s="144">
        <f t="shared" si="70"/>
        <v>1150000</v>
      </c>
      <c r="K2505" s="108" t="s">
        <v>8842</v>
      </c>
      <c r="L2505" s="199" t="s">
        <v>8843</v>
      </c>
      <c r="M2505" s="17"/>
      <c r="N2505" s="64" t="s">
        <v>8844</v>
      </c>
      <c r="O2505" s="68"/>
      <c r="P2505" s="170"/>
      <c r="Q2505" s="141">
        <v>1150000.0</v>
      </c>
      <c r="R2505" s="149"/>
      <c r="S2505" s="149"/>
      <c r="T2505" s="149"/>
      <c r="U2505" s="149"/>
      <c r="V2505" s="149"/>
      <c r="W2505" s="149"/>
      <c r="X2505" s="64" t="s">
        <v>7976</v>
      </c>
      <c r="Y2505" s="68"/>
      <c r="Z2505" s="68"/>
    </row>
    <row r="2506" ht="15.0" customHeight="1">
      <c r="A2506" s="206">
        <v>46097.0</v>
      </c>
      <c r="B2506" s="201" t="s">
        <v>8845</v>
      </c>
      <c r="C2506" s="64" t="s">
        <v>2968</v>
      </c>
      <c r="D2506" s="448" t="str">
        <f>IFERROR(VLOOKUP(C2506,Stock,3,FALSE),"")</f>
        <v>Toyota Rush / Terios 18-</v>
      </c>
      <c r="E2506" s="45">
        <v>1.0</v>
      </c>
      <c r="F2506" s="198">
        <v>1052000.0</v>
      </c>
      <c r="G2506" s="142">
        <f t="shared" si="73"/>
        <v>1052000</v>
      </c>
      <c r="H2506" s="142"/>
      <c r="I2506" s="143">
        <f t="shared" si="71"/>
        <v>1052000</v>
      </c>
      <c r="J2506" s="144">
        <f t="shared" si="70"/>
        <v>1052000</v>
      </c>
      <c r="K2506" s="64" t="s">
        <v>8846</v>
      </c>
      <c r="L2506" s="199" t="s">
        <v>8847</v>
      </c>
      <c r="M2506" s="17"/>
      <c r="N2506" s="68"/>
      <c r="O2506" s="68"/>
      <c r="P2506" s="170"/>
      <c r="Q2506" s="149"/>
      <c r="R2506" s="149"/>
      <c r="S2506" s="149"/>
      <c r="T2506" s="141">
        <v>1052000.0</v>
      </c>
      <c r="U2506" s="149"/>
      <c r="V2506" s="149"/>
      <c r="W2506" s="149"/>
      <c r="X2506" s="64" t="s">
        <v>8219</v>
      </c>
      <c r="Y2506" s="68"/>
      <c r="Z2506" s="68"/>
    </row>
    <row r="2507" ht="15.0" customHeight="1">
      <c r="A2507" s="206">
        <v>46097.0</v>
      </c>
      <c r="B2507" s="201" t="s">
        <v>8848</v>
      </c>
      <c r="C2507" s="45" t="s">
        <v>4292</v>
      </c>
      <c r="D2507" s="448" t="str">
        <f>IFERROR(VLOOKUP(C2507,Stock,3,FALSE),"")</f>
        <v>Honda BR-V 22- 2nd Gen / WRV 23- (Honda)</v>
      </c>
      <c r="E2507" s="45">
        <v>1.0</v>
      </c>
      <c r="F2507" s="198">
        <v>2800000.0</v>
      </c>
      <c r="G2507" s="142">
        <f t="shared" si="73"/>
        <v>2800000</v>
      </c>
      <c r="H2507" s="142"/>
      <c r="I2507" s="143">
        <f t="shared" si="71"/>
        <v>2800000</v>
      </c>
      <c r="J2507" s="144">
        <f t="shared" si="70"/>
        <v>2800000</v>
      </c>
      <c r="K2507" s="108" t="s">
        <v>8849</v>
      </c>
      <c r="L2507" s="199" t="s">
        <v>8850</v>
      </c>
      <c r="M2507" s="17"/>
      <c r="N2507" s="64" t="s">
        <v>8851</v>
      </c>
      <c r="O2507" s="68"/>
      <c r="P2507" s="170"/>
      <c r="Q2507" s="141">
        <v>2800000.0</v>
      </c>
      <c r="R2507" s="149"/>
      <c r="S2507" s="149"/>
      <c r="T2507" s="149"/>
      <c r="U2507" s="149"/>
      <c r="V2507" s="149"/>
      <c r="W2507" s="149"/>
      <c r="X2507" s="64" t="s">
        <v>8232</v>
      </c>
      <c r="Y2507" s="68"/>
      <c r="Z2507" s="68"/>
    </row>
    <row r="2508" ht="15.0" customHeight="1">
      <c r="A2508" s="206">
        <v>46097.0</v>
      </c>
      <c r="B2508" s="201" t="s">
        <v>8852</v>
      </c>
      <c r="C2508" s="45" t="s">
        <v>3634</v>
      </c>
      <c r="D2508" s="448" t="str">
        <f>IFERROR(VLOOKUP(C2508,Stock,3,FALSE),"")</f>
        <v>Toyota Agya/Ayla 13-22 1st Gen (Toyota/Daihatsu)</v>
      </c>
      <c r="E2508" s="45">
        <v>1.0</v>
      </c>
      <c r="F2508" s="198">
        <v>839000.0</v>
      </c>
      <c r="G2508" s="142">
        <f t="shared" si="73"/>
        <v>839000</v>
      </c>
      <c r="H2508" s="142"/>
      <c r="I2508" s="143">
        <f t="shared" si="71"/>
        <v>839000</v>
      </c>
      <c r="J2508" s="144">
        <f t="shared" si="70"/>
        <v>839000</v>
      </c>
      <c r="K2508" s="108" t="s">
        <v>8853</v>
      </c>
      <c r="L2508" s="199" t="s">
        <v>8854</v>
      </c>
      <c r="M2508" s="17"/>
      <c r="N2508" s="64" t="s">
        <v>8855</v>
      </c>
      <c r="O2508" s="68"/>
      <c r="P2508" s="170"/>
      <c r="Q2508" s="149"/>
      <c r="R2508" s="149"/>
      <c r="S2508" s="149"/>
      <c r="T2508" s="526" t="s">
        <v>8856</v>
      </c>
      <c r="U2508" s="149"/>
      <c r="V2508" s="149"/>
      <c r="W2508" s="149"/>
      <c r="X2508" s="64" t="s">
        <v>8219</v>
      </c>
      <c r="Y2508" s="68"/>
      <c r="Z2508" s="68"/>
    </row>
    <row r="2509" ht="15.0" customHeight="1">
      <c r="A2509" s="206">
        <v>46097.0</v>
      </c>
      <c r="B2509" s="201" t="s">
        <v>8852</v>
      </c>
      <c r="C2509" s="45" t="s">
        <v>5254</v>
      </c>
      <c r="D2509" s="448" t="str">
        <f>IFERROR(VLOOKUP(C2509,Stock,3,FALSE),"")</f>
        <v>Automotive Film Standard - Black 40%				</v>
      </c>
      <c r="E2509" s="45">
        <v>1.0</v>
      </c>
      <c r="F2509" s="198">
        <v>250000.0</v>
      </c>
      <c r="G2509" s="142">
        <f t="shared" si="73"/>
        <v>250000</v>
      </c>
      <c r="H2509" s="142"/>
      <c r="I2509" s="143">
        <f t="shared" si="71"/>
        <v>250000</v>
      </c>
      <c r="J2509" s="144">
        <f t="shared" si="70"/>
        <v>250000</v>
      </c>
      <c r="K2509" s="200"/>
      <c r="L2509" s="17"/>
      <c r="M2509" s="17"/>
      <c r="N2509" s="68"/>
      <c r="O2509" s="68"/>
      <c r="P2509" s="170"/>
      <c r="Q2509" s="149"/>
      <c r="R2509" s="149"/>
      <c r="S2509" s="149"/>
      <c r="T2509" s="527"/>
      <c r="U2509" s="149"/>
      <c r="V2509" s="149"/>
      <c r="W2509" s="149"/>
      <c r="X2509" s="64" t="s">
        <v>8219</v>
      </c>
      <c r="Y2509" s="68"/>
      <c r="Z2509" s="68"/>
    </row>
    <row r="2510" ht="15.0" customHeight="1">
      <c r="A2510" s="206">
        <v>46097.0</v>
      </c>
      <c r="B2510" s="201" t="s">
        <v>8857</v>
      </c>
      <c r="C2510" s="45" t="s">
        <v>4176</v>
      </c>
      <c r="D2510" s="448" t="str">
        <f>IFERROR(VLOOKUP(C2510,Stock,3,FALSE),"")</f>
        <v>Honda HR-V 22- 5D SUV (Honda)</v>
      </c>
      <c r="E2510" s="45">
        <v>1.0</v>
      </c>
      <c r="F2510" s="198">
        <v>3232000.0</v>
      </c>
      <c r="G2510" s="142">
        <f t="shared" si="73"/>
        <v>3232000</v>
      </c>
      <c r="H2510" s="142"/>
      <c r="I2510" s="143">
        <f t="shared" si="71"/>
        <v>3232000</v>
      </c>
      <c r="J2510" s="144">
        <f t="shared" si="70"/>
        <v>3232000</v>
      </c>
      <c r="K2510" s="108" t="s">
        <v>8858</v>
      </c>
      <c r="L2510" s="199" t="s">
        <v>8859</v>
      </c>
      <c r="M2510" s="17"/>
      <c r="N2510" s="64" t="s">
        <v>8860</v>
      </c>
      <c r="O2510" s="68"/>
      <c r="P2510" s="170"/>
      <c r="Q2510" s="141">
        <v>3232000.0</v>
      </c>
      <c r="R2510" s="149"/>
      <c r="S2510" s="149"/>
      <c r="T2510" s="526"/>
      <c r="U2510" s="149"/>
      <c r="V2510" s="149"/>
      <c r="W2510" s="149"/>
      <c r="X2510" s="64" t="s">
        <v>7976</v>
      </c>
      <c r="Y2510" s="68"/>
      <c r="Z2510" s="68"/>
    </row>
    <row r="2511" ht="15.0" customHeight="1">
      <c r="A2511" s="206">
        <v>46097.0</v>
      </c>
      <c r="B2511" s="201" t="s">
        <v>8857</v>
      </c>
      <c r="C2511" s="45" t="s">
        <v>2770</v>
      </c>
      <c r="D2511" s="448" t="str">
        <f>IFERROR(VLOOKUP(C2511,Stock,3,FALSE),"")</f>
        <v>Transport</v>
      </c>
      <c r="E2511" s="45">
        <v>1.0</v>
      </c>
      <c r="F2511" s="198">
        <v>100000.0</v>
      </c>
      <c r="G2511" s="142">
        <f t="shared" si="73"/>
        <v>100000</v>
      </c>
      <c r="H2511" s="142"/>
      <c r="I2511" s="143">
        <f t="shared" si="71"/>
        <v>100000</v>
      </c>
      <c r="J2511" s="144">
        <f t="shared" si="70"/>
        <v>100000</v>
      </c>
      <c r="K2511" s="200"/>
      <c r="L2511" s="45"/>
      <c r="M2511" s="17"/>
      <c r="N2511" s="68"/>
      <c r="O2511" s="68"/>
      <c r="P2511" s="170"/>
      <c r="Q2511" s="149"/>
      <c r="R2511" s="149"/>
      <c r="S2511" s="149"/>
      <c r="T2511" s="527"/>
      <c r="U2511" s="149"/>
      <c r="V2511" s="149"/>
      <c r="W2511" s="149"/>
      <c r="X2511" s="64" t="s">
        <v>7976</v>
      </c>
      <c r="Y2511" s="68"/>
      <c r="Z2511" s="68"/>
    </row>
    <row r="2512" ht="15.0" customHeight="1">
      <c r="A2512" s="206">
        <v>46097.0</v>
      </c>
      <c r="B2512" s="201" t="s">
        <v>8861</v>
      </c>
      <c r="C2512" s="45" t="s">
        <v>2003</v>
      </c>
      <c r="D2512" s="448" t="str">
        <f>IFERROR(VLOOKUP(C2512,Stock,3,FALSE),"")</f>
        <v>Toyota Agya/Ayla 13-22 1st Gen</v>
      </c>
      <c r="E2512" s="45">
        <v>1.0</v>
      </c>
      <c r="F2512" s="198">
        <v>950000.0</v>
      </c>
      <c r="G2512" s="142">
        <f t="shared" si="73"/>
        <v>950000</v>
      </c>
      <c r="H2512" s="143">
        <v>25000.0</v>
      </c>
      <c r="I2512" s="143">
        <f t="shared" si="71"/>
        <v>925000</v>
      </c>
      <c r="J2512" s="144">
        <f t="shared" si="70"/>
        <v>925000</v>
      </c>
      <c r="K2512" s="108" t="s">
        <v>5854</v>
      </c>
      <c r="L2512" s="45" t="s">
        <v>8862</v>
      </c>
      <c r="M2512" s="17"/>
      <c r="N2512" s="64" t="s">
        <v>8863</v>
      </c>
      <c r="O2512" s="68"/>
      <c r="P2512" s="170"/>
      <c r="Q2512" s="149"/>
      <c r="R2512" s="149"/>
      <c r="S2512" s="149"/>
      <c r="T2512" s="526">
        <v>925000.0</v>
      </c>
      <c r="U2512" s="149"/>
      <c r="V2512" s="149"/>
      <c r="W2512" s="149"/>
      <c r="X2512" s="64" t="s">
        <v>7976</v>
      </c>
      <c r="Y2512" s="68"/>
      <c r="Z2512" s="68"/>
    </row>
    <row r="2513" ht="15.0" customHeight="1">
      <c r="A2513" s="206">
        <v>46097.0</v>
      </c>
      <c r="B2513" s="201" t="s">
        <v>8864</v>
      </c>
      <c r="C2513" s="45" t="s">
        <v>5970</v>
      </c>
      <c r="D2513" s="448" t="str">
        <f>IFERROR(VLOOKUP(C2513,Stock,3,FALSE),"")</f>
        <v>Honda CR-V 12-16 4th Gen</v>
      </c>
      <c r="E2513" s="45">
        <v>1.0</v>
      </c>
      <c r="F2513" s="198">
        <v>1752000.0</v>
      </c>
      <c r="G2513" s="142">
        <f t="shared" si="73"/>
        <v>1752000</v>
      </c>
      <c r="H2513" s="142"/>
      <c r="I2513" s="143">
        <f t="shared" si="71"/>
        <v>1752000</v>
      </c>
      <c r="J2513" s="144">
        <f t="shared" si="70"/>
        <v>1752000</v>
      </c>
      <c r="K2513" s="200"/>
      <c r="L2513" s="17"/>
      <c r="M2513" s="17"/>
      <c r="N2513" s="68"/>
      <c r="O2513" s="68"/>
      <c r="P2513" s="170"/>
      <c r="Q2513" s="141">
        <v>1752000.0</v>
      </c>
      <c r="R2513" s="149"/>
      <c r="S2513" s="149"/>
      <c r="T2513" s="527"/>
      <c r="U2513" s="149"/>
      <c r="V2513" s="149"/>
      <c r="W2513" s="149"/>
      <c r="X2513" s="64" t="s">
        <v>8219</v>
      </c>
      <c r="Y2513" s="68"/>
      <c r="Z2513" s="68"/>
    </row>
    <row r="2514" ht="15.0" customHeight="1">
      <c r="A2514" s="265">
        <v>46097.0</v>
      </c>
      <c r="B2514" s="266" t="s">
        <v>8865</v>
      </c>
      <c r="C2514" s="269" t="s">
        <v>8866</v>
      </c>
      <c r="D2514" s="268" t="str">
        <f>IFERROR(VLOOKUP(C2514,Stock,3,FALSE),"")</f>
        <v>Toyota Alphard 02-08 ANH10 1st Gen (Hitam)</v>
      </c>
      <c r="E2514" s="269">
        <v>2.0</v>
      </c>
      <c r="F2514" s="270"/>
      <c r="G2514" s="271">
        <f t="shared" si="73"/>
        <v>0</v>
      </c>
      <c r="H2514" s="271"/>
      <c r="I2514" s="272">
        <f t="shared" si="71"/>
        <v>0</v>
      </c>
      <c r="J2514" s="273">
        <f t="shared" si="70"/>
        <v>0</v>
      </c>
      <c r="K2514" s="267" t="s">
        <v>8867</v>
      </c>
      <c r="L2514" s="274"/>
      <c r="M2514" s="274"/>
      <c r="N2514" s="275"/>
      <c r="O2514" s="275"/>
      <c r="P2514" s="276"/>
      <c r="Q2514" s="277"/>
      <c r="R2514" s="277"/>
      <c r="S2514" s="277"/>
      <c r="T2514" s="277"/>
      <c r="U2514" s="277"/>
      <c r="V2514" s="277"/>
      <c r="W2514" s="277"/>
      <c r="X2514" s="275"/>
      <c r="Y2514" s="68"/>
      <c r="Z2514" s="68"/>
    </row>
    <row r="2515" ht="15.0" customHeight="1">
      <c r="A2515" s="265">
        <v>46097.0</v>
      </c>
      <c r="B2515" s="266" t="s">
        <v>8865</v>
      </c>
      <c r="C2515" s="269" t="s">
        <v>7318</v>
      </c>
      <c r="D2515" s="268" t="str">
        <f>IFERROR(VLOOKUP(C2515,Stock,3,FALSE),"")</f>
        <v>Toyota Avanza / Xenia 15-21 3rd Gen</v>
      </c>
      <c r="E2515" s="269">
        <v>2.0</v>
      </c>
      <c r="F2515" s="270"/>
      <c r="G2515" s="271">
        <f t="shared" si="73"/>
        <v>0</v>
      </c>
      <c r="H2515" s="271"/>
      <c r="I2515" s="272">
        <f t="shared" si="71"/>
        <v>0</v>
      </c>
      <c r="J2515" s="273">
        <f t="shared" si="70"/>
        <v>0</v>
      </c>
      <c r="K2515" s="267" t="s">
        <v>8867</v>
      </c>
      <c r="L2515" s="274"/>
      <c r="M2515" s="274"/>
      <c r="N2515" s="275"/>
      <c r="O2515" s="275"/>
      <c r="P2515" s="276"/>
      <c r="Q2515" s="277"/>
      <c r="R2515" s="277"/>
      <c r="S2515" s="277"/>
      <c r="T2515" s="277"/>
      <c r="U2515" s="277"/>
      <c r="V2515" s="277"/>
      <c r="W2515" s="277"/>
      <c r="X2515" s="275"/>
      <c r="Y2515" s="68"/>
      <c r="Z2515" s="68"/>
    </row>
    <row r="2516" ht="15.0" customHeight="1">
      <c r="A2516" s="265">
        <v>46097.0</v>
      </c>
      <c r="B2516" s="266" t="s">
        <v>8865</v>
      </c>
      <c r="C2516" s="269" t="s">
        <v>2003</v>
      </c>
      <c r="D2516" s="268" t="str">
        <f>IFERROR(VLOOKUP(C2516,Stock,3,FALSE),"")</f>
        <v>Toyota Agya/Ayla 13-22 1st Gen</v>
      </c>
      <c r="E2516" s="269">
        <v>1.0</v>
      </c>
      <c r="F2516" s="270"/>
      <c r="G2516" s="271">
        <f t="shared" si="73"/>
        <v>0</v>
      </c>
      <c r="H2516" s="271"/>
      <c r="I2516" s="272">
        <f t="shared" si="71"/>
        <v>0</v>
      </c>
      <c r="J2516" s="273">
        <f t="shared" si="70"/>
        <v>0</v>
      </c>
      <c r="K2516" s="267" t="s">
        <v>8867</v>
      </c>
      <c r="L2516" s="274"/>
      <c r="M2516" s="274"/>
      <c r="N2516" s="275"/>
      <c r="O2516" s="275"/>
      <c r="P2516" s="276"/>
      <c r="Q2516" s="277"/>
      <c r="R2516" s="277"/>
      <c r="S2516" s="277"/>
      <c r="T2516" s="277"/>
      <c r="U2516" s="277"/>
      <c r="V2516" s="277"/>
      <c r="W2516" s="277"/>
      <c r="X2516" s="275"/>
      <c r="Y2516" s="68"/>
      <c r="Z2516" s="68"/>
    </row>
    <row r="2517" ht="15.0" customHeight="1">
      <c r="A2517" s="265">
        <v>46097.0</v>
      </c>
      <c r="B2517" s="266" t="s">
        <v>8865</v>
      </c>
      <c r="C2517" s="269" t="s">
        <v>3246</v>
      </c>
      <c r="D2517" s="268" t="str">
        <f>IFERROR(VLOOKUP(C2517,Stock,3,FALSE),"")</f>
        <v>Toyota Calya / Sigra 16-</v>
      </c>
      <c r="E2517" s="269">
        <v>1.0</v>
      </c>
      <c r="F2517" s="270"/>
      <c r="G2517" s="271">
        <f t="shared" si="73"/>
        <v>0</v>
      </c>
      <c r="H2517" s="271"/>
      <c r="I2517" s="272">
        <f t="shared" si="71"/>
        <v>0</v>
      </c>
      <c r="J2517" s="273">
        <f t="shared" si="70"/>
        <v>0</v>
      </c>
      <c r="K2517" s="267" t="s">
        <v>8867</v>
      </c>
      <c r="L2517" s="274"/>
      <c r="M2517" s="274"/>
      <c r="N2517" s="275"/>
      <c r="O2517" s="275"/>
      <c r="P2517" s="276"/>
      <c r="Q2517" s="277"/>
      <c r="R2517" s="277"/>
      <c r="S2517" s="277"/>
      <c r="T2517" s="277"/>
      <c r="U2517" s="277"/>
      <c r="V2517" s="277"/>
      <c r="W2517" s="277"/>
      <c r="X2517" s="275"/>
      <c r="Y2517" s="68"/>
      <c r="Z2517" s="68"/>
    </row>
    <row r="2518" ht="15.0" customHeight="1">
      <c r="A2518" s="265">
        <v>46097.0</v>
      </c>
      <c r="B2518" s="266" t="s">
        <v>8865</v>
      </c>
      <c r="C2518" s="269" t="s">
        <v>3029</v>
      </c>
      <c r="D2518" s="268" t="str">
        <f>IFERROR(VLOOKUP(C2518,Stock,3,FALSE),"")</f>
        <v>Mitsubishi Canter FE700 01- (PS110,125)</v>
      </c>
      <c r="E2518" s="269">
        <v>1.0</v>
      </c>
      <c r="F2518" s="270"/>
      <c r="G2518" s="271">
        <f t="shared" si="73"/>
        <v>0</v>
      </c>
      <c r="H2518" s="271"/>
      <c r="I2518" s="272">
        <f t="shared" si="71"/>
        <v>0</v>
      </c>
      <c r="J2518" s="273">
        <f t="shared" si="70"/>
        <v>0</v>
      </c>
      <c r="K2518" s="267" t="s">
        <v>8867</v>
      </c>
      <c r="L2518" s="274"/>
      <c r="M2518" s="274"/>
      <c r="N2518" s="275"/>
      <c r="O2518" s="275"/>
      <c r="P2518" s="276"/>
      <c r="Q2518" s="277"/>
      <c r="R2518" s="277"/>
      <c r="S2518" s="277"/>
      <c r="T2518" s="277"/>
      <c r="U2518" s="277"/>
      <c r="V2518" s="277"/>
      <c r="W2518" s="277"/>
      <c r="X2518" s="275"/>
      <c r="Y2518" s="68"/>
      <c r="Z2518" s="68"/>
    </row>
    <row r="2519" ht="15.0" customHeight="1">
      <c r="A2519" s="265">
        <v>46097.0</v>
      </c>
      <c r="B2519" s="266" t="s">
        <v>8865</v>
      </c>
      <c r="C2519" s="269" t="s">
        <v>3475</v>
      </c>
      <c r="D2519" s="268" t="str">
        <f>IFERROR(VLOOKUP(C2519,Stock,3,FALSE),"")</f>
        <v>Toyota Avanza / Xenia 03-11 1st Gen</v>
      </c>
      <c r="E2519" s="269">
        <v>2.0</v>
      </c>
      <c r="F2519" s="270"/>
      <c r="G2519" s="271">
        <f t="shared" si="73"/>
        <v>0</v>
      </c>
      <c r="H2519" s="271"/>
      <c r="I2519" s="272">
        <f t="shared" si="71"/>
        <v>0</v>
      </c>
      <c r="J2519" s="273">
        <f t="shared" si="70"/>
        <v>0</v>
      </c>
      <c r="K2519" s="267" t="s">
        <v>8867</v>
      </c>
      <c r="L2519" s="274"/>
      <c r="M2519" s="274"/>
      <c r="N2519" s="275"/>
      <c r="O2519" s="275"/>
      <c r="P2519" s="276"/>
      <c r="Q2519" s="277"/>
      <c r="R2519" s="277"/>
      <c r="S2519" s="277"/>
      <c r="T2519" s="277"/>
      <c r="U2519" s="277"/>
      <c r="V2519" s="277"/>
      <c r="W2519" s="277"/>
      <c r="X2519" s="275"/>
      <c r="Y2519" s="68"/>
      <c r="Z2519" s="68"/>
    </row>
    <row r="2520" ht="15.0" customHeight="1">
      <c r="A2520" s="265">
        <v>46097.0</v>
      </c>
      <c r="B2520" s="266" t="s">
        <v>8865</v>
      </c>
      <c r="C2520" s="269" t="s">
        <v>5473</v>
      </c>
      <c r="D2520" s="268" t="str">
        <f>IFERROR(VLOOKUP(C2520,Stock,3,FALSE),"")</f>
        <v>Honda HR-V 14-21 5D SUV (Honda)</v>
      </c>
      <c r="E2520" s="269">
        <v>1.0</v>
      </c>
      <c r="F2520" s="270"/>
      <c r="G2520" s="271">
        <f t="shared" si="73"/>
        <v>0</v>
      </c>
      <c r="H2520" s="271"/>
      <c r="I2520" s="272">
        <f t="shared" si="71"/>
        <v>0</v>
      </c>
      <c r="J2520" s="273">
        <f t="shared" si="70"/>
        <v>0</v>
      </c>
      <c r="K2520" s="267" t="s">
        <v>8867</v>
      </c>
      <c r="L2520" s="274"/>
      <c r="M2520" s="274"/>
      <c r="N2520" s="275"/>
      <c r="O2520" s="275"/>
      <c r="P2520" s="276"/>
      <c r="Q2520" s="277"/>
      <c r="R2520" s="277"/>
      <c r="S2520" s="277"/>
      <c r="T2520" s="277"/>
      <c r="U2520" s="277"/>
      <c r="V2520" s="277"/>
      <c r="W2520" s="277"/>
      <c r="X2520" s="275"/>
      <c r="Y2520" s="68"/>
      <c r="Z2520" s="68"/>
    </row>
    <row r="2521" ht="15.0" customHeight="1">
      <c r="A2521" s="206">
        <v>46097.0</v>
      </c>
      <c r="B2521" s="201" t="s">
        <v>8868</v>
      </c>
      <c r="C2521" s="45" t="s">
        <v>3246</v>
      </c>
      <c r="D2521" s="448" t="str">
        <f>IFERROR(VLOOKUP(C2521,Stock,3,FALSE),"")</f>
        <v>Toyota Calya / Sigra 16-</v>
      </c>
      <c r="E2521" s="447">
        <v>1.0</v>
      </c>
      <c r="F2521" s="198">
        <v>1119000.0</v>
      </c>
      <c r="G2521" s="142">
        <f t="shared" si="73"/>
        <v>1119000</v>
      </c>
      <c r="H2521" s="142"/>
      <c r="I2521" s="143">
        <f t="shared" si="71"/>
        <v>1119000</v>
      </c>
      <c r="J2521" s="144">
        <f t="shared" si="70"/>
        <v>1119000</v>
      </c>
      <c r="K2521" s="108" t="s">
        <v>8869</v>
      </c>
      <c r="L2521" s="199" t="s">
        <v>8870</v>
      </c>
      <c r="M2521" s="17"/>
      <c r="N2521" s="64" t="s">
        <v>8871</v>
      </c>
      <c r="O2521" s="68"/>
      <c r="P2521" s="170"/>
      <c r="Q2521" s="149"/>
      <c r="R2521" s="149"/>
      <c r="S2521" s="149"/>
      <c r="T2521" s="141">
        <v>1119000.0</v>
      </c>
      <c r="U2521" s="149"/>
      <c r="V2521" s="149"/>
      <c r="W2521" s="149"/>
      <c r="X2521" s="64" t="s">
        <v>7976</v>
      </c>
      <c r="Y2521" s="68"/>
      <c r="Z2521" s="68"/>
    </row>
    <row r="2522" ht="15.0" customHeight="1">
      <c r="A2522" s="206">
        <v>46097.0</v>
      </c>
      <c r="B2522" s="201" t="s">
        <v>8872</v>
      </c>
      <c r="C2522" s="45" t="s">
        <v>3234</v>
      </c>
      <c r="D2522" s="448" t="str">
        <f>IFERROR(VLOOKUP(C2522,Stock,3,FALSE),"")</f>
        <v>Toyota Avanza / Xenia 21- 4th Gen (Non sensor)</v>
      </c>
      <c r="E2522" s="447">
        <v>1.0</v>
      </c>
      <c r="F2522" s="198">
        <v>1390000.0</v>
      </c>
      <c r="G2522" s="142">
        <f t="shared" si="73"/>
        <v>1390000</v>
      </c>
      <c r="H2522" s="142"/>
      <c r="I2522" s="143">
        <f t="shared" si="71"/>
        <v>1390000</v>
      </c>
      <c r="J2522" s="144">
        <f t="shared" si="70"/>
        <v>1390000</v>
      </c>
      <c r="K2522" s="108" t="s">
        <v>8873</v>
      </c>
      <c r="L2522" s="199" t="s">
        <v>8874</v>
      </c>
      <c r="M2522" s="17"/>
      <c r="N2522" s="64" t="s">
        <v>8875</v>
      </c>
      <c r="O2522" s="68"/>
      <c r="P2522" s="170"/>
      <c r="Q2522" s="149"/>
      <c r="R2522" s="149"/>
      <c r="S2522" s="149"/>
      <c r="T2522" s="141">
        <v>1390000.0</v>
      </c>
      <c r="U2522" s="149"/>
      <c r="V2522" s="149"/>
      <c r="W2522" s="149"/>
      <c r="X2522" s="64" t="s">
        <v>7976</v>
      </c>
      <c r="Y2522" s="68"/>
      <c r="Z2522" s="68"/>
    </row>
    <row r="2523" ht="15.0" customHeight="1">
      <c r="A2523" s="206">
        <v>46097.0</v>
      </c>
      <c r="B2523" s="201" t="s">
        <v>8876</v>
      </c>
      <c r="C2523" s="64" t="s">
        <v>7161</v>
      </c>
      <c r="D2523" s="448" t="str">
        <f>IFERROR(VLOOKUP(C2523,Stock,3,FALSE),"")</f>
        <v>Honda Brio 10- / Mobilio 11-</v>
      </c>
      <c r="E2523" s="45">
        <v>1.0</v>
      </c>
      <c r="F2523" s="198">
        <v>1250000.0</v>
      </c>
      <c r="G2523" s="142">
        <f t="shared" si="73"/>
        <v>1250000</v>
      </c>
      <c r="H2523" s="142"/>
      <c r="I2523" s="143">
        <f t="shared" si="71"/>
        <v>1250000</v>
      </c>
      <c r="J2523" s="144">
        <f t="shared" si="70"/>
        <v>1250000</v>
      </c>
      <c r="K2523" s="108" t="s">
        <v>8877</v>
      </c>
      <c r="L2523" s="199" t="s">
        <v>8878</v>
      </c>
      <c r="M2523" s="17"/>
      <c r="N2523" s="64" t="s">
        <v>8879</v>
      </c>
      <c r="O2523" s="68"/>
      <c r="P2523" s="170"/>
      <c r="Q2523" s="149"/>
      <c r="R2523" s="149"/>
      <c r="S2523" s="141">
        <v>100000.0</v>
      </c>
      <c r="T2523" s="141">
        <v>1350000.0</v>
      </c>
      <c r="U2523" s="149"/>
      <c r="V2523" s="149"/>
      <c r="W2523" s="149"/>
      <c r="X2523" s="64" t="s">
        <v>8219</v>
      </c>
      <c r="Y2523" s="68"/>
      <c r="Z2523" s="68"/>
    </row>
    <row r="2524" ht="15.0" customHeight="1">
      <c r="A2524" s="206">
        <v>46097.0</v>
      </c>
      <c r="B2524" s="201" t="s">
        <v>8876</v>
      </c>
      <c r="C2524" s="45" t="s">
        <v>2770</v>
      </c>
      <c r="D2524" s="448" t="str">
        <f>IFERROR(VLOOKUP(C2524,Stock,3,FALSE),"")</f>
        <v>Transport</v>
      </c>
      <c r="E2524" s="45">
        <v>1.0</v>
      </c>
      <c r="F2524" s="198">
        <v>200000.0</v>
      </c>
      <c r="G2524" s="142">
        <f t="shared" si="73"/>
        <v>200000</v>
      </c>
      <c r="H2524" s="142"/>
      <c r="I2524" s="143">
        <f t="shared" si="71"/>
        <v>200000</v>
      </c>
      <c r="J2524" s="144">
        <f t="shared" si="70"/>
        <v>200000</v>
      </c>
      <c r="K2524" s="200"/>
      <c r="L2524" s="17"/>
      <c r="M2524" s="17"/>
      <c r="N2524" s="68"/>
      <c r="O2524" s="68"/>
      <c r="P2524" s="170"/>
      <c r="Q2524" s="149"/>
      <c r="R2524" s="149"/>
      <c r="S2524" s="149"/>
      <c r="T2524" s="149"/>
      <c r="U2524" s="149"/>
      <c r="V2524" s="149"/>
      <c r="W2524" s="149"/>
      <c r="X2524" s="64" t="s">
        <v>8219</v>
      </c>
      <c r="Y2524" s="68"/>
      <c r="Z2524" s="68"/>
    </row>
    <row r="2525" ht="15.0" customHeight="1">
      <c r="A2525" s="206">
        <v>46097.0</v>
      </c>
      <c r="B2525" s="201" t="s">
        <v>8880</v>
      </c>
      <c r="C2525" s="45" t="s">
        <v>8881</v>
      </c>
      <c r="D2525" s="448" t="str">
        <f>IFERROR(VLOOKUP(C2525,Stock,3,FALSE),"")</f>
        <v>Nissan Datsun Go/Go+ 14- (5-Seater)</v>
      </c>
      <c r="E2525" s="45">
        <v>1.0</v>
      </c>
      <c r="F2525" s="198">
        <v>1100000.0</v>
      </c>
      <c r="G2525" s="142">
        <f t="shared" si="73"/>
        <v>1100000</v>
      </c>
      <c r="H2525" s="142"/>
      <c r="I2525" s="143">
        <f t="shared" si="71"/>
        <v>1100000</v>
      </c>
      <c r="J2525" s="144">
        <f t="shared" si="70"/>
        <v>1100000</v>
      </c>
      <c r="K2525" s="108" t="s">
        <v>8882</v>
      </c>
      <c r="L2525" s="17"/>
      <c r="M2525" s="17"/>
      <c r="N2525" s="64" t="s">
        <v>8883</v>
      </c>
      <c r="O2525" s="68"/>
      <c r="P2525" s="170"/>
      <c r="Q2525" s="141">
        <v>1100000.0</v>
      </c>
      <c r="R2525" s="149"/>
      <c r="S2525" s="149"/>
      <c r="T2525" s="149"/>
      <c r="U2525" s="149"/>
      <c r="V2525" s="149"/>
      <c r="W2525" s="149"/>
      <c r="X2525" s="68"/>
      <c r="Y2525" s="68"/>
      <c r="Z2525" s="68"/>
    </row>
    <row r="2526" ht="15.0" customHeight="1">
      <c r="A2526" s="206">
        <v>46098.0</v>
      </c>
      <c r="B2526" s="201" t="s">
        <v>8884</v>
      </c>
      <c r="C2526" s="45" t="s">
        <v>5675</v>
      </c>
      <c r="D2526" s="448" t="str">
        <f>IFERROR(VLOOKUP(C2526,Stock,3,FALSE),"")</f>
        <v>Mers-Benz E-Class 09-16 W212 (2 Sensor/ □Δ) Trapes</v>
      </c>
      <c r="E2526" s="45">
        <v>1.0</v>
      </c>
      <c r="F2526" s="198">
        <v>4232000.0</v>
      </c>
      <c r="G2526" s="142">
        <f t="shared" si="73"/>
        <v>4232000</v>
      </c>
      <c r="H2526" s="143">
        <v>32000.0</v>
      </c>
      <c r="I2526" s="143">
        <f t="shared" si="71"/>
        <v>4200000</v>
      </c>
      <c r="J2526" s="144">
        <f t="shared" si="70"/>
        <v>4200000</v>
      </c>
      <c r="K2526" s="108" t="s">
        <v>8885</v>
      </c>
      <c r="L2526" s="199" t="s">
        <v>8886</v>
      </c>
      <c r="M2526" s="17"/>
      <c r="N2526" s="68"/>
      <c r="O2526" s="68"/>
      <c r="P2526" s="170"/>
      <c r="Q2526" s="141">
        <v>2200000.0</v>
      </c>
      <c r="R2526" s="149"/>
      <c r="S2526" s="149"/>
      <c r="T2526" s="149"/>
      <c r="U2526" s="149"/>
      <c r="V2526" s="149"/>
      <c r="W2526" s="149"/>
      <c r="X2526" s="68"/>
      <c r="Y2526" s="68"/>
      <c r="Z2526" s="68"/>
    </row>
    <row r="2527" ht="15.0" customHeight="1">
      <c r="A2527" s="206">
        <v>46098.0</v>
      </c>
      <c r="B2527" s="201" t="s">
        <v>8887</v>
      </c>
      <c r="C2527" s="45" t="s">
        <v>3790</v>
      </c>
      <c r="D2527" s="448" t="str">
        <f>IFERROR(VLOOKUP(C2527,Stock,3,FALSE),"")</f>
        <v>Nissan Serena 99-10 MKII C24</v>
      </c>
      <c r="E2527" s="45">
        <v>1.0</v>
      </c>
      <c r="F2527" s="198">
        <v>1988000.0</v>
      </c>
      <c r="G2527" s="142">
        <f t="shared" si="73"/>
        <v>1988000</v>
      </c>
      <c r="H2527" s="142"/>
      <c r="I2527" s="143">
        <f t="shared" si="71"/>
        <v>1988000</v>
      </c>
      <c r="J2527" s="144">
        <f t="shared" si="70"/>
        <v>1988000</v>
      </c>
      <c r="K2527" s="108" t="s">
        <v>8888</v>
      </c>
      <c r="L2527" s="199" t="s">
        <v>8889</v>
      </c>
      <c r="M2527" s="17"/>
      <c r="N2527" s="64" t="s">
        <v>8890</v>
      </c>
      <c r="O2527" s="68"/>
      <c r="P2527" s="170"/>
      <c r="Q2527" s="149"/>
      <c r="R2527" s="149"/>
      <c r="S2527" s="141"/>
      <c r="T2527" s="141">
        <v>1988000.0</v>
      </c>
      <c r="U2527" s="149"/>
      <c r="V2527" s="149"/>
      <c r="W2527" s="149"/>
      <c r="X2527" s="64" t="s">
        <v>7976</v>
      </c>
      <c r="Y2527" s="68"/>
      <c r="Z2527" s="68"/>
    </row>
    <row r="2528" ht="15.0" customHeight="1">
      <c r="A2528" s="206">
        <v>46098.0</v>
      </c>
      <c r="B2528" s="201" t="s">
        <v>8891</v>
      </c>
      <c r="C2528" s="64" t="s">
        <v>4473</v>
      </c>
      <c r="D2528" s="448" t="str">
        <f>IFERROR(VLOOKUP(C2528,Stock,3,FALSE),"")</f>
        <v>Mitsubishi Xpander 17- / Livina 19- 2nd Gen (Mitsubishi)</v>
      </c>
      <c r="E2528" s="45">
        <v>1.0</v>
      </c>
      <c r="F2528" s="198">
        <v>2788000.0</v>
      </c>
      <c r="G2528" s="142">
        <f t="shared" si="73"/>
        <v>2788000</v>
      </c>
      <c r="H2528" s="142"/>
      <c r="I2528" s="143">
        <f t="shared" si="71"/>
        <v>2788000</v>
      </c>
      <c r="J2528" s="144">
        <f t="shared" si="70"/>
        <v>2788000</v>
      </c>
      <c r="K2528" s="64" t="s">
        <v>8892</v>
      </c>
      <c r="L2528" s="199" t="s">
        <v>8893</v>
      </c>
      <c r="M2528" s="17"/>
      <c r="N2528" s="64" t="s">
        <v>8894</v>
      </c>
      <c r="O2528" s="68"/>
      <c r="P2528" s="170"/>
      <c r="Q2528" s="149"/>
      <c r="R2528" s="149"/>
      <c r="S2528" s="141">
        <v>2788000.0</v>
      </c>
      <c r="T2528" s="149"/>
      <c r="U2528" s="149"/>
      <c r="V2528" s="149"/>
      <c r="W2528" s="149"/>
      <c r="X2528" s="64" t="s">
        <v>8219</v>
      </c>
      <c r="Y2528" s="68"/>
      <c r="Z2528" s="68"/>
    </row>
    <row r="2529" ht="15.0" customHeight="1">
      <c r="A2529" s="230">
        <v>46098.0</v>
      </c>
      <c r="B2529" s="231" t="s">
        <v>8895</v>
      </c>
      <c r="C2529" s="232" t="s">
        <v>8314</v>
      </c>
      <c r="D2529" s="233" t="str">
        <f>IFERROR(VLOOKUP(C2529,Stock,3,FALSE),"")</f>
        <v>Subaru Crosstrek 23- (4 Sensor / /\ /\ [] /\ )</v>
      </c>
      <c r="E2529" s="232"/>
      <c r="F2529" s="234">
        <v>7849000.0</v>
      </c>
      <c r="G2529" s="142">
        <f t="shared" si="73"/>
        <v>0</v>
      </c>
      <c r="H2529" s="235"/>
      <c r="I2529" s="236">
        <f t="shared" si="71"/>
        <v>0</v>
      </c>
      <c r="J2529" s="237">
        <f t="shared" si="70"/>
        <v>0</v>
      </c>
      <c r="K2529" s="238" t="s">
        <v>8896</v>
      </c>
      <c r="L2529" s="239" t="s">
        <v>8897</v>
      </c>
      <c r="M2529" s="240"/>
      <c r="N2529" s="175"/>
      <c r="O2529" s="175"/>
      <c r="P2529" s="242"/>
      <c r="Q2529" s="243"/>
      <c r="R2529" s="243"/>
      <c r="S2529" s="244">
        <v>4322000.0</v>
      </c>
      <c r="T2529" s="243"/>
      <c r="U2529" s="243"/>
      <c r="V2529" s="243"/>
      <c r="W2529" s="243"/>
      <c r="X2529" s="175"/>
      <c r="Y2529" s="175"/>
      <c r="Z2529" s="175"/>
    </row>
    <row r="2530" ht="15.0" customHeight="1">
      <c r="A2530" s="230">
        <v>46098.0</v>
      </c>
      <c r="B2530" s="231" t="s">
        <v>8895</v>
      </c>
      <c r="C2530" s="231" t="s">
        <v>8898</v>
      </c>
      <c r="D2530" s="233" t="str">
        <f>IFERROR(VLOOKUP(C2530,Stock,3,FALSE),"")</f>
        <v>Moulding List Subaru Crosstrek 23- (Windshield)</v>
      </c>
      <c r="E2530" s="232"/>
      <c r="F2530" s="234">
        <v>795000.0</v>
      </c>
      <c r="G2530" s="142">
        <f t="shared" si="73"/>
        <v>0</v>
      </c>
      <c r="H2530" s="235"/>
      <c r="I2530" s="236">
        <f t="shared" si="71"/>
        <v>0</v>
      </c>
      <c r="J2530" s="237">
        <f t="shared" si="70"/>
        <v>0</v>
      </c>
      <c r="K2530" s="528"/>
      <c r="L2530" s="240"/>
      <c r="M2530" s="240"/>
      <c r="N2530" s="175"/>
      <c r="O2530" s="175"/>
      <c r="P2530" s="242"/>
      <c r="Q2530" s="243"/>
      <c r="R2530" s="243"/>
      <c r="S2530" s="243"/>
      <c r="T2530" s="243"/>
      <c r="U2530" s="243"/>
      <c r="V2530" s="243"/>
      <c r="W2530" s="243"/>
      <c r="X2530" s="175"/>
      <c r="Y2530" s="175"/>
      <c r="Z2530" s="175"/>
    </row>
    <row r="2531" ht="15.0" customHeight="1">
      <c r="A2531" s="206">
        <v>46098.0</v>
      </c>
      <c r="B2531" s="201" t="s">
        <v>8899</v>
      </c>
      <c r="C2531" s="45" t="s">
        <v>7020</v>
      </c>
      <c r="D2531" s="448" t="str">
        <f>IFERROR(VLOOKUP(C2531,Stock,3,FALSE),"")</f>
        <v>Toyota Fortuner 15-  2nd Gen</v>
      </c>
      <c r="E2531" s="45">
        <v>1.0</v>
      </c>
      <c r="F2531" s="198">
        <v>1188000.0</v>
      </c>
      <c r="G2531" s="142">
        <f t="shared" si="73"/>
        <v>1188000</v>
      </c>
      <c r="H2531" s="142"/>
      <c r="I2531" s="143">
        <f t="shared" si="71"/>
        <v>1188000</v>
      </c>
      <c r="J2531" s="144">
        <f t="shared" si="70"/>
        <v>1188000</v>
      </c>
      <c r="K2531" s="108" t="s">
        <v>8900</v>
      </c>
      <c r="L2531" s="199" t="s">
        <v>8901</v>
      </c>
      <c r="M2531" s="17"/>
      <c r="N2531" s="68"/>
      <c r="O2531" s="68"/>
      <c r="P2531" s="170"/>
      <c r="Q2531" s="149"/>
      <c r="R2531" s="149"/>
      <c r="S2531" s="141">
        <v>100000.0</v>
      </c>
      <c r="T2531" s="141">
        <v>1288000.0</v>
      </c>
      <c r="U2531" s="149"/>
      <c r="V2531" s="149"/>
      <c r="W2531" s="149"/>
      <c r="X2531" s="68"/>
      <c r="Y2531" s="68"/>
      <c r="Z2531" s="68"/>
    </row>
    <row r="2532" ht="15.0" customHeight="1">
      <c r="A2532" s="206">
        <v>46098.0</v>
      </c>
      <c r="B2532" s="370" t="s">
        <v>8899</v>
      </c>
      <c r="C2532" s="447" t="s">
        <v>2770</v>
      </c>
      <c r="D2532" s="448" t="str">
        <f>IFERROR(VLOOKUP(C2532,Stock,3,FALSE),"")</f>
        <v>Transport</v>
      </c>
      <c r="E2532" s="45">
        <v>1.0</v>
      </c>
      <c r="F2532" s="198">
        <v>200000.0</v>
      </c>
      <c r="G2532" s="142">
        <f t="shared" si="73"/>
        <v>200000</v>
      </c>
      <c r="H2532" s="142"/>
      <c r="I2532" s="143">
        <f t="shared" si="71"/>
        <v>200000</v>
      </c>
      <c r="J2532" s="144">
        <f t="shared" si="70"/>
        <v>200000</v>
      </c>
      <c r="K2532" s="108" t="s">
        <v>8900</v>
      </c>
      <c r="L2532" s="17"/>
      <c r="M2532" s="17"/>
      <c r="N2532" s="68"/>
      <c r="O2532" s="68"/>
      <c r="P2532" s="170"/>
      <c r="Q2532" s="149"/>
      <c r="R2532" s="149"/>
      <c r="S2532" s="149"/>
      <c r="T2532" s="149"/>
      <c r="U2532" s="149"/>
      <c r="V2532" s="149"/>
      <c r="W2532" s="149"/>
      <c r="X2532" s="68"/>
      <c r="Y2532" s="68"/>
      <c r="Z2532" s="68"/>
    </row>
    <row r="2533" ht="15.0" customHeight="1">
      <c r="A2533" s="206">
        <v>46098.0</v>
      </c>
      <c r="B2533" s="370" t="s">
        <v>8902</v>
      </c>
      <c r="C2533" s="447" t="s">
        <v>8903</v>
      </c>
      <c r="D2533" s="448" t="str">
        <f>IFERROR(VLOOKUP(C2533,Stock,3,FALSE),"")</f>
        <v>Toyota Avanza / Xenia 21- 4th Gen (Toyota/Daihatsu)</v>
      </c>
      <c r="E2533" s="45">
        <v>1.0</v>
      </c>
      <c r="F2533" s="198">
        <v>1147000.0</v>
      </c>
      <c r="G2533" s="142">
        <f t="shared" si="73"/>
        <v>1147000</v>
      </c>
      <c r="H2533" s="142"/>
      <c r="I2533" s="143">
        <f t="shared" si="71"/>
        <v>1147000</v>
      </c>
      <c r="J2533" s="144">
        <f t="shared" si="70"/>
        <v>1147000</v>
      </c>
      <c r="K2533" s="64" t="s">
        <v>8904</v>
      </c>
      <c r="L2533" s="199" t="s">
        <v>8905</v>
      </c>
      <c r="M2533" s="17"/>
      <c r="N2533" s="64" t="s">
        <v>8906</v>
      </c>
      <c r="O2533" s="68"/>
      <c r="P2533" s="170"/>
      <c r="Q2533" s="149"/>
      <c r="R2533" s="149"/>
      <c r="S2533" s="141">
        <v>1447000.0</v>
      </c>
      <c r="T2533" s="149"/>
      <c r="U2533" s="149"/>
      <c r="V2533" s="149"/>
      <c r="W2533" s="149"/>
      <c r="X2533" s="64" t="s">
        <v>7976</v>
      </c>
      <c r="Y2533" s="68"/>
      <c r="Z2533" s="68"/>
    </row>
    <row r="2534" ht="15.0" customHeight="1">
      <c r="A2534" s="206">
        <v>46098.0</v>
      </c>
      <c r="B2534" s="370" t="s">
        <v>8902</v>
      </c>
      <c r="C2534" s="447" t="s">
        <v>8411</v>
      </c>
      <c r="D2534" s="448" t="str">
        <f>IFERROR(VLOOKUP(C2534,Stock,3,FALSE),"")</f>
        <v>Automotive Film Standard - Black 80%</v>
      </c>
      <c r="E2534" s="45">
        <v>1.0</v>
      </c>
      <c r="F2534" s="198">
        <v>300000.0</v>
      </c>
      <c r="G2534" s="142">
        <f t="shared" si="73"/>
        <v>300000</v>
      </c>
      <c r="H2534" s="142"/>
      <c r="I2534" s="143">
        <f t="shared" si="71"/>
        <v>300000</v>
      </c>
      <c r="J2534" s="144">
        <f t="shared" si="70"/>
        <v>300000</v>
      </c>
      <c r="K2534" s="200"/>
      <c r="L2534" s="17"/>
      <c r="M2534" s="17"/>
      <c r="N2534" s="68"/>
      <c r="O2534" s="68"/>
      <c r="P2534" s="170"/>
      <c r="Q2534" s="149"/>
      <c r="R2534" s="149"/>
      <c r="S2534" s="149"/>
      <c r="T2534" s="149"/>
      <c r="U2534" s="149"/>
      <c r="V2534" s="149"/>
      <c r="W2534" s="149"/>
      <c r="X2534" s="68"/>
      <c r="Y2534" s="68"/>
      <c r="Z2534" s="68"/>
    </row>
    <row r="2535" ht="15.0" customHeight="1">
      <c r="A2535" s="206">
        <v>46098.0</v>
      </c>
      <c r="B2535" s="370" t="s">
        <v>8907</v>
      </c>
      <c r="C2535" s="447" t="s">
        <v>8908</v>
      </c>
      <c r="D2535" s="448" t="str">
        <f>IFERROR(VLOOKUP(C2535,Stock,3,FALSE),"")</f>
        <v>Mers-Benz C-Class 07-14 W204 (1 Sensor/ □)</v>
      </c>
      <c r="E2535" s="45">
        <v>1.0</v>
      </c>
      <c r="F2535" s="198">
        <v>3572000.0</v>
      </c>
      <c r="G2535" s="142">
        <f t="shared" si="73"/>
        <v>3572000</v>
      </c>
      <c r="H2535" s="142"/>
      <c r="I2535" s="143">
        <f t="shared" si="71"/>
        <v>3572000</v>
      </c>
      <c r="J2535" s="144">
        <f t="shared" si="70"/>
        <v>3572000</v>
      </c>
      <c r="K2535" s="108" t="s">
        <v>8909</v>
      </c>
      <c r="L2535" s="199" t="s">
        <v>8910</v>
      </c>
      <c r="M2535" s="17"/>
      <c r="N2535" s="68"/>
      <c r="O2535" s="68"/>
      <c r="P2535" s="170"/>
      <c r="Q2535" s="149"/>
      <c r="R2535" s="149"/>
      <c r="S2535" s="141">
        <v>100000.0</v>
      </c>
      <c r="T2535" s="141">
        <v>3772000.0</v>
      </c>
      <c r="U2535" s="149"/>
      <c r="V2535" s="149"/>
      <c r="W2535" s="149"/>
      <c r="X2535" s="64" t="s">
        <v>8219</v>
      </c>
      <c r="Y2535" s="68"/>
      <c r="Z2535" s="68"/>
    </row>
    <row r="2536" ht="15.0" customHeight="1">
      <c r="A2536" s="206">
        <v>46098.0</v>
      </c>
      <c r="B2536" s="370" t="s">
        <v>8907</v>
      </c>
      <c r="C2536" s="447" t="s">
        <v>2770</v>
      </c>
      <c r="D2536" s="448" t="str">
        <f>IFERROR(VLOOKUP(C2536,Stock,3,FALSE),"")</f>
        <v>Transport</v>
      </c>
      <c r="E2536" s="45">
        <v>1.0</v>
      </c>
      <c r="F2536" s="198">
        <v>250000.0</v>
      </c>
      <c r="G2536" s="142">
        <f t="shared" si="73"/>
        <v>250000</v>
      </c>
      <c r="H2536" s="142"/>
      <c r="I2536" s="143">
        <f t="shared" si="71"/>
        <v>250000</v>
      </c>
      <c r="J2536" s="144">
        <f t="shared" si="70"/>
        <v>250000</v>
      </c>
      <c r="K2536" s="200"/>
      <c r="L2536" s="17"/>
      <c r="M2536" s="17"/>
      <c r="N2536" s="68"/>
      <c r="O2536" s="68"/>
      <c r="P2536" s="170"/>
      <c r="Q2536" s="149"/>
      <c r="R2536" s="149"/>
      <c r="S2536" s="149"/>
      <c r="T2536" s="149"/>
      <c r="U2536" s="149"/>
      <c r="V2536" s="149"/>
      <c r="W2536" s="149"/>
      <c r="X2536" s="68"/>
      <c r="Y2536" s="68"/>
      <c r="Z2536" s="68"/>
    </row>
    <row r="2537" ht="15.0" customHeight="1">
      <c r="A2537" s="206">
        <v>46098.0</v>
      </c>
      <c r="B2537" s="201" t="s">
        <v>8911</v>
      </c>
      <c r="C2537" s="153" t="s">
        <v>4017</v>
      </c>
      <c r="D2537" s="140" t="str">
        <f>IFERROR(VLOOKUP(C2537,Stock,3,FALSE),"")</f>
        <v>Black Phantom Solar Gard</v>
      </c>
      <c r="E2537" s="45">
        <v>1.0</v>
      </c>
      <c r="F2537" s="198">
        <v>700000.0</v>
      </c>
      <c r="G2537" s="142">
        <f t="shared" si="73"/>
        <v>700000</v>
      </c>
      <c r="H2537" s="142"/>
      <c r="I2537" s="143">
        <f t="shared" si="71"/>
        <v>700000</v>
      </c>
      <c r="J2537" s="144">
        <f t="shared" si="70"/>
        <v>700000</v>
      </c>
      <c r="K2537" s="108" t="s">
        <v>8912</v>
      </c>
      <c r="L2537" s="199" t="s">
        <v>7862</v>
      </c>
      <c r="M2537" s="17"/>
      <c r="N2537" s="68"/>
      <c r="O2537" s="68"/>
      <c r="P2537" s="170"/>
      <c r="Q2537" s="529"/>
      <c r="R2537" s="529"/>
      <c r="S2537" s="530">
        <v>100000.0</v>
      </c>
      <c r="T2537" s="529"/>
      <c r="U2537" s="529"/>
      <c r="V2537" s="529"/>
      <c r="W2537" s="529"/>
      <c r="X2537" s="531" t="s">
        <v>8219</v>
      </c>
      <c r="Y2537" s="532"/>
      <c r="Z2537" s="532"/>
    </row>
    <row r="2538" ht="15.0" customHeight="1">
      <c r="A2538" s="441">
        <v>46098.0</v>
      </c>
      <c r="B2538" s="370" t="s">
        <v>8913</v>
      </c>
      <c r="C2538" s="447" t="s">
        <v>8914</v>
      </c>
      <c r="D2538" s="448" t="str">
        <f>IFERROR(VLOOKUP(C2538,Stock,3,FALSE),"")</f>
        <v>Suzuki Spresso 20-</v>
      </c>
      <c r="E2538" s="45">
        <v>1.0</v>
      </c>
      <c r="F2538" s="198">
        <v>1682000.0</v>
      </c>
      <c r="G2538" s="142">
        <f t="shared" si="73"/>
        <v>1682000</v>
      </c>
      <c r="H2538" s="143">
        <v>282000.0</v>
      </c>
      <c r="I2538" s="143">
        <f t="shared" si="71"/>
        <v>1400000</v>
      </c>
      <c r="J2538" s="144">
        <f t="shared" si="70"/>
        <v>1400000</v>
      </c>
      <c r="K2538" s="108" t="s">
        <v>7121</v>
      </c>
      <c r="L2538" s="199" t="s">
        <v>8915</v>
      </c>
      <c r="M2538" s="17"/>
      <c r="N2538" s="68"/>
      <c r="O2538" s="68"/>
      <c r="P2538" s="170"/>
      <c r="Q2538" s="149"/>
      <c r="R2538" s="149"/>
      <c r="S2538" s="149"/>
      <c r="T2538" s="149"/>
      <c r="U2538" s="149"/>
      <c r="V2538" s="149"/>
      <c r="W2538" s="149"/>
      <c r="X2538" s="64" t="s">
        <v>7976</v>
      </c>
      <c r="Y2538" s="68"/>
      <c r="Z2538" s="68"/>
    </row>
    <row r="2539" ht="15.0" customHeight="1">
      <c r="A2539" s="206">
        <v>46098.0</v>
      </c>
      <c r="B2539" s="370" t="s">
        <v>8916</v>
      </c>
      <c r="C2539" s="462" t="s">
        <v>3396</v>
      </c>
      <c r="D2539" s="448" t="str">
        <f>IFERROR(VLOOKUP(C2539,Stock,3,FALSE),"")</f>
        <v>Honda HR-V 22- 5D SUV (Honda)</v>
      </c>
      <c r="E2539" s="45">
        <v>1.0</v>
      </c>
      <c r="F2539" s="198">
        <v>1015000.0</v>
      </c>
      <c r="G2539" s="142">
        <f t="shared" si="73"/>
        <v>1015000</v>
      </c>
      <c r="H2539" s="142"/>
      <c r="I2539" s="143">
        <f t="shared" si="71"/>
        <v>1015000</v>
      </c>
      <c r="J2539" s="144">
        <f t="shared" si="70"/>
        <v>1015000</v>
      </c>
      <c r="K2539" s="108" t="s">
        <v>8917</v>
      </c>
      <c r="L2539" s="45" t="s">
        <v>8918</v>
      </c>
      <c r="M2539" s="17"/>
      <c r="N2539" s="64" t="s">
        <v>8919</v>
      </c>
      <c r="O2539" s="68"/>
      <c r="P2539" s="170"/>
      <c r="Q2539" s="149"/>
      <c r="R2539" s="149"/>
      <c r="S2539" s="149"/>
      <c r="T2539" s="141">
        <v>1215000.0</v>
      </c>
      <c r="U2539" s="149"/>
      <c r="V2539" s="149"/>
      <c r="W2539" s="149"/>
      <c r="X2539" s="68"/>
      <c r="Y2539" s="68"/>
      <c r="Z2539" s="68"/>
    </row>
    <row r="2540" ht="15.0" customHeight="1">
      <c r="A2540" s="206">
        <v>46098.0</v>
      </c>
      <c r="B2540" s="370" t="s">
        <v>8916</v>
      </c>
      <c r="C2540" s="447" t="s">
        <v>8411</v>
      </c>
      <c r="D2540" s="448" t="str">
        <f>IFERROR(VLOOKUP(C2540,Stock,3,FALSE),"")</f>
        <v>Automotive Film Standard - Black 80%</v>
      </c>
      <c r="E2540" s="45">
        <v>1.0</v>
      </c>
      <c r="F2540" s="198">
        <v>200000.0</v>
      </c>
      <c r="G2540" s="142">
        <f t="shared" si="73"/>
        <v>200000</v>
      </c>
      <c r="H2540" s="142"/>
      <c r="I2540" s="143">
        <f t="shared" si="71"/>
        <v>200000</v>
      </c>
      <c r="J2540" s="144">
        <f t="shared" si="70"/>
        <v>200000</v>
      </c>
      <c r="K2540" s="200"/>
      <c r="L2540" s="17"/>
      <c r="M2540" s="17"/>
      <c r="N2540" s="68"/>
      <c r="O2540" s="68"/>
      <c r="P2540" s="170"/>
      <c r="Q2540" s="149"/>
      <c r="R2540" s="149"/>
      <c r="S2540" s="149"/>
      <c r="T2540" s="149"/>
      <c r="U2540" s="149"/>
      <c r="V2540" s="149"/>
      <c r="W2540" s="149"/>
      <c r="X2540" s="68"/>
      <c r="Y2540" s="68"/>
      <c r="Z2540" s="68"/>
    </row>
    <row r="2541" ht="15.0" customHeight="1">
      <c r="A2541" s="206">
        <v>46098.0</v>
      </c>
      <c r="B2541" s="370" t="s">
        <v>8920</v>
      </c>
      <c r="C2541" s="447" t="s">
        <v>2792</v>
      </c>
      <c r="D2541" s="448" t="str">
        <f>IFERROR(VLOOKUP(C2541,Stock,3,FALSE),"")</f>
        <v>Toyota Calya / Sigra 16-</v>
      </c>
      <c r="E2541" s="45">
        <v>1.0</v>
      </c>
      <c r="F2541" s="198">
        <v>839000.0</v>
      </c>
      <c r="G2541" s="142">
        <f t="shared" si="73"/>
        <v>839000</v>
      </c>
      <c r="H2541" s="142"/>
      <c r="I2541" s="143">
        <f t="shared" si="71"/>
        <v>839000</v>
      </c>
      <c r="J2541" s="144">
        <f t="shared" si="70"/>
        <v>839000</v>
      </c>
      <c r="K2541" s="108" t="s">
        <v>8921</v>
      </c>
      <c r="L2541" s="199" t="s">
        <v>8922</v>
      </c>
      <c r="M2541" s="17"/>
      <c r="N2541" s="68"/>
      <c r="O2541" s="68"/>
      <c r="P2541" s="170"/>
      <c r="Q2541" s="149"/>
      <c r="R2541" s="149"/>
      <c r="S2541" s="149"/>
      <c r="T2541" s="149"/>
      <c r="U2541" s="149"/>
      <c r="V2541" s="149"/>
      <c r="W2541" s="149"/>
      <c r="X2541" s="68"/>
      <c r="Y2541" s="68"/>
      <c r="Z2541" s="68"/>
    </row>
    <row r="2542" ht="15.0" customHeight="1">
      <c r="A2542" s="206">
        <v>46098.0</v>
      </c>
      <c r="B2542" s="370" t="s">
        <v>8923</v>
      </c>
      <c r="C2542" s="447" t="s">
        <v>3234</v>
      </c>
      <c r="D2542" s="448" t="str">
        <f>IFERROR(VLOOKUP(C2542,Stock,3,FALSE),"")</f>
        <v>Toyota Avanza / Xenia 21- 4th Gen (Non sensor)</v>
      </c>
      <c r="E2542" s="45">
        <v>1.0</v>
      </c>
      <c r="F2542" s="198">
        <v>1490000.0</v>
      </c>
      <c r="G2542" s="142">
        <f t="shared" si="73"/>
        <v>1490000</v>
      </c>
      <c r="H2542" s="143">
        <v>100000.0</v>
      </c>
      <c r="I2542" s="143">
        <f t="shared" si="71"/>
        <v>1390000</v>
      </c>
      <c r="J2542" s="144">
        <f t="shared" si="70"/>
        <v>1390000</v>
      </c>
      <c r="K2542" s="108" t="s">
        <v>8924</v>
      </c>
      <c r="L2542" s="199" t="s">
        <v>8925</v>
      </c>
      <c r="M2542" s="17"/>
      <c r="N2542" s="64" t="s">
        <v>8926</v>
      </c>
      <c r="O2542" s="68"/>
      <c r="P2542" s="170"/>
      <c r="Q2542" s="141">
        <v>1390000.0</v>
      </c>
      <c r="R2542" s="149"/>
      <c r="S2542" s="149"/>
      <c r="T2542" s="149"/>
      <c r="U2542" s="149"/>
      <c r="V2542" s="149"/>
      <c r="W2542" s="149"/>
      <c r="X2542" s="68"/>
      <c r="Y2542" s="68"/>
      <c r="Z2542" s="68"/>
    </row>
    <row r="2543" ht="15.0" customHeight="1">
      <c r="A2543" s="206">
        <v>46098.0</v>
      </c>
      <c r="B2543" s="370" t="s">
        <v>8927</v>
      </c>
      <c r="C2543" s="447" t="s">
        <v>4590</v>
      </c>
      <c r="D2543" s="448" t="str">
        <f>IFERROR(VLOOKUP(C2543,Stock,3,FALSE),"")</f>
        <v>Toyota Avanza / Xenia 11-15 2nd Gen / 15-21 3rd Gen</v>
      </c>
      <c r="E2543" s="45">
        <v>1.0</v>
      </c>
      <c r="F2543" s="198">
        <v>880000.0</v>
      </c>
      <c r="G2543" s="142">
        <f t="shared" si="73"/>
        <v>880000</v>
      </c>
      <c r="H2543" s="143"/>
      <c r="I2543" s="143">
        <f t="shared" si="71"/>
        <v>880000</v>
      </c>
      <c r="J2543" s="144">
        <f t="shared" si="70"/>
        <v>880000</v>
      </c>
      <c r="K2543" s="45" t="s">
        <v>4197</v>
      </c>
      <c r="L2543" s="45" t="s">
        <v>8928</v>
      </c>
      <c r="M2543" s="17"/>
      <c r="N2543" s="68"/>
      <c r="O2543" s="68"/>
      <c r="P2543" s="68"/>
      <c r="Q2543" s="149"/>
      <c r="R2543" s="149"/>
      <c r="S2543" s="149"/>
      <c r="T2543" s="149"/>
      <c r="U2543" s="149"/>
      <c r="V2543" s="149"/>
      <c r="W2543" s="149"/>
      <c r="X2543" s="68"/>
      <c r="Y2543" s="68"/>
      <c r="Z2543" s="68"/>
    </row>
    <row r="2544" ht="15.0" customHeight="1">
      <c r="A2544" s="206" t="s">
        <v>8929</v>
      </c>
      <c r="B2544" s="370" t="s">
        <v>8930</v>
      </c>
      <c r="C2544" s="447" t="s">
        <v>2792</v>
      </c>
      <c r="D2544" s="448" t="str">
        <f>IFERROR(VLOOKUP(C2544,Stock,3,FALSE),"")</f>
        <v>Toyota Calya / Sigra 16-</v>
      </c>
      <c r="E2544" s="45">
        <v>1.0</v>
      </c>
      <c r="F2544" s="198">
        <v>839000.0</v>
      </c>
      <c r="G2544" s="142">
        <f t="shared" si="73"/>
        <v>839000</v>
      </c>
      <c r="H2544" s="142"/>
      <c r="I2544" s="143">
        <f t="shared" si="71"/>
        <v>839000</v>
      </c>
      <c r="J2544" s="144">
        <f t="shared" si="70"/>
        <v>839000</v>
      </c>
      <c r="K2544" s="17"/>
      <c r="L2544" s="199" t="s">
        <v>8931</v>
      </c>
      <c r="M2544" s="17"/>
      <c r="N2544" s="533" t="s">
        <v>8932</v>
      </c>
      <c r="O2544" s="68"/>
      <c r="P2544" s="68"/>
      <c r="Q2544" s="149"/>
      <c r="R2544" s="149"/>
      <c r="S2544" s="149"/>
      <c r="T2544" s="149"/>
      <c r="U2544" s="149"/>
      <c r="V2544" s="149"/>
      <c r="W2544" s="149"/>
      <c r="X2544" s="64" t="s">
        <v>7976</v>
      </c>
      <c r="Y2544" s="68"/>
      <c r="Z2544" s="68"/>
    </row>
    <row r="2545" ht="15.0" customHeight="1">
      <c r="A2545" s="206">
        <v>46098.0</v>
      </c>
      <c r="B2545" s="370" t="s">
        <v>8930</v>
      </c>
      <c r="C2545" s="447" t="s">
        <v>8411</v>
      </c>
      <c r="D2545" s="448" t="str">
        <f>IFERROR(VLOOKUP(C2545,Stock,3,FALSE),"")</f>
        <v>Automotive Film Standard - Black 80%</v>
      </c>
      <c r="E2545" s="45">
        <v>1.0</v>
      </c>
      <c r="F2545" s="198">
        <v>250000.0</v>
      </c>
      <c r="G2545" s="143">
        <v>250000.0</v>
      </c>
      <c r="H2545" s="142"/>
      <c r="I2545" s="143">
        <f t="shared" si="71"/>
        <v>250000</v>
      </c>
      <c r="J2545" s="144">
        <f t="shared" si="70"/>
        <v>250000</v>
      </c>
      <c r="K2545" s="17"/>
      <c r="L2545" s="17"/>
      <c r="M2545" s="17"/>
      <c r="N2545" s="68"/>
      <c r="O2545" s="68"/>
      <c r="P2545" s="68"/>
      <c r="Q2545" s="149"/>
      <c r="R2545" s="149"/>
      <c r="S2545" s="149"/>
      <c r="T2545" s="149"/>
      <c r="U2545" s="149"/>
      <c r="V2545" s="149"/>
      <c r="W2545" s="149"/>
      <c r="X2545" s="68"/>
      <c r="Y2545" s="68"/>
      <c r="Z2545" s="68"/>
    </row>
    <row r="2546" ht="15.0" customHeight="1">
      <c r="A2546" s="265">
        <v>46098.0</v>
      </c>
      <c r="B2546" s="266" t="s">
        <v>8933</v>
      </c>
      <c r="C2546" s="269" t="s">
        <v>8934</v>
      </c>
      <c r="D2546" s="268" t="str">
        <f>IFERROR(VLOOKUP(C2546,Stock,3,FALSE),"")</f>
        <v>Hyundai Stargazer 22-</v>
      </c>
      <c r="E2546" s="269">
        <v>1.0</v>
      </c>
      <c r="F2546" s="270"/>
      <c r="G2546" s="271">
        <f t="shared" ref="G2546:G2568" si="74">E2546*F2546</f>
        <v>0</v>
      </c>
      <c r="H2546" s="271"/>
      <c r="I2546" s="272">
        <f t="shared" si="71"/>
        <v>0</v>
      </c>
      <c r="J2546" s="144">
        <f t="shared" si="70"/>
        <v>0</v>
      </c>
      <c r="K2546" s="269" t="s">
        <v>8867</v>
      </c>
      <c r="L2546" s="274"/>
      <c r="M2546" s="274"/>
      <c r="N2546" s="275"/>
      <c r="O2546" s="275"/>
      <c r="P2546" s="275"/>
      <c r="Q2546" s="277"/>
      <c r="R2546" s="277"/>
      <c r="S2546" s="277"/>
      <c r="T2546" s="277"/>
      <c r="U2546" s="277"/>
      <c r="V2546" s="277"/>
      <c r="W2546" s="277"/>
      <c r="X2546" s="275"/>
      <c r="Y2546" s="68"/>
      <c r="Z2546" s="68"/>
    </row>
    <row r="2547" ht="15.0" customHeight="1">
      <c r="A2547" s="265">
        <v>46098.0</v>
      </c>
      <c r="B2547" s="266" t="s">
        <v>8933</v>
      </c>
      <c r="C2547" s="269" t="s">
        <v>8908</v>
      </c>
      <c r="D2547" s="268" t="str">
        <f>IFERROR(VLOOKUP(C2547,Stock,3,FALSE),"")</f>
        <v>Mers-Benz C-Class 07-14 W204 (1 Sensor/ □)</v>
      </c>
      <c r="E2547" s="269">
        <v>1.0</v>
      </c>
      <c r="F2547" s="270"/>
      <c r="G2547" s="271">
        <f t="shared" si="74"/>
        <v>0</v>
      </c>
      <c r="H2547" s="271"/>
      <c r="I2547" s="272">
        <f t="shared" si="71"/>
        <v>0</v>
      </c>
      <c r="J2547" s="144">
        <f t="shared" si="70"/>
        <v>0</v>
      </c>
      <c r="K2547" s="269" t="s">
        <v>8867</v>
      </c>
      <c r="L2547" s="274"/>
      <c r="M2547" s="274"/>
      <c r="N2547" s="275"/>
      <c r="O2547" s="275"/>
      <c r="P2547" s="275"/>
      <c r="Q2547" s="277"/>
      <c r="R2547" s="277"/>
      <c r="S2547" s="277"/>
      <c r="T2547" s="277"/>
      <c r="U2547" s="277"/>
      <c r="V2547" s="277"/>
      <c r="W2547" s="277"/>
      <c r="X2547" s="275"/>
      <c r="Y2547" s="68"/>
      <c r="Z2547" s="68"/>
    </row>
    <row r="2548" ht="15.0" customHeight="1">
      <c r="A2548" s="265">
        <v>46099.0</v>
      </c>
      <c r="B2548" s="266" t="s">
        <v>8935</v>
      </c>
      <c r="C2548" s="269" t="s">
        <v>8936</v>
      </c>
      <c r="D2548" s="268" t="str">
        <f>IFERROR(VLOOKUP(C2548,Stock,3,FALSE),"")</f>
        <v>Toyota Vios 13-17 3rd Gen</v>
      </c>
      <c r="E2548" s="269">
        <v>1.0</v>
      </c>
      <c r="F2548" s="270"/>
      <c r="G2548" s="271">
        <f t="shared" si="74"/>
        <v>0</v>
      </c>
      <c r="H2548" s="271"/>
      <c r="I2548" s="272">
        <f t="shared" si="71"/>
        <v>0</v>
      </c>
      <c r="J2548" s="144">
        <f t="shared" si="70"/>
        <v>0</v>
      </c>
      <c r="K2548" s="269" t="s">
        <v>8867</v>
      </c>
      <c r="L2548" s="269"/>
      <c r="M2548" s="274"/>
      <c r="N2548" s="275"/>
      <c r="O2548" s="275"/>
      <c r="P2548" s="275"/>
      <c r="Q2548" s="277"/>
      <c r="R2548" s="277"/>
      <c r="S2548" s="277"/>
      <c r="T2548" s="277"/>
      <c r="U2548" s="277"/>
      <c r="V2548" s="277"/>
      <c r="W2548" s="277"/>
      <c r="X2548" s="275"/>
      <c r="Y2548" s="68"/>
      <c r="Z2548" s="68"/>
    </row>
    <row r="2549" ht="15.0" customHeight="1">
      <c r="A2549" s="265">
        <v>46099.0</v>
      </c>
      <c r="B2549" s="266" t="s">
        <v>8935</v>
      </c>
      <c r="C2549" s="269" t="s">
        <v>7591</v>
      </c>
      <c r="D2549" s="268" t="str">
        <f>IFERROR(VLOOKUP(C2549,Stock,3,FALSE),"")</f>
        <v>Wuling Cortez</v>
      </c>
      <c r="E2549" s="269">
        <v>2.0</v>
      </c>
      <c r="F2549" s="270"/>
      <c r="G2549" s="271">
        <f t="shared" si="74"/>
        <v>0</v>
      </c>
      <c r="H2549" s="271"/>
      <c r="I2549" s="272">
        <f t="shared" si="71"/>
        <v>0</v>
      </c>
      <c r="J2549" s="144">
        <f t="shared" si="70"/>
        <v>0</v>
      </c>
      <c r="K2549" s="269" t="s">
        <v>8867</v>
      </c>
      <c r="L2549" s="274"/>
      <c r="M2549" s="274"/>
      <c r="N2549" s="275"/>
      <c r="O2549" s="275"/>
      <c r="P2549" s="275"/>
      <c r="Q2549" s="277"/>
      <c r="R2549" s="277"/>
      <c r="S2549" s="277"/>
      <c r="T2549" s="277"/>
      <c r="U2549" s="277"/>
      <c r="V2549" s="277"/>
      <c r="W2549" s="277"/>
      <c r="X2549" s="275"/>
      <c r="Y2549" s="68"/>
      <c r="Z2549" s="68"/>
    </row>
    <row r="2550" ht="15.0" customHeight="1">
      <c r="A2550" s="206">
        <v>46099.0</v>
      </c>
      <c r="B2550" s="370" t="s">
        <v>8937</v>
      </c>
      <c r="C2550" s="64" t="s">
        <v>3302</v>
      </c>
      <c r="D2550" s="448" t="str">
        <f>IFERROR(VLOOKUP(C2550,Stock,3,FALSE),"")</f>
        <v>Nissan Livina 07-18 L10/L11</v>
      </c>
      <c r="E2550" s="45">
        <v>1.0</v>
      </c>
      <c r="F2550" s="198">
        <v>1300000.0</v>
      </c>
      <c r="G2550" s="142">
        <f t="shared" si="74"/>
        <v>1300000</v>
      </c>
      <c r="H2550" s="142"/>
      <c r="I2550" s="143">
        <f t="shared" si="71"/>
        <v>1300000</v>
      </c>
      <c r="J2550" s="144">
        <f t="shared" si="70"/>
        <v>1300000</v>
      </c>
      <c r="K2550" s="45" t="s">
        <v>8938</v>
      </c>
      <c r="L2550" s="199" t="s">
        <v>8939</v>
      </c>
      <c r="M2550" s="17"/>
      <c r="N2550" s="64" t="s">
        <v>8940</v>
      </c>
      <c r="O2550" s="68"/>
      <c r="P2550" s="68"/>
      <c r="Q2550" s="149"/>
      <c r="R2550" s="149"/>
      <c r="S2550" s="149"/>
      <c r="T2550" s="141">
        <v>1300000.0</v>
      </c>
      <c r="U2550" s="149"/>
      <c r="V2550" s="149"/>
      <c r="W2550" s="149"/>
      <c r="X2550" s="68"/>
      <c r="Y2550" s="68"/>
      <c r="Z2550" s="68"/>
    </row>
    <row r="2551" ht="15.0" customHeight="1">
      <c r="A2551" s="206">
        <v>46099.0</v>
      </c>
      <c r="B2551" s="201" t="s">
        <v>8941</v>
      </c>
      <c r="C2551" s="45" t="s">
        <v>5300</v>
      </c>
      <c r="D2551" s="448" t="str">
        <f>IFERROR(VLOOKUP(C2551,Stock,3,FALSE),"")</f>
        <v>Toyota Vios 07-13 XP90 2nd Gen</v>
      </c>
      <c r="E2551" s="45">
        <v>1.0</v>
      </c>
      <c r="F2551" s="198">
        <v>1333000.0</v>
      </c>
      <c r="G2551" s="142">
        <f t="shared" si="74"/>
        <v>1333000</v>
      </c>
      <c r="H2551" s="142"/>
      <c r="I2551" s="143">
        <f t="shared" si="71"/>
        <v>1333000</v>
      </c>
      <c r="J2551" s="144">
        <f t="shared" si="70"/>
        <v>1333000</v>
      </c>
      <c r="K2551" s="45" t="s">
        <v>8942</v>
      </c>
      <c r="L2551" s="199" t="s">
        <v>8943</v>
      </c>
      <c r="M2551" s="17"/>
      <c r="N2551" s="64" t="s">
        <v>8944</v>
      </c>
      <c r="O2551" s="68"/>
      <c r="P2551" s="68"/>
      <c r="Q2551" s="149"/>
      <c r="R2551" s="149"/>
      <c r="S2551" s="149"/>
      <c r="T2551" s="141">
        <v>1333000.0</v>
      </c>
      <c r="U2551" s="149"/>
      <c r="V2551" s="149"/>
      <c r="W2551" s="149"/>
      <c r="X2551" s="64" t="s">
        <v>7976</v>
      </c>
      <c r="Y2551" s="68"/>
      <c r="Z2551" s="68"/>
    </row>
    <row r="2552" ht="15.0" customHeight="1">
      <c r="A2552" s="206">
        <v>46099.0</v>
      </c>
      <c r="B2552" s="201" t="s">
        <v>8945</v>
      </c>
      <c r="C2552" s="447" t="s">
        <v>8946</v>
      </c>
      <c r="D2552" s="448" t="str">
        <f>IFERROR(VLOOKUP(C2552,Stock,3,FALSE),"")</f>
        <v>Honda City 14-18 GM6</v>
      </c>
      <c r="E2552" s="45">
        <v>1.0</v>
      </c>
      <c r="F2552" s="198">
        <v>1332000.0</v>
      </c>
      <c r="G2552" s="142">
        <f t="shared" si="74"/>
        <v>1332000</v>
      </c>
      <c r="H2552" s="143">
        <v>66100.0</v>
      </c>
      <c r="I2552" s="143">
        <f t="shared" si="71"/>
        <v>1265900</v>
      </c>
      <c r="J2552" s="144">
        <f t="shared" si="70"/>
        <v>1265900</v>
      </c>
      <c r="K2552" s="64" t="s">
        <v>8947</v>
      </c>
      <c r="L2552" s="199" t="s">
        <v>8948</v>
      </c>
      <c r="M2552" s="17"/>
      <c r="N2552" s="64" t="s">
        <v>8949</v>
      </c>
      <c r="O2552" s="68"/>
      <c r="P2552" s="68"/>
      <c r="Q2552" s="458">
        <v>1565900.0</v>
      </c>
      <c r="R2552" s="149"/>
      <c r="S2552" s="141">
        <v>100000.0</v>
      </c>
      <c r="T2552" s="149"/>
      <c r="U2552" s="149"/>
      <c r="V2552" s="149"/>
      <c r="W2552" s="149"/>
      <c r="X2552" s="64" t="s">
        <v>7976</v>
      </c>
      <c r="Y2552" s="68"/>
      <c r="Z2552" s="68"/>
    </row>
    <row r="2553" ht="15.0" customHeight="1">
      <c r="A2553" s="206">
        <v>46099.0</v>
      </c>
      <c r="B2553" s="201" t="s">
        <v>8945</v>
      </c>
      <c r="C2553" s="45" t="s">
        <v>8411</v>
      </c>
      <c r="D2553" s="448" t="str">
        <f>IFERROR(VLOOKUP(C2553,Stock,3,FALSE),"")</f>
        <v>Automotive Film Standard - Black 80%</v>
      </c>
      <c r="E2553" s="45">
        <v>1.0</v>
      </c>
      <c r="F2553" s="198">
        <v>250000.0</v>
      </c>
      <c r="G2553" s="142">
        <f t="shared" si="74"/>
        <v>250000</v>
      </c>
      <c r="H2553" s="142"/>
      <c r="I2553" s="143">
        <f t="shared" si="71"/>
        <v>250000</v>
      </c>
      <c r="J2553" s="144">
        <f t="shared" si="70"/>
        <v>250000</v>
      </c>
      <c r="K2553" s="17"/>
      <c r="L2553" s="17"/>
      <c r="M2553" s="17"/>
      <c r="N2553" s="68"/>
      <c r="O2553" s="68"/>
      <c r="P2553" s="68"/>
      <c r="Q2553" s="149"/>
      <c r="R2553" s="149"/>
      <c r="S2553" s="149"/>
      <c r="T2553" s="149"/>
      <c r="U2553" s="149"/>
      <c r="V2553" s="149"/>
      <c r="W2553" s="149"/>
      <c r="X2553" s="68"/>
      <c r="Y2553" s="68"/>
      <c r="Z2553" s="68"/>
    </row>
    <row r="2554" ht="15.0" customHeight="1">
      <c r="A2554" s="206">
        <v>46099.0</v>
      </c>
      <c r="B2554" s="201" t="s">
        <v>8945</v>
      </c>
      <c r="C2554" s="45" t="s">
        <v>2770</v>
      </c>
      <c r="D2554" s="448" t="str">
        <f>IFERROR(VLOOKUP(C2554,Stock,3,FALSE),"")</f>
        <v>Transport</v>
      </c>
      <c r="E2554" s="45">
        <v>1.0</v>
      </c>
      <c r="F2554" s="198">
        <v>150000.0</v>
      </c>
      <c r="G2554" s="142">
        <f t="shared" si="74"/>
        <v>150000</v>
      </c>
      <c r="H2554" s="142"/>
      <c r="I2554" s="143">
        <f t="shared" si="71"/>
        <v>150000</v>
      </c>
      <c r="J2554" s="144">
        <f t="shared" si="70"/>
        <v>150000</v>
      </c>
      <c r="K2554" s="17"/>
      <c r="L2554" s="17"/>
      <c r="M2554" s="17"/>
      <c r="N2554" s="68"/>
      <c r="O2554" s="68"/>
      <c r="P2554" s="68"/>
      <c r="Q2554" s="149"/>
      <c r="R2554" s="149"/>
      <c r="S2554" s="149"/>
      <c r="T2554" s="149"/>
      <c r="U2554" s="149"/>
      <c r="V2554" s="149"/>
      <c r="W2554" s="149"/>
      <c r="X2554" s="68"/>
      <c r="Y2554" s="68"/>
      <c r="Z2554" s="68"/>
    </row>
    <row r="2555" ht="15.0" customHeight="1">
      <c r="A2555" s="206">
        <v>46099.0</v>
      </c>
      <c r="B2555" s="201" t="s">
        <v>8950</v>
      </c>
      <c r="C2555" s="64" t="s">
        <v>8951</v>
      </c>
      <c r="D2555" s="448" t="str">
        <f>IFERROR(VLOOKUP(C2555,Stock,3,FALSE),"")</f>
        <v>Honda BR-V 22-</v>
      </c>
      <c r="E2555" s="45">
        <v>1.0</v>
      </c>
      <c r="F2555" s="198">
        <v>1812000.0</v>
      </c>
      <c r="G2555" s="142">
        <f t="shared" si="74"/>
        <v>1812000</v>
      </c>
      <c r="H2555" s="142"/>
      <c r="I2555" s="143">
        <f t="shared" si="71"/>
        <v>1812000</v>
      </c>
      <c r="J2555" s="144">
        <f t="shared" si="70"/>
        <v>1812000</v>
      </c>
      <c r="K2555" s="45" t="s">
        <v>8952</v>
      </c>
      <c r="L2555" s="199" t="s">
        <v>8953</v>
      </c>
      <c r="M2555" s="17"/>
      <c r="N2555" s="68"/>
      <c r="O2555" s="68"/>
      <c r="P2555" s="68"/>
      <c r="Q2555" s="149"/>
      <c r="R2555" s="149"/>
      <c r="S2555" s="141">
        <v>100000.0</v>
      </c>
      <c r="T2555" s="141">
        <v>2112000.0</v>
      </c>
      <c r="U2555" s="149"/>
      <c r="V2555" s="149"/>
      <c r="W2555" s="149"/>
      <c r="X2555" s="68"/>
      <c r="Y2555" s="68"/>
      <c r="Z2555" s="68"/>
    </row>
    <row r="2556" ht="15.0" customHeight="1">
      <c r="A2556" s="206">
        <v>46099.0</v>
      </c>
      <c r="B2556" s="201" t="s">
        <v>8950</v>
      </c>
      <c r="C2556" s="447" t="s">
        <v>7011</v>
      </c>
      <c r="D2556" s="448" t="str">
        <f>IFERROR(VLOOKUP(C2556,Stock,3,FALSE),"")</f>
        <v>Automotive Film Standard - Black 40%				</v>
      </c>
      <c r="E2556" s="45">
        <v>1.0</v>
      </c>
      <c r="F2556" s="198">
        <v>400000.0</v>
      </c>
      <c r="G2556" s="142">
        <f t="shared" si="74"/>
        <v>400000</v>
      </c>
      <c r="H2556" s="142"/>
      <c r="I2556" s="143">
        <f t="shared" si="71"/>
        <v>400000</v>
      </c>
      <c r="J2556" s="144">
        <f t="shared" si="70"/>
        <v>400000</v>
      </c>
      <c r="K2556" s="17"/>
      <c r="L2556" s="17"/>
      <c r="M2556" s="17"/>
      <c r="N2556" s="68"/>
      <c r="O2556" s="68"/>
      <c r="P2556" s="68"/>
      <c r="Q2556" s="149"/>
      <c r="R2556" s="149"/>
      <c r="S2556" s="149"/>
      <c r="T2556" s="149"/>
      <c r="U2556" s="149"/>
      <c r="V2556" s="149"/>
      <c r="W2556" s="149"/>
      <c r="X2556" s="68"/>
      <c r="Y2556" s="68"/>
      <c r="Z2556" s="68"/>
    </row>
    <row r="2557" ht="15.0" customHeight="1">
      <c r="A2557" s="206">
        <v>46099.0</v>
      </c>
      <c r="B2557" s="201" t="s">
        <v>8954</v>
      </c>
      <c r="C2557" s="45" t="s">
        <v>3246</v>
      </c>
      <c r="D2557" s="448" t="str">
        <f>IFERROR(VLOOKUP(C2557,Stock,3,FALSE),"")</f>
        <v>Toyota Calya / Sigra 16-</v>
      </c>
      <c r="E2557" s="45">
        <v>1.0</v>
      </c>
      <c r="F2557" s="198">
        <v>1150000.0</v>
      </c>
      <c r="G2557" s="142">
        <f t="shared" si="74"/>
        <v>1150000</v>
      </c>
      <c r="H2557" s="142"/>
      <c r="I2557" s="143">
        <f t="shared" si="71"/>
        <v>1150000</v>
      </c>
      <c r="J2557" s="144">
        <f t="shared" si="70"/>
        <v>1150000</v>
      </c>
      <c r="K2557" s="17"/>
      <c r="L2557" s="17"/>
      <c r="M2557" s="17"/>
      <c r="N2557" s="68"/>
      <c r="O2557" s="68"/>
      <c r="P2557" s="68"/>
      <c r="Q2557" s="149"/>
      <c r="R2557" s="149"/>
      <c r="S2557" s="149"/>
      <c r="T2557" s="149"/>
      <c r="U2557" s="149"/>
      <c r="V2557" s="149"/>
      <c r="W2557" s="149"/>
      <c r="X2557" s="68"/>
      <c r="Y2557" s="68"/>
      <c r="Z2557" s="68"/>
    </row>
    <row r="2558" ht="15.0" customHeight="1">
      <c r="A2558" s="206">
        <v>46099.0</v>
      </c>
      <c r="B2558" s="201" t="s">
        <v>8955</v>
      </c>
      <c r="C2558" s="64" t="s">
        <v>8956</v>
      </c>
      <c r="D2558" s="448" t="str">
        <f>IFERROR(VLOOKUP(C2558,Stock,3,FALSE),"")</f>
        <v>Mitsubishi Pajero 20-23 (1 Sensor / □ ) (Mitsubishi)</v>
      </c>
      <c r="E2558" s="45">
        <v>1.0</v>
      </c>
      <c r="F2558" s="198">
        <v>4272000.0</v>
      </c>
      <c r="G2558" s="142">
        <f t="shared" si="74"/>
        <v>4272000</v>
      </c>
      <c r="H2558" s="142"/>
      <c r="I2558" s="143">
        <f t="shared" si="71"/>
        <v>4272000</v>
      </c>
      <c r="J2558" s="144">
        <f t="shared" si="70"/>
        <v>4272000</v>
      </c>
      <c r="K2558" s="64" t="s">
        <v>8957</v>
      </c>
      <c r="L2558" s="199" t="s">
        <v>8958</v>
      </c>
      <c r="M2558" s="17"/>
      <c r="N2558" s="64" t="s">
        <v>8959</v>
      </c>
      <c r="O2558" s="68"/>
      <c r="P2558" s="68"/>
      <c r="Q2558" s="149"/>
      <c r="R2558" s="149"/>
      <c r="S2558" s="149"/>
      <c r="T2558" s="141">
        <v>4272000.0</v>
      </c>
      <c r="U2558" s="149"/>
      <c r="V2558" s="149"/>
      <c r="W2558" s="149"/>
      <c r="X2558" s="64" t="s">
        <v>7976</v>
      </c>
      <c r="Y2558" s="68"/>
      <c r="Z2558" s="68"/>
    </row>
    <row r="2559" ht="15.0" customHeight="1">
      <c r="A2559" s="206">
        <v>46099.0</v>
      </c>
      <c r="B2559" s="201" t="s">
        <v>8960</v>
      </c>
      <c r="C2559" s="45" t="s">
        <v>7784</v>
      </c>
      <c r="D2559" s="448" t="str">
        <f>IFERROR(VLOOKUP(C2559,Stock,3,FALSE),"")</f>
        <v>Mitsubishi Pajero 16-</v>
      </c>
      <c r="E2559" s="45">
        <v>1.0</v>
      </c>
      <c r="F2559" s="198">
        <v>1480000.0</v>
      </c>
      <c r="G2559" s="142">
        <f t="shared" si="74"/>
        <v>1480000</v>
      </c>
      <c r="H2559" s="142"/>
      <c r="I2559" s="143">
        <f t="shared" si="71"/>
        <v>1480000</v>
      </c>
      <c r="J2559" s="144">
        <f t="shared" si="70"/>
        <v>1480000</v>
      </c>
      <c r="K2559" s="64" t="s">
        <v>8961</v>
      </c>
      <c r="L2559" s="199" t="s">
        <v>8962</v>
      </c>
      <c r="M2559" s="17"/>
      <c r="N2559" s="444" t="s">
        <v>8963</v>
      </c>
      <c r="O2559" s="68"/>
      <c r="P2559" s="68"/>
      <c r="Q2559" s="149"/>
      <c r="R2559" s="149"/>
      <c r="S2559" s="141">
        <v>100000.0</v>
      </c>
      <c r="T2559" s="141">
        <v>1580000.0</v>
      </c>
      <c r="U2559" s="149"/>
      <c r="V2559" s="149"/>
      <c r="W2559" s="149"/>
      <c r="X2559" s="64" t="s">
        <v>7976</v>
      </c>
      <c r="Y2559" s="68"/>
      <c r="Z2559" s="68"/>
    </row>
    <row r="2560" ht="15.0" customHeight="1">
      <c r="A2560" s="206">
        <v>46099.0</v>
      </c>
      <c r="B2560" s="201" t="s">
        <v>8960</v>
      </c>
      <c r="C2560" s="45" t="s">
        <v>2770</v>
      </c>
      <c r="D2560" s="448" t="str">
        <f>IFERROR(VLOOKUP(C2560,Stock,3,FALSE),"")</f>
        <v>Transport</v>
      </c>
      <c r="E2560" s="45">
        <v>1.0</v>
      </c>
      <c r="F2560" s="198">
        <v>200000.0</v>
      </c>
      <c r="G2560" s="142">
        <f t="shared" si="74"/>
        <v>200000</v>
      </c>
      <c r="H2560" s="142"/>
      <c r="I2560" s="143">
        <f t="shared" si="71"/>
        <v>200000</v>
      </c>
      <c r="J2560" s="144">
        <f t="shared" si="70"/>
        <v>200000</v>
      </c>
      <c r="K2560" s="17"/>
      <c r="L2560" s="17"/>
      <c r="M2560" s="17"/>
      <c r="N2560" s="68"/>
      <c r="O2560" s="68"/>
      <c r="P2560" s="68"/>
      <c r="Q2560" s="149"/>
      <c r="R2560" s="149"/>
      <c r="S2560" s="149"/>
      <c r="T2560" s="149"/>
      <c r="U2560" s="149"/>
      <c r="V2560" s="149"/>
      <c r="W2560" s="149"/>
      <c r="X2560" s="68"/>
      <c r="Y2560" s="68"/>
      <c r="Z2560" s="68"/>
    </row>
    <row r="2561" ht="15.0" customHeight="1">
      <c r="A2561" s="441">
        <v>46099.0</v>
      </c>
      <c r="B2561" s="201" t="s">
        <v>8964</v>
      </c>
      <c r="C2561" s="64" t="s">
        <v>7318</v>
      </c>
      <c r="D2561" s="448" t="str">
        <f>IFERROR(VLOOKUP(C2561,Stock,3,FALSE),"")</f>
        <v>Toyota Avanza / Xenia 15-21 3rd Gen</v>
      </c>
      <c r="E2561" s="45">
        <v>1.0</v>
      </c>
      <c r="F2561" s="198">
        <v>1000000.0</v>
      </c>
      <c r="G2561" s="142">
        <f t="shared" si="74"/>
        <v>1000000</v>
      </c>
      <c r="H2561" s="142"/>
      <c r="I2561" s="143">
        <f t="shared" si="71"/>
        <v>1000000</v>
      </c>
      <c r="J2561" s="144">
        <f t="shared" si="70"/>
        <v>1000000</v>
      </c>
      <c r="K2561" s="64" t="s">
        <v>8965</v>
      </c>
      <c r="L2561" s="199" t="s">
        <v>8966</v>
      </c>
      <c r="M2561" s="17"/>
      <c r="N2561" s="64" t="s">
        <v>8967</v>
      </c>
      <c r="O2561" s="68"/>
      <c r="P2561" s="68"/>
      <c r="Q2561" s="149"/>
      <c r="R2561" s="149"/>
      <c r="S2561" s="149"/>
      <c r="T2561" s="149"/>
      <c r="U2561" s="149"/>
      <c r="V2561" s="149"/>
      <c r="W2561" s="149"/>
      <c r="X2561" s="64" t="s">
        <v>7976</v>
      </c>
      <c r="Y2561" s="68"/>
      <c r="Z2561" s="68"/>
    </row>
    <row r="2562" ht="15.0" customHeight="1">
      <c r="A2562" s="441">
        <v>46099.0</v>
      </c>
      <c r="B2562" s="201" t="s">
        <v>8964</v>
      </c>
      <c r="C2562" s="201" t="s">
        <v>3456</v>
      </c>
      <c r="D2562" s="448" t="str">
        <f>IFERROR(VLOOKUP(C2562,Stock,3,FALSE),"")</f>
        <v>List Kaca Depan Code 11</v>
      </c>
      <c r="E2562" s="45">
        <v>1.0</v>
      </c>
      <c r="F2562" s="198">
        <v>275000.0</v>
      </c>
      <c r="G2562" s="142">
        <f t="shared" si="74"/>
        <v>275000</v>
      </c>
      <c r="H2562" s="142"/>
      <c r="I2562" s="143"/>
      <c r="J2562" s="144" t="str">
        <f t="shared" si="70"/>
        <v/>
      </c>
      <c r="K2562" s="45"/>
      <c r="L2562" s="45"/>
      <c r="M2562" s="17"/>
      <c r="N2562" s="64"/>
      <c r="O2562" s="68"/>
      <c r="P2562" s="68"/>
      <c r="Q2562" s="149"/>
      <c r="R2562" s="149"/>
      <c r="S2562" s="149"/>
      <c r="T2562" s="141"/>
      <c r="U2562" s="149"/>
      <c r="V2562" s="149"/>
      <c r="W2562" s="149"/>
      <c r="X2562" s="64"/>
      <c r="Y2562" s="68"/>
      <c r="Z2562" s="68"/>
    </row>
    <row r="2563" ht="15.0" customHeight="1">
      <c r="A2563" s="441">
        <v>46099.0</v>
      </c>
      <c r="B2563" s="201" t="s">
        <v>8968</v>
      </c>
      <c r="C2563" s="45" t="s">
        <v>2003</v>
      </c>
      <c r="D2563" s="448" t="str">
        <f>IFERROR(VLOOKUP(C2563,Stock,3,FALSE),"")</f>
        <v>Toyota Agya/Ayla 13-22 1st Gen</v>
      </c>
      <c r="E2563" s="45">
        <v>1.0</v>
      </c>
      <c r="F2563" s="198">
        <v>950000.0</v>
      </c>
      <c r="G2563" s="142">
        <f t="shared" si="74"/>
        <v>950000</v>
      </c>
      <c r="H2563" s="142"/>
      <c r="I2563" s="143">
        <f t="shared" ref="I2563:I2606" si="75">G2563-H2563</f>
        <v>950000</v>
      </c>
      <c r="J2563" s="144">
        <f t="shared" si="70"/>
        <v>950000</v>
      </c>
      <c r="K2563" s="45" t="s">
        <v>8969</v>
      </c>
      <c r="L2563" s="199" t="s">
        <v>8970</v>
      </c>
      <c r="M2563" s="17"/>
      <c r="N2563" s="64" t="s">
        <v>8971</v>
      </c>
      <c r="O2563" s="68"/>
      <c r="P2563" s="68"/>
      <c r="Q2563" s="149"/>
      <c r="R2563" s="149"/>
      <c r="S2563" s="149"/>
      <c r="T2563" s="141">
        <v>950000.0</v>
      </c>
      <c r="U2563" s="149"/>
      <c r="V2563" s="149"/>
      <c r="W2563" s="149"/>
      <c r="X2563" s="64" t="s">
        <v>7976</v>
      </c>
      <c r="Y2563" s="68"/>
      <c r="Z2563" s="68"/>
    </row>
    <row r="2564" ht="15.0" customHeight="1">
      <c r="A2564" s="206">
        <v>46099.0</v>
      </c>
      <c r="B2564" s="201" t="s">
        <v>8972</v>
      </c>
      <c r="C2564" s="201" t="s">
        <v>5283</v>
      </c>
      <c r="D2564" s="448" t="str">
        <f>IFERROR(VLOOKUP(C2564,Stock,3,FALSE),"")</f>
        <v>BMW 3 Series 12-18 F30/F35</v>
      </c>
      <c r="E2564" s="45">
        <v>1.0</v>
      </c>
      <c r="F2564" s="198">
        <v>4502000.0</v>
      </c>
      <c r="G2564" s="142">
        <f t="shared" si="74"/>
        <v>4502000</v>
      </c>
      <c r="H2564" s="142"/>
      <c r="I2564" s="143">
        <f t="shared" si="75"/>
        <v>4502000</v>
      </c>
      <c r="J2564" s="144">
        <f t="shared" si="70"/>
        <v>4502000</v>
      </c>
      <c r="K2564" s="45" t="s">
        <v>8973</v>
      </c>
      <c r="L2564" s="199" t="s">
        <v>8974</v>
      </c>
      <c r="M2564" s="17"/>
      <c r="N2564" s="68"/>
      <c r="O2564" s="68"/>
      <c r="P2564" s="68"/>
      <c r="Q2564" s="149"/>
      <c r="R2564" s="149"/>
      <c r="S2564" s="141">
        <v>100000.0</v>
      </c>
      <c r="T2564" s="141">
        <v>4472000.0</v>
      </c>
      <c r="U2564" s="149"/>
      <c r="V2564" s="149"/>
      <c r="W2564" s="149"/>
      <c r="X2564" s="64" t="s">
        <v>8232</v>
      </c>
      <c r="Y2564" s="68"/>
      <c r="Z2564" s="68"/>
    </row>
    <row r="2565" ht="15.0" customHeight="1">
      <c r="A2565" s="206">
        <v>46099.0</v>
      </c>
      <c r="B2565" s="201" t="s">
        <v>8972</v>
      </c>
      <c r="C2565" s="45" t="s">
        <v>2770</v>
      </c>
      <c r="D2565" s="448" t="str">
        <f>IFERROR(VLOOKUP(C2565,Stock,3,FALSE),"")</f>
        <v>Transport</v>
      </c>
      <c r="E2565" s="45">
        <v>1.0</v>
      </c>
      <c r="F2565" s="198">
        <v>70000.0</v>
      </c>
      <c r="G2565" s="142">
        <f t="shared" si="74"/>
        <v>70000</v>
      </c>
      <c r="H2565" s="142"/>
      <c r="I2565" s="143">
        <f t="shared" si="75"/>
        <v>70000</v>
      </c>
      <c r="J2565" s="144">
        <f t="shared" si="70"/>
        <v>70000</v>
      </c>
      <c r="K2565" s="17"/>
      <c r="L2565" s="17"/>
      <c r="M2565" s="17"/>
      <c r="N2565" s="68"/>
      <c r="O2565" s="68"/>
      <c r="P2565" s="68"/>
      <c r="Q2565" s="149"/>
      <c r="R2565" s="149"/>
      <c r="S2565" s="141"/>
      <c r="T2565" s="141"/>
      <c r="U2565" s="149"/>
      <c r="V2565" s="149"/>
      <c r="W2565" s="149"/>
      <c r="X2565" s="64"/>
      <c r="Y2565" s="68"/>
      <c r="Z2565" s="68"/>
    </row>
    <row r="2566" ht="15.0" customHeight="1">
      <c r="A2566" s="206">
        <v>46099.0</v>
      </c>
      <c r="B2566" s="201" t="s">
        <v>8975</v>
      </c>
      <c r="C2566" s="45" t="s">
        <v>3930</v>
      </c>
      <c r="D2566" s="448" t="str">
        <f>IFERROR(VLOOKUP(C2566,Stock,3,FALSE),"")</f>
        <v>Suzuki Ertiga 18- 2nd Gen / XL7</v>
      </c>
      <c r="E2566" s="45">
        <v>1.0</v>
      </c>
      <c r="F2566" s="198">
        <v>1354000.0</v>
      </c>
      <c r="G2566" s="142">
        <f t="shared" si="74"/>
        <v>1354000</v>
      </c>
      <c r="H2566" s="142"/>
      <c r="I2566" s="143">
        <f t="shared" si="75"/>
        <v>1354000</v>
      </c>
      <c r="J2566" s="144">
        <f t="shared" si="70"/>
        <v>1354000</v>
      </c>
      <c r="K2566" s="45" t="s">
        <v>3945</v>
      </c>
      <c r="L2566" s="199" t="s">
        <v>8976</v>
      </c>
      <c r="M2566" s="17"/>
      <c r="N2566" s="64" t="s">
        <v>8977</v>
      </c>
      <c r="O2566" s="68"/>
      <c r="P2566" s="68"/>
      <c r="Q2566" s="149"/>
      <c r="R2566" s="149"/>
      <c r="S2566" s="149"/>
      <c r="T2566" s="149"/>
      <c r="U2566" s="149"/>
      <c r="V2566" s="149"/>
      <c r="W2566" s="149"/>
      <c r="X2566" s="68"/>
      <c r="Y2566" s="68"/>
      <c r="Z2566" s="68"/>
    </row>
    <row r="2567" ht="15.0" customHeight="1">
      <c r="A2567" s="206">
        <v>46099.0</v>
      </c>
      <c r="B2567" s="201" t="s">
        <v>8978</v>
      </c>
      <c r="C2567" s="64" t="s">
        <v>2792</v>
      </c>
      <c r="D2567" s="448" t="str">
        <f>IFERROR(VLOOKUP(C2567,Stock,3,FALSE),"")</f>
        <v>Toyota Calya / Sigra 16-</v>
      </c>
      <c r="E2567" s="45">
        <v>1.0</v>
      </c>
      <c r="F2567" s="198">
        <v>839000.0</v>
      </c>
      <c r="G2567" s="142">
        <f t="shared" si="74"/>
        <v>839000</v>
      </c>
      <c r="H2567" s="142"/>
      <c r="I2567" s="143">
        <f t="shared" si="75"/>
        <v>839000</v>
      </c>
      <c r="J2567" s="144">
        <f t="shared" si="70"/>
        <v>839000</v>
      </c>
      <c r="K2567" s="45" t="s">
        <v>8979</v>
      </c>
      <c r="L2567" s="146" t="s">
        <v>8980</v>
      </c>
      <c r="M2567" s="17"/>
      <c r="N2567" s="68"/>
      <c r="O2567" s="68"/>
      <c r="P2567" s="68"/>
      <c r="Q2567" s="149"/>
      <c r="R2567" s="149"/>
      <c r="S2567" s="149"/>
      <c r="T2567" s="141">
        <v>839000.0</v>
      </c>
      <c r="U2567" s="149"/>
      <c r="V2567" s="149"/>
      <c r="W2567" s="149"/>
      <c r="X2567" s="64" t="s">
        <v>8219</v>
      </c>
      <c r="Y2567" s="68"/>
      <c r="Z2567" s="68"/>
    </row>
    <row r="2568" ht="15.0" customHeight="1">
      <c r="A2568" s="206">
        <v>46099.0</v>
      </c>
      <c r="B2568" s="201" t="s">
        <v>8981</v>
      </c>
      <c r="C2568" s="64" t="s">
        <v>7161</v>
      </c>
      <c r="D2568" s="448" t="str">
        <f>IFERROR(VLOOKUP(C2568,Stock,3,FALSE),"")</f>
        <v>Honda Brio 10- / Mobilio 11-</v>
      </c>
      <c r="E2568" s="45">
        <v>1.0</v>
      </c>
      <c r="F2568" s="198">
        <v>1250000.0</v>
      </c>
      <c r="G2568" s="142">
        <f t="shared" si="74"/>
        <v>1250000</v>
      </c>
      <c r="H2568" s="142"/>
      <c r="I2568" s="143">
        <f t="shared" si="75"/>
        <v>1250000</v>
      </c>
      <c r="J2568" s="144">
        <f t="shared" si="70"/>
        <v>1250000</v>
      </c>
      <c r="K2568" s="64" t="s">
        <v>8982</v>
      </c>
      <c r="L2568" s="199" t="s">
        <v>8983</v>
      </c>
      <c r="M2568" s="17"/>
      <c r="N2568" s="64" t="s">
        <v>8984</v>
      </c>
      <c r="O2568" s="68"/>
      <c r="P2568" s="68"/>
      <c r="Q2568" s="149"/>
      <c r="R2568" s="149"/>
      <c r="S2568" s="149"/>
      <c r="T2568" s="141">
        <v>1250000.0</v>
      </c>
      <c r="U2568" s="149"/>
      <c r="V2568" s="149"/>
      <c r="W2568" s="149"/>
      <c r="X2568" s="64" t="s">
        <v>8219</v>
      </c>
      <c r="Y2568" s="68"/>
      <c r="Z2568" s="68"/>
    </row>
    <row r="2569" ht="15.0" customHeight="1">
      <c r="A2569" s="206">
        <v>45741.0</v>
      </c>
      <c r="B2569" s="201" t="s">
        <v>8985</v>
      </c>
      <c r="C2569" s="45" t="s">
        <v>8986</v>
      </c>
      <c r="D2569" s="140" t="str">
        <f>IFERROR(VLOOKUP(C2569,Stock,3,FALSE),"")</f>
        <v>Toyota Hilux Pickup 05-15</v>
      </c>
      <c r="E2569" s="45">
        <v>1.0</v>
      </c>
      <c r="F2569" s="198">
        <v>1092000.0</v>
      </c>
      <c r="G2569" s="143"/>
      <c r="H2569" s="142"/>
      <c r="I2569" s="143">
        <f t="shared" si="75"/>
        <v>0</v>
      </c>
      <c r="J2569" s="144">
        <f t="shared" si="70"/>
        <v>0</v>
      </c>
      <c r="K2569" s="45" t="s">
        <v>8987</v>
      </c>
      <c r="L2569" s="199" t="s">
        <v>8988</v>
      </c>
      <c r="M2569" s="17"/>
      <c r="N2569" s="68"/>
      <c r="O2569" s="68"/>
      <c r="P2569" s="68"/>
      <c r="Q2569" s="149"/>
      <c r="R2569" s="149"/>
      <c r="S2569" s="149"/>
      <c r="T2569" s="149"/>
      <c r="U2569" s="149"/>
      <c r="V2569" s="243"/>
      <c r="W2569" s="243"/>
      <c r="X2569" s="241" t="s">
        <v>7976</v>
      </c>
      <c r="Y2569" s="68"/>
      <c r="Z2569" s="68"/>
    </row>
    <row r="2570" ht="15.0" customHeight="1">
      <c r="A2570" s="206">
        <v>45741.0</v>
      </c>
      <c r="B2570" s="201" t="s">
        <v>8989</v>
      </c>
      <c r="C2570" s="45" t="s">
        <v>4783</v>
      </c>
      <c r="D2570" s="448" t="str">
        <f>IFERROR(VLOOKUP(C2570,Stock,3,FALSE),"")</f>
        <v>Toyota Avanza / Xenia 03-11 1st Gen</v>
      </c>
      <c r="E2570" s="45">
        <v>1.0</v>
      </c>
      <c r="F2570" s="198">
        <v>880000.0</v>
      </c>
      <c r="G2570" s="142">
        <f t="shared" ref="G2570:G2607" si="76">E2570*F2570</f>
        <v>880000</v>
      </c>
      <c r="H2570" s="142"/>
      <c r="I2570" s="143">
        <f t="shared" si="75"/>
        <v>880000</v>
      </c>
      <c r="J2570" s="144">
        <f t="shared" si="70"/>
        <v>880000</v>
      </c>
      <c r="K2570" s="45" t="s">
        <v>8990</v>
      </c>
      <c r="L2570" s="199" t="s">
        <v>8991</v>
      </c>
      <c r="M2570" s="17"/>
      <c r="N2570" s="64" t="s">
        <v>8992</v>
      </c>
      <c r="O2570" s="68"/>
      <c r="P2570" s="17"/>
      <c r="Q2570" s="149"/>
      <c r="R2570" s="149"/>
      <c r="S2570" s="149"/>
      <c r="T2570" s="149"/>
      <c r="U2570" s="149"/>
      <c r="V2570" s="149"/>
      <c r="W2570" s="149"/>
      <c r="X2570" s="68"/>
      <c r="Y2570" s="68"/>
      <c r="Z2570" s="68"/>
    </row>
    <row r="2571" ht="15.0" customHeight="1">
      <c r="A2571" s="265">
        <v>46099.0</v>
      </c>
      <c r="B2571" s="266" t="s">
        <v>8993</v>
      </c>
      <c r="C2571" s="269" t="s">
        <v>7320</v>
      </c>
      <c r="D2571" s="268" t="str">
        <f>IFERROR(VLOOKUP(C2571,Stock,3,FALSE),"")</f>
        <v>Wuling Confero (Tanpa Spionnya)</v>
      </c>
      <c r="E2571" s="269">
        <v>1.0</v>
      </c>
      <c r="F2571" s="202"/>
      <c r="G2571" s="142">
        <f t="shared" si="76"/>
        <v>0</v>
      </c>
      <c r="H2571" s="142"/>
      <c r="I2571" s="143">
        <f t="shared" si="75"/>
        <v>0</v>
      </c>
      <c r="J2571" s="144">
        <f t="shared" si="70"/>
        <v>0</v>
      </c>
      <c r="K2571" s="269" t="s">
        <v>8867</v>
      </c>
      <c r="L2571" s="17"/>
      <c r="M2571" s="17"/>
      <c r="N2571" s="68"/>
      <c r="O2571" s="68"/>
      <c r="P2571" s="68"/>
      <c r="Q2571" s="149"/>
      <c r="R2571" s="149"/>
      <c r="S2571" s="149"/>
      <c r="T2571" s="149"/>
      <c r="U2571" s="149"/>
      <c r="V2571" s="149"/>
      <c r="W2571" s="149"/>
      <c r="X2571" s="68"/>
      <c r="Y2571" s="68"/>
      <c r="Z2571" s="68"/>
    </row>
    <row r="2572" ht="15.0" customHeight="1">
      <c r="A2572" s="265">
        <v>46099.0</v>
      </c>
      <c r="B2572" s="266" t="s">
        <v>8993</v>
      </c>
      <c r="C2572" s="269" t="s">
        <v>2948</v>
      </c>
      <c r="D2572" s="268" t="str">
        <f>IFERROR(VLOOKUP(C2572,Stock,3,FALSE),"")</f>
        <v>Nissan March 10- K13</v>
      </c>
      <c r="E2572" s="269">
        <v>1.0</v>
      </c>
      <c r="F2572" s="202"/>
      <c r="G2572" s="142">
        <f t="shared" si="76"/>
        <v>0</v>
      </c>
      <c r="H2572" s="142"/>
      <c r="I2572" s="143">
        <f t="shared" si="75"/>
        <v>0</v>
      </c>
      <c r="J2572" s="144">
        <f t="shared" si="70"/>
        <v>0</v>
      </c>
      <c r="K2572" s="269" t="s">
        <v>8867</v>
      </c>
      <c r="L2572" s="17"/>
      <c r="M2572" s="17"/>
      <c r="N2572" s="68"/>
      <c r="O2572" s="68"/>
      <c r="P2572" s="68"/>
      <c r="Q2572" s="149"/>
      <c r="R2572" s="149"/>
      <c r="S2572" s="149"/>
      <c r="T2572" s="149"/>
      <c r="U2572" s="149"/>
      <c r="V2572" s="149"/>
      <c r="W2572" s="149"/>
      <c r="X2572" s="68"/>
      <c r="Y2572" s="68"/>
      <c r="Z2572" s="68"/>
    </row>
    <row r="2573" ht="15.0" customHeight="1">
      <c r="A2573" s="265">
        <v>46099.0</v>
      </c>
      <c r="B2573" s="266" t="s">
        <v>8993</v>
      </c>
      <c r="C2573" s="269" t="s">
        <v>4740</v>
      </c>
      <c r="D2573" s="268" t="str">
        <f>IFERROR(VLOOKUP(C2573,Stock,3,FALSE),"")</f>
        <v>Nissan X-Trail 13- T32 (1 Sensor)</v>
      </c>
      <c r="E2573" s="269">
        <v>1.0</v>
      </c>
      <c r="F2573" s="202"/>
      <c r="G2573" s="142">
        <f t="shared" si="76"/>
        <v>0</v>
      </c>
      <c r="H2573" s="142"/>
      <c r="I2573" s="143">
        <f t="shared" si="75"/>
        <v>0</v>
      </c>
      <c r="J2573" s="144">
        <f t="shared" si="70"/>
        <v>0</v>
      </c>
      <c r="K2573" s="269" t="s">
        <v>8867</v>
      </c>
      <c r="L2573" s="17"/>
      <c r="M2573" s="17"/>
      <c r="N2573" s="68"/>
      <c r="O2573" s="68"/>
      <c r="P2573" s="68"/>
      <c r="Q2573" s="149"/>
      <c r="R2573" s="149"/>
      <c r="S2573" s="149"/>
      <c r="T2573" s="149"/>
      <c r="U2573" s="149"/>
      <c r="V2573" s="149"/>
      <c r="W2573" s="149"/>
      <c r="X2573" s="68"/>
      <c r="Y2573" s="68"/>
      <c r="Z2573" s="68"/>
    </row>
    <row r="2574" ht="15.0" customHeight="1">
      <c r="A2574" s="265">
        <v>46099.0</v>
      </c>
      <c r="B2574" s="266" t="s">
        <v>8993</v>
      </c>
      <c r="C2574" s="269" t="s">
        <v>7425</v>
      </c>
      <c r="D2574" s="268" t="str">
        <f>IFERROR(VLOOKUP(C2574,Stock,3,FALSE),"")</f>
        <v>Honda Jazz 01-07 1st Gen</v>
      </c>
      <c r="E2574" s="269">
        <v>1.0</v>
      </c>
      <c r="F2574" s="202"/>
      <c r="G2574" s="142">
        <f t="shared" si="76"/>
        <v>0</v>
      </c>
      <c r="H2574" s="142"/>
      <c r="I2574" s="143">
        <f t="shared" si="75"/>
        <v>0</v>
      </c>
      <c r="J2574" s="144">
        <f t="shared" si="70"/>
        <v>0</v>
      </c>
      <c r="K2574" s="269" t="s">
        <v>8867</v>
      </c>
      <c r="L2574" s="17"/>
      <c r="M2574" s="17"/>
      <c r="N2574" s="68"/>
      <c r="O2574" s="68"/>
      <c r="P2574" s="68"/>
      <c r="Q2574" s="149"/>
      <c r="R2574" s="149"/>
      <c r="S2574" s="149"/>
      <c r="T2574" s="149"/>
      <c r="U2574" s="149"/>
      <c r="V2574" s="149"/>
      <c r="W2574" s="149"/>
      <c r="X2574" s="68"/>
      <c r="Y2574" s="68"/>
      <c r="Z2574" s="68"/>
    </row>
    <row r="2575" ht="15.0" customHeight="1">
      <c r="A2575" s="265">
        <v>46099.0</v>
      </c>
      <c r="B2575" s="266" t="s">
        <v>8993</v>
      </c>
      <c r="C2575" s="269" t="s">
        <v>4468</v>
      </c>
      <c r="D2575" s="268" t="str">
        <f>IFERROR(VLOOKUP(C2575,Stock,3,FALSE),"")</f>
        <v>Honda CR-V 17-23 5th Gen (Honda)</v>
      </c>
      <c r="E2575" s="269">
        <v>1.0</v>
      </c>
      <c r="F2575" s="202"/>
      <c r="G2575" s="142">
        <f t="shared" si="76"/>
        <v>0</v>
      </c>
      <c r="H2575" s="142"/>
      <c r="I2575" s="143">
        <f t="shared" si="75"/>
        <v>0</v>
      </c>
      <c r="J2575" s="144">
        <f t="shared" si="70"/>
        <v>0</v>
      </c>
      <c r="K2575" s="269" t="s">
        <v>8867</v>
      </c>
      <c r="L2575" s="17"/>
      <c r="M2575" s="17"/>
      <c r="N2575" s="68"/>
      <c r="O2575" s="68"/>
      <c r="P2575" s="68"/>
      <c r="Q2575" s="149"/>
      <c r="R2575" s="149"/>
      <c r="S2575" s="149"/>
      <c r="T2575" s="149"/>
      <c r="U2575" s="149"/>
      <c r="V2575" s="149"/>
      <c r="W2575" s="149"/>
      <c r="X2575" s="68"/>
      <c r="Y2575" s="68"/>
      <c r="Z2575" s="68"/>
    </row>
    <row r="2576" ht="15.0" customHeight="1">
      <c r="A2576" s="265">
        <v>46099.0</v>
      </c>
      <c r="B2576" s="266" t="s">
        <v>8993</v>
      </c>
      <c r="C2576" s="269" t="s">
        <v>4936</v>
      </c>
      <c r="D2576" s="268" t="str">
        <f>IFERROR(VLOOKUP(C2576,Stock,3,FALSE),"")</f>
        <v>Toyota Sienta 15-</v>
      </c>
      <c r="E2576" s="269">
        <v>1.0</v>
      </c>
      <c r="F2576" s="202"/>
      <c r="G2576" s="142">
        <f t="shared" si="76"/>
        <v>0</v>
      </c>
      <c r="H2576" s="142"/>
      <c r="I2576" s="143">
        <f t="shared" si="75"/>
        <v>0</v>
      </c>
      <c r="J2576" s="144">
        <f t="shared" si="70"/>
        <v>0</v>
      </c>
      <c r="K2576" s="269" t="s">
        <v>8867</v>
      </c>
      <c r="L2576" s="17"/>
      <c r="M2576" s="17"/>
      <c r="N2576" s="68"/>
      <c r="O2576" s="68"/>
      <c r="P2576" s="68"/>
      <c r="Q2576" s="149"/>
      <c r="R2576" s="149"/>
      <c r="S2576" s="149"/>
      <c r="T2576" s="149"/>
      <c r="U2576" s="149"/>
      <c r="V2576" s="149"/>
      <c r="W2576" s="149"/>
      <c r="X2576" s="68"/>
      <c r="Y2576" s="68"/>
      <c r="Z2576" s="68"/>
    </row>
    <row r="2577" ht="15.0" customHeight="1">
      <c r="A2577" s="265">
        <v>46099.0</v>
      </c>
      <c r="B2577" s="266" t="s">
        <v>8993</v>
      </c>
      <c r="C2577" s="269" t="s">
        <v>5041</v>
      </c>
      <c r="D2577" s="268" t="str">
        <f>IFERROR(VLOOKUP(C2577,Stock,3,FALSE),"")</f>
        <v>Honda Freed 08-16 1st gen</v>
      </c>
      <c r="E2577" s="269">
        <v>1.0</v>
      </c>
      <c r="F2577" s="202"/>
      <c r="G2577" s="142">
        <f t="shared" si="76"/>
        <v>0</v>
      </c>
      <c r="H2577" s="142"/>
      <c r="I2577" s="143">
        <f t="shared" si="75"/>
        <v>0</v>
      </c>
      <c r="J2577" s="144">
        <f t="shared" si="70"/>
        <v>0</v>
      </c>
      <c r="K2577" s="269" t="s">
        <v>8867</v>
      </c>
      <c r="L2577" s="17"/>
      <c r="M2577" s="17"/>
      <c r="N2577" s="68"/>
      <c r="O2577" s="68"/>
      <c r="P2577" s="68"/>
      <c r="Q2577" s="149"/>
      <c r="R2577" s="149"/>
      <c r="S2577" s="149"/>
      <c r="T2577" s="149"/>
      <c r="U2577" s="149"/>
      <c r="V2577" s="149"/>
      <c r="W2577" s="149"/>
      <c r="X2577" s="68"/>
      <c r="Y2577" s="68"/>
      <c r="Z2577" s="68"/>
    </row>
    <row r="2578" ht="15.0" customHeight="1">
      <c r="A2578" s="265">
        <v>46099.0</v>
      </c>
      <c r="B2578" s="266" t="s">
        <v>8993</v>
      </c>
      <c r="C2578" s="269" t="s">
        <v>4674</v>
      </c>
      <c r="D2578" s="268" t="str">
        <f>IFERROR(VLOOKUP(C2578,Stock,3,FALSE),"")</f>
        <v>Toyota Alphard 08-15 ANH20 2nd Gen</v>
      </c>
      <c r="E2578" s="269">
        <v>1.0</v>
      </c>
      <c r="F2578" s="202"/>
      <c r="G2578" s="142">
        <f t="shared" si="76"/>
        <v>0</v>
      </c>
      <c r="H2578" s="142"/>
      <c r="I2578" s="143">
        <f t="shared" si="75"/>
        <v>0</v>
      </c>
      <c r="J2578" s="144">
        <f t="shared" si="70"/>
        <v>0</v>
      </c>
      <c r="K2578" s="269" t="s">
        <v>8867</v>
      </c>
      <c r="L2578" s="17"/>
      <c r="M2578" s="17"/>
      <c r="N2578" s="68"/>
      <c r="O2578" s="68"/>
      <c r="P2578" s="68"/>
      <c r="Q2578" s="149"/>
      <c r="R2578" s="149"/>
      <c r="S2578" s="149"/>
      <c r="T2578" s="149"/>
      <c r="U2578" s="149"/>
      <c r="V2578" s="149"/>
      <c r="W2578" s="149"/>
      <c r="X2578" s="68"/>
      <c r="Y2578" s="68"/>
      <c r="Z2578" s="68"/>
    </row>
    <row r="2579" ht="15.0" customHeight="1">
      <c r="A2579" s="265">
        <v>46099.0</v>
      </c>
      <c r="B2579" s="266" t="s">
        <v>8993</v>
      </c>
      <c r="C2579" s="269" t="s">
        <v>7370</v>
      </c>
      <c r="D2579" s="268" t="str">
        <f>IFERROR(VLOOKUP(C2579,Stock,3,FALSE),"")</f>
        <v>Honda City 02-08 4th Gen Idsi GD8</v>
      </c>
      <c r="E2579" s="269">
        <v>2.0</v>
      </c>
      <c r="F2579" s="202"/>
      <c r="G2579" s="142">
        <f t="shared" si="76"/>
        <v>0</v>
      </c>
      <c r="H2579" s="142"/>
      <c r="I2579" s="143">
        <f t="shared" si="75"/>
        <v>0</v>
      </c>
      <c r="J2579" s="144">
        <f t="shared" si="70"/>
        <v>0</v>
      </c>
      <c r="K2579" s="269" t="s">
        <v>8867</v>
      </c>
      <c r="L2579" s="17"/>
      <c r="M2579" s="17"/>
      <c r="N2579" s="68"/>
      <c r="O2579" s="68"/>
      <c r="P2579" s="68"/>
      <c r="Q2579" s="149"/>
      <c r="R2579" s="149"/>
      <c r="S2579" s="149"/>
      <c r="T2579" s="149"/>
      <c r="U2579" s="149"/>
      <c r="V2579" s="149"/>
      <c r="W2579" s="149"/>
      <c r="X2579" s="68"/>
      <c r="Y2579" s="68"/>
      <c r="Z2579" s="68"/>
    </row>
    <row r="2580" ht="15.0" customHeight="1">
      <c r="A2580" s="265">
        <v>46099.0</v>
      </c>
      <c r="B2580" s="266" t="s">
        <v>8993</v>
      </c>
      <c r="C2580" s="269" t="s">
        <v>3930</v>
      </c>
      <c r="D2580" s="268" t="str">
        <f>IFERROR(VLOOKUP(C2580,Stock,3,FALSE),"")</f>
        <v>Suzuki Ertiga 18- 2nd Gen / XL7</v>
      </c>
      <c r="E2580" s="269">
        <v>1.0</v>
      </c>
      <c r="F2580" s="202"/>
      <c r="G2580" s="142">
        <f t="shared" si="76"/>
        <v>0</v>
      </c>
      <c r="H2580" s="142"/>
      <c r="I2580" s="143">
        <f t="shared" si="75"/>
        <v>0</v>
      </c>
      <c r="J2580" s="144">
        <f t="shared" si="70"/>
        <v>0</v>
      </c>
      <c r="K2580" s="269" t="s">
        <v>8867</v>
      </c>
      <c r="L2580" s="17"/>
      <c r="M2580" s="17"/>
      <c r="N2580" s="68"/>
      <c r="O2580" s="68"/>
      <c r="P2580" s="68"/>
      <c r="Q2580" s="149"/>
      <c r="R2580" s="149"/>
      <c r="S2580" s="149"/>
      <c r="T2580" s="149"/>
      <c r="U2580" s="149"/>
      <c r="V2580" s="149"/>
      <c r="W2580" s="149"/>
      <c r="X2580" s="68"/>
      <c r="Y2580" s="68"/>
      <c r="Z2580" s="68"/>
    </row>
    <row r="2581" ht="15.0" customHeight="1">
      <c r="A2581" s="265">
        <v>46099.0</v>
      </c>
      <c r="B2581" s="266" t="s">
        <v>8993</v>
      </c>
      <c r="C2581" s="269" t="s">
        <v>7221</v>
      </c>
      <c r="D2581" s="268" t="str">
        <f>IFERROR(VLOOKUP(C2581,Stock,3,FALSE),"")</f>
        <v>Suzuki Ertiga 12-18 1st Gen MPV</v>
      </c>
      <c r="E2581" s="269">
        <v>2.0</v>
      </c>
      <c r="F2581" s="202"/>
      <c r="G2581" s="142">
        <f t="shared" si="76"/>
        <v>0</v>
      </c>
      <c r="H2581" s="142"/>
      <c r="I2581" s="143">
        <f t="shared" si="75"/>
        <v>0</v>
      </c>
      <c r="J2581" s="144">
        <f t="shared" si="70"/>
        <v>0</v>
      </c>
      <c r="K2581" s="269" t="s">
        <v>8867</v>
      </c>
      <c r="L2581" s="17"/>
      <c r="M2581" s="17"/>
      <c r="N2581" s="68"/>
      <c r="O2581" s="68"/>
      <c r="P2581" s="68"/>
      <c r="Q2581" s="149"/>
      <c r="R2581" s="149"/>
      <c r="S2581" s="149"/>
      <c r="T2581" s="149"/>
      <c r="U2581" s="149"/>
      <c r="V2581" s="149"/>
      <c r="W2581" s="149"/>
      <c r="X2581" s="68"/>
      <c r="Y2581" s="68"/>
      <c r="Z2581" s="68"/>
    </row>
    <row r="2582" ht="15.0" customHeight="1">
      <c r="A2582" s="265">
        <v>46099.0</v>
      </c>
      <c r="B2582" s="266" t="s">
        <v>8993</v>
      </c>
      <c r="C2582" s="269" t="s">
        <v>4375</v>
      </c>
      <c r="D2582" s="268" t="str">
        <f>IFERROR(VLOOKUP(C2582,Stock,3,FALSE),"")</f>
        <v>Mitsubishi Pajero 16- (Mitsubishi)</v>
      </c>
      <c r="E2582" s="269">
        <v>1.0</v>
      </c>
      <c r="F2582" s="202"/>
      <c r="G2582" s="142">
        <f t="shared" si="76"/>
        <v>0</v>
      </c>
      <c r="H2582" s="142"/>
      <c r="I2582" s="143">
        <f t="shared" si="75"/>
        <v>0</v>
      </c>
      <c r="J2582" s="144">
        <f t="shared" si="70"/>
        <v>0</v>
      </c>
      <c r="K2582" s="269" t="s">
        <v>8867</v>
      </c>
      <c r="L2582" s="17"/>
      <c r="M2582" s="17"/>
      <c r="N2582" s="68"/>
      <c r="O2582" s="68"/>
      <c r="P2582" s="68"/>
      <c r="Q2582" s="149"/>
      <c r="R2582" s="149"/>
      <c r="S2582" s="149"/>
      <c r="T2582" s="149"/>
      <c r="U2582" s="149"/>
      <c r="V2582" s="149"/>
      <c r="W2582" s="149"/>
      <c r="X2582" s="68"/>
      <c r="Y2582" s="68"/>
      <c r="Z2582" s="68"/>
    </row>
    <row r="2583" ht="15.0" customHeight="1">
      <c r="A2583" s="265">
        <v>46099.0</v>
      </c>
      <c r="B2583" s="266" t="s">
        <v>8993</v>
      </c>
      <c r="C2583" s="269" t="s">
        <v>3475</v>
      </c>
      <c r="D2583" s="268" t="str">
        <f>IFERROR(VLOOKUP(C2583,Stock,3,FALSE),"")</f>
        <v>Toyota Avanza / Xenia 03-11 1st Gen</v>
      </c>
      <c r="E2583" s="269">
        <v>3.0</v>
      </c>
      <c r="F2583" s="202"/>
      <c r="G2583" s="142">
        <f t="shared" si="76"/>
        <v>0</v>
      </c>
      <c r="H2583" s="142"/>
      <c r="I2583" s="143">
        <f t="shared" si="75"/>
        <v>0</v>
      </c>
      <c r="J2583" s="144">
        <f t="shared" si="70"/>
        <v>0</v>
      </c>
      <c r="K2583" s="269" t="s">
        <v>8867</v>
      </c>
      <c r="L2583" s="17"/>
      <c r="M2583" s="17"/>
      <c r="N2583" s="68"/>
      <c r="O2583" s="68"/>
      <c r="P2583" s="68"/>
      <c r="Q2583" s="149"/>
      <c r="R2583" s="149"/>
      <c r="S2583" s="149"/>
      <c r="T2583" s="149"/>
      <c r="U2583" s="149"/>
      <c r="V2583" s="149"/>
      <c r="W2583" s="149"/>
      <c r="X2583" s="68"/>
      <c r="Y2583" s="68"/>
      <c r="Z2583" s="68"/>
    </row>
    <row r="2584" ht="15.0" customHeight="1">
      <c r="A2584" s="265">
        <v>46099.0</v>
      </c>
      <c r="B2584" s="266" t="s">
        <v>8993</v>
      </c>
      <c r="C2584" s="269" t="s">
        <v>6054</v>
      </c>
      <c r="D2584" s="268" t="str">
        <f>IFERROR(VLOOKUP(C2584,Stock,3,FALSE),"")</f>
        <v>Mitsubishi Pajero 08-16</v>
      </c>
      <c r="E2584" s="269">
        <v>3.0</v>
      </c>
      <c r="F2584" s="202"/>
      <c r="G2584" s="142">
        <f t="shared" si="76"/>
        <v>0</v>
      </c>
      <c r="H2584" s="142"/>
      <c r="I2584" s="143">
        <f t="shared" si="75"/>
        <v>0</v>
      </c>
      <c r="J2584" s="144">
        <f t="shared" si="70"/>
        <v>0</v>
      </c>
      <c r="K2584" s="269" t="s">
        <v>8867</v>
      </c>
      <c r="L2584" s="17"/>
      <c r="M2584" s="17"/>
      <c r="N2584" s="68"/>
      <c r="O2584" s="68"/>
      <c r="P2584" s="68"/>
      <c r="Q2584" s="149"/>
      <c r="R2584" s="149"/>
      <c r="S2584" s="149"/>
      <c r="T2584" s="149"/>
      <c r="U2584" s="149"/>
      <c r="V2584" s="149"/>
      <c r="W2584" s="149"/>
      <c r="X2584" s="68"/>
      <c r="Y2584" s="68"/>
      <c r="Z2584" s="68"/>
    </row>
    <row r="2585" ht="15.0" customHeight="1">
      <c r="A2585" s="265">
        <v>46099.0</v>
      </c>
      <c r="B2585" s="266" t="s">
        <v>8993</v>
      </c>
      <c r="C2585" s="269" t="s">
        <v>2869</v>
      </c>
      <c r="D2585" s="268" t="str">
        <f>IFERROR(VLOOKUP(C2585,Stock,3,FALSE),"")</f>
        <v>Daihatsu Gran Max / Luxio 07-</v>
      </c>
      <c r="E2585" s="269">
        <v>3.0</v>
      </c>
      <c r="F2585" s="202"/>
      <c r="G2585" s="142">
        <f t="shared" si="76"/>
        <v>0</v>
      </c>
      <c r="H2585" s="142"/>
      <c r="I2585" s="143">
        <f t="shared" si="75"/>
        <v>0</v>
      </c>
      <c r="J2585" s="144">
        <f t="shared" si="70"/>
        <v>0</v>
      </c>
      <c r="K2585" s="269" t="s">
        <v>8867</v>
      </c>
      <c r="L2585" s="17"/>
      <c r="M2585" s="17"/>
      <c r="N2585" s="68"/>
      <c r="O2585" s="68"/>
      <c r="P2585" s="68"/>
      <c r="Q2585" s="149"/>
      <c r="R2585" s="149"/>
      <c r="S2585" s="149"/>
      <c r="T2585" s="149"/>
      <c r="U2585" s="149"/>
      <c r="V2585" s="149"/>
      <c r="W2585" s="149"/>
      <c r="X2585" s="68"/>
      <c r="Y2585" s="68"/>
      <c r="Z2585" s="68"/>
    </row>
    <row r="2586" ht="15.0" customHeight="1">
      <c r="A2586" s="265">
        <v>46099.0</v>
      </c>
      <c r="B2586" s="266" t="s">
        <v>8993</v>
      </c>
      <c r="C2586" s="269" t="s">
        <v>7220</v>
      </c>
      <c r="D2586" s="268" t="str">
        <f>IFERROR(VLOOKUP(C2586,Stock,3,FALSE),"")</f>
        <v>Toyota Rush / Terios 06-17</v>
      </c>
      <c r="E2586" s="269">
        <v>2.0</v>
      </c>
      <c r="F2586" s="202"/>
      <c r="G2586" s="142">
        <f t="shared" si="76"/>
        <v>0</v>
      </c>
      <c r="H2586" s="142"/>
      <c r="I2586" s="143">
        <f t="shared" si="75"/>
        <v>0</v>
      </c>
      <c r="J2586" s="144">
        <f t="shared" si="70"/>
        <v>0</v>
      </c>
      <c r="K2586" s="269" t="s">
        <v>8867</v>
      </c>
      <c r="L2586" s="17"/>
      <c r="M2586" s="17"/>
      <c r="N2586" s="68"/>
      <c r="O2586" s="68"/>
      <c r="P2586" s="68"/>
      <c r="Q2586" s="149"/>
      <c r="R2586" s="149"/>
      <c r="S2586" s="149"/>
      <c r="T2586" s="149"/>
      <c r="U2586" s="149"/>
      <c r="V2586" s="149"/>
      <c r="W2586" s="149"/>
      <c r="X2586" s="68"/>
      <c r="Y2586" s="68"/>
      <c r="Z2586" s="68"/>
    </row>
    <row r="2587" ht="15.0" customHeight="1">
      <c r="A2587" s="265">
        <v>46099.0</v>
      </c>
      <c r="B2587" s="266" t="s">
        <v>8993</v>
      </c>
      <c r="C2587" s="269" t="s">
        <v>4379</v>
      </c>
      <c r="D2587" s="268" t="str">
        <f>IFERROR(VLOOKUP(C2587,Stock,3,FALSE),"")</f>
        <v>Toyota Yaris 13- 2nd Gen / Vios 14- 3rd Gen</v>
      </c>
      <c r="E2587" s="269">
        <v>2.0</v>
      </c>
      <c r="F2587" s="202"/>
      <c r="G2587" s="142">
        <f t="shared" si="76"/>
        <v>0</v>
      </c>
      <c r="H2587" s="142"/>
      <c r="I2587" s="143">
        <f t="shared" si="75"/>
        <v>0</v>
      </c>
      <c r="J2587" s="144">
        <f t="shared" si="70"/>
        <v>0</v>
      </c>
      <c r="K2587" s="269" t="s">
        <v>8867</v>
      </c>
      <c r="L2587" s="17"/>
      <c r="M2587" s="17"/>
      <c r="N2587" s="68"/>
      <c r="O2587" s="68"/>
      <c r="P2587" s="68"/>
      <c r="Q2587" s="149"/>
      <c r="R2587" s="149"/>
      <c r="S2587" s="149"/>
      <c r="T2587" s="149"/>
      <c r="U2587" s="149"/>
      <c r="V2587" s="149"/>
      <c r="W2587" s="149"/>
      <c r="X2587" s="68"/>
      <c r="Y2587" s="68"/>
      <c r="Z2587" s="68"/>
    </row>
    <row r="2588" ht="15.0" customHeight="1">
      <c r="A2588" s="265">
        <v>46099.0</v>
      </c>
      <c r="B2588" s="266" t="s">
        <v>8993</v>
      </c>
      <c r="C2588" s="269" t="s">
        <v>5800</v>
      </c>
      <c r="D2588" s="268" t="str">
        <f>IFERROR(VLOOKUP(C2588,Stock,3,FALSE),"")</f>
        <v>Toyota Fortuner 15-  2nd Gen (Toyota)</v>
      </c>
      <c r="E2588" s="269">
        <v>2.0</v>
      </c>
      <c r="F2588" s="202"/>
      <c r="G2588" s="142">
        <f t="shared" si="76"/>
        <v>0</v>
      </c>
      <c r="H2588" s="142"/>
      <c r="I2588" s="143">
        <f t="shared" si="75"/>
        <v>0</v>
      </c>
      <c r="J2588" s="144">
        <f t="shared" si="70"/>
        <v>0</v>
      </c>
      <c r="K2588" s="269" t="s">
        <v>8867</v>
      </c>
      <c r="L2588" s="17"/>
      <c r="M2588" s="17"/>
      <c r="N2588" s="68"/>
      <c r="O2588" s="68"/>
      <c r="P2588" s="68"/>
      <c r="Q2588" s="149"/>
      <c r="R2588" s="149"/>
      <c r="S2588" s="149"/>
      <c r="T2588" s="149"/>
      <c r="U2588" s="149"/>
      <c r="V2588" s="149"/>
      <c r="W2588" s="149"/>
      <c r="X2588" s="68"/>
      <c r="Y2588" s="68"/>
      <c r="Z2588" s="68"/>
    </row>
    <row r="2589" ht="15.0" customHeight="1">
      <c r="A2589" s="206">
        <v>46106.0</v>
      </c>
      <c r="B2589" s="201" t="s">
        <v>8994</v>
      </c>
      <c r="C2589" s="45" t="s">
        <v>8995</v>
      </c>
      <c r="D2589" s="448" t="str">
        <f>IFERROR(VLOOKUP(C2589,Stock,3,FALSE),"")</f>
        <v>Nissan Evalia 10- X11M</v>
      </c>
      <c r="E2589" s="45">
        <v>1.0</v>
      </c>
      <c r="F2589" s="198">
        <v>1448000.0</v>
      </c>
      <c r="G2589" s="142">
        <f t="shared" si="76"/>
        <v>1448000</v>
      </c>
      <c r="H2589" s="142"/>
      <c r="I2589" s="143">
        <f t="shared" si="75"/>
        <v>1448000</v>
      </c>
      <c r="J2589" s="144">
        <f t="shared" si="70"/>
        <v>1448000</v>
      </c>
      <c r="K2589" s="45" t="s">
        <v>8996</v>
      </c>
      <c r="L2589" s="199" t="s">
        <v>8997</v>
      </c>
      <c r="M2589" s="17"/>
      <c r="N2589" s="444" t="s">
        <v>8998</v>
      </c>
      <c r="O2589" s="68"/>
      <c r="P2589" s="68"/>
      <c r="Q2589" s="149"/>
      <c r="R2589" s="149"/>
      <c r="S2589" s="149"/>
      <c r="T2589" s="141">
        <v>1448000.0</v>
      </c>
      <c r="U2589" s="149"/>
      <c r="V2589" s="149"/>
      <c r="W2589" s="149"/>
      <c r="X2589" s="64" t="s">
        <v>7976</v>
      </c>
      <c r="Y2589" s="68"/>
      <c r="Z2589" s="68"/>
    </row>
    <row r="2590" ht="15.0" customHeight="1">
      <c r="A2590" s="206">
        <v>46106.0</v>
      </c>
      <c r="B2590" s="201" t="s">
        <v>8999</v>
      </c>
      <c r="C2590" s="45" t="s">
        <v>3234</v>
      </c>
      <c r="D2590" s="448" t="str">
        <f>IFERROR(VLOOKUP(C2590,Stock,3,FALSE),"")</f>
        <v>Toyota Avanza / Xenia 21- 4th Gen (Non sensor)</v>
      </c>
      <c r="E2590" s="45">
        <v>1.0</v>
      </c>
      <c r="F2590" s="198">
        <v>1390000.0</v>
      </c>
      <c r="G2590" s="142">
        <f t="shared" si="76"/>
        <v>1390000</v>
      </c>
      <c r="H2590" s="142"/>
      <c r="I2590" s="143">
        <f t="shared" si="75"/>
        <v>1390000</v>
      </c>
      <c r="J2590" s="144">
        <f t="shared" si="70"/>
        <v>1390000</v>
      </c>
      <c r="K2590" s="45" t="s">
        <v>9000</v>
      </c>
      <c r="L2590" s="199" t="s">
        <v>9001</v>
      </c>
      <c r="M2590" s="17"/>
      <c r="N2590" s="64" t="s">
        <v>9002</v>
      </c>
      <c r="O2590" s="68"/>
      <c r="P2590" s="68"/>
      <c r="Q2590" s="149"/>
      <c r="R2590" s="149"/>
      <c r="S2590" s="143"/>
      <c r="T2590" s="141">
        <v>1390000.0</v>
      </c>
      <c r="U2590" s="149"/>
      <c r="V2590" s="149"/>
      <c r="W2590" s="149"/>
      <c r="X2590" s="64" t="s">
        <v>7976</v>
      </c>
      <c r="Y2590" s="68"/>
      <c r="Z2590" s="68"/>
    </row>
    <row r="2591" ht="15.0" customHeight="1">
      <c r="A2591" s="206">
        <v>46106.0</v>
      </c>
      <c r="B2591" s="201" t="s">
        <v>9003</v>
      </c>
      <c r="C2591" s="45" t="s">
        <v>4307</v>
      </c>
      <c r="D2591" s="448" t="str">
        <f>IFERROR(VLOOKUP(C2591,Stock,3,FALSE),"")</f>
        <v>Honda City 02-08 4th Gen Idsi GD8 (4 Colokan)</v>
      </c>
      <c r="E2591" s="45">
        <v>1.0</v>
      </c>
      <c r="F2591" s="198">
        <v>1843000.0</v>
      </c>
      <c r="G2591" s="142">
        <f t="shared" si="76"/>
        <v>1843000</v>
      </c>
      <c r="H2591" s="142"/>
      <c r="I2591" s="143">
        <f t="shared" si="75"/>
        <v>1843000</v>
      </c>
      <c r="J2591" s="144">
        <f t="shared" si="70"/>
        <v>1843000</v>
      </c>
      <c r="K2591" s="45" t="s">
        <v>9004</v>
      </c>
      <c r="L2591" s="199" t="s">
        <v>9005</v>
      </c>
      <c r="M2591" s="17"/>
      <c r="N2591" s="64" t="s">
        <v>9006</v>
      </c>
      <c r="O2591" s="68"/>
      <c r="P2591" s="68"/>
      <c r="Q2591" s="141">
        <v>1843000.0</v>
      </c>
      <c r="R2591" s="149"/>
      <c r="S2591" s="149"/>
      <c r="T2591" s="149"/>
      <c r="U2591" s="149"/>
      <c r="V2591" s="149"/>
      <c r="W2591" s="149"/>
      <c r="X2591" s="64" t="s">
        <v>8232</v>
      </c>
      <c r="Y2591" s="68"/>
      <c r="Z2591" s="68"/>
    </row>
    <row r="2592" ht="15.0" customHeight="1">
      <c r="A2592" s="206">
        <v>46106.0</v>
      </c>
      <c r="B2592" s="201" t="s">
        <v>9007</v>
      </c>
      <c r="C2592" s="45" t="s">
        <v>5800</v>
      </c>
      <c r="D2592" s="448" t="str">
        <f>IFERROR(VLOOKUP(C2592,Stock,3,FALSE),"")</f>
        <v>Toyota Fortuner 15-  2nd Gen (Toyota)</v>
      </c>
      <c r="E2592" s="45">
        <v>1.0</v>
      </c>
      <c r="F2592" s="198">
        <v>3299000.0</v>
      </c>
      <c r="G2592" s="142">
        <f t="shared" si="76"/>
        <v>3299000</v>
      </c>
      <c r="H2592" s="142"/>
      <c r="I2592" s="143">
        <f t="shared" si="75"/>
        <v>3299000</v>
      </c>
      <c r="J2592" s="144">
        <f t="shared" si="70"/>
        <v>3299000</v>
      </c>
      <c r="K2592" s="64" t="s">
        <v>9008</v>
      </c>
      <c r="L2592" s="199" t="s">
        <v>9009</v>
      </c>
      <c r="M2592" s="17"/>
      <c r="N2592" s="68"/>
      <c r="O2592" s="68"/>
      <c r="P2592" s="68"/>
      <c r="Q2592" s="149"/>
      <c r="R2592" s="149"/>
      <c r="S2592" s="141">
        <v>100000.0</v>
      </c>
      <c r="T2592" s="141">
        <v>3369000.0</v>
      </c>
      <c r="U2592" s="149"/>
      <c r="V2592" s="149"/>
      <c r="W2592" s="149"/>
      <c r="X2592" s="64" t="s">
        <v>7976</v>
      </c>
      <c r="Y2592" s="68"/>
      <c r="Z2592" s="68"/>
    </row>
    <row r="2593" ht="15.0" customHeight="1">
      <c r="A2593" s="206">
        <v>46106.0</v>
      </c>
      <c r="B2593" s="201" t="s">
        <v>9007</v>
      </c>
      <c r="C2593" s="45" t="s">
        <v>2770</v>
      </c>
      <c r="D2593" s="448" t="str">
        <f>IFERROR(VLOOKUP(C2593,Stock,3,FALSE),"")</f>
        <v>Transport</v>
      </c>
      <c r="E2593" s="45">
        <v>1.0</v>
      </c>
      <c r="F2593" s="198">
        <v>170000.0</v>
      </c>
      <c r="G2593" s="142">
        <f t="shared" si="76"/>
        <v>170000</v>
      </c>
      <c r="H2593" s="142"/>
      <c r="I2593" s="143">
        <f t="shared" si="75"/>
        <v>170000</v>
      </c>
      <c r="J2593" s="144">
        <f t="shared" si="70"/>
        <v>170000</v>
      </c>
      <c r="K2593" s="17"/>
      <c r="L2593" s="17"/>
      <c r="M2593" s="17"/>
      <c r="N2593" s="68"/>
      <c r="O2593" s="68"/>
      <c r="P2593" s="68"/>
      <c r="Q2593" s="149"/>
      <c r="R2593" s="149"/>
      <c r="S2593" s="149"/>
      <c r="T2593" s="149"/>
      <c r="U2593" s="149"/>
      <c r="V2593" s="149"/>
      <c r="W2593" s="149"/>
      <c r="X2593" s="68"/>
      <c r="Y2593" s="68"/>
      <c r="Z2593" s="68"/>
    </row>
    <row r="2594" ht="15.0" customHeight="1">
      <c r="A2594" s="206">
        <v>46106.0</v>
      </c>
      <c r="B2594" s="398" t="s">
        <v>9010</v>
      </c>
      <c r="C2594" s="479" t="s">
        <v>9011</v>
      </c>
      <c r="D2594" s="498" t="str">
        <f>IFERROR(VLOOKUP(C2594,Stock,3,FALSE),"")</f>
        <v>Ford Everest 06-15</v>
      </c>
      <c r="E2594" s="45">
        <v>1.0</v>
      </c>
      <c r="F2594" s="198">
        <v>2028000.0</v>
      </c>
      <c r="G2594" s="142">
        <f t="shared" si="76"/>
        <v>2028000</v>
      </c>
      <c r="H2594" s="143">
        <v>128000.0</v>
      </c>
      <c r="I2594" s="143">
        <f t="shared" si="75"/>
        <v>1900000</v>
      </c>
      <c r="J2594" s="144">
        <f t="shared" si="70"/>
        <v>1900000</v>
      </c>
      <c r="K2594" s="17"/>
      <c r="L2594" s="17"/>
      <c r="M2594" s="17"/>
      <c r="N2594" s="68"/>
      <c r="O2594" s="68"/>
      <c r="P2594" s="68"/>
      <c r="Q2594" s="149"/>
      <c r="R2594" s="149"/>
      <c r="S2594" s="149"/>
      <c r="T2594" s="141">
        <v>1900000.0</v>
      </c>
      <c r="U2594" s="149"/>
      <c r="V2594" s="149"/>
      <c r="W2594" s="149"/>
      <c r="X2594" s="64" t="s">
        <v>8232</v>
      </c>
      <c r="Y2594" s="68"/>
      <c r="Z2594" s="68"/>
    </row>
    <row r="2595" ht="15.0" customHeight="1">
      <c r="A2595" s="246">
        <v>46106.0</v>
      </c>
      <c r="B2595" s="370" t="s">
        <v>9012</v>
      </c>
      <c r="C2595" s="447" t="s">
        <v>3246</v>
      </c>
      <c r="D2595" s="448" t="str">
        <f>IFERROR(VLOOKUP(C2595,Stock,3,FALSE),"")</f>
        <v>Toyota Calya / Sigra 16-</v>
      </c>
      <c r="E2595" s="447">
        <v>1.0</v>
      </c>
      <c r="F2595" s="449">
        <v>1119000.0</v>
      </c>
      <c r="G2595" s="450">
        <f t="shared" si="76"/>
        <v>1119000</v>
      </c>
      <c r="H2595" s="450"/>
      <c r="I2595" s="451">
        <f t="shared" si="75"/>
        <v>1119000</v>
      </c>
      <c r="J2595" s="144">
        <f t="shared" si="70"/>
        <v>1119000</v>
      </c>
      <c r="K2595" s="447" t="s">
        <v>9013</v>
      </c>
      <c r="L2595" s="447" t="s">
        <v>9014</v>
      </c>
      <c r="M2595" s="455"/>
      <c r="N2595" s="456"/>
      <c r="O2595" s="456"/>
      <c r="P2595" s="456"/>
      <c r="Q2595" s="459"/>
      <c r="R2595" s="459"/>
      <c r="S2595" s="458">
        <v>100000.0</v>
      </c>
      <c r="T2595" s="458">
        <v>1104000.0</v>
      </c>
      <c r="U2595" s="459"/>
      <c r="V2595" s="459"/>
      <c r="W2595" s="459"/>
      <c r="X2595" s="462" t="s">
        <v>7976</v>
      </c>
      <c r="Y2595" s="68"/>
      <c r="Z2595" s="68"/>
    </row>
    <row r="2596" ht="15.0" customHeight="1">
      <c r="A2596" s="206">
        <v>46107.0</v>
      </c>
      <c r="B2596" s="201" t="s">
        <v>9015</v>
      </c>
      <c r="C2596" s="45" t="s">
        <v>3246</v>
      </c>
      <c r="D2596" s="448" t="str">
        <f>IFERROR(VLOOKUP(C2596,Stock,3,FALSE),"")</f>
        <v>Toyota Calya / Sigra 16-</v>
      </c>
      <c r="E2596" s="45">
        <v>1.0</v>
      </c>
      <c r="F2596" s="198">
        <v>1119000.0</v>
      </c>
      <c r="G2596" s="142">
        <f t="shared" si="76"/>
        <v>1119000</v>
      </c>
      <c r="H2596" s="142"/>
      <c r="I2596" s="143">
        <f t="shared" si="75"/>
        <v>1119000</v>
      </c>
      <c r="J2596" s="144">
        <f t="shared" si="70"/>
        <v>1119000</v>
      </c>
      <c r="K2596" s="45" t="s">
        <v>9016</v>
      </c>
      <c r="L2596" s="199" t="s">
        <v>9017</v>
      </c>
      <c r="M2596" s="17"/>
      <c r="N2596" s="64" t="s">
        <v>9018</v>
      </c>
      <c r="O2596" s="68"/>
      <c r="P2596" s="68"/>
      <c r="Q2596" s="141">
        <v>1119000.0</v>
      </c>
      <c r="R2596" s="149"/>
      <c r="S2596" s="149"/>
      <c r="T2596" s="149"/>
      <c r="U2596" s="149"/>
      <c r="V2596" s="149"/>
      <c r="W2596" s="149"/>
      <c r="X2596" s="64" t="s">
        <v>8219</v>
      </c>
      <c r="Y2596" s="68"/>
      <c r="Z2596" s="68"/>
    </row>
    <row r="2597" ht="15.0" customHeight="1">
      <c r="A2597" s="206">
        <v>46107.0</v>
      </c>
      <c r="B2597" s="201" t="s">
        <v>9019</v>
      </c>
      <c r="C2597" s="45" t="s">
        <v>3193</v>
      </c>
      <c r="D2597" s="448" t="str">
        <f>IFERROR(VLOOKUP(C2597,Stock,3,FALSE),"")</f>
        <v>Toyota Avanza / Xenia 11-15 2nd Gen</v>
      </c>
      <c r="E2597" s="45">
        <v>1.0</v>
      </c>
      <c r="F2597" s="198">
        <v>1200000.0</v>
      </c>
      <c r="G2597" s="142">
        <f t="shared" si="76"/>
        <v>1200000</v>
      </c>
      <c r="H2597" s="142"/>
      <c r="I2597" s="143">
        <f t="shared" si="75"/>
        <v>1200000</v>
      </c>
      <c r="J2597" s="144">
        <f t="shared" si="70"/>
        <v>1200000</v>
      </c>
      <c r="K2597" s="45" t="s">
        <v>9020</v>
      </c>
      <c r="L2597" s="199" t="s">
        <v>9021</v>
      </c>
      <c r="M2597" s="17"/>
      <c r="N2597" s="64" t="s">
        <v>9022</v>
      </c>
      <c r="O2597" s="68"/>
      <c r="P2597" s="68"/>
      <c r="Q2597" s="149"/>
      <c r="R2597" s="149"/>
      <c r="S2597" s="149"/>
      <c r="T2597" s="149"/>
      <c r="U2597" s="149"/>
      <c r="V2597" s="149"/>
      <c r="W2597" s="149"/>
      <c r="X2597" s="64" t="s">
        <v>8232</v>
      </c>
      <c r="Y2597" s="68"/>
      <c r="Z2597" s="68"/>
    </row>
    <row r="2598" ht="15.0" customHeight="1">
      <c r="A2598" s="206">
        <v>46107.0</v>
      </c>
      <c r="B2598" s="201" t="s">
        <v>9019</v>
      </c>
      <c r="C2598" s="45" t="s">
        <v>7011</v>
      </c>
      <c r="D2598" s="448" t="str">
        <f>IFERROR(VLOOKUP(C2598,Stock,3,FALSE),"")</f>
        <v>Automotive Film Standard - Black 40%				</v>
      </c>
      <c r="E2598" s="45">
        <v>1.0</v>
      </c>
      <c r="F2598" s="198">
        <v>350000.0</v>
      </c>
      <c r="G2598" s="142">
        <f t="shared" si="76"/>
        <v>350000</v>
      </c>
      <c r="H2598" s="142"/>
      <c r="I2598" s="143">
        <f t="shared" si="75"/>
        <v>350000</v>
      </c>
      <c r="J2598" s="144">
        <f t="shared" si="70"/>
        <v>350000</v>
      </c>
      <c r="K2598" s="45" t="s">
        <v>9020</v>
      </c>
      <c r="L2598" s="199" t="s">
        <v>9021</v>
      </c>
      <c r="M2598" s="17"/>
      <c r="N2598" s="45" t="s">
        <v>9022</v>
      </c>
      <c r="O2598" s="68"/>
      <c r="P2598" s="68"/>
      <c r="Q2598" s="149"/>
      <c r="R2598" s="149"/>
      <c r="S2598" s="149"/>
      <c r="T2598" s="149"/>
      <c r="U2598" s="149"/>
      <c r="V2598" s="149"/>
      <c r="W2598" s="149"/>
      <c r="X2598" s="68"/>
      <c r="Y2598" s="68"/>
      <c r="Z2598" s="68"/>
    </row>
    <row r="2599" ht="15.0" customHeight="1">
      <c r="A2599" s="206">
        <v>46107.0</v>
      </c>
      <c r="B2599" s="201" t="s">
        <v>9019</v>
      </c>
      <c r="C2599" s="45" t="s">
        <v>3456</v>
      </c>
      <c r="D2599" s="448" t="str">
        <f>IFERROR(VLOOKUP(C2599,Stock,3,FALSE),"")</f>
        <v>List Kaca Depan Code 11</v>
      </c>
      <c r="E2599" s="45">
        <v>1.0</v>
      </c>
      <c r="F2599" s="198">
        <v>275000.0</v>
      </c>
      <c r="G2599" s="142">
        <f t="shared" si="76"/>
        <v>275000</v>
      </c>
      <c r="H2599" s="142"/>
      <c r="I2599" s="143">
        <f t="shared" si="75"/>
        <v>275000</v>
      </c>
      <c r="J2599" s="144">
        <f t="shared" si="70"/>
        <v>275000</v>
      </c>
      <c r="K2599" s="45" t="s">
        <v>9020</v>
      </c>
      <c r="L2599" s="199" t="s">
        <v>9021</v>
      </c>
      <c r="M2599" s="17"/>
      <c r="N2599" s="68"/>
      <c r="O2599" s="68"/>
      <c r="P2599" s="68"/>
      <c r="Q2599" s="149"/>
      <c r="R2599" s="149"/>
      <c r="S2599" s="149"/>
      <c r="T2599" s="149"/>
      <c r="U2599" s="149"/>
      <c r="V2599" s="149"/>
      <c r="W2599" s="149"/>
      <c r="X2599" s="68"/>
      <c r="Y2599" s="68"/>
      <c r="Z2599" s="68"/>
    </row>
    <row r="2600" ht="15.0" customHeight="1">
      <c r="A2600" s="206">
        <v>46107.0</v>
      </c>
      <c r="B2600" s="201" t="s">
        <v>9023</v>
      </c>
      <c r="C2600" s="45" t="s">
        <v>2003</v>
      </c>
      <c r="D2600" s="448" t="str">
        <f>IFERROR(VLOOKUP(C2600,Stock,3,FALSE),"")</f>
        <v>Toyota Agya/Ayla 13-22 1st Gen</v>
      </c>
      <c r="E2600" s="45">
        <v>1.0</v>
      </c>
      <c r="F2600" s="198">
        <v>950000.0</v>
      </c>
      <c r="G2600" s="142">
        <f t="shared" si="76"/>
        <v>950000</v>
      </c>
      <c r="H2600" s="142"/>
      <c r="I2600" s="143">
        <f t="shared" si="75"/>
        <v>950000</v>
      </c>
      <c r="J2600" s="144">
        <f t="shared" si="70"/>
        <v>950000</v>
      </c>
      <c r="K2600" s="245" t="s">
        <v>9024</v>
      </c>
      <c r="L2600" s="318" t="s">
        <v>9025</v>
      </c>
      <c r="M2600" s="17"/>
      <c r="N2600" s="64" t="s">
        <v>9026</v>
      </c>
      <c r="O2600" s="68"/>
      <c r="P2600" s="68"/>
      <c r="Q2600" s="149"/>
      <c r="R2600" s="149"/>
      <c r="S2600" s="149"/>
      <c r="T2600" s="141">
        <v>1300000.0</v>
      </c>
      <c r="U2600" s="149"/>
      <c r="V2600" s="149"/>
      <c r="W2600" s="149"/>
      <c r="X2600" s="64" t="s">
        <v>7976</v>
      </c>
      <c r="Y2600" s="68"/>
      <c r="Z2600" s="68"/>
    </row>
    <row r="2601" ht="15.0" customHeight="1">
      <c r="A2601" s="206">
        <v>46107.0</v>
      </c>
      <c r="B2601" s="201" t="s">
        <v>9023</v>
      </c>
      <c r="C2601" s="45" t="s">
        <v>7011</v>
      </c>
      <c r="D2601" s="448" t="str">
        <f>IFERROR(VLOOKUP(C2601,Stock,3,FALSE),"")</f>
        <v>Automotive Film Standard - Black 40%				</v>
      </c>
      <c r="E2601" s="45">
        <v>1.0</v>
      </c>
      <c r="F2601" s="198">
        <v>350000.0</v>
      </c>
      <c r="G2601" s="142">
        <f t="shared" si="76"/>
        <v>350000</v>
      </c>
      <c r="H2601" s="142"/>
      <c r="I2601" s="143">
        <f t="shared" si="75"/>
        <v>350000</v>
      </c>
      <c r="J2601" s="144">
        <f t="shared" si="70"/>
        <v>350000</v>
      </c>
      <c r="K2601" s="245" t="s">
        <v>9024</v>
      </c>
      <c r="L2601" s="17"/>
      <c r="M2601" s="17"/>
      <c r="N2601" s="68"/>
      <c r="O2601" s="68"/>
      <c r="P2601" s="68"/>
      <c r="Q2601" s="149"/>
      <c r="R2601" s="149"/>
      <c r="S2601" s="149"/>
      <c r="T2601" s="149"/>
      <c r="U2601" s="149"/>
      <c r="V2601" s="149"/>
      <c r="W2601" s="149"/>
      <c r="X2601" s="68"/>
      <c r="Y2601" s="68"/>
      <c r="Z2601" s="68"/>
    </row>
    <row r="2602" ht="15.0" customHeight="1">
      <c r="A2602" s="246">
        <v>46107.0</v>
      </c>
      <c r="B2602" s="370" t="s">
        <v>9027</v>
      </c>
      <c r="C2602" s="534" t="s">
        <v>9028</v>
      </c>
      <c r="D2602" s="448" t="str">
        <f>IFERROR(VLOOKUP(C2602,Stock,3,FALSE),"")</f>
        <v>Mers-Benz C-Class 07-14 W204</v>
      </c>
      <c r="E2602" s="447">
        <v>1.0</v>
      </c>
      <c r="F2602" s="449">
        <v>2870000.0</v>
      </c>
      <c r="G2602" s="142">
        <f t="shared" si="76"/>
        <v>2870000</v>
      </c>
      <c r="H2602" s="142"/>
      <c r="I2602" s="143">
        <f t="shared" si="75"/>
        <v>2870000</v>
      </c>
      <c r="J2602" s="144">
        <f t="shared" si="70"/>
        <v>2870000</v>
      </c>
      <c r="K2602" s="45" t="s">
        <v>9029</v>
      </c>
      <c r="L2602" s="199" t="s">
        <v>9030</v>
      </c>
      <c r="M2602" s="17"/>
      <c r="N2602" s="64" t="s">
        <v>9031</v>
      </c>
      <c r="O2602" s="68"/>
      <c r="P2602" s="68"/>
      <c r="Q2602" s="141">
        <v>2870000.0</v>
      </c>
      <c r="R2602" s="149"/>
      <c r="S2602" s="149"/>
      <c r="T2602" s="149"/>
      <c r="U2602" s="149"/>
      <c r="V2602" s="149"/>
      <c r="W2602" s="149"/>
      <c r="X2602" s="64" t="s">
        <v>7976</v>
      </c>
      <c r="Y2602" s="68"/>
      <c r="Z2602" s="68"/>
    </row>
    <row r="2603" ht="15.0" customHeight="1">
      <c r="A2603" s="535">
        <v>46107.0</v>
      </c>
      <c r="B2603" s="536" t="s">
        <v>9032</v>
      </c>
      <c r="C2603" s="537" t="s">
        <v>2778</v>
      </c>
      <c r="D2603" s="538" t="str">
        <f>IFERROR(VLOOKUP(C2603,Stock,3,FALSE),"")</f>
        <v>Bongkar Pasang Kaca Mobil Depan</v>
      </c>
      <c r="E2603" s="45">
        <v>1.0</v>
      </c>
      <c r="F2603" s="198">
        <v>600000.0</v>
      </c>
      <c r="G2603" s="142">
        <f t="shared" si="76"/>
        <v>600000</v>
      </c>
      <c r="H2603" s="142"/>
      <c r="I2603" s="143">
        <f t="shared" si="75"/>
        <v>600000</v>
      </c>
      <c r="J2603" s="144">
        <f t="shared" si="70"/>
        <v>600000</v>
      </c>
      <c r="K2603" s="17"/>
      <c r="L2603" s="17"/>
      <c r="M2603" s="17"/>
      <c r="N2603" s="68"/>
      <c r="O2603" s="68"/>
      <c r="P2603" s="68"/>
      <c r="Q2603" s="149"/>
      <c r="R2603" s="149"/>
      <c r="S2603" s="149"/>
      <c r="T2603" s="149"/>
      <c r="U2603" s="149"/>
      <c r="V2603" s="149"/>
      <c r="W2603" s="149"/>
      <c r="X2603" s="68"/>
      <c r="Y2603" s="68"/>
      <c r="Z2603" s="68"/>
    </row>
    <row r="2604" ht="15.0" customHeight="1">
      <c r="A2604" s="206">
        <v>46107.0</v>
      </c>
      <c r="B2604" s="201" t="s">
        <v>9033</v>
      </c>
      <c r="C2604" s="45" t="s">
        <v>3302</v>
      </c>
      <c r="D2604" s="140" t="str">
        <f>IFERROR(VLOOKUP(C2604,Stock,3,FALSE),"")</f>
        <v>Nissan Livina 07-18 L10/L11</v>
      </c>
      <c r="E2604" s="45">
        <v>1.0</v>
      </c>
      <c r="F2604" s="198">
        <v>1292000.0</v>
      </c>
      <c r="G2604" s="142">
        <f t="shared" si="76"/>
        <v>1292000</v>
      </c>
      <c r="H2604" s="142"/>
      <c r="I2604" s="143">
        <f t="shared" si="75"/>
        <v>1292000</v>
      </c>
      <c r="J2604" s="144">
        <f t="shared" si="70"/>
        <v>1292000</v>
      </c>
      <c r="K2604" s="64" t="s">
        <v>8052</v>
      </c>
      <c r="L2604" s="199" t="s">
        <v>9034</v>
      </c>
      <c r="M2604" s="17"/>
      <c r="N2604" s="444" t="s">
        <v>9035</v>
      </c>
      <c r="O2604" s="68"/>
      <c r="P2604" s="68"/>
      <c r="Q2604" s="149"/>
      <c r="R2604" s="149"/>
      <c r="S2604" s="149"/>
      <c r="T2604" s="141">
        <v>1567000.0</v>
      </c>
      <c r="U2604" s="149"/>
      <c r="V2604" s="149"/>
      <c r="W2604" s="149"/>
      <c r="X2604" s="64" t="s">
        <v>7976</v>
      </c>
      <c r="Y2604" s="68"/>
      <c r="Z2604" s="68"/>
    </row>
    <row r="2605" ht="15.0" customHeight="1">
      <c r="A2605" s="206">
        <v>46107.0</v>
      </c>
      <c r="B2605" s="201" t="s">
        <v>9033</v>
      </c>
      <c r="C2605" s="45" t="s">
        <v>3434</v>
      </c>
      <c r="D2605" s="140" t="str">
        <f>IFERROR(VLOOKUP(C2605,Stock,3,FALSE),"")</f>
        <v>List Kaca Depan Code 04</v>
      </c>
      <c r="E2605" s="45">
        <v>1.0</v>
      </c>
      <c r="F2605" s="198">
        <v>275000.0</v>
      </c>
      <c r="G2605" s="142">
        <f t="shared" si="76"/>
        <v>275000</v>
      </c>
      <c r="H2605" s="142"/>
      <c r="I2605" s="143">
        <f t="shared" si="75"/>
        <v>275000</v>
      </c>
      <c r="J2605" s="144">
        <f t="shared" si="70"/>
        <v>275000</v>
      </c>
      <c r="K2605" s="17"/>
      <c r="L2605" s="17"/>
      <c r="M2605" s="17"/>
      <c r="N2605" s="68"/>
      <c r="O2605" s="68"/>
      <c r="P2605" s="68"/>
      <c r="Q2605" s="149"/>
      <c r="R2605" s="149"/>
      <c r="S2605" s="149"/>
      <c r="T2605" s="149"/>
      <c r="U2605" s="149"/>
      <c r="V2605" s="149"/>
      <c r="W2605" s="149"/>
      <c r="X2605" s="68"/>
      <c r="Y2605" s="68"/>
      <c r="Z2605" s="68"/>
    </row>
    <row r="2606" ht="15.0" customHeight="1">
      <c r="A2606" s="206">
        <v>46107.0</v>
      </c>
      <c r="B2606" s="201" t="s">
        <v>9036</v>
      </c>
      <c r="C2606" s="45" t="s">
        <v>3913</v>
      </c>
      <c r="D2606" s="140" t="str">
        <f>IFERROR(VLOOKUP(C2606,Stock,3,FALSE),"")</f>
        <v>BYD Seal 23- (2 Sensor / /\ O )</v>
      </c>
      <c r="E2606" s="45">
        <v>1.0</v>
      </c>
      <c r="F2606" s="198">
        <v>4200000.0</v>
      </c>
      <c r="G2606" s="142">
        <f t="shared" si="76"/>
        <v>4200000</v>
      </c>
      <c r="H2606" s="142"/>
      <c r="I2606" s="143">
        <f t="shared" si="75"/>
        <v>4200000</v>
      </c>
      <c r="J2606" s="144">
        <f t="shared" si="70"/>
        <v>4200000</v>
      </c>
      <c r="K2606" s="45" t="s">
        <v>9037</v>
      </c>
      <c r="L2606" s="199" t="s">
        <v>9038</v>
      </c>
      <c r="M2606" s="17"/>
      <c r="N2606" s="64" t="s">
        <v>9039</v>
      </c>
      <c r="O2606" s="68"/>
      <c r="P2606" s="68"/>
      <c r="Q2606" s="149"/>
      <c r="R2606" s="149"/>
      <c r="S2606" s="149"/>
      <c r="T2606" s="141">
        <v>4200000.0</v>
      </c>
      <c r="U2606" s="149"/>
      <c r="V2606" s="149"/>
      <c r="W2606" s="149"/>
      <c r="X2606" s="64" t="s">
        <v>8219</v>
      </c>
      <c r="Y2606" s="68"/>
      <c r="Z2606" s="68"/>
    </row>
    <row r="2607" ht="15.0" customHeight="1">
      <c r="A2607" s="206">
        <v>46107.0</v>
      </c>
      <c r="B2607" s="201" t="s">
        <v>9040</v>
      </c>
      <c r="C2607" s="45" t="s">
        <v>2928</v>
      </c>
      <c r="D2607" s="140" t="str">
        <f>IFERROR(VLOOKUP(C2607,Stock,3,FALSE),"")</f>
        <v>Mers-Benz E-Class 17- W213 (1 Sensor/ □ )</v>
      </c>
      <c r="E2607" s="45">
        <v>1.0</v>
      </c>
      <c r="F2607" s="198">
        <v>7590000.0</v>
      </c>
      <c r="G2607" s="142">
        <f t="shared" si="76"/>
        <v>7590000</v>
      </c>
      <c r="H2607" s="142"/>
      <c r="I2607" s="143">
        <v>7590000.0</v>
      </c>
      <c r="J2607" s="144">
        <f t="shared" si="70"/>
        <v>7590000</v>
      </c>
      <c r="K2607" s="45" t="s">
        <v>8491</v>
      </c>
      <c r="L2607" s="199" t="s">
        <v>9041</v>
      </c>
      <c r="M2607" s="17"/>
      <c r="N2607" s="64" t="s">
        <v>9042</v>
      </c>
      <c r="O2607" s="68"/>
      <c r="P2607" s="68"/>
      <c r="Q2607" s="149"/>
      <c r="R2607" s="149"/>
      <c r="S2607" s="149"/>
      <c r="T2607" s="141">
        <v>7590000.0</v>
      </c>
      <c r="U2607" s="149"/>
      <c r="V2607" s="149"/>
      <c r="W2607" s="149"/>
      <c r="X2607" s="64" t="s">
        <v>7976</v>
      </c>
      <c r="Y2607" s="68"/>
      <c r="Z2607" s="68"/>
    </row>
    <row r="2608" ht="15.0" customHeight="1">
      <c r="A2608" s="206">
        <v>46107.0</v>
      </c>
      <c r="B2608" s="201" t="s">
        <v>9043</v>
      </c>
      <c r="C2608" s="45" t="s">
        <v>9044</v>
      </c>
      <c r="D2608" s="140" t="str">
        <f>IFERROR(VLOOKUP(C2608,Stock,3,FALSE),"")</f>
        <v>Toyota Rush / Terios 18- (Toyota/Daihatsu)</v>
      </c>
      <c r="E2608" s="45">
        <v>1.0</v>
      </c>
      <c r="F2608" s="198">
        <v>950000.0</v>
      </c>
      <c r="G2608" s="143">
        <v>950000.0</v>
      </c>
      <c r="H2608" s="142"/>
      <c r="I2608" s="143">
        <v>950000.0</v>
      </c>
      <c r="J2608" s="144">
        <f t="shared" si="70"/>
        <v>950000</v>
      </c>
      <c r="K2608" s="45" t="s">
        <v>9045</v>
      </c>
      <c r="L2608" s="199" t="s">
        <v>9046</v>
      </c>
      <c r="M2608" s="17"/>
      <c r="N2608" s="68"/>
      <c r="O2608" s="68"/>
      <c r="P2608" s="68"/>
      <c r="Q2608" s="149"/>
      <c r="R2608" s="149"/>
      <c r="S2608" s="149"/>
      <c r="T2608" s="141">
        <v>950000.0</v>
      </c>
      <c r="U2608" s="149"/>
      <c r="V2608" s="149"/>
      <c r="W2608" s="149"/>
      <c r="X2608" s="64" t="s">
        <v>8232</v>
      </c>
      <c r="Y2608" s="68"/>
      <c r="Z2608" s="68"/>
    </row>
    <row r="2609" ht="15.0" customHeight="1">
      <c r="A2609" s="206">
        <v>46107.0</v>
      </c>
      <c r="B2609" s="201" t="s">
        <v>9047</v>
      </c>
      <c r="C2609" s="45" t="s">
        <v>2003</v>
      </c>
      <c r="D2609" s="140" t="str">
        <f>IFERROR(VLOOKUP(C2609,Stock,3,FALSE),"")</f>
        <v>Toyota Agya/Ayla 13-22 1st Gen</v>
      </c>
      <c r="E2609" s="45">
        <v>1.0</v>
      </c>
      <c r="F2609" s="198">
        <v>1000000.0</v>
      </c>
      <c r="G2609" s="142">
        <f t="shared" ref="G2609:G2630" si="77">E2609*F2609</f>
        <v>1000000</v>
      </c>
      <c r="H2609" s="142"/>
      <c r="I2609" s="143">
        <f t="shared" ref="I2609:I2626" si="78">G2609-H2609</f>
        <v>1000000</v>
      </c>
      <c r="J2609" s="144">
        <f t="shared" si="70"/>
        <v>1000000</v>
      </c>
      <c r="K2609" s="45" t="s">
        <v>9048</v>
      </c>
      <c r="L2609" s="45"/>
      <c r="M2609" s="17"/>
      <c r="N2609" s="68"/>
      <c r="O2609" s="68"/>
      <c r="P2609" s="68"/>
      <c r="Q2609" s="149"/>
      <c r="R2609" s="149"/>
      <c r="S2609" s="149"/>
      <c r="T2609" s="141">
        <v>1000000.0</v>
      </c>
      <c r="U2609" s="149"/>
      <c r="V2609" s="149"/>
      <c r="W2609" s="149"/>
      <c r="X2609" s="64" t="s">
        <v>8232</v>
      </c>
      <c r="Y2609" s="68"/>
      <c r="Z2609" s="68"/>
    </row>
    <row r="2610" ht="15.0" customHeight="1">
      <c r="A2610" s="206">
        <v>46107.0</v>
      </c>
      <c r="B2610" s="201" t="s">
        <v>9049</v>
      </c>
      <c r="C2610" s="45" t="s">
        <v>9050</v>
      </c>
      <c r="D2610" s="140" t="str">
        <f>IFERROR(VLOOKUP(C2610,Stock,3,FALSE),"")</f>
        <v>Mitsubishi Canter FE700 01- (PS110,125)</v>
      </c>
      <c r="E2610" s="45">
        <v>1.0</v>
      </c>
      <c r="F2610" s="198">
        <v>725000.0</v>
      </c>
      <c r="G2610" s="142">
        <f t="shared" si="77"/>
        <v>725000</v>
      </c>
      <c r="H2610" s="142"/>
      <c r="I2610" s="143">
        <f t="shared" si="78"/>
        <v>725000</v>
      </c>
      <c r="J2610" s="144">
        <f t="shared" si="70"/>
        <v>725000</v>
      </c>
      <c r="K2610" s="17"/>
      <c r="L2610" s="199" t="s">
        <v>9051</v>
      </c>
      <c r="M2610" s="17"/>
      <c r="N2610" s="68"/>
      <c r="O2610" s="68"/>
      <c r="P2610" s="68"/>
      <c r="Q2610" s="141">
        <v>725000.0</v>
      </c>
      <c r="R2610" s="149"/>
      <c r="S2610" s="149"/>
      <c r="T2610" s="149"/>
      <c r="U2610" s="149"/>
      <c r="V2610" s="149"/>
      <c r="W2610" s="149"/>
      <c r="X2610" s="68"/>
      <c r="Y2610" s="68"/>
      <c r="Z2610" s="68"/>
    </row>
    <row r="2611" ht="15.0" customHeight="1">
      <c r="A2611" s="265">
        <v>46108.0</v>
      </c>
      <c r="B2611" s="266" t="s">
        <v>9052</v>
      </c>
      <c r="C2611" s="269" t="s">
        <v>5954</v>
      </c>
      <c r="D2611" s="268" t="str">
        <f>IFERROR(VLOOKUP(C2611,Stock,3,FALSE),"")</f>
        <v>Toyota Voxy 17-</v>
      </c>
      <c r="E2611" s="269">
        <v>1.0</v>
      </c>
      <c r="F2611" s="270"/>
      <c r="G2611" s="271">
        <f t="shared" si="77"/>
        <v>0</v>
      </c>
      <c r="H2611" s="271"/>
      <c r="I2611" s="272">
        <f t="shared" si="78"/>
        <v>0</v>
      </c>
      <c r="J2611" s="273">
        <f t="shared" si="70"/>
        <v>0</v>
      </c>
      <c r="K2611" s="274"/>
      <c r="L2611" s="274"/>
      <c r="M2611" s="274"/>
      <c r="N2611" s="275"/>
      <c r="O2611" s="275"/>
      <c r="P2611" s="68"/>
      <c r="Q2611" s="149"/>
      <c r="R2611" s="149"/>
      <c r="S2611" s="149"/>
      <c r="T2611" s="149"/>
      <c r="U2611" s="149"/>
      <c r="V2611" s="149"/>
      <c r="W2611" s="149"/>
      <c r="X2611" s="68"/>
      <c r="Y2611" s="68"/>
      <c r="Z2611" s="68"/>
    </row>
    <row r="2612" ht="15.0" customHeight="1">
      <c r="A2612" s="265">
        <v>46108.0</v>
      </c>
      <c r="B2612" s="266" t="s">
        <v>9052</v>
      </c>
      <c r="C2612" s="269" t="s">
        <v>2772</v>
      </c>
      <c r="D2612" s="268" t="str">
        <f>IFERROR(VLOOKUP(C2612,Stock,3,FALSE),"")</f>
        <v>Suzuki Ignis 17-</v>
      </c>
      <c r="E2612" s="269">
        <v>1.0</v>
      </c>
      <c r="F2612" s="270"/>
      <c r="G2612" s="271">
        <f t="shared" si="77"/>
        <v>0</v>
      </c>
      <c r="H2612" s="271"/>
      <c r="I2612" s="272">
        <f t="shared" si="78"/>
        <v>0</v>
      </c>
      <c r="J2612" s="273">
        <f t="shared" si="70"/>
        <v>0</v>
      </c>
      <c r="K2612" s="274"/>
      <c r="L2612" s="274"/>
      <c r="M2612" s="274"/>
      <c r="N2612" s="275"/>
      <c r="O2612" s="275"/>
      <c r="P2612" s="68"/>
      <c r="Q2612" s="149"/>
      <c r="R2612" s="149"/>
      <c r="S2612" s="149"/>
      <c r="T2612" s="149"/>
      <c r="U2612" s="149"/>
      <c r="V2612" s="149"/>
      <c r="W2612" s="149"/>
      <c r="X2612" s="68"/>
      <c r="Y2612" s="68"/>
      <c r="Z2612" s="68"/>
    </row>
    <row r="2613" ht="15.0" customHeight="1">
      <c r="A2613" s="265">
        <v>46108.0</v>
      </c>
      <c r="B2613" s="266" t="s">
        <v>9052</v>
      </c>
      <c r="C2613" s="269" t="s">
        <v>4380</v>
      </c>
      <c r="D2613" s="268" t="str">
        <f>IFERROR(VLOOKUP(C2613,Stock,3,FALSE),"")</f>
        <v>Nissan Livina 07-12 L10 (Tanpa Lubang)</v>
      </c>
      <c r="E2613" s="269">
        <v>1.0</v>
      </c>
      <c r="F2613" s="270"/>
      <c r="G2613" s="271">
        <f t="shared" si="77"/>
        <v>0</v>
      </c>
      <c r="H2613" s="271"/>
      <c r="I2613" s="272">
        <f t="shared" si="78"/>
        <v>0</v>
      </c>
      <c r="J2613" s="273">
        <f t="shared" si="70"/>
        <v>0</v>
      </c>
      <c r="K2613" s="274"/>
      <c r="L2613" s="274"/>
      <c r="M2613" s="274"/>
      <c r="N2613" s="275"/>
      <c r="O2613" s="275"/>
      <c r="P2613" s="68"/>
      <c r="Q2613" s="149"/>
      <c r="R2613" s="149"/>
      <c r="S2613" s="149"/>
      <c r="T2613" s="149"/>
      <c r="U2613" s="149"/>
      <c r="V2613" s="149"/>
      <c r="W2613" s="149"/>
      <c r="X2613" s="68"/>
      <c r="Y2613" s="68"/>
      <c r="Z2613" s="68"/>
    </row>
    <row r="2614" ht="15.0" customHeight="1">
      <c r="A2614" s="265">
        <v>46108.0</v>
      </c>
      <c r="B2614" s="266" t="s">
        <v>9052</v>
      </c>
      <c r="C2614" s="269" t="s">
        <v>3354</v>
      </c>
      <c r="D2614" s="268" t="str">
        <f>IFERROR(VLOOKUP(C2614,Stock,3,FALSE),"")</f>
        <v>Honda Brio 10- / Mobilio 11- (Honda)</v>
      </c>
      <c r="E2614" s="269">
        <v>1.0</v>
      </c>
      <c r="F2614" s="270"/>
      <c r="G2614" s="271">
        <f t="shared" si="77"/>
        <v>0</v>
      </c>
      <c r="H2614" s="271"/>
      <c r="I2614" s="272">
        <f t="shared" si="78"/>
        <v>0</v>
      </c>
      <c r="J2614" s="273">
        <f t="shared" si="70"/>
        <v>0</v>
      </c>
      <c r="K2614" s="274"/>
      <c r="L2614" s="274"/>
      <c r="M2614" s="274"/>
      <c r="N2614" s="275"/>
      <c r="O2614" s="275"/>
      <c r="P2614" s="68"/>
      <c r="Q2614" s="149"/>
      <c r="R2614" s="149"/>
      <c r="S2614" s="149"/>
      <c r="T2614" s="149"/>
      <c r="U2614" s="149"/>
      <c r="V2614" s="149"/>
      <c r="W2614" s="149"/>
      <c r="X2614" s="68"/>
      <c r="Y2614" s="68"/>
      <c r="Z2614" s="68"/>
    </row>
    <row r="2615" ht="15.0" customHeight="1">
      <c r="A2615" s="265">
        <v>46108.0</v>
      </c>
      <c r="B2615" s="266" t="s">
        <v>9052</v>
      </c>
      <c r="C2615" s="269" t="s">
        <v>4740</v>
      </c>
      <c r="D2615" s="268" t="str">
        <f>IFERROR(VLOOKUP(C2615,Stock,3,FALSE),"")</f>
        <v>Nissan X-Trail 13- T32 (1 Sensor)</v>
      </c>
      <c r="E2615" s="269">
        <v>2.0</v>
      </c>
      <c r="F2615" s="270"/>
      <c r="G2615" s="271">
        <f t="shared" si="77"/>
        <v>0</v>
      </c>
      <c r="H2615" s="271"/>
      <c r="I2615" s="272">
        <f t="shared" si="78"/>
        <v>0</v>
      </c>
      <c r="J2615" s="273">
        <f t="shared" si="70"/>
        <v>0</v>
      </c>
      <c r="K2615" s="274"/>
      <c r="L2615" s="274"/>
      <c r="M2615" s="274"/>
      <c r="N2615" s="275"/>
      <c r="O2615" s="275"/>
      <c r="P2615" s="68"/>
      <c r="Q2615" s="149"/>
      <c r="R2615" s="149"/>
      <c r="S2615" s="149"/>
      <c r="T2615" s="149"/>
      <c r="U2615" s="149"/>
      <c r="V2615" s="149"/>
      <c r="W2615" s="149"/>
      <c r="X2615" s="68"/>
      <c r="Y2615" s="68"/>
      <c r="Z2615" s="68"/>
    </row>
    <row r="2616" ht="15.0" customHeight="1">
      <c r="A2616" s="265">
        <v>46108.0</v>
      </c>
      <c r="B2616" s="266" t="s">
        <v>9052</v>
      </c>
      <c r="C2616" s="269" t="s">
        <v>2003</v>
      </c>
      <c r="D2616" s="268" t="str">
        <f>IFERROR(VLOOKUP(C2616,Stock,3,FALSE),"")</f>
        <v>Toyota Agya/Ayla 13-22 1st Gen</v>
      </c>
      <c r="E2616" s="269">
        <v>3.0</v>
      </c>
      <c r="F2616" s="270"/>
      <c r="G2616" s="271">
        <f t="shared" si="77"/>
        <v>0</v>
      </c>
      <c r="H2616" s="271"/>
      <c r="I2616" s="272">
        <f t="shared" si="78"/>
        <v>0</v>
      </c>
      <c r="J2616" s="273">
        <f t="shared" si="70"/>
        <v>0</v>
      </c>
      <c r="K2616" s="274"/>
      <c r="L2616" s="274"/>
      <c r="M2616" s="274"/>
      <c r="N2616" s="275"/>
      <c r="O2616" s="275"/>
      <c r="P2616" s="68"/>
      <c r="Q2616" s="149"/>
      <c r="R2616" s="149"/>
      <c r="S2616" s="149"/>
      <c r="T2616" s="149"/>
      <c r="U2616" s="149"/>
      <c r="V2616" s="149"/>
      <c r="W2616" s="149"/>
      <c r="X2616" s="68"/>
      <c r="Y2616" s="68"/>
      <c r="Z2616" s="68"/>
    </row>
    <row r="2617" ht="15.0" customHeight="1">
      <c r="A2617" s="206">
        <v>46108.0</v>
      </c>
      <c r="B2617" s="201" t="s">
        <v>9053</v>
      </c>
      <c r="C2617" s="45" t="s">
        <v>4644</v>
      </c>
      <c r="D2617" s="140" t="str">
        <f>IFERROR(VLOOKUP(C2617,Stock,3,FALSE),"")</f>
        <v>Toyota Raize / Daihatsu Rocky 20-</v>
      </c>
      <c r="E2617" s="45">
        <v>1.0</v>
      </c>
      <c r="F2617" s="198">
        <v>1399000.0</v>
      </c>
      <c r="G2617" s="142">
        <f t="shared" si="77"/>
        <v>1399000</v>
      </c>
      <c r="H2617" s="142"/>
      <c r="I2617" s="143">
        <f t="shared" si="78"/>
        <v>1399000</v>
      </c>
      <c r="J2617" s="144">
        <f t="shared" si="70"/>
        <v>1399000</v>
      </c>
      <c r="K2617" s="45" t="s">
        <v>9054</v>
      </c>
      <c r="L2617" s="199" t="s">
        <v>9055</v>
      </c>
      <c r="M2617" s="17"/>
      <c r="N2617" s="68"/>
      <c r="O2617" s="68"/>
      <c r="P2617" s="68"/>
      <c r="Q2617" s="149"/>
      <c r="R2617" s="149"/>
      <c r="S2617" s="141">
        <v>100000.0</v>
      </c>
      <c r="T2617" s="141">
        <v>1450000.0</v>
      </c>
      <c r="U2617" s="149"/>
      <c r="V2617" s="149"/>
      <c r="W2617" s="149"/>
      <c r="X2617" s="64" t="s">
        <v>8219</v>
      </c>
      <c r="Y2617" s="68"/>
      <c r="Z2617" s="68"/>
    </row>
    <row r="2618" ht="15.0" customHeight="1">
      <c r="A2618" s="206">
        <v>46108.0</v>
      </c>
      <c r="B2618" s="201" t="s">
        <v>9053</v>
      </c>
      <c r="C2618" s="447" t="s">
        <v>2770</v>
      </c>
      <c r="D2618" s="140" t="str">
        <f>IFERROR(VLOOKUP(C2618,Stock,3,FALSE),"")</f>
        <v>Transport</v>
      </c>
      <c r="E2618" s="45">
        <v>1.0</v>
      </c>
      <c r="F2618" s="198">
        <v>150000.0</v>
      </c>
      <c r="G2618" s="142">
        <f t="shared" si="77"/>
        <v>150000</v>
      </c>
      <c r="H2618" s="142"/>
      <c r="I2618" s="143">
        <f t="shared" si="78"/>
        <v>150000</v>
      </c>
      <c r="J2618" s="144">
        <f t="shared" si="70"/>
        <v>150000</v>
      </c>
      <c r="K2618" s="17"/>
      <c r="L2618" s="17"/>
      <c r="M2618" s="17"/>
      <c r="N2618" s="68"/>
      <c r="O2618" s="68"/>
      <c r="P2618" s="68"/>
      <c r="Q2618" s="149"/>
      <c r="R2618" s="149"/>
      <c r="S2618" s="149"/>
      <c r="T2618" s="149"/>
      <c r="U2618" s="149"/>
      <c r="V2618" s="149"/>
      <c r="W2618" s="149"/>
      <c r="X2618" s="68"/>
      <c r="Y2618" s="68"/>
      <c r="Z2618" s="68"/>
    </row>
    <row r="2619" ht="15.0" customHeight="1">
      <c r="A2619" s="206">
        <v>46108.0</v>
      </c>
      <c r="B2619" s="201" t="s">
        <v>9056</v>
      </c>
      <c r="C2619" s="45" t="s">
        <v>8245</v>
      </c>
      <c r="D2619" s="140" t="str">
        <f>IFERROR(VLOOKUP(C2619,Stock,3,FALSE),"")</f>
        <v>Toyota Fortuner 15- 2nd Gen</v>
      </c>
      <c r="E2619" s="45">
        <v>1.0</v>
      </c>
      <c r="F2619" s="198">
        <v>1699000.0</v>
      </c>
      <c r="G2619" s="142">
        <f t="shared" si="77"/>
        <v>1699000</v>
      </c>
      <c r="H2619" s="142"/>
      <c r="I2619" s="143">
        <f t="shared" si="78"/>
        <v>1699000</v>
      </c>
      <c r="J2619" s="144">
        <f t="shared" si="70"/>
        <v>1699000</v>
      </c>
      <c r="K2619" s="45" t="s">
        <v>9057</v>
      </c>
      <c r="L2619" s="199" t="s">
        <v>9058</v>
      </c>
      <c r="M2619" s="17"/>
      <c r="N2619" s="64" t="s">
        <v>9059</v>
      </c>
      <c r="O2619" s="68"/>
      <c r="P2619" s="68"/>
      <c r="Q2619" s="149"/>
      <c r="R2619" s="149"/>
      <c r="S2619" s="149"/>
      <c r="T2619" s="141">
        <v>1699000.0</v>
      </c>
      <c r="U2619" s="149"/>
      <c r="V2619" s="149"/>
      <c r="W2619" s="149"/>
      <c r="X2619" s="64" t="s">
        <v>7976</v>
      </c>
      <c r="Y2619" s="68"/>
      <c r="Z2619" s="68"/>
    </row>
    <row r="2620" ht="15.0" customHeight="1">
      <c r="A2620" s="206">
        <v>46108.0</v>
      </c>
      <c r="B2620" s="201" t="s">
        <v>9060</v>
      </c>
      <c r="C2620" s="45" t="s">
        <v>7161</v>
      </c>
      <c r="D2620" s="140" t="str">
        <f>IFERROR(VLOOKUP(C2620,Stock,3,FALSE),"")</f>
        <v>Honda Brio 10- / Mobilio 11-</v>
      </c>
      <c r="E2620" s="45">
        <v>1.0</v>
      </c>
      <c r="F2620" s="198">
        <v>1250000.0</v>
      </c>
      <c r="G2620" s="142">
        <f t="shared" si="77"/>
        <v>1250000</v>
      </c>
      <c r="H2620" s="142"/>
      <c r="I2620" s="143">
        <f t="shared" si="78"/>
        <v>1250000</v>
      </c>
      <c r="J2620" s="144">
        <f t="shared" si="70"/>
        <v>1250000</v>
      </c>
      <c r="K2620" s="45" t="s">
        <v>9061</v>
      </c>
      <c r="L2620" s="199" t="s">
        <v>9062</v>
      </c>
      <c r="M2620" s="17"/>
      <c r="N2620" s="64" t="s">
        <v>9063</v>
      </c>
      <c r="O2620" s="68"/>
      <c r="P2620" s="68"/>
      <c r="Q2620" s="141">
        <v>1250000.0</v>
      </c>
      <c r="R2620" s="149"/>
      <c r="S2620" s="149"/>
      <c r="T2620" s="149"/>
      <c r="U2620" s="149"/>
      <c r="V2620" s="149"/>
      <c r="W2620" s="149"/>
      <c r="X2620" s="64" t="s">
        <v>7976</v>
      </c>
      <c r="Y2620" s="68"/>
      <c r="Z2620" s="68"/>
    </row>
    <row r="2621" ht="15.0" customHeight="1">
      <c r="A2621" s="206">
        <v>46108.0</v>
      </c>
      <c r="B2621" s="201" t="s">
        <v>9064</v>
      </c>
      <c r="C2621" s="45" t="s">
        <v>9065</v>
      </c>
      <c r="D2621" s="140" t="str">
        <f>IFERROR(VLOOKUP(C2621,Stock,3,FALSE),"")</f>
        <v>Nissan Serena 10-19 MKIV C26</v>
      </c>
      <c r="E2621" s="45">
        <v>1.0</v>
      </c>
      <c r="F2621" s="198">
        <v>2604000.0</v>
      </c>
      <c r="G2621" s="142">
        <f t="shared" si="77"/>
        <v>2604000</v>
      </c>
      <c r="H2621" s="143">
        <v>50000.0</v>
      </c>
      <c r="I2621" s="143">
        <f t="shared" si="78"/>
        <v>2554000</v>
      </c>
      <c r="J2621" s="144">
        <f t="shared" si="70"/>
        <v>2554000</v>
      </c>
      <c r="K2621" s="199" t="s">
        <v>9066</v>
      </c>
      <c r="L2621" s="199" t="s">
        <v>9066</v>
      </c>
      <c r="M2621" s="17"/>
      <c r="N2621" s="64" t="s">
        <v>9067</v>
      </c>
      <c r="O2621" s="68"/>
      <c r="P2621" s="68"/>
      <c r="Q2621" s="149"/>
      <c r="R2621" s="149"/>
      <c r="S2621" s="149"/>
      <c r="T2621" s="143">
        <v>2554000.0</v>
      </c>
      <c r="U2621" s="149"/>
      <c r="V2621" s="149"/>
      <c r="W2621" s="149"/>
      <c r="X2621" s="64" t="s">
        <v>7976</v>
      </c>
      <c r="Y2621" s="68"/>
      <c r="Z2621" s="68"/>
    </row>
    <row r="2622" ht="15.0" customHeight="1">
      <c r="A2622" s="206">
        <v>46108.0</v>
      </c>
      <c r="B2622" s="64" t="s">
        <v>9068</v>
      </c>
      <c r="C2622" s="45" t="s">
        <v>3138</v>
      </c>
      <c r="D2622" s="140" t="str">
        <f>IFERROR(VLOOKUP(C2622,Stock,3,FALSE),"")</f>
        <v>Toyota Fortuner 05-15 1st Gen (Hitam)</v>
      </c>
      <c r="E2622" s="45">
        <v>1.0</v>
      </c>
      <c r="F2622" s="198">
        <v>2150000.0</v>
      </c>
      <c r="G2622" s="142">
        <f t="shared" si="77"/>
        <v>2150000</v>
      </c>
      <c r="H2622" s="142"/>
      <c r="I2622" s="143">
        <f t="shared" si="78"/>
        <v>2150000</v>
      </c>
      <c r="J2622" s="144">
        <f t="shared" si="70"/>
        <v>2150000</v>
      </c>
      <c r="K2622" s="45" t="s">
        <v>8177</v>
      </c>
      <c r="L2622" s="199" t="s">
        <v>9069</v>
      </c>
      <c r="M2622" s="17"/>
      <c r="N2622" s="68"/>
      <c r="O2622" s="68"/>
      <c r="P2622" s="68"/>
      <c r="Q2622" s="149"/>
      <c r="R2622" s="149"/>
      <c r="S2622" s="141">
        <v>100000.0</v>
      </c>
      <c r="T2622" s="419">
        <v>2150000.0</v>
      </c>
      <c r="U2622" s="149"/>
      <c r="V2622" s="149"/>
      <c r="W2622" s="149"/>
      <c r="X2622" s="64" t="s">
        <v>8232</v>
      </c>
      <c r="Y2622" s="68"/>
      <c r="Z2622" s="68"/>
    </row>
    <row r="2623" ht="15.0" customHeight="1">
      <c r="A2623" s="206">
        <v>46108.0</v>
      </c>
      <c r="B2623" s="201" t="s">
        <v>9068</v>
      </c>
      <c r="C2623" s="45" t="s">
        <v>2770</v>
      </c>
      <c r="D2623" s="140" t="str">
        <f>IFERROR(VLOOKUP(C2623,Stock,3,FALSE),"")</f>
        <v>Transport</v>
      </c>
      <c r="E2623" s="45">
        <v>1.0</v>
      </c>
      <c r="F2623" s="198">
        <v>200000.0</v>
      </c>
      <c r="G2623" s="142">
        <f t="shared" si="77"/>
        <v>200000</v>
      </c>
      <c r="H2623" s="142"/>
      <c r="I2623" s="143">
        <f t="shared" si="78"/>
        <v>200000</v>
      </c>
      <c r="J2623" s="144">
        <f t="shared" si="70"/>
        <v>200000</v>
      </c>
      <c r="K2623" s="45" t="s">
        <v>8177</v>
      </c>
      <c r="L2623" s="199" t="s">
        <v>9069</v>
      </c>
      <c r="M2623" s="17"/>
      <c r="N2623" s="68"/>
      <c r="O2623" s="68"/>
      <c r="P2623" s="68"/>
      <c r="Q2623" s="149"/>
      <c r="R2623" s="149"/>
      <c r="S2623" s="149"/>
      <c r="T2623" s="149"/>
      <c r="U2623" s="149"/>
      <c r="V2623" s="149"/>
      <c r="W2623" s="149"/>
      <c r="X2623" s="68"/>
      <c r="Y2623" s="68"/>
      <c r="Z2623" s="68"/>
    </row>
    <row r="2624" ht="15.0" customHeight="1">
      <c r="A2624" s="206">
        <v>46109.0</v>
      </c>
      <c r="B2624" s="370" t="s">
        <v>9012</v>
      </c>
      <c r="C2624" s="45" t="s">
        <v>2770</v>
      </c>
      <c r="D2624" s="140" t="str">
        <f>IFERROR(VLOOKUP(C2624,Stock,3,FALSE),"")</f>
        <v>Transport</v>
      </c>
      <c r="E2624" s="45">
        <v>1.0</v>
      </c>
      <c r="F2624" s="198">
        <v>85000.0</v>
      </c>
      <c r="G2624" s="142">
        <f t="shared" si="77"/>
        <v>85000</v>
      </c>
      <c r="H2624" s="142"/>
      <c r="I2624" s="143">
        <f t="shared" si="78"/>
        <v>85000</v>
      </c>
      <c r="J2624" s="144">
        <f t="shared" si="70"/>
        <v>85000</v>
      </c>
      <c r="K2624" s="447" t="s">
        <v>9013</v>
      </c>
      <c r="L2624" s="447" t="s">
        <v>9014</v>
      </c>
      <c r="M2624" s="17"/>
      <c r="N2624" s="68"/>
      <c r="O2624" s="68"/>
      <c r="P2624" s="68"/>
      <c r="Q2624" s="149"/>
      <c r="R2624" s="149"/>
      <c r="S2624" s="149"/>
      <c r="T2624" s="149"/>
      <c r="U2624" s="149"/>
      <c r="V2624" s="149"/>
      <c r="W2624" s="149"/>
      <c r="X2624" s="64" t="s">
        <v>7976</v>
      </c>
      <c r="Y2624" s="68"/>
      <c r="Z2624" s="68"/>
    </row>
    <row r="2625" ht="15.0" customHeight="1">
      <c r="A2625" s="206">
        <v>46109.0</v>
      </c>
      <c r="B2625" s="201" t="s">
        <v>9070</v>
      </c>
      <c r="C2625" s="45" t="s">
        <v>2003</v>
      </c>
      <c r="D2625" s="140" t="str">
        <f>IFERROR(VLOOKUP(C2625,Stock,3,FALSE),"")</f>
        <v>Toyota Agya/Ayla 13-22 1st Gen</v>
      </c>
      <c r="E2625" s="45">
        <v>1.0</v>
      </c>
      <c r="F2625" s="198">
        <v>1000000.0</v>
      </c>
      <c r="G2625" s="142">
        <f t="shared" si="77"/>
        <v>1000000</v>
      </c>
      <c r="H2625" s="142"/>
      <c r="I2625" s="143">
        <f t="shared" si="78"/>
        <v>1000000</v>
      </c>
      <c r="J2625" s="144">
        <f t="shared" si="70"/>
        <v>1000000</v>
      </c>
      <c r="K2625" s="45" t="s">
        <v>9071</v>
      </c>
      <c r="L2625" s="199" t="s">
        <v>9072</v>
      </c>
      <c r="M2625" s="17"/>
      <c r="N2625" s="64" t="s">
        <v>9073</v>
      </c>
      <c r="O2625" s="68"/>
      <c r="P2625" s="68"/>
      <c r="Q2625" s="141">
        <v>100000.0</v>
      </c>
      <c r="R2625" s="149"/>
      <c r="S2625" s="149"/>
      <c r="T2625" s="141">
        <v>900000.0</v>
      </c>
      <c r="U2625" s="149"/>
      <c r="V2625" s="149"/>
      <c r="W2625" s="149"/>
      <c r="X2625" s="64" t="s">
        <v>8219</v>
      </c>
      <c r="Y2625" s="68"/>
      <c r="Z2625" s="68"/>
    </row>
    <row r="2626" ht="15.0" customHeight="1">
      <c r="A2626" s="206">
        <v>46109.0</v>
      </c>
      <c r="B2626" s="201" t="s">
        <v>9074</v>
      </c>
      <c r="C2626" s="64" t="s">
        <v>9075</v>
      </c>
      <c r="D2626" s="140" t="str">
        <f>IFERROR(VLOOKUP(C2626,Stock,3,FALSE),"")</f>
        <v>Honda Freed 08-16 1st Gen</v>
      </c>
      <c r="E2626" s="45">
        <v>1.0</v>
      </c>
      <c r="F2626" s="198">
        <v>780000.0</v>
      </c>
      <c r="G2626" s="142">
        <f t="shared" si="77"/>
        <v>780000</v>
      </c>
      <c r="H2626" s="142"/>
      <c r="I2626" s="143">
        <f t="shared" si="78"/>
        <v>780000</v>
      </c>
      <c r="J2626" s="144">
        <f t="shared" si="70"/>
        <v>780000</v>
      </c>
      <c r="K2626" s="64" t="s">
        <v>9076</v>
      </c>
      <c r="L2626" s="199" t="s">
        <v>9077</v>
      </c>
      <c r="M2626" s="17"/>
      <c r="N2626" s="68"/>
      <c r="O2626" s="68"/>
      <c r="P2626" s="68"/>
      <c r="Q2626" s="149"/>
      <c r="R2626" s="149"/>
      <c r="S2626" s="149"/>
      <c r="T2626" s="141">
        <v>780000.0</v>
      </c>
      <c r="U2626" s="149"/>
      <c r="V2626" s="149"/>
      <c r="W2626" s="149"/>
      <c r="X2626" s="64" t="s">
        <v>7976</v>
      </c>
      <c r="Y2626" s="68"/>
      <c r="Z2626" s="68"/>
    </row>
    <row r="2627" ht="15.0" customHeight="1">
      <c r="A2627" s="246">
        <v>46109.0</v>
      </c>
      <c r="B2627" s="370" t="s">
        <v>9078</v>
      </c>
      <c r="C2627" s="447" t="s">
        <v>9079</v>
      </c>
      <c r="D2627" s="448" t="str">
        <f>IFERROR(VLOOKUP(C2627,Stock,3,FALSE),"")</f>
        <v>Mazda CX-5 17- 2nd Gen KF (2 Sensor/ □Δ )</v>
      </c>
      <c r="E2627" s="45">
        <v>1.0</v>
      </c>
      <c r="F2627" s="198">
        <v>5251000.0</v>
      </c>
      <c r="G2627" s="142">
        <f t="shared" si="77"/>
        <v>5251000</v>
      </c>
      <c r="H2627" s="142"/>
      <c r="I2627" s="143" t="s">
        <v>5057</v>
      </c>
      <c r="J2627" s="144" t="str">
        <f t="shared" si="70"/>
        <v>  </v>
      </c>
      <c r="K2627" s="64" t="s">
        <v>9080</v>
      </c>
      <c r="L2627" s="199" t="s">
        <v>9081</v>
      </c>
      <c r="M2627" s="17"/>
      <c r="N2627" s="68"/>
      <c r="O2627" s="68"/>
      <c r="P2627" s="68"/>
      <c r="Q2627" s="149"/>
      <c r="R2627" s="149"/>
      <c r="S2627" s="141">
        <v>100000.0</v>
      </c>
      <c r="T2627" s="141">
        <v>5151000.0</v>
      </c>
      <c r="U2627" s="149"/>
      <c r="V2627" s="149"/>
      <c r="W2627" s="149"/>
      <c r="X2627" s="64" t="s">
        <v>7976</v>
      </c>
      <c r="Y2627" s="68"/>
      <c r="Z2627" s="68"/>
    </row>
    <row r="2628" ht="15.0" customHeight="1">
      <c r="A2628" s="206">
        <v>46109.0</v>
      </c>
      <c r="B2628" s="64" t="s">
        <v>9082</v>
      </c>
      <c r="C2628" s="45" t="s">
        <v>2837</v>
      </c>
      <c r="D2628" s="140" t="str">
        <f>IFERROR(VLOOKUP(C2628,Stock,3,FALSE),"")</f>
        <v>Toyota Corolla Cross 21-</v>
      </c>
      <c r="E2628" s="45">
        <v>1.0</v>
      </c>
      <c r="F2628" s="198">
        <v>3250000.0</v>
      </c>
      <c r="G2628" s="142">
        <f t="shared" si="77"/>
        <v>3250000</v>
      </c>
      <c r="H2628" s="142"/>
      <c r="I2628" s="143">
        <f t="shared" ref="I2628:I2652" si="79">G2628-H2628</f>
        <v>3250000</v>
      </c>
      <c r="J2628" s="144">
        <f t="shared" si="70"/>
        <v>3250000</v>
      </c>
      <c r="K2628" s="45" t="s">
        <v>9083</v>
      </c>
      <c r="L2628" s="199" t="s">
        <v>9084</v>
      </c>
      <c r="M2628" s="17"/>
      <c r="N2628" s="444" t="s">
        <v>9085</v>
      </c>
      <c r="O2628" s="68"/>
      <c r="P2628" s="68"/>
      <c r="Q2628" s="149"/>
      <c r="R2628" s="149"/>
      <c r="S2628" s="149"/>
      <c r="T2628" s="419">
        <v>3250000.0</v>
      </c>
      <c r="U2628" s="149"/>
      <c r="V2628" s="149"/>
      <c r="W2628" s="149"/>
      <c r="X2628" s="64" t="s">
        <v>7976</v>
      </c>
      <c r="Y2628" s="68"/>
      <c r="Z2628" s="68"/>
    </row>
    <row r="2629" ht="15.0" customHeight="1">
      <c r="A2629" s="206">
        <v>46109.0</v>
      </c>
      <c r="B2629" s="201" t="s">
        <v>9086</v>
      </c>
      <c r="C2629" s="45" t="s">
        <v>9087</v>
      </c>
      <c r="D2629" s="140" t="str">
        <f>IFERROR(VLOOKUP(C2629,Stock,3,FALSE),"")</f>
        <v>Toyota Avanza / Xenia 03-11 1st Gen</v>
      </c>
      <c r="E2629" s="45">
        <v>1.0</v>
      </c>
      <c r="F2629" s="198">
        <v>500000.0</v>
      </c>
      <c r="G2629" s="142">
        <f t="shared" si="77"/>
        <v>500000</v>
      </c>
      <c r="H2629" s="142"/>
      <c r="I2629" s="143">
        <f t="shared" si="79"/>
        <v>500000</v>
      </c>
      <c r="J2629" s="144">
        <f t="shared" si="70"/>
        <v>500000</v>
      </c>
      <c r="K2629" s="45" t="s">
        <v>9088</v>
      </c>
      <c r="L2629" s="199" t="s">
        <v>9089</v>
      </c>
      <c r="M2629" s="17"/>
      <c r="N2629" s="64" t="s">
        <v>9090</v>
      </c>
      <c r="O2629" s="68"/>
      <c r="P2629" s="68"/>
      <c r="Q2629" s="149"/>
      <c r="R2629" s="149"/>
      <c r="S2629" s="149"/>
      <c r="T2629" s="141">
        <v>500000.0</v>
      </c>
      <c r="U2629" s="149"/>
      <c r="V2629" s="149"/>
      <c r="W2629" s="149"/>
      <c r="X2629" s="64" t="s">
        <v>8219</v>
      </c>
      <c r="Y2629" s="68"/>
      <c r="Z2629" s="68"/>
    </row>
    <row r="2630" ht="15.0" customHeight="1">
      <c r="A2630" s="206">
        <v>46109.0</v>
      </c>
      <c r="B2630" s="201" t="s">
        <v>9091</v>
      </c>
      <c r="C2630" s="45" t="s">
        <v>7317</v>
      </c>
      <c r="D2630" s="140" t="str">
        <f>IFERROR(VLOOKUP(C2630,Stock,3,FALSE),"")</f>
        <v>Mitsubishi Xpander 17-</v>
      </c>
      <c r="E2630" s="45">
        <v>1.0</v>
      </c>
      <c r="F2630" s="198">
        <v>1550000.0</v>
      </c>
      <c r="G2630" s="142">
        <f t="shared" si="77"/>
        <v>1550000</v>
      </c>
      <c r="H2630" s="142"/>
      <c r="I2630" s="143">
        <f t="shared" si="79"/>
        <v>1550000</v>
      </c>
      <c r="J2630" s="144">
        <f t="shared" si="70"/>
        <v>1550000</v>
      </c>
      <c r="K2630" s="45" t="s">
        <v>9092</v>
      </c>
      <c r="L2630" s="199" t="s">
        <v>9093</v>
      </c>
      <c r="M2630" s="17"/>
      <c r="N2630" s="68"/>
      <c r="O2630" s="68"/>
      <c r="P2630" s="68"/>
      <c r="Q2630" s="149"/>
      <c r="R2630" s="149"/>
      <c r="S2630" s="141">
        <v>100000.0</v>
      </c>
      <c r="T2630" s="149"/>
      <c r="U2630" s="149"/>
      <c r="V2630" s="149"/>
      <c r="W2630" s="149"/>
      <c r="X2630" s="64" t="s">
        <v>7976</v>
      </c>
      <c r="Y2630" s="68"/>
      <c r="Z2630" s="68"/>
    </row>
    <row r="2631" ht="15.0" customHeight="1">
      <c r="A2631" s="206">
        <v>46109.0</v>
      </c>
      <c r="B2631" s="201" t="s">
        <v>9091</v>
      </c>
      <c r="C2631" s="45" t="s">
        <v>2770</v>
      </c>
      <c r="D2631" s="140" t="str">
        <f>IFERROR(VLOOKUP(C2631,Stock,3,FALSE),"")</f>
        <v>Transport</v>
      </c>
      <c r="E2631" s="45">
        <v>1.0</v>
      </c>
      <c r="F2631" s="198">
        <v>100000.0</v>
      </c>
      <c r="G2631" s="143">
        <v>100000.0</v>
      </c>
      <c r="H2631" s="142"/>
      <c r="I2631" s="143">
        <f t="shared" si="79"/>
        <v>100000</v>
      </c>
      <c r="J2631" s="144">
        <f t="shared" si="70"/>
        <v>100000</v>
      </c>
      <c r="K2631" s="17"/>
      <c r="L2631" s="17"/>
      <c r="M2631" s="17"/>
      <c r="N2631" s="68"/>
      <c r="O2631" s="68"/>
      <c r="P2631" s="68"/>
      <c r="Q2631" s="149"/>
      <c r="R2631" s="149"/>
      <c r="S2631" s="149"/>
      <c r="T2631" s="149"/>
      <c r="U2631" s="149"/>
      <c r="V2631" s="149"/>
      <c r="W2631" s="149"/>
      <c r="X2631" s="68"/>
      <c r="Y2631" s="68"/>
      <c r="Z2631" s="68"/>
    </row>
    <row r="2632" ht="15.0" customHeight="1">
      <c r="A2632" s="206">
        <v>46111.0</v>
      </c>
      <c r="B2632" s="201" t="s">
        <v>9094</v>
      </c>
      <c r="C2632" s="45" t="s">
        <v>5346</v>
      </c>
      <c r="D2632" s="140" t="str">
        <f>IFERROR(VLOOKUP(C2632,Stock,3,FALSE),"")</f>
        <v>Isuzu Traga</v>
      </c>
      <c r="E2632" s="45">
        <v>1.0</v>
      </c>
      <c r="F2632" s="198">
        <v>1220000.0</v>
      </c>
      <c r="G2632" s="142">
        <f t="shared" ref="G2632:G2757" si="80">E2632*F2632</f>
        <v>1220000</v>
      </c>
      <c r="H2632" s="142"/>
      <c r="I2632" s="143">
        <f t="shared" si="79"/>
        <v>1220000</v>
      </c>
      <c r="J2632" s="144">
        <f t="shared" si="70"/>
        <v>1220000</v>
      </c>
      <c r="K2632" s="45" t="s">
        <v>9095</v>
      </c>
      <c r="L2632" s="199" t="s">
        <v>9096</v>
      </c>
      <c r="M2632" s="17"/>
      <c r="N2632" s="64" t="s">
        <v>9097</v>
      </c>
      <c r="O2632" s="68"/>
      <c r="P2632" s="68"/>
      <c r="Q2632" s="149"/>
      <c r="R2632" s="149"/>
      <c r="S2632" s="149"/>
      <c r="T2632" s="141">
        <v>1220000.0</v>
      </c>
      <c r="U2632" s="149"/>
      <c r="V2632" s="149"/>
      <c r="W2632" s="149"/>
      <c r="X2632" s="64" t="s">
        <v>7976</v>
      </c>
      <c r="Y2632" s="68"/>
      <c r="Z2632" s="68"/>
    </row>
    <row r="2633" ht="15.0" customHeight="1">
      <c r="A2633" s="206">
        <v>46111.0</v>
      </c>
      <c r="B2633" s="201" t="s">
        <v>9098</v>
      </c>
      <c r="C2633" s="64" t="s">
        <v>4447</v>
      </c>
      <c r="D2633" s="140" t="str">
        <f>IFERROR(VLOOKUP(C2633,Stock,3,FALSE),"")</f>
        <v>Isuzu Elf 17- New NMR NLR</v>
      </c>
      <c r="E2633" s="45">
        <v>1.0</v>
      </c>
      <c r="F2633" s="198">
        <v>1164000.0</v>
      </c>
      <c r="G2633" s="142">
        <f t="shared" si="80"/>
        <v>1164000</v>
      </c>
      <c r="H2633" s="142"/>
      <c r="I2633" s="143">
        <f t="shared" si="79"/>
        <v>1164000</v>
      </c>
      <c r="J2633" s="144">
        <f t="shared" si="70"/>
        <v>1164000</v>
      </c>
      <c r="K2633" s="45" t="s">
        <v>9099</v>
      </c>
      <c r="L2633" s="199" t="s">
        <v>9100</v>
      </c>
      <c r="M2633" s="17"/>
      <c r="N2633" s="64" t="s">
        <v>9101</v>
      </c>
      <c r="O2633" s="68"/>
      <c r="P2633" s="68"/>
      <c r="Q2633" s="149"/>
      <c r="R2633" s="149"/>
      <c r="S2633" s="149"/>
      <c r="T2633" s="141">
        <v>1164000.0</v>
      </c>
      <c r="U2633" s="149"/>
      <c r="V2633" s="149"/>
      <c r="W2633" s="149"/>
      <c r="X2633" s="64" t="s">
        <v>8219</v>
      </c>
      <c r="Y2633" s="68"/>
      <c r="Z2633" s="68"/>
    </row>
    <row r="2634" ht="15.0" customHeight="1">
      <c r="A2634" s="539">
        <v>46111.0</v>
      </c>
      <c r="B2634" s="398" t="s">
        <v>9102</v>
      </c>
      <c r="C2634" s="398" t="s">
        <v>2778</v>
      </c>
      <c r="D2634" s="498" t="str">
        <f>IFERROR(VLOOKUP(C2634,Stock,3,FALSE),"")</f>
        <v>Bongkar Pasang Kaca Mobil Depan</v>
      </c>
      <c r="E2634" s="479">
        <v>1.0</v>
      </c>
      <c r="F2634" s="519">
        <v>600000.0</v>
      </c>
      <c r="G2634" s="520">
        <f t="shared" si="80"/>
        <v>600000</v>
      </c>
      <c r="H2634" s="520"/>
      <c r="I2634" s="521">
        <f t="shared" si="79"/>
        <v>600000</v>
      </c>
      <c r="J2634" s="144">
        <f t="shared" si="70"/>
        <v>600000</v>
      </c>
      <c r="K2634" s="479" t="s">
        <v>9103</v>
      </c>
      <c r="L2634" s="523" t="s">
        <v>9104</v>
      </c>
      <c r="M2634" s="525"/>
      <c r="N2634" s="540"/>
      <c r="O2634" s="540"/>
      <c r="P2634" s="540"/>
      <c r="Q2634" s="541"/>
      <c r="R2634" s="541"/>
      <c r="S2634" s="541"/>
      <c r="T2634" s="542">
        <v>800000.0</v>
      </c>
      <c r="U2634" s="541"/>
      <c r="V2634" s="541"/>
      <c r="W2634" s="541"/>
      <c r="X2634" s="480" t="s">
        <v>8219</v>
      </c>
      <c r="Y2634" s="540"/>
      <c r="Z2634" s="540"/>
    </row>
    <row r="2635" ht="15.0" customHeight="1">
      <c r="A2635" s="539">
        <v>46111.0</v>
      </c>
      <c r="B2635" s="398" t="s">
        <v>9102</v>
      </c>
      <c r="C2635" s="479" t="s">
        <v>4979</v>
      </c>
      <c r="D2635" s="498" t="str">
        <f>IFERROR(VLOOKUP(C2635,Stock,3,FALSE),"")</f>
        <v>255 Ultra + Actv-100 Application</v>
      </c>
      <c r="E2635" s="479">
        <v>1.0</v>
      </c>
      <c r="F2635" s="519">
        <v>200000.0</v>
      </c>
      <c r="G2635" s="520">
        <f t="shared" si="80"/>
        <v>200000</v>
      </c>
      <c r="H2635" s="520"/>
      <c r="I2635" s="521">
        <f t="shared" si="79"/>
        <v>200000</v>
      </c>
      <c r="J2635" s="144">
        <f t="shared" si="70"/>
        <v>200000</v>
      </c>
      <c r="K2635" s="525"/>
      <c r="L2635" s="525"/>
      <c r="M2635" s="525"/>
      <c r="N2635" s="540"/>
      <c r="O2635" s="540"/>
      <c r="P2635" s="540"/>
      <c r="Q2635" s="541"/>
      <c r="R2635" s="541"/>
      <c r="S2635" s="541"/>
      <c r="T2635" s="541"/>
      <c r="U2635" s="541"/>
      <c r="V2635" s="541"/>
      <c r="W2635" s="541"/>
      <c r="X2635" s="480" t="s">
        <v>8219</v>
      </c>
      <c r="Y2635" s="540"/>
      <c r="Z2635" s="540"/>
    </row>
    <row r="2636" ht="15.0" customHeight="1">
      <c r="A2636" s="249">
        <v>46111.0</v>
      </c>
      <c r="B2636" s="250" t="s">
        <v>9105</v>
      </c>
      <c r="C2636" s="251" t="s">
        <v>2995</v>
      </c>
      <c r="D2636" s="252" t="str">
        <f>IFERROR(VLOOKUP(C2636,Stock,3,FALSE),"")</f>
        <v>Honda CR-V 02-04 2nd Gen (Spion Jepit)</v>
      </c>
      <c r="E2636" s="251">
        <v>1.0</v>
      </c>
      <c r="F2636" s="253">
        <v>514000.0</v>
      </c>
      <c r="G2636" s="254">
        <f t="shared" si="80"/>
        <v>514000</v>
      </c>
      <c r="H2636" s="254"/>
      <c r="I2636" s="255">
        <f t="shared" si="79"/>
        <v>514000</v>
      </c>
      <c r="J2636" s="144">
        <f t="shared" si="70"/>
        <v>514000</v>
      </c>
      <c r="K2636" s="543" t="s">
        <v>9106</v>
      </c>
      <c r="L2636" s="251"/>
      <c r="M2636" s="259"/>
      <c r="N2636" s="260"/>
      <c r="O2636" s="372"/>
      <c r="P2636" s="372"/>
      <c r="Q2636" s="262"/>
      <c r="R2636" s="262"/>
      <c r="S2636" s="262"/>
      <c r="T2636" s="262"/>
      <c r="U2636" s="262"/>
      <c r="V2636" s="262"/>
      <c r="W2636" s="262"/>
      <c r="X2636" s="260"/>
      <c r="Y2636" s="372"/>
      <c r="Z2636" s="372"/>
    </row>
    <row r="2637" ht="15.0" customHeight="1">
      <c r="A2637" s="206">
        <v>46111.0</v>
      </c>
      <c r="B2637" s="201" t="s">
        <v>9107</v>
      </c>
      <c r="C2637" s="45" t="s">
        <v>2973</v>
      </c>
      <c r="D2637" s="140" t="str">
        <f>IFERROR(VLOOKUP(C2637,Stock,3,FALSE),"")</f>
        <v>Suzuki Carry New 19-</v>
      </c>
      <c r="E2637" s="45">
        <v>1.0</v>
      </c>
      <c r="F2637" s="198">
        <v>1190000.0</v>
      </c>
      <c r="G2637" s="142">
        <f t="shared" si="80"/>
        <v>1190000</v>
      </c>
      <c r="H2637" s="142"/>
      <c r="I2637" s="143">
        <f t="shared" si="79"/>
        <v>1190000</v>
      </c>
      <c r="J2637" s="144">
        <f t="shared" si="70"/>
        <v>1190000</v>
      </c>
      <c r="K2637" s="45" t="s">
        <v>9108</v>
      </c>
      <c r="L2637" s="199" t="s">
        <v>9109</v>
      </c>
      <c r="M2637" s="17"/>
      <c r="N2637" s="64" t="s">
        <v>9110</v>
      </c>
      <c r="O2637" s="68"/>
      <c r="P2637" s="68"/>
      <c r="Q2637" s="141">
        <v>1190000.0</v>
      </c>
      <c r="R2637" s="149"/>
      <c r="S2637" s="149"/>
      <c r="T2637" s="149"/>
      <c r="U2637" s="149"/>
      <c r="V2637" s="149"/>
      <c r="W2637" s="149"/>
      <c r="X2637" s="64" t="s">
        <v>8388</v>
      </c>
      <c r="Y2637" s="68"/>
      <c r="Z2637" s="68"/>
    </row>
    <row r="2638" ht="15.0" customHeight="1">
      <c r="A2638" s="246">
        <v>46111.0</v>
      </c>
      <c r="B2638" s="370" t="s">
        <v>9111</v>
      </c>
      <c r="C2638" s="447" t="s">
        <v>9112</v>
      </c>
      <c r="D2638" s="448" t="str">
        <f>IFERROR(VLOOKUP(C2638,Stock,3,FALSE),"")</f>
        <v>Toyota Voxy 17-21 1st Gen (Hitam)</v>
      </c>
      <c r="E2638" s="447">
        <v>1.0</v>
      </c>
      <c r="F2638" s="449">
        <v>2967000.0</v>
      </c>
      <c r="G2638" s="142">
        <f t="shared" si="80"/>
        <v>2967000</v>
      </c>
      <c r="H2638" s="450"/>
      <c r="I2638" s="143">
        <f t="shared" si="79"/>
        <v>2967000</v>
      </c>
      <c r="J2638" s="144">
        <f t="shared" si="70"/>
        <v>2967000</v>
      </c>
      <c r="K2638" s="447" t="s">
        <v>9113</v>
      </c>
      <c r="L2638" s="461" t="s">
        <v>9114</v>
      </c>
      <c r="M2638" s="455"/>
      <c r="N2638" s="456"/>
      <c r="O2638" s="456"/>
      <c r="P2638" s="68"/>
      <c r="Q2638" s="149"/>
      <c r="R2638" s="149"/>
      <c r="S2638" s="141">
        <v>350000.0</v>
      </c>
      <c r="T2638" s="141">
        <v>2967000.0</v>
      </c>
      <c r="U2638" s="149"/>
      <c r="V2638" s="149"/>
      <c r="W2638" s="149"/>
      <c r="X2638" s="64" t="s">
        <v>7976</v>
      </c>
      <c r="Y2638" s="68"/>
      <c r="Z2638" s="68"/>
    </row>
    <row r="2639" ht="15.0" customHeight="1">
      <c r="A2639" s="206">
        <v>46111.0</v>
      </c>
      <c r="B2639" s="201" t="s">
        <v>9111</v>
      </c>
      <c r="C2639" s="45" t="s">
        <v>2770</v>
      </c>
      <c r="D2639" s="140" t="str">
        <f>IFERROR(VLOOKUP(C2639,Stock,3,FALSE),"")</f>
        <v>Transport</v>
      </c>
      <c r="E2639" s="45">
        <v>1.0</v>
      </c>
      <c r="F2639" s="198">
        <v>350000.0</v>
      </c>
      <c r="G2639" s="142">
        <f t="shared" si="80"/>
        <v>350000</v>
      </c>
      <c r="H2639" s="142"/>
      <c r="I2639" s="143">
        <f t="shared" si="79"/>
        <v>350000</v>
      </c>
      <c r="J2639" s="144">
        <f t="shared" si="70"/>
        <v>350000</v>
      </c>
      <c r="K2639" s="17"/>
      <c r="L2639" s="17"/>
      <c r="M2639" s="17"/>
      <c r="N2639" s="68"/>
      <c r="O2639" s="68"/>
      <c r="P2639" s="68"/>
      <c r="Q2639" s="149"/>
      <c r="R2639" s="149"/>
      <c r="S2639" s="149"/>
      <c r="T2639" s="149"/>
      <c r="U2639" s="149"/>
      <c r="V2639" s="149"/>
      <c r="W2639" s="149"/>
      <c r="X2639" s="68"/>
      <c r="Y2639" s="68"/>
      <c r="Z2639" s="68"/>
    </row>
    <row r="2640" ht="15.0" customHeight="1">
      <c r="A2640" s="206">
        <v>46111.0</v>
      </c>
      <c r="B2640" s="201" t="s">
        <v>9115</v>
      </c>
      <c r="C2640" s="45" t="s">
        <v>3930</v>
      </c>
      <c r="D2640" s="140" t="str">
        <f>IFERROR(VLOOKUP(C2640,Stock,3,FALSE),"")</f>
        <v>Suzuki Ertiga 18- 2nd Gen / XL7</v>
      </c>
      <c r="E2640" s="45">
        <v>1.0</v>
      </c>
      <c r="F2640" s="198">
        <v>1459000.0</v>
      </c>
      <c r="G2640" s="142">
        <f t="shared" si="80"/>
        <v>1459000</v>
      </c>
      <c r="H2640" s="142"/>
      <c r="I2640" s="143">
        <f t="shared" si="79"/>
        <v>1459000</v>
      </c>
      <c r="J2640" s="144">
        <f t="shared" si="70"/>
        <v>1459000</v>
      </c>
      <c r="K2640" s="45" t="s">
        <v>9116</v>
      </c>
      <c r="L2640" s="199" t="s">
        <v>9117</v>
      </c>
      <c r="M2640" s="17"/>
      <c r="N2640" s="64" t="s">
        <v>9118</v>
      </c>
      <c r="O2640" s="68"/>
      <c r="P2640" s="68"/>
      <c r="Q2640" s="149"/>
      <c r="R2640" s="149"/>
      <c r="S2640" s="149"/>
      <c r="T2640" s="141">
        <v>1459000.0</v>
      </c>
      <c r="U2640" s="149"/>
      <c r="V2640" s="149"/>
      <c r="W2640" s="149"/>
      <c r="X2640" s="64" t="s">
        <v>8334</v>
      </c>
      <c r="Y2640" s="68"/>
      <c r="Z2640" s="68"/>
    </row>
    <row r="2641" ht="15.0" customHeight="1">
      <c r="A2641" s="265">
        <v>46111.0</v>
      </c>
      <c r="B2641" s="266" t="s">
        <v>9052</v>
      </c>
      <c r="C2641" s="269" t="s">
        <v>9119</v>
      </c>
      <c r="D2641" s="268" t="str">
        <f>IFERROR(VLOOKUP(C2641,Stock,3,FALSE),"")</f>
        <v>Toyota Altis 06-13 E140 10th Gen</v>
      </c>
      <c r="E2641" s="269">
        <v>1.0</v>
      </c>
      <c r="F2641" s="270"/>
      <c r="G2641" s="271">
        <f t="shared" si="80"/>
        <v>0</v>
      </c>
      <c r="H2641" s="271"/>
      <c r="I2641" s="272">
        <f t="shared" si="79"/>
        <v>0</v>
      </c>
      <c r="J2641" s="144">
        <f t="shared" si="70"/>
        <v>0</v>
      </c>
      <c r="K2641" s="269" t="s">
        <v>8867</v>
      </c>
      <c r="L2641" s="274"/>
      <c r="M2641" s="274"/>
      <c r="N2641" s="275"/>
      <c r="O2641" s="275"/>
      <c r="P2641" s="68"/>
      <c r="Q2641" s="149"/>
      <c r="R2641" s="149"/>
      <c r="S2641" s="149"/>
      <c r="T2641" s="149"/>
      <c r="U2641" s="149"/>
      <c r="V2641" s="149"/>
      <c r="W2641" s="149"/>
      <c r="X2641" s="64" t="s">
        <v>7976</v>
      </c>
      <c r="Y2641" s="68"/>
      <c r="Z2641" s="68"/>
    </row>
    <row r="2642" ht="15.0" customHeight="1">
      <c r="A2642" s="265">
        <v>46111.0</v>
      </c>
      <c r="B2642" s="266" t="s">
        <v>9052</v>
      </c>
      <c r="C2642" s="269" t="s">
        <v>9120</v>
      </c>
      <c r="D2642" s="268" t="str">
        <f>IFERROR(VLOOKUP(C2642,Stock,3,FALSE),"")</f>
        <v>Mazda 2 14- Skyactiv 4th Gen Hatchback</v>
      </c>
      <c r="E2642" s="269">
        <v>1.0</v>
      </c>
      <c r="F2642" s="270"/>
      <c r="G2642" s="271">
        <f t="shared" si="80"/>
        <v>0</v>
      </c>
      <c r="H2642" s="271"/>
      <c r="I2642" s="272">
        <f t="shared" si="79"/>
        <v>0</v>
      </c>
      <c r="J2642" s="144">
        <f t="shared" si="70"/>
        <v>0</v>
      </c>
      <c r="K2642" s="269" t="s">
        <v>8867</v>
      </c>
      <c r="L2642" s="274"/>
      <c r="M2642" s="274"/>
      <c r="N2642" s="275"/>
      <c r="O2642" s="275"/>
      <c r="P2642" s="68"/>
      <c r="Q2642" s="149"/>
      <c r="R2642" s="149"/>
      <c r="S2642" s="149"/>
      <c r="T2642" s="149"/>
      <c r="U2642" s="149"/>
      <c r="V2642" s="149"/>
      <c r="W2642" s="149"/>
      <c r="X2642" s="68"/>
      <c r="Y2642" s="68"/>
      <c r="Z2642" s="68"/>
    </row>
    <row r="2643" ht="15.0" customHeight="1">
      <c r="A2643" s="265">
        <v>46111.0</v>
      </c>
      <c r="B2643" s="266" t="s">
        <v>9052</v>
      </c>
      <c r="C2643" s="269" t="s">
        <v>3225</v>
      </c>
      <c r="D2643" s="268" t="str">
        <f>IFERROR(VLOOKUP(C2643,Stock,3,FALSE),"")</f>
        <v>Toyota Rush / Terios 18-</v>
      </c>
      <c r="E2643" s="269">
        <v>2.0</v>
      </c>
      <c r="F2643" s="270"/>
      <c r="G2643" s="271">
        <f t="shared" si="80"/>
        <v>0</v>
      </c>
      <c r="H2643" s="271"/>
      <c r="I2643" s="272">
        <f t="shared" si="79"/>
        <v>0</v>
      </c>
      <c r="J2643" s="144">
        <f t="shared" si="70"/>
        <v>0</v>
      </c>
      <c r="K2643" s="269" t="s">
        <v>8867</v>
      </c>
      <c r="L2643" s="274"/>
      <c r="M2643" s="274"/>
      <c r="N2643" s="275"/>
      <c r="O2643" s="275"/>
      <c r="P2643" s="68"/>
      <c r="Q2643" s="149"/>
      <c r="R2643" s="149"/>
      <c r="S2643" s="149"/>
      <c r="T2643" s="149"/>
      <c r="U2643" s="149"/>
      <c r="V2643" s="149"/>
      <c r="W2643" s="149"/>
      <c r="X2643" s="68"/>
      <c r="Y2643" s="68"/>
      <c r="Z2643" s="68"/>
    </row>
    <row r="2644" ht="15.0" customHeight="1">
      <c r="A2644" s="265">
        <v>46111.0</v>
      </c>
      <c r="B2644" s="266" t="s">
        <v>9052</v>
      </c>
      <c r="C2644" s="269" t="s">
        <v>4740</v>
      </c>
      <c r="D2644" s="268" t="str">
        <f>IFERROR(VLOOKUP(C2644,Stock,3,FALSE),"")</f>
        <v>Nissan X-Trail 13- T32 (1 Sensor)</v>
      </c>
      <c r="E2644" s="269">
        <v>2.0</v>
      </c>
      <c r="F2644" s="270"/>
      <c r="G2644" s="271">
        <f t="shared" si="80"/>
        <v>0</v>
      </c>
      <c r="H2644" s="271"/>
      <c r="I2644" s="272">
        <f t="shared" si="79"/>
        <v>0</v>
      </c>
      <c r="J2644" s="144">
        <f t="shared" si="70"/>
        <v>0</v>
      </c>
      <c r="K2644" s="269" t="s">
        <v>8867</v>
      </c>
      <c r="L2644" s="274"/>
      <c r="M2644" s="274"/>
      <c r="N2644" s="275"/>
      <c r="O2644" s="275"/>
      <c r="P2644" s="68"/>
      <c r="Q2644" s="149"/>
      <c r="R2644" s="149"/>
      <c r="S2644" s="149"/>
      <c r="T2644" s="149"/>
      <c r="U2644" s="149"/>
      <c r="V2644" s="149"/>
      <c r="W2644" s="149"/>
      <c r="X2644" s="68"/>
      <c r="Y2644" s="68"/>
      <c r="Z2644" s="68"/>
    </row>
    <row r="2645" ht="15.0" customHeight="1">
      <c r="A2645" s="265">
        <v>46111.0</v>
      </c>
      <c r="B2645" s="266" t="s">
        <v>9052</v>
      </c>
      <c r="C2645" s="269" t="s">
        <v>4544</v>
      </c>
      <c r="D2645" s="268" t="str">
        <f>IFERROR(VLOOKUP(C2645,Stock,3,FALSE),"")</f>
        <v>Toyota Avanza / Xenia 03-11 1st Gen</v>
      </c>
      <c r="E2645" s="269">
        <v>1.0</v>
      </c>
      <c r="F2645" s="270"/>
      <c r="G2645" s="271">
        <f t="shared" si="80"/>
        <v>0</v>
      </c>
      <c r="H2645" s="271"/>
      <c r="I2645" s="272">
        <f t="shared" si="79"/>
        <v>0</v>
      </c>
      <c r="J2645" s="144">
        <f t="shared" si="70"/>
        <v>0</v>
      </c>
      <c r="K2645" s="269" t="s">
        <v>8867</v>
      </c>
      <c r="L2645" s="274"/>
      <c r="M2645" s="274"/>
      <c r="N2645" s="275"/>
      <c r="O2645" s="275"/>
      <c r="P2645" s="68"/>
      <c r="Q2645" s="149"/>
      <c r="R2645" s="149"/>
      <c r="S2645" s="149"/>
      <c r="T2645" s="149"/>
      <c r="U2645" s="149"/>
      <c r="V2645" s="149"/>
      <c r="W2645" s="149"/>
      <c r="X2645" s="68"/>
      <c r="Y2645" s="68"/>
      <c r="Z2645" s="68"/>
    </row>
    <row r="2646">
      <c r="A2646" s="441">
        <v>46112.0</v>
      </c>
      <c r="B2646" s="45" t="s">
        <v>9121</v>
      </c>
      <c r="C2646" s="45" t="s">
        <v>9122</v>
      </c>
      <c r="D2646" s="455" t="str">
        <f>IFERROR(VLOOKUP(C2646,Stock,3,FALSE),"")</f>
        <v>Isuzu Panther 00- 2nd Gen</v>
      </c>
      <c r="E2646" s="45">
        <v>1.0</v>
      </c>
      <c r="F2646" s="198">
        <v>1138000.0</v>
      </c>
      <c r="G2646" s="544">
        <f t="shared" si="80"/>
        <v>1138000</v>
      </c>
      <c r="H2646" s="88"/>
      <c r="I2646" s="419">
        <f t="shared" si="79"/>
        <v>1138000</v>
      </c>
      <c r="J2646" s="144">
        <f t="shared" si="70"/>
        <v>1138000</v>
      </c>
      <c r="K2646" s="45" t="s">
        <v>5900</v>
      </c>
      <c r="L2646" s="199" t="s">
        <v>9123</v>
      </c>
      <c r="M2646" s="88"/>
      <c r="N2646" s="45" t="s">
        <v>9124</v>
      </c>
      <c r="O2646" s="88"/>
      <c r="P2646" s="88"/>
      <c r="Q2646" s="88"/>
      <c r="R2646" s="88"/>
      <c r="S2646" s="88"/>
      <c r="T2646" s="419">
        <v>1138000.0</v>
      </c>
      <c r="U2646" s="88"/>
      <c r="V2646" s="88"/>
      <c r="W2646" s="88"/>
      <c r="X2646" s="45" t="s">
        <v>7976</v>
      </c>
      <c r="Y2646" s="68"/>
      <c r="Z2646" s="68"/>
    </row>
    <row r="2647">
      <c r="A2647" s="441">
        <v>46112.0</v>
      </c>
      <c r="B2647" s="45" t="s">
        <v>9125</v>
      </c>
      <c r="C2647" s="45" t="s">
        <v>6609</v>
      </c>
      <c r="D2647" s="455" t="str">
        <f>IFERROR(VLOOKUP(C2647,Stock,3,FALSE),"")</f>
        <v>Suzuki APV 03- Van</v>
      </c>
      <c r="E2647" s="45">
        <v>1.0</v>
      </c>
      <c r="F2647" s="198">
        <v>800000.0</v>
      </c>
      <c r="G2647" s="544">
        <f t="shared" si="80"/>
        <v>800000</v>
      </c>
      <c r="H2647" s="88"/>
      <c r="I2647" s="419">
        <f t="shared" si="79"/>
        <v>800000</v>
      </c>
      <c r="J2647" s="144">
        <f t="shared" si="70"/>
        <v>800000</v>
      </c>
      <c r="K2647" s="45" t="s">
        <v>9126</v>
      </c>
      <c r="L2647" s="45" t="s">
        <v>9127</v>
      </c>
      <c r="M2647" s="88"/>
      <c r="N2647" s="45" t="s">
        <v>9128</v>
      </c>
      <c r="O2647" s="88"/>
      <c r="P2647" s="88"/>
      <c r="Q2647" s="88"/>
      <c r="R2647" s="88"/>
      <c r="S2647" s="88"/>
      <c r="T2647" s="88"/>
      <c r="U2647" s="88"/>
      <c r="V2647" s="88"/>
      <c r="W2647" s="88"/>
      <c r="X2647" s="45" t="s">
        <v>8219</v>
      </c>
      <c r="Y2647" s="68"/>
      <c r="Z2647" s="68"/>
    </row>
    <row r="2648">
      <c r="A2648" s="441">
        <v>46112.0</v>
      </c>
      <c r="B2648" s="64" t="s">
        <v>9129</v>
      </c>
      <c r="C2648" s="64" t="s">
        <v>2973</v>
      </c>
      <c r="D2648" s="455" t="str">
        <f>IFERROR(VLOOKUP(C2648,Stock,3,FALSE),"")</f>
        <v>Suzuki Carry New 19-</v>
      </c>
      <c r="E2648" s="45">
        <v>1.0</v>
      </c>
      <c r="F2648" s="198">
        <v>1190000.0</v>
      </c>
      <c r="G2648" s="544">
        <f t="shared" si="80"/>
        <v>1190000</v>
      </c>
      <c r="H2648" s="88"/>
      <c r="I2648" s="419">
        <f t="shared" si="79"/>
        <v>1190000</v>
      </c>
      <c r="J2648" s="144">
        <f t="shared" si="70"/>
        <v>1190000</v>
      </c>
      <c r="K2648" s="45" t="s">
        <v>9130</v>
      </c>
      <c r="L2648" s="199" t="s">
        <v>9131</v>
      </c>
      <c r="M2648" s="88"/>
      <c r="N2648" s="45" t="s">
        <v>9132</v>
      </c>
      <c r="O2648" s="88"/>
      <c r="P2648" s="88"/>
      <c r="Q2648" s="88"/>
      <c r="R2648" s="88"/>
      <c r="S2648" s="88"/>
      <c r="T2648" s="419">
        <v>1190000.0</v>
      </c>
      <c r="U2648" s="88"/>
      <c r="V2648" s="88"/>
      <c r="W2648" s="88"/>
      <c r="X2648" s="45" t="s">
        <v>8232</v>
      </c>
      <c r="Y2648" s="68"/>
      <c r="Z2648" s="68"/>
    </row>
    <row r="2649">
      <c r="A2649" s="545">
        <v>46112.0</v>
      </c>
      <c r="B2649" s="64" t="s">
        <v>9133</v>
      </c>
      <c r="C2649" s="64" t="s">
        <v>8245</v>
      </c>
      <c r="D2649" s="455" t="str">
        <f>IFERROR(VLOOKUP(C2649,Stock,3,FALSE),"")</f>
        <v>Toyota Fortuner 15- 2nd Gen</v>
      </c>
      <c r="E2649" s="64">
        <v>1.0</v>
      </c>
      <c r="F2649" s="141">
        <v>1699000.0</v>
      </c>
      <c r="G2649" s="142">
        <f t="shared" si="80"/>
        <v>1699000</v>
      </c>
      <c r="H2649" s="68"/>
      <c r="I2649" s="143">
        <f t="shared" si="79"/>
        <v>1699000</v>
      </c>
      <c r="J2649" s="144">
        <f t="shared" si="70"/>
        <v>1699000</v>
      </c>
      <c r="K2649" s="64" t="s">
        <v>9134</v>
      </c>
      <c r="L2649" s="146" t="s">
        <v>9135</v>
      </c>
      <c r="M2649" s="68"/>
      <c r="N2649" s="68"/>
      <c r="O2649" s="68"/>
      <c r="P2649" s="68"/>
      <c r="Q2649" s="68"/>
      <c r="R2649" s="68"/>
      <c r="S2649" s="64">
        <v>100000.0</v>
      </c>
      <c r="T2649" s="64">
        <v>1719000.0</v>
      </c>
      <c r="U2649" s="68"/>
      <c r="V2649" s="68"/>
      <c r="W2649" s="68"/>
      <c r="X2649" s="68"/>
      <c r="Y2649" s="68"/>
      <c r="Z2649" s="68"/>
    </row>
    <row r="2650">
      <c r="A2650" s="545">
        <v>46112.0</v>
      </c>
      <c r="B2650" s="64" t="s">
        <v>9133</v>
      </c>
      <c r="C2650" s="45" t="s">
        <v>2770</v>
      </c>
      <c r="D2650" s="455" t="str">
        <f>IFERROR(VLOOKUP(C2650,Stock,3,FALSE),"")</f>
        <v>Transport</v>
      </c>
      <c r="E2650" s="64">
        <v>1.0</v>
      </c>
      <c r="F2650" s="141">
        <v>120000.0</v>
      </c>
      <c r="G2650" s="142">
        <f t="shared" si="80"/>
        <v>120000</v>
      </c>
      <c r="H2650" s="68"/>
      <c r="I2650" s="143">
        <f t="shared" si="79"/>
        <v>120000</v>
      </c>
      <c r="J2650" s="144">
        <f t="shared" si="70"/>
        <v>120000</v>
      </c>
      <c r="K2650" s="68"/>
      <c r="L2650" s="68"/>
      <c r="M2650" s="68"/>
      <c r="N2650" s="68"/>
      <c r="O2650" s="68"/>
      <c r="P2650" s="68"/>
      <c r="Q2650" s="68"/>
      <c r="R2650" s="68"/>
      <c r="S2650" s="68"/>
      <c r="T2650" s="68"/>
      <c r="U2650" s="68"/>
      <c r="V2650" s="68"/>
      <c r="W2650" s="68"/>
      <c r="X2650" s="68"/>
      <c r="Y2650" s="68"/>
      <c r="Z2650" s="68"/>
    </row>
    <row r="2651">
      <c r="A2651" s="546">
        <v>46112.0</v>
      </c>
      <c r="B2651" s="480" t="s">
        <v>9136</v>
      </c>
      <c r="C2651" s="480" t="s">
        <v>2782</v>
      </c>
      <c r="D2651" s="525" t="str">
        <f>IFERROR(VLOOKUP(C2651,Stock,3,FALSE),"")</f>
        <v>Bongkar Pasang Kaca Mobil Samping</v>
      </c>
      <c r="E2651" s="480">
        <v>1.0</v>
      </c>
      <c r="F2651" s="542">
        <v>350000.0</v>
      </c>
      <c r="G2651" s="520">
        <f t="shared" si="80"/>
        <v>350000</v>
      </c>
      <c r="H2651" s="540"/>
      <c r="I2651" s="521">
        <f t="shared" si="79"/>
        <v>350000</v>
      </c>
      <c r="J2651" s="144">
        <f t="shared" si="70"/>
        <v>350000</v>
      </c>
      <c r="K2651" s="480" t="s">
        <v>9137</v>
      </c>
      <c r="L2651" s="547" t="s">
        <v>9138</v>
      </c>
      <c r="M2651" s="540"/>
      <c r="N2651" s="480" t="s">
        <v>9139</v>
      </c>
      <c r="O2651" s="540"/>
      <c r="P2651" s="540"/>
      <c r="Q2651" s="540"/>
      <c r="R2651" s="540"/>
      <c r="S2651" s="540"/>
      <c r="T2651" s="540"/>
      <c r="U2651" s="540"/>
      <c r="V2651" s="540"/>
      <c r="W2651" s="540"/>
      <c r="X2651" s="540"/>
      <c r="Y2651" s="540"/>
      <c r="Z2651" s="540"/>
    </row>
    <row r="2652" ht="15.0" customHeight="1">
      <c r="A2652" s="206">
        <v>46112.0</v>
      </c>
      <c r="B2652" s="201" t="s">
        <v>9140</v>
      </c>
      <c r="C2652" s="45" t="s">
        <v>3756</v>
      </c>
      <c r="D2652" s="455" t="str">
        <f>IFERROR(VLOOKUP(C2652,Stock,3,FALSE),"")</f>
        <v>Daihatsu Gran Max / Luxio 07-</v>
      </c>
      <c r="E2652" s="45">
        <v>1.0</v>
      </c>
      <c r="F2652" s="198">
        <v>500000.0</v>
      </c>
      <c r="G2652" s="142">
        <f t="shared" si="80"/>
        <v>500000</v>
      </c>
      <c r="H2652" s="142"/>
      <c r="I2652" s="143">
        <f t="shared" si="79"/>
        <v>500000</v>
      </c>
      <c r="J2652" s="144">
        <f t="shared" si="70"/>
        <v>500000</v>
      </c>
      <c r="K2652" s="64" t="s">
        <v>9141</v>
      </c>
      <c r="L2652" s="199" t="s">
        <v>9142</v>
      </c>
      <c r="M2652" s="17"/>
      <c r="N2652" s="68"/>
      <c r="O2652" s="68"/>
      <c r="P2652" s="68"/>
      <c r="Q2652" s="149"/>
      <c r="R2652" s="149"/>
      <c r="S2652" s="141">
        <v>100000.0</v>
      </c>
      <c r="T2652" s="141">
        <v>520000.0</v>
      </c>
      <c r="U2652" s="149"/>
      <c r="V2652" s="149"/>
      <c r="W2652" s="149"/>
      <c r="X2652" s="64" t="s">
        <v>7976</v>
      </c>
      <c r="Y2652" s="68"/>
      <c r="Z2652" s="68"/>
    </row>
    <row r="2653" ht="15.0" customHeight="1">
      <c r="A2653" s="206">
        <v>46112.0</v>
      </c>
      <c r="B2653" s="201" t="s">
        <v>9140</v>
      </c>
      <c r="C2653" s="45" t="s">
        <v>2770</v>
      </c>
      <c r="D2653" s="455" t="str">
        <f>IFERROR(VLOOKUP(C2653,Stock,3,FALSE),"")</f>
        <v>Transport</v>
      </c>
      <c r="E2653" s="45">
        <v>1.0</v>
      </c>
      <c r="F2653" s="198">
        <v>120000.0</v>
      </c>
      <c r="G2653" s="142">
        <f t="shared" si="80"/>
        <v>120000</v>
      </c>
      <c r="H2653" s="142"/>
      <c r="I2653" s="143">
        <v>120000.0</v>
      </c>
      <c r="J2653" s="144">
        <f t="shared" si="70"/>
        <v>120000</v>
      </c>
      <c r="K2653" s="17"/>
      <c r="L2653" s="17"/>
      <c r="M2653" s="17"/>
      <c r="N2653" s="68"/>
      <c r="O2653" s="68"/>
      <c r="P2653" s="68"/>
      <c r="Q2653" s="149"/>
      <c r="R2653" s="149"/>
      <c r="S2653" s="149"/>
      <c r="T2653" s="149"/>
      <c r="U2653" s="149"/>
      <c r="V2653" s="149"/>
      <c r="W2653" s="149"/>
      <c r="X2653" s="68"/>
      <c r="Y2653" s="68"/>
      <c r="Z2653" s="68"/>
    </row>
    <row r="2654" ht="15.0" customHeight="1">
      <c r="A2654" s="249">
        <v>46112.0</v>
      </c>
      <c r="B2654" s="250" t="s">
        <v>9143</v>
      </c>
      <c r="C2654" s="251" t="s">
        <v>3234</v>
      </c>
      <c r="D2654" s="259" t="str">
        <f>IFERROR(VLOOKUP(C2654,Stock,3,FALSE),"")</f>
        <v>Toyota Avanza / Xenia 21- 4th Gen (Non sensor)</v>
      </c>
      <c r="E2654" s="251">
        <v>1.0</v>
      </c>
      <c r="F2654" s="253">
        <v>605000.0</v>
      </c>
      <c r="G2654" s="254">
        <f t="shared" si="80"/>
        <v>605000</v>
      </c>
      <c r="H2654" s="254"/>
      <c r="I2654" s="255">
        <f t="shared" ref="I2654:I2677" si="81">G2654-H2654</f>
        <v>605000</v>
      </c>
      <c r="J2654" s="144">
        <f t="shared" si="70"/>
        <v>605000</v>
      </c>
      <c r="K2654" s="259"/>
      <c r="L2654" s="259"/>
      <c r="M2654" s="259"/>
      <c r="N2654" s="372"/>
      <c r="O2654" s="372"/>
      <c r="P2654" s="372"/>
      <c r="Q2654" s="262"/>
      <c r="R2654" s="262"/>
      <c r="S2654" s="262"/>
      <c r="T2654" s="262"/>
      <c r="U2654" s="262"/>
      <c r="V2654" s="262"/>
      <c r="W2654" s="262"/>
      <c r="X2654" s="372"/>
      <c r="Y2654" s="372"/>
      <c r="Z2654" s="372"/>
    </row>
    <row r="2655" ht="15.0" customHeight="1">
      <c r="A2655" s="206">
        <v>46112.0</v>
      </c>
      <c r="B2655" s="370" t="s">
        <v>9144</v>
      </c>
      <c r="C2655" s="447" t="s">
        <v>4402</v>
      </c>
      <c r="D2655" s="455" t="str">
        <f>IFERROR(VLOOKUP(C2655,Stock,3,FALSE),"")</f>
        <v>Mitsubishi Canter FE300 85- (PS100,120,135 kabin kecil)</v>
      </c>
      <c r="E2655" s="447">
        <v>1.0</v>
      </c>
      <c r="F2655" s="449">
        <v>1150000.0</v>
      </c>
      <c r="G2655" s="142">
        <f t="shared" si="80"/>
        <v>1150000</v>
      </c>
      <c r="H2655" s="450"/>
      <c r="I2655" s="451">
        <f t="shared" si="81"/>
        <v>1150000</v>
      </c>
      <c r="J2655" s="144">
        <f t="shared" si="70"/>
        <v>1150000</v>
      </c>
      <c r="K2655" s="548" t="s">
        <v>9145</v>
      </c>
      <c r="L2655" s="199" t="s">
        <v>9146</v>
      </c>
      <c r="M2655" s="17"/>
      <c r="N2655" s="64" t="s">
        <v>9147</v>
      </c>
      <c r="O2655" s="68"/>
      <c r="P2655" s="68"/>
      <c r="Q2655" s="149"/>
      <c r="R2655" s="149"/>
      <c r="S2655" s="149"/>
      <c r="T2655" s="141">
        <v>1300000.0</v>
      </c>
      <c r="U2655" s="149"/>
      <c r="V2655" s="149"/>
      <c r="W2655" s="149"/>
      <c r="X2655" s="64" t="s">
        <v>7976</v>
      </c>
      <c r="Y2655" s="68"/>
      <c r="Z2655" s="68"/>
    </row>
    <row r="2656" ht="15.0" customHeight="1">
      <c r="A2656" s="206">
        <v>46112.0</v>
      </c>
      <c r="B2656" s="201" t="s">
        <v>9144</v>
      </c>
      <c r="C2656" s="45" t="s">
        <v>7011</v>
      </c>
      <c r="D2656" s="455" t="str">
        <f>IFERROR(VLOOKUP(C2656,Stock,3,FALSE),"")</f>
        <v>Automotive Film Standard - Black 40%				</v>
      </c>
      <c r="E2656" s="45">
        <v>1.0</v>
      </c>
      <c r="F2656" s="198">
        <v>150000.0</v>
      </c>
      <c r="G2656" s="142">
        <f t="shared" si="80"/>
        <v>150000</v>
      </c>
      <c r="H2656" s="142"/>
      <c r="I2656" s="143">
        <f t="shared" si="81"/>
        <v>150000</v>
      </c>
      <c r="J2656" s="144">
        <f t="shared" si="70"/>
        <v>150000</v>
      </c>
      <c r="L2656" s="45"/>
      <c r="M2656" s="17"/>
      <c r="N2656" s="64"/>
      <c r="O2656" s="68"/>
      <c r="P2656" s="68"/>
      <c r="Q2656" s="149"/>
      <c r="R2656" s="149"/>
      <c r="S2656" s="149"/>
      <c r="T2656" s="149"/>
      <c r="U2656" s="149"/>
      <c r="V2656" s="149"/>
      <c r="W2656" s="149"/>
      <c r="X2656" s="64" t="s">
        <v>7976</v>
      </c>
      <c r="Y2656" s="68"/>
      <c r="Z2656" s="68"/>
    </row>
    <row r="2657" ht="15.0" customHeight="1">
      <c r="A2657" s="249">
        <v>46112.0</v>
      </c>
      <c r="B2657" s="250" t="s">
        <v>9148</v>
      </c>
      <c r="C2657" s="251" t="s">
        <v>4402</v>
      </c>
      <c r="D2657" s="259" t="str">
        <f>IFERROR(VLOOKUP(C2657,Stock,3,FALSE),"")</f>
        <v>Mitsubishi Canter FE300 85- (PS100,120,135 kabin kecil)</v>
      </c>
      <c r="E2657" s="251">
        <v>1.0</v>
      </c>
      <c r="F2657" s="253">
        <v>456000.0</v>
      </c>
      <c r="G2657" s="254">
        <f t="shared" si="80"/>
        <v>456000</v>
      </c>
      <c r="H2657" s="254"/>
      <c r="I2657" s="255">
        <f t="shared" si="81"/>
        <v>456000</v>
      </c>
      <c r="J2657" s="144">
        <f t="shared" si="70"/>
        <v>456000</v>
      </c>
      <c r="K2657" s="251" t="s">
        <v>9149</v>
      </c>
      <c r="L2657" s="259"/>
      <c r="M2657" s="259"/>
      <c r="N2657" s="372"/>
      <c r="O2657" s="372"/>
      <c r="P2657" s="372"/>
      <c r="Q2657" s="262"/>
      <c r="R2657" s="262"/>
      <c r="S2657" s="262"/>
      <c r="T2657" s="262"/>
      <c r="U2657" s="262"/>
      <c r="V2657" s="262"/>
      <c r="W2657" s="262"/>
      <c r="X2657" s="372"/>
      <c r="Y2657" s="372"/>
      <c r="Z2657" s="372"/>
    </row>
    <row r="2658" ht="15.0" customHeight="1">
      <c r="A2658" s="249">
        <v>46112.0</v>
      </c>
      <c r="B2658" s="250" t="s">
        <v>9148</v>
      </c>
      <c r="C2658" s="251" t="s">
        <v>7551</v>
      </c>
      <c r="D2658" s="259" t="str">
        <f>IFERROR(VLOOKUP(C2658,Stock,3,FALSE),"")</f>
        <v>Mitsubishi L300</v>
      </c>
      <c r="E2658" s="251">
        <v>1.0</v>
      </c>
      <c r="F2658" s="253">
        <v>331000.0</v>
      </c>
      <c r="G2658" s="254">
        <f t="shared" si="80"/>
        <v>331000</v>
      </c>
      <c r="H2658" s="254"/>
      <c r="I2658" s="255">
        <f t="shared" si="81"/>
        <v>331000</v>
      </c>
      <c r="J2658" s="144">
        <f t="shared" si="70"/>
        <v>331000</v>
      </c>
      <c r="K2658" s="259"/>
      <c r="L2658" s="259"/>
      <c r="M2658" s="259"/>
      <c r="N2658" s="372"/>
      <c r="O2658" s="372"/>
      <c r="P2658" s="372"/>
      <c r="Q2658" s="262"/>
      <c r="R2658" s="262"/>
      <c r="S2658" s="262"/>
      <c r="T2658" s="262"/>
      <c r="U2658" s="262"/>
      <c r="V2658" s="262"/>
      <c r="W2658" s="262"/>
      <c r="X2658" s="372"/>
      <c r="Y2658" s="372"/>
      <c r="Z2658" s="372"/>
    </row>
    <row r="2659" ht="15.0" customHeight="1">
      <c r="A2659" s="549">
        <v>46112.0</v>
      </c>
      <c r="B2659" s="550" t="s">
        <v>9150</v>
      </c>
      <c r="C2659" s="551" t="s">
        <v>2830</v>
      </c>
      <c r="D2659" s="552" t="str">
        <f>IFERROR(VLOOKUP(C2659,Stock,3,FALSE),"")</f>
        <v/>
      </c>
      <c r="E2659" s="551"/>
      <c r="F2659" s="553">
        <v>3773000.0</v>
      </c>
      <c r="G2659" s="554">
        <f t="shared" si="80"/>
        <v>0</v>
      </c>
      <c r="H2659" s="554"/>
      <c r="I2659" s="555">
        <f t="shared" si="81"/>
        <v>0</v>
      </c>
      <c r="J2659" s="144">
        <f t="shared" si="70"/>
        <v>0</v>
      </c>
      <c r="K2659" s="552"/>
      <c r="L2659" s="556" t="s">
        <v>9151</v>
      </c>
      <c r="M2659" s="552"/>
      <c r="N2659" s="557"/>
      <c r="O2659" s="557"/>
      <c r="P2659" s="557"/>
      <c r="Q2659" s="558"/>
      <c r="R2659" s="558"/>
      <c r="S2659" s="558"/>
      <c r="T2659" s="558"/>
      <c r="U2659" s="558"/>
      <c r="V2659" s="558"/>
      <c r="W2659" s="558"/>
      <c r="X2659" s="559" t="s">
        <v>7976</v>
      </c>
      <c r="Y2659" s="557"/>
      <c r="Z2659" s="557"/>
    </row>
    <row r="2660" ht="15.0" customHeight="1">
      <c r="A2660" s="206">
        <v>46112.0</v>
      </c>
      <c r="B2660" s="201" t="s">
        <v>9152</v>
      </c>
      <c r="C2660" s="45" t="s">
        <v>7551</v>
      </c>
      <c r="D2660" s="455" t="str">
        <f>IFERROR(VLOOKUP(C2660,Stock,3,FALSE),"")</f>
        <v>Mitsubishi L300</v>
      </c>
      <c r="E2660" s="45">
        <v>1.0</v>
      </c>
      <c r="F2660" s="198">
        <v>980000.0</v>
      </c>
      <c r="G2660" s="142">
        <f t="shared" si="80"/>
        <v>980000</v>
      </c>
      <c r="H2660" s="142"/>
      <c r="I2660" s="143">
        <f t="shared" si="81"/>
        <v>980000</v>
      </c>
      <c r="J2660" s="144">
        <f t="shared" si="70"/>
        <v>980000</v>
      </c>
      <c r="K2660" s="45" t="s">
        <v>5581</v>
      </c>
      <c r="L2660" s="199" t="s">
        <v>9153</v>
      </c>
      <c r="M2660" s="45" t="s">
        <v>9147</v>
      </c>
      <c r="N2660" s="64" t="s">
        <v>9147</v>
      </c>
      <c r="O2660" s="68"/>
      <c r="P2660" s="68"/>
      <c r="Q2660" s="149"/>
      <c r="R2660" s="149"/>
      <c r="S2660" s="149"/>
      <c r="T2660" s="149"/>
      <c r="U2660" s="149"/>
      <c r="V2660" s="149"/>
      <c r="W2660" s="149"/>
      <c r="X2660" s="64" t="s">
        <v>8232</v>
      </c>
      <c r="Y2660" s="68"/>
      <c r="Z2660" s="68"/>
    </row>
    <row r="2661" ht="15.0" customHeight="1">
      <c r="A2661" s="206">
        <v>46112.0</v>
      </c>
      <c r="B2661" s="201" t="s">
        <v>9152</v>
      </c>
      <c r="C2661" s="45" t="s">
        <v>7011</v>
      </c>
      <c r="D2661" s="455" t="str">
        <f>IFERROR(VLOOKUP(C2661,Stock,3,FALSE),"")</f>
        <v>Automotive Film Standard - Black 40%				</v>
      </c>
      <c r="E2661" s="45">
        <v>1.0</v>
      </c>
      <c r="F2661" s="198">
        <v>300000.0</v>
      </c>
      <c r="G2661" s="142">
        <f t="shared" si="80"/>
        <v>300000</v>
      </c>
      <c r="H2661" s="142"/>
      <c r="I2661" s="143">
        <f t="shared" si="81"/>
        <v>300000</v>
      </c>
      <c r="J2661" s="144">
        <f t="shared" si="70"/>
        <v>300000</v>
      </c>
      <c r="K2661" s="17"/>
      <c r="L2661" s="17"/>
      <c r="M2661" s="17"/>
      <c r="N2661" s="68"/>
      <c r="O2661" s="68"/>
      <c r="P2661" s="68"/>
      <c r="Q2661" s="149"/>
      <c r="R2661" s="149"/>
      <c r="S2661" s="149"/>
      <c r="T2661" s="149"/>
      <c r="U2661" s="149"/>
      <c r="V2661" s="149"/>
      <c r="W2661" s="149"/>
      <c r="X2661" s="64"/>
      <c r="Y2661" s="68"/>
      <c r="Z2661" s="68"/>
    </row>
    <row r="2662" ht="15.0" customHeight="1">
      <c r="A2662" s="206">
        <v>46112.0</v>
      </c>
      <c r="B2662" s="398" t="s">
        <v>9154</v>
      </c>
      <c r="C2662" s="479" t="s">
        <v>2778</v>
      </c>
      <c r="D2662" s="525" t="str">
        <f>IFERROR(VLOOKUP(C2662,Stock,3,FALSE),"")</f>
        <v>Bongkar Pasang Kaca Mobil Depan</v>
      </c>
      <c r="E2662" s="479">
        <v>1.0</v>
      </c>
      <c r="F2662" s="519">
        <v>600000.0</v>
      </c>
      <c r="G2662" s="520">
        <f t="shared" si="80"/>
        <v>600000</v>
      </c>
      <c r="H2662" s="520"/>
      <c r="I2662" s="521">
        <f t="shared" si="81"/>
        <v>600000</v>
      </c>
      <c r="J2662" s="144">
        <f t="shared" si="70"/>
        <v>600000</v>
      </c>
      <c r="K2662" s="479" t="s">
        <v>9155</v>
      </c>
      <c r="L2662" s="199" t="s">
        <v>9156</v>
      </c>
      <c r="M2662" s="17"/>
      <c r="N2662" s="64" t="s">
        <v>9157</v>
      </c>
      <c r="O2662" s="68"/>
      <c r="P2662" s="68"/>
      <c r="Q2662" s="149"/>
      <c r="R2662" s="149"/>
      <c r="S2662" s="149"/>
      <c r="T2662" s="141">
        <v>600000.0</v>
      </c>
      <c r="U2662" s="149"/>
      <c r="V2662" s="149"/>
      <c r="W2662" s="149"/>
      <c r="X2662" s="64" t="s">
        <v>8232</v>
      </c>
      <c r="Y2662" s="68"/>
      <c r="Z2662" s="68"/>
    </row>
    <row r="2663" ht="15.0" customHeight="1">
      <c r="A2663" s="246">
        <v>46112.0</v>
      </c>
      <c r="B2663" s="370" t="s">
        <v>9158</v>
      </c>
      <c r="C2663" s="447" t="s">
        <v>9159</v>
      </c>
      <c r="D2663" s="455" t="str">
        <f>IFERROR(VLOOKUP(C2663,Stock,3,FALSE),"")</f>
        <v>Kia Sportage 04-10 JE/KM</v>
      </c>
      <c r="E2663" s="45">
        <v>1.0</v>
      </c>
      <c r="F2663" s="198">
        <v>2922000.0</v>
      </c>
      <c r="G2663" s="142">
        <f t="shared" si="80"/>
        <v>2922000</v>
      </c>
      <c r="H2663" s="143"/>
      <c r="I2663" s="143">
        <f t="shared" si="81"/>
        <v>2922000</v>
      </c>
      <c r="J2663" s="144">
        <f t="shared" si="70"/>
        <v>2922000</v>
      </c>
      <c r="K2663" s="45" t="s">
        <v>6279</v>
      </c>
      <c r="L2663" s="199" t="s">
        <v>9160</v>
      </c>
      <c r="M2663" s="17"/>
      <c r="N2663" s="64" t="s">
        <v>9161</v>
      </c>
      <c r="O2663" s="68"/>
      <c r="P2663" s="68"/>
      <c r="Q2663" s="149"/>
      <c r="R2663" s="149"/>
      <c r="S2663" s="141">
        <v>100000.0</v>
      </c>
      <c r="T2663" s="141">
        <v>3002000.0</v>
      </c>
      <c r="U2663" s="149"/>
      <c r="V2663" s="149"/>
      <c r="W2663" s="149"/>
      <c r="X2663" s="64" t="s">
        <v>7976</v>
      </c>
      <c r="Y2663" s="68"/>
      <c r="Z2663" s="68"/>
    </row>
    <row r="2664" ht="15.0" customHeight="1">
      <c r="A2664" s="206">
        <v>46113.0</v>
      </c>
      <c r="B2664" s="201" t="s">
        <v>9162</v>
      </c>
      <c r="C2664" s="45" t="s">
        <v>9163</v>
      </c>
      <c r="D2664" s="447" t="s">
        <v>9164</v>
      </c>
      <c r="E2664" s="45">
        <v>1.0</v>
      </c>
      <c r="F2664" s="198">
        <v>2200000.0</v>
      </c>
      <c r="G2664" s="142">
        <f t="shared" si="80"/>
        <v>2200000</v>
      </c>
      <c r="H2664" s="143">
        <v>33000.0</v>
      </c>
      <c r="I2664" s="143">
        <f t="shared" si="81"/>
        <v>2167000</v>
      </c>
      <c r="J2664" s="144">
        <f t="shared" si="70"/>
        <v>2167000</v>
      </c>
      <c r="K2664" s="45" t="s">
        <v>9165</v>
      </c>
      <c r="L2664" s="199" t="s">
        <v>7883</v>
      </c>
      <c r="M2664" s="17"/>
      <c r="N2664" s="64" t="s">
        <v>9166</v>
      </c>
      <c r="O2664" s="68"/>
      <c r="P2664" s="68"/>
      <c r="Q2664" s="149"/>
      <c r="R2664" s="149"/>
      <c r="S2664" s="149"/>
      <c r="T2664" s="141">
        <v>3300000.0</v>
      </c>
      <c r="U2664" s="149"/>
      <c r="V2664" s="149"/>
      <c r="W2664" s="149"/>
      <c r="X2664" s="64" t="s">
        <v>7976</v>
      </c>
      <c r="Y2664" s="68"/>
      <c r="Z2664" s="68"/>
    </row>
    <row r="2665" ht="15.0" customHeight="1">
      <c r="A2665" s="206">
        <v>46100.0</v>
      </c>
      <c r="B2665" s="201" t="s">
        <v>9162</v>
      </c>
      <c r="C2665" s="45" t="s">
        <v>9167</v>
      </c>
      <c r="D2665" s="447" t="s">
        <v>9164</v>
      </c>
      <c r="E2665" s="45">
        <v>1.0</v>
      </c>
      <c r="F2665" s="198">
        <v>1133000.0</v>
      </c>
      <c r="G2665" s="142">
        <f t="shared" si="80"/>
        <v>1133000</v>
      </c>
      <c r="H2665" s="142"/>
      <c r="I2665" s="143">
        <f t="shared" si="81"/>
        <v>1133000</v>
      </c>
      <c r="J2665" s="144">
        <f t="shared" si="70"/>
        <v>1133000</v>
      </c>
      <c r="K2665" s="17"/>
      <c r="L2665" s="17"/>
      <c r="M2665" s="17"/>
      <c r="N2665" s="68"/>
      <c r="O2665" s="68"/>
      <c r="P2665" s="68"/>
      <c r="Q2665" s="149"/>
      <c r="R2665" s="149"/>
      <c r="S2665" s="149"/>
      <c r="T2665" s="149"/>
      <c r="U2665" s="149"/>
      <c r="V2665" s="149"/>
      <c r="W2665" s="149"/>
      <c r="X2665" s="68"/>
      <c r="Y2665" s="68"/>
      <c r="Z2665" s="68"/>
    </row>
    <row r="2666" ht="15.0" customHeight="1">
      <c r="A2666" s="206">
        <v>46100.0</v>
      </c>
      <c r="B2666" s="201" t="s">
        <v>9168</v>
      </c>
      <c r="C2666" s="45" t="s">
        <v>6682</v>
      </c>
      <c r="D2666" s="455" t="str">
        <f>IFERROR(VLOOKUP(C2666,Stock,3,FALSE),"")</f>
        <v>Toyota Raize / Daihatsu Rocky 20- (2 Sensor / /\/\ ) (Toyota/Daihasu)</v>
      </c>
      <c r="E2666" s="45">
        <v>1.0</v>
      </c>
      <c r="F2666" s="198">
        <v>3095000.0</v>
      </c>
      <c r="G2666" s="142">
        <f t="shared" si="80"/>
        <v>3095000</v>
      </c>
      <c r="H2666" s="142"/>
      <c r="I2666" s="143">
        <f t="shared" si="81"/>
        <v>3095000</v>
      </c>
      <c r="J2666" s="144">
        <f t="shared" si="70"/>
        <v>3095000</v>
      </c>
      <c r="K2666" s="45" t="s">
        <v>9169</v>
      </c>
      <c r="L2666" s="199" t="s">
        <v>9170</v>
      </c>
      <c r="M2666" s="17"/>
      <c r="N2666" s="64" t="s">
        <v>9171</v>
      </c>
      <c r="O2666" s="68"/>
      <c r="P2666" s="68"/>
      <c r="Q2666" s="149"/>
      <c r="R2666" s="149"/>
      <c r="S2666" s="149"/>
      <c r="T2666" s="149"/>
      <c r="U2666" s="149"/>
      <c r="V2666" s="149"/>
      <c r="W2666" s="149"/>
      <c r="X2666" s="68"/>
      <c r="Y2666" s="68"/>
      <c r="Z2666" s="68"/>
    </row>
    <row r="2667" ht="15.0" customHeight="1">
      <c r="A2667" s="206">
        <v>46104.0</v>
      </c>
      <c r="B2667" s="201" t="s">
        <v>9172</v>
      </c>
      <c r="C2667" s="45" t="s">
        <v>4544</v>
      </c>
      <c r="D2667" s="455" t="str">
        <f>IFERROR(VLOOKUP(C2667,Stock,3,FALSE),"")</f>
        <v>Toyota Avanza / Xenia 03-11 1st Gen</v>
      </c>
      <c r="E2667" s="45">
        <v>1.0</v>
      </c>
      <c r="F2667" s="202"/>
      <c r="G2667" s="142">
        <f t="shared" si="80"/>
        <v>0</v>
      </c>
      <c r="H2667" s="142"/>
      <c r="I2667" s="143">
        <f t="shared" si="81"/>
        <v>0</v>
      </c>
      <c r="J2667" s="144">
        <f t="shared" si="70"/>
        <v>0</v>
      </c>
      <c r="K2667" s="17"/>
      <c r="L2667" s="17"/>
      <c r="M2667" s="17"/>
      <c r="N2667" s="68"/>
      <c r="O2667" s="68"/>
      <c r="P2667" s="68"/>
      <c r="Q2667" s="149"/>
      <c r="R2667" s="149"/>
      <c r="S2667" s="149"/>
      <c r="T2667" s="149"/>
      <c r="U2667" s="149"/>
      <c r="V2667" s="149"/>
      <c r="W2667" s="149"/>
      <c r="X2667" s="68"/>
      <c r="Y2667" s="68"/>
      <c r="Z2667" s="68"/>
    </row>
    <row r="2668" ht="15.0" customHeight="1">
      <c r="A2668" s="206">
        <v>46098.0</v>
      </c>
      <c r="B2668" s="266" t="s">
        <v>8933</v>
      </c>
      <c r="C2668" s="269" t="s">
        <v>7813</v>
      </c>
      <c r="D2668" s="274" t="str">
        <f>IFERROR(VLOOKUP(C2668,Stock,3,FALSE),"")</f>
        <v>Mitsubishi Fuso Fighter FK40 82-(PS190,220)</v>
      </c>
      <c r="E2668" s="269">
        <v>1.0</v>
      </c>
      <c r="F2668" s="270"/>
      <c r="G2668" s="271">
        <f t="shared" si="80"/>
        <v>0</v>
      </c>
      <c r="H2668" s="271"/>
      <c r="I2668" s="272">
        <f t="shared" si="81"/>
        <v>0</v>
      </c>
      <c r="J2668" s="273">
        <f t="shared" si="70"/>
        <v>0</v>
      </c>
      <c r="K2668" s="269" t="s">
        <v>8867</v>
      </c>
      <c r="L2668" s="274"/>
      <c r="M2668" s="17"/>
      <c r="N2668" s="68"/>
      <c r="O2668" s="68"/>
      <c r="P2668" s="68"/>
      <c r="Q2668" s="149"/>
      <c r="R2668" s="149"/>
      <c r="S2668" s="149"/>
      <c r="T2668" s="149"/>
      <c r="U2668" s="149"/>
      <c r="V2668" s="149"/>
      <c r="W2668" s="149"/>
      <c r="X2668" s="68"/>
      <c r="Y2668" s="68"/>
      <c r="Z2668" s="68"/>
    </row>
    <row r="2669" ht="15.0" customHeight="1">
      <c r="A2669" s="206">
        <v>46113.0</v>
      </c>
      <c r="B2669" s="201" t="s">
        <v>9173</v>
      </c>
      <c r="C2669" s="45" t="s">
        <v>2832</v>
      </c>
      <c r="D2669" s="455" t="str">
        <f>IFERROR(VLOOKUP(C2669,Stock,3,FALSE),"")</f>
        <v>Toyota Avanza / Xenia 21- 4th Gen</v>
      </c>
      <c r="E2669" s="45">
        <v>1.0</v>
      </c>
      <c r="F2669" s="198">
        <v>985000.0</v>
      </c>
      <c r="G2669" s="142">
        <f t="shared" si="80"/>
        <v>985000</v>
      </c>
      <c r="H2669" s="142"/>
      <c r="I2669" s="143">
        <f t="shared" si="81"/>
        <v>985000</v>
      </c>
      <c r="J2669" s="144">
        <f t="shared" si="70"/>
        <v>985000</v>
      </c>
      <c r="K2669" s="548" t="s">
        <v>9174</v>
      </c>
      <c r="L2669" s="199" t="s">
        <v>9175</v>
      </c>
      <c r="M2669" s="17"/>
      <c r="N2669" s="64" t="s">
        <v>9176</v>
      </c>
      <c r="O2669" s="68"/>
      <c r="P2669" s="68"/>
      <c r="Q2669" s="149"/>
      <c r="R2669" s="149"/>
      <c r="S2669" s="149"/>
      <c r="T2669" s="141">
        <v>985000.0</v>
      </c>
      <c r="U2669" s="149"/>
      <c r="V2669" s="149"/>
      <c r="W2669" s="149"/>
      <c r="X2669" s="64" t="s">
        <v>8219</v>
      </c>
      <c r="Y2669" s="68"/>
      <c r="Z2669" s="68"/>
    </row>
    <row r="2670" ht="15.0" customHeight="1">
      <c r="A2670" s="206">
        <v>46113.0</v>
      </c>
      <c r="B2670" s="201" t="s">
        <v>9177</v>
      </c>
      <c r="C2670" s="45" t="s">
        <v>3605</v>
      </c>
      <c r="D2670" s="455" t="str">
        <f>IFERROR(VLOOKUP(C2670,Stock,3,FALSE),"")</f>
        <v>Isuzu Elf  93- NKR NHR </v>
      </c>
      <c r="E2670" s="45">
        <v>1.0</v>
      </c>
      <c r="F2670" s="198">
        <v>665000.0</v>
      </c>
      <c r="G2670" s="142">
        <f t="shared" si="80"/>
        <v>665000</v>
      </c>
      <c r="H2670" s="142"/>
      <c r="I2670" s="143">
        <f t="shared" si="81"/>
        <v>665000</v>
      </c>
      <c r="J2670" s="144">
        <f t="shared" si="70"/>
        <v>665000</v>
      </c>
      <c r="K2670" s="45" t="s">
        <v>9178</v>
      </c>
      <c r="L2670" s="199" t="s">
        <v>9179</v>
      </c>
      <c r="M2670" s="17"/>
      <c r="N2670" s="64" t="s">
        <v>9180</v>
      </c>
      <c r="O2670" s="68"/>
      <c r="P2670" s="68"/>
      <c r="Q2670" s="149"/>
      <c r="R2670" s="149"/>
      <c r="S2670" s="149"/>
      <c r="T2670" s="141">
        <v>665000.0</v>
      </c>
      <c r="U2670" s="149"/>
      <c r="V2670" s="149"/>
      <c r="W2670" s="149"/>
      <c r="X2670" s="64" t="s">
        <v>8388</v>
      </c>
      <c r="Y2670" s="68"/>
      <c r="Z2670" s="68"/>
    </row>
    <row r="2671" ht="15.0" customHeight="1">
      <c r="A2671" s="246">
        <v>46113.0</v>
      </c>
      <c r="B2671" s="370" t="s">
        <v>9181</v>
      </c>
      <c r="C2671" s="447" t="s">
        <v>7591</v>
      </c>
      <c r="D2671" s="455" t="str">
        <f>IFERROR(VLOOKUP(C2671,Stock,3,FALSE),"")</f>
        <v>Wuling Cortez</v>
      </c>
      <c r="E2671" s="447">
        <v>1.0</v>
      </c>
      <c r="F2671" s="449">
        <v>2138000.0</v>
      </c>
      <c r="G2671" s="450">
        <f t="shared" si="80"/>
        <v>2138000</v>
      </c>
      <c r="H2671" s="450"/>
      <c r="I2671" s="451">
        <f t="shared" si="81"/>
        <v>2138000</v>
      </c>
      <c r="J2671" s="144">
        <f t="shared" si="70"/>
        <v>2138000</v>
      </c>
      <c r="K2671" s="447" t="s">
        <v>9182</v>
      </c>
      <c r="L2671" s="461" t="s">
        <v>9183</v>
      </c>
      <c r="M2671" s="455"/>
      <c r="N2671" s="456"/>
      <c r="O2671" s="456"/>
      <c r="P2671" s="456"/>
      <c r="Q2671" s="459"/>
      <c r="R2671" s="459"/>
      <c r="S2671" s="458">
        <v>100000.0</v>
      </c>
      <c r="T2671" s="458">
        <v>2188000.0</v>
      </c>
      <c r="U2671" s="459"/>
      <c r="V2671" s="459"/>
      <c r="W2671" s="459"/>
      <c r="X2671" s="462" t="s">
        <v>7976</v>
      </c>
      <c r="Y2671" s="68"/>
      <c r="Z2671" s="68"/>
    </row>
    <row r="2672" ht="15.0" customHeight="1">
      <c r="A2672" s="206">
        <v>46113.0</v>
      </c>
      <c r="B2672" s="201"/>
      <c r="C2672" s="45" t="s">
        <v>2770</v>
      </c>
      <c r="D2672" s="455" t="str">
        <f>IFERROR(VLOOKUP(C2672,Stock,3,FALSE),"")</f>
        <v>Transport</v>
      </c>
      <c r="E2672" s="45">
        <v>1.0</v>
      </c>
      <c r="F2672" s="198">
        <v>150000.0</v>
      </c>
      <c r="G2672" s="142">
        <f t="shared" si="80"/>
        <v>150000</v>
      </c>
      <c r="H2672" s="142"/>
      <c r="I2672" s="143">
        <f t="shared" si="81"/>
        <v>150000</v>
      </c>
      <c r="J2672" s="144">
        <f t="shared" si="70"/>
        <v>150000</v>
      </c>
      <c r="K2672" s="45"/>
      <c r="L2672" s="45"/>
      <c r="M2672" s="17"/>
      <c r="N2672" s="64"/>
      <c r="O2672" s="68"/>
      <c r="P2672" s="68"/>
      <c r="Q2672" s="149"/>
      <c r="R2672" s="149"/>
      <c r="S2672" s="149"/>
      <c r="T2672" s="149"/>
      <c r="U2672" s="149"/>
      <c r="V2672" s="149"/>
      <c r="W2672" s="149"/>
      <c r="X2672" s="64" t="s">
        <v>8232</v>
      </c>
      <c r="Y2672" s="68"/>
      <c r="Z2672" s="68"/>
    </row>
    <row r="2673" ht="15.0" customHeight="1">
      <c r="A2673" s="206">
        <v>46113.0</v>
      </c>
      <c r="B2673" s="201" t="s">
        <v>9184</v>
      </c>
      <c r="C2673" s="45" t="s">
        <v>6511</v>
      </c>
      <c r="D2673" s="455" t="str">
        <f>IFERROR(VLOOKUP(C2673,Stock,3,FALSE),"")</f>
        <v>Mazda 2 09-14 3rd Gen</v>
      </c>
      <c r="E2673" s="45">
        <v>1.0</v>
      </c>
      <c r="F2673" s="198">
        <v>1849000.0</v>
      </c>
      <c r="G2673" s="142">
        <f t="shared" si="80"/>
        <v>1849000</v>
      </c>
      <c r="H2673" s="143">
        <v>49000.0</v>
      </c>
      <c r="I2673" s="143">
        <f t="shared" si="81"/>
        <v>1800000</v>
      </c>
      <c r="J2673" s="144">
        <f t="shared" si="70"/>
        <v>1800000</v>
      </c>
      <c r="K2673" s="45" t="s">
        <v>4288</v>
      </c>
      <c r="L2673" s="199" t="s">
        <v>9185</v>
      </c>
      <c r="M2673" s="17"/>
      <c r="N2673" s="64" t="s">
        <v>9186</v>
      </c>
      <c r="O2673" s="68"/>
      <c r="P2673" s="68"/>
      <c r="Q2673" s="149"/>
      <c r="R2673" s="149"/>
      <c r="S2673" s="149"/>
      <c r="T2673" s="141">
        <v>1800000.0</v>
      </c>
      <c r="U2673" s="149"/>
      <c r="V2673" s="149"/>
      <c r="W2673" s="149"/>
      <c r="X2673" s="64" t="s">
        <v>8232</v>
      </c>
      <c r="Y2673" s="68"/>
      <c r="Z2673" s="68"/>
    </row>
    <row r="2674" ht="15.0" customHeight="1">
      <c r="A2674" s="206">
        <v>46113.0</v>
      </c>
      <c r="B2674" s="201" t="s">
        <v>9187</v>
      </c>
      <c r="C2674" s="45" t="s">
        <v>5526</v>
      </c>
      <c r="D2674" s="455" t="str">
        <f>IFERROR(VLOOKUP(C2674,Stock,3,FALSE),"")</f>
        <v>Toyota Fortuner 05-15 1st Gen (Hitam)</v>
      </c>
      <c r="E2674" s="45">
        <v>1.0</v>
      </c>
      <c r="F2674" s="198">
        <v>2200000.0</v>
      </c>
      <c r="G2674" s="142">
        <f t="shared" si="80"/>
        <v>2200000</v>
      </c>
      <c r="H2674" s="143">
        <v>33000.0</v>
      </c>
      <c r="I2674" s="143">
        <f t="shared" si="81"/>
        <v>2167000</v>
      </c>
      <c r="J2674" s="144">
        <f t="shared" si="70"/>
        <v>2167000</v>
      </c>
      <c r="K2674" s="45" t="s">
        <v>9165</v>
      </c>
      <c r="L2674" s="199" t="s">
        <v>7883</v>
      </c>
      <c r="M2674" s="17"/>
      <c r="N2674" s="444" t="s">
        <v>9166</v>
      </c>
      <c r="O2674" s="68"/>
      <c r="P2674" s="68"/>
      <c r="Q2674" s="149"/>
      <c r="R2674" s="149"/>
      <c r="S2674" s="141"/>
      <c r="T2674" s="141">
        <v>3300000.0</v>
      </c>
      <c r="U2674" s="149"/>
      <c r="V2674" s="149"/>
      <c r="W2674" s="149"/>
      <c r="X2674" s="64" t="s">
        <v>7976</v>
      </c>
      <c r="Y2674" s="68"/>
      <c r="Z2674" s="68"/>
    </row>
    <row r="2675" ht="15.0" customHeight="1">
      <c r="A2675" s="246">
        <v>46113.0</v>
      </c>
      <c r="B2675" s="370" t="s">
        <v>9187</v>
      </c>
      <c r="C2675" s="447" t="s">
        <v>8063</v>
      </c>
      <c r="D2675" s="455" t="str">
        <f>IFERROR(VLOOKUP(C2675,Stock,3,FALSE),"")</f>
        <v>Toyota Fortuner 05-15 1st Gen (Hitam)</v>
      </c>
      <c r="E2675" s="45">
        <v>1.0</v>
      </c>
      <c r="F2675" s="198">
        <v>1133000.0</v>
      </c>
      <c r="G2675" s="142">
        <f t="shared" si="80"/>
        <v>1133000</v>
      </c>
      <c r="H2675" s="142"/>
      <c r="I2675" s="143">
        <f t="shared" si="81"/>
        <v>1133000</v>
      </c>
      <c r="J2675" s="144">
        <f t="shared" si="70"/>
        <v>1133000</v>
      </c>
      <c r="K2675" s="17"/>
      <c r="L2675" s="17"/>
      <c r="M2675" s="17"/>
      <c r="N2675" s="68"/>
      <c r="O2675" s="68"/>
      <c r="P2675" s="68"/>
      <c r="Q2675" s="149"/>
      <c r="R2675" s="149"/>
      <c r="S2675" s="149"/>
      <c r="T2675" s="149"/>
      <c r="U2675" s="149"/>
      <c r="V2675" s="149"/>
      <c r="W2675" s="149"/>
      <c r="X2675" s="68"/>
      <c r="Y2675" s="68"/>
      <c r="Z2675" s="68"/>
    </row>
    <row r="2676" ht="15.0" customHeight="1">
      <c r="A2676" s="206">
        <v>46113.0</v>
      </c>
      <c r="B2676" s="398" t="s">
        <v>9188</v>
      </c>
      <c r="C2676" s="479" t="s">
        <v>2778</v>
      </c>
      <c r="D2676" s="525" t="str">
        <f>IFERROR(VLOOKUP(C2676,Stock,3,FALSE),"")</f>
        <v>Bongkar Pasang Kaca Mobil Depan</v>
      </c>
      <c r="E2676" s="45">
        <v>1.0</v>
      </c>
      <c r="F2676" s="198">
        <v>650000.0</v>
      </c>
      <c r="G2676" s="142">
        <f t="shared" si="80"/>
        <v>650000</v>
      </c>
      <c r="H2676" s="142"/>
      <c r="I2676" s="143">
        <f t="shared" si="81"/>
        <v>650000</v>
      </c>
      <c r="J2676" s="144">
        <f t="shared" si="70"/>
        <v>650000</v>
      </c>
      <c r="K2676" s="45" t="s">
        <v>9189</v>
      </c>
      <c r="L2676" s="199" t="s">
        <v>9190</v>
      </c>
      <c r="M2676" s="17"/>
      <c r="N2676" s="64" t="s">
        <v>9191</v>
      </c>
      <c r="O2676" s="68"/>
      <c r="P2676" s="68"/>
      <c r="Q2676" s="149"/>
      <c r="R2676" s="149"/>
      <c r="S2676" s="141">
        <v>650000.0</v>
      </c>
      <c r="T2676" s="149"/>
      <c r="U2676" s="149"/>
      <c r="V2676" s="149"/>
      <c r="W2676" s="149"/>
      <c r="X2676" s="64" t="s">
        <v>7976</v>
      </c>
      <c r="Y2676" s="68"/>
      <c r="Z2676" s="68"/>
    </row>
    <row r="2677" ht="15.0" customHeight="1">
      <c r="A2677" s="206">
        <v>46113.0</v>
      </c>
      <c r="B2677" s="201" t="s">
        <v>9192</v>
      </c>
      <c r="C2677" s="548" t="s">
        <v>5979</v>
      </c>
      <c r="D2677" s="17" t="str">
        <f>IFERROR(VLOOKUP(C2677,Stock,3,FALSE),"")</f>
        <v>Nissan X-Trail 01-07 T30</v>
      </c>
      <c r="E2677" s="45">
        <v>1.0</v>
      </c>
      <c r="F2677" s="198">
        <v>1821000.0</v>
      </c>
      <c r="G2677" s="142">
        <f t="shared" si="80"/>
        <v>1821000</v>
      </c>
      <c r="H2677" s="143">
        <v>21000.0</v>
      </c>
      <c r="I2677" s="143">
        <f t="shared" si="81"/>
        <v>1800000</v>
      </c>
      <c r="J2677" s="144">
        <f t="shared" si="70"/>
        <v>1800000</v>
      </c>
      <c r="K2677" s="45" t="s">
        <v>5992</v>
      </c>
      <c r="L2677" s="199" t="s">
        <v>9193</v>
      </c>
      <c r="M2677" s="17"/>
      <c r="N2677" s="64" t="s">
        <v>9194</v>
      </c>
      <c r="O2677" s="68"/>
      <c r="P2677" s="68"/>
      <c r="Q2677" s="149"/>
      <c r="R2677" s="149"/>
      <c r="S2677" s="141">
        <v>500000.0</v>
      </c>
      <c r="T2677" s="141">
        <v>1000000.0</v>
      </c>
      <c r="U2677" s="149"/>
      <c r="V2677" s="149"/>
      <c r="W2677" s="149"/>
      <c r="X2677" s="64" t="s">
        <v>7976</v>
      </c>
      <c r="Y2677" s="68"/>
      <c r="Z2677" s="68"/>
    </row>
    <row r="2678" ht="15.0" customHeight="1">
      <c r="A2678" s="421"/>
      <c r="B2678" s="201" t="s">
        <v>9192</v>
      </c>
      <c r="C2678" s="45" t="s">
        <v>2770</v>
      </c>
      <c r="D2678" s="455" t="str">
        <f>IFERROR(VLOOKUP(C2678,Stock,3,FALSE),"")</f>
        <v>Transport</v>
      </c>
      <c r="E2678" s="45">
        <v>1.0</v>
      </c>
      <c r="F2678" s="198">
        <v>100000.0</v>
      </c>
      <c r="G2678" s="142">
        <f t="shared" si="80"/>
        <v>100000</v>
      </c>
      <c r="H2678" s="142"/>
      <c r="I2678" s="143"/>
      <c r="J2678" s="144" t="str">
        <f t="shared" si="70"/>
        <v/>
      </c>
      <c r="K2678" s="17"/>
      <c r="L2678" s="17"/>
      <c r="M2678" s="17"/>
      <c r="N2678" s="68"/>
      <c r="O2678" s="68"/>
      <c r="P2678" s="68"/>
      <c r="Q2678" s="149"/>
      <c r="R2678" s="149"/>
      <c r="S2678" s="149"/>
      <c r="T2678" s="149"/>
      <c r="U2678" s="149"/>
      <c r="V2678" s="149"/>
      <c r="W2678" s="149"/>
      <c r="X2678" s="68"/>
      <c r="Y2678" s="68"/>
      <c r="Z2678" s="68"/>
    </row>
    <row r="2679" ht="15.0" customHeight="1">
      <c r="A2679" s="206">
        <v>46113.0</v>
      </c>
      <c r="B2679" s="201" t="s">
        <v>9195</v>
      </c>
      <c r="C2679" s="45" t="s">
        <v>7318</v>
      </c>
      <c r="D2679" s="455" t="str">
        <f>IFERROR(VLOOKUP(C2679,Stock,3,FALSE),"")</f>
        <v>Toyota Avanza / Xenia 15-21 3rd Gen</v>
      </c>
      <c r="E2679" s="45">
        <v>1.0</v>
      </c>
      <c r="F2679" s="198">
        <v>1000000.0</v>
      </c>
      <c r="G2679" s="142">
        <f t="shared" si="80"/>
        <v>1000000</v>
      </c>
      <c r="H2679" s="142"/>
      <c r="I2679" s="143">
        <f t="shared" ref="I2679:I2700" si="82">G2679-H2679</f>
        <v>1000000</v>
      </c>
      <c r="J2679" s="144">
        <f t="shared" si="70"/>
        <v>1000000</v>
      </c>
      <c r="K2679" s="45" t="s">
        <v>6426</v>
      </c>
      <c r="L2679" s="199" t="s">
        <v>9196</v>
      </c>
      <c r="M2679" s="17"/>
      <c r="N2679" s="64" t="s">
        <v>9197</v>
      </c>
      <c r="O2679" s="68"/>
      <c r="P2679" s="68"/>
      <c r="Q2679" s="141">
        <v>1000000.0</v>
      </c>
      <c r="R2679" s="149"/>
      <c r="S2679" s="149"/>
      <c r="T2679" s="149"/>
      <c r="U2679" s="149"/>
      <c r="V2679" s="149"/>
      <c r="W2679" s="149"/>
      <c r="X2679" s="64" t="s">
        <v>8232</v>
      </c>
      <c r="Y2679" s="68"/>
      <c r="Z2679" s="68"/>
    </row>
    <row r="2680" ht="15.0" customHeight="1">
      <c r="A2680" s="539">
        <v>46113.0</v>
      </c>
      <c r="B2680" s="398" t="s">
        <v>9198</v>
      </c>
      <c r="C2680" s="479" t="s">
        <v>9199</v>
      </c>
      <c r="D2680" s="525" t="str">
        <f>IFERROR(VLOOKUP(C2680,Stock,3,FALSE),"")</f>
        <v>Kia Picanto 04-11 1st Gen</v>
      </c>
      <c r="E2680" s="479">
        <v>1.0</v>
      </c>
      <c r="F2680" s="519">
        <v>825000.0</v>
      </c>
      <c r="G2680" s="520">
        <f t="shared" si="80"/>
        <v>825000</v>
      </c>
      <c r="H2680" s="520"/>
      <c r="I2680" s="521">
        <f t="shared" si="82"/>
        <v>825000</v>
      </c>
      <c r="J2680" s="144">
        <f t="shared" si="70"/>
        <v>825000</v>
      </c>
      <c r="K2680" s="479" t="s">
        <v>9200</v>
      </c>
      <c r="L2680" s="523" t="s">
        <v>9201</v>
      </c>
      <c r="M2680" s="525"/>
      <c r="N2680" s="540"/>
      <c r="O2680" s="540"/>
      <c r="P2680" s="68"/>
      <c r="Q2680" s="149"/>
      <c r="R2680" s="149"/>
      <c r="S2680" s="149"/>
      <c r="T2680" s="141">
        <v>825000.0</v>
      </c>
      <c r="U2680" s="149"/>
      <c r="V2680" s="149"/>
      <c r="W2680" s="149"/>
      <c r="X2680" s="68"/>
      <c r="Y2680" s="68"/>
      <c r="Z2680" s="68"/>
    </row>
    <row r="2681" ht="15.0" customHeight="1">
      <c r="A2681" s="206">
        <v>46113.0</v>
      </c>
      <c r="B2681" s="201" t="s">
        <v>9202</v>
      </c>
      <c r="C2681" s="45" t="s">
        <v>9203</v>
      </c>
      <c r="D2681" s="17" t="str">
        <f>IFERROR(VLOOKUP(C2681,Stock,3,FALSE),"")</f>
        <v>Daihatsu Sirion 11-18 2nd Gen</v>
      </c>
      <c r="E2681" s="45">
        <v>1.0</v>
      </c>
      <c r="F2681" s="198">
        <v>1029000.0</v>
      </c>
      <c r="G2681" s="142">
        <f t="shared" si="80"/>
        <v>1029000</v>
      </c>
      <c r="H2681" s="142"/>
      <c r="I2681" s="143">
        <f t="shared" si="82"/>
        <v>1029000</v>
      </c>
      <c r="J2681" s="144">
        <f t="shared" si="70"/>
        <v>1029000</v>
      </c>
      <c r="K2681" s="45" t="s">
        <v>9204</v>
      </c>
      <c r="L2681" s="199" t="s">
        <v>9205</v>
      </c>
      <c r="M2681" s="17"/>
      <c r="N2681" s="68"/>
      <c r="O2681" s="68"/>
      <c r="P2681" s="68"/>
      <c r="Q2681" s="149"/>
      <c r="R2681" s="149"/>
      <c r="S2681" s="141">
        <v>100000.0</v>
      </c>
      <c r="T2681" s="141">
        <v>929000.0</v>
      </c>
      <c r="U2681" s="149"/>
      <c r="V2681" s="149"/>
      <c r="W2681" s="149"/>
      <c r="X2681" s="68"/>
      <c r="Y2681" s="68"/>
      <c r="Z2681" s="68"/>
    </row>
    <row r="2682" ht="15.0" customHeight="1">
      <c r="A2682" s="206">
        <v>46113.0</v>
      </c>
      <c r="B2682" s="201" t="s">
        <v>9206</v>
      </c>
      <c r="C2682" s="64" t="s">
        <v>3354</v>
      </c>
      <c r="D2682" s="455" t="str">
        <f>IFERROR(VLOOKUP(C2682,Stock,3,FALSE),"")</f>
        <v>Honda Brio 10- / Mobilio 11- (Honda)</v>
      </c>
      <c r="E2682" s="45">
        <v>1.0</v>
      </c>
      <c r="F2682" s="198">
        <v>1772000.0</v>
      </c>
      <c r="G2682" s="142">
        <f t="shared" si="80"/>
        <v>1772000</v>
      </c>
      <c r="H2682" s="142"/>
      <c r="I2682" s="143">
        <f t="shared" si="82"/>
        <v>1772000</v>
      </c>
      <c r="J2682" s="144">
        <f t="shared" si="70"/>
        <v>1772000</v>
      </c>
      <c r="K2682" s="45" t="s">
        <v>9207</v>
      </c>
      <c r="L2682" s="199" t="s">
        <v>9208</v>
      </c>
      <c r="M2682" s="17"/>
      <c r="N2682" s="68"/>
      <c r="O2682" s="68"/>
      <c r="P2682" s="68"/>
      <c r="Q2682" s="149"/>
      <c r="R2682" s="149"/>
      <c r="S2682" s="141">
        <v>100000.0</v>
      </c>
      <c r="T2682" s="141">
        <v>1872000.0</v>
      </c>
      <c r="U2682" s="149"/>
      <c r="V2682" s="149"/>
      <c r="W2682" s="149"/>
      <c r="X2682" s="68"/>
      <c r="Y2682" s="68"/>
      <c r="Z2682" s="68"/>
    </row>
    <row r="2683" ht="15.0" customHeight="1">
      <c r="A2683" s="206">
        <v>46113.0</v>
      </c>
      <c r="B2683" s="201" t="s">
        <v>9206</v>
      </c>
      <c r="C2683" s="447" t="s">
        <v>2770</v>
      </c>
      <c r="D2683" s="455" t="str">
        <f>IFERROR(VLOOKUP(C2683,Stock,3,FALSE),"")</f>
        <v>Transport</v>
      </c>
      <c r="E2683" s="45">
        <v>1.0</v>
      </c>
      <c r="F2683" s="198">
        <v>200000.0</v>
      </c>
      <c r="G2683" s="142">
        <f t="shared" si="80"/>
        <v>200000</v>
      </c>
      <c r="H2683" s="142"/>
      <c r="I2683" s="143">
        <f t="shared" si="82"/>
        <v>200000</v>
      </c>
      <c r="J2683" s="144">
        <f t="shared" si="70"/>
        <v>200000</v>
      </c>
      <c r="K2683" s="17"/>
      <c r="L2683" s="17"/>
      <c r="M2683" s="17"/>
      <c r="N2683" s="68"/>
      <c r="O2683" s="68"/>
      <c r="P2683" s="68"/>
      <c r="Q2683" s="149"/>
      <c r="R2683" s="149"/>
      <c r="S2683" s="149"/>
      <c r="T2683" s="149"/>
      <c r="U2683" s="149"/>
      <c r="V2683" s="149"/>
      <c r="W2683" s="149"/>
      <c r="X2683" s="68"/>
      <c r="Y2683" s="68"/>
      <c r="Z2683" s="68"/>
    </row>
    <row r="2684" ht="15.0" customHeight="1">
      <c r="A2684" s="206">
        <v>46113.0</v>
      </c>
      <c r="B2684" s="201" t="s">
        <v>9209</v>
      </c>
      <c r="C2684" s="548" t="s">
        <v>5680</v>
      </c>
      <c r="D2684" s="455" t="str">
        <f>IFERROR(VLOOKUP(C2684,Stock,3,FALSE),"")</f>
        <v>Suzuki Wagon R 12-</v>
      </c>
      <c r="E2684" s="45">
        <v>1.0</v>
      </c>
      <c r="F2684" s="198">
        <v>1482000.0</v>
      </c>
      <c r="G2684" s="142">
        <f t="shared" si="80"/>
        <v>1482000</v>
      </c>
      <c r="H2684" s="142"/>
      <c r="I2684" s="143">
        <f t="shared" si="82"/>
        <v>1482000</v>
      </c>
      <c r="J2684" s="144">
        <f t="shared" si="70"/>
        <v>1482000</v>
      </c>
      <c r="K2684" s="45" t="s">
        <v>9210</v>
      </c>
      <c r="L2684" s="199" t="s">
        <v>9211</v>
      </c>
      <c r="M2684" s="17"/>
      <c r="N2684" s="64" t="s">
        <v>9212</v>
      </c>
      <c r="O2684" s="68"/>
      <c r="P2684" s="68"/>
      <c r="Q2684" s="149"/>
      <c r="R2684" s="149"/>
      <c r="S2684" s="149"/>
      <c r="T2684" s="141">
        <v>1482000.0</v>
      </c>
      <c r="U2684" s="149"/>
      <c r="V2684" s="149"/>
      <c r="W2684" s="149"/>
      <c r="X2684" s="64" t="s">
        <v>9213</v>
      </c>
      <c r="Y2684" s="68"/>
      <c r="Z2684" s="68"/>
    </row>
    <row r="2685" ht="15.0" customHeight="1">
      <c r="A2685" s="246">
        <v>46113.0</v>
      </c>
      <c r="B2685" s="370" t="s">
        <v>9214</v>
      </c>
      <c r="C2685" s="447" t="s">
        <v>9215</v>
      </c>
      <c r="D2685" s="455" t="str">
        <f>IFERROR(VLOOKUP(C2685,Stock,3,FALSE),"")</f>
        <v>Toyota Rush / Terios 18-</v>
      </c>
      <c r="E2685" s="447">
        <v>1.0</v>
      </c>
      <c r="F2685" s="449">
        <v>1250000.0</v>
      </c>
      <c r="G2685" s="450">
        <f t="shared" si="80"/>
        <v>1250000</v>
      </c>
      <c r="H2685" s="450"/>
      <c r="I2685" s="451">
        <f t="shared" si="82"/>
        <v>1250000</v>
      </c>
      <c r="J2685" s="144">
        <f t="shared" si="70"/>
        <v>1250000</v>
      </c>
      <c r="K2685" s="447" t="s">
        <v>9216</v>
      </c>
      <c r="L2685" s="461" t="s">
        <v>9217</v>
      </c>
      <c r="M2685" s="455"/>
      <c r="N2685" s="462" t="s">
        <v>9218</v>
      </c>
      <c r="O2685" s="456"/>
      <c r="P2685" s="456"/>
      <c r="Q2685" s="459"/>
      <c r="R2685" s="459"/>
      <c r="S2685" s="458">
        <v>100000.0</v>
      </c>
      <c r="T2685" s="459"/>
      <c r="U2685" s="459"/>
      <c r="V2685" s="459"/>
      <c r="W2685" s="459"/>
      <c r="X2685" s="462" t="s">
        <v>9219</v>
      </c>
      <c r="Y2685" s="68"/>
      <c r="Z2685" s="68"/>
    </row>
    <row r="2686" ht="15.0" customHeight="1">
      <c r="A2686" s="206">
        <v>46113.0</v>
      </c>
      <c r="B2686" s="201" t="s">
        <v>9214</v>
      </c>
      <c r="C2686" s="45" t="s">
        <v>7011</v>
      </c>
      <c r="D2686" s="455" t="str">
        <f>IFERROR(VLOOKUP(C2686,Stock,3,FALSE),"")</f>
        <v>Automotive Film Standard - Black 40%				</v>
      </c>
      <c r="E2686" s="45">
        <v>1.0</v>
      </c>
      <c r="F2686" s="198">
        <v>400000.0</v>
      </c>
      <c r="G2686" s="142">
        <f t="shared" si="80"/>
        <v>400000</v>
      </c>
      <c r="H2686" s="142"/>
      <c r="I2686" s="143">
        <f t="shared" si="82"/>
        <v>400000</v>
      </c>
      <c r="J2686" s="144">
        <f t="shared" si="70"/>
        <v>400000</v>
      </c>
      <c r="K2686" s="45" t="s">
        <v>9216</v>
      </c>
      <c r="L2686" s="199" t="s">
        <v>9217</v>
      </c>
      <c r="M2686" s="17"/>
      <c r="N2686" s="64" t="s">
        <v>9218</v>
      </c>
      <c r="O2686" s="68"/>
      <c r="P2686" s="68"/>
      <c r="Q2686" s="149"/>
      <c r="R2686" s="149"/>
      <c r="S2686" s="149"/>
      <c r="T2686" s="149"/>
      <c r="U2686" s="149"/>
      <c r="V2686" s="149"/>
      <c r="W2686" s="149"/>
      <c r="X2686" s="68"/>
      <c r="Y2686" s="68"/>
      <c r="Z2686" s="68"/>
    </row>
    <row r="2687" ht="15.0" customHeight="1">
      <c r="A2687" s="206">
        <v>46113.0</v>
      </c>
      <c r="B2687" s="201" t="s">
        <v>9214</v>
      </c>
      <c r="C2687" s="45" t="s">
        <v>2770</v>
      </c>
      <c r="D2687" s="455" t="str">
        <f>IFERROR(VLOOKUP(C2687,Stock,3,FALSE),"")</f>
        <v>Transport</v>
      </c>
      <c r="E2687" s="45">
        <v>1.0</v>
      </c>
      <c r="F2687" s="198">
        <v>200000.0</v>
      </c>
      <c r="G2687" s="142">
        <f t="shared" si="80"/>
        <v>200000</v>
      </c>
      <c r="H2687" s="142"/>
      <c r="I2687" s="143">
        <f t="shared" si="82"/>
        <v>200000</v>
      </c>
      <c r="J2687" s="144">
        <f t="shared" si="70"/>
        <v>200000</v>
      </c>
      <c r="K2687" s="45" t="s">
        <v>9216</v>
      </c>
      <c r="L2687" s="199" t="s">
        <v>9217</v>
      </c>
      <c r="M2687" s="17"/>
      <c r="N2687" s="64" t="s">
        <v>9218</v>
      </c>
      <c r="O2687" s="68"/>
      <c r="P2687" s="68"/>
      <c r="Q2687" s="149"/>
      <c r="R2687" s="149"/>
      <c r="S2687" s="149"/>
      <c r="T2687" s="149"/>
      <c r="U2687" s="149"/>
      <c r="V2687" s="149"/>
      <c r="W2687" s="149"/>
      <c r="X2687" s="68"/>
      <c r="Y2687" s="68"/>
      <c r="Z2687" s="68"/>
    </row>
    <row r="2688" ht="15.0" customHeight="1">
      <c r="A2688" s="206">
        <v>46114.0</v>
      </c>
      <c r="B2688" s="201" t="s">
        <v>9220</v>
      </c>
      <c r="C2688" s="45" t="s">
        <v>2756</v>
      </c>
      <c r="D2688" s="455" t="str">
        <f>IFERROR(VLOOKUP(C2688,Stock,3,FALSE),"")</f>
        <v>Wuling Almaz (Sensor)</v>
      </c>
      <c r="E2688" s="45">
        <v>1.0</v>
      </c>
      <c r="F2688" s="198">
        <v>2899000.0</v>
      </c>
      <c r="G2688" s="142">
        <f t="shared" si="80"/>
        <v>2899000</v>
      </c>
      <c r="H2688" s="142"/>
      <c r="I2688" s="143">
        <f t="shared" si="82"/>
        <v>2899000</v>
      </c>
      <c r="J2688" s="144">
        <f t="shared" si="70"/>
        <v>2899000</v>
      </c>
      <c r="K2688" s="45" t="s">
        <v>9221</v>
      </c>
      <c r="L2688" s="199" t="s">
        <v>9222</v>
      </c>
      <c r="M2688" s="17"/>
      <c r="N2688" s="64" t="s">
        <v>9223</v>
      </c>
      <c r="O2688" s="68"/>
      <c r="P2688" s="68"/>
      <c r="Q2688" s="149"/>
      <c r="R2688" s="149"/>
      <c r="S2688" s="149"/>
      <c r="T2688" s="141">
        <v>2899000.0</v>
      </c>
      <c r="U2688" s="149"/>
      <c r="V2688" s="149"/>
      <c r="W2688" s="149"/>
      <c r="X2688" s="64" t="s">
        <v>8232</v>
      </c>
      <c r="Y2688" s="68"/>
      <c r="Z2688" s="68"/>
    </row>
    <row r="2689" ht="15.0" customHeight="1">
      <c r="A2689" s="206">
        <v>46114.0</v>
      </c>
      <c r="B2689" s="201" t="s">
        <v>9224</v>
      </c>
      <c r="C2689" s="45" t="s">
        <v>9225</v>
      </c>
      <c r="D2689" s="17" t="str">
        <f>IFERROR(VLOOKUP(C2689,Stock,3,FALSE),"")</f>
        <v>Mazda CX-3 15-</v>
      </c>
      <c r="E2689" s="45">
        <v>1.0</v>
      </c>
      <c r="F2689" s="198">
        <v>3828246.0</v>
      </c>
      <c r="G2689" s="142">
        <f t="shared" si="80"/>
        <v>3828246</v>
      </c>
      <c r="H2689" s="142"/>
      <c r="I2689" s="143">
        <f t="shared" si="82"/>
        <v>3828246</v>
      </c>
      <c r="J2689" s="144">
        <f t="shared" si="70"/>
        <v>3828246</v>
      </c>
      <c r="K2689" s="224" t="s">
        <v>9226</v>
      </c>
      <c r="L2689" s="227" t="s">
        <v>9227</v>
      </c>
      <c r="M2689" s="17"/>
      <c r="N2689" s="64" t="s">
        <v>9228</v>
      </c>
      <c r="O2689" s="68"/>
      <c r="P2689" s="68"/>
      <c r="Q2689" s="149"/>
      <c r="R2689" s="149"/>
      <c r="S2689" s="141">
        <v>1914500.0</v>
      </c>
      <c r="T2689" s="141">
        <v>1913746.0</v>
      </c>
      <c r="U2689" s="149"/>
      <c r="V2689" s="149"/>
      <c r="W2689" s="149"/>
      <c r="X2689" s="68"/>
      <c r="Y2689" s="68"/>
      <c r="Z2689" s="68"/>
    </row>
    <row r="2690" ht="15.0" customHeight="1">
      <c r="A2690" s="206">
        <v>46114.0</v>
      </c>
      <c r="B2690" s="201" t="s">
        <v>9229</v>
      </c>
      <c r="C2690" s="45" t="s">
        <v>9230</v>
      </c>
      <c r="D2690" s="455" t="str">
        <f>IFERROR(VLOOKUP(C2690,Stock,3,FALSE),"")</f>
        <v>Toyota Alphard 18- ANH30 3rd Gen (with Camera)</v>
      </c>
      <c r="E2690" s="45">
        <v>1.0</v>
      </c>
      <c r="F2690" s="198">
        <v>3243000.0</v>
      </c>
      <c r="G2690" s="142">
        <f t="shared" si="80"/>
        <v>3243000</v>
      </c>
      <c r="H2690" s="142"/>
      <c r="I2690" s="143">
        <f t="shared" si="82"/>
        <v>3243000</v>
      </c>
      <c r="J2690" s="144">
        <f t="shared" si="70"/>
        <v>3243000</v>
      </c>
      <c r="K2690" s="45" t="s">
        <v>9231</v>
      </c>
      <c r="L2690" s="199" t="s">
        <v>9232</v>
      </c>
      <c r="M2690" s="17"/>
      <c r="N2690" s="64" t="s">
        <v>9233</v>
      </c>
      <c r="O2690" s="68"/>
      <c r="P2690" s="68"/>
      <c r="Q2690" s="149"/>
      <c r="R2690" s="149"/>
      <c r="S2690" s="141">
        <v>100000.0</v>
      </c>
      <c r="T2690" s="141">
        <v>3143000.0</v>
      </c>
      <c r="U2690" s="149"/>
      <c r="V2690" s="149"/>
      <c r="W2690" s="149"/>
      <c r="X2690" s="64" t="s">
        <v>9234</v>
      </c>
      <c r="Y2690" s="68"/>
      <c r="Z2690" s="68"/>
    </row>
    <row r="2691" ht="15.0" customHeight="1">
      <c r="A2691" s="206">
        <v>46114.0</v>
      </c>
      <c r="B2691" s="201" t="s">
        <v>9235</v>
      </c>
      <c r="C2691" s="45" t="s">
        <v>6425</v>
      </c>
      <c r="D2691" s="455" t="str">
        <f>IFERROR(VLOOKUP(C2691,Stock,3,FALSE),"")</f>
        <v>Honda Jazz 13- 3rd Gen</v>
      </c>
      <c r="E2691" s="45">
        <v>1.0</v>
      </c>
      <c r="F2691" s="198">
        <v>1550000.0</v>
      </c>
      <c r="G2691" s="142">
        <f t="shared" si="80"/>
        <v>1550000</v>
      </c>
      <c r="H2691" s="142"/>
      <c r="I2691" s="143">
        <f t="shared" si="82"/>
        <v>1550000</v>
      </c>
      <c r="J2691" s="144">
        <f t="shared" si="70"/>
        <v>1550000</v>
      </c>
      <c r="K2691" s="45" t="s">
        <v>9236</v>
      </c>
      <c r="L2691" s="17"/>
      <c r="M2691" s="17"/>
      <c r="N2691" s="64" t="s">
        <v>9237</v>
      </c>
      <c r="O2691" s="68"/>
      <c r="P2691" s="68"/>
      <c r="Q2691" s="149"/>
      <c r="R2691" s="149"/>
      <c r="S2691" s="149"/>
      <c r="T2691" s="149"/>
      <c r="U2691" s="149"/>
      <c r="V2691" s="149"/>
      <c r="W2691" s="149"/>
      <c r="X2691" s="68"/>
      <c r="Y2691" s="68"/>
      <c r="Z2691" s="68"/>
    </row>
    <row r="2692" ht="15.0" customHeight="1">
      <c r="A2692" s="206">
        <v>46114.0</v>
      </c>
      <c r="B2692" s="201" t="s">
        <v>9238</v>
      </c>
      <c r="C2692" s="45" t="s">
        <v>9239</v>
      </c>
      <c r="D2692" s="560" t="str">
        <f>IFERROR(VLOOKUP(C2692,Stock,3,FALSE),"")</f>
        <v>Chevrolet TrailBlazer 13- / Isuzu MUX 13-19</v>
      </c>
      <c r="E2692" s="45">
        <v>1.0</v>
      </c>
      <c r="F2692" s="198">
        <v>995000.0</v>
      </c>
      <c r="G2692" s="142">
        <f t="shared" si="80"/>
        <v>995000</v>
      </c>
      <c r="H2692" s="142"/>
      <c r="I2692" s="143">
        <f t="shared" si="82"/>
        <v>995000</v>
      </c>
      <c r="J2692" s="144">
        <f t="shared" si="70"/>
        <v>995000</v>
      </c>
      <c r="K2692" s="45" t="s">
        <v>9240</v>
      </c>
      <c r="L2692" s="17"/>
      <c r="M2692" s="17"/>
      <c r="N2692" s="68"/>
      <c r="O2692" s="68"/>
      <c r="P2692" s="68"/>
      <c r="Q2692" s="149"/>
      <c r="R2692" s="149"/>
      <c r="S2692" s="149"/>
      <c r="T2692" s="141">
        <v>995000.0</v>
      </c>
      <c r="U2692" s="149"/>
      <c r="V2692" s="149"/>
      <c r="W2692" s="149"/>
      <c r="X2692" s="68"/>
      <c r="Y2692" s="68"/>
      <c r="Z2692" s="68"/>
    </row>
    <row r="2693" ht="15.0" customHeight="1">
      <c r="A2693" s="206">
        <v>46114.0</v>
      </c>
      <c r="B2693" s="201" t="s">
        <v>9238</v>
      </c>
      <c r="C2693" s="45" t="s">
        <v>8411</v>
      </c>
      <c r="D2693" s="455" t="str">
        <f>IFERROR(VLOOKUP(C2693,Stock,3,FALSE),"")</f>
        <v>Automotive Film Standard - Black 80%</v>
      </c>
      <c r="E2693" s="45">
        <v>1.0</v>
      </c>
      <c r="F2693" s="198">
        <v>200000.0</v>
      </c>
      <c r="G2693" s="142">
        <f t="shared" si="80"/>
        <v>200000</v>
      </c>
      <c r="H2693" s="142"/>
      <c r="I2693" s="143">
        <f t="shared" si="82"/>
        <v>200000</v>
      </c>
      <c r="J2693" s="144">
        <f t="shared" si="70"/>
        <v>200000</v>
      </c>
      <c r="K2693" s="17"/>
      <c r="L2693" s="17"/>
      <c r="M2693" s="17"/>
      <c r="N2693" s="68"/>
      <c r="O2693" s="68"/>
      <c r="P2693" s="68"/>
      <c r="Q2693" s="149"/>
      <c r="R2693" s="149"/>
      <c r="S2693" s="149"/>
      <c r="T2693" s="141">
        <v>200000.0</v>
      </c>
      <c r="U2693" s="149"/>
      <c r="V2693" s="149"/>
      <c r="W2693" s="149"/>
      <c r="X2693" s="68"/>
      <c r="Y2693" s="68"/>
      <c r="Z2693" s="68"/>
    </row>
    <row r="2694" ht="15.0" customHeight="1">
      <c r="A2694" s="206">
        <v>46114.0</v>
      </c>
      <c r="B2694" s="266" t="s">
        <v>9241</v>
      </c>
      <c r="C2694" s="269" t="s">
        <v>7162</v>
      </c>
      <c r="D2694" s="274" t="str">
        <f>IFERROR(VLOOKUP(C2694,Stock,3,FALSE),"")</f>
        <v>Toyota Innova 04-15 1st Gen</v>
      </c>
      <c r="E2694" s="269">
        <v>4.0</v>
      </c>
      <c r="F2694" s="270"/>
      <c r="G2694" s="142">
        <f t="shared" si="80"/>
        <v>0</v>
      </c>
      <c r="H2694" s="271"/>
      <c r="I2694" s="143">
        <f t="shared" si="82"/>
        <v>0</v>
      </c>
      <c r="J2694" s="144">
        <f t="shared" si="70"/>
        <v>0</v>
      </c>
      <c r="K2694" s="17"/>
      <c r="L2694" s="17"/>
      <c r="M2694" s="17"/>
      <c r="N2694" s="68"/>
      <c r="O2694" s="68"/>
      <c r="P2694" s="68"/>
      <c r="Q2694" s="149"/>
      <c r="R2694" s="149"/>
      <c r="S2694" s="149"/>
      <c r="T2694" s="149"/>
      <c r="U2694" s="149"/>
      <c r="V2694" s="149"/>
      <c r="W2694" s="149"/>
      <c r="X2694" s="68"/>
      <c r="Y2694" s="68"/>
      <c r="Z2694" s="68"/>
    </row>
    <row r="2695" ht="15.0" customHeight="1">
      <c r="A2695" s="206">
        <v>46114.0</v>
      </c>
      <c r="B2695" s="266" t="s">
        <v>9241</v>
      </c>
      <c r="C2695" s="269" t="s">
        <v>7319</v>
      </c>
      <c r="D2695" s="274" t="str">
        <f>IFERROR(VLOOKUP(C2695,Stock,3,FALSE),"")</f>
        <v>Honda CR-V 07-11 3rd Gen</v>
      </c>
      <c r="E2695" s="269">
        <v>2.0</v>
      </c>
      <c r="F2695" s="270"/>
      <c r="G2695" s="142">
        <f t="shared" si="80"/>
        <v>0</v>
      </c>
      <c r="H2695" s="271"/>
      <c r="I2695" s="143">
        <f t="shared" si="82"/>
        <v>0</v>
      </c>
      <c r="J2695" s="144">
        <f t="shared" si="70"/>
        <v>0</v>
      </c>
      <c r="K2695" s="17"/>
      <c r="L2695" s="17"/>
      <c r="M2695" s="17"/>
      <c r="N2695" s="68"/>
      <c r="O2695" s="68"/>
      <c r="P2695" s="68"/>
      <c r="Q2695" s="149"/>
      <c r="R2695" s="149"/>
      <c r="S2695" s="149"/>
      <c r="T2695" s="149"/>
      <c r="U2695" s="149"/>
      <c r="V2695" s="149"/>
      <c r="W2695" s="149"/>
      <c r="X2695" s="68"/>
      <c r="Y2695" s="68"/>
      <c r="Z2695" s="68"/>
    </row>
    <row r="2696" ht="15.0" customHeight="1">
      <c r="A2696" s="206">
        <v>46114.0</v>
      </c>
      <c r="B2696" s="201" t="s">
        <v>9242</v>
      </c>
      <c r="C2696" s="548" t="s">
        <v>6308</v>
      </c>
      <c r="D2696" s="17" t="str">
        <f>IFERROR(VLOOKUP(C2696,Stock,3,FALSE),"")</f>
        <v>Ford Fiesta 09-17 (Sensor Bulat)</v>
      </c>
      <c r="E2696" s="45">
        <v>1.0</v>
      </c>
      <c r="F2696" s="198">
        <v>2850000.0</v>
      </c>
      <c r="G2696" s="142">
        <f t="shared" si="80"/>
        <v>2850000</v>
      </c>
      <c r="H2696" s="142"/>
      <c r="I2696" s="143">
        <f t="shared" si="82"/>
        <v>2850000</v>
      </c>
      <c r="J2696" s="144">
        <f t="shared" si="70"/>
        <v>2850000</v>
      </c>
      <c r="K2696" s="45" t="s">
        <v>6039</v>
      </c>
      <c r="L2696" s="45" t="s">
        <v>9243</v>
      </c>
      <c r="M2696" s="17"/>
      <c r="N2696" s="561" t="s">
        <v>9244</v>
      </c>
      <c r="O2696" s="68"/>
      <c r="P2696" s="68"/>
      <c r="Q2696" s="149"/>
      <c r="R2696" s="149"/>
      <c r="S2696" s="141">
        <v>50000.0</v>
      </c>
      <c r="T2696" s="141">
        <v>2800000.0</v>
      </c>
      <c r="U2696" s="149"/>
      <c r="V2696" s="149"/>
      <c r="W2696" s="149"/>
      <c r="X2696" s="68"/>
      <c r="Y2696" s="68"/>
      <c r="Z2696" s="68"/>
    </row>
    <row r="2697" ht="15.0" customHeight="1">
      <c r="A2697" s="206">
        <v>46114.0</v>
      </c>
      <c r="B2697" s="201" t="s">
        <v>9245</v>
      </c>
      <c r="C2697" s="548" t="s">
        <v>6129</v>
      </c>
      <c r="D2697" s="17" t="str">
        <f>IFERROR(VLOOKUP(C2697,Stock,3,FALSE),"")</f>
        <v>Toyota Innova 04-15 1st Gen (Toyota)</v>
      </c>
      <c r="E2697" s="45">
        <v>1.0</v>
      </c>
      <c r="F2697" s="198">
        <v>2697000.0</v>
      </c>
      <c r="G2697" s="142">
        <f t="shared" si="80"/>
        <v>2697000</v>
      </c>
      <c r="H2697" s="142"/>
      <c r="I2697" s="143">
        <f t="shared" si="82"/>
        <v>2697000</v>
      </c>
      <c r="J2697" s="144">
        <f t="shared" si="70"/>
        <v>2697000</v>
      </c>
      <c r="K2697" s="45" t="s">
        <v>9246</v>
      </c>
      <c r="L2697" s="199" t="s">
        <v>9247</v>
      </c>
      <c r="M2697" s="17"/>
      <c r="N2697" s="64" t="s">
        <v>9248</v>
      </c>
      <c r="O2697" s="68"/>
      <c r="P2697" s="68"/>
      <c r="Q2697" s="141">
        <v>2697000.0</v>
      </c>
      <c r="R2697" s="149"/>
      <c r="S2697" s="149"/>
      <c r="T2697" s="149"/>
      <c r="U2697" s="149"/>
      <c r="V2697" s="149"/>
      <c r="W2697" s="149"/>
      <c r="X2697" s="68"/>
      <c r="Y2697" s="68"/>
      <c r="Z2697" s="68"/>
    </row>
    <row r="2698" ht="15.0" customHeight="1">
      <c r="A2698" s="206">
        <v>46114.0</v>
      </c>
      <c r="B2698" s="201" t="s">
        <v>9249</v>
      </c>
      <c r="C2698" s="45" t="s">
        <v>7275</v>
      </c>
      <c r="D2698" s="17" t="str">
        <f>IFERROR(VLOOKUP(C2698,Stock,3,FALSE),"")</f>
        <v>Mazda 2 14- Skyactiv 4th Gen (1 Sensor/ □ )</v>
      </c>
      <c r="E2698" s="45">
        <v>1.0</v>
      </c>
      <c r="F2698" s="198">
        <v>3008000.0</v>
      </c>
      <c r="G2698" s="142">
        <f t="shared" si="80"/>
        <v>3008000</v>
      </c>
      <c r="H2698" s="142"/>
      <c r="I2698" s="143">
        <f t="shared" si="82"/>
        <v>3008000</v>
      </c>
      <c r="J2698" s="144">
        <f t="shared" si="70"/>
        <v>3008000</v>
      </c>
      <c r="K2698" s="45" t="s">
        <v>5648</v>
      </c>
      <c r="L2698" s="199" t="s">
        <v>9250</v>
      </c>
      <c r="M2698" s="17"/>
      <c r="N2698" s="64" t="s">
        <v>9251</v>
      </c>
      <c r="O2698" s="68"/>
      <c r="P2698" s="68"/>
      <c r="Q2698" s="149"/>
      <c r="R2698" s="149"/>
      <c r="S2698" s="149"/>
      <c r="T2698" s="149"/>
      <c r="U2698" s="149"/>
      <c r="V2698" s="149"/>
      <c r="W2698" s="149"/>
      <c r="X2698" s="68"/>
      <c r="Y2698" s="68"/>
      <c r="Z2698" s="68"/>
    </row>
    <row r="2699" ht="15.0" customHeight="1">
      <c r="A2699" s="206">
        <v>46114.0</v>
      </c>
      <c r="B2699" s="201" t="s">
        <v>9252</v>
      </c>
      <c r="C2699" s="45" t="s">
        <v>2869</v>
      </c>
      <c r="D2699" s="17" t="str">
        <f>IFERROR(VLOOKUP(C2699,Stock,3,FALSE),"")</f>
        <v>Daihatsu Gran Max / Luxio 07-</v>
      </c>
      <c r="E2699" s="45">
        <v>1.0</v>
      </c>
      <c r="F2699" s="198">
        <v>1000000.0</v>
      </c>
      <c r="G2699" s="142">
        <f t="shared" si="80"/>
        <v>1000000</v>
      </c>
      <c r="H2699" s="142"/>
      <c r="I2699" s="143">
        <f t="shared" si="82"/>
        <v>1000000</v>
      </c>
      <c r="J2699" s="144">
        <f t="shared" si="70"/>
        <v>1000000</v>
      </c>
      <c r="K2699" s="45" t="s">
        <v>9253</v>
      </c>
      <c r="L2699" s="199" t="s">
        <v>4136</v>
      </c>
      <c r="M2699" s="17"/>
      <c r="N2699" s="68"/>
      <c r="O2699" s="68"/>
      <c r="P2699" s="68"/>
      <c r="Q2699" s="149"/>
      <c r="R2699" s="149"/>
      <c r="S2699" s="149"/>
      <c r="T2699" s="149"/>
      <c r="U2699" s="149"/>
      <c r="V2699" s="149"/>
      <c r="W2699" s="149"/>
      <c r="X2699" s="68"/>
      <c r="Y2699" s="68"/>
      <c r="Z2699" s="68"/>
    </row>
    <row r="2700" ht="15.0" customHeight="1">
      <c r="A2700" s="206">
        <v>46114.0</v>
      </c>
      <c r="B2700" s="201" t="s">
        <v>9254</v>
      </c>
      <c r="C2700" s="45" t="s">
        <v>3234</v>
      </c>
      <c r="D2700" s="17" t="str">
        <f>IFERROR(VLOOKUP(C2700,Stock,3,FALSE),"")</f>
        <v>Toyota Avanza / Xenia 21- 4th Gen (Non sensor)</v>
      </c>
      <c r="E2700" s="45">
        <v>1.0</v>
      </c>
      <c r="F2700" s="198">
        <v>1390000.0</v>
      </c>
      <c r="G2700" s="142">
        <f t="shared" si="80"/>
        <v>1390000</v>
      </c>
      <c r="H2700" s="142"/>
      <c r="I2700" s="143">
        <f t="shared" si="82"/>
        <v>1390000</v>
      </c>
      <c r="J2700" s="144">
        <f t="shared" si="70"/>
        <v>1390000</v>
      </c>
      <c r="K2700" s="45" t="s">
        <v>9255</v>
      </c>
      <c r="L2700" s="199" t="s">
        <v>9256</v>
      </c>
      <c r="M2700" s="17"/>
      <c r="N2700" s="68"/>
      <c r="O2700" s="68"/>
      <c r="P2700" s="68"/>
      <c r="Q2700" s="149"/>
      <c r="R2700" s="149"/>
      <c r="S2700" s="141">
        <v>100000.0</v>
      </c>
      <c r="T2700" s="141">
        <v>1470000.0</v>
      </c>
      <c r="U2700" s="149"/>
      <c r="V2700" s="149"/>
      <c r="W2700" s="149"/>
      <c r="X2700" s="64" t="s">
        <v>9257</v>
      </c>
      <c r="Y2700" s="68"/>
      <c r="Z2700" s="68"/>
    </row>
    <row r="2701" ht="15.0" customHeight="1">
      <c r="A2701" s="206">
        <v>46114.0</v>
      </c>
      <c r="B2701" s="201" t="s">
        <v>9254</v>
      </c>
      <c r="C2701" s="45" t="s">
        <v>2770</v>
      </c>
      <c r="D2701" s="17" t="str">
        <f>IFERROR(VLOOKUP(C2701,Stock,3,FALSE),"")</f>
        <v>Transport</v>
      </c>
      <c r="E2701" s="45">
        <v>1.0</v>
      </c>
      <c r="F2701" s="198">
        <v>180000.0</v>
      </c>
      <c r="G2701" s="142">
        <f t="shared" si="80"/>
        <v>180000</v>
      </c>
      <c r="H2701" s="142"/>
      <c r="I2701" s="143"/>
      <c r="J2701" s="144" t="str">
        <f t="shared" si="70"/>
        <v/>
      </c>
      <c r="K2701" s="17"/>
      <c r="L2701" s="17"/>
      <c r="M2701" s="17"/>
      <c r="N2701" s="68"/>
      <c r="O2701" s="68"/>
      <c r="P2701" s="68"/>
      <c r="Q2701" s="149"/>
      <c r="R2701" s="149"/>
      <c r="S2701" s="149"/>
      <c r="T2701" s="149"/>
      <c r="U2701" s="149"/>
      <c r="V2701" s="149"/>
      <c r="W2701" s="149"/>
      <c r="X2701" s="68"/>
      <c r="Y2701" s="68"/>
      <c r="Z2701" s="68"/>
    </row>
    <row r="2702" ht="15.0" customHeight="1">
      <c r="A2702" s="206">
        <v>46116.0</v>
      </c>
      <c r="B2702" s="201" t="s">
        <v>9258</v>
      </c>
      <c r="C2702" s="45" t="s">
        <v>9259</v>
      </c>
      <c r="D2702" s="17" t="str">
        <f>IFERROR(VLOOKUP(C2702,Stock,3,FALSE),"")</f>
        <v>Chevrolet Spark 16- M400 4th Gen</v>
      </c>
      <c r="E2702" s="45">
        <v>1.0</v>
      </c>
      <c r="F2702" s="198">
        <v>1837000.0</v>
      </c>
      <c r="G2702" s="142">
        <f t="shared" si="80"/>
        <v>1837000</v>
      </c>
      <c r="H2702" s="142"/>
      <c r="I2702" s="143">
        <f t="shared" ref="I2702:I2824" si="83">G2702-H2702</f>
        <v>1837000</v>
      </c>
      <c r="J2702" s="144">
        <f t="shared" si="70"/>
        <v>1837000</v>
      </c>
      <c r="K2702" s="45" t="s">
        <v>9260</v>
      </c>
      <c r="L2702" s="199" t="s">
        <v>9261</v>
      </c>
      <c r="M2702" s="17"/>
      <c r="N2702" s="64" t="s">
        <v>9262</v>
      </c>
      <c r="O2702" s="68"/>
      <c r="P2702" s="68"/>
      <c r="Q2702" s="149"/>
      <c r="R2702" s="149"/>
      <c r="S2702" s="149"/>
      <c r="T2702" s="141">
        <v>1837000.0</v>
      </c>
      <c r="U2702" s="149"/>
      <c r="V2702" s="149"/>
      <c r="W2702" s="149"/>
      <c r="X2702" s="64" t="s">
        <v>9257</v>
      </c>
      <c r="Y2702" s="68"/>
      <c r="Z2702" s="68"/>
    </row>
    <row r="2703" ht="15.0" customHeight="1">
      <c r="A2703" s="539">
        <v>46116.0</v>
      </c>
      <c r="B2703" s="398" t="s">
        <v>9263</v>
      </c>
      <c r="C2703" s="479" t="s">
        <v>3048</v>
      </c>
      <c r="D2703" s="525" t="str">
        <f>IFERROR(VLOOKUP(C2703,Stock,3,FALSE),"")</f>
        <v>Biaya Pengecekan</v>
      </c>
      <c r="E2703" s="479">
        <v>1.0</v>
      </c>
      <c r="F2703" s="519">
        <v>350000.0</v>
      </c>
      <c r="G2703" s="520">
        <f t="shared" si="80"/>
        <v>350000</v>
      </c>
      <c r="H2703" s="520"/>
      <c r="I2703" s="521">
        <f t="shared" si="83"/>
        <v>350000</v>
      </c>
      <c r="J2703" s="144">
        <f t="shared" si="70"/>
        <v>350000</v>
      </c>
      <c r="K2703" s="479" t="s">
        <v>5557</v>
      </c>
      <c r="L2703" s="523" t="s">
        <v>9264</v>
      </c>
      <c r="M2703" s="525"/>
      <c r="N2703" s="64" t="s">
        <v>9265</v>
      </c>
      <c r="O2703" s="68"/>
      <c r="P2703" s="68"/>
      <c r="Q2703" s="149"/>
      <c r="R2703" s="149"/>
      <c r="S2703" s="149"/>
      <c r="T2703" s="141">
        <v>350000.0</v>
      </c>
      <c r="U2703" s="149"/>
      <c r="V2703" s="149"/>
      <c r="W2703" s="149"/>
      <c r="X2703" s="64" t="s">
        <v>8232</v>
      </c>
      <c r="Y2703" s="68"/>
      <c r="Z2703" s="68"/>
    </row>
    <row r="2704" ht="15.0" customHeight="1">
      <c r="A2704" s="206">
        <v>46116.0</v>
      </c>
      <c r="B2704" s="201" t="s">
        <v>9266</v>
      </c>
      <c r="C2704" s="45" t="s">
        <v>9267</v>
      </c>
      <c r="D2704" s="17" t="str">
        <f>IFERROR(VLOOKUP(C2704,Stock,3,FALSE),"")</f>
        <v>Toyota Alphard 15-17 ANH30 3rd Gen (Sensor atas keramik)</v>
      </c>
      <c r="E2704" s="45">
        <v>1.0</v>
      </c>
      <c r="F2704" s="198">
        <v>3568000.0</v>
      </c>
      <c r="G2704" s="142">
        <f t="shared" si="80"/>
        <v>3568000</v>
      </c>
      <c r="H2704" s="142"/>
      <c r="I2704" s="143">
        <f t="shared" si="83"/>
        <v>3568000</v>
      </c>
      <c r="J2704" s="144">
        <f t="shared" si="70"/>
        <v>3568000</v>
      </c>
      <c r="K2704" s="45" t="s">
        <v>5379</v>
      </c>
      <c r="L2704" s="199" t="s">
        <v>9268</v>
      </c>
      <c r="M2704" s="17"/>
      <c r="N2704" s="64" t="s">
        <v>9269</v>
      </c>
      <c r="O2704" s="68"/>
      <c r="P2704" s="68"/>
      <c r="Q2704" s="149"/>
      <c r="R2704" s="149"/>
      <c r="S2704" s="149"/>
      <c r="T2704" s="141">
        <v>3568000.0</v>
      </c>
      <c r="U2704" s="149"/>
      <c r="V2704" s="149"/>
      <c r="W2704" s="149"/>
      <c r="X2704" s="68"/>
      <c r="Y2704" s="68"/>
      <c r="Z2704" s="68"/>
    </row>
    <row r="2705" ht="15.0" customHeight="1">
      <c r="A2705" s="206">
        <v>46116.0</v>
      </c>
      <c r="B2705" s="201" t="s">
        <v>9270</v>
      </c>
      <c r="C2705" s="548" t="s">
        <v>7594</v>
      </c>
      <c r="D2705" s="17" t="str">
        <f>IFERROR(VLOOKUP(C2705,Stock,3,FALSE),"")</f>
        <v>Toyota Innova 22- Zenyx 3rd Gen Mirror Base Kotak (Toyota)</v>
      </c>
      <c r="E2705" s="45">
        <v>1.0</v>
      </c>
      <c r="F2705" s="198">
        <v>1998000.0</v>
      </c>
      <c r="G2705" s="142">
        <f t="shared" si="80"/>
        <v>1998000</v>
      </c>
      <c r="H2705" s="142"/>
      <c r="I2705" s="143">
        <f t="shared" si="83"/>
        <v>1998000</v>
      </c>
      <c r="J2705" s="144">
        <f t="shared" si="70"/>
        <v>1998000</v>
      </c>
      <c r="K2705" s="45" t="s">
        <v>9271</v>
      </c>
      <c r="L2705" s="199" t="s">
        <v>8710</v>
      </c>
      <c r="M2705" s="17"/>
      <c r="N2705" s="64" t="s">
        <v>9272</v>
      </c>
      <c r="O2705" s="68"/>
      <c r="P2705" s="68"/>
      <c r="Q2705" s="149"/>
      <c r="R2705" s="149"/>
      <c r="S2705" s="141">
        <v>100000.0</v>
      </c>
      <c r="T2705" s="149"/>
      <c r="U2705" s="149"/>
      <c r="V2705" s="149"/>
      <c r="W2705" s="149"/>
      <c r="X2705" s="68"/>
      <c r="Y2705" s="68"/>
      <c r="Z2705" s="68"/>
    </row>
    <row r="2706" ht="15.0" customHeight="1">
      <c r="A2706" s="206">
        <v>46116.0</v>
      </c>
      <c r="B2706" s="201" t="s">
        <v>9270</v>
      </c>
      <c r="C2706" s="45" t="s">
        <v>2770</v>
      </c>
      <c r="D2706" s="17" t="str">
        <f>IFERROR(VLOOKUP(C2706,Stock,3,FALSE),"")</f>
        <v>Transport</v>
      </c>
      <c r="E2706" s="45">
        <v>1.0</v>
      </c>
      <c r="F2706" s="198">
        <v>200000.0</v>
      </c>
      <c r="G2706" s="142">
        <f t="shared" si="80"/>
        <v>200000</v>
      </c>
      <c r="H2706" s="142"/>
      <c r="I2706" s="143">
        <f t="shared" si="83"/>
        <v>200000</v>
      </c>
      <c r="J2706" s="144">
        <f t="shared" si="70"/>
        <v>200000</v>
      </c>
      <c r="K2706" s="17"/>
      <c r="L2706" s="17"/>
      <c r="M2706" s="17"/>
      <c r="N2706" s="68"/>
      <c r="O2706" s="68"/>
      <c r="P2706" s="68"/>
      <c r="Q2706" s="149"/>
      <c r="R2706" s="149"/>
      <c r="S2706" s="149"/>
      <c r="T2706" s="149"/>
      <c r="U2706" s="149"/>
      <c r="V2706" s="149"/>
      <c r="W2706" s="149"/>
      <c r="X2706" s="68"/>
      <c r="Y2706" s="68"/>
      <c r="Z2706" s="68"/>
    </row>
    <row r="2707" ht="15.0" customHeight="1">
      <c r="A2707" s="206">
        <v>46116.0</v>
      </c>
      <c r="B2707" s="201" t="s">
        <v>9273</v>
      </c>
      <c r="C2707" s="45" t="s">
        <v>4322</v>
      </c>
      <c r="D2707" s="17" t="str">
        <f>IFERROR(VLOOKUP(C2707,Stock,3,FALSE),"")</f>
        <v>Nissan Livina 13-18 L11 (Lubang)</v>
      </c>
      <c r="E2707" s="45">
        <v>1.0</v>
      </c>
      <c r="F2707" s="198">
        <v>1300000.0</v>
      </c>
      <c r="G2707" s="142">
        <f t="shared" si="80"/>
        <v>1300000</v>
      </c>
      <c r="H2707" s="142"/>
      <c r="I2707" s="143">
        <f t="shared" si="83"/>
        <v>1300000</v>
      </c>
      <c r="J2707" s="144">
        <f t="shared" si="70"/>
        <v>1300000</v>
      </c>
      <c r="K2707" s="45" t="s">
        <v>9274</v>
      </c>
      <c r="L2707" s="17"/>
      <c r="M2707" s="17"/>
      <c r="N2707" s="68"/>
      <c r="O2707" s="68"/>
      <c r="P2707" s="68"/>
      <c r="Q2707" s="149"/>
      <c r="R2707" s="149"/>
      <c r="S2707" s="149"/>
      <c r="T2707" s="141">
        <v>1300000.0</v>
      </c>
      <c r="U2707" s="149"/>
      <c r="V2707" s="149"/>
      <c r="W2707" s="149"/>
      <c r="X2707" s="64" t="s">
        <v>9257</v>
      </c>
      <c r="Y2707" s="68"/>
      <c r="Z2707" s="68"/>
    </row>
    <row r="2708" ht="15.0" customHeight="1">
      <c r="A2708" s="206">
        <v>46116.0</v>
      </c>
      <c r="B2708" s="201" t="s">
        <v>9275</v>
      </c>
      <c r="C2708" s="45" t="s">
        <v>2003</v>
      </c>
      <c r="D2708" s="17" t="str">
        <f>IFERROR(VLOOKUP(C2708,Stock,3,FALSE),"")</f>
        <v>Toyota Agya/Ayla 13-22 1st Gen</v>
      </c>
      <c r="E2708" s="45">
        <v>1.0</v>
      </c>
      <c r="F2708" s="198">
        <v>950000.0</v>
      </c>
      <c r="G2708" s="142">
        <f t="shared" si="80"/>
        <v>950000</v>
      </c>
      <c r="H2708" s="142"/>
      <c r="I2708" s="143">
        <f t="shared" si="83"/>
        <v>950000</v>
      </c>
      <c r="J2708" s="144">
        <f t="shared" si="70"/>
        <v>950000</v>
      </c>
      <c r="K2708" s="45" t="s">
        <v>9276</v>
      </c>
      <c r="L2708" s="17"/>
      <c r="M2708" s="17"/>
      <c r="N2708" s="68"/>
      <c r="O2708" s="68"/>
      <c r="P2708" s="68"/>
      <c r="Q2708" s="141">
        <v>950000.0</v>
      </c>
      <c r="R2708" s="149"/>
      <c r="S2708" s="149"/>
      <c r="T2708" s="149"/>
      <c r="U2708" s="149"/>
      <c r="V2708" s="149"/>
      <c r="W2708" s="149"/>
      <c r="X2708" s="64" t="s">
        <v>9257</v>
      </c>
      <c r="Y2708" s="68"/>
      <c r="Z2708" s="68"/>
    </row>
    <row r="2709" ht="15.0" customHeight="1">
      <c r="A2709" s="206">
        <v>46116.0</v>
      </c>
      <c r="B2709" s="201" t="s">
        <v>9277</v>
      </c>
      <c r="C2709" s="45" t="s">
        <v>7320</v>
      </c>
      <c r="D2709" s="17" t="str">
        <f>IFERROR(VLOOKUP(C2709,Stock,3,FALSE),"")</f>
        <v>Wuling Confero (Tanpa Spionnya)</v>
      </c>
      <c r="E2709" s="45">
        <v>1.0</v>
      </c>
      <c r="F2709" s="198">
        <v>1340000.0</v>
      </c>
      <c r="G2709" s="142">
        <f t="shared" si="80"/>
        <v>1340000</v>
      </c>
      <c r="H2709" s="142"/>
      <c r="I2709" s="143">
        <f t="shared" si="83"/>
        <v>1340000</v>
      </c>
      <c r="J2709" s="144">
        <f t="shared" si="70"/>
        <v>1340000</v>
      </c>
      <c r="K2709" s="45" t="s">
        <v>9278</v>
      </c>
      <c r="L2709" s="199" t="s">
        <v>9279</v>
      </c>
      <c r="M2709" s="17"/>
      <c r="N2709" s="64" t="s">
        <v>9280</v>
      </c>
      <c r="O2709" s="68"/>
      <c r="P2709" s="68"/>
      <c r="Q2709" s="149"/>
      <c r="R2709" s="149"/>
      <c r="S2709" s="149"/>
      <c r="T2709" s="141">
        <v>1340000.0</v>
      </c>
      <c r="U2709" s="149"/>
      <c r="V2709" s="149"/>
      <c r="W2709" s="149"/>
      <c r="X2709" s="64" t="s">
        <v>8232</v>
      </c>
      <c r="Y2709" s="68"/>
      <c r="Z2709" s="68"/>
    </row>
    <row r="2710" ht="15.0" customHeight="1">
      <c r="A2710" s="206">
        <v>46116.0</v>
      </c>
      <c r="B2710" s="201" t="s">
        <v>9281</v>
      </c>
      <c r="C2710" s="45" t="s">
        <v>7317</v>
      </c>
      <c r="D2710" s="17" t="str">
        <f>IFERROR(VLOOKUP(C2710,Stock,3,FALSE),"")</f>
        <v>Mitsubishi Xpander 17-</v>
      </c>
      <c r="E2710" s="45">
        <v>1.0</v>
      </c>
      <c r="F2710" s="198">
        <v>1550000.0</v>
      </c>
      <c r="G2710" s="142">
        <f t="shared" si="80"/>
        <v>1550000</v>
      </c>
      <c r="H2710" s="142"/>
      <c r="I2710" s="143">
        <f t="shared" si="83"/>
        <v>1550000</v>
      </c>
      <c r="J2710" s="144">
        <f t="shared" si="70"/>
        <v>1550000</v>
      </c>
      <c r="K2710" s="45" t="s">
        <v>9282</v>
      </c>
      <c r="L2710" s="199" t="s">
        <v>9283</v>
      </c>
      <c r="M2710" s="17"/>
      <c r="N2710" s="64" t="s">
        <v>9284</v>
      </c>
      <c r="O2710" s="68"/>
      <c r="P2710" s="68"/>
      <c r="Q2710" s="149"/>
      <c r="R2710" s="149"/>
      <c r="S2710" s="149"/>
      <c r="T2710" s="141">
        <v>1550000.0</v>
      </c>
      <c r="U2710" s="149"/>
      <c r="V2710" s="149"/>
      <c r="W2710" s="149"/>
      <c r="X2710" s="64" t="s">
        <v>8232</v>
      </c>
      <c r="Y2710" s="68"/>
      <c r="Z2710" s="68"/>
    </row>
    <row r="2711" ht="15.0" customHeight="1">
      <c r="A2711" s="206">
        <v>46116.0</v>
      </c>
      <c r="B2711" s="201" t="s">
        <v>9285</v>
      </c>
      <c r="C2711" s="45" t="s">
        <v>9286</v>
      </c>
      <c r="D2711" s="17" t="str">
        <f>IFERROR(VLOOKUP(C2711,Stock,3,FALSE),"")</f>
        <v>Honda Civic 00-05 VTIS S5A 7th Gen (Venturi)</v>
      </c>
      <c r="E2711" s="45">
        <v>1.0</v>
      </c>
      <c r="F2711" s="198">
        <v>2318000.0</v>
      </c>
      <c r="G2711" s="142">
        <f t="shared" si="80"/>
        <v>2318000</v>
      </c>
      <c r="H2711" s="142"/>
      <c r="I2711" s="143">
        <f t="shared" si="83"/>
        <v>2318000</v>
      </c>
      <c r="J2711" s="144">
        <f t="shared" si="70"/>
        <v>2318000</v>
      </c>
      <c r="K2711" s="45" t="s">
        <v>9287</v>
      </c>
      <c r="L2711" s="199" t="s">
        <v>9288</v>
      </c>
      <c r="M2711" s="17"/>
      <c r="N2711" s="64" t="s">
        <v>9289</v>
      </c>
      <c r="O2711" s="68"/>
      <c r="P2711" s="68"/>
      <c r="Q2711" s="149"/>
      <c r="R2711" s="149"/>
      <c r="S2711" s="149"/>
      <c r="T2711" s="141">
        <v>2318000.0</v>
      </c>
      <c r="U2711" s="149"/>
      <c r="V2711" s="149"/>
      <c r="W2711" s="149"/>
      <c r="X2711" s="64" t="s">
        <v>8232</v>
      </c>
      <c r="Y2711" s="68"/>
      <c r="Z2711" s="68"/>
    </row>
    <row r="2712" ht="15.0" customHeight="1">
      <c r="A2712" s="206">
        <v>46116.0</v>
      </c>
      <c r="B2712" s="201" t="s">
        <v>9290</v>
      </c>
      <c r="C2712" s="64" t="s">
        <v>2973</v>
      </c>
      <c r="D2712" s="17" t="str">
        <f>IFERROR(VLOOKUP(C2712,Stock,3,FALSE),"")</f>
        <v>Suzuki Carry New 19-</v>
      </c>
      <c r="E2712" s="45">
        <v>1.0</v>
      </c>
      <c r="F2712" s="198">
        <v>1150000.0</v>
      </c>
      <c r="G2712" s="142">
        <f t="shared" si="80"/>
        <v>1150000</v>
      </c>
      <c r="H2712" s="142"/>
      <c r="I2712" s="143">
        <f t="shared" si="83"/>
        <v>1150000</v>
      </c>
      <c r="J2712" s="144">
        <f t="shared" si="70"/>
        <v>1150000</v>
      </c>
      <c r="K2712" s="45" t="s">
        <v>9291</v>
      </c>
      <c r="L2712" s="199" t="s">
        <v>9292</v>
      </c>
      <c r="M2712" s="17"/>
      <c r="N2712" s="68"/>
      <c r="O2712" s="68"/>
      <c r="P2712" s="68"/>
      <c r="Q2712" s="141">
        <v>1150000.0</v>
      </c>
      <c r="R2712" s="149"/>
      <c r="S2712" s="149"/>
      <c r="T2712" s="149"/>
      <c r="U2712" s="149"/>
      <c r="V2712" s="149"/>
      <c r="W2712" s="149"/>
      <c r="X2712" s="68"/>
      <c r="Y2712" s="68"/>
      <c r="Z2712" s="68"/>
    </row>
    <row r="2713" ht="15.0" customHeight="1">
      <c r="A2713" s="206">
        <v>46116.0</v>
      </c>
      <c r="B2713" s="201" t="s">
        <v>9293</v>
      </c>
      <c r="C2713" s="548" t="s">
        <v>7161</v>
      </c>
      <c r="D2713" s="17" t="str">
        <f>IFERROR(VLOOKUP(C2713,Stock,3,FALSE),"")</f>
        <v>Honda Brio 10- / Mobilio 11-</v>
      </c>
      <c r="E2713" s="45">
        <v>1.0</v>
      </c>
      <c r="F2713" s="198">
        <v>1250000.0</v>
      </c>
      <c r="G2713" s="142">
        <f t="shared" si="80"/>
        <v>1250000</v>
      </c>
      <c r="H2713" s="142"/>
      <c r="I2713" s="143">
        <f t="shared" si="83"/>
        <v>1250000</v>
      </c>
      <c r="J2713" s="144">
        <f t="shared" si="70"/>
        <v>1250000</v>
      </c>
      <c r="K2713" s="45" t="s">
        <v>9294</v>
      </c>
      <c r="L2713" s="199" t="s">
        <v>9295</v>
      </c>
      <c r="M2713" s="17"/>
      <c r="N2713" s="68"/>
      <c r="O2713" s="68"/>
      <c r="P2713" s="68"/>
      <c r="Q2713" s="149"/>
      <c r="R2713" s="149"/>
      <c r="S2713" s="149"/>
      <c r="T2713" s="141">
        <v>1250000.0</v>
      </c>
      <c r="U2713" s="149"/>
      <c r="V2713" s="149"/>
      <c r="W2713" s="149"/>
      <c r="X2713" s="68"/>
      <c r="Y2713" s="68"/>
      <c r="Z2713" s="68"/>
    </row>
    <row r="2714" ht="15.0" customHeight="1">
      <c r="A2714" s="206">
        <v>46117.0</v>
      </c>
      <c r="B2714" s="201" t="s">
        <v>9296</v>
      </c>
      <c r="C2714" s="562" t="s">
        <v>3891</v>
      </c>
      <c r="D2714" s="17" t="str">
        <f>IFERROR(VLOOKUP(C2714,Stock,3,FALSE),"")</f>
        <v>Toyota Rush / Terios 06-17</v>
      </c>
      <c r="E2714" s="45">
        <v>1.0</v>
      </c>
      <c r="F2714" s="198">
        <v>1050000.0</v>
      </c>
      <c r="G2714" s="142">
        <f t="shared" si="80"/>
        <v>1050000</v>
      </c>
      <c r="H2714" s="142"/>
      <c r="I2714" s="143">
        <f t="shared" si="83"/>
        <v>1050000</v>
      </c>
      <c r="J2714" s="144">
        <f t="shared" si="70"/>
        <v>1050000</v>
      </c>
      <c r="K2714" s="45" t="s">
        <v>9297</v>
      </c>
      <c r="L2714" s="199" t="s">
        <v>9298</v>
      </c>
      <c r="M2714" s="17"/>
      <c r="N2714" s="68"/>
      <c r="O2714" s="68"/>
      <c r="P2714" s="68"/>
      <c r="Q2714" s="149"/>
      <c r="R2714" s="149"/>
      <c r="S2714" s="141">
        <v>50000.0</v>
      </c>
      <c r="T2714" s="141">
        <v>1120000.0</v>
      </c>
      <c r="U2714" s="149"/>
      <c r="V2714" s="149"/>
      <c r="W2714" s="149"/>
      <c r="X2714" s="64" t="s">
        <v>8219</v>
      </c>
      <c r="Y2714" s="68"/>
      <c r="Z2714" s="68"/>
    </row>
    <row r="2715" ht="15.0" customHeight="1">
      <c r="A2715" s="206">
        <v>46117.0</v>
      </c>
      <c r="B2715" s="201" t="s">
        <v>9296</v>
      </c>
      <c r="C2715" s="201" t="s">
        <v>2962</v>
      </c>
      <c r="D2715" s="17" t="str">
        <f>IFERROR(VLOOKUP(C2715,Stock,3,FALSE),"")</f>
        <v>Lembur</v>
      </c>
      <c r="E2715" s="45">
        <v>1.0</v>
      </c>
      <c r="F2715" s="198">
        <v>120000.0</v>
      </c>
      <c r="G2715" s="142">
        <f t="shared" si="80"/>
        <v>120000</v>
      </c>
      <c r="H2715" s="142"/>
      <c r="I2715" s="143">
        <f t="shared" si="83"/>
        <v>120000</v>
      </c>
      <c r="J2715" s="144">
        <f t="shared" si="70"/>
        <v>120000</v>
      </c>
      <c r="K2715" s="17"/>
      <c r="L2715" s="17"/>
      <c r="M2715" s="17"/>
      <c r="N2715" s="68"/>
      <c r="O2715" s="68"/>
      <c r="P2715" s="68"/>
      <c r="Q2715" s="149"/>
      <c r="R2715" s="149"/>
      <c r="S2715" s="149"/>
      <c r="T2715" s="149"/>
      <c r="U2715" s="149"/>
      <c r="V2715" s="149"/>
      <c r="W2715" s="149"/>
      <c r="X2715" s="68"/>
      <c r="Y2715" s="68"/>
      <c r="Z2715" s="68"/>
    </row>
    <row r="2716" ht="15.0" customHeight="1">
      <c r="A2716" s="206">
        <v>46118.0</v>
      </c>
      <c r="B2716" s="201" t="s">
        <v>9299</v>
      </c>
      <c r="C2716" s="45" t="s">
        <v>7318</v>
      </c>
      <c r="D2716" s="17" t="str">
        <f>IFERROR(VLOOKUP(C2716,Stock,3,FALSE),"")</f>
        <v>Toyota Avanza / Xenia 15-21 3rd Gen</v>
      </c>
      <c r="E2716" s="45">
        <v>1.0</v>
      </c>
      <c r="F2716" s="198">
        <v>1000000.0</v>
      </c>
      <c r="G2716" s="142">
        <f t="shared" si="80"/>
        <v>1000000</v>
      </c>
      <c r="H2716" s="142"/>
      <c r="I2716" s="143">
        <f t="shared" si="83"/>
        <v>1000000</v>
      </c>
      <c r="J2716" s="144">
        <f t="shared" si="70"/>
        <v>1000000</v>
      </c>
      <c r="K2716" s="45" t="s">
        <v>9300</v>
      </c>
      <c r="L2716" s="199" t="s">
        <v>9301</v>
      </c>
      <c r="M2716" s="17"/>
      <c r="N2716" s="64" t="s">
        <v>9302</v>
      </c>
      <c r="O2716" s="68"/>
      <c r="P2716" s="68"/>
      <c r="Q2716" s="149"/>
      <c r="R2716" s="149"/>
      <c r="S2716" s="149"/>
      <c r="T2716" s="141">
        <v>1000000.0</v>
      </c>
      <c r="U2716" s="149"/>
      <c r="V2716" s="149"/>
      <c r="W2716" s="149"/>
      <c r="X2716" s="64" t="s">
        <v>8219</v>
      </c>
      <c r="Y2716" s="68"/>
      <c r="Z2716" s="68"/>
    </row>
    <row r="2717" ht="15.0" customHeight="1">
      <c r="A2717" s="206">
        <v>46118.0</v>
      </c>
      <c r="B2717" s="201" t="s">
        <v>9303</v>
      </c>
      <c r="C2717" s="45" t="s">
        <v>7161</v>
      </c>
      <c r="D2717" s="17" t="str">
        <f>IFERROR(VLOOKUP(C2717,Stock,3,FALSE),"")</f>
        <v>Honda Brio 10- / Mobilio 11-</v>
      </c>
      <c r="E2717" s="45">
        <v>1.0</v>
      </c>
      <c r="F2717" s="198">
        <v>1250000.0</v>
      </c>
      <c r="G2717" s="142">
        <f t="shared" si="80"/>
        <v>1250000</v>
      </c>
      <c r="H2717" s="142"/>
      <c r="I2717" s="143">
        <f t="shared" si="83"/>
        <v>1250000</v>
      </c>
      <c r="J2717" s="144">
        <f t="shared" si="70"/>
        <v>1250000</v>
      </c>
      <c r="K2717" s="548" t="s">
        <v>9304</v>
      </c>
      <c r="L2717" s="199" t="s">
        <v>9305</v>
      </c>
      <c r="M2717" s="17"/>
      <c r="N2717" s="64" t="s">
        <v>9306</v>
      </c>
      <c r="O2717" s="68"/>
      <c r="P2717" s="68"/>
      <c r="Q2717" s="149"/>
      <c r="R2717" s="149"/>
      <c r="S2717" s="141">
        <v>100000.0</v>
      </c>
      <c r="T2717" s="141">
        <v>1270000.0</v>
      </c>
      <c r="U2717" s="149"/>
      <c r="V2717" s="149"/>
      <c r="W2717" s="149"/>
      <c r="X2717" s="64" t="s">
        <v>8232</v>
      </c>
      <c r="Y2717" s="68"/>
      <c r="Z2717" s="68"/>
    </row>
    <row r="2718" ht="15.0" customHeight="1">
      <c r="A2718" s="206">
        <v>46118.0</v>
      </c>
      <c r="B2718" s="201"/>
      <c r="C2718" s="45" t="s">
        <v>2770</v>
      </c>
      <c r="D2718" s="17" t="str">
        <f>IFERROR(VLOOKUP(C2718,Stock,3,FALSE),"")</f>
        <v>Transport</v>
      </c>
      <c r="E2718" s="45">
        <v>1.0</v>
      </c>
      <c r="F2718" s="198">
        <v>120000.0</v>
      </c>
      <c r="G2718" s="142">
        <f t="shared" si="80"/>
        <v>120000</v>
      </c>
      <c r="H2718" s="142"/>
      <c r="I2718" s="143">
        <f t="shared" si="83"/>
        <v>120000</v>
      </c>
      <c r="J2718" s="144">
        <f t="shared" si="70"/>
        <v>120000</v>
      </c>
      <c r="K2718" s="17"/>
      <c r="L2718" s="17"/>
      <c r="M2718" s="17"/>
      <c r="N2718" s="68"/>
      <c r="O2718" s="68"/>
      <c r="P2718" s="68"/>
      <c r="Q2718" s="149"/>
      <c r="R2718" s="149"/>
      <c r="S2718" s="149"/>
      <c r="T2718" s="149"/>
      <c r="U2718" s="149"/>
      <c r="V2718" s="149"/>
      <c r="W2718" s="149"/>
      <c r="X2718" s="68"/>
      <c r="Y2718" s="68"/>
      <c r="Z2718" s="68"/>
    </row>
    <row r="2719" ht="15.0" customHeight="1">
      <c r="A2719" s="206">
        <v>46118.0</v>
      </c>
      <c r="B2719" s="201" t="s">
        <v>9307</v>
      </c>
      <c r="C2719" s="45" t="s">
        <v>3021</v>
      </c>
      <c r="D2719" s="17" t="str">
        <f>IFERROR(VLOOKUP(C2719,Stock,3,FALSE),"")</f>
        <v>Honda Freed 08-16 1st gen</v>
      </c>
      <c r="E2719" s="45">
        <v>1.0</v>
      </c>
      <c r="F2719" s="198">
        <v>1396000.0</v>
      </c>
      <c r="G2719" s="142">
        <f t="shared" si="80"/>
        <v>1396000</v>
      </c>
      <c r="H2719" s="142"/>
      <c r="I2719" s="143">
        <f t="shared" si="83"/>
        <v>1396000</v>
      </c>
      <c r="J2719" s="144">
        <f t="shared" si="70"/>
        <v>1396000</v>
      </c>
      <c r="K2719" s="45" t="s">
        <v>9308</v>
      </c>
      <c r="L2719" s="199" t="s">
        <v>9309</v>
      </c>
      <c r="M2719" s="17"/>
      <c r="N2719" s="64" t="s">
        <v>9310</v>
      </c>
      <c r="O2719" s="68"/>
      <c r="P2719" s="68"/>
      <c r="Q2719" s="141">
        <v>1446000.0</v>
      </c>
      <c r="R2719" s="149"/>
      <c r="S2719" s="141">
        <v>100000.0</v>
      </c>
      <c r="T2719" s="149"/>
      <c r="U2719" s="149"/>
      <c r="V2719" s="149"/>
      <c r="W2719" s="149"/>
      <c r="X2719" s="68"/>
      <c r="Y2719" s="68"/>
      <c r="Z2719" s="68"/>
    </row>
    <row r="2720" ht="15.0" customHeight="1">
      <c r="A2720" s="206">
        <v>46118.0</v>
      </c>
      <c r="B2720" s="201"/>
      <c r="C2720" s="45" t="s">
        <v>2770</v>
      </c>
      <c r="D2720" s="17" t="str">
        <f>IFERROR(VLOOKUP(C2720,Stock,3,FALSE),"")</f>
        <v>Transport</v>
      </c>
      <c r="E2720" s="45">
        <v>1.0</v>
      </c>
      <c r="F2720" s="198">
        <v>150000.0</v>
      </c>
      <c r="G2720" s="142">
        <f t="shared" si="80"/>
        <v>150000</v>
      </c>
      <c r="H2720" s="142"/>
      <c r="I2720" s="143">
        <f t="shared" si="83"/>
        <v>150000</v>
      </c>
      <c r="J2720" s="144">
        <f t="shared" si="70"/>
        <v>150000</v>
      </c>
      <c r="K2720" s="17"/>
      <c r="L2720" s="17"/>
      <c r="M2720" s="17"/>
      <c r="N2720" s="68"/>
      <c r="O2720" s="68"/>
      <c r="P2720" s="68"/>
      <c r="Q2720" s="149"/>
      <c r="R2720" s="149"/>
      <c r="S2720" s="149"/>
      <c r="T2720" s="149"/>
      <c r="U2720" s="149"/>
      <c r="V2720" s="149"/>
      <c r="W2720" s="149"/>
      <c r="X2720" s="68"/>
      <c r="Y2720" s="68"/>
      <c r="Z2720" s="68"/>
    </row>
    <row r="2721" ht="15.0" customHeight="1">
      <c r="A2721" s="206">
        <v>46118.0</v>
      </c>
      <c r="B2721" s="223" t="s">
        <v>9311</v>
      </c>
      <c r="C2721" s="563" t="s">
        <v>4644</v>
      </c>
      <c r="D2721" s="228" t="str">
        <f>IFERROR(VLOOKUP(C2721,Stock,3,FALSE),"")</f>
        <v>Toyota Raize / Daihatsu Rocky 20-</v>
      </c>
      <c r="E2721" s="224">
        <v>1.0</v>
      </c>
      <c r="F2721" s="225">
        <v>1399000.0</v>
      </c>
      <c r="G2721" s="187">
        <f t="shared" si="80"/>
        <v>1399000</v>
      </c>
      <c r="H2721" s="187"/>
      <c r="I2721" s="143">
        <f t="shared" si="83"/>
        <v>1399000</v>
      </c>
      <c r="J2721" s="144">
        <f t="shared" si="70"/>
        <v>1399000</v>
      </c>
      <c r="K2721" s="17"/>
      <c r="L2721" s="17"/>
      <c r="M2721" s="17"/>
      <c r="N2721" s="68"/>
      <c r="O2721" s="68"/>
      <c r="P2721" s="68"/>
      <c r="Q2721" s="149"/>
      <c r="R2721" s="149"/>
      <c r="S2721" s="141">
        <v>100000.0</v>
      </c>
      <c r="T2721" s="149"/>
      <c r="U2721" s="149"/>
      <c r="V2721" s="149"/>
      <c r="W2721" s="149"/>
      <c r="X2721" s="64" t="s">
        <v>9257</v>
      </c>
      <c r="Y2721" s="68"/>
      <c r="Z2721" s="68"/>
    </row>
    <row r="2722" ht="15.0" customHeight="1">
      <c r="A2722" s="206">
        <v>46118.0</v>
      </c>
      <c r="B2722" s="223"/>
      <c r="C2722" s="224" t="s">
        <v>2770</v>
      </c>
      <c r="D2722" s="228" t="str">
        <f>IFERROR(VLOOKUP(C2722,Stock,3,FALSE),"")</f>
        <v>Transport</v>
      </c>
      <c r="E2722" s="224">
        <v>1.0</v>
      </c>
      <c r="F2722" s="225">
        <v>200000.0</v>
      </c>
      <c r="G2722" s="187">
        <f t="shared" si="80"/>
        <v>200000</v>
      </c>
      <c r="H2722" s="187"/>
      <c r="I2722" s="143">
        <f t="shared" si="83"/>
        <v>200000</v>
      </c>
      <c r="J2722" s="144">
        <f t="shared" si="70"/>
        <v>200000</v>
      </c>
      <c r="K2722" s="17"/>
      <c r="L2722" s="17"/>
      <c r="M2722" s="17"/>
      <c r="N2722" s="68"/>
      <c r="O2722" s="68"/>
      <c r="P2722" s="68"/>
      <c r="Q2722" s="149"/>
      <c r="R2722" s="149"/>
      <c r="S2722" s="149"/>
      <c r="T2722" s="149"/>
      <c r="U2722" s="149"/>
      <c r="V2722" s="149"/>
      <c r="W2722" s="149"/>
      <c r="X2722" s="68"/>
      <c r="Y2722" s="68"/>
      <c r="Z2722" s="68"/>
    </row>
    <row r="2723" ht="15.0" customHeight="1">
      <c r="A2723" s="206">
        <v>46118.0</v>
      </c>
      <c r="B2723" s="201" t="s">
        <v>9312</v>
      </c>
      <c r="C2723" s="45" t="s">
        <v>4740</v>
      </c>
      <c r="D2723" s="17" t="str">
        <f>IFERROR(VLOOKUP(C2723,Stock,3,FALSE),"")</f>
        <v>Nissan X-Trail 13- T32 (1 Sensor)</v>
      </c>
      <c r="E2723" s="45">
        <v>1.0</v>
      </c>
      <c r="F2723" s="198">
        <v>2429000.0</v>
      </c>
      <c r="G2723" s="142">
        <f t="shared" si="80"/>
        <v>2429000</v>
      </c>
      <c r="H2723" s="142"/>
      <c r="I2723" s="143">
        <f t="shared" si="83"/>
        <v>2429000</v>
      </c>
      <c r="J2723" s="144">
        <f t="shared" si="70"/>
        <v>2429000</v>
      </c>
      <c r="K2723" s="45" t="s">
        <v>9313</v>
      </c>
      <c r="L2723" s="199" t="s">
        <v>9314</v>
      </c>
      <c r="M2723" s="17"/>
      <c r="N2723" s="64" t="s">
        <v>9315</v>
      </c>
      <c r="O2723" s="68"/>
      <c r="P2723" s="68"/>
      <c r="Q2723" s="149"/>
      <c r="R2723" s="149"/>
      <c r="S2723" s="149"/>
      <c r="T2723" s="141">
        <v>2429000.0</v>
      </c>
      <c r="U2723" s="149"/>
      <c r="V2723" s="149"/>
      <c r="W2723" s="149"/>
      <c r="X2723" s="64" t="s">
        <v>8388</v>
      </c>
      <c r="Y2723" s="68"/>
      <c r="Z2723" s="68"/>
    </row>
    <row r="2724" ht="15.0" customHeight="1">
      <c r="A2724" s="206">
        <v>46118.0</v>
      </c>
      <c r="B2724" s="201" t="s">
        <v>9316</v>
      </c>
      <c r="C2724" s="45" t="s">
        <v>2003</v>
      </c>
      <c r="D2724" s="17" t="str">
        <f>IFERROR(VLOOKUP(C2724,Stock,3,FALSE),"")</f>
        <v>Toyota Agya/Ayla 13-22 1st Gen</v>
      </c>
      <c r="E2724" s="45">
        <v>1.0</v>
      </c>
      <c r="F2724" s="198">
        <v>950000.0</v>
      </c>
      <c r="G2724" s="142">
        <f t="shared" si="80"/>
        <v>950000</v>
      </c>
      <c r="H2724" s="142"/>
      <c r="I2724" s="143">
        <f t="shared" si="83"/>
        <v>950000</v>
      </c>
      <c r="J2724" s="144">
        <f t="shared" si="70"/>
        <v>950000</v>
      </c>
      <c r="K2724" s="45" t="s">
        <v>9317</v>
      </c>
      <c r="L2724" s="199" t="s">
        <v>9318</v>
      </c>
      <c r="M2724" s="17"/>
      <c r="N2724" s="64" t="s">
        <v>9319</v>
      </c>
      <c r="O2724" s="68"/>
      <c r="P2724" s="68"/>
      <c r="Q2724" s="149"/>
      <c r="R2724" s="149"/>
      <c r="S2724" s="149"/>
      <c r="T2724" s="141">
        <v>1300000.0</v>
      </c>
      <c r="U2724" s="149"/>
      <c r="V2724" s="149"/>
      <c r="W2724" s="149"/>
      <c r="X2724" s="68"/>
      <c r="Y2724" s="68"/>
      <c r="Z2724" s="68"/>
    </row>
    <row r="2725" ht="15.0" customHeight="1">
      <c r="A2725" s="206">
        <v>46118.0</v>
      </c>
      <c r="B2725" s="201" t="s">
        <v>9316</v>
      </c>
      <c r="C2725" s="45" t="s">
        <v>7011</v>
      </c>
      <c r="D2725" s="17" t="str">
        <f>IFERROR(VLOOKUP(C2725,Stock,3,FALSE),"")</f>
        <v>Automotive Film Standard - Black 40%				</v>
      </c>
      <c r="E2725" s="45">
        <v>1.0</v>
      </c>
      <c r="F2725" s="198">
        <v>400000.0</v>
      </c>
      <c r="G2725" s="142">
        <f t="shared" si="80"/>
        <v>400000</v>
      </c>
      <c r="H2725" s="143">
        <v>50000.0</v>
      </c>
      <c r="I2725" s="143">
        <f t="shared" si="83"/>
        <v>350000</v>
      </c>
      <c r="J2725" s="144">
        <f t="shared" si="70"/>
        <v>350000</v>
      </c>
      <c r="K2725" s="17"/>
      <c r="L2725" s="17"/>
      <c r="M2725" s="17"/>
      <c r="N2725" s="64" t="s">
        <v>9319</v>
      </c>
      <c r="O2725" s="68"/>
      <c r="P2725" s="68"/>
      <c r="Q2725" s="149"/>
      <c r="R2725" s="149"/>
      <c r="S2725" s="149"/>
      <c r="T2725" s="149"/>
      <c r="U2725" s="149"/>
      <c r="V2725" s="149"/>
      <c r="W2725" s="149"/>
      <c r="X2725" s="68"/>
      <c r="Y2725" s="68"/>
      <c r="Z2725" s="68"/>
    </row>
    <row r="2726" ht="15.0" customHeight="1">
      <c r="A2726" s="206">
        <v>46118.0</v>
      </c>
      <c r="B2726" s="201" t="s">
        <v>9320</v>
      </c>
      <c r="C2726" s="45" t="s">
        <v>3246</v>
      </c>
      <c r="D2726" s="17" t="str">
        <f>IFERROR(VLOOKUP(C2726,Stock,3,FALSE),"")</f>
        <v>Toyota Calya / Sigra 16-</v>
      </c>
      <c r="E2726" s="45">
        <v>1.0</v>
      </c>
      <c r="F2726" s="198">
        <v>1150000.0</v>
      </c>
      <c r="G2726" s="142">
        <f t="shared" si="80"/>
        <v>1150000</v>
      </c>
      <c r="H2726" s="142"/>
      <c r="I2726" s="143">
        <f t="shared" si="83"/>
        <v>1150000</v>
      </c>
      <c r="J2726" s="144">
        <f t="shared" si="70"/>
        <v>1150000</v>
      </c>
      <c r="K2726" s="548" t="s">
        <v>9321</v>
      </c>
      <c r="L2726" s="199" t="s">
        <v>9322</v>
      </c>
      <c r="M2726" s="17"/>
      <c r="N2726" s="64" t="s">
        <v>9323</v>
      </c>
      <c r="O2726" s="68"/>
      <c r="P2726" s="68"/>
      <c r="Q2726" s="141">
        <v>1200000.0</v>
      </c>
      <c r="R2726" s="149"/>
      <c r="S2726" s="141">
        <v>100000.0</v>
      </c>
      <c r="T2726" s="149"/>
      <c r="U2726" s="149"/>
      <c r="V2726" s="149"/>
      <c r="W2726" s="149"/>
      <c r="X2726" s="64" t="s">
        <v>8219</v>
      </c>
      <c r="Y2726" s="68"/>
      <c r="Z2726" s="68"/>
    </row>
    <row r="2727" ht="15.0" customHeight="1">
      <c r="A2727" s="206">
        <v>46118.0</v>
      </c>
      <c r="B2727" s="201" t="s">
        <v>9320</v>
      </c>
      <c r="C2727" s="45" t="s">
        <v>2770</v>
      </c>
      <c r="D2727" s="17" t="str">
        <f>IFERROR(VLOOKUP(C2727,Stock,3,FALSE),"")</f>
        <v>Transport</v>
      </c>
      <c r="E2727" s="45">
        <v>1.0</v>
      </c>
      <c r="F2727" s="198">
        <v>150000.0</v>
      </c>
      <c r="G2727" s="142">
        <f t="shared" si="80"/>
        <v>150000</v>
      </c>
      <c r="H2727" s="142"/>
      <c r="I2727" s="143">
        <f t="shared" si="83"/>
        <v>150000</v>
      </c>
      <c r="J2727" s="144">
        <f t="shared" si="70"/>
        <v>150000</v>
      </c>
      <c r="K2727" s="548" t="s">
        <v>9321</v>
      </c>
      <c r="L2727" s="45" t="s">
        <v>9324</v>
      </c>
      <c r="M2727" s="17"/>
      <c r="N2727" s="64" t="s">
        <v>9323</v>
      </c>
      <c r="O2727" s="68"/>
      <c r="P2727" s="68"/>
      <c r="Q2727" s="149"/>
      <c r="R2727" s="149"/>
      <c r="S2727" s="149"/>
      <c r="T2727" s="149"/>
      <c r="U2727" s="149"/>
      <c r="V2727" s="149"/>
      <c r="W2727" s="149"/>
      <c r="X2727" s="68"/>
      <c r="Y2727" s="68"/>
      <c r="Z2727" s="68"/>
    </row>
    <row r="2728" ht="15.0" customHeight="1">
      <c r="A2728" s="206">
        <v>46118.0</v>
      </c>
      <c r="B2728" s="201" t="s">
        <v>9325</v>
      </c>
      <c r="C2728" s="45" t="s">
        <v>9326</v>
      </c>
      <c r="D2728" s="17" t="str">
        <f>IFERROR(VLOOKUP(C2728,Stock,3,FALSE),"")</f>
        <v>Toyota Camry 02-06 ACV30 3rd Gen</v>
      </c>
      <c r="E2728" s="45">
        <v>1.0</v>
      </c>
      <c r="F2728" s="198">
        <v>2468000.0</v>
      </c>
      <c r="G2728" s="142">
        <f t="shared" si="80"/>
        <v>2468000</v>
      </c>
      <c r="H2728" s="142"/>
      <c r="I2728" s="143">
        <f t="shared" si="83"/>
        <v>2468000</v>
      </c>
      <c r="J2728" s="144">
        <f t="shared" si="70"/>
        <v>2468000</v>
      </c>
      <c r="K2728" s="548" t="s">
        <v>9327</v>
      </c>
      <c r="L2728" s="199" t="s">
        <v>9328</v>
      </c>
      <c r="M2728" s="17"/>
      <c r="N2728" s="68"/>
      <c r="O2728" s="68"/>
      <c r="P2728" s="68"/>
      <c r="Q2728" s="149"/>
      <c r="R2728" s="149"/>
      <c r="S2728" s="149"/>
      <c r="T2728" s="149"/>
      <c r="U2728" s="149"/>
      <c r="V2728" s="149"/>
      <c r="W2728" s="149"/>
      <c r="X2728" s="68"/>
      <c r="Y2728" s="68"/>
      <c r="Z2728" s="68"/>
    </row>
    <row r="2729" ht="15.0" customHeight="1">
      <c r="A2729" s="249">
        <v>46114.0</v>
      </c>
      <c r="B2729" s="250" t="s">
        <v>9329</v>
      </c>
      <c r="C2729" s="251" t="s">
        <v>5979</v>
      </c>
      <c r="D2729" s="259" t="str">
        <f>IFERROR(VLOOKUP(C2729,Stock,3,FALSE),"")</f>
        <v>Nissan X-Trail 01-07 T30</v>
      </c>
      <c r="E2729" s="251">
        <v>1.0</v>
      </c>
      <c r="F2729" s="420"/>
      <c r="G2729" s="142">
        <f t="shared" si="80"/>
        <v>0</v>
      </c>
      <c r="H2729" s="254"/>
      <c r="I2729" s="143">
        <f t="shared" si="83"/>
        <v>0</v>
      </c>
      <c r="J2729" s="144">
        <f t="shared" si="70"/>
        <v>0</v>
      </c>
      <c r="K2729" s="251" t="s">
        <v>9330</v>
      </c>
      <c r="L2729" s="259"/>
      <c r="M2729" s="259"/>
      <c r="N2729" s="372"/>
      <c r="O2729" s="372"/>
      <c r="P2729" s="372"/>
      <c r="Q2729" s="262"/>
      <c r="R2729" s="262"/>
      <c r="S2729" s="262"/>
      <c r="T2729" s="262"/>
      <c r="U2729" s="262"/>
      <c r="V2729" s="262"/>
      <c r="W2729" s="262"/>
      <c r="X2729" s="372"/>
      <c r="Y2729" s="68"/>
      <c r="Z2729" s="68"/>
    </row>
    <row r="2730" ht="15.0" customHeight="1">
      <c r="A2730" s="206">
        <v>46118.0</v>
      </c>
      <c r="B2730" s="201" t="s">
        <v>9331</v>
      </c>
      <c r="C2730" s="45" t="s">
        <v>9332</v>
      </c>
      <c r="D2730" s="17" t="str">
        <f>IFERROR(VLOOKUP(C2730,Stock,3,FALSE),"")</f>
        <v>Mers-Benz GLE-Class SUV 13- W166 (2 Sensor / □Δ)</v>
      </c>
      <c r="E2730" s="45">
        <v>1.0</v>
      </c>
      <c r="F2730" s="198">
        <v>6640000.0</v>
      </c>
      <c r="G2730" s="142">
        <f t="shared" si="80"/>
        <v>6640000</v>
      </c>
      <c r="H2730" s="142"/>
      <c r="I2730" s="143">
        <f t="shared" si="83"/>
        <v>6640000</v>
      </c>
      <c r="J2730" s="144">
        <f t="shared" si="70"/>
        <v>6640000</v>
      </c>
      <c r="K2730" s="17"/>
      <c r="L2730" s="17"/>
      <c r="M2730" s="17"/>
      <c r="N2730" s="68"/>
      <c r="O2730" s="68"/>
      <c r="P2730" s="68"/>
      <c r="Q2730" s="149"/>
      <c r="R2730" s="149"/>
      <c r="S2730" s="141">
        <v>2500000.0</v>
      </c>
      <c r="T2730" s="149"/>
      <c r="U2730" s="149"/>
      <c r="V2730" s="149"/>
      <c r="W2730" s="149"/>
      <c r="X2730" s="68"/>
      <c r="Y2730" s="68"/>
      <c r="Z2730" s="68"/>
    </row>
    <row r="2731" ht="15.0" customHeight="1">
      <c r="A2731" s="206">
        <v>46118.0</v>
      </c>
      <c r="B2731" s="201" t="s">
        <v>9331</v>
      </c>
      <c r="C2731" s="45" t="s">
        <v>2770</v>
      </c>
      <c r="D2731" s="17" t="str">
        <f>IFERROR(VLOOKUP(C2731,Stock,3,FALSE),"")</f>
        <v>Transport</v>
      </c>
      <c r="E2731" s="45">
        <v>1.0</v>
      </c>
      <c r="F2731" s="198">
        <v>150000.0</v>
      </c>
      <c r="G2731" s="142">
        <f t="shared" si="80"/>
        <v>150000</v>
      </c>
      <c r="H2731" s="142"/>
      <c r="I2731" s="143">
        <f t="shared" si="83"/>
        <v>150000</v>
      </c>
      <c r="J2731" s="144">
        <f t="shared" si="70"/>
        <v>150000</v>
      </c>
      <c r="K2731" s="17"/>
      <c r="L2731" s="17"/>
      <c r="M2731" s="17"/>
      <c r="N2731" s="68"/>
      <c r="O2731" s="68"/>
      <c r="P2731" s="68"/>
      <c r="Q2731" s="149"/>
      <c r="R2731" s="149"/>
      <c r="S2731" s="149"/>
      <c r="T2731" s="149"/>
      <c r="U2731" s="149"/>
      <c r="V2731" s="149"/>
      <c r="W2731" s="149"/>
      <c r="X2731" s="68"/>
      <c r="Y2731" s="68"/>
      <c r="Z2731" s="68"/>
    </row>
    <row r="2732" ht="15.0" customHeight="1">
      <c r="A2732" s="206">
        <v>46119.0</v>
      </c>
      <c r="B2732" s="201" t="s">
        <v>9333</v>
      </c>
      <c r="C2732" s="45" t="s">
        <v>7476</v>
      </c>
      <c r="D2732" s="17" t="str">
        <f>IFERROR(VLOOKUP(C2732,Stock,3,FALSE),"")</f>
        <v>Suzuki APV 03- Pickup/ Van (MULIA)</v>
      </c>
      <c r="E2732" s="45">
        <v>1.0</v>
      </c>
      <c r="F2732" s="198">
        <v>1094000.0</v>
      </c>
      <c r="G2732" s="142">
        <f t="shared" si="80"/>
        <v>1094000</v>
      </c>
      <c r="H2732" s="142"/>
      <c r="I2732" s="143">
        <f t="shared" si="83"/>
        <v>1094000</v>
      </c>
      <c r="J2732" s="144">
        <f t="shared" si="70"/>
        <v>1094000</v>
      </c>
      <c r="K2732" s="45" t="s">
        <v>9334</v>
      </c>
      <c r="L2732" s="199" t="s">
        <v>9335</v>
      </c>
      <c r="M2732" s="17"/>
      <c r="N2732" s="64" t="s">
        <v>9336</v>
      </c>
      <c r="O2732" s="68"/>
      <c r="P2732" s="68"/>
      <c r="Q2732" s="141">
        <v>1094000.0</v>
      </c>
      <c r="R2732" s="149"/>
      <c r="S2732" s="149"/>
      <c r="T2732" s="149"/>
      <c r="U2732" s="149"/>
      <c r="V2732" s="149"/>
      <c r="W2732" s="149"/>
      <c r="X2732" s="64" t="s">
        <v>9337</v>
      </c>
      <c r="Y2732" s="68"/>
      <c r="Z2732" s="68"/>
    </row>
    <row r="2733" ht="15.0" customHeight="1">
      <c r="A2733" s="206">
        <v>46119.0</v>
      </c>
      <c r="B2733" s="201" t="s">
        <v>9338</v>
      </c>
      <c r="C2733" s="45" t="s">
        <v>3354</v>
      </c>
      <c r="D2733" s="17" t="str">
        <f>IFERROR(VLOOKUP(C2733,Stock,3,FALSE),"")</f>
        <v>Honda Brio 10- / Mobilio 11- (Honda)</v>
      </c>
      <c r="E2733" s="45">
        <v>1.0</v>
      </c>
      <c r="F2733" s="198">
        <v>1772000.0</v>
      </c>
      <c r="G2733" s="142">
        <f t="shared" si="80"/>
        <v>1772000</v>
      </c>
      <c r="H2733" s="143">
        <v>50000.0</v>
      </c>
      <c r="I2733" s="143">
        <f t="shared" si="83"/>
        <v>1722000</v>
      </c>
      <c r="J2733" s="144">
        <f t="shared" si="70"/>
        <v>1722000</v>
      </c>
      <c r="K2733" s="45" t="s">
        <v>9339</v>
      </c>
      <c r="L2733" s="45" t="s">
        <v>9340</v>
      </c>
      <c r="M2733" s="17"/>
      <c r="N2733" s="68"/>
      <c r="O2733" s="68"/>
      <c r="P2733" s="68"/>
      <c r="Q2733" s="149"/>
      <c r="R2733" s="149"/>
      <c r="S2733" s="149"/>
      <c r="T2733" s="141">
        <v>1722000.0</v>
      </c>
      <c r="U2733" s="149"/>
      <c r="V2733" s="149"/>
      <c r="W2733" s="149"/>
      <c r="X2733" s="68"/>
      <c r="Y2733" s="68"/>
      <c r="Z2733" s="68"/>
    </row>
    <row r="2734" ht="15.0" customHeight="1">
      <c r="A2734" s="206">
        <v>46119.0</v>
      </c>
      <c r="B2734" s="201" t="s">
        <v>9341</v>
      </c>
      <c r="C2734" s="45" t="s">
        <v>3475</v>
      </c>
      <c r="D2734" s="17" t="str">
        <f>IFERROR(VLOOKUP(C2734,Stock,3,FALSE),"")</f>
        <v>Toyota Avanza / Xenia 03-11 1st Gen</v>
      </c>
      <c r="E2734" s="45">
        <v>1.0</v>
      </c>
      <c r="F2734" s="198">
        <v>1000000.0</v>
      </c>
      <c r="G2734" s="142">
        <f t="shared" si="80"/>
        <v>1000000</v>
      </c>
      <c r="H2734" s="142"/>
      <c r="I2734" s="143">
        <f t="shared" si="83"/>
        <v>1000000</v>
      </c>
      <c r="J2734" s="144">
        <f t="shared" si="70"/>
        <v>1000000</v>
      </c>
      <c r="K2734" s="45" t="s">
        <v>9342</v>
      </c>
      <c r="L2734" s="199" t="s">
        <v>9343</v>
      </c>
      <c r="M2734" s="17"/>
      <c r="N2734" s="68"/>
      <c r="O2734" s="68"/>
      <c r="P2734" s="68"/>
      <c r="Q2734" s="149"/>
      <c r="R2734" s="149"/>
      <c r="S2734" s="149"/>
      <c r="T2734" s="141">
        <v>1275000.0</v>
      </c>
      <c r="U2734" s="149"/>
      <c r="V2734" s="149"/>
      <c r="W2734" s="149"/>
      <c r="X2734" s="68"/>
      <c r="Y2734" s="68"/>
      <c r="Z2734" s="68"/>
    </row>
    <row r="2735" ht="15.0" customHeight="1">
      <c r="A2735" s="206">
        <v>46119.0</v>
      </c>
      <c r="B2735" s="201" t="s">
        <v>9341</v>
      </c>
      <c r="C2735" s="45" t="s">
        <v>3434</v>
      </c>
      <c r="D2735" s="17" t="str">
        <f>IFERROR(VLOOKUP(C2735,Stock,3,FALSE),"")</f>
        <v>List Kaca Depan Code 04</v>
      </c>
      <c r="E2735" s="45">
        <v>1.0</v>
      </c>
      <c r="F2735" s="198">
        <v>275000.0</v>
      </c>
      <c r="G2735" s="142">
        <f t="shared" si="80"/>
        <v>275000</v>
      </c>
      <c r="H2735" s="142"/>
      <c r="I2735" s="143">
        <f t="shared" si="83"/>
        <v>275000</v>
      </c>
      <c r="J2735" s="144">
        <f t="shared" si="70"/>
        <v>275000</v>
      </c>
      <c r="K2735" s="17"/>
      <c r="L2735" s="17"/>
      <c r="M2735" s="17"/>
      <c r="N2735" s="68"/>
      <c r="O2735" s="68"/>
      <c r="P2735" s="68"/>
      <c r="Q2735" s="149"/>
      <c r="R2735" s="149"/>
      <c r="S2735" s="149"/>
      <c r="T2735" s="149"/>
      <c r="U2735" s="149"/>
      <c r="V2735" s="149"/>
      <c r="W2735" s="149"/>
      <c r="X2735" s="68"/>
      <c r="Y2735" s="68"/>
      <c r="Z2735" s="68"/>
    </row>
    <row r="2736" ht="15.0" customHeight="1">
      <c r="A2736" s="206">
        <v>46119.0</v>
      </c>
      <c r="B2736" s="201" t="s">
        <v>9344</v>
      </c>
      <c r="C2736" s="45" t="s">
        <v>6573</v>
      </c>
      <c r="D2736" s="17" t="str">
        <f>IFERROR(VLOOKUP(C2736,Stock,3,FALSE),"")</f>
        <v>Mazda 6 18-23 GJ/GL 3rd Gen (2 Sensor / [] /=\ )</v>
      </c>
      <c r="E2736" s="45">
        <v>1.0</v>
      </c>
      <c r="F2736" s="198">
        <v>5808000.0</v>
      </c>
      <c r="G2736" s="142">
        <f t="shared" si="80"/>
        <v>5808000</v>
      </c>
      <c r="H2736" s="142"/>
      <c r="I2736" s="143">
        <f t="shared" si="83"/>
        <v>5808000</v>
      </c>
      <c r="J2736" s="144">
        <f t="shared" si="70"/>
        <v>5808000</v>
      </c>
      <c r="K2736" s="45" t="s">
        <v>9345</v>
      </c>
      <c r="L2736" s="199" t="s">
        <v>9346</v>
      </c>
      <c r="M2736" s="17"/>
      <c r="N2736" s="68"/>
      <c r="O2736" s="68"/>
      <c r="P2736" s="68"/>
      <c r="Q2736" s="149"/>
      <c r="R2736" s="149"/>
      <c r="S2736" s="141">
        <v>100000.0</v>
      </c>
      <c r="T2736" s="141">
        <v>5908000.0</v>
      </c>
      <c r="U2736" s="149"/>
      <c r="V2736" s="149"/>
      <c r="W2736" s="149"/>
      <c r="X2736" s="68"/>
      <c r="Y2736" s="68"/>
      <c r="Z2736" s="68"/>
    </row>
    <row r="2737" ht="15.0" customHeight="1">
      <c r="A2737" s="206">
        <v>46119.0</v>
      </c>
      <c r="B2737" s="201" t="s">
        <v>9347</v>
      </c>
      <c r="C2737" s="45" t="s">
        <v>7265</v>
      </c>
      <c r="D2737" s="17" t="str">
        <f>IFERROR(VLOOKUP(C2737,Stock,3,FALSE),"")</f>
        <v>Hino Ranger Louhan 03- / Hino 500</v>
      </c>
      <c r="E2737" s="45">
        <v>1.0</v>
      </c>
      <c r="F2737" s="198">
        <v>1971000.0</v>
      </c>
      <c r="G2737" s="142">
        <f t="shared" si="80"/>
        <v>1971000</v>
      </c>
      <c r="H2737" s="142"/>
      <c r="I2737" s="143">
        <f t="shared" si="83"/>
        <v>1971000</v>
      </c>
      <c r="J2737" s="144">
        <f t="shared" si="70"/>
        <v>1971000</v>
      </c>
      <c r="K2737" s="45" t="s">
        <v>9348</v>
      </c>
      <c r="L2737" s="199" t="s">
        <v>9349</v>
      </c>
      <c r="M2737" s="17"/>
      <c r="N2737" s="68"/>
      <c r="O2737" s="68"/>
      <c r="P2737" s="68"/>
      <c r="Q2737" s="149"/>
      <c r="R2737" s="149"/>
      <c r="S2737" s="141">
        <v>100000.0</v>
      </c>
      <c r="T2737" s="149"/>
      <c r="U2737" s="149"/>
      <c r="V2737" s="149"/>
      <c r="W2737" s="149"/>
      <c r="X2737" s="68"/>
      <c r="Y2737" s="68"/>
      <c r="Z2737" s="68"/>
    </row>
    <row r="2738" ht="15.0" customHeight="1">
      <c r="A2738" s="206">
        <v>46119.0</v>
      </c>
      <c r="B2738" s="201" t="s">
        <v>9350</v>
      </c>
      <c r="C2738" s="45" t="s">
        <v>3354</v>
      </c>
      <c r="D2738" s="17" t="str">
        <f>IFERROR(VLOOKUP(C2738,Stock,3,FALSE),"")</f>
        <v>Honda Brio 10- / Mobilio 11- (Honda)</v>
      </c>
      <c r="E2738" s="45">
        <v>1.0</v>
      </c>
      <c r="F2738" s="198">
        <v>1500000.0</v>
      </c>
      <c r="G2738" s="142">
        <f t="shared" si="80"/>
        <v>1500000</v>
      </c>
      <c r="H2738" s="142"/>
      <c r="I2738" s="143">
        <f t="shared" si="83"/>
        <v>1500000</v>
      </c>
      <c r="J2738" s="144">
        <f t="shared" si="70"/>
        <v>1500000</v>
      </c>
      <c r="K2738" s="45" t="s">
        <v>9351</v>
      </c>
      <c r="L2738" s="199" t="s">
        <v>4851</v>
      </c>
      <c r="M2738" s="17"/>
      <c r="N2738" s="68"/>
      <c r="O2738" s="68"/>
      <c r="P2738" s="68"/>
      <c r="Q2738" s="149"/>
      <c r="R2738" s="149"/>
      <c r="S2738" s="141">
        <v>100000.0</v>
      </c>
      <c r="T2738" s="149"/>
      <c r="U2738" s="149"/>
      <c r="V2738" s="149"/>
      <c r="W2738" s="149"/>
      <c r="X2738" s="68"/>
      <c r="Y2738" s="68"/>
      <c r="Z2738" s="68"/>
    </row>
    <row r="2739" ht="15.0" customHeight="1">
      <c r="A2739" s="206">
        <v>46119.0</v>
      </c>
      <c r="B2739" s="201" t="s">
        <v>9344</v>
      </c>
      <c r="C2739" s="45" t="s">
        <v>2770</v>
      </c>
      <c r="D2739" s="17" t="str">
        <f>IFERROR(VLOOKUP(C2739,Stock,3,FALSE),"")</f>
        <v>Transport</v>
      </c>
      <c r="E2739" s="45">
        <v>1.0</v>
      </c>
      <c r="F2739" s="198">
        <v>200000.0</v>
      </c>
      <c r="G2739" s="142">
        <f t="shared" si="80"/>
        <v>200000</v>
      </c>
      <c r="H2739" s="142"/>
      <c r="I2739" s="143">
        <f t="shared" si="83"/>
        <v>200000</v>
      </c>
      <c r="J2739" s="144">
        <f t="shared" si="70"/>
        <v>200000</v>
      </c>
      <c r="K2739" s="45" t="s">
        <v>9345</v>
      </c>
      <c r="L2739" s="199" t="s">
        <v>9346</v>
      </c>
      <c r="M2739" s="17"/>
      <c r="N2739" s="68"/>
      <c r="O2739" s="68"/>
      <c r="P2739" s="68"/>
      <c r="Q2739" s="149"/>
      <c r="R2739" s="149"/>
      <c r="S2739" s="149"/>
      <c r="T2739" s="149"/>
      <c r="U2739" s="149"/>
      <c r="V2739" s="149"/>
      <c r="W2739" s="149"/>
      <c r="X2739" s="68"/>
      <c r="Y2739" s="68"/>
      <c r="Z2739" s="68"/>
    </row>
    <row r="2740" ht="15.0" customHeight="1">
      <c r="A2740" s="206">
        <v>46119.0</v>
      </c>
      <c r="B2740" s="201" t="s">
        <v>9352</v>
      </c>
      <c r="C2740" s="45" t="s">
        <v>9353</v>
      </c>
      <c r="D2740" s="17" t="str">
        <f>IFERROR(VLOOKUP(C2740,Stock,3,FALSE),"")</f>
        <v>Toyota Dyna/Hino Dutro 00-</v>
      </c>
      <c r="E2740" s="45">
        <v>1.0</v>
      </c>
      <c r="F2740" s="198">
        <v>685000.0</v>
      </c>
      <c r="G2740" s="142">
        <f t="shared" si="80"/>
        <v>685000</v>
      </c>
      <c r="H2740" s="142"/>
      <c r="I2740" s="143">
        <f t="shared" si="83"/>
        <v>685000</v>
      </c>
      <c r="J2740" s="144">
        <f t="shared" si="70"/>
        <v>685000</v>
      </c>
      <c r="K2740" s="45" t="s">
        <v>9354</v>
      </c>
      <c r="L2740" s="199" t="s">
        <v>9355</v>
      </c>
      <c r="M2740" s="17"/>
      <c r="N2740" s="68"/>
      <c r="O2740" s="68"/>
      <c r="P2740" s="68"/>
      <c r="Q2740" s="149"/>
      <c r="R2740" s="149"/>
      <c r="S2740" s="149"/>
      <c r="T2740" s="149"/>
      <c r="U2740" s="149"/>
      <c r="V2740" s="149"/>
      <c r="W2740" s="149"/>
      <c r="X2740" s="68"/>
      <c r="Y2740" s="68"/>
      <c r="Z2740" s="68"/>
    </row>
    <row r="2741" ht="15.0" customHeight="1">
      <c r="A2741" s="206">
        <v>46119.0</v>
      </c>
      <c r="B2741" s="564" t="s">
        <v>9356</v>
      </c>
      <c r="C2741" s="565" t="s">
        <v>7345</v>
      </c>
      <c r="D2741" s="566" t="str">
        <f>IFERROR(VLOOKUP(C2741,Stock,3,FALSE),"")</f>
        <v>VIP Vkool Automotive Film</v>
      </c>
      <c r="E2741" s="45">
        <v>1.0</v>
      </c>
      <c r="F2741" s="198">
        <v>3773000.0</v>
      </c>
      <c r="G2741" s="142">
        <f t="shared" si="80"/>
        <v>3773000</v>
      </c>
      <c r="H2741" s="142"/>
      <c r="I2741" s="143">
        <f t="shared" si="83"/>
        <v>3773000</v>
      </c>
      <c r="J2741" s="144">
        <f t="shared" si="70"/>
        <v>3773000</v>
      </c>
      <c r="K2741" s="17"/>
      <c r="L2741" s="17"/>
      <c r="M2741" s="17"/>
      <c r="N2741" s="68"/>
      <c r="O2741" s="68"/>
      <c r="P2741" s="68"/>
      <c r="Q2741" s="149"/>
      <c r="R2741" s="149"/>
      <c r="S2741" s="141">
        <v>100000.0</v>
      </c>
      <c r="T2741" s="141">
        <v>3673000.0</v>
      </c>
      <c r="U2741" s="149"/>
      <c r="V2741" s="149"/>
      <c r="W2741" s="149"/>
      <c r="X2741" s="64" t="s">
        <v>9357</v>
      </c>
      <c r="Y2741" s="68"/>
      <c r="Z2741" s="68"/>
    </row>
    <row r="2742" ht="15.0" customHeight="1">
      <c r="A2742" s="206">
        <v>46120.0</v>
      </c>
      <c r="B2742" s="201" t="s">
        <v>9358</v>
      </c>
      <c r="C2742" s="45" t="s">
        <v>5052</v>
      </c>
      <c r="D2742" s="17" t="str">
        <f>IFERROR(VLOOKUP(C2742,Stock,3,FALSE),"")</f>
        <v>Suzuki Baleno 08-15 SX4 / Neo Baleno</v>
      </c>
      <c r="E2742" s="45">
        <v>1.0</v>
      </c>
      <c r="F2742" s="198">
        <v>1436000.0</v>
      </c>
      <c r="G2742" s="142">
        <f t="shared" si="80"/>
        <v>1436000</v>
      </c>
      <c r="H2742" s="142"/>
      <c r="I2742" s="143">
        <f t="shared" si="83"/>
        <v>1436000</v>
      </c>
      <c r="J2742" s="144">
        <f t="shared" si="70"/>
        <v>1436000</v>
      </c>
      <c r="K2742" s="45" t="s">
        <v>9359</v>
      </c>
      <c r="L2742" s="199" t="s">
        <v>9360</v>
      </c>
      <c r="M2742" s="17"/>
      <c r="N2742" s="68"/>
      <c r="O2742" s="68"/>
      <c r="P2742" s="68"/>
      <c r="Q2742" s="149"/>
      <c r="R2742" s="149"/>
      <c r="S2742" s="149"/>
      <c r="T2742" s="149"/>
      <c r="U2742" s="149"/>
      <c r="V2742" s="149"/>
      <c r="W2742" s="149"/>
      <c r="X2742" s="68"/>
      <c r="Y2742" s="68"/>
      <c r="Z2742" s="68"/>
    </row>
    <row r="2743" ht="15.0" customHeight="1">
      <c r="A2743" s="206">
        <v>46120.0</v>
      </c>
      <c r="B2743" s="201" t="s">
        <v>9358</v>
      </c>
      <c r="C2743" s="45" t="s">
        <v>7011</v>
      </c>
      <c r="D2743" s="17" t="str">
        <f>IFERROR(VLOOKUP(C2743,Stock,3,FALSE),"")</f>
        <v>Automotive Film Standard - Black 40%				</v>
      </c>
      <c r="E2743" s="45">
        <v>1.0</v>
      </c>
      <c r="F2743" s="198">
        <v>400000.0</v>
      </c>
      <c r="G2743" s="142">
        <f t="shared" si="80"/>
        <v>400000</v>
      </c>
      <c r="H2743" s="142"/>
      <c r="I2743" s="143">
        <f t="shared" si="83"/>
        <v>400000</v>
      </c>
      <c r="J2743" s="144">
        <f t="shared" si="70"/>
        <v>400000</v>
      </c>
      <c r="K2743" s="45" t="s">
        <v>9359</v>
      </c>
      <c r="L2743" s="199" t="s">
        <v>9360</v>
      </c>
      <c r="M2743" s="17"/>
      <c r="N2743" s="68"/>
      <c r="O2743" s="68"/>
      <c r="P2743" s="68"/>
      <c r="Q2743" s="149"/>
      <c r="R2743" s="149"/>
      <c r="S2743" s="149"/>
      <c r="T2743" s="149"/>
      <c r="U2743" s="149"/>
      <c r="V2743" s="149"/>
      <c r="W2743" s="149"/>
      <c r="X2743" s="68"/>
      <c r="Y2743" s="68"/>
      <c r="Z2743" s="68"/>
    </row>
    <row r="2744" ht="15.0" customHeight="1">
      <c r="A2744" s="206">
        <v>46120.0</v>
      </c>
      <c r="B2744" s="201" t="s">
        <v>9361</v>
      </c>
      <c r="C2744" s="45" t="s">
        <v>5125</v>
      </c>
      <c r="D2744" s="17" t="str">
        <f>IFERROR(VLOOKUP(C2744,Stock,3,FALSE),"")</f>
        <v>Chevrolet Spin 12-</v>
      </c>
      <c r="E2744" s="45">
        <v>1.0</v>
      </c>
      <c r="F2744" s="198">
        <v>1366000.0</v>
      </c>
      <c r="G2744" s="142">
        <f t="shared" si="80"/>
        <v>1366000</v>
      </c>
      <c r="H2744" s="142"/>
      <c r="I2744" s="143">
        <f t="shared" si="83"/>
        <v>1366000</v>
      </c>
      <c r="J2744" s="144">
        <f t="shared" si="70"/>
        <v>1366000</v>
      </c>
      <c r="K2744" s="45" t="s">
        <v>8128</v>
      </c>
      <c r="L2744" s="199" t="s">
        <v>9362</v>
      </c>
      <c r="M2744" s="17"/>
      <c r="N2744" s="64" t="s">
        <v>9363</v>
      </c>
      <c r="O2744" s="68"/>
      <c r="P2744" s="68"/>
      <c r="Q2744" s="149"/>
      <c r="R2744" s="149"/>
      <c r="S2744" s="149"/>
      <c r="T2744" s="149"/>
      <c r="U2744" s="149"/>
      <c r="V2744" s="149"/>
      <c r="W2744" s="149"/>
      <c r="X2744" s="68"/>
      <c r="Y2744" s="68"/>
      <c r="Z2744" s="68"/>
    </row>
    <row r="2745" ht="15.0" customHeight="1">
      <c r="A2745" s="206">
        <v>46120.0</v>
      </c>
      <c r="B2745" s="201" t="s">
        <v>9361</v>
      </c>
      <c r="C2745" s="45" t="s">
        <v>5254</v>
      </c>
      <c r="D2745" s="17" t="str">
        <f>IFERROR(VLOOKUP(C2745,Stock,3,FALSE),"")</f>
        <v>Automotive Film Standard - Black 40%				</v>
      </c>
      <c r="E2745" s="45">
        <v>1.0</v>
      </c>
      <c r="F2745" s="198">
        <v>350000.0</v>
      </c>
      <c r="G2745" s="142">
        <f t="shared" si="80"/>
        <v>350000</v>
      </c>
      <c r="H2745" s="142"/>
      <c r="I2745" s="143">
        <f t="shared" si="83"/>
        <v>350000</v>
      </c>
      <c r="J2745" s="144">
        <f t="shared" si="70"/>
        <v>350000</v>
      </c>
      <c r="K2745" s="548" t="s">
        <v>9364</v>
      </c>
      <c r="L2745" s="199" t="s">
        <v>9362</v>
      </c>
      <c r="M2745" s="17"/>
      <c r="N2745" s="64" t="s">
        <v>9363</v>
      </c>
      <c r="O2745" s="68"/>
      <c r="P2745" s="68"/>
      <c r="Q2745" s="149"/>
      <c r="R2745" s="149"/>
      <c r="S2745" s="149"/>
      <c r="T2745" s="149"/>
      <c r="U2745" s="149"/>
      <c r="V2745" s="149"/>
      <c r="W2745" s="149"/>
      <c r="X2745" s="68"/>
      <c r="Y2745" s="68"/>
      <c r="Z2745" s="68"/>
    </row>
    <row r="2746" ht="15.0" customHeight="1">
      <c r="A2746" s="206">
        <v>46120.0</v>
      </c>
      <c r="B2746" s="201" t="s">
        <v>9347</v>
      </c>
      <c r="C2746" s="548" t="s">
        <v>2770</v>
      </c>
      <c r="D2746" s="17" t="str">
        <f>IFERROR(VLOOKUP(C2746,Stock,3,FALSE),"")</f>
        <v>Transport</v>
      </c>
      <c r="E2746" s="45">
        <v>1.0</v>
      </c>
      <c r="F2746" s="198">
        <v>100000.0</v>
      </c>
      <c r="G2746" s="142">
        <f t="shared" si="80"/>
        <v>100000</v>
      </c>
      <c r="H2746" s="142"/>
      <c r="I2746" s="143">
        <f t="shared" si="83"/>
        <v>100000</v>
      </c>
      <c r="J2746" s="144">
        <f t="shared" si="70"/>
        <v>100000</v>
      </c>
      <c r="K2746" s="45" t="s">
        <v>9348</v>
      </c>
      <c r="L2746" s="199" t="s">
        <v>9349</v>
      </c>
      <c r="M2746" s="17"/>
      <c r="N2746" s="64" t="s">
        <v>9365</v>
      </c>
      <c r="O2746" s="68"/>
      <c r="P2746" s="68"/>
      <c r="Q2746" s="149"/>
      <c r="R2746" s="149"/>
      <c r="S2746" s="149"/>
      <c r="T2746" s="149"/>
      <c r="U2746" s="149"/>
      <c r="V2746" s="149"/>
      <c r="W2746" s="149"/>
      <c r="X2746" s="68"/>
      <c r="Y2746" s="68"/>
      <c r="Z2746" s="68"/>
    </row>
    <row r="2747" ht="15.0" customHeight="1">
      <c r="A2747" s="206">
        <v>46120.0</v>
      </c>
      <c r="B2747" s="201" t="s">
        <v>9366</v>
      </c>
      <c r="C2747" s="45" t="s">
        <v>2973</v>
      </c>
      <c r="D2747" s="17" t="str">
        <f>IFERROR(VLOOKUP(C2747,Stock,3,FALSE),"")</f>
        <v>Suzuki Carry New 19-</v>
      </c>
      <c r="E2747" s="45">
        <v>1.0</v>
      </c>
      <c r="F2747" s="198">
        <v>1150000.0</v>
      </c>
      <c r="G2747" s="142">
        <f t="shared" si="80"/>
        <v>1150000</v>
      </c>
      <c r="H2747" s="143">
        <v>50000.0</v>
      </c>
      <c r="I2747" s="143">
        <f t="shared" si="83"/>
        <v>1100000</v>
      </c>
      <c r="J2747" s="144">
        <f t="shared" si="70"/>
        <v>1100000</v>
      </c>
      <c r="K2747" s="45" t="s">
        <v>9367</v>
      </c>
      <c r="L2747" s="17"/>
      <c r="M2747" s="17"/>
      <c r="N2747" s="68"/>
      <c r="O2747" s="68"/>
      <c r="P2747" s="68"/>
      <c r="Q2747" s="141">
        <v>1100000.0</v>
      </c>
      <c r="R2747" s="149"/>
      <c r="S2747" s="149"/>
      <c r="T2747" s="149"/>
      <c r="U2747" s="149"/>
      <c r="V2747" s="149"/>
      <c r="W2747" s="149"/>
      <c r="X2747" s="64" t="s">
        <v>9368</v>
      </c>
      <c r="Y2747" s="68"/>
      <c r="Z2747" s="68"/>
    </row>
    <row r="2748" ht="15.0" customHeight="1">
      <c r="A2748" s="206">
        <v>46120.0</v>
      </c>
      <c r="B2748" s="201" t="s">
        <v>9369</v>
      </c>
      <c r="C2748" s="45" t="s">
        <v>2995</v>
      </c>
      <c r="D2748" s="17" t="str">
        <f>IFERROR(VLOOKUP(C2748,Stock,3,FALSE),"")</f>
        <v>Honda CR-V 02-04 2nd Gen (Spion Jepit)</v>
      </c>
      <c r="E2748" s="45">
        <v>1.0</v>
      </c>
      <c r="F2748" s="198">
        <v>1832000.0</v>
      </c>
      <c r="G2748" s="142">
        <f t="shared" si="80"/>
        <v>1832000</v>
      </c>
      <c r="H2748" s="143">
        <v>32000.0</v>
      </c>
      <c r="I2748" s="143">
        <f t="shared" si="83"/>
        <v>1800000</v>
      </c>
      <c r="J2748" s="144">
        <f t="shared" si="70"/>
        <v>1800000</v>
      </c>
      <c r="K2748" s="45" t="s">
        <v>9370</v>
      </c>
      <c r="L2748" s="199" t="s">
        <v>9371</v>
      </c>
      <c r="M2748" s="17"/>
      <c r="N2748" s="64" t="s">
        <v>9372</v>
      </c>
      <c r="O2748" s="68"/>
      <c r="P2748" s="68"/>
      <c r="Q2748" s="149"/>
      <c r="R2748" s="149"/>
      <c r="S2748" s="149"/>
      <c r="T2748" s="149"/>
      <c r="U2748" s="149"/>
      <c r="V2748" s="149"/>
      <c r="W2748" s="149"/>
      <c r="X2748" s="68"/>
      <c r="Y2748" s="68"/>
      <c r="Z2748" s="68"/>
    </row>
    <row r="2749" ht="15.0" customHeight="1">
      <c r="A2749" s="206">
        <v>46120.0</v>
      </c>
      <c r="B2749" s="201" t="s">
        <v>9373</v>
      </c>
      <c r="C2749" s="45" t="s">
        <v>9374</v>
      </c>
      <c r="D2749" s="17" t="str">
        <f>IFERROR(VLOOKUP(C2749,Stock,3,FALSE),"")</f>
        <v>Suzuki Spresso 20-</v>
      </c>
      <c r="E2749" s="45">
        <v>1.0</v>
      </c>
      <c r="F2749" s="198">
        <v>1550000.0</v>
      </c>
      <c r="G2749" s="142">
        <f t="shared" si="80"/>
        <v>1550000</v>
      </c>
      <c r="H2749" s="142"/>
      <c r="I2749" s="143">
        <f t="shared" si="83"/>
        <v>1550000</v>
      </c>
      <c r="J2749" s="144">
        <f t="shared" si="70"/>
        <v>1550000</v>
      </c>
      <c r="K2749" s="45" t="s">
        <v>9375</v>
      </c>
      <c r="L2749" s="567" t="s">
        <v>9376</v>
      </c>
      <c r="M2749" s="17"/>
      <c r="N2749" s="68"/>
      <c r="O2749" s="68"/>
      <c r="P2749" s="68"/>
      <c r="Q2749" s="149"/>
      <c r="R2749" s="149"/>
      <c r="S2749" s="141">
        <v>150000.0</v>
      </c>
      <c r="T2749" s="149"/>
      <c r="U2749" s="149"/>
      <c r="V2749" s="149"/>
      <c r="W2749" s="149"/>
      <c r="X2749" s="68"/>
      <c r="Y2749" s="68"/>
      <c r="Z2749" s="68"/>
    </row>
    <row r="2750" ht="15.0" customHeight="1">
      <c r="A2750" s="206">
        <v>46120.0</v>
      </c>
      <c r="B2750" s="201"/>
      <c r="C2750" s="548" t="s">
        <v>2770</v>
      </c>
      <c r="D2750" s="17" t="str">
        <f>IFERROR(VLOOKUP(C2750,Stock,3,FALSE),"")</f>
        <v>Transport</v>
      </c>
      <c r="E2750" s="45">
        <v>1.0</v>
      </c>
      <c r="F2750" s="198">
        <v>150000.0</v>
      </c>
      <c r="G2750" s="142">
        <f t="shared" si="80"/>
        <v>150000</v>
      </c>
      <c r="H2750" s="142"/>
      <c r="I2750" s="143">
        <f t="shared" si="83"/>
        <v>150000</v>
      </c>
      <c r="J2750" s="144">
        <f t="shared" si="70"/>
        <v>150000</v>
      </c>
      <c r="K2750" s="17"/>
      <c r="L2750" s="17"/>
      <c r="M2750" s="17"/>
      <c r="N2750" s="68"/>
      <c r="O2750" s="68"/>
      <c r="P2750" s="68"/>
      <c r="Q2750" s="149"/>
      <c r="R2750" s="149"/>
      <c r="S2750" s="149"/>
      <c r="T2750" s="149"/>
      <c r="U2750" s="149"/>
      <c r="V2750" s="149"/>
      <c r="W2750" s="149"/>
      <c r="X2750" s="68"/>
      <c r="Y2750" s="68"/>
      <c r="Z2750" s="68"/>
    </row>
    <row r="2751" ht="15.0" customHeight="1">
      <c r="A2751" s="206">
        <v>46120.0</v>
      </c>
      <c r="B2751" s="201" t="s">
        <v>9377</v>
      </c>
      <c r="C2751" s="45" t="s">
        <v>9378</v>
      </c>
      <c r="D2751" s="17" t="str">
        <f>IFERROR(VLOOKUP(C2751,Stock,3,FALSE),"")</f>
        <v>Honda Brio 18- (Honda)</v>
      </c>
      <c r="E2751" s="45">
        <v>1.0</v>
      </c>
      <c r="F2751" s="198">
        <v>700000.0</v>
      </c>
      <c r="G2751" s="142">
        <f t="shared" si="80"/>
        <v>700000</v>
      </c>
      <c r="H2751" s="142"/>
      <c r="I2751" s="143">
        <f t="shared" si="83"/>
        <v>700000</v>
      </c>
      <c r="J2751" s="144">
        <f t="shared" si="70"/>
        <v>700000</v>
      </c>
      <c r="K2751" s="45" t="s">
        <v>9379</v>
      </c>
      <c r="L2751" s="17"/>
      <c r="M2751" s="17"/>
      <c r="N2751" s="68"/>
      <c r="O2751" s="68"/>
      <c r="P2751" s="68"/>
      <c r="Q2751" s="149"/>
      <c r="R2751" s="149"/>
      <c r="S2751" s="149"/>
      <c r="T2751" s="149"/>
      <c r="U2751" s="149"/>
      <c r="V2751" s="149"/>
      <c r="W2751" s="149"/>
      <c r="X2751" s="68"/>
      <c r="Y2751" s="68"/>
      <c r="Z2751" s="68"/>
    </row>
    <row r="2752" ht="15.0" customHeight="1">
      <c r="A2752" s="206">
        <v>46120.0</v>
      </c>
      <c r="B2752" s="201"/>
      <c r="C2752" s="45" t="s">
        <v>3160</v>
      </c>
      <c r="D2752" s="17" t="str">
        <f>IFERROR(VLOOKUP(C2752,Stock,3,FALSE),"")</f>
        <v>Honda Brio 10- (Honda)</v>
      </c>
      <c r="E2752" s="45">
        <v>1.0</v>
      </c>
      <c r="F2752" s="198">
        <v>715000.0</v>
      </c>
      <c r="G2752" s="142">
        <f t="shared" si="80"/>
        <v>715000</v>
      </c>
      <c r="H2752" s="143"/>
      <c r="I2752" s="143">
        <f t="shared" si="83"/>
        <v>715000</v>
      </c>
      <c r="J2752" s="144">
        <f t="shared" si="70"/>
        <v>715000</v>
      </c>
      <c r="K2752" s="17"/>
      <c r="L2752" s="17"/>
      <c r="M2752" s="17"/>
      <c r="N2752" s="68"/>
      <c r="O2752" s="68"/>
      <c r="P2752" s="68"/>
      <c r="Q2752" s="149"/>
      <c r="R2752" s="149"/>
      <c r="S2752" s="149"/>
      <c r="T2752" s="149"/>
      <c r="U2752" s="149"/>
      <c r="V2752" s="149"/>
      <c r="W2752" s="149"/>
      <c r="X2752" s="68"/>
      <c r="Y2752" s="68"/>
      <c r="Z2752" s="68"/>
    </row>
    <row r="2753" ht="15.0" customHeight="1">
      <c r="A2753" s="206">
        <v>46120.0</v>
      </c>
      <c r="B2753" s="201"/>
      <c r="C2753" s="45" t="s">
        <v>5254</v>
      </c>
      <c r="D2753" s="17" t="str">
        <f>IFERROR(VLOOKUP(C2753,Stock,3,FALSE),"")</f>
        <v>Automotive Film Standard - Black 40%				</v>
      </c>
      <c r="E2753" s="45">
        <v>2.0</v>
      </c>
      <c r="F2753" s="198">
        <v>150000.0</v>
      </c>
      <c r="G2753" s="142">
        <f t="shared" si="80"/>
        <v>300000</v>
      </c>
      <c r="H2753" s="142"/>
      <c r="I2753" s="143">
        <f t="shared" si="83"/>
        <v>300000</v>
      </c>
      <c r="J2753" s="144">
        <f t="shared" si="70"/>
        <v>300000</v>
      </c>
      <c r="K2753" s="17"/>
      <c r="L2753" s="17"/>
      <c r="M2753" s="17"/>
      <c r="N2753" s="68"/>
      <c r="O2753" s="68"/>
      <c r="P2753" s="68"/>
      <c r="Q2753" s="149"/>
      <c r="R2753" s="149"/>
      <c r="S2753" s="149"/>
      <c r="T2753" s="149"/>
      <c r="U2753" s="149"/>
      <c r="V2753" s="149"/>
      <c r="W2753" s="149"/>
      <c r="X2753" s="68"/>
      <c r="Y2753" s="68"/>
      <c r="Z2753" s="68"/>
    </row>
    <row r="2754" ht="15.0" customHeight="1">
      <c r="A2754" s="206">
        <v>46121.0</v>
      </c>
      <c r="B2754" s="201" t="s">
        <v>9380</v>
      </c>
      <c r="C2754" s="45" t="s">
        <v>2881</v>
      </c>
      <c r="D2754" s="17" t="str">
        <f>IFERROR(VLOOKUP(C2754,Stock,3,FALSE),"")</f>
        <v>Mitsubishi Outlander 10-21 GA3</v>
      </c>
      <c r="E2754" s="45">
        <v>1.0</v>
      </c>
      <c r="F2754" s="198">
        <v>1988000.0</v>
      </c>
      <c r="G2754" s="142">
        <f t="shared" si="80"/>
        <v>1988000</v>
      </c>
      <c r="H2754" s="142"/>
      <c r="I2754" s="143">
        <f t="shared" si="83"/>
        <v>1988000</v>
      </c>
      <c r="J2754" s="144">
        <f t="shared" si="70"/>
        <v>1988000</v>
      </c>
      <c r="K2754" s="45" t="s">
        <v>9381</v>
      </c>
      <c r="L2754" s="199" t="s">
        <v>9382</v>
      </c>
      <c r="M2754" s="17"/>
      <c r="N2754" s="68"/>
      <c r="O2754" s="68"/>
      <c r="P2754" s="68"/>
      <c r="Q2754" s="149"/>
      <c r="R2754" s="149"/>
      <c r="S2754" s="149"/>
      <c r="T2754" s="149"/>
      <c r="U2754" s="149"/>
      <c r="V2754" s="149"/>
      <c r="W2754" s="149"/>
      <c r="X2754" s="68"/>
      <c r="Y2754" s="68"/>
      <c r="Z2754" s="68"/>
    </row>
    <row r="2755" ht="15.0" customHeight="1">
      <c r="A2755" s="206">
        <v>46121.0</v>
      </c>
      <c r="B2755" s="201" t="s">
        <v>9383</v>
      </c>
      <c r="C2755" s="45" t="s">
        <v>7784</v>
      </c>
      <c r="D2755" s="17" t="str">
        <f>IFERROR(VLOOKUP(C2755,Stock,3,FALSE),"")</f>
        <v>Mitsubishi Pajero 16-</v>
      </c>
      <c r="E2755" s="45">
        <v>1.0</v>
      </c>
      <c r="F2755" s="198">
        <v>1480000.0</v>
      </c>
      <c r="G2755" s="142">
        <f t="shared" si="80"/>
        <v>1480000</v>
      </c>
      <c r="H2755" s="142"/>
      <c r="I2755" s="143">
        <f t="shared" si="83"/>
        <v>1480000</v>
      </c>
      <c r="J2755" s="144">
        <f t="shared" si="70"/>
        <v>1480000</v>
      </c>
      <c r="K2755" s="45" t="s">
        <v>9384</v>
      </c>
      <c r="L2755" s="199" t="s">
        <v>9385</v>
      </c>
      <c r="M2755" s="17"/>
      <c r="N2755" s="64" t="s">
        <v>9386</v>
      </c>
      <c r="O2755" s="68"/>
      <c r="P2755" s="68"/>
      <c r="Q2755" s="149"/>
      <c r="R2755" s="149"/>
      <c r="S2755" s="149"/>
      <c r="T2755" s="149"/>
      <c r="U2755" s="149"/>
      <c r="V2755" s="149"/>
      <c r="W2755" s="149"/>
      <c r="X2755" s="68"/>
      <c r="Y2755" s="68"/>
      <c r="Z2755" s="68"/>
    </row>
    <row r="2756" ht="15.0" customHeight="1">
      <c r="A2756" s="206">
        <v>46121.0</v>
      </c>
      <c r="B2756" s="201" t="s">
        <v>9387</v>
      </c>
      <c r="C2756" s="548" t="s">
        <v>2968</v>
      </c>
      <c r="D2756" s="17" t="str">
        <f>IFERROR(VLOOKUP(C2756,Stock,3,FALSE),"")</f>
        <v>Toyota Rush / Terios 18-</v>
      </c>
      <c r="E2756" s="45">
        <v>1.0</v>
      </c>
      <c r="F2756" s="198">
        <v>1050000.0</v>
      </c>
      <c r="G2756" s="142">
        <f t="shared" si="80"/>
        <v>1050000</v>
      </c>
      <c r="H2756" s="142"/>
      <c r="I2756" s="143">
        <f t="shared" si="83"/>
        <v>1050000</v>
      </c>
      <c r="J2756" s="144">
        <f t="shared" si="70"/>
        <v>1050000</v>
      </c>
      <c r="K2756" s="17"/>
      <c r="L2756" s="17"/>
      <c r="M2756" s="17"/>
      <c r="N2756" s="68"/>
      <c r="O2756" s="68"/>
      <c r="P2756" s="68"/>
      <c r="Q2756" s="149"/>
      <c r="R2756" s="149"/>
      <c r="S2756" s="141">
        <v>100000.0</v>
      </c>
      <c r="T2756" s="141">
        <v>902000.0</v>
      </c>
      <c r="U2756" s="149"/>
      <c r="V2756" s="149"/>
      <c r="W2756" s="149"/>
      <c r="X2756" s="68"/>
      <c r="Y2756" s="68"/>
      <c r="Z2756" s="68"/>
    </row>
    <row r="2757" ht="15.0" customHeight="1">
      <c r="A2757" s="206">
        <v>46121.0</v>
      </c>
      <c r="B2757" s="201"/>
      <c r="C2757" s="64" t="s">
        <v>2770</v>
      </c>
      <c r="D2757" s="17" t="str">
        <f>IFERROR(VLOOKUP(C2757,Stock,3,FALSE),"")</f>
        <v>Transport</v>
      </c>
      <c r="E2757" s="45">
        <v>1.0</v>
      </c>
      <c r="F2757" s="198">
        <v>150000.0</v>
      </c>
      <c r="G2757" s="142">
        <f t="shared" si="80"/>
        <v>150000</v>
      </c>
      <c r="H2757" s="142"/>
      <c r="I2757" s="143">
        <f t="shared" si="83"/>
        <v>150000</v>
      </c>
      <c r="J2757" s="144">
        <f t="shared" si="70"/>
        <v>150000</v>
      </c>
      <c r="K2757" s="17"/>
      <c r="L2757" s="17"/>
      <c r="M2757" s="17"/>
      <c r="N2757" s="68"/>
      <c r="O2757" s="68"/>
      <c r="P2757" s="68"/>
      <c r="Q2757" s="149"/>
      <c r="R2757" s="149"/>
      <c r="S2757" s="149"/>
      <c r="T2757" s="149"/>
      <c r="U2757" s="149"/>
      <c r="V2757" s="149"/>
      <c r="W2757" s="149"/>
      <c r="X2757" s="68"/>
      <c r="Y2757" s="68"/>
      <c r="Z2757" s="68"/>
    </row>
    <row r="2758" ht="15.0" customHeight="1">
      <c r="A2758" s="265">
        <v>46121.0</v>
      </c>
      <c r="B2758" s="266" t="s">
        <v>9388</v>
      </c>
      <c r="C2758" s="269" t="s">
        <v>7160</v>
      </c>
      <c r="D2758" s="274" t="str">
        <f>IFERROR(VLOOKUP(C2758,Stock,3,FALSE),"")</f>
        <v>Toyota Avanza / Xenia 11-15 2nd Gen</v>
      </c>
      <c r="E2758" s="269">
        <v>3.0</v>
      </c>
      <c r="F2758" s="270"/>
      <c r="G2758" s="270"/>
      <c r="H2758" s="271"/>
      <c r="I2758" s="272">
        <f t="shared" si="83"/>
        <v>0</v>
      </c>
      <c r="J2758" s="144">
        <f t="shared" si="70"/>
        <v>0</v>
      </c>
      <c r="K2758" s="269" t="s">
        <v>8867</v>
      </c>
      <c r="L2758" s="274"/>
      <c r="M2758" s="17"/>
      <c r="N2758" s="68"/>
      <c r="O2758" s="68"/>
      <c r="P2758" s="68"/>
      <c r="Q2758" s="149"/>
      <c r="R2758" s="149"/>
      <c r="S2758" s="149"/>
      <c r="T2758" s="149"/>
      <c r="U2758" s="149"/>
      <c r="V2758" s="149"/>
      <c r="W2758" s="149"/>
      <c r="X2758" s="68"/>
      <c r="Y2758" s="68"/>
      <c r="Z2758" s="68"/>
    </row>
    <row r="2759" ht="15.0" customHeight="1">
      <c r="A2759" s="425"/>
      <c r="B2759" s="266"/>
      <c r="C2759" s="269" t="s">
        <v>4379</v>
      </c>
      <c r="D2759" s="274" t="str">
        <f>IFERROR(VLOOKUP(C2759,Stock,3,FALSE),"")</f>
        <v>Toyota Yaris 13- 2nd Gen / Vios 14- 3rd Gen</v>
      </c>
      <c r="E2759" s="269">
        <v>2.0</v>
      </c>
      <c r="F2759" s="270"/>
      <c r="G2759" s="270"/>
      <c r="H2759" s="271"/>
      <c r="I2759" s="272">
        <f t="shared" si="83"/>
        <v>0</v>
      </c>
      <c r="J2759" s="144">
        <f t="shared" si="70"/>
        <v>0</v>
      </c>
      <c r="K2759" s="269" t="s">
        <v>8867</v>
      </c>
      <c r="L2759" s="274"/>
      <c r="M2759" s="17"/>
      <c r="N2759" s="68"/>
      <c r="O2759" s="68"/>
      <c r="P2759" s="68"/>
      <c r="Q2759" s="149"/>
      <c r="R2759" s="149"/>
      <c r="S2759" s="149"/>
      <c r="T2759" s="149"/>
      <c r="U2759" s="149"/>
      <c r="V2759" s="149"/>
      <c r="W2759" s="149"/>
      <c r="X2759" s="68"/>
      <c r="Y2759" s="68"/>
      <c r="Z2759" s="68"/>
    </row>
    <row r="2760" ht="15.0" customHeight="1">
      <c r="A2760" s="425"/>
      <c r="B2760" s="266"/>
      <c r="C2760" s="269" t="s">
        <v>7221</v>
      </c>
      <c r="D2760" s="274" t="str">
        <f>IFERROR(VLOOKUP(C2760,Stock,3,FALSE),"")</f>
        <v>Suzuki Ertiga 12-18 1st Gen MPV</v>
      </c>
      <c r="E2760" s="269">
        <v>2.0</v>
      </c>
      <c r="F2760" s="270"/>
      <c r="G2760" s="270"/>
      <c r="H2760" s="271"/>
      <c r="I2760" s="272">
        <f t="shared" si="83"/>
        <v>0</v>
      </c>
      <c r="J2760" s="144">
        <f t="shared" si="70"/>
        <v>0</v>
      </c>
      <c r="K2760" s="269" t="s">
        <v>8867</v>
      </c>
      <c r="L2760" s="274"/>
      <c r="M2760" s="17"/>
      <c r="N2760" s="68"/>
      <c r="O2760" s="68"/>
      <c r="P2760" s="68"/>
      <c r="Q2760" s="149"/>
      <c r="R2760" s="149"/>
      <c r="S2760" s="149"/>
      <c r="T2760" s="149"/>
      <c r="U2760" s="149"/>
      <c r="V2760" s="149"/>
      <c r="W2760" s="149"/>
      <c r="X2760" s="68"/>
      <c r="Y2760" s="68"/>
      <c r="Z2760" s="68"/>
    </row>
    <row r="2761" ht="15.0" customHeight="1">
      <c r="A2761" s="425"/>
      <c r="B2761" s="266"/>
      <c r="C2761" s="269" t="s">
        <v>2973</v>
      </c>
      <c r="D2761" s="274" t="str">
        <f>IFERROR(VLOOKUP(C2761,Stock,3,FALSE),"")</f>
        <v>Suzuki Carry New 19-</v>
      </c>
      <c r="E2761" s="269">
        <v>3.0</v>
      </c>
      <c r="F2761" s="270"/>
      <c r="G2761" s="270"/>
      <c r="H2761" s="271"/>
      <c r="I2761" s="272">
        <f t="shared" si="83"/>
        <v>0</v>
      </c>
      <c r="J2761" s="144">
        <f t="shared" si="70"/>
        <v>0</v>
      </c>
      <c r="K2761" s="269" t="s">
        <v>8867</v>
      </c>
      <c r="L2761" s="274"/>
      <c r="M2761" s="17"/>
      <c r="N2761" s="68"/>
      <c r="O2761" s="68"/>
      <c r="P2761" s="68"/>
      <c r="Q2761" s="149"/>
      <c r="R2761" s="149"/>
      <c r="S2761" s="149"/>
      <c r="T2761" s="149"/>
      <c r="U2761" s="149"/>
      <c r="V2761" s="149"/>
      <c r="W2761" s="149"/>
      <c r="X2761" s="68"/>
      <c r="Y2761" s="68"/>
      <c r="Z2761" s="68"/>
    </row>
    <row r="2762" ht="15.0" customHeight="1">
      <c r="A2762" s="425"/>
      <c r="B2762" s="266"/>
      <c r="C2762" s="269" t="s">
        <v>7784</v>
      </c>
      <c r="D2762" s="274" t="str">
        <f>IFERROR(VLOOKUP(C2762,Stock,3,FALSE),"")</f>
        <v>Mitsubishi Pajero 16-</v>
      </c>
      <c r="E2762" s="269">
        <v>2.0</v>
      </c>
      <c r="F2762" s="270"/>
      <c r="G2762" s="270"/>
      <c r="H2762" s="271"/>
      <c r="I2762" s="272">
        <f t="shared" si="83"/>
        <v>0</v>
      </c>
      <c r="J2762" s="144">
        <f t="shared" si="70"/>
        <v>0</v>
      </c>
      <c r="K2762" s="269" t="s">
        <v>8867</v>
      </c>
      <c r="L2762" s="274"/>
      <c r="M2762" s="17"/>
      <c r="N2762" s="68"/>
      <c r="O2762" s="68"/>
      <c r="P2762" s="68"/>
      <c r="Q2762" s="149"/>
      <c r="R2762" s="149"/>
      <c r="S2762" s="149"/>
      <c r="T2762" s="149"/>
      <c r="U2762" s="149"/>
      <c r="V2762" s="149"/>
      <c r="W2762" s="149"/>
      <c r="X2762" s="68"/>
      <c r="Y2762" s="68"/>
      <c r="Z2762" s="68"/>
    </row>
    <row r="2763" ht="15.0" customHeight="1">
      <c r="A2763" s="425"/>
      <c r="B2763" s="266"/>
      <c r="C2763" s="269" t="s">
        <v>3930</v>
      </c>
      <c r="D2763" s="274" t="str">
        <f>IFERROR(VLOOKUP(C2763,Stock,3,FALSE),"")</f>
        <v>Suzuki Ertiga 18- 2nd Gen / XL7</v>
      </c>
      <c r="E2763" s="269">
        <v>2.0</v>
      </c>
      <c r="F2763" s="270"/>
      <c r="G2763" s="270"/>
      <c r="H2763" s="271"/>
      <c r="I2763" s="272">
        <f t="shared" si="83"/>
        <v>0</v>
      </c>
      <c r="J2763" s="144">
        <f t="shared" si="70"/>
        <v>0</v>
      </c>
      <c r="K2763" s="269" t="s">
        <v>8867</v>
      </c>
      <c r="L2763" s="274"/>
      <c r="M2763" s="17"/>
      <c r="N2763" s="68"/>
      <c r="O2763" s="68"/>
      <c r="P2763" s="68"/>
      <c r="Q2763" s="149"/>
      <c r="R2763" s="149"/>
      <c r="S2763" s="149"/>
      <c r="T2763" s="149"/>
      <c r="U2763" s="149"/>
      <c r="V2763" s="149"/>
      <c r="W2763" s="149"/>
      <c r="X2763" s="68"/>
      <c r="Y2763" s="68"/>
      <c r="Z2763" s="68"/>
    </row>
    <row r="2764" ht="15.0" customHeight="1">
      <c r="A2764" s="425"/>
      <c r="B2764" s="266"/>
      <c r="C2764" s="269" t="s">
        <v>7317</v>
      </c>
      <c r="D2764" s="274" t="str">
        <f>IFERROR(VLOOKUP(C2764,Stock,3,FALSE),"")</f>
        <v>Mitsubishi Xpander 17-</v>
      </c>
      <c r="E2764" s="269">
        <v>2.0</v>
      </c>
      <c r="F2764" s="270"/>
      <c r="G2764" s="270"/>
      <c r="H2764" s="271"/>
      <c r="I2764" s="272">
        <f t="shared" si="83"/>
        <v>0</v>
      </c>
      <c r="J2764" s="144">
        <f t="shared" si="70"/>
        <v>0</v>
      </c>
      <c r="K2764" s="269" t="s">
        <v>8867</v>
      </c>
      <c r="L2764" s="274"/>
      <c r="M2764" s="17"/>
      <c r="N2764" s="68"/>
      <c r="O2764" s="68"/>
      <c r="P2764" s="68"/>
      <c r="Q2764" s="149"/>
      <c r="R2764" s="149"/>
      <c r="S2764" s="149"/>
      <c r="T2764" s="149"/>
      <c r="U2764" s="149"/>
      <c r="V2764" s="149"/>
      <c r="W2764" s="149"/>
      <c r="X2764" s="68"/>
      <c r="Y2764" s="68"/>
      <c r="Z2764" s="68"/>
    </row>
    <row r="2765" ht="15.0" customHeight="1">
      <c r="A2765" s="425"/>
      <c r="B2765" s="266"/>
      <c r="C2765" s="269" t="s">
        <v>2772</v>
      </c>
      <c r="D2765" s="274" t="str">
        <f>IFERROR(VLOOKUP(C2765,Stock,3,FALSE),"")</f>
        <v>Suzuki Ignis 17-</v>
      </c>
      <c r="E2765" s="269">
        <v>1.0</v>
      </c>
      <c r="F2765" s="270"/>
      <c r="G2765" s="270"/>
      <c r="H2765" s="271"/>
      <c r="I2765" s="272">
        <f t="shared" si="83"/>
        <v>0</v>
      </c>
      <c r="J2765" s="144">
        <f t="shared" si="70"/>
        <v>0</v>
      </c>
      <c r="K2765" s="269" t="s">
        <v>8867</v>
      </c>
      <c r="L2765" s="274"/>
      <c r="M2765" s="17"/>
      <c r="N2765" s="68"/>
      <c r="O2765" s="68"/>
      <c r="P2765" s="68"/>
      <c r="Q2765" s="149"/>
      <c r="R2765" s="149"/>
      <c r="S2765" s="149"/>
      <c r="T2765" s="149"/>
      <c r="U2765" s="149"/>
      <c r="V2765" s="149"/>
      <c r="W2765" s="149"/>
      <c r="X2765" s="68"/>
      <c r="Y2765" s="68"/>
      <c r="Z2765" s="68"/>
    </row>
    <row r="2766" ht="15.0" customHeight="1">
      <c r="A2766" s="425"/>
      <c r="B2766" s="266" t="s">
        <v>9389</v>
      </c>
      <c r="C2766" s="269" t="s">
        <v>9390</v>
      </c>
      <c r="D2766" s="274" t="str">
        <f>IFERROR(VLOOKUP(C2766,Stock,3,FALSE),"")</f>
        <v>Hyundai Santa Fe 18-23 (thn 21-23) (2 Sensor / /\ O)</v>
      </c>
      <c r="E2766" s="269">
        <v>1.0</v>
      </c>
      <c r="F2766" s="270"/>
      <c r="G2766" s="270"/>
      <c r="H2766" s="271"/>
      <c r="I2766" s="272">
        <f t="shared" si="83"/>
        <v>0</v>
      </c>
      <c r="J2766" s="144">
        <f t="shared" si="70"/>
        <v>0</v>
      </c>
      <c r="K2766" s="269" t="s">
        <v>9391</v>
      </c>
      <c r="L2766" s="274"/>
      <c r="M2766" s="455"/>
      <c r="N2766" s="456"/>
      <c r="O2766" s="456"/>
      <c r="P2766" s="456"/>
      <c r="Q2766" s="459"/>
      <c r="R2766" s="459"/>
      <c r="S2766" s="459"/>
      <c r="T2766" s="149"/>
      <c r="U2766" s="149"/>
      <c r="V2766" s="149"/>
      <c r="W2766" s="149"/>
      <c r="X2766" s="68"/>
      <c r="Y2766" s="68"/>
      <c r="Z2766" s="68"/>
    </row>
    <row r="2767" ht="15.0" customHeight="1">
      <c r="A2767" s="425"/>
      <c r="B2767" s="266"/>
      <c r="C2767" s="269" t="s">
        <v>9392</v>
      </c>
      <c r="D2767" s="274" t="str">
        <f>IFERROR(VLOOKUP(C2767,Stock,3,FALSE),"")</f>
        <v>Mers-Benz C-Class 14 - W205 (3 Sensor/ Δ□Δ)</v>
      </c>
      <c r="E2767" s="269">
        <v>1.0</v>
      </c>
      <c r="F2767" s="270"/>
      <c r="G2767" s="270"/>
      <c r="H2767" s="271"/>
      <c r="I2767" s="272">
        <f t="shared" si="83"/>
        <v>0</v>
      </c>
      <c r="J2767" s="144">
        <f t="shared" si="70"/>
        <v>0</v>
      </c>
      <c r="K2767" s="269" t="s">
        <v>9391</v>
      </c>
      <c r="L2767" s="274"/>
      <c r="M2767" s="274"/>
      <c r="N2767" s="275"/>
      <c r="O2767" s="275"/>
      <c r="P2767" s="275"/>
      <c r="Q2767" s="277"/>
      <c r="R2767" s="277"/>
      <c r="S2767" s="277"/>
      <c r="T2767" s="149"/>
      <c r="U2767" s="149"/>
      <c r="V2767" s="149"/>
      <c r="W2767" s="149"/>
      <c r="X2767" s="68"/>
      <c r="Y2767" s="68"/>
      <c r="Z2767" s="68"/>
    </row>
    <row r="2768" ht="15.0" customHeight="1">
      <c r="A2768" s="425"/>
      <c r="B2768" s="266" t="s">
        <v>9393</v>
      </c>
      <c r="C2768" s="269" t="s">
        <v>2964</v>
      </c>
      <c r="D2768" s="274" t="str">
        <f>IFERROR(VLOOKUP(C2768,Stock,3,FALSE),"")</f>
        <v>Toyota Fortuner 15- 2nd Gen (Toyota)</v>
      </c>
      <c r="E2768" s="269">
        <v>1.0</v>
      </c>
      <c r="F2768" s="270"/>
      <c r="G2768" s="270"/>
      <c r="H2768" s="271"/>
      <c r="I2768" s="272">
        <f t="shared" si="83"/>
        <v>0</v>
      </c>
      <c r="J2768" s="144">
        <f t="shared" si="70"/>
        <v>0</v>
      </c>
      <c r="K2768" s="274"/>
      <c r="L2768" s="274"/>
      <c r="M2768" s="274"/>
      <c r="N2768" s="275"/>
      <c r="O2768" s="275"/>
      <c r="P2768" s="275"/>
      <c r="Q2768" s="277"/>
      <c r="R2768" s="277"/>
      <c r="S2768" s="277"/>
      <c r="T2768" s="149"/>
      <c r="U2768" s="149"/>
      <c r="V2768" s="149"/>
      <c r="W2768" s="149"/>
      <c r="X2768" s="68"/>
      <c r="Y2768" s="68"/>
      <c r="Z2768" s="68"/>
    </row>
    <row r="2769" ht="15.0" customHeight="1">
      <c r="A2769" s="206">
        <v>46122.0</v>
      </c>
      <c r="B2769" s="201" t="s">
        <v>9394</v>
      </c>
      <c r="C2769" s="45" t="s">
        <v>2003</v>
      </c>
      <c r="D2769" s="17" t="str">
        <f>IFERROR(VLOOKUP(C2769,Stock,3,FALSE),"")</f>
        <v>Toyota Agya/Ayla 13-22 1st Gen</v>
      </c>
      <c r="E2769" s="45">
        <v>1.0</v>
      </c>
      <c r="F2769" s="198">
        <v>950000.0</v>
      </c>
      <c r="G2769" s="142">
        <f t="shared" ref="G2769:G2824" si="84">E2769*F2769</f>
        <v>950000</v>
      </c>
      <c r="H2769" s="142"/>
      <c r="I2769" s="143">
        <f t="shared" si="83"/>
        <v>950000</v>
      </c>
      <c r="J2769" s="144">
        <f t="shared" si="70"/>
        <v>950000</v>
      </c>
      <c r="K2769" s="548" t="s">
        <v>9395</v>
      </c>
      <c r="L2769" s="567" t="s">
        <v>9396</v>
      </c>
      <c r="M2769" s="17"/>
      <c r="N2769" s="68"/>
      <c r="O2769" s="68"/>
      <c r="P2769" s="68"/>
      <c r="Q2769" s="141">
        <v>900000.0</v>
      </c>
      <c r="R2769" s="149"/>
      <c r="S2769" s="149"/>
      <c r="T2769" s="141">
        <v>400000.0</v>
      </c>
      <c r="U2769" s="149"/>
      <c r="V2769" s="149"/>
      <c r="W2769" s="149"/>
      <c r="X2769" s="64" t="s">
        <v>8388</v>
      </c>
      <c r="Y2769" s="68"/>
      <c r="Z2769" s="68"/>
    </row>
    <row r="2770" ht="15.0" customHeight="1">
      <c r="A2770" s="206">
        <v>46122.0</v>
      </c>
      <c r="B2770" s="201" t="s">
        <v>9394</v>
      </c>
      <c r="C2770" s="45" t="s">
        <v>5254</v>
      </c>
      <c r="D2770" s="17" t="str">
        <f>IFERROR(VLOOKUP(C2770,Stock,3,FALSE),"")</f>
        <v>Automotive Film Standard - Black 40%				</v>
      </c>
      <c r="E2770" s="45">
        <v>1.0</v>
      </c>
      <c r="F2770" s="198">
        <v>350000.0</v>
      </c>
      <c r="G2770" s="142">
        <f t="shared" si="84"/>
        <v>350000</v>
      </c>
      <c r="H2770" s="142"/>
      <c r="I2770" s="143">
        <f t="shared" si="83"/>
        <v>350000</v>
      </c>
      <c r="J2770" s="144">
        <f t="shared" si="70"/>
        <v>350000</v>
      </c>
      <c r="K2770" s="17"/>
      <c r="L2770" s="17"/>
      <c r="M2770" s="17"/>
      <c r="N2770" s="68"/>
      <c r="O2770" s="68"/>
      <c r="P2770" s="68"/>
      <c r="Q2770" s="149"/>
      <c r="R2770" s="149"/>
      <c r="S2770" s="149"/>
      <c r="T2770" s="149"/>
      <c r="U2770" s="149"/>
      <c r="V2770" s="149"/>
      <c r="W2770" s="149"/>
      <c r="X2770" s="64" t="s">
        <v>8388</v>
      </c>
      <c r="Y2770" s="68"/>
      <c r="Z2770" s="68"/>
    </row>
    <row r="2771" ht="15.0" customHeight="1">
      <c r="A2771" s="206">
        <v>46122.0</v>
      </c>
      <c r="B2771" s="201" t="s">
        <v>9397</v>
      </c>
      <c r="C2771" s="548" t="s">
        <v>7318</v>
      </c>
      <c r="D2771" s="17" t="str">
        <f>IFERROR(VLOOKUP(C2771,Stock,3,FALSE),"")</f>
        <v>Toyota Avanza / Xenia 15-21 3rd Gen</v>
      </c>
      <c r="E2771" s="45">
        <v>1.0</v>
      </c>
      <c r="F2771" s="198">
        <v>1000000.0</v>
      </c>
      <c r="G2771" s="142">
        <f t="shared" si="84"/>
        <v>1000000</v>
      </c>
      <c r="H2771" s="142"/>
      <c r="I2771" s="143">
        <f t="shared" si="83"/>
        <v>1000000</v>
      </c>
      <c r="J2771" s="144">
        <f t="shared" si="70"/>
        <v>1000000</v>
      </c>
      <c r="K2771" s="45" t="s">
        <v>9398</v>
      </c>
      <c r="L2771" s="45" t="s">
        <v>9399</v>
      </c>
      <c r="M2771" s="17"/>
      <c r="N2771" s="68"/>
      <c r="O2771" s="68"/>
      <c r="P2771" s="68"/>
      <c r="Q2771" s="141"/>
      <c r="R2771" s="149"/>
      <c r="S2771" s="149"/>
      <c r="T2771" s="141">
        <v>1625000.0</v>
      </c>
      <c r="U2771" s="149"/>
      <c r="V2771" s="149"/>
      <c r="W2771" s="149"/>
      <c r="X2771" s="64" t="s">
        <v>8388</v>
      </c>
      <c r="Y2771" s="68"/>
      <c r="Z2771" s="68"/>
    </row>
    <row r="2772" ht="15.0" customHeight="1">
      <c r="A2772" s="206">
        <v>46122.0</v>
      </c>
      <c r="B2772" s="201"/>
      <c r="C2772" s="45" t="s">
        <v>5254</v>
      </c>
      <c r="D2772" s="17" t="str">
        <f>IFERROR(VLOOKUP(C2772,Stock,3,FALSE),"")</f>
        <v>Automotive Film Standard - Black 40%				</v>
      </c>
      <c r="E2772" s="45">
        <v>1.0</v>
      </c>
      <c r="F2772" s="198">
        <v>350000.0</v>
      </c>
      <c r="G2772" s="142">
        <f t="shared" si="84"/>
        <v>350000</v>
      </c>
      <c r="H2772" s="142"/>
      <c r="I2772" s="143">
        <f t="shared" si="83"/>
        <v>350000</v>
      </c>
      <c r="J2772" s="144">
        <f t="shared" si="70"/>
        <v>350000</v>
      </c>
      <c r="K2772" s="17"/>
      <c r="L2772" s="17"/>
      <c r="M2772" s="17"/>
      <c r="N2772" s="68"/>
      <c r="O2772" s="68"/>
      <c r="P2772" s="68"/>
      <c r="Q2772" s="149"/>
      <c r="R2772" s="149"/>
      <c r="S2772" s="149"/>
      <c r="T2772" s="149"/>
      <c r="U2772" s="149"/>
      <c r="V2772" s="149"/>
      <c r="W2772" s="149"/>
      <c r="X2772" s="64" t="s">
        <v>8388</v>
      </c>
      <c r="Y2772" s="68"/>
      <c r="Z2772" s="68"/>
    </row>
    <row r="2773" ht="15.0" customHeight="1">
      <c r="A2773" s="206">
        <v>46122.0</v>
      </c>
      <c r="B2773" s="201"/>
      <c r="C2773" s="45" t="s">
        <v>3456</v>
      </c>
      <c r="D2773" s="17" t="str">
        <f>IFERROR(VLOOKUP(C2773,Stock,3,FALSE),"")</f>
        <v>List Kaca Depan Code 11</v>
      </c>
      <c r="E2773" s="45">
        <v>1.0</v>
      </c>
      <c r="F2773" s="198">
        <v>275000.0</v>
      </c>
      <c r="G2773" s="142">
        <f t="shared" si="84"/>
        <v>275000</v>
      </c>
      <c r="H2773" s="142"/>
      <c r="I2773" s="143">
        <f t="shared" si="83"/>
        <v>275000</v>
      </c>
      <c r="J2773" s="144">
        <f t="shared" si="70"/>
        <v>275000</v>
      </c>
      <c r="K2773" s="17"/>
      <c r="L2773" s="17"/>
      <c r="M2773" s="17"/>
      <c r="N2773" s="68"/>
      <c r="O2773" s="68"/>
      <c r="P2773" s="68"/>
      <c r="Q2773" s="149"/>
      <c r="R2773" s="149"/>
      <c r="S2773" s="149"/>
      <c r="T2773" s="149"/>
      <c r="U2773" s="149"/>
      <c r="V2773" s="149"/>
      <c r="W2773" s="149"/>
      <c r="X2773" s="68"/>
      <c r="Y2773" s="68"/>
      <c r="Z2773" s="68"/>
    </row>
    <row r="2774" ht="15.0" customHeight="1">
      <c r="A2774" s="206">
        <v>46122.0</v>
      </c>
      <c r="B2774" s="201" t="s">
        <v>9400</v>
      </c>
      <c r="C2774" s="45" t="s">
        <v>3302</v>
      </c>
      <c r="D2774" s="17" t="str">
        <f>IFERROR(VLOOKUP(C2774,Stock,3,FALSE),"")</f>
        <v>Nissan Livina 07-18 L10/L11</v>
      </c>
      <c r="E2774" s="45">
        <v>1.0</v>
      </c>
      <c r="F2774" s="198">
        <v>1342000.0</v>
      </c>
      <c r="G2774" s="142">
        <f t="shared" si="84"/>
        <v>1342000</v>
      </c>
      <c r="H2774" s="143">
        <v>42000.0</v>
      </c>
      <c r="I2774" s="143">
        <f t="shared" si="83"/>
        <v>1300000</v>
      </c>
      <c r="J2774" s="144">
        <f t="shared" si="70"/>
        <v>1300000</v>
      </c>
      <c r="K2774" s="45" t="s">
        <v>9401</v>
      </c>
      <c r="L2774" s="199" t="s">
        <v>9402</v>
      </c>
      <c r="M2774" s="17"/>
      <c r="N2774" s="64" t="s">
        <v>9403</v>
      </c>
      <c r="O2774" s="68"/>
      <c r="P2774" s="68"/>
      <c r="Q2774" s="149"/>
      <c r="R2774" s="149"/>
      <c r="S2774" s="149"/>
      <c r="T2774" s="141">
        <v>1650000.0</v>
      </c>
      <c r="U2774" s="149"/>
      <c r="V2774" s="149"/>
      <c r="W2774" s="149"/>
      <c r="X2774" s="68"/>
      <c r="Y2774" s="68"/>
      <c r="Z2774" s="68"/>
    </row>
    <row r="2775" ht="15.0" customHeight="1">
      <c r="A2775" s="206">
        <v>46122.0</v>
      </c>
      <c r="B2775" s="201"/>
      <c r="C2775" s="45" t="s">
        <v>7011</v>
      </c>
      <c r="D2775" s="17" t="str">
        <f>IFERROR(VLOOKUP(C2775,Stock,3,FALSE),"")</f>
        <v>Automotive Film Standard - Black 40%				</v>
      </c>
      <c r="E2775" s="45">
        <v>1.0</v>
      </c>
      <c r="F2775" s="198">
        <v>350000.0</v>
      </c>
      <c r="G2775" s="142">
        <f t="shared" si="84"/>
        <v>350000</v>
      </c>
      <c r="H2775" s="142"/>
      <c r="I2775" s="143">
        <f t="shared" si="83"/>
        <v>350000</v>
      </c>
      <c r="J2775" s="144">
        <f t="shared" si="70"/>
        <v>350000</v>
      </c>
      <c r="K2775" s="45" t="s">
        <v>9401</v>
      </c>
      <c r="L2775" s="199" t="s">
        <v>9402</v>
      </c>
      <c r="M2775" s="17"/>
      <c r="N2775" s="548" t="s">
        <v>9404</v>
      </c>
      <c r="O2775" s="68"/>
      <c r="P2775" s="68"/>
      <c r="Q2775" s="149"/>
      <c r="R2775" s="149"/>
      <c r="S2775" s="149"/>
      <c r="T2775" s="149"/>
      <c r="U2775" s="149"/>
      <c r="V2775" s="149"/>
      <c r="W2775" s="149"/>
      <c r="X2775" s="68"/>
      <c r="Y2775" s="68"/>
      <c r="Z2775" s="68"/>
    </row>
    <row r="2776" ht="15.0" customHeight="1">
      <c r="A2776" s="206">
        <v>46122.0</v>
      </c>
      <c r="B2776" s="266" t="s">
        <v>9388</v>
      </c>
      <c r="C2776" s="269" t="s">
        <v>2964</v>
      </c>
      <c r="D2776" s="274" t="str">
        <f>IFERROR(VLOOKUP(C2776,Stock,3,FALSE),"")</f>
        <v>Toyota Fortuner 15- 2nd Gen (Toyota)</v>
      </c>
      <c r="E2776" s="269">
        <v>1.0</v>
      </c>
      <c r="F2776" s="270"/>
      <c r="G2776" s="271">
        <f t="shared" si="84"/>
        <v>0</v>
      </c>
      <c r="H2776" s="271"/>
      <c r="I2776" s="272">
        <f t="shared" si="83"/>
        <v>0</v>
      </c>
      <c r="J2776" s="144">
        <f t="shared" si="70"/>
        <v>0</v>
      </c>
      <c r="K2776" s="269" t="s">
        <v>8867</v>
      </c>
      <c r="L2776" s="274"/>
      <c r="M2776" s="17"/>
      <c r="N2776" s="68"/>
      <c r="O2776" s="68"/>
      <c r="P2776" s="68"/>
      <c r="Q2776" s="149"/>
      <c r="R2776" s="149"/>
      <c r="S2776" s="149"/>
      <c r="T2776" s="149"/>
      <c r="U2776" s="149"/>
      <c r="V2776" s="149"/>
      <c r="W2776" s="149"/>
      <c r="X2776" s="68"/>
      <c r="Y2776" s="68"/>
      <c r="Z2776" s="68"/>
    </row>
    <row r="2777" ht="15.0" customHeight="1">
      <c r="A2777" s="206">
        <v>46122.0</v>
      </c>
      <c r="B2777" s="266"/>
      <c r="C2777" s="269" t="s">
        <v>5062</v>
      </c>
      <c r="D2777" s="274" t="str">
        <f>IFERROR(VLOOKUP(C2777,Stock,3,FALSE),"")</f>
        <v>Honda CR-V 17-23 5th Gen (Honda)</v>
      </c>
      <c r="E2777" s="269">
        <v>1.0</v>
      </c>
      <c r="F2777" s="270"/>
      <c r="G2777" s="271">
        <f t="shared" si="84"/>
        <v>0</v>
      </c>
      <c r="H2777" s="271"/>
      <c r="I2777" s="272">
        <f t="shared" si="83"/>
        <v>0</v>
      </c>
      <c r="J2777" s="144">
        <f t="shared" si="70"/>
        <v>0</v>
      </c>
      <c r="K2777" s="269" t="s">
        <v>8867</v>
      </c>
      <c r="L2777" s="274"/>
      <c r="M2777" s="17"/>
      <c r="N2777" s="68"/>
      <c r="O2777" s="68"/>
      <c r="P2777" s="68"/>
      <c r="Q2777" s="149"/>
      <c r="R2777" s="149"/>
      <c r="S2777" s="149"/>
      <c r="T2777" s="149"/>
      <c r="U2777" s="149"/>
      <c r="V2777" s="149"/>
      <c r="W2777" s="149"/>
      <c r="X2777" s="68"/>
      <c r="Y2777" s="68"/>
      <c r="Z2777" s="68"/>
    </row>
    <row r="2778" ht="15.0" customHeight="1">
      <c r="A2778" s="206">
        <v>46122.0</v>
      </c>
      <c r="B2778" s="201" t="s">
        <v>9405</v>
      </c>
      <c r="C2778" s="45" t="s">
        <v>9406</v>
      </c>
      <c r="D2778" s="17" t="str">
        <f>IFERROR(VLOOKUP(C2778,Stock,3,FALSE),"")</f>
        <v>Toyota Sienta 15-</v>
      </c>
      <c r="E2778" s="45">
        <v>1.0</v>
      </c>
      <c r="F2778" s="198">
        <v>1438000.0</v>
      </c>
      <c r="G2778" s="142">
        <f t="shared" si="84"/>
        <v>1438000</v>
      </c>
      <c r="H2778" s="142"/>
      <c r="I2778" s="143">
        <f t="shared" si="83"/>
        <v>1438000</v>
      </c>
      <c r="J2778" s="144">
        <f t="shared" si="70"/>
        <v>1438000</v>
      </c>
      <c r="K2778" s="45" t="s">
        <v>9407</v>
      </c>
      <c r="L2778" s="199" t="s">
        <v>9408</v>
      </c>
      <c r="M2778" s="17"/>
      <c r="N2778" s="64" t="s">
        <v>9409</v>
      </c>
      <c r="O2778" s="68"/>
      <c r="P2778" s="68"/>
      <c r="Q2778" s="149"/>
      <c r="R2778" s="149"/>
      <c r="S2778" s="141">
        <v>100000.0</v>
      </c>
      <c r="T2778" s="141">
        <v>1538000.0</v>
      </c>
      <c r="U2778" s="149"/>
      <c r="V2778" s="149"/>
      <c r="W2778" s="149"/>
      <c r="X2778" s="68"/>
      <c r="Y2778" s="68"/>
      <c r="Z2778" s="68"/>
    </row>
    <row r="2779" ht="15.0" customHeight="1">
      <c r="A2779" s="206">
        <v>46123.0</v>
      </c>
      <c r="B2779" s="201" t="s">
        <v>9410</v>
      </c>
      <c r="C2779" s="45" t="s">
        <v>3246</v>
      </c>
      <c r="D2779" s="17" t="str">
        <f>IFERROR(VLOOKUP(C2779,Stock,3,FALSE),"")</f>
        <v>Toyota Calya / Sigra 16-</v>
      </c>
      <c r="E2779" s="45">
        <v>1.0</v>
      </c>
      <c r="F2779" s="198">
        <v>1150000.0</v>
      </c>
      <c r="G2779" s="142">
        <f t="shared" si="84"/>
        <v>1150000</v>
      </c>
      <c r="H2779" s="142"/>
      <c r="I2779" s="143">
        <f t="shared" si="83"/>
        <v>1150000</v>
      </c>
      <c r="J2779" s="144">
        <f t="shared" si="70"/>
        <v>1150000</v>
      </c>
      <c r="K2779" s="45" t="s">
        <v>8828</v>
      </c>
      <c r="L2779" s="199" t="s">
        <v>9411</v>
      </c>
      <c r="M2779" s="17"/>
      <c r="N2779" s="64" t="s">
        <v>9412</v>
      </c>
      <c r="O2779" s="68"/>
      <c r="P2779" s="68"/>
      <c r="Q2779" s="149"/>
      <c r="R2779" s="149"/>
      <c r="S2779" s="149"/>
      <c r="T2779" s="141">
        <v>1150000.0</v>
      </c>
      <c r="U2779" s="149"/>
      <c r="V2779" s="149"/>
      <c r="W2779" s="149"/>
      <c r="X2779" s="64" t="s">
        <v>9368</v>
      </c>
      <c r="Y2779" s="68"/>
      <c r="Z2779" s="68"/>
    </row>
    <row r="2780" ht="15.0" customHeight="1">
      <c r="A2780" s="206">
        <v>46123.0</v>
      </c>
      <c r="B2780" s="266" t="s">
        <v>9388</v>
      </c>
      <c r="C2780" s="269" t="s">
        <v>9413</v>
      </c>
      <c r="D2780" s="274" t="str">
        <f>IFERROR(VLOOKUP(C2780,Stock,3,FALSE),"")</f>
        <v>Toyota Vios 23- 4th Gen</v>
      </c>
      <c r="E2780" s="269">
        <v>1.0</v>
      </c>
      <c r="F2780" s="270"/>
      <c r="G2780" s="271">
        <f t="shared" si="84"/>
        <v>0</v>
      </c>
      <c r="H2780" s="271"/>
      <c r="I2780" s="272">
        <f t="shared" si="83"/>
        <v>0</v>
      </c>
      <c r="J2780" s="144">
        <f t="shared" si="70"/>
        <v>0</v>
      </c>
      <c r="K2780" s="269" t="s">
        <v>8867</v>
      </c>
      <c r="L2780" s="274"/>
      <c r="M2780" s="17"/>
      <c r="N2780" s="68"/>
      <c r="O2780" s="68"/>
      <c r="P2780" s="68"/>
      <c r="Q2780" s="149"/>
      <c r="R2780" s="149"/>
      <c r="S2780" s="149"/>
      <c r="T2780" s="149"/>
      <c r="U2780" s="149"/>
      <c r="V2780" s="149"/>
      <c r="W2780" s="149"/>
      <c r="X2780" s="68"/>
      <c r="Y2780" s="68"/>
      <c r="Z2780" s="68"/>
    </row>
    <row r="2781" ht="15.0" customHeight="1">
      <c r="A2781" s="206">
        <v>46123.0</v>
      </c>
      <c r="B2781" s="201" t="s">
        <v>9405</v>
      </c>
      <c r="C2781" s="64" t="s">
        <v>2770</v>
      </c>
      <c r="D2781" s="17" t="str">
        <f>IFERROR(VLOOKUP(C2781,Stock,3,FALSE),"")</f>
        <v>Transport</v>
      </c>
      <c r="E2781" s="45">
        <v>1.0</v>
      </c>
      <c r="F2781" s="198">
        <v>200000.0</v>
      </c>
      <c r="G2781" s="142">
        <f t="shared" si="84"/>
        <v>200000</v>
      </c>
      <c r="H2781" s="142"/>
      <c r="I2781" s="143">
        <f t="shared" si="83"/>
        <v>200000</v>
      </c>
      <c r="J2781" s="144">
        <f t="shared" si="70"/>
        <v>200000</v>
      </c>
      <c r="K2781" s="45" t="s">
        <v>9407</v>
      </c>
      <c r="L2781" s="199" t="s">
        <v>9408</v>
      </c>
      <c r="M2781" s="17"/>
      <c r="N2781" s="64" t="s">
        <v>9409</v>
      </c>
      <c r="O2781" s="68"/>
      <c r="P2781" s="68"/>
      <c r="Q2781" s="149"/>
      <c r="R2781" s="149"/>
      <c r="S2781" s="149"/>
      <c r="T2781" s="149"/>
      <c r="U2781" s="149"/>
      <c r="V2781" s="149"/>
      <c r="W2781" s="149"/>
      <c r="X2781" s="68"/>
      <c r="Y2781" s="68"/>
      <c r="Z2781" s="68"/>
    </row>
    <row r="2782" ht="15.0" customHeight="1">
      <c r="A2782" s="206">
        <v>46123.0</v>
      </c>
      <c r="B2782" s="201" t="s">
        <v>9414</v>
      </c>
      <c r="C2782" s="45" t="s">
        <v>7162</v>
      </c>
      <c r="D2782" s="17" t="str">
        <f>IFERROR(VLOOKUP(C2782,Stock,3,FALSE),"")</f>
        <v>Toyota Innova 04-15 1st Gen</v>
      </c>
      <c r="E2782" s="45">
        <v>1.0</v>
      </c>
      <c r="F2782" s="198">
        <v>1300000.0</v>
      </c>
      <c r="G2782" s="142">
        <f t="shared" si="84"/>
        <v>1300000</v>
      </c>
      <c r="H2782" s="143">
        <v>50000.0</v>
      </c>
      <c r="I2782" s="143">
        <f t="shared" si="83"/>
        <v>1250000</v>
      </c>
      <c r="J2782" s="144">
        <f t="shared" si="70"/>
        <v>1250000</v>
      </c>
      <c r="K2782" s="45" t="s">
        <v>9415</v>
      </c>
      <c r="L2782" s="199" t="s">
        <v>9416</v>
      </c>
      <c r="M2782" s="17"/>
      <c r="N2782" s="64" t="s">
        <v>9417</v>
      </c>
      <c r="O2782" s="68"/>
      <c r="P2782" s="68"/>
      <c r="Q2782" s="149"/>
      <c r="R2782" s="149"/>
      <c r="S2782" s="149"/>
      <c r="T2782" s="149"/>
      <c r="U2782" s="149"/>
      <c r="V2782" s="149"/>
      <c r="W2782" s="149"/>
      <c r="X2782" s="68"/>
      <c r="Y2782" s="68"/>
      <c r="Z2782" s="68"/>
    </row>
    <row r="2783" ht="15.0" customHeight="1">
      <c r="A2783" s="206">
        <v>46123.0</v>
      </c>
      <c r="B2783" s="201" t="s">
        <v>9418</v>
      </c>
      <c r="C2783" s="45" t="s">
        <v>4379</v>
      </c>
      <c r="D2783" s="17" t="str">
        <f>IFERROR(VLOOKUP(C2783,Stock,3,FALSE),"")</f>
        <v>Toyota Yaris 13- 2nd Gen / Vios 14- 3rd Gen</v>
      </c>
      <c r="E2783" s="45">
        <v>1.0</v>
      </c>
      <c r="F2783" s="198">
        <v>1519000.0</v>
      </c>
      <c r="G2783" s="142">
        <f t="shared" si="84"/>
        <v>1519000</v>
      </c>
      <c r="H2783" s="142"/>
      <c r="I2783" s="143">
        <f t="shared" si="83"/>
        <v>1519000</v>
      </c>
      <c r="J2783" s="144">
        <f t="shared" si="70"/>
        <v>1519000</v>
      </c>
      <c r="K2783" s="45" t="s">
        <v>9419</v>
      </c>
      <c r="L2783" s="199" t="s">
        <v>9420</v>
      </c>
      <c r="M2783" s="17"/>
      <c r="N2783" s="64" t="s">
        <v>9421</v>
      </c>
      <c r="O2783" s="68"/>
      <c r="P2783" s="68"/>
      <c r="Q2783" s="149"/>
      <c r="R2783" s="149"/>
      <c r="S2783" s="149"/>
      <c r="T2783" s="149"/>
      <c r="U2783" s="149"/>
      <c r="V2783" s="149"/>
      <c r="W2783" s="149"/>
      <c r="X2783" s="68"/>
      <c r="Y2783" s="68"/>
      <c r="Z2783" s="68"/>
    </row>
    <row r="2784" ht="15.0" customHeight="1">
      <c r="A2784" s="206">
        <v>46123.0</v>
      </c>
      <c r="B2784" s="201" t="s">
        <v>9422</v>
      </c>
      <c r="C2784" s="479" t="s">
        <v>2778</v>
      </c>
      <c r="D2784" s="525" t="str">
        <f>IFERROR(VLOOKUP(C2784,Stock,3,FALSE),"")</f>
        <v>Bongkar Pasang Kaca Mobil Depan</v>
      </c>
      <c r="E2784" s="45">
        <v>1.0</v>
      </c>
      <c r="F2784" s="198">
        <v>650000.0</v>
      </c>
      <c r="G2784" s="142">
        <f t="shared" si="84"/>
        <v>650000</v>
      </c>
      <c r="H2784" s="142"/>
      <c r="I2784" s="143">
        <f t="shared" si="83"/>
        <v>650000</v>
      </c>
      <c r="J2784" s="144">
        <f t="shared" si="70"/>
        <v>650000</v>
      </c>
      <c r="K2784" s="17"/>
      <c r="L2784" s="199" t="s">
        <v>9423</v>
      </c>
      <c r="M2784" s="17"/>
      <c r="N2784" s="68"/>
      <c r="O2784" s="68"/>
      <c r="P2784" s="68"/>
      <c r="Q2784" s="149"/>
      <c r="R2784" s="149"/>
      <c r="S2784" s="149"/>
      <c r="T2784" s="149"/>
      <c r="U2784" s="149"/>
      <c r="V2784" s="149"/>
      <c r="W2784" s="149"/>
      <c r="X2784" s="68"/>
      <c r="Y2784" s="68"/>
      <c r="Z2784" s="68"/>
    </row>
    <row r="2785" ht="15.0" customHeight="1">
      <c r="A2785" s="206">
        <v>46123.0</v>
      </c>
      <c r="B2785" s="201" t="s">
        <v>9424</v>
      </c>
      <c r="C2785" s="548" t="s">
        <v>2968</v>
      </c>
      <c r="D2785" s="17" t="str">
        <f>IFERROR(VLOOKUP(C2785,Stock,3,FALSE),"")</f>
        <v>Toyota Rush / Terios 18-</v>
      </c>
      <c r="E2785" s="45">
        <v>1.0</v>
      </c>
      <c r="F2785" s="198">
        <v>1052000.0</v>
      </c>
      <c r="G2785" s="142">
        <f t="shared" si="84"/>
        <v>1052000</v>
      </c>
      <c r="H2785" s="143">
        <v>52000.0</v>
      </c>
      <c r="I2785" s="143">
        <f t="shared" si="83"/>
        <v>1000000</v>
      </c>
      <c r="J2785" s="144">
        <f t="shared" si="70"/>
        <v>1000000</v>
      </c>
      <c r="K2785" s="45" t="s">
        <v>9425</v>
      </c>
      <c r="L2785" s="17"/>
      <c r="M2785" s="17"/>
      <c r="N2785" s="68"/>
      <c r="O2785" s="68"/>
      <c r="P2785" s="68"/>
      <c r="Q2785" s="149"/>
      <c r="R2785" s="149"/>
      <c r="S2785" s="149"/>
      <c r="T2785" s="149"/>
      <c r="U2785" s="149"/>
      <c r="V2785" s="149"/>
      <c r="W2785" s="149"/>
      <c r="X2785" s="68"/>
      <c r="Y2785" s="68"/>
      <c r="Z2785" s="68"/>
    </row>
    <row r="2786" ht="15.0" customHeight="1">
      <c r="A2786" s="206">
        <v>46123.0</v>
      </c>
      <c r="B2786" s="201" t="s">
        <v>9426</v>
      </c>
      <c r="C2786" s="45" t="s">
        <v>3354</v>
      </c>
      <c r="D2786" s="17" t="str">
        <f>IFERROR(VLOOKUP(C2786,Stock,3,FALSE),"")</f>
        <v>Honda Brio 10- / Mobilio 11- (Honda)</v>
      </c>
      <c r="E2786" s="45">
        <v>1.0</v>
      </c>
      <c r="F2786" s="198">
        <v>1772000.0</v>
      </c>
      <c r="G2786" s="142">
        <f t="shared" si="84"/>
        <v>1772000</v>
      </c>
      <c r="H2786" s="142"/>
      <c r="I2786" s="143">
        <f t="shared" si="83"/>
        <v>1772000</v>
      </c>
      <c r="J2786" s="144">
        <f t="shared" si="70"/>
        <v>1772000</v>
      </c>
      <c r="K2786" s="45" t="s">
        <v>9427</v>
      </c>
      <c r="L2786" s="199" t="s">
        <v>9428</v>
      </c>
      <c r="M2786" s="17"/>
      <c r="N2786" s="64" t="s">
        <v>9429</v>
      </c>
      <c r="O2786" s="68"/>
      <c r="P2786" s="68"/>
      <c r="Q2786" s="149"/>
      <c r="R2786" s="149"/>
      <c r="S2786" s="149"/>
      <c r="T2786" s="149"/>
      <c r="U2786" s="149"/>
      <c r="V2786" s="149"/>
      <c r="W2786" s="149"/>
      <c r="X2786" s="68"/>
      <c r="Y2786" s="68"/>
      <c r="Z2786" s="68"/>
    </row>
    <row r="2787" ht="15.0" customHeight="1">
      <c r="A2787" s="206">
        <v>46123.0</v>
      </c>
      <c r="B2787" s="201" t="s">
        <v>9430</v>
      </c>
      <c r="C2787" s="45" t="s">
        <v>4226</v>
      </c>
      <c r="D2787" s="17" t="str">
        <f>IFERROR(VLOOKUP(C2787,Stock,3,FALSE),"")</f>
        <v>Honda HR-V 14-21 5D SUV (Honda)</v>
      </c>
      <c r="E2787" s="45">
        <v>1.0</v>
      </c>
      <c r="F2787" s="198">
        <v>3150000.0</v>
      </c>
      <c r="G2787" s="142">
        <f t="shared" si="84"/>
        <v>3150000</v>
      </c>
      <c r="H2787" s="143">
        <v>100000.0</v>
      </c>
      <c r="I2787" s="143">
        <f t="shared" si="83"/>
        <v>3050000</v>
      </c>
      <c r="J2787" s="144">
        <f t="shared" si="70"/>
        <v>3050000</v>
      </c>
      <c r="K2787" s="45" t="s">
        <v>9431</v>
      </c>
      <c r="L2787" s="199" t="s">
        <v>9432</v>
      </c>
      <c r="M2787" s="17"/>
      <c r="N2787" s="64" t="s">
        <v>9433</v>
      </c>
      <c r="O2787" s="68"/>
      <c r="P2787" s="68"/>
      <c r="Q2787" s="149"/>
      <c r="R2787" s="149"/>
      <c r="S2787" s="141">
        <v>305000.0</v>
      </c>
      <c r="T2787" s="141">
        <v>2745000.0</v>
      </c>
      <c r="U2787" s="149"/>
      <c r="V2787" s="149"/>
      <c r="W2787" s="149"/>
      <c r="X2787" s="68"/>
      <c r="Y2787" s="68"/>
      <c r="Z2787" s="68"/>
    </row>
    <row r="2788" ht="15.0" customHeight="1">
      <c r="A2788" s="206">
        <v>46123.0</v>
      </c>
      <c r="B2788" s="201" t="s">
        <v>9434</v>
      </c>
      <c r="C2788" s="45" t="s">
        <v>2869</v>
      </c>
      <c r="D2788" s="17" t="str">
        <f>IFERROR(VLOOKUP(C2788,Stock,3,FALSE),"")</f>
        <v>Daihatsu Gran Max / Luxio 07-</v>
      </c>
      <c r="E2788" s="45">
        <v>1.0</v>
      </c>
      <c r="F2788" s="198">
        <v>1000000.0</v>
      </c>
      <c r="G2788" s="142">
        <f t="shared" si="84"/>
        <v>1000000</v>
      </c>
      <c r="H2788" s="142"/>
      <c r="I2788" s="143">
        <f t="shared" si="83"/>
        <v>1000000</v>
      </c>
      <c r="J2788" s="144">
        <f t="shared" si="70"/>
        <v>1000000</v>
      </c>
      <c r="K2788" s="45" t="s">
        <v>9435</v>
      </c>
      <c r="L2788" s="45" t="s">
        <v>9436</v>
      </c>
      <c r="M2788" s="17"/>
      <c r="N2788" s="68"/>
      <c r="O2788" s="68"/>
      <c r="P2788" s="68"/>
      <c r="Q2788" s="141">
        <v>1000000.0</v>
      </c>
      <c r="R2788" s="149"/>
      <c r="S2788" s="141">
        <v>100000.0</v>
      </c>
      <c r="T2788" s="149"/>
      <c r="U2788" s="149"/>
      <c r="V2788" s="149"/>
      <c r="W2788" s="149"/>
      <c r="X2788" s="64" t="s">
        <v>8388</v>
      </c>
      <c r="Y2788" s="68"/>
      <c r="Z2788" s="68"/>
    </row>
    <row r="2789" ht="15.0" customHeight="1">
      <c r="A2789" s="206">
        <v>46123.0</v>
      </c>
      <c r="B2789" s="201" t="s">
        <v>9434</v>
      </c>
      <c r="C2789" s="64" t="s">
        <v>2770</v>
      </c>
      <c r="D2789" s="17" t="str">
        <f>IFERROR(VLOOKUP(C2789,Stock,3,FALSE),"")</f>
        <v>Transport</v>
      </c>
      <c r="E2789" s="45">
        <v>1.0</v>
      </c>
      <c r="F2789" s="198">
        <v>100000.0</v>
      </c>
      <c r="G2789" s="142">
        <f t="shared" si="84"/>
        <v>100000</v>
      </c>
      <c r="H2789" s="142"/>
      <c r="I2789" s="143">
        <f t="shared" si="83"/>
        <v>100000</v>
      </c>
      <c r="J2789" s="144">
        <f t="shared" si="70"/>
        <v>100000</v>
      </c>
      <c r="K2789" s="17"/>
      <c r="L2789" s="17"/>
      <c r="M2789" s="17"/>
      <c r="N2789" s="68"/>
      <c r="O2789" s="68"/>
      <c r="P2789" s="68"/>
      <c r="Q2789" s="149"/>
      <c r="R2789" s="149"/>
      <c r="S2789" s="149"/>
      <c r="T2789" s="149"/>
      <c r="U2789" s="149"/>
      <c r="V2789" s="149"/>
      <c r="W2789" s="149"/>
      <c r="X2789" s="68"/>
      <c r="Y2789" s="68"/>
      <c r="Z2789" s="68"/>
    </row>
    <row r="2790" ht="15.0" customHeight="1">
      <c r="A2790" s="206">
        <v>46123.0</v>
      </c>
      <c r="B2790" s="201" t="s">
        <v>9437</v>
      </c>
      <c r="C2790" s="45" t="s">
        <v>3475</v>
      </c>
      <c r="D2790" s="17" t="str">
        <f>IFERROR(VLOOKUP(C2790,Stock,3,FALSE),"")</f>
        <v>Toyota Avanza / Xenia 03-11 1st Gen</v>
      </c>
      <c r="E2790" s="45">
        <v>1.0</v>
      </c>
      <c r="F2790" s="198">
        <v>1000000.0</v>
      </c>
      <c r="G2790" s="142">
        <f t="shared" si="84"/>
        <v>1000000</v>
      </c>
      <c r="H2790" s="142"/>
      <c r="I2790" s="143">
        <f t="shared" si="83"/>
        <v>1000000</v>
      </c>
      <c r="J2790" s="144">
        <f t="shared" si="70"/>
        <v>1000000</v>
      </c>
      <c r="K2790" s="45" t="s">
        <v>9438</v>
      </c>
      <c r="L2790" s="199" t="s">
        <v>9439</v>
      </c>
      <c r="M2790" s="17"/>
      <c r="N2790" s="68"/>
      <c r="O2790" s="68"/>
      <c r="P2790" s="68"/>
      <c r="Q2790" s="149"/>
      <c r="R2790" s="149"/>
      <c r="S2790" s="141">
        <v>300000.0</v>
      </c>
      <c r="T2790" s="141">
        <v>970000.0</v>
      </c>
      <c r="U2790" s="149"/>
      <c r="V2790" s="149"/>
      <c r="W2790" s="149"/>
      <c r="X2790" s="64" t="s">
        <v>8232</v>
      </c>
      <c r="Y2790" s="68"/>
      <c r="Z2790" s="68"/>
    </row>
    <row r="2791" ht="15.0" customHeight="1">
      <c r="A2791" s="206">
        <v>46123.0</v>
      </c>
      <c r="B2791" s="201"/>
      <c r="C2791" s="45" t="s">
        <v>2770</v>
      </c>
      <c r="D2791" s="17" t="str">
        <f>IFERROR(VLOOKUP(C2791,Stock,3,FALSE),"")</f>
        <v>Transport</v>
      </c>
      <c r="E2791" s="45">
        <v>1.0</v>
      </c>
      <c r="F2791" s="198">
        <v>120000.0</v>
      </c>
      <c r="G2791" s="142">
        <f t="shared" si="84"/>
        <v>120000</v>
      </c>
      <c r="H2791" s="142"/>
      <c r="I2791" s="143">
        <f t="shared" si="83"/>
        <v>120000</v>
      </c>
      <c r="J2791" s="144">
        <f t="shared" si="70"/>
        <v>120000</v>
      </c>
      <c r="K2791" s="17"/>
      <c r="L2791" s="17"/>
      <c r="M2791" s="17"/>
      <c r="N2791" s="68"/>
      <c r="O2791" s="68"/>
      <c r="P2791" s="68"/>
      <c r="Q2791" s="149"/>
      <c r="R2791" s="149"/>
      <c r="S2791" s="149"/>
      <c r="T2791" s="149"/>
      <c r="U2791" s="149"/>
      <c r="V2791" s="149"/>
      <c r="W2791" s="149"/>
      <c r="X2791" s="68"/>
      <c r="Y2791" s="68"/>
      <c r="Z2791" s="68"/>
    </row>
    <row r="2792" ht="15.0" customHeight="1">
      <c r="A2792" s="206">
        <v>46123.0</v>
      </c>
      <c r="B2792" s="201"/>
      <c r="C2792" s="45" t="s">
        <v>2962</v>
      </c>
      <c r="D2792" s="17" t="str">
        <f>IFERROR(VLOOKUP(C2792,Stock,3,FALSE),"")</f>
        <v>Lembur</v>
      </c>
      <c r="E2792" s="45">
        <v>1.0</v>
      </c>
      <c r="F2792" s="198">
        <v>150000.0</v>
      </c>
      <c r="G2792" s="142">
        <f t="shared" si="84"/>
        <v>150000</v>
      </c>
      <c r="H2792" s="142"/>
      <c r="I2792" s="143">
        <f t="shared" si="83"/>
        <v>150000</v>
      </c>
      <c r="J2792" s="144">
        <f t="shared" si="70"/>
        <v>150000</v>
      </c>
      <c r="K2792" s="17"/>
      <c r="L2792" s="17"/>
      <c r="M2792" s="17"/>
      <c r="N2792" s="68"/>
      <c r="O2792" s="68"/>
      <c r="P2792" s="68"/>
      <c r="Q2792" s="149"/>
      <c r="R2792" s="149"/>
      <c r="S2792" s="149"/>
      <c r="T2792" s="149"/>
      <c r="U2792" s="149"/>
      <c r="V2792" s="149"/>
      <c r="W2792" s="149"/>
      <c r="X2792" s="68"/>
      <c r="Y2792" s="68"/>
      <c r="Z2792" s="68"/>
    </row>
    <row r="2793" ht="15.0" customHeight="1">
      <c r="A2793" s="206">
        <v>46123.0</v>
      </c>
      <c r="B2793" s="201" t="s">
        <v>9440</v>
      </c>
      <c r="C2793" s="45" t="s">
        <v>4504</v>
      </c>
      <c r="D2793" s="17" t="str">
        <f>IFERROR(VLOOKUP(C2793,Stock,3,FALSE),"")</f>
        <v>Mitsubishi Xpander 17-21 / Livina 19- 2nd Gen (Mitsubishi)</v>
      </c>
      <c r="E2793" s="45">
        <v>1.0</v>
      </c>
      <c r="F2793" s="198">
        <v>1322000.0</v>
      </c>
      <c r="G2793" s="142">
        <f t="shared" si="84"/>
        <v>1322000</v>
      </c>
      <c r="H2793" s="142"/>
      <c r="I2793" s="143">
        <f t="shared" si="83"/>
        <v>1322000</v>
      </c>
      <c r="J2793" s="144">
        <f t="shared" si="70"/>
        <v>1322000</v>
      </c>
      <c r="K2793" s="45" t="s">
        <v>7354</v>
      </c>
      <c r="L2793" s="199" t="s">
        <v>9441</v>
      </c>
      <c r="M2793" s="17"/>
      <c r="N2793" s="64" t="s">
        <v>9442</v>
      </c>
      <c r="O2793" s="68"/>
      <c r="P2793" s="68"/>
      <c r="Q2793" s="149"/>
      <c r="R2793" s="149"/>
      <c r="S2793" s="149"/>
      <c r="T2793" s="149"/>
      <c r="U2793" s="149"/>
      <c r="V2793" s="149"/>
      <c r="W2793" s="149"/>
      <c r="X2793" s="64" t="s">
        <v>8388</v>
      </c>
      <c r="Y2793" s="68"/>
      <c r="Z2793" s="68"/>
    </row>
    <row r="2794" ht="15.0" customHeight="1">
      <c r="A2794" s="206">
        <v>46123.0</v>
      </c>
      <c r="B2794" s="201" t="s">
        <v>9440</v>
      </c>
      <c r="C2794" s="45" t="s">
        <v>2962</v>
      </c>
      <c r="D2794" s="17" t="str">
        <f>IFERROR(VLOOKUP(C2794,Stock,3,FALSE),"")</f>
        <v>Lembur</v>
      </c>
      <c r="E2794" s="45">
        <v>1.0</v>
      </c>
      <c r="F2794" s="198">
        <v>150000.0</v>
      </c>
      <c r="G2794" s="142">
        <f t="shared" si="84"/>
        <v>150000</v>
      </c>
      <c r="H2794" s="142"/>
      <c r="I2794" s="143">
        <f t="shared" si="83"/>
        <v>150000</v>
      </c>
      <c r="J2794" s="144">
        <f t="shared" si="70"/>
        <v>150000</v>
      </c>
      <c r="L2794" s="17"/>
      <c r="M2794" s="17"/>
      <c r="N2794" s="68"/>
      <c r="O2794" s="68"/>
      <c r="P2794" s="68"/>
      <c r="Q2794" s="149"/>
      <c r="R2794" s="149"/>
      <c r="S2794" s="149"/>
      <c r="T2794" s="149"/>
      <c r="U2794" s="149"/>
      <c r="V2794" s="149"/>
      <c r="W2794" s="149"/>
      <c r="X2794" s="68"/>
      <c r="Y2794" s="68"/>
      <c r="Z2794" s="68"/>
    </row>
    <row r="2795" ht="15.0" customHeight="1">
      <c r="A2795" s="206">
        <v>46124.0</v>
      </c>
      <c r="B2795" s="201" t="s">
        <v>9414</v>
      </c>
      <c r="C2795" s="45" t="s">
        <v>2832</v>
      </c>
      <c r="D2795" s="17" t="str">
        <f>IFERROR(VLOOKUP(C2795,Stock,3,FALSE),"")</f>
        <v>Toyota Avanza / Xenia 21- 4th Gen</v>
      </c>
      <c r="E2795" s="45">
        <v>1.0</v>
      </c>
      <c r="F2795" s="198">
        <v>1000000.0</v>
      </c>
      <c r="G2795" s="142">
        <f t="shared" si="84"/>
        <v>1000000</v>
      </c>
      <c r="H2795" s="142"/>
      <c r="I2795" s="143">
        <f t="shared" si="83"/>
        <v>1000000</v>
      </c>
      <c r="J2795" s="144">
        <f t="shared" si="70"/>
        <v>1000000</v>
      </c>
      <c r="K2795" s="45" t="s">
        <v>9443</v>
      </c>
      <c r="L2795" s="199" t="s">
        <v>9444</v>
      </c>
      <c r="M2795" s="17"/>
      <c r="N2795" s="68"/>
      <c r="O2795" s="68"/>
      <c r="P2795" s="68"/>
      <c r="Q2795" s="141">
        <v>1000000.0</v>
      </c>
      <c r="R2795" s="149"/>
      <c r="S2795" s="141">
        <v>150000.0</v>
      </c>
      <c r="T2795" s="149"/>
      <c r="U2795" s="149"/>
      <c r="V2795" s="149"/>
      <c r="W2795" s="149"/>
      <c r="X2795" s="64" t="s">
        <v>8388</v>
      </c>
      <c r="Y2795" s="68"/>
      <c r="Z2795" s="68"/>
    </row>
    <row r="2796" ht="15.0" customHeight="1">
      <c r="A2796" s="206">
        <v>46124.0</v>
      </c>
      <c r="B2796" s="201"/>
      <c r="C2796" s="45" t="s">
        <v>2770</v>
      </c>
      <c r="D2796" s="17" t="str">
        <f>IFERROR(VLOOKUP(C2796,Stock,3,FALSE),"")</f>
        <v>Transport</v>
      </c>
      <c r="E2796" s="45">
        <v>1.0</v>
      </c>
      <c r="F2796" s="198">
        <v>150000.0</v>
      </c>
      <c r="G2796" s="142">
        <f t="shared" si="84"/>
        <v>150000</v>
      </c>
      <c r="H2796" s="142"/>
      <c r="I2796" s="143">
        <f t="shared" si="83"/>
        <v>150000</v>
      </c>
      <c r="J2796" s="144">
        <f t="shared" si="70"/>
        <v>150000</v>
      </c>
      <c r="K2796" s="17"/>
      <c r="L2796" s="17"/>
      <c r="M2796" s="17"/>
      <c r="N2796" s="68"/>
      <c r="O2796" s="68"/>
      <c r="P2796" s="68"/>
      <c r="Q2796" s="149"/>
      <c r="R2796" s="149"/>
      <c r="S2796" s="149"/>
      <c r="T2796" s="149"/>
      <c r="U2796" s="149"/>
      <c r="V2796" s="149"/>
      <c r="W2796" s="149"/>
      <c r="X2796" s="68"/>
      <c r="Y2796" s="68"/>
      <c r="Z2796" s="68"/>
    </row>
    <row r="2797" ht="15.0" customHeight="1">
      <c r="A2797" s="206">
        <v>46125.0</v>
      </c>
      <c r="B2797" s="201" t="s">
        <v>9445</v>
      </c>
      <c r="C2797" s="45" t="s">
        <v>8634</v>
      </c>
      <c r="D2797" s="17" t="str">
        <f>IFERROR(VLOOKUP(C2797,Stock,3,FALSE),"")</f>
        <v>Isuzu Panther 00- 2nd Gen (Sealant)</v>
      </c>
      <c r="E2797" s="45">
        <v>1.0</v>
      </c>
      <c r="F2797" s="198">
        <v>1050000.0</v>
      </c>
      <c r="G2797" s="142">
        <f t="shared" si="84"/>
        <v>1050000</v>
      </c>
      <c r="H2797" s="143">
        <v>365000.0</v>
      </c>
      <c r="I2797" s="143">
        <f t="shared" si="83"/>
        <v>685000</v>
      </c>
      <c r="J2797" s="144">
        <f t="shared" si="70"/>
        <v>685000</v>
      </c>
      <c r="K2797" s="45" t="s">
        <v>9446</v>
      </c>
      <c r="L2797" s="199" t="s">
        <v>9447</v>
      </c>
      <c r="M2797" s="17"/>
      <c r="N2797" s="64" t="s">
        <v>9448</v>
      </c>
      <c r="O2797" s="68"/>
      <c r="P2797" s="68"/>
      <c r="Q2797" s="149"/>
      <c r="R2797" s="149"/>
      <c r="S2797" s="149"/>
      <c r="T2797" s="141">
        <v>985000.0</v>
      </c>
      <c r="U2797" s="149"/>
      <c r="V2797" s="149"/>
      <c r="W2797" s="149"/>
      <c r="X2797" s="64" t="s">
        <v>9368</v>
      </c>
      <c r="Y2797" s="68"/>
      <c r="Z2797" s="68"/>
    </row>
    <row r="2798" ht="15.0" customHeight="1">
      <c r="A2798" s="206">
        <v>46125.0</v>
      </c>
      <c r="B2798" s="201"/>
      <c r="C2798" s="45" t="s">
        <v>5254</v>
      </c>
      <c r="D2798" s="17" t="str">
        <f>IFERROR(VLOOKUP(C2798,Stock,3,FALSE),"")</f>
        <v>Automotive Film Standard - Black 40%				</v>
      </c>
      <c r="E2798" s="45">
        <v>1.0</v>
      </c>
      <c r="F2798" s="198">
        <v>300000.0</v>
      </c>
      <c r="G2798" s="142">
        <f t="shared" si="84"/>
        <v>300000</v>
      </c>
      <c r="H2798" s="142"/>
      <c r="I2798" s="143">
        <f t="shared" si="83"/>
        <v>300000</v>
      </c>
      <c r="J2798" s="144">
        <f t="shared" si="70"/>
        <v>300000</v>
      </c>
      <c r="K2798" s="17"/>
      <c r="L2798" s="17"/>
      <c r="M2798" s="17"/>
      <c r="N2798" s="68"/>
      <c r="O2798" s="68"/>
      <c r="P2798" s="68"/>
      <c r="Q2798" s="149"/>
      <c r="R2798" s="149"/>
      <c r="S2798" s="149"/>
      <c r="T2798" s="149"/>
      <c r="U2798" s="149"/>
      <c r="V2798" s="149"/>
      <c r="W2798" s="149"/>
      <c r="X2798" s="68"/>
      <c r="Y2798" s="68"/>
      <c r="Z2798" s="68"/>
    </row>
    <row r="2799" ht="15.0" customHeight="1">
      <c r="A2799" s="206">
        <v>46125.0</v>
      </c>
      <c r="B2799" s="201" t="s">
        <v>9449</v>
      </c>
      <c r="C2799" s="548" t="s">
        <v>5764</v>
      </c>
      <c r="D2799" s="17" t="str">
        <f>IFERROR(VLOOKUP(C2799,Stock,3,FALSE),"")</f>
        <v>Toyota Fortuner 15-  2nd Gen (Toyota)</v>
      </c>
      <c r="E2799" s="45">
        <v>1.0</v>
      </c>
      <c r="F2799" s="198">
        <v>2339000.0</v>
      </c>
      <c r="G2799" s="142">
        <f t="shared" si="84"/>
        <v>2339000</v>
      </c>
      <c r="H2799" s="142"/>
      <c r="I2799" s="143">
        <f t="shared" si="83"/>
        <v>2339000</v>
      </c>
      <c r="J2799" s="144">
        <f t="shared" si="70"/>
        <v>2339000</v>
      </c>
      <c r="K2799" s="45" t="s">
        <v>9450</v>
      </c>
      <c r="L2799" s="199" t="s">
        <v>7973</v>
      </c>
      <c r="M2799" s="17"/>
      <c r="N2799" s="68"/>
      <c r="O2799" s="436"/>
      <c r="P2799" s="68"/>
      <c r="Q2799" s="149"/>
      <c r="R2799" s="149"/>
      <c r="S2799" s="149"/>
      <c r="T2799" s="141">
        <v>2339000.0</v>
      </c>
      <c r="U2799" s="149"/>
      <c r="V2799" s="149"/>
      <c r="W2799" s="149"/>
      <c r="X2799" s="64" t="s">
        <v>8388</v>
      </c>
      <c r="Y2799" s="68"/>
      <c r="Z2799" s="68"/>
    </row>
    <row r="2800" ht="15.0" customHeight="1">
      <c r="A2800" s="206">
        <v>46125.0</v>
      </c>
      <c r="B2800" s="201" t="s">
        <v>9451</v>
      </c>
      <c r="C2800" s="548" t="s">
        <v>2968</v>
      </c>
      <c r="D2800" s="17" t="str">
        <f>IFERROR(VLOOKUP(C2800,Stock,3,FALSE),"")</f>
        <v>Toyota Rush / Terios 18-</v>
      </c>
      <c r="E2800" s="45">
        <v>1.0</v>
      </c>
      <c r="F2800" s="198">
        <v>1052000.0</v>
      </c>
      <c r="G2800" s="142">
        <f t="shared" si="84"/>
        <v>1052000</v>
      </c>
      <c r="H2800" s="142"/>
      <c r="I2800" s="143">
        <f t="shared" si="83"/>
        <v>1052000</v>
      </c>
      <c r="J2800" s="144">
        <f t="shared" si="70"/>
        <v>1052000</v>
      </c>
      <c r="K2800" s="45" t="s">
        <v>9452</v>
      </c>
      <c r="L2800" s="199" t="s">
        <v>9453</v>
      </c>
      <c r="M2800" s="17"/>
      <c r="N2800" s="68"/>
      <c r="O2800" s="68"/>
      <c r="P2800" s="68"/>
      <c r="Q2800" s="149"/>
      <c r="R2800" s="149"/>
      <c r="S2800" s="149"/>
      <c r="T2800" s="141">
        <v>1052000.0</v>
      </c>
      <c r="U2800" s="149"/>
      <c r="V2800" s="149"/>
      <c r="W2800" s="149"/>
      <c r="X2800" s="64" t="s">
        <v>9454</v>
      </c>
      <c r="Y2800" s="68"/>
      <c r="Z2800" s="68"/>
    </row>
    <row r="2801" ht="15.0" customHeight="1">
      <c r="A2801" s="206">
        <v>46125.0</v>
      </c>
      <c r="B2801" s="201" t="s">
        <v>9455</v>
      </c>
      <c r="C2801" s="45" t="s">
        <v>2869</v>
      </c>
      <c r="D2801" s="17" t="str">
        <f>IFERROR(VLOOKUP(C2801,Stock,3,FALSE),"")</f>
        <v>Daihatsu Gran Max / Luxio 07-</v>
      </c>
      <c r="E2801" s="45">
        <v>1.0</v>
      </c>
      <c r="F2801" s="198">
        <v>1000000.0</v>
      </c>
      <c r="G2801" s="142">
        <f t="shared" si="84"/>
        <v>1000000</v>
      </c>
      <c r="H2801" s="142"/>
      <c r="I2801" s="143">
        <f t="shared" si="83"/>
        <v>1000000</v>
      </c>
      <c r="J2801" s="144">
        <f t="shared" si="70"/>
        <v>1000000</v>
      </c>
      <c r="K2801" s="548" t="s">
        <v>9456</v>
      </c>
      <c r="L2801" s="199" t="s">
        <v>9457</v>
      </c>
      <c r="M2801" s="17"/>
      <c r="N2801" s="68"/>
      <c r="O2801" s="68"/>
      <c r="P2801" s="68"/>
      <c r="Q2801" s="149"/>
      <c r="R2801" s="149"/>
      <c r="S2801" s="149"/>
      <c r="T2801" s="141">
        <v>1000000.0</v>
      </c>
      <c r="U2801" s="149"/>
      <c r="V2801" s="149"/>
      <c r="W2801" s="149"/>
      <c r="X2801" s="68"/>
      <c r="Y2801" s="68"/>
      <c r="Z2801" s="68"/>
    </row>
    <row r="2802" ht="15.0" customHeight="1">
      <c r="A2802" s="206">
        <v>46125.0</v>
      </c>
      <c r="B2802" s="201" t="s">
        <v>9458</v>
      </c>
      <c r="C2802" s="45" t="s">
        <v>2772</v>
      </c>
      <c r="D2802" s="17" t="str">
        <f>IFERROR(VLOOKUP(C2802,Stock,3,FALSE),"")</f>
        <v>Suzuki Ignis 17-</v>
      </c>
      <c r="E2802" s="45">
        <v>1.0</v>
      </c>
      <c r="F2802" s="198">
        <v>1049000.0</v>
      </c>
      <c r="G2802" s="142">
        <f t="shared" si="84"/>
        <v>1049000</v>
      </c>
      <c r="H2802" s="142"/>
      <c r="I2802" s="143">
        <f t="shared" si="83"/>
        <v>1049000</v>
      </c>
      <c r="J2802" s="144">
        <f t="shared" si="70"/>
        <v>1049000</v>
      </c>
      <c r="K2802" s="45" t="s">
        <v>9459</v>
      </c>
      <c r="L2802" s="199" t="s">
        <v>9460</v>
      </c>
      <c r="M2802" s="17"/>
      <c r="N2802" s="64" t="s">
        <v>9461</v>
      </c>
      <c r="O2802" s="68"/>
      <c r="P2802" s="68"/>
      <c r="Q2802" s="149"/>
      <c r="R2802" s="149"/>
      <c r="S2802" s="149"/>
      <c r="T2802" s="141">
        <v>1049000.0</v>
      </c>
      <c r="U2802" s="149"/>
      <c r="V2802" s="149"/>
      <c r="W2802" s="149"/>
      <c r="X2802" s="64" t="s">
        <v>8232</v>
      </c>
      <c r="Y2802" s="68"/>
      <c r="Z2802" s="68"/>
    </row>
    <row r="2803" ht="15.0" customHeight="1">
      <c r="A2803" s="206">
        <v>46125.0</v>
      </c>
      <c r="B2803" s="201" t="s">
        <v>9462</v>
      </c>
      <c r="C2803" s="45" t="s">
        <v>6078</v>
      </c>
      <c r="D2803" s="17" t="str">
        <f>IFERROR(VLOOKUP(C2803,Stock,3,FALSE),"")</f>
        <v>Toyota Calya / Sigra 16-</v>
      </c>
      <c r="E2803" s="45">
        <v>1.0</v>
      </c>
      <c r="F2803" s="198">
        <v>500000.0</v>
      </c>
      <c r="G2803" s="142">
        <f t="shared" si="84"/>
        <v>500000</v>
      </c>
      <c r="H2803" s="142"/>
      <c r="I2803" s="143">
        <f t="shared" si="83"/>
        <v>500000</v>
      </c>
      <c r="J2803" s="144">
        <f t="shared" si="70"/>
        <v>500000</v>
      </c>
      <c r="K2803" s="45" t="s">
        <v>9463</v>
      </c>
      <c r="L2803" s="199" t="s">
        <v>9464</v>
      </c>
      <c r="M2803" s="17"/>
      <c r="N2803" s="64" t="s">
        <v>9465</v>
      </c>
      <c r="O2803" s="68"/>
      <c r="P2803" s="68"/>
      <c r="Q2803" s="149"/>
      <c r="R2803" s="149"/>
      <c r="S2803" s="149"/>
      <c r="T2803" s="149"/>
      <c r="U2803" s="149"/>
      <c r="V2803" s="149"/>
      <c r="W2803" s="149"/>
      <c r="X2803" s="64" t="s">
        <v>8232</v>
      </c>
      <c r="Y2803" s="68"/>
      <c r="Z2803" s="68"/>
    </row>
    <row r="2804" ht="15.0" customHeight="1">
      <c r="A2804" s="206">
        <v>46125.0</v>
      </c>
      <c r="B2804" s="201" t="s">
        <v>9466</v>
      </c>
      <c r="C2804" s="45" t="s">
        <v>9467</v>
      </c>
      <c r="D2804" s="17" t="str">
        <f>IFERROR(VLOOKUP(C2804,Stock,3,FALSE),"")</f>
        <v>Toyota Altis 18- E210 12th Gen</v>
      </c>
      <c r="E2804" s="45">
        <v>1.0</v>
      </c>
      <c r="F2804" s="198">
        <v>3035000.0</v>
      </c>
      <c r="G2804" s="142">
        <f t="shared" si="84"/>
        <v>3035000</v>
      </c>
      <c r="H2804" s="142"/>
      <c r="I2804" s="143">
        <f t="shared" si="83"/>
        <v>3035000</v>
      </c>
      <c r="J2804" s="144">
        <f t="shared" si="70"/>
        <v>3035000</v>
      </c>
      <c r="K2804" s="45" t="s">
        <v>9468</v>
      </c>
      <c r="L2804" s="199" t="s">
        <v>9469</v>
      </c>
      <c r="M2804" s="17"/>
      <c r="N2804" s="64" t="s">
        <v>9470</v>
      </c>
      <c r="O2804" s="68"/>
      <c r="P2804" s="68"/>
      <c r="Q2804" s="149"/>
      <c r="R2804" s="149"/>
      <c r="S2804" s="141">
        <v>100000.0</v>
      </c>
      <c r="T2804" s="149"/>
      <c r="U2804" s="149"/>
      <c r="V2804" s="149"/>
      <c r="W2804" s="149"/>
      <c r="X2804" s="68"/>
      <c r="Y2804" s="68"/>
      <c r="Z2804" s="68"/>
    </row>
    <row r="2805" ht="15.0" customHeight="1">
      <c r="A2805" s="206">
        <v>46125.0</v>
      </c>
      <c r="B2805" s="201"/>
      <c r="C2805" s="45" t="s">
        <v>5254</v>
      </c>
      <c r="D2805" s="17" t="str">
        <f>IFERROR(VLOOKUP(C2805,Stock,3,FALSE),"")</f>
        <v>Automotive Film Standard - Black 40%				</v>
      </c>
      <c r="E2805" s="45">
        <v>1.0</v>
      </c>
      <c r="F2805" s="198">
        <v>350000.0</v>
      </c>
      <c r="G2805" s="142">
        <f t="shared" si="84"/>
        <v>350000</v>
      </c>
      <c r="H2805" s="142"/>
      <c r="I2805" s="143">
        <f t="shared" si="83"/>
        <v>350000</v>
      </c>
      <c r="J2805" s="144">
        <f t="shared" si="70"/>
        <v>350000</v>
      </c>
      <c r="K2805" s="17"/>
      <c r="L2805" s="17"/>
      <c r="M2805" s="17"/>
      <c r="N2805" s="68"/>
      <c r="O2805" s="68"/>
      <c r="P2805" s="68"/>
      <c r="Q2805" s="149"/>
      <c r="R2805" s="149"/>
      <c r="S2805" s="149"/>
      <c r="T2805" s="149"/>
      <c r="U2805" s="149"/>
      <c r="V2805" s="149"/>
      <c r="W2805" s="149"/>
      <c r="X2805" s="68"/>
      <c r="Y2805" s="68"/>
      <c r="Z2805" s="68"/>
    </row>
    <row r="2806" ht="15.0" customHeight="1">
      <c r="A2806" s="206">
        <v>46125.0</v>
      </c>
      <c r="B2806" s="201"/>
      <c r="C2806" s="45" t="s">
        <v>2770</v>
      </c>
      <c r="D2806" s="17" t="str">
        <f>IFERROR(VLOOKUP(C2806,Stock,3,FALSE),"")</f>
        <v>Transport</v>
      </c>
      <c r="E2806" s="45">
        <v>1.0</v>
      </c>
      <c r="F2806" s="198">
        <v>175000.0</v>
      </c>
      <c r="G2806" s="142">
        <f t="shared" si="84"/>
        <v>175000</v>
      </c>
      <c r="H2806" s="142"/>
      <c r="I2806" s="143">
        <f t="shared" si="83"/>
        <v>175000</v>
      </c>
      <c r="J2806" s="144">
        <f t="shared" si="70"/>
        <v>175000</v>
      </c>
      <c r="K2806" s="17"/>
      <c r="L2806" s="17"/>
      <c r="M2806" s="17"/>
      <c r="N2806" s="68"/>
      <c r="O2806" s="68"/>
      <c r="P2806" s="68"/>
      <c r="Q2806" s="149"/>
      <c r="R2806" s="149"/>
      <c r="S2806" s="149"/>
      <c r="T2806" s="149"/>
      <c r="U2806" s="149"/>
      <c r="V2806" s="149"/>
      <c r="W2806" s="149"/>
      <c r="X2806" s="68"/>
      <c r="Y2806" s="68"/>
      <c r="Z2806" s="68"/>
    </row>
    <row r="2807" ht="15.0" customHeight="1">
      <c r="A2807" s="206">
        <v>46125.0</v>
      </c>
      <c r="B2807" s="201" t="s">
        <v>9471</v>
      </c>
      <c r="C2807" s="45" t="s">
        <v>9472</v>
      </c>
      <c r="D2807" s="17" t="str">
        <f>IFERROR(VLOOKUP(C2807,Stock,3,FALSE),"")</f>
        <v>Toyota Fortuner 05-15 1st Gen</v>
      </c>
      <c r="E2807" s="45">
        <v>1.0</v>
      </c>
      <c r="F2807" s="198">
        <v>885000.0</v>
      </c>
      <c r="G2807" s="142">
        <f t="shared" si="84"/>
        <v>885000</v>
      </c>
      <c r="H2807" s="142"/>
      <c r="I2807" s="143">
        <f t="shared" si="83"/>
        <v>885000</v>
      </c>
      <c r="J2807" s="144">
        <f t="shared" si="70"/>
        <v>885000</v>
      </c>
      <c r="K2807" s="45" t="s">
        <v>9473</v>
      </c>
      <c r="L2807" s="199" t="s">
        <v>9474</v>
      </c>
      <c r="M2807" s="17"/>
      <c r="N2807" s="68"/>
      <c r="O2807" s="68"/>
      <c r="P2807" s="68"/>
      <c r="Q2807" s="149"/>
      <c r="R2807" s="149"/>
      <c r="S2807" s="141">
        <v>100000.0</v>
      </c>
      <c r="T2807" s="141">
        <v>860000.0</v>
      </c>
      <c r="U2807" s="149"/>
      <c r="V2807" s="149"/>
      <c r="W2807" s="149"/>
      <c r="X2807" s="68"/>
      <c r="Y2807" s="68"/>
      <c r="Z2807" s="68"/>
    </row>
    <row r="2808" ht="15.0" customHeight="1">
      <c r="A2808" s="206">
        <v>46125.0</v>
      </c>
      <c r="B2808" s="201"/>
      <c r="C2808" s="45" t="s">
        <v>2770</v>
      </c>
      <c r="D2808" s="17" t="str">
        <f>IFERROR(VLOOKUP(C2808,Stock,3,FALSE),"")</f>
        <v>Transport</v>
      </c>
      <c r="E2808" s="45">
        <v>1.0</v>
      </c>
      <c r="F2808" s="198">
        <v>75000.0</v>
      </c>
      <c r="G2808" s="142">
        <f t="shared" si="84"/>
        <v>75000</v>
      </c>
      <c r="H2808" s="142"/>
      <c r="I2808" s="143">
        <f t="shared" si="83"/>
        <v>75000</v>
      </c>
      <c r="J2808" s="144">
        <f t="shared" si="70"/>
        <v>75000</v>
      </c>
      <c r="K2808" s="17"/>
      <c r="L2808" s="17"/>
      <c r="M2808" s="17"/>
      <c r="N2808" s="68"/>
      <c r="O2808" s="68"/>
      <c r="P2808" s="68"/>
      <c r="Q2808" s="149"/>
      <c r="R2808" s="149"/>
      <c r="S2808" s="149"/>
      <c r="T2808" s="149"/>
      <c r="U2808" s="149"/>
      <c r="V2808" s="149"/>
      <c r="W2808" s="149"/>
      <c r="X2808" s="68"/>
      <c r="Y2808" s="68"/>
      <c r="Z2808" s="68"/>
    </row>
    <row r="2809" ht="15.0" customHeight="1">
      <c r="A2809" s="206">
        <v>46126.0</v>
      </c>
      <c r="B2809" s="201" t="s">
        <v>9475</v>
      </c>
      <c r="C2809" s="45" t="s">
        <v>9476</v>
      </c>
      <c r="D2809" s="17" t="str">
        <f>IFERROR(VLOOKUP(C2809,Stock,3,FALSE),"")</f>
        <v>BMW X3 Series 11-17 F25</v>
      </c>
      <c r="E2809" s="45">
        <v>1.0</v>
      </c>
      <c r="F2809" s="198">
        <v>6459000.0</v>
      </c>
      <c r="G2809" s="142">
        <f t="shared" si="84"/>
        <v>6459000</v>
      </c>
      <c r="H2809" s="143">
        <v>259000.0</v>
      </c>
      <c r="I2809" s="143">
        <f t="shared" si="83"/>
        <v>6200000</v>
      </c>
      <c r="J2809" s="144">
        <f t="shared" si="70"/>
        <v>6200000</v>
      </c>
      <c r="K2809" s="45" t="s">
        <v>9477</v>
      </c>
      <c r="L2809" s="199" t="s">
        <v>9478</v>
      </c>
      <c r="M2809" s="17"/>
      <c r="N2809" s="64" t="s">
        <v>9479</v>
      </c>
      <c r="O2809" s="68"/>
      <c r="P2809" s="68"/>
      <c r="Q2809" s="149"/>
      <c r="R2809" s="149"/>
      <c r="S2809" s="141">
        <v>100000.0</v>
      </c>
      <c r="T2809" s="141">
        <v>6100000.0</v>
      </c>
      <c r="U2809" s="149"/>
      <c r="V2809" s="149"/>
      <c r="W2809" s="149"/>
      <c r="X2809" s="68"/>
      <c r="Y2809" s="68"/>
      <c r="Z2809" s="68"/>
    </row>
    <row r="2810" ht="15.0" customHeight="1">
      <c r="A2810" s="206">
        <v>46126.0</v>
      </c>
      <c r="B2810" s="201" t="s">
        <v>9480</v>
      </c>
      <c r="C2810" s="45" t="s">
        <v>2003</v>
      </c>
      <c r="D2810" s="17" t="str">
        <f>IFERROR(VLOOKUP(C2810,Stock,3,FALSE),"")</f>
        <v>Toyota Agya/Ayla 13-22 1st Gen</v>
      </c>
      <c r="E2810" s="45">
        <v>1.0</v>
      </c>
      <c r="F2810" s="198">
        <v>950000.0</v>
      </c>
      <c r="G2810" s="142">
        <f t="shared" si="84"/>
        <v>950000</v>
      </c>
      <c r="H2810" s="142"/>
      <c r="I2810" s="143">
        <f t="shared" si="83"/>
        <v>950000</v>
      </c>
      <c r="J2810" s="144">
        <f t="shared" si="70"/>
        <v>950000</v>
      </c>
      <c r="K2810" s="45" t="s">
        <v>9481</v>
      </c>
      <c r="L2810" s="199" t="s">
        <v>9482</v>
      </c>
      <c r="M2810" s="17"/>
      <c r="N2810" s="64" t="s">
        <v>9483</v>
      </c>
      <c r="O2810" s="68"/>
      <c r="P2810" s="68"/>
      <c r="Q2810" s="149"/>
      <c r="R2810" s="149"/>
      <c r="S2810" s="149"/>
      <c r="T2810" s="141">
        <v>950000.0</v>
      </c>
      <c r="U2810" s="149"/>
      <c r="V2810" s="149"/>
      <c r="W2810" s="149"/>
      <c r="X2810" s="68"/>
      <c r="Y2810" s="68"/>
      <c r="Z2810" s="68"/>
    </row>
    <row r="2811" ht="15.0" customHeight="1">
      <c r="A2811" s="206">
        <v>46126.0</v>
      </c>
      <c r="B2811" s="201" t="s">
        <v>9484</v>
      </c>
      <c r="C2811" s="45" t="s">
        <v>7427</v>
      </c>
      <c r="D2811" s="17" t="str">
        <f>IFERROR(VLOOKUP(C2811,Stock,3,FALSE),"")</f>
        <v>Nissan Livina 07-18 L10/L11</v>
      </c>
      <c r="E2811" s="45">
        <v>1.0</v>
      </c>
      <c r="F2811" s="198">
        <v>1292000.0</v>
      </c>
      <c r="G2811" s="142">
        <f t="shared" si="84"/>
        <v>1292000</v>
      </c>
      <c r="H2811" s="142"/>
      <c r="I2811" s="143">
        <f t="shared" si="83"/>
        <v>1292000</v>
      </c>
      <c r="J2811" s="144">
        <f t="shared" si="70"/>
        <v>1292000</v>
      </c>
      <c r="K2811" s="45" t="s">
        <v>9485</v>
      </c>
      <c r="L2811" s="199" t="s">
        <v>9486</v>
      </c>
      <c r="M2811" s="17"/>
      <c r="N2811" s="64" t="s">
        <v>9487</v>
      </c>
      <c r="O2811" s="68"/>
      <c r="P2811" s="68"/>
      <c r="Q2811" s="149"/>
      <c r="R2811" s="149"/>
      <c r="S2811" s="149"/>
      <c r="T2811" s="141">
        <v>1567000.0</v>
      </c>
      <c r="U2811" s="149"/>
      <c r="V2811" s="149"/>
      <c r="W2811" s="149"/>
      <c r="X2811" s="68"/>
      <c r="Y2811" s="68"/>
      <c r="Z2811" s="68"/>
    </row>
    <row r="2812" ht="15.0" customHeight="1">
      <c r="A2812" s="206">
        <v>46126.0</v>
      </c>
      <c r="B2812" s="201" t="s">
        <v>9484</v>
      </c>
      <c r="C2812" s="45" t="s">
        <v>3434</v>
      </c>
      <c r="D2812" s="17" t="str">
        <f>IFERROR(VLOOKUP(C2812,Stock,3,FALSE),"")</f>
        <v>List Kaca Depan Code 04</v>
      </c>
      <c r="E2812" s="45">
        <v>1.0</v>
      </c>
      <c r="F2812" s="198">
        <v>275000.0</v>
      </c>
      <c r="G2812" s="142">
        <f t="shared" si="84"/>
        <v>275000</v>
      </c>
      <c r="H2812" s="142"/>
      <c r="I2812" s="143">
        <f t="shared" si="83"/>
        <v>275000</v>
      </c>
      <c r="J2812" s="144">
        <f t="shared" si="70"/>
        <v>275000</v>
      </c>
      <c r="K2812" s="17"/>
      <c r="L2812" s="17"/>
      <c r="M2812" s="17"/>
      <c r="N2812" s="68"/>
      <c r="O2812" s="68"/>
      <c r="P2812" s="68"/>
      <c r="Q2812" s="149"/>
      <c r="R2812" s="149"/>
      <c r="S2812" s="149"/>
      <c r="T2812" s="149"/>
      <c r="U2812" s="149"/>
      <c r="V2812" s="149"/>
      <c r="W2812" s="149"/>
      <c r="X2812" s="68"/>
      <c r="Y2812" s="68"/>
      <c r="Z2812" s="68"/>
    </row>
    <row r="2813" ht="15.0" customHeight="1">
      <c r="A2813" s="206">
        <v>46126.0</v>
      </c>
      <c r="B2813" s="250" t="s">
        <v>9488</v>
      </c>
      <c r="C2813" s="568" t="s">
        <v>3181</v>
      </c>
      <c r="D2813" s="259" t="str">
        <f>IFERROR(VLOOKUP(C2813,Stock,3,FALSE),"")</f>
        <v>Toyota Kijang 98- Kapsul Karet</v>
      </c>
      <c r="E2813" s="251">
        <v>1.0</v>
      </c>
      <c r="F2813" s="253">
        <v>1378000.0</v>
      </c>
      <c r="G2813" s="254">
        <f t="shared" si="84"/>
        <v>1378000</v>
      </c>
      <c r="H2813" s="254"/>
      <c r="I2813" s="255">
        <f t="shared" si="83"/>
        <v>1378000</v>
      </c>
      <c r="J2813" s="256">
        <f t="shared" si="70"/>
        <v>1378000</v>
      </c>
      <c r="K2813" s="251" t="s">
        <v>9489</v>
      </c>
      <c r="L2813" s="258" t="s">
        <v>9490</v>
      </c>
      <c r="M2813" s="259"/>
      <c r="N2813" s="64" t="s">
        <v>9491</v>
      </c>
      <c r="O2813" s="68"/>
      <c r="P2813" s="68"/>
      <c r="Q2813" s="149"/>
      <c r="R2813" s="149"/>
      <c r="S2813" s="149"/>
      <c r="T2813" s="149"/>
      <c r="U2813" s="149"/>
      <c r="V2813" s="149"/>
      <c r="W2813" s="149"/>
      <c r="X2813" s="68"/>
      <c r="Y2813" s="68"/>
      <c r="Z2813" s="68"/>
    </row>
    <row r="2814" ht="15.0" customHeight="1">
      <c r="A2814" s="206">
        <v>46126.0</v>
      </c>
      <c r="B2814" s="250"/>
      <c r="C2814" s="251"/>
      <c r="D2814" s="259" t="str">
        <f>IFERROR(VLOOKUP(C2814,Stock,3,FALSE),"")</f>
        <v/>
      </c>
      <c r="E2814" s="251">
        <v>1.0</v>
      </c>
      <c r="F2814" s="253">
        <v>125000.0</v>
      </c>
      <c r="G2814" s="254">
        <f t="shared" si="84"/>
        <v>125000</v>
      </c>
      <c r="H2814" s="254"/>
      <c r="I2814" s="255">
        <f t="shared" si="83"/>
        <v>125000</v>
      </c>
      <c r="J2814" s="256">
        <f t="shared" si="70"/>
        <v>125000</v>
      </c>
      <c r="K2814" s="259"/>
      <c r="L2814" s="259"/>
      <c r="M2814" s="17"/>
      <c r="N2814" s="68"/>
      <c r="O2814" s="68"/>
      <c r="P2814" s="68"/>
      <c r="Q2814" s="149"/>
      <c r="R2814" s="149"/>
      <c r="S2814" s="149"/>
      <c r="T2814" s="149"/>
      <c r="U2814" s="149"/>
      <c r="V2814" s="149"/>
      <c r="W2814" s="149"/>
      <c r="X2814" s="68"/>
      <c r="Y2814" s="68"/>
      <c r="Z2814" s="68"/>
    </row>
    <row r="2815" ht="15.0" customHeight="1">
      <c r="A2815" s="206">
        <v>46126.0</v>
      </c>
      <c r="B2815" s="201" t="s">
        <v>9492</v>
      </c>
      <c r="C2815" s="45" t="s">
        <v>3858</v>
      </c>
      <c r="D2815" s="17" t="str">
        <f>IFERROR(VLOOKUP(C2815,Stock,3,FALSE),"")</f>
        <v>Daihatsu Luxio 07-</v>
      </c>
      <c r="E2815" s="45">
        <v>1.0</v>
      </c>
      <c r="F2815" s="198">
        <v>899000.0</v>
      </c>
      <c r="G2815" s="142">
        <f t="shared" si="84"/>
        <v>899000</v>
      </c>
      <c r="H2815" s="142"/>
      <c r="I2815" s="143">
        <f t="shared" si="83"/>
        <v>899000</v>
      </c>
      <c r="J2815" s="144">
        <f t="shared" si="70"/>
        <v>899000</v>
      </c>
      <c r="K2815" s="45" t="s">
        <v>3900</v>
      </c>
      <c r="L2815" s="199" t="s">
        <v>9493</v>
      </c>
      <c r="M2815" s="17"/>
      <c r="N2815" s="68"/>
      <c r="O2815" s="68"/>
      <c r="P2815" s="68"/>
      <c r="Q2815" s="149"/>
      <c r="R2815" s="149"/>
      <c r="S2815" s="149"/>
      <c r="T2815" s="149"/>
      <c r="U2815" s="149"/>
      <c r="V2815" s="149"/>
      <c r="W2815" s="149"/>
      <c r="X2815" s="68"/>
      <c r="Y2815" s="68"/>
      <c r="Z2815" s="68"/>
    </row>
    <row r="2816" ht="15.0" customHeight="1">
      <c r="A2816" s="206">
        <v>46126.0</v>
      </c>
      <c r="B2816" s="201" t="s">
        <v>9494</v>
      </c>
      <c r="C2816" s="45" t="s">
        <v>4720</v>
      </c>
      <c r="D2816" s="17" t="str">
        <f>IFERROR(VLOOKUP(C2816,Stock,3,FALSE),"")</f>
        <v>Honda Jazz 13-  3rd Gen (Honda)</v>
      </c>
      <c r="E2816" s="45">
        <v>1.0</v>
      </c>
      <c r="F2816" s="198">
        <v>2599000.0</v>
      </c>
      <c r="G2816" s="142">
        <f t="shared" si="84"/>
        <v>2599000</v>
      </c>
      <c r="H2816" s="142"/>
      <c r="I2816" s="143">
        <f t="shared" si="83"/>
        <v>2599000</v>
      </c>
      <c r="J2816" s="144">
        <f t="shared" si="70"/>
        <v>2599000</v>
      </c>
      <c r="K2816" s="17"/>
      <c r="L2816" s="17"/>
      <c r="M2816" s="17"/>
      <c r="N2816" s="68"/>
      <c r="O2816" s="68"/>
      <c r="P2816" s="68"/>
      <c r="Q2816" s="149"/>
      <c r="R2816" s="149"/>
      <c r="S2816" s="141">
        <v>100000.0</v>
      </c>
      <c r="T2816" s="149"/>
      <c r="U2816" s="149"/>
      <c r="V2816" s="149"/>
      <c r="W2816" s="149"/>
      <c r="X2816" s="68"/>
      <c r="Y2816" s="68"/>
      <c r="Z2816" s="68"/>
    </row>
    <row r="2817" ht="15.0" customHeight="1">
      <c r="A2817" s="206">
        <v>46126.0</v>
      </c>
      <c r="B2817" s="201"/>
      <c r="C2817" s="45" t="s">
        <v>2770</v>
      </c>
      <c r="D2817" s="17" t="str">
        <f>IFERROR(VLOOKUP(C2817,Stock,3,FALSE),"")</f>
        <v>Transport</v>
      </c>
      <c r="E2817" s="45">
        <v>1.0</v>
      </c>
      <c r="F2817" s="198">
        <v>175000.0</v>
      </c>
      <c r="G2817" s="142">
        <f t="shared" si="84"/>
        <v>175000</v>
      </c>
      <c r="H2817" s="142"/>
      <c r="I2817" s="143">
        <f t="shared" si="83"/>
        <v>175000</v>
      </c>
      <c r="J2817" s="144">
        <f t="shared" si="70"/>
        <v>175000</v>
      </c>
      <c r="K2817" s="17"/>
      <c r="L2817" s="17"/>
      <c r="M2817" s="17"/>
      <c r="N2817" s="68"/>
      <c r="O2817" s="68"/>
      <c r="P2817" s="68"/>
      <c r="Q2817" s="149"/>
      <c r="R2817" s="149"/>
      <c r="S2817" s="149"/>
      <c r="T2817" s="149"/>
      <c r="U2817" s="149"/>
      <c r="V2817" s="149"/>
      <c r="W2817" s="149"/>
      <c r="X2817" s="68"/>
      <c r="Y2817" s="68"/>
      <c r="Z2817" s="68"/>
    </row>
    <row r="2818" ht="15.0" customHeight="1">
      <c r="A2818" s="206">
        <v>46126.0</v>
      </c>
      <c r="B2818" s="201" t="s">
        <v>9495</v>
      </c>
      <c r="C2818" s="548" t="s">
        <v>7161</v>
      </c>
      <c r="D2818" s="17" t="str">
        <f>IFERROR(VLOOKUP(C2818,Stock,3,FALSE),"")</f>
        <v>Honda Brio 10- / Mobilio 11-</v>
      </c>
      <c r="E2818" s="45">
        <v>1.0</v>
      </c>
      <c r="F2818" s="198">
        <v>1450000.0</v>
      </c>
      <c r="G2818" s="142">
        <f t="shared" si="84"/>
        <v>1450000</v>
      </c>
      <c r="H2818" s="142"/>
      <c r="I2818" s="143">
        <f t="shared" si="83"/>
        <v>1450000</v>
      </c>
      <c r="J2818" s="144">
        <f t="shared" si="70"/>
        <v>1450000</v>
      </c>
      <c r="K2818" s="548" t="s">
        <v>9496</v>
      </c>
      <c r="L2818" s="199" t="s">
        <v>9497</v>
      </c>
      <c r="M2818" s="17"/>
      <c r="N2818" s="68"/>
      <c r="O2818" s="68"/>
      <c r="P2818" s="68"/>
      <c r="Q2818" s="149"/>
      <c r="R2818" s="149"/>
      <c r="S2818" s="149"/>
      <c r="T2818" s="149"/>
      <c r="U2818" s="149"/>
      <c r="V2818" s="149"/>
      <c r="W2818" s="149"/>
      <c r="X2818" s="68"/>
      <c r="Y2818" s="68"/>
      <c r="Z2818" s="68"/>
    </row>
    <row r="2819" ht="15.0" customHeight="1">
      <c r="A2819" s="206">
        <v>46126.0</v>
      </c>
      <c r="B2819" s="201" t="s">
        <v>9495</v>
      </c>
      <c r="C2819" s="45" t="s">
        <v>7011</v>
      </c>
      <c r="D2819" s="17" t="str">
        <f>IFERROR(VLOOKUP(C2819,Stock,3,FALSE),"")</f>
        <v>Automotive Film Standard - Black 40%				</v>
      </c>
      <c r="E2819" s="45">
        <v>1.0</v>
      </c>
      <c r="F2819" s="198">
        <v>400000.0</v>
      </c>
      <c r="G2819" s="142">
        <f t="shared" si="84"/>
        <v>400000</v>
      </c>
      <c r="H2819" s="142"/>
      <c r="I2819" s="143">
        <f t="shared" si="83"/>
        <v>400000</v>
      </c>
      <c r="J2819" s="144">
        <f t="shared" si="70"/>
        <v>400000</v>
      </c>
      <c r="K2819" s="17"/>
      <c r="L2819" s="17"/>
      <c r="M2819" s="17"/>
      <c r="N2819" s="68"/>
      <c r="O2819" s="68"/>
      <c r="P2819" s="68"/>
      <c r="Q2819" s="149"/>
      <c r="R2819" s="149"/>
      <c r="S2819" s="149"/>
      <c r="T2819" s="149"/>
      <c r="U2819" s="149"/>
      <c r="V2819" s="149"/>
      <c r="W2819" s="149"/>
      <c r="X2819" s="68"/>
      <c r="Y2819" s="68"/>
      <c r="Z2819" s="68"/>
    </row>
    <row r="2820" ht="15.0" customHeight="1">
      <c r="A2820" s="206">
        <v>46127.0</v>
      </c>
      <c r="B2820" s="201" t="s">
        <v>9498</v>
      </c>
      <c r="C2820" s="45" t="s">
        <v>2869</v>
      </c>
      <c r="D2820" s="17" t="str">
        <f>IFERROR(VLOOKUP(C2820,Stock,3,FALSE),"")</f>
        <v>Daihatsu Gran Max / Luxio 07-</v>
      </c>
      <c r="E2820" s="45">
        <v>1.0</v>
      </c>
      <c r="F2820" s="198">
        <v>1000000.0</v>
      </c>
      <c r="G2820" s="142">
        <f t="shared" si="84"/>
        <v>1000000</v>
      </c>
      <c r="H2820" s="142"/>
      <c r="I2820" s="143">
        <f t="shared" si="83"/>
        <v>1000000</v>
      </c>
      <c r="J2820" s="144">
        <f t="shared" si="70"/>
        <v>1000000</v>
      </c>
      <c r="K2820" s="45" t="s">
        <v>9499</v>
      </c>
      <c r="L2820" s="199" t="s">
        <v>9500</v>
      </c>
      <c r="M2820" s="17"/>
      <c r="N2820" s="64" t="s">
        <v>9501</v>
      </c>
      <c r="O2820" s="68"/>
      <c r="P2820" s="68"/>
      <c r="Q2820" s="149"/>
      <c r="R2820" s="149"/>
      <c r="S2820" s="149"/>
      <c r="T2820" s="141">
        <v>1625000.0</v>
      </c>
      <c r="U2820" s="149"/>
      <c r="V2820" s="149"/>
      <c r="W2820" s="149"/>
      <c r="X2820" s="68"/>
      <c r="Y2820" s="68"/>
      <c r="Z2820" s="68"/>
    </row>
    <row r="2821" ht="15.0" customHeight="1">
      <c r="A2821" s="206">
        <v>46127.0</v>
      </c>
      <c r="B2821" s="201" t="s">
        <v>9498</v>
      </c>
      <c r="C2821" s="45" t="s">
        <v>8411</v>
      </c>
      <c r="D2821" s="17" t="str">
        <f>IFERROR(VLOOKUP(C2821,Stock,3,FALSE),"")</f>
        <v>Automotive Film Standard - Black 80%</v>
      </c>
      <c r="E2821" s="45">
        <v>1.0</v>
      </c>
      <c r="F2821" s="198">
        <v>350000.0</v>
      </c>
      <c r="G2821" s="142">
        <f t="shared" si="84"/>
        <v>350000</v>
      </c>
      <c r="H2821" s="142"/>
      <c r="I2821" s="143">
        <f t="shared" si="83"/>
        <v>350000</v>
      </c>
      <c r="J2821" s="144">
        <f t="shared" si="70"/>
        <v>350000</v>
      </c>
      <c r="K2821" s="17"/>
      <c r="L2821" s="17"/>
      <c r="M2821" s="17"/>
      <c r="N2821" s="68"/>
      <c r="O2821" s="68"/>
      <c r="P2821" s="68"/>
      <c r="Q2821" s="149"/>
      <c r="R2821" s="149"/>
      <c r="S2821" s="149"/>
      <c r="T2821" s="149"/>
      <c r="U2821" s="149"/>
      <c r="V2821" s="149"/>
      <c r="W2821" s="149"/>
      <c r="X2821" s="68"/>
      <c r="Y2821" s="68"/>
      <c r="Z2821" s="68"/>
    </row>
    <row r="2822" ht="15.0" customHeight="1">
      <c r="A2822" s="206">
        <v>46127.0</v>
      </c>
      <c r="B2822" s="201" t="s">
        <v>9502</v>
      </c>
      <c r="C2822" s="45" t="s">
        <v>3013</v>
      </c>
      <c r="D2822" s="17" t="str">
        <f>IFERROR(VLOOKUP(C2822,Stock,3,FALSE),"")</f>
        <v>Honda Freed 08-16 1st Gen (Honda)</v>
      </c>
      <c r="E2822" s="45">
        <v>1.0</v>
      </c>
      <c r="F2822" s="198">
        <v>3422000.0</v>
      </c>
      <c r="G2822" s="142">
        <f t="shared" si="84"/>
        <v>3422000</v>
      </c>
      <c r="H2822" s="142"/>
      <c r="I2822" s="143">
        <f t="shared" si="83"/>
        <v>3422000</v>
      </c>
      <c r="J2822" s="144">
        <f t="shared" si="70"/>
        <v>3422000</v>
      </c>
      <c r="K2822" s="45" t="s">
        <v>9503</v>
      </c>
      <c r="L2822" s="199" t="s">
        <v>9504</v>
      </c>
      <c r="M2822" s="17"/>
      <c r="N2822" s="64" t="s">
        <v>9505</v>
      </c>
      <c r="O2822" s="68"/>
      <c r="P2822" s="68"/>
      <c r="Q2822" s="149"/>
      <c r="R2822" s="149"/>
      <c r="S2822" s="141">
        <v>685000.0</v>
      </c>
      <c r="T2822" s="141">
        <v>3212000.0</v>
      </c>
      <c r="U2822" s="149"/>
      <c r="V2822" s="149"/>
      <c r="W2822" s="149"/>
      <c r="X2822" s="68"/>
      <c r="Y2822" s="68"/>
      <c r="Z2822" s="68"/>
    </row>
    <row r="2823" ht="15.0" customHeight="1">
      <c r="A2823" s="206">
        <v>46127.0</v>
      </c>
      <c r="B2823" s="201" t="s">
        <v>9502</v>
      </c>
      <c r="C2823" s="45" t="s">
        <v>5254</v>
      </c>
      <c r="D2823" s="17" t="str">
        <f>IFERROR(VLOOKUP(C2823,Stock,3,FALSE),"")</f>
        <v>Automotive Film Standard - Black 40%				</v>
      </c>
      <c r="E2823" s="45">
        <v>1.0</v>
      </c>
      <c r="F2823" s="198">
        <v>400000.0</v>
      </c>
      <c r="G2823" s="142">
        <f t="shared" si="84"/>
        <v>400000</v>
      </c>
      <c r="H2823" s="142"/>
      <c r="I2823" s="143">
        <f t="shared" si="83"/>
        <v>400000</v>
      </c>
      <c r="J2823" s="144">
        <f t="shared" si="70"/>
        <v>400000</v>
      </c>
      <c r="K2823" s="17"/>
      <c r="L2823" s="17"/>
      <c r="M2823" s="17"/>
      <c r="N2823" s="68"/>
      <c r="O2823" s="68"/>
      <c r="P2823" s="68"/>
      <c r="Q2823" s="149"/>
      <c r="R2823" s="149"/>
      <c r="S2823" s="149"/>
      <c r="T2823" s="149"/>
      <c r="U2823" s="149"/>
      <c r="V2823" s="149"/>
      <c r="W2823" s="149"/>
      <c r="X2823" s="68"/>
      <c r="Y2823" s="68"/>
      <c r="Z2823" s="68"/>
    </row>
    <row r="2824" ht="15.0" customHeight="1">
      <c r="A2824" s="206">
        <v>46127.0</v>
      </c>
      <c r="B2824" s="201" t="s">
        <v>9502</v>
      </c>
      <c r="C2824" s="45" t="s">
        <v>2770</v>
      </c>
      <c r="D2824" s="17" t="str">
        <f>IFERROR(VLOOKUP(C2824,Stock,3,FALSE),"")</f>
        <v>Transport</v>
      </c>
      <c r="E2824" s="45">
        <v>1.0</v>
      </c>
      <c r="F2824" s="198">
        <v>75000.0</v>
      </c>
      <c r="G2824" s="142">
        <f t="shared" si="84"/>
        <v>75000</v>
      </c>
      <c r="H2824" s="142"/>
      <c r="I2824" s="143">
        <f t="shared" si="83"/>
        <v>75000</v>
      </c>
      <c r="J2824" s="144">
        <f t="shared" si="70"/>
        <v>75000</v>
      </c>
      <c r="K2824" s="17"/>
      <c r="L2824" s="17"/>
      <c r="M2824" s="17"/>
      <c r="N2824" s="68"/>
      <c r="O2824" s="68"/>
      <c r="P2824" s="68"/>
      <c r="Q2824" s="149"/>
      <c r="R2824" s="149"/>
      <c r="S2824" s="149"/>
      <c r="T2824" s="149"/>
      <c r="U2824" s="149"/>
      <c r="V2824" s="149"/>
      <c r="W2824" s="149"/>
      <c r="X2824" s="68"/>
      <c r="Y2824" s="68"/>
      <c r="Z2824" s="68"/>
    </row>
    <row r="2825" ht="15.0" customHeight="1">
      <c r="A2825" s="206">
        <v>46127.0</v>
      </c>
      <c r="B2825" s="370" t="s">
        <v>9506</v>
      </c>
      <c r="C2825" s="569" t="s">
        <v>3181</v>
      </c>
      <c r="D2825" s="455" t="str">
        <f>IFERROR(VLOOKUP(C2825,Stock,3,FALSE),"")</f>
        <v>Toyota Kijang 98- Kapsul Karet</v>
      </c>
      <c r="E2825" s="447">
        <v>1.0</v>
      </c>
      <c r="F2825" s="449">
        <v>1378000.0</v>
      </c>
      <c r="G2825" s="570"/>
      <c r="H2825" s="570"/>
      <c r="I2825" s="570"/>
      <c r="J2825" s="144" t="str">
        <f t="shared" si="70"/>
        <v/>
      </c>
      <c r="K2825" s="45" t="s">
        <v>9507</v>
      </c>
      <c r="L2825" s="199" t="s">
        <v>9490</v>
      </c>
      <c r="M2825" s="17"/>
      <c r="N2825" s="68"/>
      <c r="O2825" s="68"/>
      <c r="P2825" s="68"/>
      <c r="Q2825" s="141">
        <v>1823000.0</v>
      </c>
      <c r="R2825" s="149"/>
      <c r="S2825" s="141">
        <v>100000.0</v>
      </c>
      <c r="T2825" s="149"/>
      <c r="U2825" s="149"/>
      <c r="V2825" s="149"/>
      <c r="W2825" s="149"/>
      <c r="X2825" s="68"/>
      <c r="Y2825" s="68"/>
      <c r="Z2825" s="68"/>
    </row>
    <row r="2826" ht="15.0" customHeight="1">
      <c r="A2826" s="206">
        <v>46127.0</v>
      </c>
      <c r="B2826" s="370"/>
      <c r="C2826" s="447" t="s">
        <v>2770</v>
      </c>
      <c r="D2826" s="455" t="str">
        <f>IFERROR(VLOOKUP(C2826,Stock,3,FALSE),"")</f>
        <v>Transport</v>
      </c>
      <c r="E2826" s="447">
        <v>1.0</v>
      </c>
      <c r="F2826" s="449">
        <v>125000.0</v>
      </c>
      <c r="G2826" s="570"/>
      <c r="H2826" s="570"/>
      <c r="I2826" s="570"/>
      <c r="J2826" s="144" t="str">
        <f t="shared" si="70"/>
        <v/>
      </c>
      <c r="K2826" s="17"/>
      <c r="L2826" s="17"/>
      <c r="M2826" s="17"/>
      <c r="N2826" s="68"/>
      <c r="O2826" s="68"/>
      <c r="P2826" s="68"/>
      <c r="Q2826" s="141">
        <v>105000.0</v>
      </c>
      <c r="R2826" s="149"/>
      <c r="S2826" s="149"/>
      <c r="T2826" s="149"/>
      <c r="U2826" s="149"/>
      <c r="V2826" s="149"/>
      <c r="W2826" s="149"/>
      <c r="X2826" s="68"/>
      <c r="Y2826" s="68"/>
      <c r="Z2826" s="68"/>
    </row>
    <row r="2827" ht="15.0" customHeight="1">
      <c r="A2827" s="206">
        <v>46127.0</v>
      </c>
      <c r="B2827" s="370"/>
      <c r="C2827" s="447" t="s">
        <v>2652</v>
      </c>
      <c r="D2827" s="455" t="str">
        <f>IFERROR(VLOOKUP(C2827,Stock,3,FALSE),"")</f>
        <v/>
      </c>
      <c r="E2827" s="447">
        <v>1.0</v>
      </c>
      <c r="F2827" s="449">
        <v>525000.0</v>
      </c>
      <c r="G2827" s="570"/>
      <c r="H2827" s="570"/>
      <c r="I2827" s="570"/>
      <c r="J2827" s="144" t="str">
        <f t="shared" si="70"/>
        <v/>
      </c>
      <c r="K2827" s="17"/>
      <c r="L2827" s="17"/>
      <c r="M2827" s="17"/>
      <c r="N2827" s="68"/>
      <c r="O2827" s="68"/>
      <c r="P2827" s="68"/>
      <c r="Q2827" s="149"/>
      <c r="R2827" s="149"/>
      <c r="S2827" s="149"/>
      <c r="T2827" s="149"/>
      <c r="U2827" s="149"/>
      <c r="V2827" s="149"/>
      <c r="W2827" s="149"/>
      <c r="X2827" s="68"/>
      <c r="Y2827" s="68"/>
      <c r="Z2827" s="68"/>
    </row>
    <row r="2828" ht="15.0" customHeight="1">
      <c r="A2828" s="206">
        <v>46127.0</v>
      </c>
      <c r="B2828" s="201" t="s">
        <v>9498</v>
      </c>
      <c r="C2828" s="45" t="s">
        <v>3434</v>
      </c>
      <c r="D2828" s="17" t="str">
        <f>IFERROR(VLOOKUP(C2828,Stock,3,FALSE),"")</f>
        <v>List Kaca Depan Code 04</v>
      </c>
      <c r="E2828" s="45">
        <v>1.0</v>
      </c>
      <c r="F2828" s="198">
        <v>275000.0</v>
      </c>
      <c r="G2828" s="142">
        <f t="shared" ref="G2828:G2980" si="85">E2828*F2828</f>
        <v>275000</v>
      </c>
      <c r="H2828" s="142"/>
      <c r="I2828" s="143">
        <f t="shared" ref="I2828:I3006" si="86">G2828-H2828</f>
        <v>275000</v>
      </c>
      <c r="J2828" s="144">
        <f t="shared" si="70"/>
        <v>275000</v>
      </c>
      <c r="K2828" s="45" t="s">
        <v>9499</v>
      </c>
      <c r="L2828" s="199" t="s">
        <v>9500</v>
      </c>
      <c r="M2828" s="17"/>
      <c r="N2828" s="68"/>
      <c r="O2828" s="68"/>
      <c r="P2828" s="68"/>
      <c r="Q2828" s="149"/>
      <c r="R2828" s="149"/>
      <c r="S2828" s="149"/>
      <c r="T2828" s="149"/>
      <c r="U2828" s="149"/>
      <c r="V2828" s="149"/>
      <c r="W2828" s="149"/>
      <c r="X2828" s="68"/>
      <c r="Y2828" s="68"/>
      <c r="Z2828" s="68"/>
    </row>
    <row r="2829" ht="15.0" customHeight="1">
      <c r="A2829" s="206">
        <v>46127.0</v>
      </c>
      <c r="B2829" s="201" t="s">
        <v>9508</v>
      </c>
      <c r="C2829" s="45" t="s">
        <v>3680</v>
      </c>
      <c r="D2829" s="17" t="str">
        <f>IFERROR(VLOOKUP(C2829,Stock,3,FALSE),"")</f>
        <v>Wuling Almaz (Orisinil)</v>
      </c>
      <c r="E2829" s="45">
        <v>1.0</v>
      </c>
      <c r="F2829" s="198">
        <v>3438000.0</v>
      </c>
      <c r="G2829" s="142">
        <f t="shared" si="85"/>
        <v>3438000</v>
      </c>
      <c r="H2829" s="142"/>
      <c r="I2829" s="143">
        <f t="shared" si="86"/>
        <v>3438000</v>
      </c>
      <c r="J2829" s="144">
        <f t="shared" si="70"/>
        <v>3438000</v>
      </c>
      <c r="K2829" s="45" t="s">
        <v>9509</v>
      </c>
      <c r="L2829" s="199" t="s">
        <v>9510</v>
      </c>
      <c r="M2829" s="17"/>
      <c r="N2829" s="64" t="s">
        <v>9511</v>
      </c>
      <c r="O2829" s="68"/>
      <c r="P2829" s="68"/>
      <c r="Q2829" s="149"/>
      <c r="R2829" s="149"/>
      <c r="S2829" s="149"/>
      <c r="T2829" s="141">
        <v>3438000.0</v>
      </c>
      <c r="U2829" s="149"/>
      <c r="V2829" s="149"/>
      <c r="W2829" s="149"/>
      <c r="X2829" s="68"/>
      <c r="Y2829" s="68"/>
      <c r="Z2829" s="68"/>
    </row>
    <row r="2830" ht="15.0" customHeight="1">
      <c r="A2830" s="206">
        <v>46127.0</v>
      </c>
      <c r="B2830" s="398" t="s">
        <v>9512</v>
      </c>
      <c r="C2830" s="479" t="s">
        <v>2782</v>
      </c>
      <c r="D2830" s="525" t="str">
        <f>IFERROR(VLOOKUP(C2830,Stock,3,FALSE),"")</f>
        <v>Bongkar Pasang Kaca Mobil Samping</v>
      </c>
      <c r="E2830" s="479">
        <v>1.0</v>
      </c>
      <c r="F2830" s="519">
        <v>550000.0</v>
      </c>
      <c r="G2830" s="520">
        <f t="shared" si="85"/>
        <v>550000</v>
      </c>
      <c r="H2830" s="520"/>
      <c r="I2830" s="143">
        <f t="shared" si="86"/>
        <v>550000</v>
      </c>
      <c r="J2830" s="144">
        <f t="shared" si="70"/>
        <v>550000</v>
      </c>
      <c r="K2830" s="45" t="s">
        <v>9513</v>
      </c>
      <c r="L2830" s="199" t="s">
        <v>9514</v>
      </c>
      <c r="M2830" s="17"/>
      <c r="N2830" s="64" t="s">
        <v>9515</v>
      </c>
      <c r="O2830" s="68"/>
      <c r="P2830" s="68"/>
      <c r="Q2830" s="149"/>
      <c r="R2830" s="149"/>
      <c r="S2830" s="149"/>
      <c r="T2830" s="141">
        <v>550000.0</v>
      </c>
      <c r="U2830" s="149"/>
      <c r="V2830" s="149"/>
      <c r="W2830" s="149"/>
      <c r="X2830" s="68"/>
      <c r="Y2830" s="68"/>
      <c r="Z2830" s="68"/>
    </row>
    <row r="2831" ht="15.0" customHeight="1">
      <c r="A2831" s="206">
        <v>46127.0</v>
      </c>
      <c r="B2831" s="201" t="s">
        <v>9516</v>
      </c>
      <c r="C2831" s="45" t="s">
        <v>7370</v>
      </c>
      <c r="D2831" s="17" t="str">
        <f>IFERROR(VLOOKUP(C2831,Stock,3,FALSE),"")</f>
        <v>Honda City 02-08 4th Gen Idsi GD8</v>
      </c>
      <c r="E2831" s="45">
        <v>1.0</v>
      </c>
      <c r="F2831" s="198">
        <v>1971000.0</v>
      </c>
      <c r="G2831" s="142">
        <f t="shared" si="85"/>
        <v>1971000</v>
      </c>
      <c r="H2831" s="142"/>
      <c r="I2831" s="143">
        <f t="shared" si="86"/>
        <v>1971000</v>
      </c>
      <c r="J2831" s="144">
        <f t="shared" si="70"/>
        <v>1971000</v>
      </c>
      <c r="K2831" s="45" t="s">
        <v>9517</v>
      </c>
      <c r="L2831" s="199" t="s">
        <v>9518</v>
      </c>
      <c r="M2831" s="17"/>
      <c r="N2831" s="64" t="s">
        <v>9519</v>
      </c>
      <c r="O2831" s="68"/>
      <c r="P2831" s="68"/>
      <c r="Q2831" s="149"/>
      <c r="R2831" s="149"/>
      <c r="S2831" s="149"/>
      <c r="T2831" s="141">
        <v>1971000.0</v>
      </c>
      <c r="U2831" s="149"/>
      <c r="V2831" s="149"/>
      <c r="W2831" s="149"/>
      <c r="X2831" s="68"/>
      <c r="Y2831" s="68"/>
      <c r="Z2831" s="68"/>
    </row>
    <row r="2832" ht="15.0" customHeight="1">
      <c r="A2832" s="206">
        <v>46127.0</v>
      </c>
      <c r="B2832" s="201" t="s">
        <v>9520</v>
      </c>
      <c r="C2832" s="45" t="s">
        <v>4367</v>
      </c>
      <c r="D2832" s="17" t="str">
        <f>IFERROR(VLOOKUP(C2832,Stock,3,FALSE),"")</f>
        <v>Isuzu Panther 00- 2nd Gen</v>
      </c>
      <c r="E2832" s="45">
        <v>1.0</v>
      </c>
      <c r="F2832" s="198">
        <v>550000.0</v>
      </c>
      <c r="G2832" s="142">
        <f t="shared" si="85"/>
        <v>550000</v>
      </c>
      <c r="H2832" s="142"/>
      <c r="I2832" s="143">
        <f t="shared" si="86"/>
        <v>550000</v>
      </c>
      <c r="J2832" s="144">
        <f t="shared" si="70"/>
        <v>550000</v>
      </c>
      <c r="K2832" s="45" t="s">
        <v>9521</v>
      </c>
      <c r="L2832" s="199" t="s">
        <v>9522</v>
      </c>
      <c r="M2832" s="17"/>
      <c r="N2832" s="64" t="s">
        <v>9523</v>
      </c>
      <c r="O2832" s="68"/>
      <c r="P2832" s="68"/>
      <c r="Q2832" s="149"/>
      <c r="R2832" s="149"/>
      <c r="S2832" s="149"/>
      <c r="T2832" s="141">
        <v>550000.0</v>
      </c>
      <c r="U2832" s="149"/>
      <c r="V2832" s="149"/>
      <c r="W2832" s="149"/>
      <c r="X2832" s="68"/>
      <c r="Y2832" s="68"/>
      <c r="Z2832" s="68"/>
    </row>
    <row r="2833" ht="15.0" customHeight="1">
      <c r="A2833" s="206">
        <v>46127.0</v>
      </c>
      <c r="B2833" s="201" t="s">
        <v>9524</v>
      </c>
      <c r="C2833" s="45" t="s">
        <v>9525</v>
      </c>
      <c r="D2833" s="17" t="str">
        <f>IFERROR(VLOOKUP(C2833,Stock,3,FALSE),"")</f>
        <v>Toyota Voxy 22- 2nd Gen (1 Sensor / /\ )</v>
      </c>
      <c r="E2833" s="45">
        <v>1.0</v>
      </c>
      <c r="F2833" s="198">
        <v>3799000.0</v>
      </c>
      <c r="G2833" s="142">
        <f t="shared" si="85"/>
        <v>3799000</v>
      </c>
      <c r="H2833" s="142"/>
      <c r="I2833" s="143">
        <f t="shared" si="86"/>
        <v>3799000</v>
      </c>
      <c r="J2833" s="144">
        <f t="shared" si="70"/>
        <v>3799000</v>
      </c>
      <c r="K2833" s="45" t="s">
        <v>9526</v>
      </c>
      <c r="L2833" s="199" t="s">
        <v>9527</v>
      </c>
      <c r="M2833" s="17"/>
      <c r="N2833" s="64" t="s">
        <v>9528</v>
      </c>
      <c r="O2833" s="68"/>
      <c r="P2833" s="68"/>
      <c r="Q2833" s="149"/>
      <c r="R2833" s="149"/>
      <c r="S2833" s="141">
        <v>100000.0</v>
      </c>
      <c r="T2833" s="149"/>
      <c r="U2833" s="149"/>
      <c r="V2833" s="149"/>
      <c r="W2833" s="149"/>
      <c r="X2833" s="68"/>
      <c r="Y2833" s="68"/>
      <c r="Z2833" s="68"/>
    </row>
    <row r="2834" ht="15.0" customHeight="1">
      <c r="A2834" s="206">
        <v>46127.0</v>
      </c>
      <c r="B2834" s="201"/>
      <c r="C2834" s="45" t="s">
        <v>2770</v>
      </c>
      <c r="D2834" s="17" t="str">
        <f>IFERROR(VLOOKUP(C2834,Stock,3,FALSE),"")</f>
        <v>Transport</v>
      </c>
      <c r="E2834" s="45">
        <v>1.0</v>
      </c>
      <c r="F2834" s="198">
        <v>200000.0</v>
      </c>
      <c r="G2834" s="142">
        <f t="shared" si="85"/>
        <v>200000</v>
      </c>
      <c r="H2834" s="142"/>
      <c r="I2834" s="143">
        <f t="shared" si="86"/>
        <v>200000</v>
      </c>
      <c r="J2834" s="144">
        <f t="shared" si="70"/>
        <v>200000</v>
      </c>
      <c r="K2834" s="17"/>
      <c r="L2834" s="17"/>
      <c r="M2834" s="17"/>
      <c r="N2834" s="68"/>
      <c r="O2834" s="68"/>
      <c r="P2834" s="68"/>
      <c r="Q2834" s="149"/>
      <c r="R2834" s="149"/>
      <c r="S2834" s="149"/>
      <c r="T2834" s="149"/>
      <c r="U2834" s="149"/>
      <c r="V2834" s="149"/>
      <c r="W2834" s="149"/>
      <c r="X2834" s="68"/>
      <c r="Y2834" s="68"/>
      <c r="Z2834" s="68"/>
    </row>
    <row r="2835" ht="15.0" customHeight="1">
      <c r="A2835" s="206">
        <v>46127.0</v>
      </c>
      <c r="B2835" s="201" t="s">
        <v>9529</v>
      </c>
      <c r="C2835" s="45" t="s">
        <v>9530</v>
      </c>
      <c r="D2835" s="17" t="str">
        <f>IFERROR(VLOOKUP(C2835,Stock,3,FALSE),"")</f>
        <v>Toyota Fortuner 05-15 1st Gen </v>
      </c>
      <c r="E2835" s="45">
        <v>1.0</v>
      </c>
      <c r="F2835" s="198">
        <v>1667000.0</v>
      </c>
      <c r="G2835" s="142">
        <f t="shared" si="85"/>
        <v>1667000</v>
      </c>
      <c r="H2835" s="142"/>
      <c r="I2835" s="143">
        <f t="shared" si="86"/>
        <v>1667000</v>
      </c>
      <c r="J2835" s="144">
        <f t="shared" si="70"/>
        <v>1667000</v>
      </c>
      <c r="K2835" s="17"/>
      <c r="L2835" s="17"/>
      <c r="M2835" s="17"/>
      <c r="N2835" s="68"/>
      <c r="O2835" s="68"/>
      <c r="P2835" s="68"/>
      <c r="Q2835" s="149"/>
      <c r="R2835" s="149"/>
      <c r="S2835" s="149"/>
      <c r="T2835" s="149"/>
      <c r="U2835" s="149"/>
      <c r="V2835" s="149"/>
      <c r="W2835" s="149"/>
      <c r="X2835" s="68"/>
      <c r="Y2835" s="68"/>
      <c r="Z2835" s="68"/>
    </row>
    <row r="2836" ht="15.0" customHeight="1">
      <c r="A2836" s="206">
        <v>46127.0</v>
      </c>
      <c r="B2836" s="201" t="s">
        <v>9529</v>
      </c>
      <c r="C2836" s="64" t="s">
        <v>2835</v>
      </c>
      <c r="D2836" s="17" t="str">
        <f>IFERROR(VLOOKUP(C2836,Stock,3,FALSE),"")</f>
        <v>Peti Kayu</v>
      </c>
      <c r="E2836" s="45">
        <v>1.0</v>
      </c>
      <c r="F2836" s="198">
        <v>200000.0</v>
      </c>
      <c r="G2836" s="142">
        <f t="shared" si="85"/>
        <v>200000</v>
      </c>
      <c r="H2836" s="142"/>
      <c r="I2836" s="143">
        <f t="shared" si="86"/>
        <v>200000</v>
      </c>
      <c r="J2836" s="144">
        <f t="shared" si="70"/>
        <v>200000</v>
      </c>
      <c r="K2836" s="17"/>
      <c r="L2836" s="17"/>
      <c r="M2836" s="17"/>
      <c r="N2836" s="68"/>
      <c r="O2836" s="68"/>
      <c r="P2836" s="68"/>
      <c r="Q2836" s="149"/>
      <c r="R2836" s="149"/>
      <c r="S2836" s="149"/>
      <c r="T2836" s="149"/>
      <c r="U2836" s="149"/>
      <c r="V2836" s="149"/>
      <c r="W2836" s="149"/>
      <c r="X2836" s="68"/>
      <c r="Y2836" s="68"/>
      <c r="Z2836" s="68"/>
    </row>
    <row r="2837" ht="15.0" customHeight="1">
      <c r="A2837" s="206">
        <v>46127.0</v>
      </c>
      <c r="B2837" s="266" t="s">
        <v>9531</v>
      </c>
      <c r="C2837" s="269" t="s">
        <v>3246</v>
      </c>
      <c r="D2837" s="274" t="str">
        <f>IFERROR(VLOOKUP(C2837,Stock,3,FALSE),"")</f>
        <v>Toyota Calya / Sigra 16-</v>
      </c>
      <c r="E2837" s="269">
        <v>2.0</v>
      </c>
      <c r="F2837" s="270"/>
      <c r="G2837" s="271">
        <f t="shared" si="85"/>
        <v>0</v>
      </c>
      <c r="H2837" s="271"/>
      <c r="I2837" s="272">
        <f t="shared" si="86"/>
        <v>0</v>
      </c>
      <c r="J2837" s="144">
        <f t="shared" si="70"/>
        <v>0</v>
      </c>
      <c r="K2837" s="269" t="s">
        <v>8867</v>
      </c>
      <c r="L2837" s="274"/>
      <c r="M2837" s="274"/>
      <c r="N2837" s="68"/>
      <c r="O2837" s="68"/>
      <c r="P2837" s="68"/>
      <c r="Q2837" s="149"/>
      <c r="R2837" s="149"/>
      <c r="S2837" s="149"/>
      <c r="T2837" s="149"/>
      <c r="U2837" s="149"/>
      <c r="V2837" s="149"/>
      <c r="W2837" s="149"/>
      <c r="X2837" s="68"/>
      <c r="Y2837" s="68"/>
      <c r="Z2837" s="68"/>
    </row>
    <row r="2838" ht="15.0" customHeight="1">
      <c r="A2838" s="206">
        <v>46127.0</v>
      </c>
      <c r="B2838" s="266"/>
      <c r="C2838" s="269" t="s">
        <v>2973</v>
      </c>
      <c r="D2838" s="274" t="str">
        <f>IFERROR(VLOOKUP(C2838,Stock,3,FALSE),"")</f>
        <v>Suzuki Carry New 19-</v>
      </c>
      <c r="E2838" s="269">
        <v>2.0</v>
      </c>
      <c r="F2838" s="270"/>
      <c r="G2838" s="271">
        <f t="shared" si="85"/>
        <v>0</v>
      </c>
      <c r="H2838" s="271"/>
      <c r="I2838" s="272">
        <f t="shared" si="86"/>
        <v>0</v>
      </c>
      <c r="J2838" s="144">
        <f t="shared" si="70"/>
        <v>0</v>
      </c>
      <c r="K2838" s="269" t="s">
        <v>8867</v>
      </c>
      <c r="L2838" s="274"/>
      <c r="M2838" s="274"/>
      <c r="N2838" s="68"/>
      <c r="O2838" s="68"/>
      <c r="P2838" s="68"/>
      <c r="Q2838" s="149"/>
      <c r="R2838" s="149"/>
      <c r="S2838" s="149"/>
      <c r="T2838" s="149"/>
      <c r="U2838" s="149"/>
      <c r="V2838" s="149"/>
      <c r="W2838" s="149"/>
      <c r="X2838" s="68"/>
      <c r="Y2838" s="68"/>
      <c r="Z2838" s="68"/>
    </row>
    <row r="2839" ht="15.0" customHeight="1">
      <c r="A2839" s="206">
        <v>46127.0</v>
      </c>
      <c r="B2839" s="266"/>
      <c r="C2839" s="269" t="s">
        <v>2003</v>
      </c>
      <c r="D2839" s="274" t="str">
        <f>IFERROR(VLOOKUP(C2839,Stock,3,FALSE),"")</f>
        <v>Toyota Agya/Ayla 13-22 1st Gen</v>
      </c>
      <c r="E2839" s="269">
        <v>1.0</v>
      </c>
      <c r="F2839" s="270"/>
      <c r="G2839" s="271">
        <f t="shared" si="85"/>
        <v>0</v>
      </c>
      <c r="H2839" s="271"/>
      <c r="I2839" s="272">
        <f t="shared" si="86"/>
        <v>0</v>
      </c>
      <c r="J2839" s="144">
        <f t="shared" si="70"/>
        <v>0</v>
      </c>
      <c r="K2839" s="269" t="s">
        <v>8867</v>
      </c>
      <c r="L2839" s="274"/>
      <c r="M2839" s="274"/>
      <c r="N2839" s="68"/>
      <c r="O2839" s="68"/>
      <c r="P2839" s="68"/>
      <c r="Q2839" s="149"/>
      <c r="R2839" s="149"/>
      <c r="S2839" s="149"/>
      <c r="T2839" s="149"/>
      <c r="U2839" s="149"/>
      <c r="V2839" s="149"/>
      <c r="W2839" s="149"/>
      <c r="X2839" s="68"/>
      <c r="Y2839" s="68"/>
      <c r="Z2839" s="68"/>
    </row>
    <row r="2840" ht="15.0" customHeight="1">
      <c r="A2840" s="206">
        <v>46127.0</v>
      </c>
      <c r="B2840" s="266"/>
      <c r="C2840" s="269" t="s">
        <v>7270</v>
      </c>
      <c r="D2840" s="274" t="str">
        <f>IFERROR(VLOOKUP(C2840,Stock,3,FALSE),"")</f>
        <v>Toyota Fortuner 05-15 1st Gen</v>
      </c>
      <c r="E2840" s="269">
        <v>2.0</v>
      </c>
      <c r="F2840" s="270"/>
      <c r="G2840" s="271">
        <f t="shared" si="85"/>
        <v>0</v>
      </c>
      <c r="H2840" s="271"/>
      <c r="I2840" s="272">
        <f t="shared" si="86"/>
        <v>0</v>
      </c>
      <c r="J2840" s="144">
        <f t="shared" si="70"/>
        <v>0</v>
      </c>
      <c r="K2840" s="269" t="s">
        <v>8867</v>
      </c>
      <c r="L2840" s="274"/>
      <c r="M2840" s="274"/>
      <c r="N2840" s="68"/>
      <c r="O2840" s="68"/>
      <c r="P2840" s="68"/>
      <c r="Q2840" s="149"/>
      <c r="R2840" s="149"/>
      <c r="S2840" s="149"/>
      <c r="T2840" s="149"/>
      <c r="U2840" s="149"/>
      <c r="V2840" s="149"/>
      <c r="W2840" s="149"/>
      <c r="X2840" s="68"/>
      <c r="Y2840" s="68"/>
      <c r="Z2840" s="68"/>
    </row>
    <row r="2841" ht="15.0" customHeight="1">
      <c r="A2841" s="206">
        <v>46127.0</v>
      </c>
      <c r="B2841" s="266"/>
      <c r="C2841" s="269" t="s">
        <v>3073</v>
      </c>
      <c r="D2841" s="274" t="str">
        <f>IFERROR(VLOOKUP(C2841,Stock,3,FALSE),"")</f>
        <v>Toyota Innova 15- 2nd Gen</v>
      </c>
      <c r="E2841" s="269">
        <v>2.0</v>
      </c>
      <c r="F2841" s="270"/>
      <c r="G2841" s="271">
        <f t="shared" si="85"/>
        <v>0</v>
      </c>
      <c r="H2841" s="271"/>
      <c r="I2841" s="272">
        <f t="shared" si="86"/>
        <v>0</v>
      </c>
      <c r="J2841" s="144">
        <f t="shared" si="70"/>
        <v>0</v>
      </c>
      <c r="K2841" s="269" t="s">
        <v>8867</v>
      </c>
      <c r="L2841" s="274"/>
      <c r="M2841" s="274"/>
      <c r="N2841" s="68"/>
      <c r="O2841" s="68"/>
      <c r="P2841" s="68"/>
      <c r="Q2841" s="149"/>
      <c r="R2841" s="149"/>
      <c r="S2841" s="149"/>
      <c r="T2841" s="149"/>
      <c r="U2841" s="149"/>
      <c r="V2841" s="149"/>
      <c r="W2841" s="149"/>
      <c r="X2841" s="68"/>
      <c r="Y2841" s="68"/>
      <c r="Z2841" s="68"/>
    </row>
    <row r="2842" ht="15.0" customHeight="1">
      <c r="A2842" s="206">
        <v>46127.0</v>
      </c>
      <c r="B2842" s="266"/>
      <c r="C2842" s="269" t="s">
        <v>9532</v>
      </c>
      <c r="D2842" s="274" t="str">
        <f>IFERROR(VLOOKUP(C2842,Stock,3,FALSE),"")</f>
        <v>Toyota Altis 06-13 E140 10th Gen</v>
      </c>
      <c r="E2842" s="269">
        <v>1.0</v>
      </c>
      <c r="F2842" s="270"/>
      <c r="G2842" s="271">
        <f t="shared" si="85"/>
        <v>0</v>
      </c>
      <c r="H2842" s="271"/>
      <c r="I2842" s="272">
        <f t="shared" si="86"/>
        <v>0</v>
      </c>
      <c r="J2842" s="144">
        <f t="shared" si="70"/>
        <v>0</v>
      </c>
      <c r="K2842" s="269" t="s">
        <v>8867</v>
      </c>
      <c r="L2842" s="274"/>
      <c r="M2842" s="274"/>
      <c r="N2842" s="68"/>
      <c r="O2842" s="68"/>
      <c r="P2842" s="68"/>
      <c r="Q2842" s="149"/>
      <c r="R2842" s="149"/>
      <c r="S2842" s="149"/>
      <c r="T2842" s="149"/>
      <c r="U2842" s="149"/>
      <c r="V2842" s="149"/>
      <c r="W2842" s="149"/>
      <c r="X2842" s="68"/>
      <c r="Y2842" s="68"/>
      <c r="Z2842" s="68"/>
    </row>
    <row r="2843" ht="15.0" customHeight="1">
      <c r="A2843" s="206">
        <v>46127.0</v>
      </c>
      <c r="B2843" s="266"/>
      <c r="C2843" s="269" t="s">
        <v>9119</v>
      </c>
      <c r="D2843" s="274" t="str">
        <f>IFERROR(VLOOKUP(C2843,Stock,3,FALSE),"")</f>
        <v>Toyota Altis 06-13 E140 10th Gen</v>
      </c>
      <c r="E2843" s="269">
        <v>1.0</v>
      </c>
      <c r="F2843" s="270"/>
      <c r="G2843" s="271">
        <f t="shared" si="85"/>
        <v>0</v>
      </c>
      <c r="H2843" s="271"/>
      <c r="I2843" s="272">
        <f t="shared" si="86"/>
        <v>0</v>
      </c>
      <c r="J2843" s="144">
        <f t="shared" si="70"/>
        <v>0</v>
      </c>
      <c r="K2843" s="269" t="s">
        <v>8867</v>
      </c>
      <c r="L2843" s="274"/>
      <c r="M2843" s="274"/>
      <c r="N2843" s="68"/>
      <c r="O2843" s="68"/>
      <c r="P2843" s="68"/>
      <c r="Q2843" s="149"/>
      <c r="R2843" s="149"/>
      <c r="S2843" s="149"/>
      <c r="T2843" s="149"/>
      <c r="U2843" s="149"/>
      <c r="V2843" s="149"/>
      <c r="W2843" s="149"/>
      <c r="X2843" s="68"/>
      <c r="Y2843" s="68"/>
      <c r="Z2843" s="68"/>
    </row>
    <row r="2844" ht="15.0" customHeight="1">
      <c r="A2844" s="206">
        <v>46127.0</v>
      </c>
      <c r="B2844" s="266"/>
      <c r="C2844" s="269" t="s">
        <v>9533</v>
      </c>
      <c r="D2844" s="274" t="str">
        <f>IFERROR(VLOOKUP(C2844,Stock,3,FALSE),"")</f>
        <v>Toyota Fortuner 15- 2nd Gen</v>
      </c>
      <c r="E2844" s="269">
        <v>1.0</v>
      </c>
      <c r="F2844" s="270"/>
      <c r="G2844" s="271">
        <f t="shared" si="85"/>
        <v>0</v>
      </c>
      <c r="H2844" s="271"/>
      <c r="I2844" s="272">
        <f t="shared" si="86"/>
        <v>0</v>
      </c>
      <c r="J2844" s="144">
        <f t="shared" si="70"/>
        <v>0</v>
      </c>
      <c r="K2844" s="269" t="s">
        <v>8867</v>
      </c>
      <c r="L2844" s="274"/>
      <c r="M2844" s="274"/>
      <c r="N2844" s="68"/>
      <c r="O2844" s="68"/>
      <c r="P2844" s="68"/>
      <c r="Q2844" s="149"/>
      <c r="R2844" s="149"/>
      <c r="S2844" s="149"/>
      <c r="T2844" s="149"/>
      <c r="U2844" s="149"/>
      <c r="V2844" s="149"/>
      <c r="W2844" s="149"/>
      <c r="X2844" s="68"/>
      <c r="Y2844" s="68"/>
      <c r="Z2844" s="68"/>
    </row>
    <row r="2845" ht="15.0" customHeight="1">
      <c r="A2845" s="206">
        <v>46127.0</v>
      </c>
      <c r="B2845" s="266"/>
      <c r="C2845" s="269" t="s">
        <v>3588</v>
      </c>
      <c r="D2845" s="274" t="str">
        <f>IFERROR(VLOOKUP(C2845,Stock,3,FALSE),"")</f>
        <v>Toyota Fortuner 15- 2nd Gen</v>
      </c>
      <c r="E2845" s="269">
        <v>1.0</v>
      </c>
      <c r="F2845" s="270"/>
      <c r="G2845" s="271">
        <f t="shared" si="85"/>
        <v>0</v>
      </c>
      <c r="H2845" s="271"/>
      <c r="I2845" s="272">
        <f t="shared" si="86"/>
        <v>0</v>
      </c>
      <c r="J2845" s="144">
        <f t="shared" si="70"/>
        <v>0</v>
      </c>
      <c r="K2845" s="269" t="s">
        <v>8867</v>
      </c>
      <c r="L2845" s="274"/>
      <c r="M2845" s="274"/>
      <c r="N2845" s="68"/>
      <c r="O2845" s="68"/>
      <c r="P2845" s="68"/>
      <c r="Q2845" s="149"/>
      <c r="R2845" s="149"/>
      <c r="S2845" s="149"/>
      <c r="T2845" s="149"/>
      <c r="U2845" s="149"/>
      <c r="V2845" s="149"/>
      <c r="W2845" s="149"/>
      <c r="X2845" s="68"/>
      <c r="Y2845" s="68"/>
      <c r="Z2845" s="68"/>
    </row>
    <row r="2846" ht="15.0" customHeight="1">
      <c r="A2846" s="206">
        <v>46127.0</v>
      </c>
      <c r="B2846" s="266"/>
      <c r="C2846" s="269" t="s">
        <v>7320</v>
      </c>
      <c r="D2846" s="274" t="str">
        <f>IFERROR(VLOOKUP(C2846,Stock,3,FALSE),"")</f>
        <v>Wuling Confero (Tanpa Spionnya)</v>
      </c>
      <c r="E2846" s="269">
        <v>2.0</v>
      </c>
      <c r="F2846" s="270"/>
      <c r="G2846" s="271">
        <f t="shared" si="85"/>
        <v>0</v>
      </c>
      <c r="H2846" s="271"/>
      <c r="I2846" s="272">
        <f t="shared" si="86"/>
        <v>0</v>
      </c>
      <c r="J2846" s="144">
        <f t="shared" si="70"/>
        <v>0</v>
      </c>
      <c r="K2846" s="269" t="s">
        <v>8867</v>
      </c>
      <c r="L2846" s="274"/>
      <c r="M2846" s="274"/>
      <c r="N2846" s="68"/>
      <c r="O2846" s="68"/>
      <c r="P2846" s="68"/>
      <c r="Q2846" s="149"/>
      <c r="R2846" s="149"/>
      <c r="S2846" s="149"/>
      <c r="T2846" s="149"/>
      <c r="U2846" s="149"/>
      <c r="V2846" s="149"/>
      <c r="W2846" s="149"/>
      <c r="X2846" s="68"/>
      <c r="Y2846" s="68"/>
      <c r="Z2846" s="68"/>
    </row>
    <row r="2847" ht="15.0" customHeight="1">
      <c r="A2847" s="206">
        <v>46127.0</v>
      </c>
      <c r="B2847" s="266"/>
      <c r="C2847" s="269" t="s">
        <v>2995</v>
      </c>
      <c r="D2847" s="274" t="str">
        <f>IFERROR(VLOOKUP(C2847,Stock,3,FALSE),"")</f>
        <v>Honda CR-V 02-04 2nd Gen (Spion Jepit)</v>
      </c>
      <c r="E2847" s="269">
        <v>2.0</v>
      </c>
      <c r="F2847" s="270"/>
      <c r="G2847" s="271">
        <f t="shared" si="85"/>
        <v>0</v>
      </c>
      <c r="H2847" s="271"/>
      <c r="I2847" s="272">
        <f t="shared" si="86"/>
        <v>0</v>
      </c>
      <c r="J2847" s="144">
        <f t="shared" si="70"/>
        <v>0</v>
      </c>
      <c r="K2847" s="269" t="s">
        <v>8867</v>
      </c>
      <c r="L2847" s="274"/>
      <c r="M2847" s="274"/>
      <c r="N2847" s="68"/>
      <c r="O2847" s="68"/>
      <c r="P2847" s="68"/>
      <c r="Q2847" s="149"/>
      <c r="R2847" s="149"/>
      <c r="S2847" s="149"/>
      <c r="T2847" s="149"/>
      <c r="U2847" s="149"/>
      <c r="V2847" s="149"/>
      <c r="W2847" s="149"/>
      <c r="X2847" s="68"/>
      <c r="Y2847" s="68"/>
      <c r="Z2847" s="68"/>
    </row>
    <row r="2848" ht="15.0" customHeight="1">
      <c r="A2848" s="206">
        <v>46127.0</v>
      </c>
      <c r="B2848" s="266"/>
      <c r="C2848" s="269" t="s">
        <v>9534</v>
      </c>
      <c r="D2848" s="274" t="str">
        <f>IFERROR(VLOOKUP(C2848,Stock,3,FALSE),"")</f>
        <v>Mitsubishi Lancer 95-03 LG41/CK2/CK4(Evo4)</v>
      </c>
      <c r="E2848" s="269"/>
      <c r="F2848" s="270"/>
      <c r="G2848" s="271">
        <f t="shared" si="85"/>
        <v>0</v>
      </c>
      <c r="H2848" s="271"/>
      <c r="I2848" s="272">
        <f t="shared" si="86"/>
        <v>0</v>
      </c>
      <c r="J2848" s="144">
        <f t="shared" si="70"/>
        <v>0</v>
      </c>
      <c r="K2848" s="269" t="s">
        <v>8867</v>
      </c>
      <c r="L2848" s="274"/>
      <c r="M2848" s="274"/>
      <c r="N2848" s="68"/>
      <c r="O2848" s="68"/>
      <c r="P2848" s="68"/>
      <c r="Q2848" s="149"/>
      <c r="R2848" s="149"/>
      <c r="S2848" s="149"/>
      <c r="T2848" s="149"/>
      <c r="U2848" s="149"/>
      <c r="V2848" s="149"/>
      <c r="W2848" s="149"/>
      <c r="X2848" s="68"/>
      <c r="Y2848" s="68"/>
      <c r="Z2848" s="68"/>
    </row>
    <row r="2849" ht="15.0" customHeight="1">
      <c r="A2849" s="206">
        <v>46127.0</v>
      </c>
      <c r="B2849" s="266"/>
      <c r="C2849" s="269" t="s">
        <v>2978</v>
      </c>
      <c r="D2849" s="274" t="str">
        <f>IFERROR(VLOOKUP(C2849,Stock,3,FALSE),"")</f>
        <v>Chery QQ 03-15 S11 5D / Spark 98-05</v>
      </c>
      <c r="E2849" s="269"/>
      <c r="F2849" s="270"/>
      <c r="G2849" s="271">
        <f t="shared" si="85"/>
        <v>0</v>
      </c>
      <c r="H2849" s="271"/>
      <c r="I2849" s="272">
        <f t="shared" si="86"/>
        <v>0</v>
      </c>
      <c r="J2849" s="144">
        <f t="shared" si="70"/>
        <v>0</v>
      </c>
      <c r="K2849" s="269" t="s">
        <v>8867</v>
      </c>
      <c r="L2849" s="274"/>
      <c r="M2849" s="274"/>
      <c r="N2849" s="68"/>
      <c r="O2849" s="68"/>
      <c r="P2849" s="68"/>
      <c r="Q2849" s="149"/>
      <c r="R2849" s="149"/>
      <c r="S2849" s="149"/>
      <c r="T2849" s="149"/>
      <c r="U2849" s="149"/>
      <c r="V2849" s="149"/>
      <c r="W2849" s="149"/>
      <c r="X2849" s="68"/>
      <c r="Y2849" s="68"/>
      <c r="Z2849" s="68"/>
    </row>
    <row r="2850" ht="15.0" customHeight="1">
      <c r="A2850" s="206">
        <v>46128.0</v>
      </c>
      <c r="B2850" s="201" t="s">
        <v>9535</v>
      </c>
      <c r="C2850" s="45" t="s">
        <v>4663</v>
      </c>
      <c r="D2850" s="17" t="str">
        <f>IFERROR(VLOOKUP(C2850,Stock,3,FALSE),"")</f>
        <v>Toyota Raize / Daihatsu Rocky 20- (Toyota/Daihatsu)</v>
      </c>
      <c r="E2850" s="45">
        <v>1.0</v>
      </c>
      <c r="F2850" s="198">
        <v>984000.0</v>
      </c>
      <c r="G2850" s="142">
        <f t="shared" si="85"/>
        <v>984000</v>
      </c>
      <c r="H2850" s="142"/>
      <c r="I2850" s="451">
        <f t="shared" si="86"/>
        <v>984000</v>
      </c>
      <c r="J2850" s="144">
        <f t="shared" si="70"/>
        <v>984000</v>
      </c>
      <c r="K2850" s="45" t="s">
        <v>6198</v>
      </c>
      <c r="L2850" s="199" t="s">
        <v>9536</v>
      </c>
      <c r="M2850" s="17"/>
      <c r="N2850" s="64" t="s">
        <v>9537</v>
      </c>
      <c r="O2850" s="68"/>
      <c r="P2850" s="68"/>
      <c r="Q2850" s="149"/>
      <c r="R2850" s="149"/>
      <c r="S2850" s="149"/>
      <c r="T2850" s="141">
        <v>1084000.0</v>
      </c>
      <c r="U2850" s="149"/>
      <c r="V2850" s="149"/>
      <c r="W2850" s="149"/>
      <c r="X2850" s="64" t="s">
        <v>9368</v>
      </c>
      <c r="Y2850" s="68"/>
      <c r="Z2850" s="68"/>
    </row>
    <row r="2851" ht="15.0" customHeight="1">
      <c r="A2851" s="206">
        <v>46128.0</v>
      </c>
      <c r="B2851" s="201"/>
      <c r="C2851" s="45" t="s">
        <v>8411</v>
      </c>
      <c r="D2851" s="17" t="str">
        <f>IFERROR(VLOOKUP(C2851,Stock,3,FALSE),"")</f>
        <v>Automotive Film Standard - Black 80%</v>
      </c>
      <c r="E2851" s="45">
        <v>1.0</v>
      </c>
      <c r="F2851" s="198">
        <v>100000.0</v>
      </c>
      <c r="G2851" s="142">
        <f t="shared" si="85"/>
        <v>100000</v>
      </c>
      <c r="H2851" s="142"/>
      <c r="I2851" s="451">
        <f t="shared" si="86"/>
        <v>100000</v>
      </c>
      <c r="J2851" s="144">
        <f t="shared" si="70"/>
        <v>100000</v>
      </c>
      <c r="K2851" s="45" t="s">
        <v>6198</v>
      </c>
      <c r="L2851" s="199" t="s">
        <v>9536</v>
      </c>
      <c r="M2851" s="17"/>
      <c r="N2851" s="68"/>
      <c r="O2851" s="68"/>
      <c r="P2851" s="68"/>
      <c r="Q2851" s="149"/>
      <c r="R2851" s="149"/>
      <c r="S2851" s="149"/>
      <c r="T2851" s="149"/>
      <c r="U2851" s="149"/>
      <c r="V2851" s="149"/>
      <c r="W2851" s="149"/>
      <c r="X2851" s="68"/>
      <c r="Y2851" s="68"/>
      <c r="Z2851" s="68"/>
    </row>
    <row r="2852" ht="15.0" customHeight="1">
      <c r="A2852" s="206">
        <v>46128.0</v>
      </c>
      <c r="B2852" s="201" t="s">
        <v>9538</v>
      </c>
      <c r="C2852" s="443" t="s">
        <v>4447</v>
      </c>
      <c r="D2852" s="17" t="str">
        <f>IFERROR(VLOOKUP(C2852,Stock,3,FALSE),"")</f>
        <v>Isuzu Elf 17- New NMR NLR</v>
      </c>
      <c r="E2852" s="45">
        <v>1.0</v>
      </c>
      <c r="F2852" s="198">
        <v>1214000.0</v>
      </c>
      <c r="G2852" s="142">
        <f t="shared" si="85"/>
        <v>1214000</v>
      </c>
      <c r="H2852" s="143">
        <v>100000.0</v>
      </c>
      <c r="I2852" s="451">
        <f t="shared" si="86"/>
        <v>1114000</v>
      </c>
      <c r="J2852" s="144">
        <f t="shared" si="70"/>
        <v>1114000</v>
      </c>
      <c r="K2852" s="45" t="s">
        <v>9539</v>
      </c>
      <c r="L2852" s="17"/>
      <c r="M2852" s="17"/>
      <c r="N2852" s="68"/>
      <c r="O2852" s="68"/>
      <c r="P2852" s="68"/>
      <c r="Q2852" s="149"/>
      <c r="R2852" s="149"/>
      <c r="S2852" s="149"/>
      <c r="T2852" s="141">
        <v>1114000.0</v>
      </c>
      <c r="U2852" s="149"/>
      <c r="V2852" s="149"/>
      <c r="W2852" s="149"/>
      <c r="X2852" s="68"/>
      <c r="Y2852" s="68"/>
      <c r="Z2852" s="68"/>
    </row>
    <row r="2853" ht="15.0" customHeight="1">
      <c r="A2853" s="206">
        <v>46128.0</v>
      </c>
      <c r="B2853" s="201" t="s">
        <v>9540</v>
      </c>
      <c r="C2853" s="45" t="s">
        <v>4144</v>
      </c>
      <c r="D2853" s="17" t="str">
        <f>IFERROR(VLOOKUP(C2853,Stock,3,FALSE),"")</f>
        <v>Toyota Rush / Terios 06-17</v>
      </c>
      <c r="E2853" s="45">
        <v>1.0</v>
      </c>
      <c r="F2853" s="198">
        <v>1250000.0</v>
      </c>
      <c r="G2853" s="142">
        <f t="shared" si="85"/>
        <v>1250000</v>
      </c>
      <c r="H2853" s="142"/>
      <c r="I2853" s="451">
        <f t="shared" si="86"/>
        <v>1250000</v>
      </c>
      <c r="J2853" s="144">
        <f t="shared" si="70"/>
        <v>1250000</v>
      </c>
      <c r="K2853" s="45" t="s">
        <v>9541</v>
      </c>
      <c r="L2853" s="199" t="s">
        <v>9542</v>
      </c>
      <c r="M2853" s="17"/>
      <c r="N2853" s="64" t="s">
        <v>9543</v>
      </c>
      <c r="O2853" s="68"/>
      <c r="P2853" s="68"/>
      <c r="Q2853" s="149"/>
      <c r="R2853" s="149"/>
      <c r="S2853" s="141">
        <v>100000.0</v>
      </c>
      <c r="T2853" s="141">
        <v>1300000.0</v>
      </c>
      <c r="U2853" s="149"/>
      <c r="V2853" s="149"/>
      <c r="W2853" s="149"/>
      <c r="X2853" s="68"/>
      <c r="Y2853" s="68"/>
      <c r="Z2853" s="68"/>
    </row>
    <row r="2854" ht="15.0" customHeight="1">
      <c r="A2854" s="206">
        <v>46128.0</v>
      </c>
      <c r="B2854" s="201"/>
      <c r="C2854" s="45" t="s">
        <v>2770</v>
      </c>
      <c r="D2854" s="17" t="str">
        <f>IFERROR(VLOOKUP(C2854,Stock,3,FALSE),"")</f>
        <v>Transport</v>
      </c>
      <c r="E2854" s="45">
        <v>1.0</v>
      </c>
      <c r="F2854" s="198">
        <v>150000.0</v>
      </c>
      <c r="G2854" s="142">
        <f t="shared" si="85"/>
        <v>150000</v>
      </c>
      <c r="H2854" s="142"/>
      <c r="I2854" s="451">
        <f t="shared" si="86"/>
        <v>150000</v>
      </c>
      <c r="J2854" s="144">
        <f t="shared" si="70"/>
        <v>150000</v>
      </c>
      <c r="K2854" s="17"/>
      <c r="L2854" s="17"/>
      <c r="M2854" s="17"/>
      <c r="N2854" s="68"/>
      <c r="O2854" s="68"/>
      <c r="P2854" s="68"/>
      <c r="Q2854" s="149"/>
      <c r="R2854" s="149"/>
      <c r="S2854" s="149"/>
      <c r="T2854" s="149"/>
      <c r="U2854" s="149"/>
      <c r="V2854" s="149"/>
      <c r="W2854" s="149"/>
      <c r="X2854" s="68"/>
      <c r="Y2854" s="68"/>
      <c r="Z2854" s="68"/>
    </row>
    <row r="2855" ht="15.0" customHeight="1">
      <c r="A2855" s="206">
        <v>46128.0</v>
      </c>
      <c r="B2855" s="201" t="s">
        <v>9544</v>
      </c>
      <c r="C2855" s="45" t="s">
        <v>7320</v>
      </c>
      <c r="D2855" s="17" t="str">
        <f>IFERROR(VLOOKUP(C2855,Stock,3,FALSE),"")</f>
        <v>Wuling Confero (Tanpa Spionnya)</v>
      </c>
      <c r="E2855" s="45">
        <v>1.0</v>
      </c>
      <c r="F2855" s="198">
        <v>1340000.0</v>
      </c>
      <c r="G2855" s="142">
        <f t="shared" si="85"/>
        <v>1340000</v>
      </c>
      <c r="H2855" s="142"/>
      <c r="I2855" s="451">
        <f t="shared" si="86"/>
        <v>1340000</v>
      </c>
      <c r="J2855" s="144">
        <f t="shared" si="70"/>
        <v>1340000</v>
      </c>
      <c r="K2855" s="548" t="s">
        <v>9545</v>
      </c>
      <c r="L2855" s="45" t="s">
        <v>9546</v>
      </c>
      <c r="M2855" s="17"/>
      <c r="N2855" s="68"/>
      <c r="O2855" s="68"/>
      <c r="P2855" s="68"/>
      <c r="Q2855" s="149"/>
      <c r="R2855" s="149"/>
      <c r="S2855" s="141">
        <v>100000.0</v>
      </c>
      <c r="T2855" s="141">
        <v>1415000.0</v>
      </c>
      <c r="U2855" s="149"/>
      <c r="V2855" s="149"/>
      <c r="W2855" s="149"/>
      <c r="X2855" s="64" t="s">
        <v>9368</v>
      </c>
      <c r="Y2855" s="68"/>
      <c r="Z2855" s="68"/>
    </row>
    <row r="2856" ht="15.0" customHeight="1">
      <c r="A2856" s="206">
        <v>46128.0</v>
      </c>
      <c r="B2856" s="201"/>
      <c r="C2856" s="45" t="s">
        <v>2770</v>
      </c>
      <c r="D2856" s="17" t="str">
        <f>IFERROR(VLOOKUP(C2856,Stock,3,FALSE),"")</f>
        <v>Transport</v>
      </c>
      <c r="E2856" s="45">
        <v>1.0</v>
      </c>
      <c r="F2856" s="198">
        <v>175000.0</v>
      </c>
      <c r="G2856" s="142">
        <f t="shared" si="85"/>
        <v>175000</v>
      </c>
      <c r="H2856" s="142"/>
      <c r="I2856" s="451">
        <f t="shared" si="86"/>
        <v>175000</v>
      </c>
      <c r="J2856" s="144">
        <f t="shared" si="70"/>
        <v>175000</v>
      </c>
      <c r="K2856" s="17"/>
      <c r="L2856" s="17"/>
      <c r="M2856" s="17"/>
      <c r="N2856" s="68"/>
      <c r="O2856" s="68"/>
      <c r="P2856" s="68"/>
      <c r="Q2856" s="149"/>
      <c r="R2856" s="149"/>
      <c r="S2856" s="149"/>
      <c r="T2856" s="149"/>
      <c r="U2856" s="149"/>
      <c r="V2856" s="149"/>
      <c r="W2856" s="149"/>
      <c r="X2856" s="68"/>
      <c r="Y2856" s="68"/>
      <c r="Z2856" s="68"/>
    </row>
    <row r="2857" ht="15.0" customHeight="1">
      <c r="A2857" s="206">
        <v>46128.0</v>
      </c>
      <c r="B2857" s="201" t="s">
        <v>9547</v>
      </c>
      <c r="C2857" s="45" t="s">
        <v>9548</v>
      </c>
      <c r="D2857" s="17" t="str">
        <f>IFERROR(VLOOKUP(C2857,Stock,3,FALSE),"")</f>
        <v>Suzuki Ertiga 18- 2nd Gen (ORI MULIA) / XL7</v>
      </c>
      <c r="E2857" s="45">
        <v>1.0</v>
      </c>
      <c r="F2857" s="198">
        <v>885000.0</v>
      </c>
      <c r="G2857" s="142">
        <f t="shared" si="85"/>
        <v>885000</v>
      </c>
      <c r="H2857" s="142"/>
      <c r="I2857" s="451">
        <f t="shared" si="86"/>
        <v>885000</v>
      </c>
      <c r="J2857" s="144">
        <f t="shared" si="70"/>
        <v>885000</v>
      </c>
      <c r="K2857" s="45" t="s">
        <v>9549</v>
      </c>
      <c r="L2857" s="199" t="s">
        <v>9550</v>
      </c>
      <c r="M2857" s="17"/>
      <c r="N2857" s="68"/>
      <c r="O2857" s="68"/>
      <c r="P2857" s="68"/>
      <c r="Q2857" s="149"/>
      <c r="R2857" s="149"/>
      <c r="S2857" s="141">
        <v>100000.0</v>
      </c>
      <c r="T2857" s="141">
        <v>1160000.0</v>
      </c>
      <c r="U2857" s="149"/>
      <c r="V2857" s="149"/>
      <c r="W2857" s="149"/>
      <c r="X2857" s="68"/>
      <c r="Y2857" s="68"/>
      <c r="Z2857" s="68"/>
    </row>
    <row r="2858" ht="15.0" customHeight="1">
      <c r="A2858" s="206">
        <v>46128.0</v>
      </c>
      <c r="B2858" s="201"/>
      <c r="C2858" s="45" t="s">
        <v>5254</v>
      </c>
      <c r="D2858" s="17" t="str">
        <f>IFERROR(VLOOKUP(C2858,Stock,3,FALSE),"")</f>
        <v>Automotive Film Standard - Black 40%				</v>
      </c>
      <c r="E2858" s="45">
        <v>1.0</v>
      </c>
      <c r="F2858" s="198">
        <v>200000.0</v>
      </c>
      <c r="G2858" s="142">
        <f t="shared" si="85"/>
        <v>200000</v>
      </c>
      <c r="H2858" s="142"/>
      <c r="I2858" s="451">
        <f t="shared" si="86"/>
        <v>200000</v>
      </c>
      <c r="J2858" s="144">
        <f t="shared" si="70"/>
        <v>200000</v>
      </c>
      <c r="K2858" s="17"/>
      <c r="L2858" s="17"/>
      <c r="M2858" s="17"/>
      <c r="N2858" s="68"/>
      <c r="O2858" s="68"/>
      <c r="P2858" s="68"/>
      <c r="Q2858" s="149"/>
      <c r="R2858" s="149"/>
      <c r="S2858" s="149"/>
      <c r="T2858" s="149"/>
      <c r="U2858" s="149"/>
      <c r="V2858" s="149"/>
      <c r="W2858" s="149"/>
      <c r="X2858" s="68"/>
      <c r="Y2858" s="68"/>
      <c r="Z2858" s="68"/>
    </row>
    <row r="2859" ht="15.0" customHeight="1">
      <c r="A2859" s="206">
        <v>46128.0</v>
      </c>
      <c r="B2859" s="201"/>
      <c r="C2859" s="45" t="s">
        <v>2770</v>
      </c>
      <c r="D2859" s="17" t="str">
        <f>IFERROR(VLOOKUP(C2859,Stock,3,FALSE),"")</f>
        <v>Transport</v>
      </c>
      <c r="E2859" s="45">
        <v>1.0</v>
      </c>
      <c r="F2859" s="198">
        <v>175000.0</v>
      </c>
      <c r="G2859" s="142">
        <f t="shared" si="85"/>
        <v>175000</v>
      </c>
      <c r="H2859" s="142"/>
      <c r="I2859" s="451">
        <f t="shared" si="86"/>
        <v>175000</v>
      </c>
      <c r="J2859" s="144">
        <f t="shared" si="70"/>
        <v>175000</v>
      </c>
      <c r="K2859" s="17"/>
      <c r="L2859" s="17"/>
      <c r="M2859" s="17"/>
      <c r="N2859" s="68"/>
      <c r="O2859" s="68"/>
      <c r="P2859" s="68"/>
      <c r="Q2859" s="149"/>
      <c r="R2859" s="149"/>
      <c r="S2859" s="149"/>
      <c r="T2859" s="149"/>
      <c r="U2859" s="149"/>
      <c r="V2859" s="149"/>
      <c r="W2859" s="149"/>
      <c r="X2859" s="68"/>
      <c r="Y2859" s="68"/>
      <c r="Z2859" s="68"/>
    </row>
    <row r="2860" ht="15.0" customHeight="1">
      <c r="A2860" s="206">
        <v>46128.0</v>
      </c>
      <c r="B2860" s="201" t="s">
        <v>9551</v>
      </c>
      <c r="C2860" s="45" t="s">
        <v>8003</v>
      </c>
      <c r="D2860" s="17" t="str">
        <f>IFERROR(VLOOKUP(C2860,Stock,3,FALSE),"")</f>
        <v>Honda CR-V 07-11 3rd Gen</v>
      </c>
      <c r="E2860" s="45">
        <v>1.0</v>
      </c>
      <c r="F2860" s="198">
        <v>1319000.0</v>
      </c>
      <c r="G2860" s="142">
        <f t="shared" si="85"/>
        <v>1319000</v>
      </c>
      <c r="H2860" s="142"/>
      <c r="I2860" s="451">
        <f t="shared" si="86"/>
        <v>1319000</v>
      </c>
      <c r="J2860" s="144">
        <f t="shared" si="70"/>
        <v>1319000</v>
      </c>
      <c r="K2860" s="45" t="s">
        <v>4419</v>
      </c>
      <c r="L2860" s="199" t="s">
        <v>9552</v>
      </c>
      <c r="M2860" s="17"/>
      <c r="N2860" s="64" t="s">
        <v>9553</v>
      </c>
      <c r="O2860" s="68"/>
      <c r="P2860" s="68"/>
      <c r="Q2860" s="149"/>
      <c r="R2860" s="149"/>
      <c r="S2860" s="149"/>
      <c r="T2860" s="141">
        <v>1319000.0</v>
      </c>
      <c r="U2860" s="149"/>
      <c r="V2860" s="149"/>
      <c r="W2860" s="149"/>
      <c r="X2860" s="64" t="s">
        <v>9368</v>
      </c>
      <c r="Y2860" s="68"/>
      <c r="Z2860" s="68"/>
    </row>
    <row r="2861" ht="15.0" customHeight="1">
      <c r="A2861" s="539">
        <v>46129.0</v>
      </c>
      <c r="B2861" s="398" t="s">
        <v>9554</v>
      </c>
      <c r="C2861" s="479" t="s">
        <v>9555</v>
      </c>
      <c r="D2861" s="525" t="str">
        <f>IFERROR(VLOOKUP(C2861,Stock,3,FALSE),"")</f>
        <v>Lexus RX (Harrier) 08-15 AL10 (Hitam)</v>
      </c>
      <c r="E2861" s="479">
        <v>1.0</v>
      </c>
      <c r="F2861" s="519">
        <v>4196000.0</v>
      </c>
      <c r="G2861" s="520">
        <f t="shared" si="85"/>
        <v>4196000</v>
      </c>
      <c r="H2861" s="143">
        <v>146000.0</v>
      </c>
      <c r="I2861" s="451">
        <f t="shared" si="86"/>
        <v>4050000</v>
      </c>
      <c r="J2861" s="144">
        <f t="shared" si="70"/>
        <v>4050000</v>
      </c>
      <c r="K2861" s="45" t="s">
        <v>9556</v>
      </c>
      <c r="L2861" s="199" t="s">
        <v>9557</v>
      </c>
      <c r="M2861" s="17"/>
      <c r="N2861" s="68"/>
      <c r="O2861" s="68"/>
      <c r="P2861" s="68"/>
      <c r="Q2861" s="149"/>
      <c r="R2861" s="149"/>
      <c r="S2861" s="141">
        <v>405000.0</v>
      </c>
      <c r="T2861" s="141">
        <v>3645000.0</v>
      </c>
      <c r="U2861" s="149"/>
      <c r="V2861" s="149"/>
      <c r="W2861" s="149"/>
      <c r="X2861" s="68"/>
      <c r="Y2861" s="68"/>
      <c r="Z2861" s="68"/>
    </row>
    <row r="2862" ht="15.0" customHeight="1">
      <c r="A2862" s="206">
        <v>46129.0</v>
      </c>
      <c r="B2862" s="201" t="s">
        <v>9558</v>
      </c>
      <c r="C2862" s="45" t="s">
        <v>5861</v>
      </c>
      <c r="D2862" s="17" t="str">
        <f>IFERROR(VLOOKUP(C2862,Stock,3,FALSE),"")</f>
        <v>Honda CR-V 07-11 3rd Gen (Honda)</v>
      </c>
      <c r="E2862" s="45">
        <v>1.0</v>
      </c>
      <c r="F2862" s="198">
        <v>4107000.0</v>
      </c>
      <c r="G2862" s="142">
        <f t="shared" si="85"/>
        <v>4107000</v>
      </c>
      <c r="H2862" s="142"/>
      <c r="I2862" s="451">
        <f t="shared" si="86"/>
        <v>4107000</v>
      </c>
      <c r="J2862" s="144">
        <f t="shared" si="70"/>
        <v>4107000</v>
      </c>
      <c r="K2862" s="45" t="s">
        <v>8495</v>
      </c>
      <c r="L2862" s="199" t="s">
        <v>9559</v>
      </c>
      <c r="M2862" s="17"/>
      <c r="N2862" s="68"/>
      <c r="O2862" s="68"/>
      <c r="P2862" s="68"/>
      <c r="Q2862" s="149"/>
      <c r="R2862" s="149"/>
      <c r="S2862" s="149"/>
      <c r="T2862" s="149"/>
      <c r="U2862" s="149"/>
      <c r="V2862" s="149"/>
      <c r="W2862" s="149"/>
      <c r="X2862" s="68"/>
      <c r="Y2862" s="68"/>
      <c r="Z2862" s="68"/>
    </row>
    <row r="2863" ht="15.0" customHeight="1">
      <c r="A2863" s="206">
        <v>46129.0</v>
      </c>
      <c r="B2863" s="201"/>
      <c r="C2863" s="45" t="s">
        <v>2770</v>
      </c>
      <c r="D2863" s="17" t="str">
        <f>IFERROR(VLOOKUP(C2863,Stock,3,FALSE),"")</f>
        <v>Transport</v>
      </c>
      <c r="E2863" s="45">
        <v>1.0</v>
      </c>
      <c r="F2863" s="198">
        <v>350000.0</v>
      </c>
      <c r="G2863" s="142">
        <f t="shared" si="85"/>
        <v>350000</v>
      </c>
      <c r="H2863" s="142"/>
      <c r="I2863" s="451">
        <f t="shared" si="86"/>
        <v>350000</v>
      </c>
      <c r="J2863" s="144">
        <f t="shared" si="70"/>
        <v>350000</v>
      </c>
      <c r="K2863" s="17"/>
      <c r="L2863" s="17"/>
      <c r="M2863" s="17"/>
      <c r="N2863" s="68"/>
      <c r="O2863" s="68"/>
      <c r="P2863" s="68"/>
      <c r="Q2863" s="149"/>
      <c r="R2863" s="149"/>
      <c r="S2863" s="149"/>
      <c r="T2863" s="149"/>
      <c r="U2863" s="149"/>
      <c r="V2863" s="149"/>
      <c r="W2863" s="149"/>
      <c r="X2863" s="68"/>
      <c r="Y2863" s="68"/>
      <c r="Z2863" s="68"/>
    </row>
    <row r="2864" ht="15.0" customHeight="1">
      <c r="A2864" s="539">
        <v>46069.0</v>
      </c>
      <c r="B2864" s="398" t="s">
        <v>9560</v>
      </c>
      <c r="C2864" s="479" t="s">
        <v>9561</v>
      </c>
      <c r="D2864" s="525" t="str">
        <f>IFERROR(VLOOKUP(C2864,Stock,3,FALSE),"")</f>
        <v>Mers-Benz C-Class 93-00 W202</v>
      </c>
      <c r="E2864" s="479">
        <v>1.0</v>
      </c>
      <c r="F2864" s="571"/>
      <c r="G2864" s="520">
        <f t="shared" si="85"/>
        <v>0</v>
      </c>
      <c r="H2864" s="520"/>
      <c r="I2864" s="521">
        <f t="shared" si="86"/>
        <v>0</v>
      </c>
      <c r="J2864" s="522">
        <f t="shared" si="70"/>
        <v>0</v>
      </c>
      <c r="K2864" s="525"/>
      <c r="L2864" s="525"/>
      <c r="M2864" s="525"/>
      <c r="N2864" s="540"/>
      <c r="O2864" s="540"/>
      <c r="P2864" s="540"/>
      <c r="Q2864" s="541"/>
      <c r="R2864" s="541"/>
      <c r="S2864" s="149"/>
      <c r="T2864" s="149"/>
      <c r="U2864" s="149"/>
      <c r="V2864" s="149"/>
      <c r="W2864" s="149"/>
      <c r="X2864" s="68"/>
      <c r="Y2864" s="68"/>
      <c r="Z2864" s="68"/>
    </row>
    <row r="2865" ht="15.0" customHeight="1">
      <c r="A2865" s="539">
        <v>46069.0</v>
      </c>
      <c r="B2865" s="398" t="s">
        <v>9560</v>
      </c>
      <c r="C2865" s="479" t="s">
        <v>2835</v>
      </c>
      <c r="D2865" s="525" t="str">
        <f>IFERROR(VLOOKUP(C2865,Stock,3,FALSE),"")</f>
        <v>Peti Kayu</v>
      </c>
      <c r="E2865" s="479">
        <v>1.0</v>
      </c>
      <c r="F2865" s="571"/>
      <c r="G2865" s="520">
        <f t="shared" si="85"/>
        <v>0</v>
      </c>
      <c r="H2865" s="520"/>
      <c r="I2865" s="521">
        <f t="shared" si="86"/>
        <v>0</v>
      </c>
      <c r="J2865" s="522">
        <f t="shared" si="70"/>
        <v>0</v>
      </c>
      <c r="K2865" s="525"/>
      <c r="L2865" s="525"/>
      <c r="M2865" s="525"/>
      <c r="N2865" s="540"/>
      <c r="O2865" s="540"/>
      <c r="P2865" s="540"/>
      <c r="Q2865" s="541"/>
      <c r="R2865" s="541"/>
      <c r="S2865" s="149"/>
      <c r="T2865" s="149"/>
      <c r="U2865" s="149"/>
      <c r="V2865" s="149"/>
      <c r="W2865" s="149"/>
      <c r="X2865" s="68"/>
      <c r="Y2865" s="68"/>
      <c r="Z2865" s="68"/>
    </row>
    <row r="2866" ht="15.0" customHeight="1">
      <c r="A2866" s="206">
        <v>46129.0</v>
      </c>
      <c r="B2866" s="201" t="s">
        <v>9562</v>
      </c>
      <c r="C2866" s="45" t="s">
        <v>9563</v>
      </c>
      <c r="D2866" s="17" t="str">
        <f>IFERROR(VLOOKUP(C2866,Stock,3,FALSE),"")</f>
        <v>BMW 3 Series 98-06 E46</v>
      </c>
      <c r="E2866" s="45">
        <v>1.0</v>
      </c>
      <c r="F2866" s="198">
        <v>2005000.0</v>
      </c>
      <c r="G2866" s="142">
        <f t="shared" si="85"/>
        <v>2005000</v>
      </c>
      <c r="H2866" s="142"/>
      <c r="I2866" s="451">
        <f t="shared" si="86"/>
        <v>2005000</v>
      </c>
      <c r="J2866" s="144">
        <f t="shared" si="70"/>
        <v>2005000</v>
      </c>
      <c r="K2866" s="45" t="s">
        <v>9564</v>
      </c>
      <c r="L2866" s="199" t="s">
        <v>9565</v>
      </c>
      <c r="M2866" s="17"/>
      <c r="N2866" s="64" t="s">
        <v>9566</v>
      </c>
      <c r="O2866" s="68"/>
      <c r="P2866" s="68"/>
      <c r="Q2866" s="149"/>
      <c r="R2866" s="149"/>
      <c r="S2866" s="149"/>
      <c r="T2866" s="141">
        <v>2005000.0</v>
      </c>
      <c r="U2866" s="149"/>
      <c r="V2866" s="149"/>
      <c r="W2866" s="149"/>
      <c r="X2866" s="64" t="s">
        <v>8388</v>
      </c>
      <c r="Y2866" s="68"/>
      <c r="Z2866" s="68"/>
    </row>
    <row r="2867" ht="15.0" customHeight="1">
      <c r="A2867" s="206">
        <v>46129.0</v>
      </c>
      <c r="B2867" s="201" t="s">
        <v>9567</v>
      </c>
      <c r="C2867" s="45" t="s">
        <v>9568</v>
      </c>
      <c r="D2867" s="17" t="str">
        <f>IFERROR(VLOOKUP(C2867,Stock,3,FALSE),"")</f>
        <v>Toyota Rush / Terios 06-17</v>
      </c>
      <c r="E2867" s="45">
        <v>1.0</v>
      </c>
      <c r="F2867" s="198">
        <v>1050000.0</v>
      </c>
      <c r="G2867" s="142">
        <f t="shared" si="85"/>
        <v>1050000</v>
      </c>
      <c r="H2867" s="142"/>
      <c r="I2867" s="451">
        <f t="shared" si="86"/>
        <v>1050000</v>
      </c>
      <c r="J2867" s="144">
        <f t="shared" si="70"/>
        <v>1050000</v>
      </c>
      <c r="K2867" s="45" t="s">
        <v>9569</v>
      </c>
      <c r="L2867" s="199" t="s">
        <v>9570</v>
      </c>
      <c r="M2867" s="17"/>
      <c r="N2867" s="68"/>
      <c r="O2867" s="68"/>
      <c r="P2867" s="68"/>
      <c r="Q2867" s="149"/>
      <c r="R2867" s="149"/>
      <c r="S2867" s="149"/>
      <c r="T2867" s="141">
        <v>1050000.0</v>
      </c>
      <c r="U2867" s="149"/>
      <c r="V2867" s="149"/>
      <c r="W2867" s="149"/>
      <c r="X2867" s="64" t="s">
        <v>8388</v>
      </c>
      <c r="Y2867" s="68"/>
      <c r="Z2867" s="68"/>
    </row>
    <row r="2868" ht="15.0" customHeight="1">
      <c r="A2868" s="206">
        <v>46129.0</v>
      </c>
      <c r="B2868" s="201" t="s">
        <v>9571</v>
      </c>
      <c r="C2868" s="45" t="s">
        <v>2792</v>
      </c>
      <c r="D2868" s="17" t="str">
        <f>IFERROR(VLOOKUP(C2868,Stock,3,FALSE),"")</f>
        <v>Toyota Calya / Sigra 16-</v>
      </c>
      <c r="E2868" s="45">
        <v>1.0</v>
      </c>
      <c r="F2868" s="198">
        <v>839000.0</v>
      </c>
      <c r="G2868" s="142">
        <f t="shared" si="85"/>
        <v>839000</v>
      </c>
      <c r="H2868" s="142"/>
      <c r="I2868" s="451">
        <f t="shared" si="86"/>
        <v>839000</v>
      </c>
      <c r="J2868" s="144">
        <f t="shared" si="70"/>
        <v>839000</v>
      </c>
      <c r="K2868" s="45" t="s">
        <v>9572</v>
      </c>
      <c r="L2868" s="199" t="s">
        <v>9573</v>
      </c>
      <c r="M2868" s="17"/>
      <c r="N2868" s="68"/>
      <c r="O2868" s="68"/>
      <c r="P2868" s="68"/>
      <c r="Q2868" s="149"/>
      <c r="R2868" s="149"/>
      <c r="S2868" s="149"/>
      <c r="T2868" s="149"/>
      <c r="U2868" s="149"/>
      <c r="V2868" s="149"/>
      <c r="W2868" s="149"/>
      <c r="X2868" s="68"/>
      <c r="Y2868" s="68"/>
      <c r="Z2868" s="68"/>
    </row>
    <row r="2869" ht="15.0" customHeight="1">
      <c r="A2869" s="206">
        <v>46129.0</v>
      </c>
      <c r="B2869" s="201" t="s">
        <v>9571</v>
      </c>
      <c r="C2869" s="45" t="s">
        <v>5254</v>
      </c>
      <c r="D2869" s="17" t="str">
        <f>IFERROR(VLOOKUP(C2869,Stock,3,FALSE),"")</f>
        <v>Automotive Film Standard - Black 40%				</v>
      </c>
      <c r="E2869" s="45">
        <v>1.0</v>
      </c>
      <c r="F2869" s="198">
        <v>300000.0</v>
      </c>
      <c r="G2869" s="142">
        <f t="shared" si="85"/>
        <v>300000</v>
      </c>
      <c r="H2869" s="142"/>
      <c r="I2869" s="451">
        <f t="shared" si="86"/>
        <v>300000</v>
      </c>
      <c r="J2869" s="144">
        <f t="shared" si="70"/>
        <v>300000</v>
      </c>
      <c r="K2869" s="17"/>
      <c r="L2869" s="17"/>
      <c r="M2869" s="17"/>
      <c r="N2869" s="68"/>
      <c r="O2869" s="68"/>
      <c r="P2869" s="68"/>
      <c r="Q2869" s="149"/>
      <c r="R2869" s="149"/>
      <c r="S2869" s="149"/>
      <c r="T2869" s="149"/>
      <c r="U2869" s="149"/>
      <c r="V2869" s="149"/>
      <c r="W2869" s="149"/>
      <c r="X2869" s="68"/>
      <c r="Y2869" s="68"/>
      <c r="Z2869" s="68"/>
    </row>
    <row r="2870" ht="15.0" customHeight="1">
      <c r="A2870" s="421"/>
      <c r="B2870" s="201" t="s">
        <v>9574</v>
      </c>
      <c r="C2870" s="45" t="s">
        <v>2973</v>
      </c>
      <c r="D2870" s="17" t="str">
        <f>IFERROR(VLOOKUP(C2870,Stock,3,FALSE),"")</f>
        <v>Suzuki Carry New 19-</v>
      </c>
      <c r="E2870" s="45">
        <v>1.0</v>
      </c>
      <c r="F2870" s="198">
        <v>1150000.0</v>
      </c>
      <c r="G2870" s="142">
        <f t="shared" si="85"/>
        <v>1150000</v>
      </c>
      <c r="H2870" s="142"/>
      <c r="I2870" s="451">
        <f t="shared" si="86"/>
        <v>1150000</v>
      </c>
      <c r="J2870" s="144">
        <f t="shared" si="70"/>
        <v>1150000</v>
      </c>
      <c r="K2870" s="45" t="s">
        <v>9575</v>
      </c>
      <c r="L2870" s="199" t="s">
        <v>9576</v>
      </c>
      <c r="M2870" s="17"/>
      <c r="N2870" s="68"/>
      <c r="O2870" s="68"/>
      <c r="P2870" s="68"/>
      <c r="Q2870" s="149"/>
      <c r="R2870" s="149"/>
      <c r="S2870" s="141">
        <v>100000.0</v>
      </c>
      <c r="T2870" s="149"/>
      <c r="U2870" s="149"/>
      <c r="V2870" s="149"/>
      <c r="W2870" s="149"/>
      <c r="X2870" s="68"/>
      <c r="Y2870" s="68"/>
      <c r="Z2870" s="68"/>
    </row>
    <row r="2871" ht="15.0" customHeight="1">
      <c r="A2871" s="421"/>
      <c r="B2871" s="201" t="s">
        <v>9574</v>
      </c>
      <c r="C2871" s="45" t="s">
        <v>2770</v>
      </c>
      <c r="D2871" s="17" t="str">
        <f>IFERROR(VLOOKUP(C2871,Stock,3,FALSE),"")</f>
        <v>Transport</v>
      </c>
      <c r="E2871" s="45">
        <v>1.0</v>
      </c>
      <c r="F2871" s="198">
        <v>75000.0</v>
      </c>
      <c r="G2871" s="142">
        <f t="shared" si="85"/>
        <v>75000</v>
      </c>
      <c r="H2871" s="142"/>
      <c r="I2871" s="451">
        <f t="shared" si="86"/>
        <v>75000</v>
      </c>
      <c r="J2871" s="144">
        <f t="shared" si="70"/>
        <v>75000</v>
      </c>
      <c r="K2871" s="17"/>
      <c r="L2871" s="17"/>
      <c r="M2871" s="17"/>
      <c r="N2871" s="68"/>
      <c r="O2871" s="68"/>
      <c r="P2871" s="68"/>
      <c r="Q2871" s="149"/>
      <c r="R2871" s="149"/>
      <c r="S2871" s="149"/>
      <c r="T2871" s="149"/>
      <c r="U2871" s="149"/>
      <c r="V2871" s="149"/>
      <c r="W2871" s="149"/>
      <c r="X2871" s="68"/>
      <c r="Y2871" s="68"/>
      <c r="Z2871" s="68"/>
    </row>
    <row r="2872" ht="15.0" customHeight="1">
      <c r="A2872" s="206">
        <v>46130.0</v>
      </c>
      <c r="B2872" s="201" t="s">
        <v>9577</v>
      </c>
      <c r="C2872" s="45" t="s">
        <v>9578</v>
      </c>
      <c r="D2872" s="17" t="str">
        <f>IFERROR(VLOOKUP(C2872,Stock,3,FALSE),"")</f>
        <v>Toyota Vios 02-07 XP40 1st Gen</v>
      </c>
      <c r="E2872" s="45">
        <v>1.0</v>
      </c>
      <c r="F2872" s="198">
        <v>1406000.0</v>
      </c>
      <c r="G2872" s="142">
        <f t="shared" si="85"/>
        <v>1406000</v>
      </c>
      <c r="H2872" s="142"/>
      <c r="I2872" s="451">
        <f t="shared" si="86"/>
        <v>1406000</v>
      </c>
      <c r="J2872" s="144">
        <f t="shared" si="70"/>
        <v>1406000</v>
      </c>
      <c r="K2872" s="45" t="s">
        <v>9579</v>
      </c>
      <c r="L2872" s="199" t="s">
        <v>9580</v>
      </c>
      <c r="M2872" s="17"/>
      <c r="N2872" s="64" t="s">
        <v>9581</v>
      </c>
      <c r="O2872" s="68"/>
      <c r="P2872" s="68"/>
      <c r="Q2872" s="149"/>
      <c r="R2872" s="149"/>
      <c r="S2872" s="141">
        <v>100000.0</v>
      </c>
      <c r="T2872" s="141">
        <v>1706000.0</v>
      </c>
      <c r="U2872" s="149"/>
      <c r="V2872" s="149"/>
      <c r="W2872" s="149"/>
      <c r="X2872" s="68"/>
      <c r="Y2872" s="68"/>
      <c r="Z2872" s="68"/>
    </row>
    <row r="2873" ht="15.0" customHeight="1">
      <c r="A2873" s="206">
        <v>46130.0</v>
      </c>
      <c r="B2873" s="201" t="s">
        <v>9582</v>
      </c>
      <c r="C2873" s="548" t="s">
        <v>2003</v>
      </c>
      <c r="D2873" s="17" t="str">
        <f>IFERROR(VLOOKUP(C2873,Stock,3,FALSE),"")</f>
        <v>Toyota Agya/Ayla 13-22 1st Gen</v>
      </c>
      <c r="E2873" s="45">
        <v>1.0</v>
      </c>
      <c r="F2873" s="198">
        <v>1000000.0</v>
      </c>
      <c r="G2873" s="142">
        <f t="shared" si="85"/>
        <v>1000000</v>
      </c>
      <c r="H2873" s="142"/>
      <c r="I2873" s="451">
        <f t="shared" si="86"/>
        <v>1000000</v>
      </c>
      <c r="J2873" s="144">
        <f t="shared" si="70"/>
        <v>1000000</v>
      </c>
      <c r="K2873" s="45" t="s">
        <v>6535</v>
      </c>
      <c r="L2873" s="199" t="s">
        <v>9583</v>
      </c>
      <c r="M2873" s="17"/>
      <c r="N2873" s="64" t="s">
        <v>9584</v>
      </c>
      <c r="O2873" s="68"/>
      <c r="P2873" s="68"/>
      <c r="Q2873" s="149"/>
      <c r="R2873" s="149"/>
      <c r="S2873" s="149"/>
      <c r="T2873" s="141">
        <v>1000000.0</v>
      </c>
      <c r="U2873" s="149"/>
      <c r="V2873" s="149"/>
      <c r="W2873" s="149"/>
      <c r="X2873" s="68"/>
      <c r="Y2873" s="68"/>
      <c r="Z2873" s="68"/>
    </row>
    <row r="2874" ht="15.0" customHeight="1">
      <c r="A2874" s="206">
        <v>46130.0</v>
      </c>
      <c r="B2874" s="370" t="s">
        <v>9585</v>
      </c>
      <c r="C2874" s="447" t="s">
        <v>6237</v>
      </c>
      <c r="D2874" s="455" t="str">
        <f>IFERROR(VLOOKUP(C2874,Stock,3,FALSE),"")</f>
        <v>Nissan Quester / Cw445 Quon 05-</v>
      </c>
      <c r="E2874" s="447">
        <v>2.0</v>
      </c>
      <c r="F2874" s="449">
        <v>2469000.0</v>
      </c>
      <c r="G2874" s="450">
        <f t="shared" si="85"/>
        <v>4938000</v>
      </c>
      <c r="H2874" s="450"/>
      <c r="I2874" s="451">
        <f t="shared" si="86"/>
        <v>4938000</v>
      </c>
      <c r="J2874" s="144">
        <f t="shared" si="70"/>
        <v>4938000</v>
      </c>
      <c r="K2874" s="224" t="s">
        <v>9586</v>
      </c>
      <c r="L2874" s="228"/>
      <c r="M2874" s="228"/>
      <c r="N2874" s="68"/>
      <c r="O2874" s="68"/>
      <c r="P2874" s="68"/>
      <c r="Q2874" s="149"/>
      <c r="R2874" s="149"/>
      <c r="S2874" s="141">
        <v>3000000.0</v>
      </c>
      <c r="T2874" s="141">
        <v>5237000.0</v>
      </c>
      <c r="U2874" s="149"/>
      <c r="V2874" s="149"/>
      <c r="W2874" s="149"/>
      <c r="X2874" s="64" t="s">
        <v>8388</v>
      </c>
      <c r="Y2874" s="68"/>
      <c r="Z2874" s="68"/>
    </row>
    <row r="2875" ht="15.0" customHeight="1">
      <c r="A2875" s="206">
        <v>46130.0</v>
      </c>
      <c r="B2875" s="370" t="s">
        <v>9585</v>
      </c>
      <c r="C2875" s="447" t="s">
        <v>8374</v>
      </c>
      <c r="D2875" s="455" t="str">
        <f>IFERROR(VLOOKUP(C2875,Stock,3,FALSE),"")</f>
        <v>Mers-Benz Axor 98- Truck</v>
      </c>
      <c r="E2875" s="447">
        <v>1.0</v>
      </c>
      <c r="F2875" s="449">
        <v>2199000.0</v>
      </c>
      <c r="G2875" s="450">
        <f t="shared" si="85"/>
        <v>2199000</v>
      </c>
      <c r="H2875" s="450"/>
      <c r="I2875" s="451">
        <f t="shared" si="86"/>
        <v>2199000</v>
      </c>
      <c r="J2875" s="144">
        <f t="shared" si="70"/>
        <v>2199000</v>
      </c>
      <c r="K2875" s="224" t="s">
        <v>9586</v>
      </c>
      <c r="L2875" s="228"/>
      <c r="M2875" s="228"/>
      <c r="N2875" s="68"/>
      <c r="O2875" s="68"/>
      <c r="P2875" s="68"/>
      <c r="Q2875" s="149"/>
      <c r="R2875" s="149"/>
      <c r="S2875" s="149"/>
      <c r="T2875" s="149"/>
      <c r="U2875" s="149"/>
      <c r="V2875" s="149"/>
      <c r="W2875" s="149"/>
      <c r="X2875" s="64" t="s">
        <v>8388</v>
      </c>
      <c r="Y2875" s="68"/>
      <c r="Z2875" s="68"/>
    </row>
    <row r="2876" ht="15.0" customHeight="1">
      <c r="A2876" s="206">
        <v>46130.0</v>
      </c>
      <c r="B2876" s="370" t="s">
        <v>9585</v>
      </c>
      <c r="C2876" s="447" t="s">
        <v>2770</v>
      </c>
      <c r="D2876" s="455" t="str">
        <f>IFERROR(VLOOKUP(C2876,Stock,3,FALSE),"")</f>
        <v>Transport</v>
      </c>
      <c r="E2876" s="447">
        <v>1.0</v>
      </c>
      <c r="F2876" s="449">
        <v>1100000.0</v>
      </c>
      <c r="G2876" s="450">
        <f t="shared" si="85"/>
        <v>1100000</v>
      </c>
      <c r="H2876" s="450"/>
      <c r="I2876" s="451">
        <f t="shared" si="86"/>
        <v>1100000</v>
      </c>
      <c r="J2876" s="144">
        <f t="shared" si="70"/>
        <v>1100000</v>
      </c>
      <c r="K2876" s="228"/>
      <c r="L2876" s="228"/>
      <c r="M2876" s="228"/>
      <c r="N2876" s="68"/>
      <c r="O2876" s="68"/>
      <c r="P2876" s="68"/>
      <c r="Q2876" s="149"/>
      <c r="R2876" s="149"/>
      <c r="S2876" s="149"/>
      <c r="T2876" s="149"/>
      <c r="U2876" s="149"/>
      <c r="V2876" s="149"/>
      <c r="W2876" s="149"/>
      <c r="X2876" s="64" t="s">
        <v>8388</v>
      </c>
      <c r="Y2876" s="68"/>
      <c r="Z2876" s="68"/>
    </row>
    <row r="2877" ht="15.0" customHeight="1">
      <c r="A2877" s="539">
        <v>46130.0</v>
      </c>
      <c r="B2877" s="398" t="s">
        <v>9587</v>
      </c>
      <c r="C2877" s="479" t="s">
        <v>2885</v>
      </c>
      <c r="D2877" s="525" t="str">
        <f>IFERROR(VLOOKUP(C2877,Stock,3,FALSE),"")</f>
        <v>Bongkar Pasang Kaca Mobil Belakang</v>
      </c>
      <c r="E2877" s="479">
        <v>1.0</v>
      </c>
      <c r="F2877" s="519">
        <v>650000.0</v>
      </c>
      <c r="G2877" s="520">
        <f t="shared" si="85"/>
        <v>650000</v>
      </c>
      <c r="H2877" s="520"/>
      <c r="I2877" s="521">
        <f t="shared" si="86"/>
        <v>650000</v>
      </c>
      <c r="J2877" s="522">
        <f t="shared" si="70"/>
        <v>650000</v>
      </c>
      <c r="K2877" s="479" t="s">
        <v>9588</v>
      </c>
      <c r="L2877" s="523" t="s">
        <v>9589</v>
      </c>
      <c r="M2877" s="525"/>
      <c r="N2877" s="480" t="s">
        <v>9590</v>
      </c>
      <c r="O2877" s="540"/>
      <c r="P2877" s="540"/>
      <c r="Q2877" s="149"/>
      <c r="R2877" s="149"/>
      <c r="S2877" s="149"/>
      <c r="T2877" s="149"/>
      <c r="U2877" s="149"/>
      <c r="V2877" s="149"/>
      <c r="W2877" s="149"/>
      <c r="X2877" s="68"/>
      <c r="Y2877" s="68"/>
      <c r="Z2877" s="68"/>
    </row>
    <row r="2878" ht="15.0" customHeight="1">
      <c r="A2878" s="206">
        <v>46130.0</v>
      </c>
      <c r="B2878" s="201" t="s">
        <v>9591</v>
      </c>
      <c r="C2878" s="45" t="s">
        <v>4439</v>
      </c>
      <c r="D2878" s="17" t="str">
        <f>IFERROR(VLOOKUP(C2878,Stock,3,FALSE),"")</f>
        <v>Toyota Innova 04-15 1st Gen (Toyota)</v>
      </c>
      <c r="E2878" s="45">
        <v>1.0</v>
      </c>
      <c r="F2878" s="198">
        <v>2788000.0</v>
      </c>
      <c r="G2878" s="142">
        <f t="shared" si="85"/>
        <v>2788000</v>
      </c>
      <c r="H2878" s="142"/>
      <c r="I2878" s="451">
        <f t="shared" si="86"/>
        <v>2788000</v>
      </c>
      <c r="J2878" s="144">
        <f t="shared" si="70"/>
        <v>2788000</v>
      </c>
      <c r="K2878" s="45" t="s">
        <v>3148</v>
      </c>
      <c r="L2878" s="199" t="s">
        <v>9592</v>
      </c>
      <c r="M2878" s="17"/>
      <c r="N2878" s="64" t="s">
        <v>9593</v>
      </c>
      <c r="O2878" s="68"/>
      <c r="P2878" s="68"/>
      <c r="Q2878" s="149"/>
      <c r="R2878" s="149"/>
      <c r="S2878" s="149"/>
      <c r="T2878" s="149"/>
      <c r="U2878" s="149"/>
      <c r="V2878" s="149"/>
      <c r="W2878" s="149"/>
      <c r="X2878" s="68"/>
      <c r="Y2878" s="68"/>
      <c r="Z2878" s="68"/>
    </row>
    <row r="2879" ht="15.0" customHeight="1">
      <c r="A2879" s="206">
        <v>46130.0</v>
      </c>
      <c r="B2879" s="201" t="s">
        <v>9594</v>
      </c>
      <c r="C2879" s="45" t="s">
        <v>5819</v>
      </c>
      <c r="D2879" s="17" t="str">
        <f>IFERROR(VLOOKUP(C2879,Stock,3,FALSE),"")</f>
        <v>Nissan Terra 18- (1 Sensor / /\ )</v>
      </c>
      <c r="E2879" s="45">
        <v>1.0</v>
      </c>
      <c r="F2879" s="198">
        <v>3000000.0</v>
      </c>
      <c r="G2879" s="142">
        <f t="shared" si="85"/>
        <v>3000000</v>
      </c>
      <c r="H2879" s="142"/>
      <c r="I2879" s="451">
        <f t="shared" si="86"/>
        <v>3000000</v>
      </c>
      <c r="J2879" s="144">
        <f t="shared" si="70"/>
        <v>3000000</v>
      </c>
      <c r="K2879" s="45" t="s">
        <v>9595</v>
      </c>
      <c r="L2879" s="199" t="s">
        <v>9596</v>
      </c>
      <c r="M2879" s="17"/>
      <c r="N2879" s="64" t="s">
        <v>9597</v>
      </c>
      <c r="O2879" s="68"/>
      <c r="P2879" s="68"/>
      <c r="Q2879" s="149"/>
      <c r="R2879" s="149"/>
      <c r="S2879" s="141">
        <v>100000.0</v>
      </c>
      <c r="T2879" s="149"/>
      <c r="U2879" s="149"/>
      <c r="V2879" s="149"/>
      <c r="W2879" s="149"/>
      <c r="X2879" s="68"/>
      <c r="Y2879" s="68"/>
      <c r="Z2879" s="68"/>
    </row>
    <row r="2880" ht="15.0" customHeight="1">
      <c r="A2880" s="206">
        <v>46130.0</v>
      </c>
      <c r="B2880" s="201" t="s">
        <v>9594</v>
      </c>
      <c r="C2880" s="45" t="s">
        <v>2770</v>
      </c>
      <c r="D2880" s="17" t="str">
        <f>IFERROR(VLOOKUP(C2880,Stock,3,FALSE),"")</f>
        <v>Transport</v>
      </c>
      <c r="E2880" s="45">
        <v>1.0</v>
      </c>
      <c r="F2880" s="198">
        <v>100000.0</v>
      </c>
      <c r="G2880" s="142">
        <f t="shared" si="85"/>
        <v>100000</v>
      </c>
      <c r="H2880" s="142"/>
      <c r="I2880" s="451">
        <f t="shared" si="86"/>
        <v>100000</v>
      </c>
      <c r="J2880" s="144">
        <f t="shared" si="70"/>
        <v>100000</v>
      </c>
      <c r="K2880" s="17"/>
      <c r="L2880" s="17"/>
      <c r="M2880" s="17"/>
      <c r="N2880" s="68"/>
      <c r="O2880" s="68"/>
      <c r="P2880" s="68"/>
      <c r="Q2880" s="149"/>
      <c r="R2880" s="149"/>
      <c r="S2880" s="149"/>
      <c r="T2880" s="149"/>
      <c r="U2880" s="149"/>
      <c r="V2880" s="149"/>
      <c r="W2880" s="149"/>
      <c r="X2880" s="68"/>
      <c r="Y2880" s="68"/>
      <c r="Z2880" s="68"/>
    </row>
    <row r="2881" ht="15.0" customHeight="1">
      <c r="A2881" s="206">
        <v>46130.0</v>
      </c>
      <c r="B2881" s="201" t="s">
        <v>9598</v>
      </c>
      <c r="C2881" s="64" t="s">
        <v>9599</v>
      </c>
      <c r="D2881" s="17" t="str">
        <f>IFERROR(VLOOKUP(C2881,Stock,3,FALSE),"")</f>
        <v>Toyota Alphard 15-17 ANH30 3rd Gen (Hitam)</v>
      </c>
      <c r="E2881" s="45">
        <v>1.0</v>
      </c>
      <c r="F2881" s="198">
        <v>1648000.0</v>
      </c>
      <c r="G2881" s="142">
        <f t="shared" si="85"/>
        <v>1648000</v>
      </c>
      <c r="H2881" s="142"/>
      <c r="I2881" s="451">
        <f t="shared" si="86"/>
        <v>1648000</v>
      </c>
      <c r="J2881" s="144">
        <f t="shared" si="70"/>
        <v>1648000</v>
      </c>
      <c r="K2881" s="45" t="s">
        <v>9600</v>
      </c>
      <c r="L2881" s="199" t="s">
        <v>9601</v>
      </c>
      <c r="M2881" s="17"/>
      <c r="N2881" s="64" t="s">
        <v>9602</v>
      </c>
      <c r="O2881" s="68"/>
      <c r="P2881" s="68"/>
      <c r="Q2881" s="149"/>
      <c r="R2881" s="149"/>
      <c r="S2881" s="149"/>
      <c r="T2881" s="149"/>
      <c r="U2881" s="149"/>
      <c r="V2881" s="149"/>
      <c r="W2881" s="149"/>
      <c r="X2881" s="68"/>
      <c r="Y2881" s="68"/>
      <c r="Z2881" s="68"/>
    </row>
    <row r="2882" ht="15.0" customHeight="1">
      <c r="A2882" s="206">
        <v>46130.0</v>
      </c>
      <c r="B2882" s="201" t="s">
        <v>9603</v>
      </c>
      <c r="C2882" s="45" t="s">
        <v>3354</v>
      </c>
      <c r="D2882" s="17" t="str">
        <f>IFERROR(VLOOKUP(C2882,Stock,3,FALSE),"")</f>
        <v>Honda Brio 10- / Mobilio 11- (Honda)</v>
      </c>
      <c r="E2882" s="45">
        <v>1.0</v>
      </c>
      <c r="F2882" s="198">
        <v>1772000.0</v>
      </c>
      <c r="G2882" s="142">
        <f t="shared" si="85"/>
        <v>1772000</v>
      </c>
      <c r="H2882" s="142"/>
      <c r="I2882" s="451">
        <f t="shared" si="86"/>
        <v>1772000</v>
      </c>
      <c r="J2882" s="144">
        <f t="shared" si="70"/>
        <v>1772000</v>
      </c>
      <c r="K2882" s="45" t="s">
        <v>9604</v>
      </c>
      <c r="L2882" s="199" t="s">
        <v>9605</v>
      </c>
      <c r="M2882" s="17"/>
      <c r="N2882" s="64" t="s">
        <v>9606</v>
      </c>
      <c r="O2882" s="68"/>
      <c r="P2882" s="68"/>
      <c r="Q2882" s="149"/>
      <c r="R2882" s="149"/>
      <c r="S2882" s="149"/>
      <c r="T2882" s="149"/>
      <c r="U2882" s="149"/>
      <c r="V2882" s="149"/>
      <c r="W2882" s="149"/>
      <c r="X2882" s="68"/>
      <c r="Y2882" s="68"/>
      <c r="Z2882" s="68"/>
    </row>
    <row r="2883" ht="15.0" customHeight="1">
      <c r="A2883" s="206">
        <v>46130.0</v>
      </c>
      <c r="B2883" s="201" t="s">
        <v>9607</v>
      </c>
      <c r="C2883" s="45" t="s">
        <v>3354</v>
      </c>
      <c r="D2883" s="17" t="str">
        <f>IFERROR(VLOOKUP(C2883,Stock,3,FALSE),"")</f>
        <v>Honda Brio 10- / Mobilio 11- (Honda)</v>
      </c>
      <c r="E2883" s="45">
        <v>1.0</v>
      </c>
      <c r="F2883" s="198">
        <v>1772000.0</v>
      </c>
      <c r="G2883" s="142">
        <f t="shared" si="85"/>
        <v>1772000</v>
      </c>
      <c r="H2883" s="142"/>
      <c r="I2883" s="451">
        <f t="shared" si="86"/>
        <v>1772000</v>
      </c>
      <c r="J2883" s="144">
        <f t="shared" si="70"/>
        <v>1772000</v>
      </c>
      <c r="K2883" s="45" t="s">
        <v>9608</v>
      </c>
      <c r="L2883" s="199" t="s">
        <v>9609</v>
      </c>
      <c r="M2883" s="17"/>
      <c r="N2883" s="64" t="s">
        <v>9610</v>
      </c>
      <c r="O2883" s="68"/>
      <c r="P2883" s="68"/>
      <c r="Q2883" s="149"/>
      <c r="R2883" s="149"/>
      <c r="S2883" s="149"/>
      <c r="T2883" s="149"/>
      <c r="U2883" s="149"/>
      <c r="V2883" s="149"/>
      <c r="W2883" s="149"/>
      <c r="X2883" s="68"/>
      <c r="Y2883" s="68"/>
      <c r="Z2883" s="68"/>
    </row>
    <row r="2884" ht="15.0" customHeight="1">
      <c r="A2884" s="206">
        <v>46130.0</v>
      </c>
      <c r="B2884" s="201" t="s">
        <v>9607</v>
      </c>
      <c r="C2884" s="45" t="s">
        <v>2770</v>
      </c>
      <c r="D2884" s="17" t="str">
        <f>IFERROR(VLOOKUP(C2884,Stock,3,FALSE),"")</f>
        <v>Transport</v>
      </c>
      <c r="E2884" s="45">
        <v>1.0</v>
      </c>
      <c r="F2884" s="198">
        <v>50000.0</v>
      </c>
      <c r="G2884" s="142">
        <f t="shared" si="85"/>
        <v>50000</v>
      </c>
      <c r="H2884" s="142"/>
      <c r="I2884" s="451">
        <f t="shared" si="86"/>
        <v>50000</v>
      </c>
      <c r="J2884" s="144">
        <f t="shared" si="70"/>
        <v>50000</v>
      </c>
      <c r="K2884" s="45" t="s">
        <v>9608</v>
      </c>
      <c r="L2884" s="199" t="s">
        <v>9609</v>
      </c>
      <c r="M2884" s="17"/>
      <c r="N2884" s="68"/>
      <c r="O2884" s="68"/>
      <c r="P2884" s="68"/>
      <c r="Q2884" s="149"/>
      <c r="R2884" s="149"/>
      <c r="S2884" s="149"/>
      <c r="T2884" s="149"/>
      <c r="U2884" s="149"/>
      <c r="V2884" s="149"/>
      <c r="W2884" s="149"/>
      <c r="X2884" s="68"/>
      <c r="Y2884" s="68"/>
      <c r="Z2884" s="68"/>
    </row>
    <row r="2885" ht="15.0" customHeight="1">
      <c r="A2885" s="206">
        <v>46130.0</v>
      </c>
      <c r="B2885" s="201" t="s">
        <v>9611</v>
      </c>
      <c r="C2885" s="45" t="s">
        <v>3475</v>
      </c>
      <c r="D2885" s="17" t="str">
        <f>IFERROR(VLOOKUP(C2885,Stock,3,FALSE),"")</f>
        <v>Toyota Avanza / Xenia 03-11 1st Gen</v>
      </c>
      <c r="E2885" s="45">
        <v>1.0</v>
      </c>
      <c r="F2885" s="198">
        <v>1200000.0</v>
      </c>
      <c r="G2885" s="142">
        <f t="shared" si="85"/>
        <v>1200000</v>
      </c>
      <c r="H2885" s="143">
        <v>100000.0</v>
      </c>
      <c r="I2885" s="451">
        <f t="shared" si="86"/>
        <v>1100000</v>
      </c>
      <c r="J2885" s="144">
        <f t="shared" si="70"/>
        <v>1100000</v>
      </c>
      <c r="K2885" s="45" t="s">
        <v>7468</v>
      </c>
      <c r="L2885" s="199" t="s">
        <v>9612</v>
      </c>
      <c r="M2885" s="17"/>
      <c r="N2885" s="64" t="s">
        <v>9613</v>
      </c>
      <c r="O2885" s="68"/>
      <c r="P2885" s="68"/>
      <c r="Q2885" s="149"/>
      <c r="R2885" s="149"/>
      <c r="S2885" s="149"/>
      <c r="T2885" s="141">
        <v>1100000.0</v>
      </c>
      <c r="U2885" s="149"/>
      <c r="V2885" s="149"/>
      <c r="W2885" s="149"/>
      <c r="X2885" s="68"/>
      <c r="Y2885" s="68"/>
      <c r="Z2885" s="68"/>
    </row>
    <row r="2886" ht="15.0" customHeight="1">
      <c r="A2886" s="206">
        <v>46130.0</v>
      </c>
      <c r="B2886" s="201" t="s">
        <v>9614</v>
      </c>
      <c r="C2886" s="13" t="s">
        <v>7270</v>
      </c>
      <c r="D2886" s="17" t="str">
        <f>IFERROR(VLOOKUP(C2886,Stock,3,FALSE),"")</f>
        <v>Toyota Fortuner 05-15 1st Gen</v>
      </c>
      <c r="E2886" s="45">
        <v>1.0</v>
      </c>
      <c r="F2886" s="198">
        <v>1392000.0</v>
      </c>
      <c r="G2886" s="142">
        <f t="shared" si="85"/>
        <v>1392000</v>
      </c>
      <c r="H2886" s="142"/>
      <c r="I2886" s="451">
        <f t="shared" si="86"/>
        <v>1392000</v>
      </c>
      <c r="J2886" s="144">
        <f t="shared" si="70"/>
        <v>1392000</v>
      </c>
      <c r="K2886" s="45" t="s">
        <v>9615</v>
      </c>
      <c r="L2886" s="199" t="s">
        <v>9616</v>
      </c>
      <c r="M2886" s="17"/>
      <c r="N2886" s="64" t="s">
        <v>9617</v>
      </c>
      <c r="O2886" s="68"/>
      <c r="P2886" s="68"/>
      <c r="Q2886" s="149"/>
      <c r="R2886" s="149"/>
      <c r="S2886" s="141">
        <v>100000.0</v>
      </c>
      <c r="T2886" s="149"/>
      <c r="U2886" s="149"/>
      <c r="V2886" s="149"/>
      <c r="W2886" s="149"/>
      <c r="X2886" s="68"/>
      <c r="Y2886" s="68"/>
      <c r="Z2886" s="68"/>
    </row>
    <row r="2887" ht="15.0" customHeight="1">
      <c r="A2887" s="206">
        <v>46130.0</v>
      </c>
      <c r="B2887" s="201" t="s">
        <v>9614</v>
      </c>
      <c r="C2887" s="45" t="s">
        <v>2962</v>
      </c>
      <c r="D2887" s="17" t="str">
        <f>IFERROR(VLOOKUP(C2887,Stock,3,FALSE),"")</f>
        <v>Lembur</v>
      </c>
      <c r="E2887" s="45">
        <v>1.0</v>
      </c>
      <c r="F2887" s="198">
        <v>150000.0</v>
      </c>
      <c r="G2887" s="142">
        <f t="shared" si="85"/>
        <v>150000</v>
      </c>
      <c r="H2887" s="142"/>
      <c r="I2887" s="451">
        <f t="shared" si="86"/>
        <v>150000</v>
      </c>
      <c r="J2887" s="144">
        <f t="shared" si="70"/>
        <v>150000</v>
      </c>
      <c r="K2887" s="45" t="s">
        <v>9615</v>
      </c>
      <c r="L2887" s="199" t="s">
        <v>9616</v>
      </c>
      <c r="M2887" s="17"/>
      <c r="N2887" s="68"/>
      <c r="O2887" s="68"/>
      <c r="P2887" s="68"/>
      <c r="Q2887" s="149"/>
      <c r="R2887" s="149"/>
      <c r="S2887" s="149"/>
      <c r="T2887" s="149"/>
      <c r="U2887" s="149"/>
      <c r="V2887" s="149"/>
      <c r="W2887" s="149"/>
      <c r="X2887" s="68"/>
      <c r="Y2887" s="68"/>
      <c r="Z2887" s="68"/>
    </row>
    <row r="2888" ht="15.0" customHeight="1">
      <c r="A2888" s="206">
        <v>46130.0</v>
      </c>
      <c r="B2888" s="250" t="s">
        <v>9618</v>
      </c>
      <c r="C2888" s="251" t="s">
        <v>2830</v>
      </c>
      <c r="D2888" s="259" t="str">
        <f>IFERROR(VLOOKUP(C2888,Stock,3,FALSE),"")</f>
        <v/>
      </c>
      <c r="E2888" s="251"/>
      <c r="F2888" s="253"/>
      <c r="G2888" s="254">
        <f t="shared" si="85"/>
        <v>0</v>
      </c>
      <c r="H2888" s="254"/>
      <c r="I2888" s="255">
        <f t="shared" si="86"/>
        <v>0</v>
      </c>
      <c r="J2888" s="256">
        <f t="shared" si="70"/>
        <v>0</v>
      </c>
      <c r="K2888" s="45" t="s">
        <v>9619</v>
      </c>
      <c r="L2888" s="199" t="s">
        <v>9620</v>
      </c>
      <c r="M2888" s="17"/>
      <c r="N2888" s="68"/>
      <c r="O2888" s="68"/>
      <c r="P2888" s="68"/>
      <c r="Q2888" s="149"/>
      <c r="R2888" s="149"/>
      <c r="S2888" s="141">
        <v>100000.0</v>
      </c>
      <c r="T2888" s="149"/>
      <c r="U2888" s="149"/>
      <c r="V2888" s="149"/>
      <c r="W2888" s="149"/>
      <c r="X2888" s="68"/>
      <c r="Y2888" s="68"/>
      <c r="Z2888" s="68"/>
    </row>
    <row r="2889" ht="15.0" customHeight="1">
      <c r="A2889" s="206">
        <v>46130.0</v>
      </c>
      <c r="B2889" s="201" t="s">
        <v>9621</v>
      </c>
      <c r="C2889" s="45" t="s">
        <v>3176</v>
      </c>
      <c r="D2889" s="17" t="str">
        <f>IFERROR(VLOOKUP(C2889,Stock,3,FALSE),"")</f>
        <v>Mazda 2 09-14 3rd Gen</v>
      </c>
      <c r="E2889" s="45">
        <v>1.0</v>
      </c>
      <c r="F2889" s="198">
        <v>1799000.0</v>
      </c>
      <c r="G2889" s="142">
        <f t="shared" si="85"/>
        <v>1799000</v>
      </c>
      <c r="H2889" s="142"/>
      <c r="I2889" s="143">
        <f t="shared" si="86"/>
        <v>1799000</v>
      </c>
      <c r="J2889" s="144">
        <f t="shared" si="70"/>
        <v>1799000</v>
      </c>
      <c r="K2889" s="45" t="s">
        <v>9622</v>
      </c>
      <c r="L2889" s="199" t="s">
        <v>9623</v>
      </c>
      <c r="M2889" s="17"/>
      <c r="N2889" s="68"/>
      <c r="O2889" s="68"/>
      <c r="P2889" s="68"/>
      <c r="Q2889" s="149"/>
      <c r="R2889" s="149"/>
      <c r="S2889" s="141">
        <v>100000.0</v>
      </c>
      <c r="T2889" s="141">
        <v>1774000.0</v>
      </c>
      <c r="U2889" s="149"/>
      <c r="V2889" s="149"/>
      <c r="W2889" s="149"/>
      <c r="X2889" s="64" t="s">
        <v>8388</v>
      </c>
      <c r="Y2889" s="68"/>
      <c r="Z2889" s="68"/>
    </row>
    <row r="2890" ht="15.0" customHeight="1">
      <c r="A2890" s="206">
        <v>46130.0</v>
      </c>
      <c r="B2890" s="201"/>
      <c r="C2890" s="45" t="s">
        <v>2770</v>
      </c>
      <c r="D2890" s="17" t="str">
        <f>IFERROR(VLOOKUP(C2890,Stock,3,FALSE),"")</f>
        <v>Transport</v>
      </c>
      <c r="E2890" s="45">
        <v>1.0</v>
      </c>
      <c r="F2890" s="198">
        <v>175000.0</v>
      </c>
      <c r="G2890" s="142">
        <f t="shared" si="85"/>
        <v>175000</v>
      </c>
      <c r="H2890" s="142"/>
      <c r="I2890" s="143">
        <f t="shared" si="86"/>
        <v>175000</v>
      </c>
      <c r="J2890" s="144">
        <f t="shared" si="70"/>
        <v>175000</v>
      </c>
      <c r="K2890" s="17"/>
      <c r="L2890" s="17"/>
      <c r="M2890" s="17"/>
      <c r="N2890" s="68"/>
      <c r="O2890" s="68"/>
      <c r="P2890" s="68"/>
      <c r="Q2890" s="149"/>
      <c r="R2890" s="149"/>
      <c r="S2890" s="149"/>
      <c r="T2890" s="149"/>
      <c r="U2890" s="149"/>
      <c r="V2890" s="149"/>
      <c r="W2890" s="149"/>
      <c r="X2890" s="68"/>
      <c r="Y2890" s="68"/>
      <c r="Z2890" s="68"/>
    </row>
    <row r="2891" ht="15.0" customHeight="1">
      <c r="A2891" s="206">
        <v>46130.0</v>
      </c>
      <c r="B2891" s="231" t="s">
        <v>9624</v>
      </c>
      <c r="C2891" s="232" t="s">
        <v>9625</v>
      </c>
      <c r="D2891" s="240" t="str">
        <f>IFERROR(VLOOKUP(C2891,Stock,3,FALSE),"")</f>
        <v>Cadillac Escalade 07-14</v>
      </c>
      <c r="E2891" s="240"/>
      <c r="F2891" s="446"/>
      <c r="G2891" s="235">
        <f t="shared" si="85"/>
        <v>0</v>
      </c>
      <c r="H2891" s="235"/>
      <c r="I2891" s="236">
        <f t="shared" si="86"/>
        <v>0</v>
      </c>
      <c r="J2891" s="144">
        <f t="shared" si="70"/>
        <v>0</v>
      </c>
      <c r="K2891" s="240"/>
      <c r="L2891" s="17"/>
      <c r="M2891" s="17"/>
      <c r="N2891" s="68"/>
      <c r="O2891" s="68"/>
      <c r="P2891" s="68"/>
      <c r="Q2891" s="149"/>
      <c r="R2891" s="149"/>
      <c r="S2891" s="149"/>
      <c r="T2891" s="149"/>
      <c r="U2891" s="149"/>
      <c r="V2891" s="149"/>
      <c r="W2891" s="149"/>
      <c r="X2891" s="68"/>
      <c r="Y2891" s="68"/>
      <c r="Z2891" s="68"/>
    </row>
    <row r="2892" ht="15.0" customHeight="1">
      <c r="A2892" s="206">
        <v>46130.0</v>
      </c>
      <c r="B2892" s="201" t="s">
        <v>9626</v>
      </c>
      <c r="C2892" s="45" t="s">
        <v>7163</v>
      </c>
      <c r="D2892" s="17" t="str">
        <f>IFERROR(VLOOKUP(C2892,Stock,3,FALSE),"")</f>
        <v>Toyota Innova 15- 2nd Gen</v>
      </c>
      <c r="E2892" s="45">
        <v>1.0</v>
      </c>
      <c r="F2892" s="198">
        <v>1600000.0</v>
      </c>
      <c r="G2892" s="142">
        <f t="shared" si="85"/>
        <v>1600000</v>
      </c>
      <c r="H2892" s="142"/>
      <c r="I2892" s="451">
        <f t="shared" si="86"/>
        <v>1600000</v>
      </c>
      <c r="J2892" s="144">
        <f t="shared" si="70"/>
        <v>1600000</v>
      </c>
      <c r="K2892" s="45" t="s">
        <v>9627</v>
      </c>
      <c r="L2892" s="199" t="s">
        <v>9628</v>
      </c>
      <c r="M2892" s="17"/>
      <c r="N2892" s="64" t="s">
        <v>9629</v>
      </c>
      <c r="O2892" s="68"/>
      <c r="P2892" s="68"/>
      <c r="Q2892" s="149"/>
      <c r="R2892" s="149"/>
      <c r="S2892" s="149"/>
      <c r="T2892" s="149"/>
      <c r="U2892" s="149"/>
      <c r="V2892" s="149"/>
      <c r="W2892" s="149"/>
      <c r="X2892" s="68"/>
      <c r="Y2892" s="68"/>
      <c r="Z2892" s="68"/>
    </row>
    <row r="2893" ht="15.0" customHeight="1">
      <c r="A2893" s="206">
        <v>46130.0</v>
      </c>
      <c r="B2893" s="201" t="s">
        <v>9626</v>
      </c>
      <c r="C2893" s="45" t="s">
        <v>2962</v>
      </c>
      <c r="D2893" s="17" t="str">
        <f>IFERROR(VLOOKUP(C2893,Stock,3,FALSE),"")</f>
        <v>Lembur</v>
      </c>
      <c r="E2893" s="45">
        <v>1.0</v>
      </c>
      <c r="F2893" s="198">
        <v>150000.0</v>
      </c>
      <c r="G2893" s="142">
        <f t="shared" si="85"/>
        <v>150000</v>
      </c>
      <c r="H2893" s="142"/>
      <c r="I2893" s="451">
        <f t="shared" si="86"/>
        <v>150000</v>
      </c>
      <c r="J2893" s="144">
        <f t="shared" si="70"/>
        <v>150000</v>
      </c>
      <c r="K2893" s="45" t="s">
        <v>9627</v>
      </c>
      <c r="L2893" s="199" t="s">
        <v>9628</v>
      </c>
      <c r="M2893" s="17"/>
      <c r="N2893" s="68"/>
      <c r="O2893" s="68"/>
      <c r="P2893" s="68"/>
      <c r="Q2893" s="149"/>
      <c r="R2893" s="149"/>
      <c r="S2893" s="149"/>
      <c r="T2893" s="149"/>
      <c r="U2893" s="149"/>
      <c r="V2893" s="149"/>
      <c r="W2893" s="149"/>
      <c r="X2893" s="68"/>
      <c r="Y2893" s="68"/>
      <c r="Z2893" s="68"/>
    </row>
    <row r="2894" ht="15.0" customHeight="1">
      <c r="A2894" s="206">
        <v>46130.0</v>
      </c>
      <c r="B2894" s="201" t="s">
        <v>9577</v>
      </c>
      <c r="C2894" s="45" t="s">
        <v>5254</v>
      </c>
      <c r="D2894" s="17" t="str">
        <f>IFERROR(VLOOKUP(C2894,Stock,3,FALSE),"")</f>
        <v>Automotive Film Standard - Black 40%				</v>
      </c>
      <c r="E2894" s="45">
        <v>1.0</v>
      </c>
      <c r="F2894" s="198">
        <v>400000.0</v>
      </c>
      <c r="G2894" s="142">
        <f t="shared" si="85"/>
        <v>400000</v>
      </c>
      <c r="H2894" s="143">
        <v>100000.0</v>
      </c>
      <c r="I2894" s="451">
        <f t="shared" si="86"/>
        <v>300000</v>
      </c>
      <c r="J2894" s="144">
        <f t="shared" si="70"/>
        <v>300000</v>
      </c>
      <c r="K2894" s="17"/>
      <c r="L2894" s="17"/>
      <c r="M2894" s="17"/>
      <c r="N2894" s="68"/>
      <c r="O2894" s="68"/>
      <c r="P2894" s="68"/>
      <c r="Q2894" s="149"/>
      <c r="R2894" s="149"/>
      <c r="S2894" s="149"/>
      <c r="T2894" s="149"/>
      <c r="U2894" s="149"/>
      <c r="V2894" s="149"/>
      <c r="W2894" s="149"/>
      <c r="X2894" s="68"/>
      <c r="Y2894" s="68"/>
      <c r="Z2894" s="68"/>
    </row>
    <row r="2895" ht="15.0" customHeight="1">
      <c r="A2895" s="206">
        <v>46130.0</v>
      </c>
      <c r="B2895" s="201"/>
      <c r="C2895" s="45" t="s">
        <v>2770</v>
      </c>
      <c r="D2895" s="17" t="str">
        <f>IFERROR(VLOOKUP(C2895,Stock,3,FALSE),"")</f>
        <v>Transport</v>
      </c>
      <c r="E2895" s="45">
        <v>1.0</v>
      </c>
      <c r="F2895" s="198">
        <v>100000.0</v>
      </c>
      <c r="G2895" s="142">
        <f t="shared" si="85"/>
        <v>100000</v>
      </c>
      <c r="H2895" s="142"/>
      <c r="I2895" s="451">
        <f t="shared" si="86"/>
        <v>100000</v>
      </c>
      <c r="J2895" s="144">
        <f t="shared" si="70"/>
        <v>100000</v>
      </c>
      <c r="K2895" s="17"/>
      <c r="L2895" s="17"/>
      <c r="M2895" s="17"/>
      <c r="N2895" s="68"/>
      <c r="O2895" s="68"/>
      <c r="P2895" s="68"/>
      <c r="Q2895" s="149"/>
      <c r="R2895" s="149"/>
      <c r="S2895" s="149"/>
      <c r="T2895" s="149"/>
      <c r="U2895" s="149"/>
      <c r="V2895" s="149"/>
      <c r="W2895" s="149"/>
      <c r="X2895" s="68"/>
      <c r="Y2895" s="68"/>
      <c r="Z2895" s="68"/>
    </row>
    <row r="2896" ht="15.0" customHeight="1">
      <c r="A2896" s="206">
        <v>46132.0</v>
      </c>
      <c r="B2896" s="223" t="s">
        <v>9630</v>
      </c>
      <c r="C2896" s="224" t="s">
        <v>9631</v>
      </c>
      <c r="D2896" s="228" t="str">
        <f>IFERROR(VLOOKUP(C2896,Stock,3,FALSE),"")</f>
        <v/>
      </c>
      <c r="E2896" s="224">
        <v>1.0</v>
      </c>
      <c r="F2896" s="225">
        <v>1655000.0</v>
      </c>
      <c r="G2896" s="142">
        <f t="shared" si="85"/>
        <v>1655000</v>
      </c>
      <c r="H2896" s="142"/>
      <c r="I2896" s="451">
        <f t="shared" si="86"/>
        <v>1655000</v>
      </c>
      <c r="J2896" s="144">
        <f t="shared" si="70"/>
        <v>1655000</v>
      </c>
      <c r="K2896" s="45" t="s">
        <v>9632</v>
      </c>
      <c r="L2896" s="199" t="s">
        <v>9633</v>
      </c>
      <c r="M2896" s="17"/>
      <c r="N2896" s="68"/>
      <c r="O2896" s="68"/>
      <c r="P2896" s="68"/>
      <c r="Q2896" s="149"/>
      <c r="R2896" s="149"/>
      <c r="S2896" s="141">
        <v>827500.0</v>
      </c>
      <c r="T2896" s="149"/>
      <c r="U2896" s="149"/>
      <c r="V2896" s="149"/>
      <c r="W2896" s="149"/>
      <c r="X2896" s="68"/>
      <c r="Y2896" s="68"/>
      <c r="Z2896" s="68"/>
    </row>
    <row r="2897" ht="15.0" customHeight="1">
      <c r="A2897" s="206">
        <v>46132.0</v>
      </c>
      <c r="B2897" s="223" t="s">
        <v>9630</v>
      </c>
      <c r="C2897" s="224" t="s">
        <v>2770</v>
      </c>
      <c r="D2897" s="228" t="str">
        <f>IFERROR(VLOOKUP(C2897,Stock,3,FALSE),"")</f>
        <v>Transport</v>
      </c>
      <c r="E2897" s="224">
        <v>1.0</v>
      </c>
      <c r="F2897" s="225">
        <v>250000.0</v>
      </c>
      <c r="G2897" s="142">
        <f t="shared" si="85"/>
        <v>250000</v>
      </c>
      <c r="H2897" s="142"/>
      <c r="I2897" s="451">
        <f t="shared" si="86"/>
        <v>250000</v>
      </c>
      <c r="J2897" s="144">
        <f t="shared" si="70"/>
        <v>250000</v>
      </c>
      <c r="K2897" s="17"/>
      <c r="L2897" s="17"/>
      <c r="M2897" s="17"/>
      <c r="N2897" s="68"/>
      <c r="O2897" s="68"/>
      <c r="P2897" s="68"/>
      <c r="Q2897" s="149"/>
      <c r="R2897" s="149"/>
      <c r="S2897" s="149"/>
      <c r="T2897" s="149"/>
      <c r="U2897" s="149"/>
      <c r="V2897" s="149"/>
      <c r="W2897" s="149"/>
      <c r="X2897" s="68"/>
      <c r="Y2897" s="68"/>
      <c r="Z2897" s="68"/>
    </row>
    <row r="2898" ht="15.0" customHeight="1">
      <c r="A2898" s="206">
        <v>46132.0</v>
      </c>
      <c r="B2898" s="398" t="s">
        <v>9634</v>
      </c>
      <c r="C2898" s="479" t="s">
        <v>5954</v>
      </c>
      <c r="D2898" s="525" t="str">
        <f>IFERROR(VLOOKUP(C2898,Stock,3,FALSE),"")</f>
        <v>Toyota Voxy 17-</v>
      </c>
      <c r="E2898" s="479">
        <v>1.0</v>
      </c>
      <c r="F2898" s="519">
        <v>3326000.0</v>
      </c>
      <c r="G2898" s="520">
        <f t="shared" si="85"/>
        <v>3326000</v>
      </c>
      <c r="H2898" s="520"/>
      <c r="I2898" s="521">
        <f t="shared" si="86"/>
        <v>3326000</v>
      </c>
      <c r="J2898" s="522">
        <f t="shared" si="70"/>
        <v>3326000</v>
      </c>
      <c r="K2898" s="525"/>
      <c r="L2898" s="523" t="s">
        <v>9635</v>
      </c>
      <c r="M2898" s="17"/>
      <c r="N2898" s="68"/>
      <c r="O2898" s="68"/>
      <c r="P2898" s="68"/>
      <c r="Q2898" s="149"/>
      <c r="R2898" s="149"/>
      <c r="S2898" s="149"/>
      <c r="T2898" s="149"/>
      <c r="U2898" s="149"/>
      <c r="V2898" s="149"/>
      <c r="W2898" s="149"/>
      <c r="X2898" s="64" t="s">
        <v>8388</v>
      </c>
      <c r="Y2898" s="68"/>
      <c r="Z2898" s="68"/>
    </row>
    <row r="2899" ht="15.0" customHeight="1">
      <c r="A2899" s="206">
        <v>46132.0</v>
      </c>
      <c r="B2899" s="398" t="s">
        <v>9634</v>
      </c>
      <c r="C2899" s="479" t="s">
        <v>9636</v>
      </c>
      <c r="D2899" s="525" t="str">
        <f>IFERROR(VLOOKUP(C2899,Stock,3,FALSE),"")</f>
        <v>Toyota Voxy 17-21 1st Gen (Toyota)</v>
      </c>
      <c r="E2899" s="479">
        <v>1.0</v>
      </c>
      <c r="F2899" s="519">
        <v>2004000.0</v>
      </c>
      <c r="G2899" s="520">
        <f t="shared" si="85"/>
        <v>2004000</v>
      </c>
      <c r="H2899" s="520"/>
      <c r="I2899" s="521">
        <f t="shared" si="86"/>
        <v>2004000</v>
      </c>
      <c r="J2899" s="522">
        <f t="shared" si="70"/>
        <v>2004000</v>
      </c>
      <c r="K2899" s="525"/>
      <c r="L2899" s="525"/>
      <c r="M2899" s="17"/>
      <c r="N2899" s="68"/>
      <c r="O2899" s="68"/>
      <c r="P2899" s="68"/>
      <c r="Q2899" s="149"/>
      <c r="R2899" s="149"/>
      <c r="S2899" s="149"/>
      <c r="T2899" s="149"/>
      <c r="U2899" s="149"/>
      <c r="V2899" s="149"/>
      <c r="W2899" s="149"/>
      <c r="X2899" s="68"/>
      <c r="Y2899" s="68"/>
      <c r="Z2899" s="68"/>
    </row>
    <row r="2900" ht="15.0" customHeight="1">
      <c r="A2900" s="206">
        <v>46132.0</v>
      </c>
      <c r="B2900" s="201" t="s">
        <v>9637</v>
      </c>
      <c r="C2900" s="45" t="s">
        <v>3225</v>
      </c>
      <c r="D2900" s="17" t="str">
        <f>IFERROR(VLOOKUP(C2900,Stock,3,FALSE),"")</f>
        <v>Toyota Rush / Terios 18-</v>
      </c>
      <c r="E2900" s="45">
        <v>1.0</v>
      </c>
      <c r="F2900" s="198">
        <v>1250000.0</v>
      </c>
      <c r="G2900" s="142">
        <f t="shared" si="85"/>
        <v>1250000</v>
      </c>
      <c r="H2900" s="142"/>
      <c r="I2900" s="451">
        <f t="shared" si="86"/>
        <v>1250000</v>
      </c>
      <c r="J2900" s="144">
        <f t="shared" si="70"/>
        <v>1250000</v>
      </c>
      <c r="K2900" s="45" t="s">
        <v>9638</v>
      </c>
      <c r="L2900" s="199" t="s">
        <v>9639</v>
      </c>
      <c r="M2900" s="17"/>
      <c r="N2900" s="64" t="s">
        <v>9640</v>
      </c>
      <c r="O2900" s="68"/>
      <c r="P2900" s="68"/>
      <c r="Q2900" s="149"/>
      <c r="R2900" s="149"/>
      <c r="S2900" s="149"/>
      <c r="T2900" s="141">
        <v>1250000.0</v>
      </c>
      <c r="U2900" s="149"/>
      <c r="V2900" s="149"/>
      <c r="W2900" s="149"/>
      <c r="X2900" s="68"/>
      <c r="Y2900" s="68"/>
      <c r="Z2900" s="68"/>
    </row>
    <row r="2901" ht="15.0" customHeight="1">
      <c r="A2901" s="206">
        <v>46132.0</v>
      </c>
      <c r="B2901" s="201" t="s">
        <v>9641</v>
      </c>
      <c r="C2901" s="45" t="s">
        <v>9642</v>
      </c>
      <c r="D2901" s="17" t="str">
        <f>IFERROR(VLOOKUP(C2901,Stock,3,FALSE),"")</f>
        <v>Toyota Raize / Daihatsu Rocky 20- [Sensor]</v>
      </c>
      <c r="E2901" s="45">
        <v>1.0</v>
      </c>
      <c r="F2901" s="198">
        <v>1950000.0</v>
      </c>
      <c r="G2901" s="142">
        <f t="shared" si="85"/>
        <v>1950000</v>
      </c>
      <c r="H2901" s="142"/>
      <c r="I2901" s="451">
        <f t="shared" si="86"/>
        <v>1950000</v>
      </c>
      <c r="J2901" s="144">
        <f t="shared" si="70"/>
        <v>1950000</v>
      </c>
      <c r="K2901" s="45" t="s">
        <v>9643</v>
      </c>
      <c r="L2901" s="199" t="s">
        <v>9644</v>
      </c>
      <c r="M2901" s="17"/>
      <c r="N2901" s="64" t="s">
        <v>9645</v>
      </c>
      <c r="O2901" s="68"/>
      <c r="P2901" s="68"/>
      <c r="Q2901" s="149"/>
      <c r="R2901" s="149"/>
      <c r="S2901" s="149"/>
      <c r="T2901" s="141">
        <v>1950000.0</v>
      </c>
      <c r="U2901" s="149"/>
      <c r="V2901" s="149"/>
      <c r="W2901" s="149"/>
      <c r="X2901" s="68"/>
      <c r="Y2901" s="68"/>
      <c r="Z2901" s="68"/>
    </row>
    <row r="2902" ht="15.0" customHeight="1">
      <c r="A2902" s="206">
        <v>46132.0</v>
      </c>
      <c r="B2902" s="201" t="s">
        <v>9646</v>
      </c>
      <c r="C2902" s="45" t="s">
        <v>3378</v>
      </c>
      <c r="D2902" s="17" t="str">
        <f>IFERROR(VLOOKUP(C2902,Stock,3,FALSE),"")</f>
        <v>Suzuki APV 03- Pickup/ Van</v>
      </c>
      <c r="E2902" s="45">
        <v>1.0</v>
      </c>
      <c r="F2902" s="198">
        <v>1194000.0</v>
      </c>
      <c r="G2902" s="142">
        <f t="shared" si="85"/>
        <v>1194000</v>
      </c>
      <c r="H2902" s="142"/>
      <c r="I2902" s="451">
        <f t="shared" si="86"/>
        <v>1194000</v>
      </c>
      <c r="J2902" s="144">
        <f t="shared" si="70"/>
        <v>1194000</v>
      </c>
      <c r="K2902" s="45" t="s">
        <v>9647</v>
      </c>
      <c r="L2902" s="199" t="s">
        <v>9648</v>
      </c>
      <c r="M2902" s="17"/>
      <c r="N2902" s="64" t="s">
        <v>9649</v>
      </c>
      <c r="O2902" s="68"/>
      <c r="P2902" s="68"/>
      <c r="Q2902" s="141">
        <v>1194000.0</v>
      </c>
      <c r="R2902" s="149"/>
      <c r="S2902" s="149"/>
      <c r="T2902" s="149"/>
      <c r="U2902" s="149"/>
      <c r="V2902" s="149"/>
      <c r="W2902" s="149"/>
      <c r="X2902" s="68"/>
      <c r="Y2902" s="68"/>
      <c r="Z2902" s="68"/>
    </row>
    <row r="2903" ht="15.0" customHeight="1">
      <c r="A2903" s="206">
        <v>46132.0</v>
      </c>
      <c r="B2903" s="201" t="s">
        <v>9650</v>
      </c>
      <c r="C2903" s="45" t="s">
        <v>7425</v>
      </c>
      <c r="D2903" s="17" t="str">
        <f>IFERROR(VLOOKUP(C2903,Stock,3,FALSE),"")</f>
        <v>Honda Jazz 01-07 1st Gen</v>
      </c>
      <c r="E2903" s="45">
        <v>1.0</v>
      </c>
      <c r="F2903" s="198">
        <v>1474000.0</v>
      </c>
      <c r="G2903" s="142">
        <f t="shared" si="85"/>
        <v>1474000</v>
      </c>
      <c r="H2903" s="142"/>
      <c r="I2903" s="451">
        <f t="shared" si="86"/>
        <v>1474000</v>
      </c>
      <c r="J2903" s="144">
        <f t="shared" si="70"/>
        <v>1474000</v>
      </c>
      <c r="K2903" s="45" t="s">
        <v>9651</v>
      </c>
      <c r="L2903" s="17"/>
      <c r="M2903" s="17"/>
      <c r="N2903" s="64" t="s">
        <v>9652</v>
      </c>
      <c r="O2903" s="68"/>
      <c r="P2903" s="68"/>
      <c r="Q2903" s="149"/>
      <c r="R2903" s="149"/>
      <c r="S2903" s="149"/>
      <c r="T2903" s="141">
        <v>1474000.0</v>
      </c>
      <c r="U2903" s="149"/>
      <c r="V2903" s="149"/>
      <c r="W2903" s="149"/>
      <c r="X2903" s="68"/>
      <c r="Y2903" s="68"/>
      <c r="Z2903" s="68"/>
    </row>
    <row r="2904" ht="15.0" customHeight="1">
      <c r="A2904" s="206">
        <v>46132.0</v>
      </c>
      <c r="B2904" s="201" t="s">
        <v>9653</v>
      </c>
      <c r="C2904" s="45" t="s">
        <v>5825</v>
      </c>
      <c r="D2904" s="17" t="str">
        <f>IFERROR(VLOOKUP(C2904,Stock,3,FALSE),"")</f>
        <v>Toyota Alphard 18- ANH30 3rd Gen (2 Sensor / □Δ )</v>
      </c>
      <c r="E2904" s="45">
        <v>1.0</v>
      </c>
      <c r="F2904" s="198">
        <v>4442000.0</v>
      </c>
      <c r="G2904" s="142">
        <f t="shared" si="85"/>
        <v>4442000</v>
      </c>
      <c r="H2904" s="142"/>
      <c r="I2904" s="451">
        <f t="shared" si="86"/>
        <v>4442000</v>
      </c>
      <c r="J2904" s="144">
        <f t="shared" si="70"/>
        <v>4442000</v>
      </c>
      <c r="K2904" s="45" t="s">
        <v>9619</v>
      </c>
      <c r="L2904" s="199" t="s">
        <v>9620</v>
      </c>
      <c r="M2904" s="17"/>
      <c r="N2904" s="64" t="s">
        <v>9654</v>
      </c>
      <c r="O2904" s="68"/>
      <c r="P2904" s="68"/>
      <c r="Q2904" s="149"/>
      <c r="R2904" s="149"/>
      <c r="S2904" s="141">
        <v>100000.0</v>
      </c>
      <c r="T2904" s="141">
        <v>4467000.0</v>
      </c>
      <c r="U2904" s="149"/>
      <c r="V2904" s="149"/>
      <c r="W2904" s="149"/>
      <c r="X2904" s="68"/>
      <c r="Y2904" s="68"/>
      <c r="Z2904" s="68"/>
    </row>
    <row r="2905" ht="15.0" customHeight="1">
      <c r="A2905" s="206">
        <v>46132.0</v>
      </c>
      <c r="B2905" s="201" t="s">
        <v>9653</v>
      </c>
      <c r="C2905" s="45" t="s">
        <v>2770</v>
      </c>
      <c r="D2905" s="17" t="str">
        <f>IFERROR(VLOOKUP(C2905,Stock,3,FALSE),"")</f>
        <v>Transport</v>
      </c>
      <c r="E2905" s="45">
        <v>1.0</v>
      </c>
      <c r="F2905" s="198">
        <v>125000.0</v>
      </c>
      <c r="G2905" s="142">
        <f t="shared" si="85"/>
        <v>125000</v>
      </c>
      <c r="H2905" s="142"/>
      <c r="I2905" s="451">
        <f t="shared" si="86"/>
        <v>125000</v>
      </c>
      <c r="J2905" s="144">
        <f t="shared" si="70"/>
        <v>125000</v>
      </c>
      <c r="K2905" s="17"/>
      <c r="L2905" s="17"/>
      <c r="M2905" s="17"/>
      <c r="N2905" s="68"/>
      <c r="O2905" s="68"/>
      <c r="P2905" s="68"/>
      <c r="Q2905" s="141" t="s">
        <v>1973</v>
      </c>
      <c r="R2905" s="149"/>
      <c r="S2905" s="149"/>
      <c r="T2905" s="149"/>
      <c r="U2905" s="149"/>
      <c r="V2905" s="149"/>
      <c r="W2905" s="149"/>
      <c r="X2905" s="68"/>
      <c r="Y2905" s="68"/>
      <c r="Z2905" s="68"/>
    </row>
    <row r="2906" ht="15.0" customHeight="1">
      <c r="A2906" s="206">
        <v>46132.0</v>
      </c>
      <c r="B2906" s="201" t="s">
        <v>9655</v>
      </c>
      <c r="C2906" s="45" t="s">
        <v>4322</v>
      </c>
      <c r="D2906" s="17" t="str">
        <f>IFERROR(VLOOKUP(C2906,Stock,3,FALSE),"")</f>
        <v>Nissan Livina 13-18 L11 (Lubang)</v>
      </c>
      <c r="E2906" s="45">
        <v>1.0</v>
      </c>
      <c r="F2906" s="198">
        <v>1150000.0</v>
      </c>
      <c r="G2906" s="142">
        <f t="shared" si="85"/>
        <v>1150000</v>
      </c>
      <c r="H2906" s="142"/>
      <c r="I2906" s="451">
        <f t="shared" si="86"/>
        <v>1150000</v>
      </c>
      <c r="J2906" s="144">
        <f t="shared" si="70"/>
        <v>1150000</v>
      </c>
      <c r="K2906" s="45" t="s">
        <v>4288</v>
      </c>
      <c r="L2906" s="199" t="s">
        <v>9656</v>
      </c>
      <c r="M2906" s="17"/>
      <c r="N2906" s="64" t="s">
        <v>9657</v>
      </c>
      <c r="O2906" s="68"/>
      <c r="P2906" s="68"/>
      <c r="Q2906" s="149"/>
      <c r="R2906" s="149"/>
      <c r="S2906" s="149"/>
      <c r="T2906" s="141">
        <v>1500000.0</v>
      </c>
      <c r="U2906" s="149"/>
      <c r="V2906" s="149"/>
      <c r="W2906" s="149"/>
      <c r="X2906" s="68"/>
      <c r="Y2906" s="68"/>
      <c r="Z2906" s="68"/>
    </row>
    <row r="2907" ht="15.0" customHeight="1">
      <c r="A2907" s="206">
        <v>46132.0</v>
      </c>
      <c r="B2907" s="201" t="s">
        <v>9655</v>
      </c>
      <c r="C2907" s="45" t="s">
        <v>5254</v>
      </c>
      <c r="D2907" s="17" t="str">
        <f>IFERROR(VLOOKUP(C2907,Stock,3,FALSE),"")</f>
        <v>Automotive Film Standard - Black 40%				</v>
      </c>
      <c r="E2907" s="45">
        <v>1.0</v>
      </c>
      <c r="F2907" s="198">
        <v>350000.0</v>
      </c>
      <c r="G2907" s="142">
        <f t="shared" si="85"/>
        <v>350000</v>
      </c>
      <c r="H2907" s="142"/>
      <c r="I2907" s="451">
        <f t="shared" si="86"/>
        <v>350000</v>
      </c>
      <c r="J2907" s="144">
        <f t="shared" si="70"/>
        <v>350000</v>
      </c>
      <c r="K2907" s="17"/>
      <c r="L2907" s="17"/>
      <c r="M2907" s="17"/>
      <c r="N2907" s="68"/>
      <c r="O2907" s="68"/>
      <c r="P2907" s="68"/>
      <c r="Q2907" s="149"/>
      <c r="R2907" s="149"/>
      <c r="S2907" s="149"/>
      <c r="T2907" s="149"/>
      <c r="U2907" s="149"/>
      <c r="V2907" s="149"/>
      <c r="W2907" s="149"/>
      <c r="X2907" s="68"/>
      <c r="Y2907" s="68"/>
      <c r="Z2907" s="68"/>
    </row>
    <row r="2908" ht="15.0" customHeight="1">
      <c r="A2908" s="206">
        <v>46132.0</v>
      </c>
      <c r="B2908" s="201" t="s">
        <v>9658</v>
      </c>
      <c r="C2908" s="45" t="s">
        <v>9659</v>
      </c>
      <c r="D2908" s="17" t="str">
        <f>IFERROR(VLOOKUP(C2908,Stock,3,FALSE),"")</f>
        <v>Lexus RX (Harrier) 03-08 XU30</v>
      </c>
      <c r="E2908" s="45">
        <v>1.0</v>
      </c>
      <c r="F2908" s="198">
        <v>1054000.0</v>
      </c>
      <c r="G2908" s="142">
        <f t="shared" si="85"/>
        <v>1054000</v>
      </c>
      <c r="H2908" s="143">
        <v>54000.0</v>
      </c>
      <c r="I2908" s="451">
        <f t="shared" si="86"/>
        <v>1000000</v>
      </c>
      <c r="J2908" s="144">
        <f t="shared" si="70"/>
        <v>1000000</v>
      </c>
      <c r="K2908" s="45" t="s">
        <v>9398</v>
      </c>
      <c r="L2908" s="199" t="s">
        <v>9660</v>
      </c>
      <c r="M2908" s="17"/>
      <c r="N2908" s="64" t="s">
        <v>9661</v>
      </c>
      <c r="O2908" s="68"/>
      <c r="P2908" s="68"/>
      <c r="Q2908" s="149"/>
      <c r="R2908" s="149"/>
      <c r="S2908" s="149"/>
      <c r="T2908" s="141">
        <v>1150000.0</v>
      </c>
      <c r="U2908" s="149"/>
      <c r="V2908" s="149"/>
      <c r="W2908" s="149"/>
      <c r="X2908" s="68"/>
      <c r="Y2908" s="68"/>
      <c r="Z2908" s="68"/>
    </row>
    <row r="2909" ht="15.0" customHeight="1">
      <c r="A2909" s="421"/>
      <c r="B2909" s="201" t="s">
        <v>9658</v>
      </c>
      <c r="C2909" s="45" t="s">
        <v>5254</v>
      </c>
      <c r="D2909" s="17" t="str">
        <f>IFERROR(VLOOKUP(C2909,Stock,3,FALSE),"")</f>
        <v>Automotive Film Standard - Black 40%				</v>
      </c>
      <c r="E2909" s="45">
        <v>1.0</v>
      </c>
      <c r="F2909" s="198">
        <v>150000.0</v>
      </c>
      <c r="G2909" s="142">
        <f t="shared" si="85"/>
        <v>150000</v>
      </c>
      <c r="H2909" s="142"/>
      <c r="I2909" s="451">
        <f t="shared" si="86"/>
        <v>150000</v>
      </c>
      <c r="J2909" s="144">
        <f t="shared" si="70"/>
        <v>150000</v>
      </c>
      <c r="K2909" s="17"/>
      <c r="L2909" s="17"/>
      <c r="M2909" s="17"/>
      <c r="N2909" s="68"/>
      <c r="O2909" s="68"/>
      <c r="P2909" s="68"/>
      <c r="Q2909" s="149"/>
      <c r="R2909" s="149"/>
      <c r="S2909" s="149"/>
      <c r="T2909" s="149"/>
      <c r="U2909" s="149"/>
      <c r="V2909" s="149"/>
      <c r="W2909" s="149"/>
      <c r="X2909" s="68"/>
      <c r="Y2909" s="68"/>
      <c r="Z2909" s="68"/>
    </row>
    <row r="2910" ht="15.0" customHeight="1">
      <c r="A2910" s="206">
        <v>46133.0</v>
      </c>
      <c r="B2910" s="201" t="s">
        <v>9662</v>
      </c>
      <c r="C2910" s="45" t="s">
        <v>4504</v>
      </c>
      <c r="D2910" s="17" t="str">
        <f>IFERROR(VLOOKUP(C2910,Stock,3,FALSE),"")</f>
        <v>Mitsubishi Xpander 17-21 / Livina 19- 2nd Gen (Mitsubishi)</v>
      </c>
      <c r="E2910" s="45">
        <v>1.0</v>
      </c>
      <c r="F2910" s="198">
        <v>1322000.0</v>
      </c>
      <c r="G2910" s="142">
        <f t="shared" si="85"/>
        <v>1322000</v>
      </c>
      <c r="H2910" s="142"/>
      <c r="I2910" s="143">
        <f t="shared" si="86"/>
        <v>1322000</v>
      </c>
      <c r="J2910" s="144">
        <f t="shared" si="70"/>
        <v>1322000</v>
      </c>
      <c r="K2910" s="45" t="s">
        <v>9663</v>
      </c>
      <c r="L2910" s="199" t="s">
        <v>9664</v>
      </c>
      <c r="M2910" s="17"/>
      <c r="N2910" s="68"/>
      <c r="O2910" s="68"/>
      <c r="P2910" s="68"/>
      <c r="Q2910" s="149"/>
      <c r="R2910" s="149"/>
      <c r="S2910" s="149"/>
      <c r="T2910" s="149"/>
      <c r="U2910" s="149"/>
      <c r="V2910" s="149"/>
      <c r="W2910" s="149"/>
      <c r="X2910" s="68"/>
      <c r="Y2910" s="68"/>
      <c r="Z2910" s="68"/>
    </row>
    <row r="2911" ht="15.0" customHeight="1">
      <c r="A2911" s="206">
        <v>46133.0</v>
      </c>
      <c r="B2911" s="250" t="s">
        <v>9665</v>
      </c>
      <c r="C2911" s="251" t="s">
        <v>2830</v>
      </c>
      <c r="D2911" s="259"/>
      <c r="E2911" s="251"/>
      <c r="F2911" s="253"/>
      <c r="G2911" s="254">
        <f t="shared" si="85"/>
        <v>0</v>
      </c>
      <c r="H2911" s="254"/>
      <c r="I2911" s="255">
        <f t="shared" si="86"/>
        <v>0</v>
      </c>
      <c r="J2911" s="256">
        <f t="shared" si="70"/>
        <v>0</v>
      </c>
      <c r="K2911" s="251"/>
      <c r="L2911" s="251"/>
      <c r="M2911" s="259"/>
      <c r="N2911" s="372"/>
      <c r="O2911" s="68"/>
      <c r="P2911" s="68"/>
      <c r="Q2911" s="149"/>
      <c r="R2911" s="149"/>
      <c r="S2911" s="149"/>
      <c r="T2911" s="141">
        <v>700000.0</v>
      </c>
      <c r="U2911" s="149"/>
      <c r="V2911" s="149"/>
      <c r="W2911" s="149"/>
      <c r="X2911" s="68"/>
      <c r="Y2911" s="68"/>
      <c r="Z2911" s="68"/>
    </row>
    <row r="2912" ht="15.0" customHeight="1">
      <c r="A2912" s="206">
        <v>46133.0</v>
      </c>
      <c r="B2912" s="201" t="s">
        <v>9662</v>
      </c>
      <c r="C2912" s="45" t="s">
        <v>2770</v>
      </c>
      <c r="D2912" s="17" t="str">
        <f>IFERROR(VLOOKUP(C2912,Stock,3,FALSE),"")</f>
        <v>Transport</v>
      </c>
      <c r="E2912" s="45">
        <v>1.0</v>
      </c>
      <c r="F2912" s="198">
        <v>100000.0</v>
      </c>
      <c r="G2912" s="142">
        <f t="shared" si="85"/>
        <v>100000</v>
      </c>
      <c r="H2912" s="142"/>
      <c r="I2912" s="143">
        <f t="shared" si="86"/>
        <v>100000</v>
      </c>
      <c r="J2912" s="144">
        <f t="shared" si="70"/>
        <v>100000</v>
      </c>
      <c r="K2912" s="45" t="s">
        <v>9663</v>
      </c>
      <c r="L2912" s="199" t="s">
        <v>9664</v>
      </c>
      <c r="M2912" s="17"/>
      <c r="N2912" s="68"/>
      <c r="O2912" s="68"/>
      <c r="P2912" s="68"/>
      <c r="Q2912" s="149"/>
      <c r="R2912" s="149"/>
      <c r="S2912" s="149"/>
      <c r="T2912" s="149"/>
      <c r="U2912" s="149"/>
      <c r="V2912" s="149"/>
      <c r="W2912" s="149"/>
      <c r="X2912" s="68"/>
      <c r="Y2912" s="68"/>
      <c r="Z2912" s="68"/>
    </row>
    <row r="2913" ht="15.0" customHeight="1">
      <c r="A2913" s="206">
        <v>46133.0</v>
      </c>
      <c r="B2913" s="201" t="s">
        <v>9666</v>
      </c>
      <c r="C2913" s="45" t="s">
        <v>7161</v>
      </c>
      <c r="D2913" s="17" t="str">
        <f>IFERROR(VLOOKUP(C2913,Stock,3,FALSE),"")</f>
        <v>Honda Brio 10- / Mobilio 11-</v>
      </c>
      <c r="E2913" s="45">
        <v>1.0</v>
      </c>
      <c r="F2913" s="198">
        <v>1250000.0</v>
      </c>
      <c r="G2913" s="142">
        <f t="shared" si="85"/>
        <v>1250000</v>
      </c>
      <c r="H2913" s="142"/>
      <c r="I2913" s="451">
        <f t="shared" si="86"/>
        <v>1250000</v>
      </c>
      <c r="J2913" s="144">
        <f t="shared" si="70"/>
        <v>1250000</v>
      </c>
      <c r="K2913" s="45" t="s">
        <v>4241</v>
      </c>
      <c r="L2913" s="199" t="s">
        <v>9667</v>
      </c>
      <c r="M2913" s="17"/>
      <c r="N2913" s="64" t="s">
        <v>9668</v>
      </c>
      <c r="O2913" s="68"/>
      <c r="P2913" s="68"/>
      <c r="Q2913" s="149"/>
      <c r="R2913" s="149"/>
      <c r="S2913" s="141"/>
      <c r="T2913" s="141">
        <v>1250000.0</v>
      </c>
      <c r="U2913" s="149"/>
      <c r="V2913" s="149"/>
      <c r="W2913" s="149"/>
      <c r="X2913" s="68"/>
      <c r="Y2913" s="68"/>
      <c r="Z2913" s="68"/>
    </row>
    <row r="2914" ht="15.0" customHeight="1">
      <c r="A2914" s="206">
        <v>46133.0</v>
      </c>
      <c r="B2914" s="201" t="s">
        <v>9669</v>
      </c>
      <c r="C2914" s="45" t="s">
        <v>7370</v>
      </c>
      <c r="D2914" s="17" t="str">
        <f>IFERROR(VLOOKUP(C2914,Stock,3,FALSE),"")</f>
        <v>Honda City 02-08 4th Gen Idsi GD8</v>
      </c>
      <c r="E2914" s="45">
        <v>1.0</v>
      </c>
      <c r="F2914" s="198">
        <v>1971000.0</v>
      </c>
      <c r="G2914" s="142">
        <f t="shared" si="85"/>
        <v>1971000</v>
      </c>
      <c r="H2914" s="142"/>
      <c r="I2914" s="451">
        <f t="shared" si="86"/>
        <v>1971000</v>
      </c>
      <c r="J2914" s="144">
        <f t="shared" si="70"/>
        <v>1971000</v>
      </c>
      <c r="K2914" s="45" t="s">
        <v>9670</v>
      </c>
      <c r="L2914" s="199" t="s">
        <v>9671</v>
      </c>
      <c r="M2914" s="17"/>
      <c r="N2914" s="64" t="s">
        <v>9672</v>
      </c>
      <c r="O2914" s="68"/>
      <c r="P2914" s="68"/>
      <c r="Q2914" s="149"/>
      <c r="R2914" s="149"/>
      <c r="S2914" s="141">
        <v>100000.0</v>
      </c>
      <c r="T2914" s="141">
        <v>2336000.0</v>
      </c>
      <c r="U2914" s="149"/>
      <c r="V2914" s="149"/>
      <c r="W2914" s="149"/>
      <c r="X2914" s="68"/>
      <c r="Y2914" s="68"/>
      <c r="Z2914" s="68"/>
    </row>
    <row r="2915" ht="15.0" customHeight="1">
      <c r="A2915" s="206">
        <v>46133.0</v>
      </c>
      <c r="B2915" s="201"/>
      <c r="C2915" s="45" t="s">
        <v>2770</v>
      </c>
      <c r="D2915" s="17" t="str">
        <f>IFERROR(VLOOKUP(C2915,Stock,3,FALSE),"")</f>
        <v>Transport</v>
      </c>
      <c r="E2915" s="45">
        <v>1.0</v>
      </c>
      <c r="F2915" s="198">
        <v>150000.0</v>
      </c>
      <c r="G2915" s="142">
        <f t="shared" si="85"/>
        <v>150000</v>
      </c>
      <c r="H2915" s="142"/>
      <c r="I2915" s="451">
        <f t="shared" si="86"/>
        <v>150000</v>
      </c>
      <c r="J2915" s="144">
        <f t="shared" si="70"/>
        <v>150000</v>
      </c>
      <c r="K2915" s="17"/>
      <c r="L2915" s="17"/>
      <c r="M2915" s="17"/>
      <c r="N2915" s="68"/>
      <c r="O2915" s="68"/>
      <c r="P2915" s="68"/>
      <c r="Q2915" s="149"/>
      <c r="R2915" s="149"/>
      <c r="S2915" s="149"/>
      <c r="T2915" s="149"/>
      <c r="U2915" s="149"/>
      <c r="V2915" s="149"/>
      <c r="W2915" s="149"/>
      <c r="X2915" s="68"/>
      <c r="Y2915" s="68"/>
      <c r="Z2915" s="68"/>
    </row>
    <row r="2916" ht="15.0" customHeight="1">
      <c r="A2916" s="206">
        <v>46133.0</v>
      </c>
      <c r="B2916" s="201"/>
      <c r="C2916" s="45" t="s">
        <v>3456</v>
      </c>
      <c r="D2916" s="17" t="str">
        <f>IFERROR(VLOOKUP(C2916,Stock,3,FALSE),"")</f>
        <v>List Kaca Depan Code 11</v>
      </c>
      <c r="E2916" s="45">
        <v>1.0</v>
      </c>
      <c r="F2916" s="198">
        <v>315000.0</v>
      </c>
      <c r="G2916" s="142">
        <f t="shared" si="85"/>
        <v>315000</v>
      </c>
      <c r="H2916" s="142"/>
      <c r="I2916" s="451">
        <f t="shared" si="86"/>
        <v>315000</v>
      </c>
      <c r="J2916" s="144">
        <f t="shared" si="70"/>
        <v>315000</v>
      </c>
      <c r="K2916" s="17"/>
      <c r="L2916" s="17"/>
      <c r="M2916" s="17"/>
      <c r="N2916" s="68"/>
      <c r="O2916" s="68"/>
      <c r="P2916" s="68"/>
      <c r="Q2916" s="149"/>
      <c r="R2916" s="149"/>
      <c r="S2916" s="149"/>
      <c r="T2916" s="149"/>
      <c r="U2916" s="149"/>
      <c r="V2916" s="149"/>
      <c r="W2916" s="149"/>
      <c r="X2916" s="68"/>
      <c r="Y2916" s="68"/>
      <c r="Z2916" s="68"/>
    </row>
    <row r="2917" ht="15.0" customHeight="1">
      <c r="A2917" s="206">
        <v>46133.0</v>
      </c>
      <c r="B2917" s="350" t="s">
        <v>9673</v>
      </c>
      <c r="C2917" s="351" t="s">
        <v>9674</v>
      </c>
      <c r="D2917" s="359" t="str">
        <f>IFERROR(VLOOKUP(C2917,Stock,3,FALSE),"")</f>
        <v>Isuzu MUX / Colorado</v>
      </c>
      <c r="E2917" s="351">
        <v>1.0</v>
      </c>
      <c r="F2917" s="353">
        <v>1764000.0</v>
      </c>
      <c r="G2917" s="354">
        <f t="shared" si="85"/>
        <v>1764000</v>
      </c>
      <c r="H2917" s="354"/>
      <c r="I2917" s="355">
        <f t="shared" si="86"/>
        <v>1764000</v>
      </c>
      <c r="J2917" s="356">
        <f t="shared" si="70"/>
        <v>1764000</v>
      </c>
      <c r="K2917" s="572" t="s">
        <v>9675</v>
      </c>
      <c r="L2917" s="358" t="s">
        <v>9676</v>
      </c>
      <c r="M2917" s="17"/>
      <c r="N2917" s="68"/>
      <c r="O2917" s="68"/>
      <c r="P2917" s="68"/>
      <c r="Q2917" s="149"/>
      <c r="R2917" s="149"/>
      <c r="S2917" s="149"/>
      <c r="T2917" s="149"/>
      <c r="U2917" s="149"/>
      <c r="V2917" s="149"/>
      <c r="W2917" s="149"/>
      <c r="X2917" s="68"/>
      <c r="Y2917" s="68"/>
      <c r="Z2917" s="68"/>
    </row>
    <row r="2918" ht="15.0" customHeight="1">
      <c r="A2918" s="206">
        <v>46133.0</v>
      </c>
      <c r="B2918" s="350"/>
      <c r="C2918" s="351" t="s">
        <v>2835</v>
      </c>
      <c r="D2918" s="359" t="str">
        <f>IFERROR(VLOOKUP(C2918,Stock,3,FALSE),"")</f>
        <v>Peti Kayu</v>
      </c>
      <c r="E2918" s="351">
        <v>1.0</v>
      </c>
      <c r="F2918" s="353">
        <v>200000.0</v>
      </c>
      <c r="G2918" s="354">
        <f t="shared" si="85"/>
        <v>200000</v>
      </c>
      <c r="H2918" s="354"/>
      <c r="I2918" s="355">
        <f t="shared" si="86"/>
        <v>200000</v>
      </c>
      <c r="J2918" s="356">
        <f t="shared" si="70"/>
        <v>200000</v>
      </c>
      <c r="K2918" s="359"/>
      <c r="L2918" s="359"/>
      <c r="M2918" s="17"/>
      <c r="N2918" s="68"/>
      <c r="O2918" s="68"/>
      <c r="P2918" s="68"/>
      <c r="Q2918" s="149"/>
      <c r="R2918" s="149"/>
      <c r="S2918" s="149"/>
      <c r="T2918" s="149"/>
      <c r="U2918" s="149"/>
      <c r="V2918" s="149"/>
      <c r="W2918" s="149"/>
      <c r="X2918" s="68"/>
      <c r="Y2918" s="68"/>
      <c r="Z2918" s="68"/>
    </row>
    <row r="2919" ht="15.0" customHeight="1">
      <c r="A2919" s="206">
        <v>46133.0</v>
      </c>
      <c r="B2919" s="201" t="s">
        <v>9677</v>
      </c>
      <c r="C2919" s="45" t="s">
        <v>9678</v>
      </c>
      <c r="D2919" s="17" t="str">
        <f>IFERROR(VLOOKUP(C2919,Stock,3,FALSE),"")</f>
        <v>Mazda 2 09-14 3rd Gen Hatchback</v>
      </c>
      <c r="E2919" s="45">
        <v>1.0</v>
      </c>
      <c r="F2919" s="198">
        <v>1558000.0</v>
      </c>
      <c r="G2919" s="142">
        <f t="shared" si="85"/>
        <v>1558000</v>
      </c>
      <c r="H2919" s="142"/>
      <c r="I2919" s="451">
        <f t="shared" si="86"/>
        <v>1558000</v>
      </c>
      <c r="J2919" s="144">
        <f t="shared" si="70"/>
        <v>1558000</v>
      </c>
      <c r="K2919" s="45" t="s">
        <v>9679</v>
      </c>
      <c r="L2919" s="199" t="s">
        <v>9680</v>
      </c>
      <c r="M2919" s="17"/>
      <c r="N2919" s="64" t="s">
        <v>9681</v>
      </c>
      <c r="O2919" s="68"/>
      <c r="P2919" s="68"/>
      <c r="Q2919" s="149"/>
      <c r="R2919" s="149"/>
      <c r="S2919" s="149"/>
      <c r="T2919" s="141">
        <v>1558000.0</v>
      </c>
      <c r="U2919" s="149"/>
      <c r="V2919" s="149"/>
      <c r="W2919" s="149"/>
      <c r="X2919" s="68"/>
      <c r="Y2919" s="68"/>
      <c r="Z2919" s="68"/>
    </row>
    <row r="2920" ht="15.0" customHeight="1">
      <c r="A2920" s="206">
        <v>46133.0</v>
      </c>
      <c r="B2920" s="398" t="s">
        <v>9682</v>
      </c>
      <c r="C2920" s="479" t="s">
        <v>9683</v>
      </c>
      <c r="D2920" s="17" t="str">
        <f>IFERROR(VLOOKUP(C2920,Stock,3,FALSE),"")</f>
        <v>Ford Everest 06-15</v>
      </c>
      <c r="E2920" s="45">
        <v>1.0</v>
      </c>
      <c r="F2920" s="198">
        <v>1503210.0</v>
      </c>
      <c r="G2920" s="142">
        <f t="shared" si="85"/>
        <v>1503210</v>
      </c>
      <c r="H2920" s="142"/>
      <c r="I2920" s="451">
        <f t="shared" si="86"/>
        <v>1503210</v>
      </c>
      <c r="J2920" s="144">
        <f t="shared" si="70"/>
        <v>1503210</v>
      </c>
      <c r="K2920" s="45" t="s">
        <v>9684</v>
      </c>
      <c r="L2920" s="17"/>
      <c r="M2920" s="17"/>
      <c r="N2920" s="68"/>
      <c r="O2920" s="68"/>
      <c r="P2920" s="64" t="s">
        <v>2752</v>
      </c>
      <c r="Q2920" s="149"/>
      <c r="R2920" s="149"/>
      <c r="S2920" s="149"/>
      <c r="T2920" s="141">
        <v>1503210.0</v>
      </c>
      <c r="U2920" s="149"/>
      <c r="V2920" s="149"/>
      <c r="W2920" s="149"/>
      <c r="X2920" s="68"/>
      <c r="Y2920" s="68"/>
      <c r="Z2920" s="68"/>
    </row>
    <row r="2921" ht="15.0" customHeight="1">
      <c r="A2921" s="206">
        <v>46133.0</v>
      </c>
      <c r="B2921" s="201" t="s">
        <v>9685</v>
      </c>
      <c r="C2921" s="45" t="s">
        <v>7162</v>
      </c>
      <c r="D2921" s="17" t="str">
        <f>IFERROR(VLOOKUP(C2921,Stock,3,FALSE),"")</f>
        <v>Toyota Innova 04-15 1st Gen</v>
      </c>
      <c r="E2921" s="45">
        <v>1.0</v>
      </c>
      <c r="F2921" s="198">
        <v>1300000.0</v>
      </c>
      <c r="G2921" s="142">
        <f t="shared" si="85"/>
        <v>1300000</v>
      </c>
      <c r="H2921" s="142"/>
      <c r="I2921" s="451">
        <f t="shared" si="86"/>
        <v>1300000</v>
      </c>
      <c r="J2921" s="144">
        <f t="shared" si="70"/>
        <v>1300000</v>
      </c>
      <c r="K2921" s="45" t="s">
        <v>9686</v>
      </c>
      <c r="L2921" s="199" t="s">
        <v>9687</v>
      </c>
      <c r="M2921" s="17"/>
      <c r="N2921" s="64" t="s">
        <v>9688</v>
      </c>
      <c r="O2921" s="68"/>
      <c r="P2921" s="68"/>
      <c r="Q2921" s="149"/>
      <c r="R2921" s="149"/>
      <c r="S2921" s="141">
        <v>100000.0</v>
      </c>
      <c r="T2921" s="141">
        <v>1400000.0</v>
      </c>
      <c r="U2921" s="149"/>
      <c r="V2921" s="149"/>
      <c r="W2921" s="149"/>
      <c r="X2921" s="68"/>
      <c r="Y2921" s="68"/>
      <c r="Z2921" s="68"/>
    </row>
    <row r="2922" ht="15.0" customHeight="1">
      <c r="A2922" s="206">
        <v>46133.0</v>
      </c>
      <c r="B2922" s="201" t="s">
        <v>9685</v>
      </c>
      <c r="C2922" s="45" t="s">
        <v>2770</v>
      </c>
      <c r="D2922" s="17" t="str">
        <f>IFERROR(VLOOKUP(C2922,Stock,3,FALSE),"")</f>
        <v>Transport</v>
      </c>
      <c r="E2922" s="45">
        <v>1.0</v>
      </c>
      <c r="F2922" s="198">
        <v>200000.0</v>
      </c>
      <c r="G2922" s="142">
        <f t="shared" si="85"/>
        <v>200000</v>
      </c>
      <c r="H2922" s="142"/>
      <c r="I2922" s="451">
        <f t="shared" si="86"/>
        <v>200000</v>
      </c>
      <c r="J2922" s="144">
        <f t="shared" si="70"/>
        <v>200000</v>
      </c>
      <c r="K2922" s="17"/>
      <c r="L2922" s="17"/>
      <c r="M2922" s="17"/>
      <c r="N2922" s="68"/>
      <c r="O2922" s="68"/>
      <c r="P2922" s="68"/>
      <c r="Q2922" s="149"/>
      <c r="R2922" s="149"/>
      <c r="S2922" s="149"/>
      <c r="T2922" s="149"/>
      <c r="U2922" s="149"/>
      <c r="V2922" s="149"/>
      <c r="W2922" s="149"/>
      <c r="X2922" s="68"/>
      <c r="Y2922" s="68"/>
      <c r="Z2922" s="68"/>
    </row>
    <row r="2923" ht="15.0" customHeight="1">
      <c r="A2923" s="206">
        <v>46134.0</v>
      </c>
      <c r="B2923" s="231" t="s">
        <v>9689</v>
      </c>
      <c r="C2923" s="232" t="s">
        <v>9690</v>
      </c>
      <c r="D2923" s="240" t="str">
        <f>IFERROR(VLOOKUP(C2923,Stock,3,FALSE),"")</f>
        <v>BYD Sealion 7 24- (2 Sensor / /\ O )</v>
      </c>
      <c r="E2923" s="45">
        <v>1.0</v>
      </c>
      <c r="F2923" s="198">
        <v>5200000.0</v>
      </c>
      <c r="G2923" s="142">
        <f t="shared" si="85"/>
        <v>5200000</v>
      </c>
      <c r="H2923" s="142"/>
      <c r="I2923" s="451">
        <f t="shared" si="86"/>
        <v>5200000</v>
      </c>
      <c r="J2923" s="144">
        <f t="shared" si="70"/>
        <v>5200000</v>
      </c>
      <c r="K2923" s="17"/>
      <c r="L2923" s="17"/>
      <c r="M2923" s="17"/>
      <c r="N2923" s="68"/>
      <c r="O2923" s="68"/>
      <c r="P2923" s="68"/>
      <c r="Q2923" s="149"/>
      <c r="R2923" s="149"/>
      <c r="S2923" s="149"/>
      <c r="T2923" s="141">
        <v>7762000.0</v>
      </c>
      <c r="U2923" s="149"/>
      <c r="V2923" s="149"/>
      <c r="W2923" s="149"/>
      <c r="X2923" s="68"/>
      <c r="Y2923" s="68"/>
      <c r="Z2923" s="68"/>
    </row>
    <row r="2924" ht="15.0" customHeight="1">
      <c r="A2924" s="206">
        <v>46134.0</v>
      </c>
      <c r="B2924" s="231"/>
      <c r="C2924" s="573" t="s">
        <v>7345</v>
      </c>
      <c r="D2924" s="240" t="str">
        <f>IFERROR(VLOOKUP(C2924,Stock,3,FALSE),"")</f>
        <v>VIP Vkool Automotive Film</v>
      </c>
      <c r="E2924" s="45">
        <v>1.0</v>
      </c>
      <c r="F2924" s="198">
        <v>2562000.0</v>
      </c>
      <c r="G2924" s="142">
        <f t="shared" si="85"/>
        <v>2562000</v>
      </c>
      <c r="H2924" s="142"/>
      <c r="I2924" s="451">
        <f t="shared" si="86"/>
        <v>2562000</v>
      </c>
      <c r="J2924" s="144">
        <f t="shared" si="70"/>
        <v>2562000</v>
      </c>
      <c r="K2924" s="17"/>
      <c r="L2924" s="17"/>
      <c r="M2924" s="17"/>
      <c r="N2924" s="68"/>
      <c r="O2924" s="68"/>
      <c r="P2924" s="68"/>
      <c r="Q2924" s="149"/>
      <c r="R2924" s="149"/>
      <c r="S2924" s="149"/>
      <c r="T2924" s="149"/>
      <c r="U2924" s="149"/>
      <c r="V2924" s="149"/>
      <c r="W2924" s="149"/>
      <c r="X2924" s="68"/>
      <c r="Y2924" s="68"/>
      <c r="Z2924" s="68"/>
    </row>
    <row r="2925" ht="15.0" customHeight="1">
      <c r="A2925" s="206">
        <v>46134.0</v>
      </c>
      <c r="B2925" s="201" t="s">
        <v>9691</v>
      </c>
      <c r="C2925" s="45" t="s">
        <v>7270</v>
      </c>
      <c r="D2925" s="17" t="str">
        <f>IFERROR(VLOOKUP(C2925,Stock,3,FALSE),"")</f>
        <v>Toyota Fortuner 05-15 1st Gen</v>
      </c>
      <c r="E2925" s="45">
        <v>1.0</v>
      </c>
      <c r="F2925" s="198">
        <v>1392000.0</v>
      </c>
      <c r="G2925" s="142">
        <f t="shared" si="85"/>
        <v>1392000</v>
      </c>
      <c r="H2925" s="142"/>
      <c r="I2925" s="451">
        <f t="shared" si="86"/>
        <v>1392000</v>
      </c>
      <c r="J2925" s="144">
        <f t="shared" si="70"/>
        <v>1392000</v>
      </c>
      <c r="K2925" s="45" t="s">
        <v>9692</v>
      </c>
      <c r="L2925" s="199" t="s">
        <v>9693</v>
      </c>
      <c r="M2925" s="17"/>
      <c r="N2925" s="64" t="s">
        <v>9694</v>
      </c>
      <c r="O2925" s="68"/>
      <c r="P2925" s="68"/>
      <c r="Q2925" s="149"/>
      <c r="R2925" s="149"/>
      <c r="S2925" s="149"/>
      <c r="T2925" s="141">
        <v>1392000.0</v>
      </c>
      <c r="U2925" s="149"/>
      <c r="V2925" s="149"/>
      <c r="W2925" s="149"/>
      <c r="X2925" s="68"/>
      <c r="Y2925" s="68"/>
      <c r="Z2925" s="68"/>
    </row>
    <row r="2926" ht="15.0" customHeight="1">
      <c r="A2926" s="206">
        <v>46134.0</v>
      </c>
      <c r="B2926" s="201" t="s">
        <v>9695</v>
      </c>
      <c r="C2926" s="45" t="s">
        <v>9696</v>
      </c>
      <c r="D2926" s="17" t="str">
        <f>IFERROR(VLOOKUP(C2926,Stock,3,FALSE),"")</f>
        <v>DFSK Gelora</v>
      </c>
      <c r="E2926" s="45">
        <v>1.0</v>
      </c>
      <c r="F2926" s="198">
        <v>2000000.0</v>
      </c>
      <c r="G2926" s="142">
        <f t="shared" si="85"/>
        <v>2000000</v>
      </c>
      <c r="H2926" s="142"/>
      <c r="I2926" s="451">
        <f t="shared" si="86"/>
        <v>2000000</v>
      </c>
      <c r="J2926" s="144">
        <f t="shared" si="70"/>
        <v>2000000</v>
      </c>
      <c r="K2926" s="45" t="s">
        <v>9697</v>
      </c>
      <c r="L2926" s="199" t="s">
        <v>9698</v>
      </c>
      <c r="M2926" s="17"/>
      <c r="N2926" s="64" t="s">
        <v>9699</v>
      </c>
      <c r="O2926" s="68"/>
      <c r="P2926" s="68"/>
      <c r="Q2926" s="149"/>
      <c r="R2926" s="149"/>
      <c r="S2926" s="149"/>
      <c r="T2926" s="149"/>
      <c r="U2926" s="149"/>
      <c r="V2926" s="149"/>
      <c r="W2926" s="149"/>
      <c r="X2926" s="68"/>
      <c r="Y2926" s="68"/>
      <c r="Z2926" s="68"/>
    </row>
    <row r="2927" ht="15.0" customHeight="1">
      <c r="A2927" s="206">
        <v>46134.0</v>
      </c>
      <c r="B2927" s="201" t="s">
        <v>9700</v>
      </c>
      <c r="C2927" s="548" t="s">
        <v>9390</v>
      </c>
      <c r="D2927" s="17" t="str">
        <f>IFERROR(VLOOKUP(C2927,Stock,3,FALSE),"")</f>
        <v>Hyundai Santa Fe 18-23 (thn 21-23) (2 Sensor / /\ O)</v>
      </c>
      <c r="E2927" s="45">
        <v>1.0</v>
      </c>
      <c r="F2927" s="198">
        <v>3800000.0</v>
      </c>
      <c r="G2927" s="142">
        <f t="shared" si="85"/>
        <v>3800000</v>
      </c>
      <c r="H2927" s="142"/>
      <c r="I2927" s="451">
        <f t="shared" si="86"/>
        <v>3800000</v>
      </c>
      <c r="J2927" s="144">
        <f t="shared" si="70"/>
        <v>3800000</v>
      </c>
      <c r="K2927" s="45" t="s">
        <v>9701</v>
      </c>
      <c r="L2927" s="199" t="s">
        <v>9702</v>
      </c>
      <c r="M2927" s="17"/>
      <c r="N2927" s="64" t="s">
        <v>9703</v>
      </c>
      <c r="O2927" s="68"/>
      <c r="P2927" s="68"/>
      <c r="Q2927" s="149"/>
      <c r="R2927" s="149"/>
      <c r="S2927" s="141">
        <v>100000.0</v>
      </c>
      <c r="T2927" s="141">
        <v>4150000.0</v>
      </c>
      <c r="U2927" s="149"/>
      <c r="V2927" s="149"/>
      <c r="W2927" s="149"/>
      <c r="X2927" s="68"/>
      <c r="Y2927" s="68"/>
      <c r="Z2927" s="68"/>
    </row>
    <row r="2928" ht="15.0" customHeight="1">
      <c r="A2928" s="206">
        <v>46134.0</v>
      </c>
      <c r="B2928" s="201" t="s">
        <v>9700</v>
      </c>
      <c r="C2928" s="45" t="s">
        <v>7011</v>
      </c>
      <c r="D2928" s="17" t="str">
        <f>IFERROR(VLOOKUP(C2928,Stock,3,FALSE),"")</f>
        <v>Automotive Film Standard - Black 40%				</v>
      </c>
      <c r="E2928" s="45">
        <v>1.0</v>
      </c>
      <c r="F2928" s="198">
        <v>450000.0</v>
      </c>
      <c r="G2928" s="142">
        <f t="shared" si="85"/>
        <v>450000</v>
      </c>
      <c r="H2928" s="142"/>
      <c r="I2928" s="451">
        <f t="shared" si="86"/>
        <v>450000</v>
      </c>
      <c r="J2928" s="144">
        <f t="shared" si="70"/>
        <v>450000</v>
      </c>
      <c r="K2928" s="17"/>
      <c r="L2928" s="17"/>
      <c r="M2928" s="17"/>
      <c r="N2928" s="68"/>
      <c r="O2928" s="68"/>
      <c r="P2928" s="68"/>
      <c r="Q2928" s="149"/>
      <c r="R2928" s="149"/>
      <c r="S2928" s="149"/>
      <c r="T2928" s="149"/>
      <c r="U2928" s="149"/>
      <c r="V2928" s="149"/>
      <c r="W2928" s="149"/>
      <c r="X2928" s="68"/>
      <c r="Y2928" s="68"/>
      <c r="Z2928" s="68"/>
    </row>
    <row r="2929" ht="15.0" customHeight="1">
      <c r="A2929" s="206">
        <v>46134.0</v>
      </c>
      <c r="B2929" s="574" t="s">
        <v>9704</v>
      </c>
      <c r="C2929" s="575" t="s">
        <v>4017</v>
      </c>
      <c r="D2929" s="576" t="str">
        <f>IFERROR(VLOOKUP(C2929,Stock,3,FALSE),"")</f>
        <v>Black Phantom Solar Gard</v>
      </c>
      <c r="E2929" s="575">
        <v>1.0</v>
      </c>
      <c r="F2929" s="577">
        <v>1375000.0</v>
      </c>
      <c r="G2929" s="578">
        <f t="shared" si="85"/>
        <v>1375000</v>
      </c>
      <c r="H2929" s="578"/>
      <c r="I2929" s="579">
        <f t="shared" si="86"/>
        <v>1375000</v>
      </c>
      <c r="J2929" s="580">
        <f t="shared" si="70"/>
        <v>1375000</v>
      </c>
      <c r="K2929" s="575" t="s">
        <v>9705</v>
      </c>
      <c r="L2929" s="581" t="s">
        <v>9706</v>
      </c>
      <c r="M2929" s="17"/>
      <c r="N2929" s="64" t="s">
        <v>9593</v>
      </c>
      <c r="O2929" s="68"/>
      <c r="P2929" s="68"/>
      <c r="Q2929" s="149"/>
      <c r="R2929" s="149"/>
      <c r="S2929" s="141">
        <v>100000.0</v>
      </c>
      <c r="T2929" s="141">
        <v>1275000.0</v>
      </c>
      <c r="U2929" s="149"/>
      <c r="V2929" s="149"/>
      <c r="W2929" s="149"/>
      <c r="X2929" s="68"/>
      <c r="Y2929" s="68"/>
      <c r="Z2929" s="68"/>
    </row>
    <row r="2930" ht="15.0" customHeight="1">
      <c r="A2930" s="206">
        <v>46135.0</v>
      </c>
      <c r="B2930" s="201" t="s">
        <v>9707</v>
      </c>
      <c r="C2930" s="45" t="s">
        <v>3130</v>
      </c>
      <c r="D2930" s="17" t="str">
        <f>IFERROR(VLOOKUP(C2930,Stock,3,FALSE),"")</f>
        <v>Toyota Innova 04-15 1st Gen</v>
      </c>
      <c r="E2930" s="45">
        <v>1.0</v>
      </c>
      <c r="F2930" s="198">
        <v>1320000.0</v>
      </c>
      <c r="G2930" s="142">
        <f t="shared" si="85"/>
        <v>1320000</v>
      </c>
      <c r="H2930" s="142"/>
      <c r="I2930" s="451">
        <f t="shared" si="86"/>
        <v>1320000</v>
      </c>
      <c r="J2930" s="144">
        <f t="shared" si="70"/>
        <v>1320000</v>
      </c>
      <c r="K2930" s="45" t="s">
        <v>9708</v>
      </c>
      <c r="L2930" s="199" t="s">
        <v>9709</v>
      </c>
      <c r="M2930" s="17"/>
      <c r="N2930" s="64" t="s">
        <v>9710</v>
      </c>
      <c r="O2930" s="68"/>
      <c r="P2930" s="68"/>
      <c r="Q2930" s="141">
        <v>1620000.0</v>
      </c>
      <c r="R2930" s="149"/>
      <c r="S2930" s="149"/>
      <c r="T2930" s="149"/>
      <c r="U2930" s="149"/>
      <c r="V2930" s="149"/>
      <c r="W2930" s="149"/>
      <c r="X2930" s="68"/>
      <c r="Y2930" s="68"/>
      <c r="Z2930" s="68"/>
    </row>
    <row r="2931" ht="15.0" customHeight="1">
      <c r="A2931" s="206">
        <v>46135.0</v>
      </c>
      <c r="B2931" s="201" t="s">
        <v>9707</v>
      </c>
      <c r="C2931" s="45" t="s">
        <v>8411</v>
      </c>
      <c r="D2931" s="17" t="str">
        <f>IFERROR(VLOOKUP(C2931,Stock,3,FALSE),"")</f>
        <v>Automotive Film Standard - Black 80%</v>
      </c>
      <c r="E2931" s="45">
        <v>1.0</v>
      </c>
      <c r="F2931" s="198">
        <v>400000.0</v>
      </c>
      <c r="G2931" s="142">
        <f t="shared" si="85"/>
        <v>400000</v>
      </c>
      <c r="H2931" s="143">
        <v>100000.0</v>
      </c>
      <c r="I2931" s="451">
        <f t="shared" si="86"/>
        <v>300000</v>
      </c>
      <c r="J2931" s="144">
        <f t="shared" si="70"/>
        <v>300000</v>
      </c>
      <c r="K2931" s="45" t="s">
        <v>9708</v>
      </c>
      <c r="L2931" s="199" t="s">
        <v>9709</v>
      </c>
      <c r="M2931" s="17"/>
      <c r="N2931" s="64" t="s">
        <v>9710</v>
      </c>
      <c r="O2931" s="68"/>
      <c r="P2931" s="68"/>
      <c r="Q2931" s="149"/>
      <c r="R2931" s="149"/>
      <c r="S2931" s="149"/>
      <c r="T2931" s="149"/>
      <c r="U2931" s="149"/>
      <c r="V2931" s="149"/>
      <c r="W2931" s="149"/>
      <c r="X2931" s="68"/>
      <c r="Y2931" s="68"/>
      <c r="Z2931" s="68"/>
    </row>
    <row r="2932" ht="15.0" customHeight="1">
      <c r="A2932" s="441">
        <v>46121.0</v>
      </c>
      <c r="B2932" s="582" t="s">
        <v>9311</v>
      </c>
      <c r="C2932" s="583" t="s">
        <v>4017</v>
      </c>
      <c r="D2932" s="584" t="str">
        <f>IFERROR(VLOOKUP(C2932,Stock,3,FALSE),"")</f>
        <v>Black Phantom Solar Gard</v>
      </c>
      <c r="E2932" s="583">
        <v>1.0</v>
      </c>
      <c r="F2932" s="585">
        <v>1475000.0</v>
      </c>
      <c r="G2932" s="586">
        <f t="shared" si="85"/>
        <v>1475000</v>
      </c>
      <c r="H2932" s="586"/>
      <c r="I2932" s="587">
        <f t="shared" si="86"/>
        <v>1475000</v>
      </c>
      <c r="J2932" s="588">
        <f t="shared" si="70"/>
        <v>1475000</v>
      </c>
      <c r="K2932" s="584"/>
      <c r="L2932" s="584"/>
      <c r="M2932" s="584"/>
      <c r="N2932" s="68"/>
      <c r="O2932" s="68"/>
      <c r="P2932" s="68"/>
      <c r="Q2932" s="149"/>
      <c r="R2932" s="149"/>
      <c r="S2932" s="149"/>
      <c r="T2932" s="149"/>
      <c r="U2932" s="149"/>
      <c r="V2932" s="149"/>
      <c r="W2932" s="149"/>
      <c r="X2932" s="68"/>
      <c r="Y2932" s="68"/>
      <c r="Z2932" s="68"/>
    </row>
    <row r="2933" ht="15.0" customHeight="1">
      <c r="A2933" s="206">
        <v>46135.0</v>
      </c>
      <c r="B2933" s="201" t="s">
        <v>9711</v>
      </c>
      <c r="C2933" s="45" t="s">
        <v>2973</v>
      </c>
      <c r="D2933" s="17" t="str">
        <f>IFERROR(VLOOKUP(C2933,Stock,3,FALSE),"")</f>
        <v>Suzuki Carry New 19-</v>
      </c>
      <c r="E2933" s="45">
        <v>1.0</v>
      </c>
      <c r="F2933" s="198">
        <v>1040000.0</v>
      </c>
      <c r="G2933" s="142">
        <f t="shared" si="85"/>
        <v>1040000</v>
      </c>
      <c r="H2933" s="142"/>
      <c r="I2933" s="451">
        <f t="shared" si="86"/>
        <v>1040000</v>
      </c>
      <c r="J2933" s="144">
        <f t="shared" si="70"/>
        <v>1040000</v>
      </c>
      <c r="K2933" s="45" t="s">
        <v>9712</v>
      </c>
      <c r="L2933" s="199" t="s">
        <v>9713</v>
      </c>
      <c r="M2933" s="17"/>
      <c r="N2933" s="64" t="s">
        <v>9714</v>
      </c>
      <c r="O2933" s="68"/>
      <c r="P2933" s="68"/>
      <c r="Q2933" s="149"/>
      <c r="R2933" s="149"/>
      <c r="S2933" s="141">
        <v>100000.0</v>
      </c>
      <c r="T2933" s="149"/>
      <c r="U2933" s="149"/>
      <c r="V2933" s="149"/>
      <c r="W2933" s="149"/>
      <c r="X2933" s="68"/>
      <c r="Y2933" s="68"/>
      <c r="Z2933" s="68"/>
    </row>
    <row r="2934" ht="15.0" customHeight="1">
      <c r="A2934" s="206">
        <v>46135.0</v>
      </c>
      <c r="B2934" s="201" t="s">
        <v>9711</v>
      </c>
      <c r="C2934" s="45" t="s">
        <v>2770</v>
      </c>
      <c r="D2934" s="17" t="str">
        <f>IFERROR(VLOOKUP(C2934,Stock,3,FALSE),"")</f>
        <v>Transport</v>
      </c>
      <c r="E2934" s="45">
        <v>1.0</v>
      </c>
      <c r="F2934" s="198">
        <v>150000.0</v>
      </c>
      <c r="G2934" s="142">
        <f t="shared" si="85"/>
        <v>150000</v>
      </c>
      <c r="H2934" s="142"/>
      <c r="I2934" s="451">
        <f t="shared" si="86"/>
        <v>150000</v>
      </c>
      <c r="J2934" s="144">
        <f t="shared" si="70"/>
        <v>150000</v>
      </c>
      <c r="K2934" s="45" t="s">
        <v>9712</v>
      </c>
      <c r="L2934" s="199" t="s">
        <v>9713</v>
      </c>
      <c r="M2934" s="17"/>
      <c r="N2934" s="64" t="s">
        <v>9714</v>
      </c>
      <c r="O2934" s="68"/>
      <c r="P2934" s="68"/>
      <c r="Q2934" s="149"/>
      <c r="R2934" s="149"/>
      <c r="S2934" s="149"/>
      <c r="T2934" s="149"/>
      <c r="U2934" s="149"/>
      <c r="V2934" s="149"/>
      <c r="W2934" s="149"/>
      <c r="X2934" s="68"/>
      <c r="Y2934" s="68"/>
      <c r="Z2934" s="68"/>
    </row>
    <row r="2935" ht="15.0" customHeight="1">
      <c r="A2935" s="206">
        <v>46136.0</v>
      </c>
      <c r="B2935" s="201" t="s">
        <v>9715</v>
      </c>
      <c r="C2935" s="45" t="s">
        <v>2973</v>
      </c>
      <c r="D2935" s="17" t="str">
        <f>IFERROR(VLOOKUP(C2935,Stock,3,FALSE),"")</f>
        <v>Suzuki Carry New 19-</v>
      </c>
      <c r="E2935" s="45">
        <v>1.0</v>
      </c>
      <c r="F2935" s="198">
        <v>1150000.0</v>
      </c>
      <c r="G2935" s="142">
        <f t="shared" si="85"/>
        <v>1150000</v>
      </c>
      <c r="H2935" s="142"/>
      <c r="I2935" s="451">
        <f t="shared" si="86"/>
        <v>1150000</v>
      </c>
      <c r="J2935" s="144">
        <f t="shared" si="70"/>
        <v>1150000</v>
      </c>
      <c r="K2935" s="45" t="s">
        <v>5450</v>
      </c>
      <c r="L2935" s="199" t="s">
        <v>9716</v>
      </c>
      <c r="M2935" s="17"/>
      <c r="N2935" s="64" t="s">
        <v>9717</v>
      </c>
      <c r="O2935" s="68"/>
      <c r="P2935" s="68"/>
      <c r="Q2935" s="149"/>
      <c r="R2935" s="149"/>
      <c r="S2935" s="149"/>
      <c r="T2935" s="141">
        <v>1150000.0</v>
      </c>
      <c r="U2935" s="149"/>
      <c r="V2935" s="149"/>
      <c r="W2935" s="149"/>
      <c r="X2935" s="68"/>
      <c r="Y2935" s="68"/>
      <c r="Z2935" s="68"/>
    </row>
    <row r="2936" ht="15.0" customHeight="1">
      <c r="A2936" s="206">
        <v>46136.0</v>
      </c>
      <c r="B2936" s="398" t="s">
        <v>9718</v>
      </c>
      <c r="C2936" s="479" t="s">
        <v>2778</v>
      </c>
      <c r="D2936" s="17" t="str">
        <f>IFERROR(VLOOKUP(C2936,Stock,3,FALSE),"")</f>
        <v>Bongkar Pasang Kaca Mobil Depan</v>
      </c>
      <c r="E2936" s="45">
        <v>1.0</v>
      </c>
      <c r="F2936" s="198">
        <v>800000.0</v>
      </c>
      <c r="G2936" s="142">
        <f t="shared" si="85"/>
        <v>800000</v>
      </c>
      <c r="H2936" s="142"/>
      <c r="I2936" s="451">
        <f t="shared" si="86"/>
        <v>800000</v>
      </c>
      <c r="J2936" s="144">
        <f t="shared" si="70"/>
        <v>800000</v>
      </c>
      <c r="K2936" s="17"/>
      <c r="L2936" s="17"/>
      <c r="M2936" s="17"/>
      <c r="N2936" s="68"/>
      <c r="O2936" s="68"/>
      <c r="P2936" s="68"/>
      <c r="Q2936" s="149"/>
      <c r="R2936" s="149"/>
      <c r="S2936" s="149"/>
      <c r="T2936" s="149"/>
      <c r="U2936" s="149"/>
      <c r="V2936" s="149"/>
      <c r="W2936" s="149"/>
      <c r="X2936" s="68"/>
      <c r="Y2936" s="68"/>
      <c r="Z2936" s="68"/>
    </row>
    <row r="2937" ht="15.0" customHeight="1">
      <c r="A2937" s="206">
        <v>46136.0</v>
      </c>
      <c r="B2937" s="398" t="s">
        <v>9718</v>
      </c>
      <c r="C2937" s="479" t="s">
        <v>2770</v>
      </c>
      <c r="D2937" s="17" t="str">
        <f>IFERROR(VLOOKUP(C2937,Stock,3,FALSE),"")</f>
        <v>Transport</v>
      </c>
      <c r="E2937" s="45">
        <v>1.0</v>
      </c>
      <c r="F2937" s="198">
        <v>100000.0</v>
      </c>
      <c r="G2937" s="142">
        <f t="shared" si="85"/>
        <v>100000</v>
      </c>
      <c r="H2937" s="142"/>
      <c r="I2937" s="451">
        <f t="shared" si="86"/>
        <v>100000</v>
      </c>
      <c r="J2937" s="144">
        <f t="shared" si="70"/>
        <v>100000</v>
      </c>
      <c r="K2937" s="17"/>
      <c r="L2937" s="17"/>
      <c r="M2937" s="17"/>
      <c r="N2937" s="68"/>
      <c r="O2937" s="68"/>
      <c r="P2937" s="68"/>
      <c r="Q2937" s="149"/>
      <c r="R2937" s="149"/>
      <c r="S2937" s="149"/>
      <c r="T2937" s="149"/>
      <c r="U2937" s="149"/>
      <c r="V2937" s="149"/>
      <c r="W2937" s="149"/>
      <c r="X2937" s="68"/>
      <c r="Y2937" s="68"/>
      <c r="Z2937" s="68"/>
    </row>
    <row r="2938" ht="15.0" customHeight="1">
      <c r="A2938" s="206">
        <v>46136.0</v>
      </c>
      <c r="B2938" s="398" t="s">
        <v>9719</v>
      </c>
      <c r="C2938" s="479" t="s">
        <v>2778</v>
      </c>
      <c r="D2938" s="17" t="str">
        <f>IFERROR(VLOOKUP(C2938,Stock,3,FALSE),"")</f>
        <v>Bongkar Pasang Kaca Mobil Depan</v>
      </c>
      <c r="E2938" s="45">
        <v>1.0</v>
      </c>
      <c r="F2938" s="198">
        <v>600000.0</v>
      </c>
      <c r="G2938" s="142">
        <f t="shared" si="85"/>
        <v>600000</v>
      </c>
      <c r="H2938" s="142"/>
      <c r="I2938" s="451">
        <f t="shared" si="86"/>
        <v>600000</v>
      </c>
      <c r="J2938" s="144">
        <f t="shared" si="70"/>
        <v>600000</v>
      </c>
      <c r="K2938" s="45" t="s">
        <v>9720</v>
      </c>
      <c r="L2938" s="199" t="s">
        <v>9721</v>
      </c>
      <c r="M2938" s="17"/>
      <c r="N2938" s="64"/>
      <c r="O2938" s="68"/>
      <c r="P2938" s="68"/>
      <c r="Q2938" s="149"/>
      <c r="R2938" s="149"/>
      <c r="S2938" s="149"/>
      <c r="T2938" s="149"/>
      <c r="U2938" s="149"/>
      <c r="V2938" s="149"/>
      <c r="W2938" s="149"/>
      <c r="X2938" s="68"/>
      <c r="Y2938" s="68"/>
      <c r="Z2938" s="68"/>
    </row>
    <row r="2939" ht="15.0" customHeight="1">
      <c r="A2939" s="206">
        <v>46136.0</v>
      </c>
      <c r="B2939" s="398" t="s">
        <v>9719</v>
      </c>
      <c r="C2939" s="479" t="s">
        <v>2770</v>
      </c>
      <c r="D2939" s="17" t="str">
        <f>IFERROR(VLOOKUP(C2939,Stock,3,FALSE),"")</f>
        <v>Transport</v>
      </c>
      <c r="E2939" s="45">
        <v>1.0</v>
      </c>
      <c r="F2939" s="198">
        <v>100000.0</v>
      </c>
      <c r="G2939" s="142">
        <f t="shared" si="85"/>
        <v>100000</v>
      </c>
      <c r="H2939" s="142"/>
      <c r="I2939" s="451">
        <f t="shared" si="86"/>
        <v>100000</v>
      </c>
      <c r="J2939" s="144">
        <f t="shared" si="70"/>
        <v>100000</v>
      </c>
      <c r="K2939" s="45" t="s">
        <v>9720</v>
      </c>
      <c r="L2939" s="199" t="s">
        <v>9721</v>
      </c>
      <c r="M2939" s="17"/>
      <c r="N2939" s="64"/>
      <c r="O2939" s="68"/>
      <c r="P2939" s="68"/>
      <c r="Q2939" s="149"/>
      <c r="R2939" s="149"/>
      <c r="S2939" s="149"/>
      <c r="T2939" s="149"/>
      <c r="U2939" s="149"/>
      <c r="V2939" s="149"/>
      <c r="W2939" s="149"/>
      <c r="X2939" s="68"/>
      <c r="Y2939" s="68"/>
      <c r="Z2939" s="68"/>
    </row>
    <row r="2940" ht="15.0" customHeight="1">
      <c r="A2940" s="206">
        <v>46136.0</v>
      </c>
      <c r="B2940" s="201" t="s">
        <v>9722</v>
      </c>
      <c r="C2940" s="45" t="s">
        <v>3181</v>
      </c>
      <c r="D2940" s="17" t="str">
        <f>IFERROR(VLOOKUP(C2940,Stock,3,FALSE),"")</f>
        <v>Toyota Kijang 98- Kapsul Karet</v>
      </c>
      <c r="E2940" s="45">
        <v>1.0</v>
      </c>
      <c r="F2940" s="198">
        <v>1378000.0</v>
      </c>
      <c r="G2940" s="142">
        <f t="shared" si="85"/>
        <v>1378000</v>
      </c>
      <c r="H2940" s="142"/>
      <c r="I2940" s="451">
        <f t="shared" si="86"/>
        <v>1378000</v>
      </c>
      <c r="J2940" s="144">
        <f t="shared" si="70"/>
        <v>1378000</v>
      </c>
      <c r="K2940" s="45" t="s">
        <v>8904</v>
      </c>
      <c r="L2940" s="199" t="s">
        <v>9723</v>
      </c>
      <c r="M2940" s="17"/>
      <c r="N2940" s="64" t="s">
        <v>9724</v>
      </c>
      <c r="O2940" s="68"/>
      <c r="P2940" s="68"/>
      <c r="Q2940" s="149"/>
      <c r="R2940" s="149"/>
      <c r="S2940" s="149"/>
      <c r="T2940" s="149"/>
      <c r="U2940" s="149"/>
      <c r="V2940" s="149"/>
      <c r="W2940" s="149"/>
      <c r="X2940" s="68"/>
      <c r="Y2940" s="68"/>
      <c r="Z2940" s="68"/>
    </row>
    <row r="2941" ht="15.0" customHeight="1">
      <c r="A2941" s="206">
        <v>46136.0</v>
      </c>
      <c r="B2941" s="201" t="s">
        <v>9725</v>
      </c>
      <c r="C2941" s="45" t="s">
        <v>6654</v>
      </c>
      <c r="D2941" s="17" t="str">
        <f>IFERROR(VLOOKUP(C2941,Stock,3,FALSE),"")</f>
        <v>Honda CR-V 12-16  4th Gen (Honda)</v>
      </c>
      <c r="E2941" s="45">
        <v>1.0</v>
      </c>
      <c r="F2941" s="198">
        <v>4107000.0</v>
      </c>
      <c r="G2941" s="142">
        <f t="shared" si="85"/>
        <v>4107000</v>
      </c>
      <c r="H2941" s="143">
        <v>107000.0</v>
      </c>
      <c r="I2941" s="451">
        <f t="shared" si="86"/>
        <v>4000000</v>
      </c>
      <c r="J2941" s="144">
        <f t="shared" si="70"/>
        <v>4000000</v>
      </c>
      <c r="K2941" s="45" t="s">
        <v>9726</v>
      </c>
      <c r="L2941" s="199" t="s">
        <v>9727</v>
      </c>
      <c r="M2941" s="17"/>
      <c r="N2941" s="64" t="s">
        <v>9728</v>
      </c>
      <c r="O2941" s="68"/>
      <c r="P2941" s="68"/>
      <c r="Q2941" s="149"/>
      <c r="R2941" s="149"/>
      <c r="S2941" s="141">
        <v>100000.0</v>
      </c>
      <c r="T2941" s="149"/>
      <c r="U2941" s="149"/>
      <c r="V2941" s="149"/>
      <c r="W2941" s="149"/>
      <c r="X2941" s="68"/>
      <c r="Y2941" s="68"/>
      <c r="Z2941" s="68"/>
    </row>
    <row r="2942" ht="15.0" customHeight="1">
      <c r="A2942" s="206">
        <v>46136.0</v>
      </c>
      <c r="B2942" s="231" t="s">
        <v>9725</v>
      </c>
      <c r="C2942" s="232" t="s">
        <v>4017</v>
      </c>
      <c r="D2942" s="17" t="str">
        <f>IFERROR(VLOOKUP(C2942,Stock,3,FALSE),"")</f>
        <v>Black Phantom Solar Gard</v>
      </c>
      <c r="E2942" s="45">
        <v>1.0</v>
      </c>
      <c r="F2942" s="198">
        <v>1575000.0</v>
      </c>
      <c r="G2942" s="142">
        <f t="shared" si="85"/>
        <v>1575000</v>
      </c>
      <c r="H2942" s="142"/>
      <c r="I2942" s="451">
        <f t="shared" si="86"/>
        <v>1575000</v>
      </c>
      <c r="J2942" s="144">
        <f t="shared" si="70"/>
        <v>1575000</v>
      </c>
      <c r="K2942" s="45" t="s">
        <v>9726</v>
      </c>
      <c r="L2942" s="199" t="s">
        <v>9727</v>
      </c>
      <c r="M2942" s="17"/>
      <c r="N2942" s="64" t="s">
        <v>9728</v>
      </c>
      <c r="O2942" s="68"/>
      <c r="P2942" s="68"/>
      <c r="Q2942" s="149"/>
      <c r="R2942" s="149"/>
      <c r="S2942" s="149"/>
      <c r="T2942" s="149"/>
      <c r="U2942" s="149"/>
      <c r="V2942" s="149"/>
      <c r="W2942" s="149"/>
      <c r="X2942" s="68"/>
      <c r="Y2942" s="68"/>
      <c r="Z2942" s="68"/>
    </row>
    <row r="2943" ht="15.0" customHeight="1">
      <c r="A2943" s="206">
        <v>46136.0</v>
      </c>
      <c r="B2943" s="201" t="s">
        <v>9725</v>
      </c>
      <c r="C2943" s="45" t="s">
        <v>2770</v>
      </c>
      <c r="D2943" s="17" t="str">
        <f>IFERROR(VLOOKUP(C2943,Stock,3,FALSE),"")</f>
        <v>Transport</v>
      </c>
      <c r="E2943" s="45">
        <v>1.0</v>
      </c>
      <c r="F2943" s="198">
        <v>200000.0</v>
      </c>
      <c r="G2943" s="142">
        <f t="shared" si="85"/>
        <v>200000</v>
      </c>
      <c r="H2943" s="142"/>
      <c r="I2943" s="451">
        <f t="shared" si="86"/>
        <v>200000</v>
      </c>
      <c r="J2943" s="144">
        <f t="shared" si="70"/>
        <v>200000</v>
      </c>
      <c r="K2943" s="45" t="s">
        <v>9726</v>
      </c>
      <c r="L2943" s="199" t="s">
        <v>9727</v>
      </c>
      <c r="M2943" s="17"/>
      <c r="N2943" s="64" t="s">
        <v>9728</v>
      </c>
      <c r="O2943" s="68"/>
      <c r="P2943" s="68"/>
      <c r="Q2943" s="149"/>
      <c r="R2943" s="149"/>
      <c r="S2943" s="149"/>
      <c r="T2943" s="149"/>
      <c r="U2943" s="149"/>
      <c r="V2943" s="149"/>
      <c r="W2943" s="149"/>
      <c r="X2943" s="68"/>
      <c r="Y2943" s="68"/>
      <c r="Z2943" s="68"/>
    </row>
    <row r="2944" ht="15.0" customHeight="1">
      <c r="A2944" s="206">
        <v>46136.0</v>
      </c>
      <c r="B2944" s="201" t="s">
        <v>9729</v>
      </c>
      <c r="C2944" s="45" t="s">
        <v>2869</v>
      </c>
      <c r="D2944" s="17" t="str">
        <f>IFERROR(VLOOKUP(C2944,Stock,3,FALSE),"")</f>
        <v>Daihatsu Gran Max / Luxio 07-</v>
      </c>
      <c r="E2944" s="45">
        <v>1.0</v>
      </c>
      <c r="F2944" s="198">
        <v>1000000.0</v>
      </c>
      <c r="G2944" s="142">
        <f t="shared" si="85"/>
        <v>1000000</v>
      </c>
      <c r="H2944" s="142"/>
      <c r="I2944" s="451">
        <f t="shared" si="86"/>
        <v>1000000</v>
      </c>
      <c r="J2944" s="144">
        <f t="shared" si="70"/>
        <v>1000000</v>
      </c>
      <c r="K2944" s="45" t="s">
        <v>9730</v>
      </c>
      <c r="L2944" s="199" t="s">
        <v>9731</v>
      </c>
      <c r="M2944" s="17"/>
      <c r="N2944" s="64" t="s">
        <v>9732</v>
      </c>
      <c r="O2944" s="68"/>
      <c r="P2944" s="68"/>
      <c r="Q2944" s="149"/>
      <c r="R2944" s="149"/>
      <c r="S2944" s="149"/>
      <c r="T2944" s="149"/>
      <c r="U2944" s="149"/>
      <c r="V2944" s="149"/>
      <c r="W2944" s="149"/>
      <c r="X2944" s="68"/>
      <c r="Y2944" s="68"/>
      <c r="Z2944" s="68"/>
    </row>
    <row r="2945" ht="15.0" customHeight="1">
      <c r="A2945" s="206">
        <v>46129.0</v>
      </c>
      <c r="B2945" s="201" t="s">
        <v>9329</v>
      </c>
      <c r="C2945" s="45" t="s">
        <v>6581</v>
      </c>
      <c r="D2945" s="17" t="str">
        <f>IFERROR(VLOOKUP(C2945,Stock,3,FALSE),"")</f>
        <v>Nissan X-Trail 01-07 T30</v>
      </c>
      <c r="E2945" s="45">
        <v>1.0</v>
      </c>
      <c r="F2945" s="202"/>
      <c r="G2945" s="142">
        <f t="shared" si="85"/>
        <v>0</v>
      </c>
      <c r="H2945" s="142"/>
      <c r="I2945" s="451">
        <f t="shared" si="86"/>
        <v>0</v>
      </c>
      <c r="J2945" s="144">
        <f t="shared" si="70"/>
        <v>0</v>
      </c>
      <c r="K2945" s="17"/>
      <c r="L2945" s="17"/>
      <c r="M2945" s="17"/>
      <c r="N2945" s="68"/>
      <c r="O2945" s="68"/>
      <c r="P2945" s="68"/>
      <c r="Q2945" s="149"/>
      <c r="R2945" s="149"/>
      <c r="S2945" s="149"/>
      <c r="T2945" s="149"/>
      <c r="U2945" s="149"/>
      <c r="V2945" s="149"/>
      <c r="W2945" s="149"/>
      <c r="X2945" s="68"/>
      <c r="Y2945" s="68"/>
      <c r="Z2945" s="68"/>
    </row>
    <row r="2946" ht="15.0" customHeight="1">
      <c r="A2946" s="421"/>
      <c r="B2946" s="201"/>
      <c r="C2946" s="45" t="s">
        <v>9733</v>
      </c>
      <c r="D2946" s="17" t="str">
        <f>IFERROR(VLOOKUP(C2946,Stock,3,FALSE),"")</f>
        <v/>
      </c>
      <c r="E2946" s="45"/>
      <c r="F2946" s="202"/>
      <c r="G2946" s="142">
        <f t="shared" si="85"/>
        <v>0</v>
      </c>
      <c r="H2946" s="142"/>
      <c r="I2946" s="451">
        <f t="shared" si="86"/>
        <v>0</v>
      </c>
      <c r="J2946" s="144">
        <f t="shared" si="70"/>
        <v>0</v>
      </c>
      <c r="K2946" s="45"/>
      <c r="L2946" s="17"/>
      <c r="M2946" s="17"/>
      <c r="N2946" s="68"/>
      <c r="O2946" s="68"/>
      <c r="P2946" s="68"/>
      <c r="Q2946" s="149"/>
      <c r="R2946" s="149"/>
      <c r="S2946" s="149"/>
      <c r="T2946" s="149"/>
      <c r="U2946" s="149"/>
      <c r="V2946" s="149"/>
      <c r="W2946" s="149"/>
      <c r="X2946" s="68"/>
      <c r="Y2946" s="68"/>
      <c r="Z2946" s="68"/>
    </row>
    <row r="2947" ht="15.0" customHeight="1">
      <c r="A2947" s="265">
        <v>46135.0</v>
      </c>
      <c r="B2947" s="266" t="s">
        <v>9734</v>
      </c>
      <c r="C2947" s="269" t="s">
        <v>2869</v>
      </c>
      <c r="D2947" s="274" t="str">
        <f>IFERROR(VLOOKUP(C2947,Stock,3,FALSE),"")</f>
        <v>Daihatsu Gran Max / Luxio 07-</v>
      </c>
      <c r="E2947" s="269">
        <v>2.0</v>
      </c>
      <c r="F2947" s="270"/>
      <c r="G2947" s="271">
        <f t="shared" si="85"/>
        <v>0</v>
      </c>
      <c r="H2947" s="271"/>
      <c r="I2947" s="451">
        <f t="shared" si="86"/>
        <v>0</v>
      </c>
      <c r="J2947" s="144">
        <f t="shared" si="70"/>
        <v>0</v>
      </c>
      <c r="K2947" s="269" t="s">
        <v>8487</v>
      </c>
      <c r="L2947" s="274"/>
      <c r="M2947" s="17"/>
      <c r="N2947" s="68"/>
      <c r="O2947" s="68"/>
      <c r="P2947" s="68"/>
      <c r="Q2947" s="149"/>
      <c r="R2947" s="149"/>
      <c r="S2947" s="149"/>
      <c r="T2947" s="149"/>
      <c r="U2947" s="149"/>
      <c r="V2947" s="149"/>
      <c r="W2947" s="149"/>
      <c r="X2947" s="68"/>
      <c r="Y2947" s="68"/>
      <c r="Z2947" s="68"/>
    </row>
    <row r="2948" ht="15.0" customHeight="1">
      <c r="A2948" s="425"/>
      <c r="B2948" s="266"/>
      <c r="C2948" s="269" t="s">
        <v>5123</v>
      </c>
      <c r="D2948" s="274" t="str">
        <f>IFERROR(VLOOKUP(C2948,Stock,3,FALSE),"")</f>
        <v>BMW 3 Series 90-99 E36</v>
      </c>
      <c r="E2948" s="269">
        <v>2.0</v>
      </c>
      <c r="F2948" s="270"/>
      <c r="G2948" s="271">
        <f t="shared" si="85"/>
        <v>0</v>
      </c>
      <c r="H2948" s="271"/>
      <c r="I2948" s="451">
        <f t="shared" si="86"/>
        <v>0</v>
      </c>
      <c r="J2948" s="144">
        <f t="shared" si="70"/>
        <v>0</v>
      </c>
      <c r="K2948" s="269" t="s">
        <v>8487</v>
      </c>
      <c r="L2948" s="274"/>
      <c r="M2948" s="17"/>
      <c r="N2948" s="68"/>
      <c r="O2948" s="68"/>
      <c r="P2948" s="68"/>
      <c r="Q2948" s="149"/>
      <c r="R2948" s="149"/>
      <c r="S2948" s="149"/>
      <c r="T2948" s="149"/>
      <c r="U2948" s="149"/>
      <c r="V2948" s="149"/>
      <c r="W2948" s="149"/>
      <c r="X2948" s="68"/>
      <c r="Y2948" s="68"/>
      <c r="Z2948" s="68"/>
    </row>
    <row r="2949" ht="15.0" customHeight="1">
      <c r="A2949" s="425"/>
      <c r="B2949" s="266"/>
      <c r="C2949" s="269" t="s">
        <v>7370</v>
      </c>
      <c r="D2949" s="274" t="str">
        <f>IFERROR(VLOOKUP(C2949,Stock,3,FALSE),"")</f>
        <v>Honda City 02-08 4th Gen Idsi GD8</v>
      </c>
      <c r="E2949" s="269">
        <v>2.0</v>
      </c>
      <c r="F2949" s="270"/>
      <c r="G2949" s="271">
        <f t="shared" si="85"/>
        <v>0</v>
      </c>
      <c r="H2949" s="271"/>
      <c r="I2949" s="451">
        <f t="shared" si="86"/>
        <v>0</v>
      </c>
      <c r="J2949" s="144">
        <f t="shared" si="70"/>
        <v>0</v>
      </c>
      <c r="K2949" s="269" t="s">
        <v>8487</v>
      </c>
      <c r="L2949" s="274"/>
      <c r="M2949" s="17"/>
      <c r="N2949" s="68"/>
      <c r="O2949" s="68"/>
      <c r="P2949" s="68"/>
      <c r="Q2949" s="149"/>
      <c r="R2949" s="149"/>
      <c r="S2949" s="149"/>
      <c r="T2949" s="149"/>
      <c r="U2949" s="149"/>
      <c r="V2949" s="149"/>
      <c r="W2949" s="149"/>
      <c r="X2949" s="68"/>
      <c r="Y2949" s="68"/>
      <c r="Z2949" s="68"/>
    </row>
    <row r="2950" ht="15.0" customHeight="1">
      <c r="A2950" s="425"/>
      <c r="B2950" s="266"/>
      <c r="C2950" s="269" t="s">
        <v>3234</v>
      </c>
      <c r="D2950" s="274" t="str">
        <f>IFERROR(VLOOKUP(C2950,Stock,3,FALSE),"")</f>
        <v>Toyota Avanza / Xenia 21- 4th Gen (Non sensor)</v>
      </c>
      <c r="E2950" s="269">
        <v>2.0</v>
      </c>
      <c r="F2950" s="270"/>
      <c r="G2950" s="271">
        <f t="shared" si="85"/>
        <v>0</v>
      </c>
      <c r="H2950" s="271"/>
      <c r="I2950" s="451">
        <f t="shared" si="86"/>
        <v>0</v>
      </c>
      <c r="J2950" s="144">
        <f t="shared" si="70"/>
        <v>0</v>
      </c>
      <c r="K2950" s="269" t="s">
        <v>8487</v>
      </c>
      <c r="L2950" s="274"/>
      <c r="M2950" s="17"/>
      <c r="N2950" s="68"/>
      <c r="O2950" s="68"/>
      <c r="P2950" s="68"/>
      <c r="Q2950" s="149"/>
      <c r="R2950" s="149"/>
      <c r="S2950" s="149"/>
      <c r="T2950" s="149"/>
      <c r="U2950" s="149"/>
      <c r="V2950" s="149"/>
      <c r="W2950" s="149"/>
      <c r="X2950" s="68"/>
      <c r="Y2950" s="68"/>
      <c r="Z2950" s="68"/>
    </row>
    <row r="2951" ht="15.0" customHeight="1">
      <c r="A2951" s="425"/>
      <c r="B2951" s="266"/>
      <c r="C2951" s="269" t="s">
        <v>7160</v>
      </c>
      <c r="D2951" s="274" t="str">
        <f>IFERROR(VLOOKUP(C2951,Stock,3,FALSE),"")</f>
        <v>Toyota Avanza / Xenia 11-15 2nd Gen</v>
      </c>
      <c r="E2951" s="269">
        <v>2.0</v>
      </c>
      <c r="F2951" s="270"/>
      <c r="G2951" s="271">
        <f t="shared" si="85"/>
        <v>0</v>
      </c>
      <c r="H2951" s="271"/>
      <c r="I2951" s="451">
        <f t="shared" si="86"/>
        <v>0</v>
      </c>
      <c r="J2951" s="144">
        <f t="shared" si="70"/>
        <v>0</v>
      </c>
      <c r="K2951" s="269" t="s">
        <v>8487</v>
      </c>
      <c r="L2951" s="274"/>
      <c r="M2951" s="17"/>
      <c r="N2951" s="68"/>
      <c r="O2951" s="68"/>
      <c r="P2951" s="68"/>
      <c r="Q2951" s="149"/>
      <c r="R2951" s="149"/>
      <c r="S2951" s="149"/>
      <c r="T2951" s="149"/>
      <c r="U2951" s="149"/>
      <c r="V2951" s="149"/>
      <c r="W2951" s="149"/>
      <c r="X2951" s="68"/>
      <c r="Y2951" s="68"/>
      <c r="Z2951" s="68"/>
    </row>
    <row r="2952" ht="15.0" customHeight="1">
      <c r="A2952" s="425"/>
      <c r="B2952" s="266"/>
      <c r="C2952" s="269" t="s">
        <v>3193</v>
      </c>
      <c r="D2952" s="274" t="str">
        <f>IFERROR(VLOOKUP(C2952,Stock,3,FALSE),"")</f>
        <v>Toyota Avanza / Xenia 11-15 2nd Gen</v>
      </c>
      <c r="E2952" s="269">
        <v>2.0</v>
      </c>
      <c r="F2952" s="270"/>
      <c r="G2952" s="271">
        <f t="shared" si="85"/>
        <v>0</v>
      </c>
      <c r="H2952" s="271"/>
      <c r="I2952" s="451">
        <f t="shared" si="86"/>
        <v>0</v>
      </c>
      <c r="J2952" s="144">
        <f t="shared" si="70"/>
        <v>0</v>
      </c>
      <c r="K2952" s="269" t="s">
        <v>8487</v>
      </c>
      <c r="L2952" s="274"/>
      <c r="M2952" s="17"/>
      <c r="N2952" s="68"/>
      <c r="O2952" s="68"/>
      <c r="P2952" s="68"/>
      <c r="Q2952" s="149"/>
      <c r="R2952" s="149"/>
      <c r="S2952" s="149"/>
      <c r="T2952" s="149"/>
      <c r="U2952" s="149"/>
      <c r="V2952" s="149"/>
      <c r="W2952" s="149"/>
      <c r="X2952" s="68"/>
      <c r="Y2952" s="68"/>
      <c r="Z2952" s="68"/>
    </row>
    <row r="2953" ht="15.0" customHeight="1">
      <c r="A2953" s="425"/>
      <c r="B2953" s="266"/>
      <c r="C2953" s="269" t="s">
        <v>7318</v>
      </c>
      <c r="D2953" s="274" t="str">
        <f>IFERROR(VLOOKUP(C2953,Stock,3,FALSE),"")</f>
        <v>Toyota Avanza / Xenia 15-21 3rd Gen</v>
      </c>
      <c r="E2953" s="269">
        <v>3.0</v>
      </c>
      <c r="F2953" s="270"/>
      <c r="G2953" s="271">
        <f t="shared" si="85"/>
        <v>0</v>
      </c>
      <c r="H2953" s="271"/>
      <c r="I2953" s="451">
        <f t="shared" si="86"/>
        <v>0</v>
      </c>
      <c r="J2953" s="144">
        <f t="shared" si="70"/>
        <v>0</v>
      </c>
      <c r="K2953" s="269" t="s">
        <v>8487</v>
      </c>
      <c r="L2953" s="274"/>
      <c r="M2953" s="17"/>
      <c r="N2953" s="68"/>
      <c r="O2953" s="68"/>
      <c r="P2953" s="68"/>
      <c r="Q2953" s="149"/>
      <c r="R2953" s="149"/>
      <c r="S2953" s="149"/>
      <c r="T2953" s="149"/>
      <c r="U2953" s="149"/>
      <c r="V2953" s="149"/>
      <c r="W2953" s="149"/>
      <c r="X2953" s="68"/>
      <c r="Y2953" s="68"/>
      <c r="Z2953" s="68"/>
    </row>
    <row r="2954" ht="15.0" customHeight="1">
      <c r="A2954" s="425"/>
      <c r="B2954" s="266"/>
      <c r="C2954" s="269" t="s">
        <v>7149</v>
      </c>
      <c r="D2954" s="274" t="str">
        <f>IFERROR(VLOOKUP(C2954,Stock,3,FALSE),"")</f>
        <v>Toyota Dyna/Hino Dutro 00-</v>
      </c>
      <c r="E2954" s="269">
        <v>5.0</v>
      </c>
      <c r="F2954" s="270"/>
      <c r="G2954" s="271">
        <f t="shared" si="85"/>
        <v>0</v>
      </c>
      <c r="H2954" s="271"/>
      <c r="I2954" s="451">
        <f t="shared" si="86"/>
        <v>0</v>
      </c>
      <c r="J2954" s="144">
        <f t="shared" si="70"/>
        <v>0</v>
      </c>
      <c r="K2954" s="269" t="s">
        <v>8487</v>
      </c>
      <c r="L2954" s="274"/>
      <c r="M2954" s="17"/>
      <c r="N2954" s="68"/>
      <c r="O2954" s="68"/>
      <c r="P2954" s="68"/>
      <c r="Q2954" s="149"/>
      <c r="R2954" s="149"/>
      <c r="S2954" s="149"/>
      <c r="T2954" s="149"/>
      <c r="U2954" s="149"/>
      <c r="V2954" s="149"/>
      <c r="W2954" s="149"/>
      <c r="X2954" s="68"/>
      <c r="Y2954" s="68"/>
      <c r="Z2954" s="68"/>
    </row>
    <row r="2955" ht="15.0" customHeight="1">
      <c r="A2955" s="425"/>
      <c r="B2955" s="266"/>
      <c r="C2955" s="269"/>
      <c r="D2955" s="274" t="str">
        <f>IFERROR(VLOOKUP(C2955,Stock,3,FALSE),"")</f>
        <v/>
      </c>
      <c r="E2955" s="269"/>
      <c r="F2955" s="270"/>
      <c r="G2955" s="271">
        <f t="shared" si="85"/>
        <v>0</v>
      </c>
      <c r="H2955" s="271"/>
      <c r="I2955" s="451">
        <f t="shared" si="86"/>
        <v>0</v>
      </c>
      <c r="J2955" s="144">
        <f t="shared" si="70"/>
        <v>0</v>
      </c>
      <c r="K2955" s="269" t="s">
        <v>8487</v>
      </c>
      <c r="L2955" s="274"/>
      <c r="M2955" s="17"/>
      <c r="N2955" s="68"/>
      <c r="O2955" s="68"/>
      <c r="P2955" s="68"/>
      <c r="Q2955" s="149"/>
      <c r="R2955" s="149"/>
      <c r="S2955" s="149"/>
      <c r="T2955" s="149"/>
      <c r="U2955" s="149"/>
      <c r="V2955" s="149"/>
      <c r="W2955" s="149"/>
      <c r="X2955" s="68"/>
      <c r="Y2955" s="68"/>
      <c r="Z2955" s="68"/>
    </row>
    <row r="2956" ht="15.0" customHeight="1">
      <c r="A2956" s="425"/>
      <c r="B2956" s="266"/>
      <c r="C2956" s="269"/>
      <c r="D2956" s="274" t="str">
        <f>IFERROR(VLOOKUP(C2956,Stock,3,FALSE),"")</f>
        <v/>
      </c>
      <c r="E2956" s="269"/>
      <c r="F2956" s="270"/>
      <c r="G2956" s="271">
        <f t="shared" si="85"/>
        <v>0</v>
      </c>
      <c r="H2956" s="271"/>
      <c r="I2956" s="451">
        <f t="shared" si="86"/>
        <v>0</v>
      </c>
      <c r="J2956" s="144">
        <f t="shared" si="70"/>
        <v>0</v>
      </c>
      <c r="K2956" s="269" t="s">
        <v>8487</v>
      </c>
      <c r="L2956" s="274"/>
      <c r="M2956" s="17"/>
      <c r="N2956" s="68"/>
      <c r="O2956" s="68"/>
      <c r="P2956" s="68"/>
      <c r="Q2956" s="149"/>
      <c r="R2956" s="149"/>
      <c r="S2956" s="149"/>
      <c r="T2956" s="149"/>
      <c r="U2956" s="149"/>
      <c r="V2956" s="149"/>
      <c r="W2956" s="149"/>
      <c r="X2956" s="68"/>
      <c r="Y2956" s="68"/>
      <c r="Z2956" s="68"/>
    </row>
    <row r="2957" ht="15.0" customHeight="1">
      <c r="A2957" s="425"/>
      <c r="B2957" s="266"/>
      <c r="C2957" s="269"/>
      <c r="D2957" s="274" t="str">
        <f>IFERROR(VLOOKUP(C2957,Stock,3,FALSE),"")</f>
        <v/>
      </c>
      <c r="E2957" s="269"/>
      <c r="F2957" s="270"/>
      <c r="G2957" s="271">
        <f t="shared" si="85"/>
        <v>0</v>
      </c>
      <c r="H2957" s="271"/>
      <c r="I2957" s="451">
        <f t="shared" si="86"/>
        <v>0</v>
      </c>
      <c r="J2957" s="144">
        <f t="shared" si="70"/>
        <v>0</v>
      </c>
      <c r="K2957" s="269" t="s">
        <v>8487</v>
      </c>
      <c r="L2957" s="274"/>
      <c r="M2957" s="17"/>
      <c r="N2957" s="68"/>
      <c r="O2957" s="68"/>
      <c r="P2957" s="68"/>
      <c r="Q2957" s="149"/>
      <c r="R2957" s="149"/>
      <c r="S2957" s="149"/>
      <c r="T2957" s="149"/>
      <c r="U2957" s="149"/>
      <c r="V2957" s="149"/>
      <c r="W2957" s="149"/>
      <c r="X2957" s="68"/>
      <c r="Y2957" s="68"/>
      <c r="Z2957" s="68"/>
    </row>
    <row r="2958" ht="15.0" customHeight="1">
      <c r="A2958" s="425"/>
      <c r="B2958" s="266"/>
      <c r="C2958" s="269"/>
      <c r="D2958" s="274" t="str">
        <f>IFERROR(VLOOKUP(C2958,Stock,3,FALSE),"")</f>
        <v/>
      </c>
      <c r="E2958" s="269"/>
      <c r="F2958" s="270"/>
      <c r="G2958" s="271">
        <f t="shared" si="85"/>
        <v>0</v>
      </c>
      <c r="H2958" s="271"/>
      <c r="I2958" s="451">
        <f t="shared" si="86"/>
        <v>0</v>
      </c>
      <c r="J2958" s="144">
        <f t="shared" si="70"/>
        <v>0</v>
      </c>
      <c r="K2958" s="269" t="s">
        <v>8487</v>
      </c>
      <c r="L2958" s="274"/>
      <c r="M2958" s="17"/>
      <c r="N2958" s="68"/>
      <c r="O2958" s="68"/>
      <c r="P2958" s="68"/>
      <c r="Q2958" s="149"/>
      <c r="R2958" s="149"/>
      <c r="S2958" s="149"/>
      <c r="T2958" s="149"/>
      <c r="U2958" s="149"/>
      <c r="V2958" s="149"/>
      <c r="W2958" s="149"/>
      <c r="X2958" s="68"/>
      <c r="Y2958" s="68"/>
      <c r="Z2958" s="68"/>
    </row>
    <row r="2959" ht="15.0" customHeight="1">
      <c r="A2959" s="589"/>
      <c r="B2959" s="250" t="s">
        <v>9735</v>
      </c>
      <c r="C2959" s="251" t="s">
        <v>5041</v>
      </c>
      <c r="D2959" s="259" t="str">
        <f>IFERROR(VLOOKUP(C2959,Stock,3,FALSE),"")</f>
        <v>Honda Freed 08-16 1st gen</v>
      </c>
      <c r="E2959" s="251">
        <v>1.0</v>
      </c>
      <c r="F2959" s="420"/>
      <c r="G2959" s="254">
        <f t="shared" si="85"/>
        <v>0</v>
      </c>
      <c r="H2959" s="254"/>
      <c r="I2959" s="451">
        <f t="shared" si="86"/>
        <v>0</v>
      </c>
      <c r="J2959" s="144">
        <f t="shared" si="70"/>
        <v>0</v>
      </c>
      <c r="K2959" s="251" t="s">
        <v>9330</v>
      </c>
      <c r="L2959" s="259"/>
      <c r="M2959" s="259"/>
      <c r="N2959" s="372"/>
      <c r="O2959" s="372"/>
      <c r="P2959" s="372"/>
      <c r="Q2959" s="262"/>
      <c r="R2959" s="262"/>
      <c r="S2959" s="262"/>
      <c r="T2959" s="262"/>
      <c r="U2959" s="262"/>
      <c r="V2959" s="149"/>
      <c r="W2959" s="149"/>
      <c r="X2959" s="68"/>
      <c r="Y2959" s="68"/>
      <c r="Z2959" s="68"/>
    </row>
    <row r="2960" ht="15.0" customHeight="1">
      <c r="A2960" s="206">
        <v>46137.0</v>
      </c>
      <c r="B2960" s="231" t="s">
        <v>9736</v>
      </c>
      <c r="C2960" s="232" t="s">
        <v>9737</v>
      </c>
      <c r="D2960" s="560" t="str">
        <f>IFERROR(VLOOKUP(C2960,Stock,3,FALSE),"")</f>
        <v/>
      </c>
      <c r="E2960" s="232"/>
      <c r="F2960" s="234">
        <v>985000.0</v>
      </c>
      <c r="G2960" s="235">
        <f t="shared" si="85"/>
        <v>0</v>
      </c>
      <c r="H2960" s="235"/>
      <c r="I2960" s="451">
        <f t="shared" si="86"/>
        <v>0</v>
      </c>
      <c r="J2960" s="144">
        <f t="shared" si="70"/>
        <v>0</v>
      </c>
      <c r="K2960" s="232" t="s">
        <v>9738</v>
      </c>
      <c r="L2960" s="239" t="s">
        <v>9739</v>
      </c>
      <c r="M2960" s="240"/>
      <c r="N2960" s="175"/>
      <c r="O2960" s="175"/>
      <c r="P2960" s="175"/>
      <c r="Q2960" s="243"/>
      <c r="R2960" s="243"/>
      <c r="S2960" s="243"/>
      <c r="T2960" s="243"/>
      <c r="U2960" s="243"/>
      <c r="V2960" s="149"/>
      <c r="W2960" s="149"/>
      <c r="X2960" s="68"/>
      <c r="Y2960" s="68"/>
      <c r="Z2960" s="68"/>
    </row>
    <row r="2961" ht="15.0" customHeight="1">
      <c r="A2961" s="421"/>
      <c r="B2961" s="201" t="s">
        <v>9740</v>
      </c>
      <c r="C2961" s="45" t="s">
        <v>4226</v>
      </c>
      <c r="D2961" s="17" t="str">
        <f>IFERROR(VLOOKUP(C2961,Stock,3,FALSE),"")</f>
        <v>Honda HR-V 14-21 5D SUV (Honda)</v>
      </c>
      <c r="E2961" s="45">
        <v>1.0</v>
      </c>
      <c r="F2961" s="198">
        <v>3150000.0</v>
      </c>
      <c r="G2961" s="142">
        <f t="shared" si="85"/>
        <v>3150000</v>
      </c>
      <c r="H2961" s="142"/>
      <c r="I2961" s="451">
        <f t="shared" si="86"/>
        <v>3150000</v>
      </c>
      <c r="J2961" s="144">
        <f t="shared" si="70"/>
        <v>3150000</v>
      </c>
      <c r="K2961" s="45" t="s">
        <v>9741</v>
      </c>
      <c r="L2961" s="199" t="s">
        <v>9742</v>
      </c>
      <c r="M2961" s="17"/>
      <c r="N2961" s="64" t="s">
        <v>9743</v>
      </c>
      <c r="O2961" s="68"/>
      <c r="P2961" s="68"/>
      <c r="Q2961" s="149"/>
      <c r="R2961" s="149"/>
      <c r="S2961" s="141">
        <v>100000.0</v>
      </c>
      <c r="T2961" s="149"/>
      <c r="U2961" s="149"/>
      <c r="V2961" s="149"/>
      <c r="W2961" s="149"/>
      <c r="X2961" s="68"/>
      <c r="Y2961" s="68"/>
      <c r="Z2961" s="68"/>
    </row>
    <row r="2962" ht="15.0" customHeight="1">
      <c r="A2962" s="421"/>
      <c r="B2962" s="201"/>
      <c r="C2962" s="45" t="s">
        <v>2770</v>
      </c>
      <c r="D2962" s="17" t="str">
        <f>IFERROR(VLOOKUP(C2962,Stock,3,FALSE),"")</f>
        <v>Transport</v>
      </c>
      <c r="E2962" s="45">
        <v>1.0</v>
      </c>
      <c r="F2962" s="198">
        <v>100000.0</v>
      </c>
      <c r="G2962" s="142">
        <f t="shared" si="85"/>
        <v>100000</v>
      </c>
      <c r="H2962" s="142"/>
      <c r="I2962" s="451">
        <f t="shared" si="86"/>
        <v>100000</v>
      </c>
      <c r="J2962" s="144">
        <f t="shared" si="70"/>
        <v>100000</v>
      </c>
      <c r="K2962" s="45" t="s">
        <v>9741</v>
      </c>
      <c r="L2962" s="199" t="s">
        <v>9742</v>
      </c>
      <c r="M2962" s="17"/>
      <c r="N2962" s="68"/>
      <c r="O2962" s="68"/>
      <c r="P2962" s="68"/>
      <c r="Q2962" s="149"/>
      <c r="R2962" s="149"/>
      <c r="S2962" s="149"/>
      <c r="T2962" s="149"/>
      <c r="U2962" s="149"/>
      <c r="V2962" s="149"/>
      <c r="W2962" s="149"/>
      <c r="X2962" s="68"/>
      <c r="Y2962" s="68"/>
      <c r="Z2962" s="68"/>
    </row>
    <row r="2963" ht="15.0" customHeight="1">
      <c r="A2963" s="421"/>
      <c r="B2963" s="201" t="s">
        <v>9744</v>
      </c>
      <c r="C2963" s="45" t="s">
        <v>5041</v>
      </c>
      <c r="D2963" s="17" t="str">
        <f>IFERROR(VLOOKUP(C2963,Stock,3,FALSE),"")</f>
        <v>Honda Freed 08-16 1st gen</v>
      </c>
      <c r="E2963" s="45">
        <v>1.0</v>
      </c>
      <c r="F2963" s="198">
        <v>1618000.0</v>
      </c>
      <c r="G2963" s="142">
        <f t="shared" si="85"/>
        <v>1618000</v>
      </c>
      <c r="H2963" s="142"/>
      <c r="I2963" s="451">
        <f t="shared" si="86"/>
        <v>1618000</v>
      </c>
      <c r="J2963" s="144">
        <f t="shared" si="70"/>
        <v>1618000</v>
      </c>
      <c r="K2963" s="64" t="s">
        <v>9745</v>
      </c>
      <c r="L2963" s="199" t="s">
        <v>9746</v>
      </c>
      <c r="M2963" s="17"/>
      <c r="N2963" s="64" t="s">
        <v>9747</v>
      </c>
      <c r="O2963" s="68"/>
      <c r="P2963" s="68"/>
      <c r="Q2963" s="149"/>
      <c r="R2963" s="149"/>
      <c r="S2963" s="149"/>
      <c r="T2963" s="149"/>
      <c r="U2963" s="149"/>
      <c r="V2963" s="149"/>
      <c r="W2963" s="149"/>
      <c r="X2963" s="68"/>
      <c r="Y2963" s="68"/>
      <c r="Z2963" s="68"/>
    </row>
    <row r="2964" ht="15.0" customHeight="1">
      <c r="A2964" s="421"/>
      <c r="B2964" s="201" t="s">
        <v>9748</v>
      </c>
      <c r="C2964" s="45" t="s">
        <v>7149</v>
      </c>
      <c r="D2964" s="17" t="str">
        <f>IFERROR(VLOOKUP(C2964,Stock,3,FALSE),"")</f>
        <v>Toyota Dyna/Hino Dutro 00-</v>
      </c>
      <c r="E2964" s="45">
        <v>1.0</v>
      </c>
      <c r="F2964" s="198">
        <v>1250000.0</v>
      </c>
      <c r="G2964" s="142">
        <f t="shared" si="85"/>
        <v>1250000</v>
      </c>
      <c r="H2964" s="142"/>
      <c r="I2964" s="451">
        <f t="shared" si="86"/>
        <v>1250000</v>
      </c>
      <c r="J2964" s="144">
        <f t="shared" si="70"/>
        <v>1250000</v>
      </c>
      <c r="K2964" s="45" t="s">
        <v>5854</v>
      </c>
      <c r="L2964" s="199" t="s">
        <v>9749</v>
      </c>
      <c r="M2964" s="17"/>
      <c r="N2964" s="64" t="s">
        <v>9750</v>
      </c>
      <c r="O2964" s="68"/>
      <c r="P2964" s="68"/>
      <c r="Q2964" s="149"/>
      <c r="R2964" s="149"/>
      <c r="S2964" s="149"/>
      <c r="T2964" s="149"/>
      <c r="U2964" s="149"/>
      <c r="V2964" s="149"/>
      <c r="W2964" s="149"/>
      <c r="X2964" s="68"/>
      <c r="Y2964" s="68"/>
      <c r="Z2964" s="68"/>
    </row>
    <row r="2965" ht="15.0" customHeight="1">
      <c r="A2965" s="421"/>
      <c r="B2965" s="201" t="s">
        <v>9751</v>
      </c>
      <c r="C2965" s="45" t="s">
        <v>9752</v>
      </c>
      <c r="D2965" s="560" t="str">
        <f>IFERROR(VLOOKUP(C2965,Stock,3,FALSE),"")</f>
        <v/>
      </c>
      <c r="E2965" s="45">
        <v>1.0</v>
      </c>
      <c r="F2965" s="198">
        <v>3700000.0</v>
      </c>
      <c r="G2965" s="142">
        <f t="shared" si="85"/>
        <v>3700000</v>
      </c>
      <c r="H2965" s="143">
        <v>200000.0</v>
      </c>
      <c r="I2965" s="451">
        <f t="shared" si="86"/>
        <v>3500000</v>
      </c>
      <c r="J2965" s="144">
        <f t="shared" si="70"/>
        <v>3500000</v>
      </c>
      <c r="K2965" s="45" t="s">
        <v>9753</v>
      </c>
      <c r="L2965" s="199" t="s">
        <v>9754</v>
      </c>
      <c r="M2965" s="17"/>
      <c r="N2965" s="64" t="s">
        <v>9755</v>
      </c>
      <c r="O2965" s="68"/>
      <c r="P2965" s="68"/>
      <c r="Q2965" s="149"/>
      <c r="R2965" s="149"/>
      <c r="S2965" s="141">
        <v>100000.0</v>
      </c>
      <c r="T2965" s="149"/>
      <c r="U2965" s="149"/>
      <c r="V2965" s="149"/>
      <c r="W2965" s="149"/>
      <c r="X2965" s="68"/>
      <c r="Y2965" s="68"/>
      <c r="Z2965" s="68"/>
    </row>
    <row r="2966" ht="15.0" customHeight="1">
      <c r="A2966" s="421"/>
      <c r="B2966" s="201"/>
      <c r="C2966" s="45" t="s">
        <v>2770</v>
      </c>
      <c r="D2966" s="17" t="str">
        <f>IFERROR(VLOOKUP(C2966,Stock,3,FALSE),"")</f>
        <v>Transport</v>
      </c>
      <c r="E2966" s="45">
        <v>1.0</v>
      </c>
      <c r="F2966" s="198">
        <v>100000.0</v>
      </c>
      <c r="G2966" s="142">
        <f t="shared" si="85"/>
        <v>100000</v>
      </c>
      <c r="H2966" s="142"/>
      <c r="I2966" s="451">
        <f t="shared" si="86"/>
        <v>100000</v>
      </c>
      <c r="J2966" s="144">
        <f t="shared" si="70"/>
        <v>100000</v>
      </c>
      <c r="K2966" s="45" t="s">
        <v>9753</v>
      </c>
      <c r="L2966" s="199" t="s">
        <v>9754</v>
      </c>
      <c r="M2966" s="17"/>
      <c r="N2966" s="68"/>
      <c r="O2966" s="68"/>
      <c r="P2966" s="68"/>
      <c r="Q2966" s="149"/>
      <c r="R2966" s="149"/>
      <c r="S2966" s="149"/>
      <c r="T2966" s="149"/>
      <c r="U2966" s="149"/>
      <c r="V2966" s="149"/>
      <c r="W2966" s="149"/>
      <c r="X2966" s="68"/>
      <c r="Y2966" s="68"/>
      <c r="Z2966" s="68"/>
    </row>
    <row r="2967" ht="15.0" customHeight="1">
      <c r="A2967" s="421"/>
      <c r="B2967" s="201" t="s">
        <v>9756</v>
      </c>
      <c r="C2967" s="45" t="s">
        <v>9757</v>
      </c>
      <c r="D2967" s="560" t="str">
        <f>IFERROR(VLOOKUP(C2967,Stock,3,FALSE),"")</f>
        <v/>
      </c>
      <c r="E2967" s="45">
        <v>1.0</v>
      </c>
      <c r="F2967" s="198">
        <v>650000.0</v>
      </c>
      <c r="G2967" s="142">
        <f t="shared" si="85"/>
        <v>650000</v>
      </c>
      <c r="H2967" s="142"/>
      <c r="I2967" s="451">
        <f t="shared" si="86"/>
        <v>650000</v>
      </c>
      <c r="J2967" s="144">
        <f t="shared" si="70"/>
        <v>650000</v>
      </c>
      <c r="K2967" s="45" t="s">
        <v>9758</v>
      </c>
      <c r="L2967" s="199" t="s">
        <v>9759</v>
      </c>
      <c r="M2967" s="17"/>
      <c r="N2967" s="64" t="s">
        <v>9760</v>
      </c>
      <c r="O2967" s="68"/>
      <c r="P2967" s="68"/>
      <c r="Q2967" s="149"/>
      <c r="R2967" s="149"/>
      <c r="S2967" s="141">
        <v>100000.0</v>
      </c>
      <c r="T2967" s="149"/>
      <c r="U2967" s="149"/>
      <c r="V2967" s="149"/>
      <c r="W2967" s="149"/>
      <c r="X2967" s="68"/>
      <c r="Y2967" s="68"/>
      <c r="Z2967" s="68"/>
    </row>
    <row r="2968" ht="15.0" customHeight="1">
      <c r="A2968" s="421"/>
      <c r="B2968" s="201"/>
      <c r="C2968" s="45" t="s">
        <v>5254</v>
      </c>
      <c r="D2968" s="17" t="str">
        <f>IFERROR(VLOOKUP(C2968,Stock,3,FALSE),"")</f>
        <v>Automotive Film Standard - Black 40%				</v>
      </c>
      <c r="E2968" s="45">
        <v>1.0</v>
      </c>
      <c r="F2968" s="198">
        <v>200000.0</v>
      </c>
      <c r="G2968" s="142">
        <f t="shared" si="85"/>
        <v>200000</v>
      </c>
      <c r="H2968" s="142"/>
      <c r="I2968" s="451">
        <f t="shared" si="86"/>
        <v>200000</v>
      </c>
      <c r="J2968" s="144">
        <f t="shared" si="70"/>
        <v>200000</v>
      </c>
      <c r="K2968" s="45" t="s">
        <v>9758</v>
      </c>
      <c r="L2968" s="199" t="s">
        <v>9759</v>
      </c>
      <c r="M2968" s="17"/>
      <c r="N2968" s="68"/>
      <c r="O2968" s="68"/>
      <c r="P2968" s="68"/>
      <c r="Q2968" s="149"/>
      <c r="R2968" s="149"/>
      <c r="S2968" s="149"/>
      <c r="T2968" s="149"/>
      <c r="U2968" s="149"/>
      <c r="V2968" s="149"/>
      <c r="W2968" s="149"/>
      <c r="X2968" s="68"/>
      <c r="Y2968" s="68"/>
      <c r="Z2968" s="68"/>
    </row>
    <row r="2969" ht="15.0" customHeight="1">
      <c r="A2969" s="421"/>
      <c r="B2969" s="201"/>
      <c r="C2969" s="45" t="s">
        <v>2770</v>
      </c>
      <c r="D2969" s="17" t="str">
        <f>IFERROR(VLOOKUP(C2969,Stock,3,FALSE),"")</f>
        <v>Transport</v>
      </c>
      <c r="E2969" s="45">
        <v>1.0</v>
      </c>
      <c r="F2969" s="198">
        <v>75000.0</v>
      </c>
      <c r="G2969" s="142">
        <f t="shared" si="85"/>
        <v>75000</v>
      </c>
      <c r="H2969" s="142"/>
      <c r="I2969" s="451">
        <f t="shared" si="86"/>
        <v>75000</v>
      </c>
      <c r="J2969" s="144">
        <f t="shared" si="70"/>
        <v>75000</v>
      </c>
      <c r="K2969" s="45" t="s">
        <v>9758</v>
      </c>
      <c r="L2969" s="199" t="s">
        <v>9759</v>
      </c>
      <c r="M2969" s="17"/>
      <c r="N2969" s="68"/>
      <c r="O2969" s="68"/>
      <c r="P2969" s="68"/>
      <c r="Q2969" s="149"/>
      <c r="R2969" s="149"/>
      <c r="S2969" s="149"/>
      <c r="T2969" s="149"/>
      <c r="U2969" s="149"/>
      <c r="V2969" s="149"/>
      <c r="W2969" s="149"/>
      <c r="X2969" s="68"/>
      <c r="Y2969" s="68"/>
      <c r="Z2969" s="68"/>
    </row>
    <row r="2970" ht="15.0" customHeight="1">
      <c r="A2970" s="421"/>
      <c r="B2970" s="201" t="s">
        <v>9761</v>
      </c>
      <c r="C2970" s="45" t="s">
        <v>9762</v>
      </c>
      <c r="D2970" s="17" t="str">
        <f>IFERROR(VLOOKUP(C2970,Stock,3,FALSE),"")</f>
        <v>Mitsubishi L200 02-07 Double Cabin</v>
      </c>
      <c r="E2970" s="45">
        <v>1.0</v>
      </c>
      <c r="F2970" s="198">
        <v>1656000.0</v>
      </c>
      <c r="G2970" s="142">
        <f t="shared" si="85"/>
        <v>1656000</v>
      </c>
      <c r="H2970" s="142"/>
      <c r="I2970" s="451">
        <f t="shared" si="86"/>
        <v>1656000</v>
      </c>
      <c r="J2970" s="144">
        <f t="shared" si="70"/>
        <v>1656000</v>
      </c>
      <c r="K2970" s="45" t="s">
        <v>9763</v>
      </c>
      <c r="L2970" s="199" t="s">
        <v>9764</v>
      </c>
      <c r="M2970" s="17"/>
      <c r="N2970" s="64" t="s">
        <v>9765</v>
      </c>
      <c r="O2970" s="68"/>
      <c r="P2970" s="68"/>
      <c r="Q2970" s="149"/>
      <c r="R2970" s="149"/>
      <c r="S2970" s="141">
        <v>275000.0</v>
      </c>
      <c r="T2970" s="149"/>
      <c r="U2970" s="149"/>
      <c r="V2970" s="149"/>
      <c r="W2970" s="149"/>
      <c r="X2970" s="68"/>
      <c r="Y2970" s="68"/>
      <c r="Z2970" s="68"/>
    </row>
    <row r="2971" ht="15.0" customHeight="1">
      <c r="A2971" s="421"/>
      <c r="B2971" s="201"/>
      <c r="C2971" s="45" t="s">
        <v>2770</v>
      </c>
      <c r="D2971" s="17" t="str">
        <f>IFERROR(VLOOKUP(C2971,Stock,3,FALSE),"")</f>
        <v>Transport</v>
      </c>
      <c r="E2971" s="45">
        <v>1.0</v>
      </c>
      <c r="F2971" s="198">
        <v>175000.0</v>
      </c>
      <c r="G2971" s="142">
        <f t="shared" si="85"/>
        <v>175000</v>
      </c>
      <c r="H2971" s="142"/>
      <c r="I2971" s="451">
        <f t="shared" si="86"/>
        <v>175000</v>
      </c>
      <c r="J2971" s="144">
        <f t="shared" si="70"/>
        <v>175000</v>
      </c>
      <c r="K2971" s="45" t="s">
        <v>9763</v>
      </c>
      <c r="L2971" s="199" t="s">
        <v>9764</v>
      </c>
      <c r="M2971" s="17"/>
      <c r="N2971" s="68"/>
      <c r="O2971" s="68"/>
      <c r="P2971" s="68"/>
      <c r="Q2971" s="149"/>
      <c r="R2971" s="149"/>
      <c r="S2971" s="149"/>
      <c r="T2971" s="149"/>
      <c r="U2971" s="149"/>
      <c r="V2971" s="149"/>
      <c r="W2971" s="149"/>
      <c r="X2971" s="68"/>
      <c r="Y2971" s="68"/>
      <c r="Z2971" s="68"/>
    </row>
    <row r="2972" ht="15.0" customHeight="1">
      <c r="A2972" s="421"/>
      <c r="B2972" s="231" t="s">
        <v>9766</v>
      </c>
      <c r="C2972" s="232" t="s">
        <v>2003</v>
      </c>
      <c r="D2972" s="240" t="str">
        <f>IFERROR(VLOOKUP(C2972,Stock,3,FALSE),"")</f>
        <v>Toyota Agya/Ayla 13-22 1st Gen</v>
      </c>
      <c r="E2972" s="232">
        <v>1.0</v>
      </c>
      <c r="F2972" s="234">
        <v>1000000.0</v>
      </c>
      <c r="G2972" s="235">
        <f t="shared" si="85"/>
        <v>1000000</v>
      </c>
      <c r="H2972" s="235"/>
      <c r="I2972" s="236">
        <f t="shared" si="86"/>
        <v>1000000</v>
      </c>
      <c r="J2972" s="237">
        <f t="shared" si="70"/>
        <v>1000000</v>
      </c>
      <c r="K2972" s="45" t="s">
        <v>9767</v>
      </c>
      <c r="L2972" s="199" t="s">
        <v>9768</v>
      </c>
      <c r="M2972" s="17"/>
      <c r="N2972" s="68"/>
      <c r="O2972" s="68"/>
      <c r="P2972" s="68"/>
      <c r="Q2972" s="149"/>
      <c r="R2972" s="149"/>
      <c r="S2972" s="141">
        <v>100000.0</v>
      </c>
      <c r="T2972" s="149"/>
      <c r="U2972" s="149"/>
      <c r="V2972" s="149"/>
      <c r="W2972" s="149"/>
      <c r="X2972" s="68"/>
      <c r="Y2972" s="68"/>
      <c r="Z2972" s="68"/>
    </row>
    <row r="2973" ht="15.0" customHeight="1">
      <c r="A2973" s="421"/>
      <c r="B2973" s="231"/>
      <c r="C2973" s="232" t="s">
        <v>2770</v>
      </c>
      <c r="D2973" s="240" t="str">
        <f>IFERROR(VLOOKUP(C2973,Stock,3,FALSE),"")</f>
        <v>Transport</v>
      </c>
      <c r="E2973" s="232">
        <v>1.0</v>
      </c>
      <c r="F2973" s="234">
        <v>200000.0</v>
      </c>
      <c r="G2973" s="235">
        <f t="shared" si="85"/>
        <v>200000</v>
      </c>
      <c r="H2973" s="235"/>
      <c r="I2973" s="236">
        <f t="shared" si="86"/>
        <v>200000</v>
      </c>
      <c r="J2973" s="237">
        <f t="shared" si="70"/>
        <v>200000</v>
      </c>
      <c r="K2973" s="45" t="s">
        <v>9767</v>
      </c>
      <c r="L2973" s="199" t="s">
        <v>9768</v>
      </c>
      <c r="M2973" s="17"/>
      <c r="N2973" s="68"/>
      <c r="O2973" s="68"/>
      <c r="P2973" s="68"/>
      <c r="Q2973" s="149"/>
      <c r="R2973" s="149"/>
      <c r="S2973" s="149"/>
      <c r="T2973" s="149"/>
      <c r="U2973" s="149"/>
      <c r="V2973" s="149"/>
      <c r="W2973" s="149"/>
      <c r="X2973" s="68"/>
      <c r="Y2973" s="68"/>
      <c r="Z2973" s="68"/>
    </row>
    <row r="2974" ht="15.0" customHeight="1">
      <c r="A2974" s="206">
        <v>46139.0</v>
      </c>
      <c r="B2974" s="201" t="s">
        <v>9769</v>
      </c>
      <c r="C2974" s="45" t="s">
        <v>3073</v>
      </c>
      <c r="D2974" s="17" t="str">
        <f>IFERROR(VLOOKUP(C2974,Stock,3,FALSE),"")</f>
        <v>Toyota Innova 15- 2nd Gen</v>
      </c>
      <c r="E2974" s="45">
        <v>1.0</v>
      </c>
      <c r="F2974" s="198">
        <v>1199000.0</v>
      </c>
      <c r="G2974" s="142">
        <f t="shared" si="85"/>
        <v>1199000</v>
      </c>
      <c r="H2974" s="142"/>
      <c r="I2974" s="451">
        <f t="shared" si="86"/>
        <v>1199000</v>
      </c>
      <c r="J2974" s="144">
        <f t="shared" si="70"/>
        <v>1199000</v>
      </c>
      <c r="K2974" s="45" t="s">
        <v>9770</v>
      </c>
      <c r="L2974" s="199" t="s">
        <v>9771</v>
      </c>
      <c r="M2974" s="17"/>
      <c r="N2974" s="68"/>
      <c r="O2974" s="68"/>
      <c r="P2974" s="68"/>
      <c r="Q2974" s="149"/>
      <c r="R2974" s="149"/>
      <c r="S2974" s="141">
        <v>100000.0</v>
      </c>
      <c r="T2974" s="149"/>
      <c r="U2974" s="149"/>
      <c r="V2974" s="149"/>
      <c r="W2974" s="149"/>
      <c r="X2974" s="68"/>
      <c r="Y2974" s="68"/>
      <c r="Z2974" s="68"/>
    </row>
    <row r="2975" ht="15.0" customHeight="1">
      <c r="A2975" s="421"/>
      <c r="B2975" s="201"/>
      <c r="C2975" s="45" t="s">
        <v>2770</v>
      </c>
      <c r="D2975" s="17" t="str">
        <f>IFERROR(VLOOKUP(C2975,Stock,3,FALSE),"")</f>
        <v>Transport</v>
      </c>
      <c r="E2975" s="45">
        <v>1.0</v>
      </c>
      <c r="F2975" s="198">
        <v>100000.0</v>
      </c>
      <c r="G2975" s="142">
        <f t="shared" si="85"/>
        <v>100000</v>
      </c>
      <c r="H2975" s="142"/>
      <c r="I2975" s="451">
        <f t="shared" si="86"/>
        <v>100000</v>
      </c>
      <c r="J2975" s="144">
        <f t="shared" si="70"/>
        <v>100000</v>
      </c>
      <c r="K2975" s="45" t="s">
        <v>9770</v>
      </c>
      <c r="L2975" s="199" t="s">
        <v>9771</v>
      </c>
      <c r="M2975" s="17"/>
      <c r="N2975" s="68"/>
      <c r="O2975" s="68"/>
      <c r="P2975" s="68"/>
      <c r="Q2975" s="149"/>
      <c r="R2975" s="149"/>
      <c r="S2975" s="149"/>
      <c r="T2975" s="149"/>
      <c r="U2975" s="149"/>
      <c r="V2975" s="149"/>
      <c r="W2975" s="149"/>
      <c r="X2975" s="68"/>
      <c r="Y2975" s="68"/>
      <c r="Z2975" s="68"/>
    </row>
    <row r="2976" ht="15.0" customHeight="1">
      <c r="A2976" s="421"/>
      <c r="B2976" s="201"/>
      <c r="C2976" s="17"/>
      <c r="D2976" s="17" t="str">
        <f>IFERROR(VLOOKUP(C2976,Stock,3,FALSE),"")</f>
        <v/>
      </c>
      <c r="E2976" s="17"/>
      <c r="F2976" s="202"/>
      <c r="G2976" s="142">
        <f t="shared" si="85"/>
        <v>0</v>
      </c>
      <c r="H2976" s="142"/>
      <c r="I2976" s="451">
        <f t="shared" si="86"/>
        <v>0</v>
      </c>
      <c r="J2976" s="144">
        <f t="shared" si="70"/>
        <v>0</v>
      </c>
      <c r="K2976" s="17"/>
      <c r="L2976" s="17"/>
      <c r="M2976" s="17"/>
      <c r="N2976" s="68"/>
      <c r="O2976" s="68"/>
      <c r="P2976" s="68"/>
      <c r="Q2976" s="149"/>
      <c r="R2976" s="149"/>
      <c r="S2976" s="149"/>
      <c r="T2976" s="149"/>
      <c r="U2976" s="149"/>
      <c r="V2976" s="149"/>
      <c r="W2976" s="149"/>
      <c r="X2976" s="68"/>
      <c r="Y2976" s="68"/>
      <c r="Z2976" s="68"/>
    </row>
    <row r="2977" ht="15.0" customHeight="1">
      <c r="A2977" s="421"/>
      <c r="B2977" s="201"/>
      <c r="C2977" s="17"/>
      <c r="D2977" s="17" t="str">
        <f>IFERROR(VLOOKUP(C2977,Stock,3,FALSE),"")</f>
        <v/>
      </c>
      <c r="E2977" s="17"/>
      <c r="F2977" s="202"/>
      <c r="G2977" s="142">
        <f t="shared" si="85"/>
        <v>0</v>
      </c>
      <c r="H2977" s="142"/>
      <c r="I2977" s="451">
        <f t="shared" si="86"/>
        <v>0</v>
      </c>
      <c r="J2977" s="144">
        <f t="shared" si="70"/>
        <v>0</v>
      </c>
      <c r="K2977" s="17"/>
      <c r="L2977" s="17"/>
      <c r="M2977" s="17"/>
      <c r="N2977" s="68"/>
      <c r="O2977" s="68"/>
      <c r="P2977" s="68"/>
      <c r="Q2977" s="149"/>
      <c r="R2977" s="149"/>
      <c r="S2977" s="149"/>
      <c r="T2977" s="149"/>
      <c r="U2977" s="149"/>
      <c r="V2977" s="149"/>
      <c r="W2977" s="149"/>
      <c r="X2977" s="68"/>
      <c r="Y2977" s="68"/>
      <c r="Z2977" s="68"/>
    </row>
    <row r="2978" ht="15.0" customHeight="1">
      <c r="A2978" s="421"/>
      <c r="B2978" s="201"/>
      <c r="C2978" s="17"/>
      <c r="D2978" s="17" t="str">
        <f>IFERROR(VLOOKUP(C2978,Stock,3,FALSE),"")</f>
        <v/>
      </c>
      <c r="E2978" s="17"/>
      <c r="F2978" s="202"/>
      <c r="G2978" s="142">
        <f t="shared" si="85"/>
        <v>0</v>
      </c>
      <c r="H2978" s="142"/>
      <c r="I2978" s="451">
        <f t="shared" si="86"/>
        <v>0</v>
      </c>
      <c r="J2978" s="144">
        <f t="shared" si="70"/>
        <v>0</v>
      </c>
      <c r="K2978" s="17"/>
      <c r="L2978" s="17"/>
      <c r="M2978" s="17"/>
      <c r="N2978" s="68"/>
      <c r="O2978" s="68"/>
      <c r="P2978" s="68"/>
      <c r="Q2978" s="149"/>
      <c r="R2978" s="149"/>
      <c r="S2978" s="149"/>
      <c r="T2978" s="149"/>
      <c r="U2978" s="149"/>
      <c r="V2978" s="149"/>
      <c r="W2978" s="149"/>
      <c r="X2978" s="68"/>
      <c r="Y2978" s="68"/>
      <c r="Z2978" s="68"/>
    </row>
    <row r="2979" ht="15.0" customHeight="1">
      <c r="A2979" s="421"/>
      <c r="B2979" s="201"/>
      <c r="C2979" s="17"/>
      <c r="D2979" s="17" t="str">
        <f>IFERROR(VLOOKUP(C2979,Stock,3,FALSE),"")</f>
        <v/>
      </c>
      <c r="E2979" s="17"/>
      <c r="F2979" s="202"/>
      <c r="G2979" s="142">
        <f t="shared" si="85"/>
        <v>0</v>
      </c>
      <c r="H2979" s="142"/>
      <c r="I2979" s="451">
        <f t="shared" si="86"/>
        <v>0</v>
      </c>
      <c r="J2979" s="144">
        <f t="shared" si="70"/>
        <v>0</v>
      </c>
      <c r="K2979" s="17"/>
      <c r="L2979" s="17"/>
      <c r="M2979" s="17"/>
      <c r="N2979" s="68"/>
      <c r="O2979" s="68"/>
      <c r="P2979" s="68"/>
      <c r="Q2979" s="149"/>
      <c r="R2979" s="149"/>
      <c r="S2979" s="149"/>
      <c r="T2979" s="149"/>
      <c r="U2979" s="149"/>
      <c r="V2979" s="149"/>
      <c r="W2979" s="149"/>
      <c r="X2979" s="68"/>
      <c r="Y2979" s="68"/>
      <c r="Z2979" s="68"/>
    </row>
    <row r="2980" ht="15.0" customHeight="1">
      <c r="A2980" s="421"/>
      <c r="B2980" s="201"/>
      <c r="C2980" s="17"/>
      <c r="D2980" s="17" t="str">
        <f>IFERROR(VLOOKUP(C2980,Stock,3,FALSE),"")</f>
        <v/>
      </c>
      <c r="E2980" s="17"/>
      <c r="F2980" s="202"/>
      <c r="G2980" s="142">
        <f t="shared" si="85"/>
        <v>0</v>
      </c>
      <c r="H2980" s="142"/>
      <c r="I2980" s="451">
        <f t="shared" si="86"/>
        <v>0</v>
      </c>
      <c r="J2980" s="144">
        <f t="shared" si="70"/>
        <v>0</v>
      </c>
      <c r="K2980" s="17"/>
      <c r="L2980" s="17"/>
      <c r="M2980" s="17"/>
      <c r="N2980" s="68"/>
      <c r="O2980" s="68"/>
      <c r="P2980" s="68"/>
      <c r="Q2980" s="149"/>
      <c r="R2980" s="149"/>
      <c r="S2980" s="149"/>
      <c r="T2980" s="149"/>
      <c r="U2980" s="149"/>
      <c r="V2980" s="149"/>
      <c r="W2980" s="149"/>
      <c r="X2980" s="68"/>
      <c r="Y2980" s="68"/>
      <c r="Z2980" s="68"/>
    </row>
    <row r="2981" ht="15.0" customHeight="1">
      <c r="A2981" s="421"/>
      <c r="B2981" s="201"/>
      <c r="C2981" s="17"/>
      <c r="D2981" s="17" t="str">
        <f>IFERROR(VLOOKUP(C2981,Stock,3,FALSE),"")</f>
        <v/>
      </c>
      <c r="E2981" s="17"/>
      <c r="F2981" s="202"/>
      <c r="G2981" s="142"/>
      <c r="H2981" s="142"/>
      <c r="I2981" s="451">
        <f t="shared" si="86"/>
        <v>0</v>
      </c>
      <c r="J2981" s="144">
        <f t="shared" si="70"/>
        <v>0</v>
      </c>
      <c r="K2981" s="17"/>
      <c r="L2981" s="17"/>
      <c r="M2981" s="17"/>
      <c r="N2981" s="68"/>
      <c r="O2981" s="68"/>
      <c r="P2981" s="68"/>
      <c r="Q2981" s="149"/>
      <c r="R2981" s="149"/>
      <c r="S2981" s="149"/>
      <c r="T2981" s="149"/>
      <c r="U2981" s="149"/>
      <c r="V2981" s="149"/>
      <c r="W2981" s="149"/>
      <c r="X2981" s="68"/>
      <c r="Y2981" s="68"/>
      <c r="Z2981" s="68"/>
    </row>
    <row r="2982" ht="15.0" customHeight="1">
      <c r="A2982" s="421"/>
      <c r="B2982" s="201"/>
      <c r="C2982" s="17"/>
      <c r="D2982" s="17" t="str">
        <f>IFERROR(VLOOKUP(C2982,Stock,3,FALSE),"")</f>
        <v/>
      </c>
      <c r="E2982" s="17"/>
      <c r="F2982" s="202"/>
      <c r="G2982" s="142"/>
      <c r="H2982" s="142"/>
      <c r="I2982" s="451">
        <f t="shared" si="86"/>
        <v>0</v>
      </c>
      <c r="J2982" s="144">
        <f t="shared" si="70"/>
        <v>0</v>
      </c>
      <c r="K2982" s="17"/>
      <c r="L2982" s="17"/>
      <c r="M2982" s="17"/>
      <c r="N2982" s="68"/>
      <c r="O2982" s="68"/>
      <c r="P2982" s="68"/>
      <c r="Q2982" s="149"/>
      <c r="R2982" s="149"/>
      <c r="S2982" s="149"/>
      <c r="T2982" s="149"/>
      <c r="U2982" s="149"/>
      <c r="V2982" s="149"/>
      <c r="W2982" s="149"/>
      <c r="X2982" s="68"/>
      <c r="Y2982" s="68"/>
      <c r="Z2982" s="68"/>
    </row>
    <row r="2983" ht="15.0" customHeight="1">
      <c r="A2983" s="421"/>
      <c r="B2983" s="201"/>
      <c r="C2983" s="17"/>
      <c r="D2983" s="17" t="str">
        <f>IFERROR(VLOOKUP(C2983,Stock,3,FALSE),"")</f>
        <v/>
      </c>
      <c r="E2983" s="17"/>
      <c r="F2983" s="202"/>
      <c r="G2983" s="142"/>
      <c r="H2983" s="142"/>
      <c r="I2983" s="451">
        <f t="shared" si="86"/>
        <v>0</v>
      </c>
      <c r="J2983" s="144">
        <f t="shared" si="70"/>
        <v>0</v>
      </c>
      <c r="K2983" s="17"/>
      <c r="L2983" s="17"/>
      <c r="M2983" s="17"/>
      <c r="N2983" s="68"/>
      <c r="O2983" s="68"/>
      <c r="P2983" s="68"/>
      <c r="Q2983" s="149"/>
      <c r="R2983" s="149"/>
      <c r="S2983" s="149"/>
      <c r="T2983" s="149"/>
      <c r="U2983" s="149"/>
      <c r="V2983" s="149"/>
      <c r="W2983" s="149"/>
      <c r="X2983" s="68"/>
      <c r="Y2983" s="68"/>
      <c r="Z2983" s="68"/>
    </row>
    <row r="2984" ht="15.0" customHeight="1">
      <c r="A2984" s="421"/>
      <c r="B2984" s="201"/>
      <c r="C2984" s="17"/>
      <c r="D2984" s="17" t="str">
        <f>IFERROR(VLOOKUP(C2984,Stock,3,FALSE),"")</f>
        <v/>
      </c>
      <c r="E2984" s="17"/>
      <c r="F2984" s="202"/>
      <c r="G2984" s="142"/>
      <c r="H2984" s="142"/>
      <c r="I2984" s="451">
        <f t="shared" si="86"/>
        <v>0</v>
      </c>
      <c r="J2984" s="144">
        <f t="shared" si="70"/>
        <v>0</v>
      </c>
      <c r="K2984" s="17"/>
      <c r="L2984" s="17"/>
      <c r="M2984" s="17"/>
      <c r="N2984" s="68"/>
      <c r="O2984" s="68"/>
      <c r="P2984" s="68"/>
      <c r="Q2984" s="149"/>
      <c r="R2984" s="149"/>
      <c r="S2984" s="149"/>
      <c r="T2984" s="149"/>
      <c r="U2984" s="149"/>
      <c r="V2984" s="149"/>
      <c r="W2984" s="149"/>
      <c r="X2984" s="68"/>
      <c r="Y2984" s="68"/>
      <c r="Z2984" s="68"/>
    </row>
    <row r="2985" ht="15.0" customHeight="1">
      <c r="A2985" s="421"/>
      <c r="B2985" s="201"/>
      <c r="C2985" s="17"/>
      <c r="D2985" s="17" t="str">
        <f>IFERROR(VLOOKUP(C2985,Stock,3,FALSE),"")</f>
        <v/>
      </c>
      <c r="E2985" s="17"/>
      <c r="F2985" s="202"/>
      <c r="G2985" s="142"/>
      <c r="H2985" s="142"/>
      <c r="I2985" s="451">
        <f t="shared" si="86"/>
        <v>0</v>
      </c>
      <c r="J2985" s="144">
        <f t="shared" si="70"/>
        <v>0</v>
      </c>
      <c r="K2985" s="17"/>
      <c r="L2985" s="17"/>
      <c r="M2985" s="17"/>
      <c r="N2985" s="68"/>
      <c r="O2985" s="68"/>
      <c r="P2985" s="68"/>
      <c r="Q2985" s="149"/>
      <c r="R2985" s="149"/>
      <c r="S2985" s="149"/>
      <c r="T2985" s="149"/>
      <c r="U2985" s="149"/>
      <c r="V2985" s="149"/>
      <c r="W2985" s="149"/>
      <c r="X2985" s="68"/>
      <c r="Y2985" s="68"/>
      <c r="Z2985" s="68"/>
    </row>
    <row r="2986" ht="15.0" customHeight="1">
      <c r="A2986" s="421"/>
      <c r="B2986" s="201"/>
      <c r="C2986" s="17"/>
      <c r="D2986" s="140"/>
      <c r="E2986" s="17"/>
      <c r="F2986" s="202"/>
      <c r="G2986" s="142"/>
      <c r="H2986" s="142"/>
      <c r="I2986" s="451">
        <f t="shared" si="86"/>
        <v>0</v>
      </c>
      <c r="J2986" s="144">
        <f t="shared" si="70"/>
        <v>0</v>
      </c>
      <c r="K2986" s="17"/>
      <c r="L2986" s="17"/>
      <c r="M2986" s="17"/>
      <c r="N2986" s="68"/>
      <c r="O2986" s="68"/>
      <c r="P2986" s="68"/>
      <c r="Q2986" s="149"/>
      <c r="R2986" s="149"/>
      <c r="S2986" s="149"/>
      <c r="T2986" s="149"/>
      <c r="U2986" s="149"/>
      <c r="V2986" s="149"/>
      <c r="W2986" s="149"/>
      <c r="X2986" s="68"/>
      <c r="Y2986" s="68"/>
      <c r="Z2986" s="68"/>
    </row>
    <row r="2987" ht="15.0" customHeight="1">
      <c r="A2987" s="421"/>
      <c r="B2987" s="201"/>
      <c r="C2987" s="17"/>
      <c r="D2987" s="140"/>
      <c r="E2987" s="17"/>
      <c r="F2987" s="202"/>
      <c r="G2987" s="142"/>
      <c r="H2987" s="142"/>
      <c r="I2987" s="451">
        <f t="shared" si="86"/>
        <v>0</v>
      </c>
      <c r="J2987" s="144">
        <f t="shared" si="70"/>
        <v>0</v>
      </c>
      <c r="K2987" s="17"/>
      <c r="L2987" s="17"/>
      <c r="M2987" s="17"/>
      <c r="N2987" s="68"/>
      <c r="O2987" s="68"/>
      <c r="P2987" s="68"/>
      <c r="Q2987" s="149"/>
      <c r="R2987" s="149"/>
      <c r="S2987" s="149"/>
      <c r="T2987" s="149"/>
      <c r="U2987" s="149"/>
      <c r="V2987" s="149"/>
      <c r="W2987" s="149"/>
      <c r="X2987" s="68"/>
      <c r="Y2987" s="68"/>
      <c r="Z2987" s="68"/>
    </row>
    <row r="2988" ht="15.0" customHeight="1">
      <c r="A2988" s="421"/>
      <c r="B2988" s="201"/>
      <c r="C2988" s="17"/>
      <c r="D2988" s="140"/>
      <c r="E2988" s="17"/>
      <c r="F2988" s="202"/>
      <c r="G2988" s="142"/>
      <c r="H2988" s="142"/>
      <c r="I2988" s="451">
        <f t="shared" si="86"/>
        <v>0</v>
      </c>
      <c r="J2988" s="144">
        <f t="shared" si="70"/>
        <v>0</v>
      </c>
      <c r="K2988" s="17"/>
      <c r="L2988" s="17"/>
      <c r="M2988" s="17"/>
      <c r="N2988" s="68"/>
      <c r="O2988" s="68"/>
      <c r="P2988" s="68"/>
      <c r="Q2988" s="149"/>
      <c r="R2988" s="149"/>
      <c r="S2988" s="149"/>
      <c r="T2988" s="149"/>
      <c r="U2988" s="149"/>
      <c r="V2988" s="149"/>
      <c r="W2988" s="149"/>
      <c r="X2988" s="68"/>
      <c r="Y2988" s="68"/>
      <c r="Z2988" s="68"/>
    </row>
    <row r="2989" ht="15.0" customHeight="1">
      <c r="A2989" s="421"/>
      <c r="B2989" s="201"/>
      <c r="C2989" s="17"/>
      <c r="D2989" s="140"/>
      <c r="E2989" s="17"/>
      <c r="F2989" s="202"/>
      <c r="G2989" s="142"/>
      <c r="H2989" s="142"/>
      <c r="I2989" s="451">
        <f t="shared" si="86"/>
        <v>0</v>
      </c>
      <c r="J2989" s="144">
        <f t="shared" si="70"/>
        <v>0</v>
      </c>
      <c r="K2989" s="17"/>
      <c r="L2989" s="17"/>
      <c r="M2989" s="17"/>
      <c r="N2989" s="68"/>
      <c r="O2989" s="68"/>
      <c r="P2989" s="68"/>
      <c r="Q2989" s="149"/>
      <c r="R2989" s="149"/>
      <c r="S2989" s="149"/>
      <c r="T2989" s="149"/>
      <c r="U2989" s="149"/>
      <c r="V2989" s="149"/>
      <c r="W2989" s="149"/>
      <c r="X2989" s="68"/>
      <c r="Y2989" s="68"/>
      <c r="Z2989" s="68"/>
    </row>
    <row r="2990" ht="15.0" customHeight="1">
      <c r="A2990" s="421"/>
      <c r="B2990" s="201"/>
      <c r="C2990" s="17"/>
      <c r="D2990" s="140"/>
      <c r="E2990" s="17"/>
      <c r="F2990" s="202"/>
      <c r="G2990" s="142"/>
      <c r="H2990" s="142"/>
      <c r="I2990" s="451">
        <f t="shared" si="86"/>
        <v>0</v>
      </c>
      <c r="J2990" s="144">
        <f t="shared" si="70"/>
        <v>0</v>
      </c>
      <c r="K2990" s="17"/>
      <c r="L2990" s="17"/>
      <c r="M2990" s="17"/>
      <c r="N2990" s="68"/>
      <c r="O2990" s="68"/>
      <c r="P2990" s="68"/>
      <c r="Q2990" s="149"/>
      <c r="R2990" s="149"/>
      <c r="S2990" s="149"/>
      <c r="T2990" s="149"/>
      <c r="U2990" s="149"/>
      <c r="V2990" s="149"/>
      <c r="W2990" s="149"/>
      <c r="X2990" s="68"/>
      <c r="Y2990" s="68"/>
      <c r="Z2990" s="68"/>
    </row>
    <row r="2991" ht="15.0" customHeight="1">
      <c r="A2991" s="421"/>
      <c r="B2991" s="201"/>
      <c r="C2991" s="17"/>
      <c r="D2991" s="140"/>
      <c r="E2991" s="17"/>
      <c r="F2991" s="202"/>
      <c r="G2991" s="142"/>
      <c r="H2991" s="142"/>
      <c r="I2991" s="451">
        <f t="shared" si="86"/>
        <v>0</v>
      </c>
      <c r="J2991" s="144">
        <f t="shared" si="70"/>
        <v>0</v>
      </c>
      <c r="K2991" s="17"/>
      <c r="L2991" s="17"/>
      <c r="M2991" s="17"/>
      <c r="N2991" s="68"/>
      <c r="O2991" s="68"/>
      <c r="P2991" s="68"/>
      <c r="Q2991" s="149"/>
      <c r="R2991" s="149"/>
      <c r="S2991" s="149"/>
      <c r="T2991" s="149"/>
      <c r="U2991" s="149"/>
      <c r="V2991" s="149"/>
      <c r="W2991" s="149"/>
      <c r="X2991" s="68"/>
      <c r="Y2991" s="68"/>
      <c r="Z2991" s="68"/>
    </row>
    <row r="2992" ht="15.0" customHeight="1">
      <c r="A2992" s="421"/>
      <c r="B2992" s="201"/>
      <c r="C2992" s="17"/>
      <c r="D2992" s="140"/>
      <c r="E2992" s="17"/>
      <c r="F2992" s="202"/>
      <c r="G2992" s="142"/>
      <c r="H2992" s="142"/>
      <c r="I2992" s="451">
        <f t="shared" si="86"/>
        <v>0</v>
      </c>
      <c r="J2992" s="144">
        <f t="shared" si="70"/>
        <v>0</v>
      </c>
      <c r="K2992" s="17"/>
      <c r="L2992" s="17"/>
      <c r="M2992" s="17"/>
      <c r="N2992" s="68"/>
      <c r="O2992" s="68"/>
      <c r="P2992" s="68"/>
      <c r="Q2992" s="149"/>
      <c r="R2992" s="149"/>
      <c r="S2992" s="149"/>
      <c r="T2992" s="149"/>
      <c r="U2992" s="149"/>
      <c r="V2992" s="149"/>
      <c r="W2992" s="149"/>
      <c r="X2992" s="68"/>
      <c r="Y2992" s="68"/>
      <c r="Z2992" s="68"/>
    </row>
    <row r="2993" ht="15.0" customHeight="1">
      <c r="A2993" s="421"/>
      <c r="B2993" s="201"/>
      <c r="C2993" s="17"/>
      <c r="D2993" s="140"/>
      <c r="E2993" s="17"/>
      <c r="F2993" s="202"/>
      <c r="G2993" s="142"/>
      <c r="H2993" s="142"/>
      <c r="I2993" s="451">
        <f t="shared" si="86"/>
        <v>0</v>
      </c>
      <c r="J2993" s="144">
        <f t="shared" si="70"/>
        <v>0</v>
      </c>
      <c r="K2993" s="17"/>
      <c r="L2993" s="17"/>
      <c r="M2993" s="17"/>
      <c r="N2993" s="68"/>
      <c r="O2993" s="68"/>
      <c r="P2993" s="68"/>
      <c r="Q2993" s="149"/>
      <c r="R2993" s="149"/>
      <c r="S2993" s="149"/>
      <c r="T2993" s="149"/>
      <c r="U2993" s="149"/>
      <c r="V2993" s="149"/>
      <c r="W2993" s="149"/>
      <c r="X2993" s="68"/>
      <c r="Y2993" s="68"/>
      <c r="Z2993" s="68"/>
    </row>
    <row r="2994" ht="15.0" customHeight="1">
      <c r="A2994" s="421"/>
      <c r="B2994" s="201"/>
      <c r="C2994" s="17"/>
      <c r="D2994" s="140"/>
      <c r="E2994" s="17"/>
      <c r="F2994" s="202"/>
      <c r="G2994" s="142"/>
      <c r="H2994" s="142"/>
      <c r="I2994" s="451">
        <f t="shared" si="86"/>
        <v>0</v>
      </c>
      <c r="J2994" s="144">
        <f t="shared" si="70"/>
        <v>0</v>
      </c>
      <c r="K2994" s="17"/>
      <c r="L2994" s="17"/>
      <c r="M2994" s="17"/>
      <c r="N2994" s="68"/>
      <c r="O2994" s="68"/>
      <c r="P2994" s="68"/>
      <c r="Q2994" s="149"/>
      <c r="R2994" s="149"/>
      <c r="S2994" s="149"/>
      <c r="T2994" s="149"/>
      <c r="U2994" s="149"/>
      <c r="V2994" s="149"/>
      <c r="W2994" s="149"/>
      <c r="X2994" s="68"/>
      <c r="Y2994" s="68"/>
      <c r="Z2994" s="68"/>
    </row>
    <row r="2995" ht="15.0" customHeight="1">
      <c r="A2995" s="421"/>
      <c r="B2995" s="201"/>
      <c r="C2995" s="17"/>
      <c r="D2995" s="140"/>
      <c r="E2995" s="17"/>
      <c r="F2995" s="202"/>
      <c r="G2995" s="142"/>
      <c r="H2995" s="142"/>
      <c r="I2995" s="451">
        <f t="shared" si="86"/>
        <v>0</v>
      </c>
      <c r="J2995" s="144">
        <f t="shared" si="70"/>
        <v>0</v>
      </c>
      <c r="K2995" s="17"/>
      <c r="L2995" s="17"/>
      <c r="M2995" s="17"/>
      <c r="N2995" s="68"/>
      <c r="O2995" s="68"/>
      <c r="P2995" s="68"/>
      <c r="Q2995" s="149"/>
      <c r="R2995" s="149"/>
      <c r="S2995" s="149"/>
      <c r="T2995" s="149"/>
      <c r="U2995" s="149"/>
      <c r="V2995" s="149"/>
      <c r="W2995" s="149"/>
      <c r="X2995" s="68"/>
      <c r="Y2995" s="68"/>
      <c r="Z2995" s="68"/>
    </row>
    <row r="2996" ht="15.0" customHeight="1">
      <c r="A2996" s="421"/>
      <c r="B2996" s="201"/>
      <c r="C2996" s="17"/>
      <c r="D2996" s="140"/>
      <c r="E2996" s="17"/>
      <c r="F2996" s="202"/>
      <c r="G2996" s="142"/>
      <c r="H2996" s="142"/>
      <c r="I2996" s="451">
        <f t="shared" si="86"/>
        <v>0</v>
      </c>
      <c r="J2996" s="144">
        <f t="shared" si="70"/>
        <v>0</v>
      </c>
      <c r="K2996" s="17"/>
      <c r="L2996" s="17"/>
      <c r="M2996" s="17"/>
      <c r="N2996" s="68"/>
      <c r="O2996" s="68"/>
      <c r="P2996" s="68"/>
      <c r="Q2996" s="149"/>
      <c r="R2996" s="149"/>
      <c r="S2996" s="149"/>
      <c r="T2996" s="149"/>
      <c r="U2996" s="149"/>
      <c r="V2996" s="149"/>
      <c r="W2996" s="149"/>
      <c r="X2996" s="68"/>
      <c r="Y2996" s="68"/>
      <c r="Z2996" s="68"/>
    </row>
    <row r="2997" ht="15.0" customHeight="1">
      <c r="A2997" s="421"/>
      <c r="B2997" s="201"/>
      <c r="C2997" s="17"/>
      <c r="D2997" s="140"/>
      <c r="E2997" s="17"/>
      <c r="F2997" s="202"/>
      <c r="G2997" s="142"/>
      <c r="H2997" s="142"/>
      <c r="I2997" s="451">
        <f t="shared" si="86"/>
        <v>0</v>
      </c>
      <c r="J2997" s="144">
        <f t="shared" si="70"/>
        <v>0</v>
      </c>
      <c r="K2997" s="17"/>
      <c r="L2997" s="17"/>
      <c r="M2997" s="17"/>
      <c r="N2997" s="68"/>
      <c r="O2997" s="68"/>
      <c r="P2997" s="68"/>
      <c r="Q2997" s="149"/>
      <c r="R2997" s="149"/>
      <c r="S2997" s="149"/>
      <c r="T2997" s="149"/>
      <c r="U2997" s="149"/>
      <c r="V2997" s="149"/>
      <c r="W2997" s="149"/>
      <c r="X2997" s="68"/>
      <c r="Y2997" s="68"/>
      <c r="Z2997" s="68"/>
    </row>
    <row r="2998" ht="15.0" customHeight="1">
      <c r="A2998" s="421"/>
      <c r="B2998" s="201"/>
      <c r="C2998" s="17"/>
      <c r="D2998" s="140"/>
      <c r="E2998" s="17"/>
      <c r="F2998" s="202"/>
      <c r="G2998" s="142"/>
      <c r="H2998" s="142"/>
      <c r="I2998" s="451">
        <f t="shared" si="86"/>
        <v>0</v>
      </c>
      <c r="J2998" s="144">
        <f t="shared" si="70"/>
        <v>0</v>
      </c>
      <c r="K2998" s="17"/>
      <c r="L2998" s="17"/>
      <c r="M2998" s="17"/>
      <c r="N2998" s="68"/>
      <c r="O2998" s="68"/>
      <c r="P2998" s="68"/>
      <c r="Q2998" s="149"/>
      <c r="R2998" s="149"/>
      <c r="S2998" s="149"/>
      <c r="T2998" s="149"/>
      <c r="U2998" s="149"/>
      <c r="V2998" s="149"/>
      <c r="W2998" s="149"/>
      <c r="X2998" s="68"/>
      <c r="Y2998" s="68"/>
      <c r="Z2998" s="68"/>
    </row>
    <row r="2999" ht="15.0" customHeight="1">
      <c r="A2999" s="421"/>
      <c r="B2999" s="201"/>
      <c r="C2999" s="17"/>
      <c r="D2999" s="140"/>
      <c r="E2999" s="17"/>
      <c r="F2999" s="202"/>
      <c r="G2999" s="142"/>
      <c r="H2999" s="142"/>
      <c r="I2999" s="451">
        <f t="shared" si="86"/>
        <v>0</v>
      </c>
      <c r="J2999" s="144">
        <f t="shared" si="70"/>
        <v>0</v>
      </c>
      <c r="K2999" s="17"/>
      <c r="L2999" s="17"/>
      <c r="M2999" s="17"/>
      <c r="N2999" s="68"/>
      <c r="O2999" s="68"/>
      <c r="P2999" s="68"/>
      <c r="Q2999" s="149"/>
      <c r="R2999" s="149"/>
      <c r="S2999" s="149"/>
      <c r="T2999" s="149"/>
      <c r="U2999" s="149"/>
      <c r="V2999" s="149"/>
      <c r="W2999" s="149"/>
      <c r="X2999" s="68"/>
      <c r="Y2999" s="68"/>
      <c r="Z2999" s="68"/>
    </row>
    <row r="3000" ht="15.0" customHeight="1">
      <c r="A3000" s="421"/>
      <c r="B3000" s="201"/>
      <c r="C3000" s="17"/>
      <c r="D3000" s="140"/>
      <c r="E3000" s="17"/>
      <c r="F3000" s="202"/>
      <c r="G3000" s="142"/>
      <c r="H3000" s="142"/>
      <c r="I3000" s="451">
        <f t="shared" si="86"/>
        <v>0</v>
      </c>
      <c r="J3000" s="144">
        <f t="shared" si="70"/>
        <v>0</v>
      </c>
      <c r="K3000" s="17"/>
      <c r="L3000" s="17"/>
      <c r="M3000" s="17"/>
      <c r="N3000" s="68"/>
      <c r="O3000" s="68"/>
      <c r="P3000" s="68"/>
      <c r="Q3000" s="149"/>
      <c r="R3000" s="149"/>
      <c r="S3000" s="149"/>
      <c r="T3000" s="149"/>
      <c r="U3000" s="149"/>
      <c r="V3000" s="149"/>
      <c r="W3000" s="149"/>
      <c r="X3000" s="68"/>
      <c r="Y3000" s="68"/>
      <c r="Z3000" s="68"/>
    </row>
    <row r="3001" ht="15.0" customHeight="1">
      <c r="A3001" s="421"/>
      <c r="B3001" s="201"/>
      <c r="C3001" s="17"/>
      <c r="D3001" s="140"/>
      <c r="E3001" s="17"/>
      <c r="F3001" s="202"/>
      <c r="G3001" s="142"/>
      <c r="H3001" s="142"/>
      <c r="I3001" s="451">
        <f t="shared" si="86"/>
        <v>0</v>
      </c>
      <c r="J3001" s="144">
        <f t="shared" si="70"/>
        <v>0</v>
      </c>
      <c r="K3001" s="17"/>
      <c r="L3001" s="17"/>
      <c r="M3001" s="17"/>
      <c r="N3001" s="68"/>
      <c r="O3001" s="68"/>
      <c r="P3001" s="68"/>
      <c r="Q3001" s="149"/>
      <c r="R3001" s="149"/>
      <c r="S3001" s="149"/>
      <c r="T3001" s="149"/>
      <c r="U3001" s="149"/>
      <c r="V3001" s="149"/>
      <c r="W3001" s="149"/>
      <c r="X3001" s="68"/>
      <c r="Y3001" s="68"/>
      <c r="Z3001" s="68"/>
    </row>
    <row r="3002" ht="15.0" customHeight="1">
      <c r="A3002" s="421"/>
      <c r="B3002" s="201"/>
      <c r="C3002" s="17"/>
      <c r="D3002" s="140"/>
      <c r="E3002" s="17"/>
      <c r="F3002" s="202"/>
      <c r="G3002" s="142"/>
      <c r="H3002" s="142"/>
      <c r="I3002" s="451">
        <f t="shared" si="86"/>
        <v>0</v>
      </c>
      <c r="J3002" s="144">
        <f t="shared" si="70"/>
        <v>0</v>
      </c>
      <c r="K3002" s="17"/>
      <c r="L3002" s="17"/>
      <c r="M3002" s="17"/>
      <c r="N3002" s="68"/>
      <c r="O3002" s="68"/>
      <c r="P3002" s="68"/>
      <c r="Q3002" s="149"/>
      <c r="R3002" s="149"/>
      <c r="S3002" s="149"/>
      <c r="T3002" s="149"/>
      <c r="U3002" s="149"/>
      <c r="V3002" s="149"/>
      <c r="W3002" s="149"/>
      <c r="X3002" s="68"/>
      <c r="Y3002" s="68"/>
      <c r="Z3002" s="68"/>
    </row>
    <row r="3003" ht="15.0" customHeight="1">
      <c r="A3003" s="421"/>
      <c r="B3003" s="201"/>
      <c r="C3003" s="17"/>
      <c r="D3003" s="140"/>
      <c r="E3003" s="17"/>
      <c r="F3003" s="202"/>
      <c r="G3003" s="142"/>
      <c r="H3003" s="142"/>
      <c r="I3003" s="451">
        <f t="shared" si="86"/>
        <v>0</v>
      </c>
      <c r="J3003" s="144">
        <f t="shared" si="70"/>
        <v>0</v>
      </c>
      <c r="K3003" s="17"/>
      <c r="L3003" s="17"/>
      <c r="M3003" s="17"/>
      <c r="N3003" s="68"/>
      <c r="O3003" s="68"/>
      <c r="P3003" s="68"/>
      <c r="Q3003" s="149"/>
      <c r="R3003" s="149"/>
      <c r="S3003" s="149"/>
      <c r="T3003" s="149"/>
      <c r="U3003" s="149"/>
      <c r="V3003" s="149"/>
      <c r="W3003" s="149"/>
      <c r="X3003" s="68"/>
      <c r="Y3003" s="68"/>
      <c r="Z3003" s="68"/>
    </row>
    <row r="3004" ht="15.0" customHeight="1">
      <c r="A3004" s="421"/>
      <c r="B3004" s="201"/>
      <c r="C3004" s="17"/>
      <c r="D3004" s="140"/>
      <c r="E3004" s="17"/>
      <c r="F3004" s="202"/>
      <c r="G3004" s="142"/>
      <c r="H3004" s="142"/>
      <c r="I3004" s="451">
        <f t="shared" si="86"/>
        <v>0</v>
      </c>
      <c r="J3004" s="144">
        <f t="shared" si="70"/>
        <v>0</v>
      </c>
      <c r="K3004" s="17"/>
      <c r="L3004" s="17"/>
      <c r="M3004" s="17"/>
      <c r="N3004" s="68"/>
      <c r="O3004" s="68"/>
      <c r="P3004" s="68"/>
      <c r="Q3004" s="149"/>
      <c r="R3004" s="149"/>
      <c r="S3004" s="149"/>
      <c r="T3004" s="149"/>
      <c r="U3004" s="149"/>
      <c r="V3004" s="149"/>
      <c r="W3004" s="149"/>
      <c r="X3004" s="68"/>
      <c r="Y3004" s="68"/>
      <c r="Z3004" s="68"/>
    </row>
    <row r="3005" ht="15.0" customHeight="1">
      <c r="A3005" s="421"/>
      <c r="B3005" s="201"/>
      <c r="C3005" s="17"/>
      <c r="D3005" s="140"/>
      <c r="E3005" s="17"/>
      <c r="F3005" s="202"/>
      <c r="G3005" s="142"/>
      <c r="H3005" s="142"/>
      <c r="I3005" s="451">
        <f t="shared" si="86"/>
        <v>0</v>
      </c>
      <c r="J3005" s="144">
        <f t="shared" si="70"/>
        <v>0</v>
      </c>
      <c r="K3005" s="17"/>
      <c r="L3005" s="17"/>
      <c r="M3005" s="17"/>
      <c r="N3005" s="68"/>
      <c r="O3005" s="68"/>
      <c r="P3005" s="68"/>
      <c r="Q3005" s="149"/>
      <c r="R3005" s="149"/>
      <c r="S3005" s="149"/>
      <c r="T3005" s="149"/>
      <c r="U3005" s="149"/>
      <c r="V3005" s="149"/>
      <c r="W3005" s="149"/>
      <c r="X3005" s="68"/>
      <c r="Y3005" s="68"/>
      <c r="Z3005" s="68"/>
    </row>
    <row r="3006" ht="15.0" customHeight="1">
      <c r="A3006" s="421"/>
      <c r="B3006" s="201"/>
      <c r="C3006" s="17"/>
      <c r="D3006" s="140"/>
      <c r="E3006" s="17"/>
      <c r="F3006" s="202"/>
      <c r="G3006" s="142"/>
      <c r="H3006" s="142"/>
      <c r="I3006" s="451">
        <f t="shared" si="86"/>
        <v>0</v>
      </c>
      <c r="J3006" s="144">
        <f t="shared" si="70"/>
        <v>0</v>
      </c>
      <c r="K3006" s="17"/>
      <c r="L3006" s="17"/>
      <c r="M3006" s="17"/>
      <c r="N3006" s="68"/>
      <c r="O3006" s="68"/>
      <c r="P3006" s="68"/>
      <c r="Q3006" s="149"/>
      <c r="R3006" s="149"/>
      <c r="S3006" s="149"/>
      <c r="T3006" s="149"/>
      <c r="U3006" s="149"/>
      <c r="V3006" s="149"/>
      <c r="W3006" s="149"/>
      <c r="X3006" s="68"/>
      <c r="Y3006" s="68"/>
      <c r="Z3006" s="68"/>
    </row>
    <row r="3007" ht="15.0" customHeight="1">
      <c r="A3007" s="421"/>
      <c r="B3007" s="201"/>
      <c r="C3007" s="17"/>
      <c r="D3007" s="140"/>
      <c r="E3007" s="17"/>
      <c r="F3007" s="202"/>
      <c r="G3007" s="142"/>
      <c r="H3007" s="142"/>
      <c r="I3007" s="143"/>
      <c r="J3007" s="144" t="str">
        <f t="shared" si="70"/>
        <v/>
      </c>
      <c r="K3007" s="17"/>
      <c r="L3007" s="17"/>
      <c r="M3007" s="17"/>
      <c r="N3007" s="68"/>
      <c r="O3007" s="68"/>
      <c r="P3007" s="68"/>
      <c r="Q3007" s="149"/>
      <c r="R3007" s="149"/>
      <c r="S3007" s="149"/>
      <c r="T3007" s="149"/>
      <c r="U3007" s="149"/>
      <c r="V3007" s="149"/>
      <c r="W3007" s="149"/>
      <c r="X3007" s="68"/>
      <c r="Y3007" s="68"/>
      <c r="Z3007" s="68"/>
    </row>
    <row r="3008" ht="15.0" customHeight="1">
      <c r="A3008" s="421"/>
      <c r="B3008" s="201"/>
      <c r="C3008" s="17"/>
      <c r="D3008" s="140"/>
      <c r="E3008" s="17"/>
      <c r="F3008" s="202"/>
      <c r="G3008" s="142"/>
      <c r="H3008" s="142"/>
      <c r="I3008" s="143"/>
      <c r="J3008" s="144" t="str">
        <f t="shared" si="70"/>
        <v/>
      </c>
      <c r="K3008" s="17"/>
      <c r="L3008" s="17"/>
      <c r="M3008" s="17"/>
      <c r="N3008" s="68"/>
      <c r="O3008" s="68"/>
      <c r="P3008" s="68"/>
      <c r="Q3008" s="149"/>
      <c r="R3008" s="149"/>
      <c r="S3008" s="149"/>
      <c r="T3008" s="149"/>
      <c r="U3008" s="149"/>
      <c r="V3008" s="149"/>
      <c r="W3008" s="149"/>
      <c r="X3008" s="68"/>
      <c r="Y3008" s="68"/>
      <c r="Z3008" s="68"/>
    </row>
    <row r="3009" ht="15.0" customHeight="1">
      <c r="A3009" s="421"/>
      <c r="B3009" s="201"/>
      <c r="C3009" s="17"/>
      <c r="D3009" s="140"/>
      <c r="E3009" s="17"/>
      <c r="F3009" s="202"/>
      <c r="G3009" s="142"/>
      <c r="H3009" s="142"/>
      <c r="I3009" s="143"/>
      <c r="J3009" s="144" t="str">
        <f t="shared" si="70"/>
        <v/>
      </c>
      <c r="K3009" s="17"/>
      <c r="L3009" s="17"/>
      <c r="M3009" s="17"/>
      <c r="N3009" s="68"/>
      <c r="O3009" s="68"/>
      <c r="P3009" s="68"/>
      <c r="Q3009" s="149"/>
      <c r="R3009" s="149"/>
      <c r="S3009" s="149"/>
      <c r="T3009" s="149"/>
      <c r="U3009" s="149"/>
      <c r="V3009" s="149"/>
      <c r="W3009" s="149"/>
      <c r="X3009" s="68"/>
      <c r="Y3009" s="68"/>
      <c r="Z3009" s="68"/>
    </row>
    <row r="3010" ht="15.0" customHeight="1">
      <c r="A3010" s="421"/>
      <c r="B3010" s="201"/>
      <c r="C3010" s="17"/>
      <c r="D3010" s="140"/>
      <c r="E3010" s="17"/>
      <c r="F3010" s="202"/>
      <c r="G3010" s="142"/>
      <c r="H3010" s="142"/>
      <c r="I3010" s="143"/>
      <c r="J3010" s="144" t="str">
        <f t="shared" si="70"/>
        <v/>
      </c>
      <c r="K3010" s="17"/>
      <c r="L3010" s="17"/>
      <c r="M3010" s="17"/>
      <c r="N3010" s="68"/>
      <c r="O3010" s="68"/>
      <c r="P3010" s="68"/>
      <c r="Q3010" s="149"/>
      <c r="R3010" s="149"/>
      <c r="S3010" s="149"/>
      <c r="T3010" s="149"/>
      <c r="U3010" s="149"/>
      <c r="V3010" s="149"/>
      <c r="W3010" s="149"/>
      <c r="X3010" s="68"/>
      <c r="Y3010" s="68"/>
      <c r="Z3010" s="68"/>
    </row>
    <row r="3011" ht="15.0" customHeight="1">
      <c r="A3011" s="421"/>
      <c r="B3011" s="201"/>
      <c r="C3011" s="17"/>
      <c r="D3011" s="140"/>
      <c r="E3011" s="17"/>
      <c r="F3011" s="202"/>
      <c r="G3011" s="142"/>
      <c r="H3011" s="142"/>
      <c r="I3011" s="143"/>
      <c r="J3011" s="144" t="str">
        <f t="shared" si="70"/>
        <v/>
      </c>
      <c r="K3011" s="17"/>
      <c r="L3011" s="17"/>
      <c r="M3011" s="17"/>
      <c r="N3011" s="68"/>
      <c r="O3011" s="68"/>
      <c r="P3011" s="68"/>
      <c r="Q3011" s="149"/>
      <c r="R3011" s="149"/>
      <c r="S3011" s="149"/>
      <c r="T3011" s="149"/>
      <c r="U3011" s="149"/>
      <c r="V3011" s="149"/>
      <c r="W3011" s="149"/>
      <c r="X3011" s="68"/>
      <c r="Y3011" s="68"/>
      <c r="Z3011" s="68"/>
    </row>
    <row r="3012" ht="15.0" customHeight="1">
      <c r="A3012" s="421"/>
      <c r="B3012" s="201"/>
      <c r="C3012" s="17"/>
      <c r="D3012" s="140"/>
      <c r="E3012" s="17"/>
      <c r="F3012" s="202"/>
      <c r="G3012" s="142"/>
      <c r="H3012" s="142"/>
      <c r="I3012" s="143"/>
      <c r="J3012" s="144" t="str">
        <f t="shared" si="70"/>
        <v/>
      </c>
      <c r="K3012" s="17"/>
      <c r="L3012" s="17"/>
      <c r="M3012" s="17"/>
      <c r="N3012" s="68"/>
      <c r="O3012" s="68"/>
      <c r="P3012" s="68"/>
      <c r="Q3012" s="149"/>
      <c r="R3012" s="149"/>
      <c r="S3012" s="149"/>
      <c r="T3012" s="149"/>
      <c r="U3012" s="149"/>
      <c r="V3012" s="149"/>
      <c r="W3012" s="149"/>
      <c r="X3012" s="68"/>
      <c r="Y3012" s="68"/>
      <c r="Z3012" s="68"/>
    </row>
    <row r="3013" ht="15.0" customHeight="1">
      <c r="A3013" s="421"/>
      <c r="B3013" s="201"/>
      <c r="C3013" s="17"/>
      <c r="D3013" s="140"/>
      <c r="E3013" s="17"/>
      <c r="F3013" s="202"/>
      <c r="G3013" s="142"/>
      <c r="H3013" s="142"/>
      <c r="I3013" s="143"/>
      <c r="J3013" s="144" t="str">
        <f t="shared" si="70"/>
        <v/>
      </c>
      <c r="K3013" s="17"/>
      <c r="L3013" s="17"/>
      <c r="M3013" s="17"/>
      <c r="N3013" s="68"/>
      <c r="O3013" s="68"/>
      <c r="P3013" s="68"/>
      <c r="Q3013" s="149"/>
      <c r="R3013" s="149"/>
      <c r="S3013" s="149"/>
      <c r="T3013" s="149"/>
      <c r="U3013" s="149"/>
      <c r="V3013" s="149"/>
      <c r="W3013" s="149"/>
      <c r="X3013" s="68"/>
      <c r="Y3013" s="68"/>
      <c r="Z3013" s="68"/>
    </row>
    <row r="3014" ht="15.0" customHeight="1">
      <c r="A3014" s="421"/>
      <c r="B3014" s="201"/>
      <c r="C3014" s="17"/>
      <c r="D3014" s="140"/>
      <c r="E3014" s="17"/>
      <c r="F3014" s="202"/>
      <c r="G3014" s="142"/>
      <c r="H3014" s="142"/>
      <c r="I3014" s="143"/>
      <c r="J3014" s="144"/>
      <c r="K3014" s="17"/>
      <c r="L3014" s="17"/>
      <c r="M3014" s="17"/>
      <c r="N3014" s="68"/>
      <c r="O3014" s="68"/>
      <c r="P3014" s="68"/>
      <c r="Q3014" s="149"/>
      <c r="R3014" s="149"/>
      <c r="S3014" s="149"/>
      <c r="T3014" s="149"/>
      <c r="U3014" s="149"/>
      <c r="V3014" s="149"/>
      <c r="W3014" s="149"/>
      <c r="X3014" s="68"/>
      <c r="Y3014" s="68"/>
      <c r="Z3014" s="68"/>
    </row>
    <row r="3015" ht="15.0" customHeight="1">
      <c r="A3015" s="421"/>
      <c r="B3015" s="201"/>
      <c r="C3015" s="17"/>
      <c r="D3015" s="140"/>
      <c r="E3015" s="17"/>
      <c r="F3015" s="202"/>
      <c r="G3015" s="142"/>
      <c r="H3015" s="142"/>
      <c r="I3015" s="143"/>
      <c r="J3015" s="144"/>
      <c r="K3015" s="17"/>
      <c r="L3015" s="17"/>
      <c r="M3015" s="17"/>
      <c r="N3015" s="68"/>
      <c r="O3015" s="68"/>
      <c r="P3015" s="68"/>
      <c r="Q3015" s="149"/>
      <c r="R3015" s="149"/>
      <c r="S3015" s="149"/>
      <c r="T3015" s="149"/>
      <c r="U3015" s="149"/>
      <c r="V3015" s="149"/>
      <c r="W3015" s="149"/>
      <c r="X3015" s="68"/>
      <c r="Y3015" s="68"/>
      <c r="Z3015" s="68"/>
    </row>
    <row r="3016" ht="15.0" customHeight="1">
      <c r="A3016" s="421"/>
      <c r="B3016" s="201"/>
      <c r="C3016" s="17"/>
      <c r="D3016" s="140"/>
      <c r="E3016" s="17"/>
      <c r="F3016" s="202"/>
      <c r="G3016" s="142"/>
      <c r="H3016" s="142"/>
      <c r="I3016" s="143"/>
      <c r="J3016" s="144"/>
      <c r="K3016" s="17"/>
      <c r="L3016" s="17"/>
      <c r="M3016" s="17"/>
      <c r="N3016" s="68"/>
      <c r="O3016" s="68"/>
      <c r="P3016" s="68"/>
      <c r="Q3016" s="149"/>
      <c r="R3016" s="149"/>
      <c r="S3016" s="149"/>
      <c r="T3016" s="149"/>
      <c r="U3016" s="149"/>
      <c r="V3016" s="149"/>
      <c r="W3016" s="149"/>
      <c r="X3016" s="68"/>
      <c r="Y3016" s="68"/>
      <c r="Z3016" s="68"/>
    </row>
    <row r="3017" ht="15.0" customHeight="1">
      <c r="A3017" s="421"/>
      <c r="B3017" s="201"/>
      <c r="C3017" s="17"/>
      <c r="D3017" s="140"/>
      <c r="E3017" s="17"/>
      <c r="F3017" s="202"/>
      <c r="G3017" s="142"/>
      <c r="H3017" s="142"/>
      <c r="I3017" s="143"/>
      <c r="J3017" s="144"/>
      <c r="K3017" s="17"/>
      <c r="L3017" s="17"/>
      <c r="M3017" s="17"/>
      <c r="N3017" s="68"/>
      <c r="O3017" s="68"/>
      <c r="P3017" s="68"/>
      <c r="Q3017" s="149"/>
      <c r="R3017" s="149"/>
      <c r="S3017" s="149"/>
      <c r="T3017" s="149"/>
      <c r="U3017" s="149"/>
      <c r="V3017" s="149"/>
      <c r="W3017" s="149"/>
      <c r="X3017" s="68"/>
      <c r="Y3017" s="68"/>
      <c r="Z3017" s="68"/>
    </row>
    <row r="3018" ht="15.0" customHeight="1">
      <c r="A3018" s="421"/>
      <c r="B3018" s="201"/>
      <c r="C3018" s="17"/>
      <c r="D3018" s="140"/>
      <c r="E3018" s="17"/>
      <c r="F3018" s="202"/>
      <c r="G3018" s="142"/>
      <c r="H3018" s="142"/>
      <c r="I3018" s="143"/>
      <c r="J3018" s="144"/>
      <c r="K3018" s="17"/>
      <c r="L3018" s="17"/>
      <c r="M3018" s="17"/>
      <c r="N3018" s="68"/>
      <c r="O3018" s="68"/>
      <c r="P3018" s="68"/>
      <c r="Q3018" s="149"/>
      <c r="R3018" s="149"/>
      <c r="S3018" s="149"/>
      <c r="T3018" s="149"/>
      <c r="U3018" s="149"/>
      <c r="V3018" s="149"/>
      <c r="W3018" s="149"/>
      <c r="X3018" s="68"/>
      <c r="Y3018" s="68"/>
      <c r="Z3018" s="68"/>
    </row>
    <row r="3019" ht="15.0" customHeight="1">
      <c r="A3019" s="421"/>
      <c r="B3019" s="201"/>
      <c r="C3019" s="17"/>
      <c r="D3019" s="140"/>
      <c r="E3019" s="17"/>
      <c r="F3019" s="202"/>
      <c r="G3019" s="142"/>
      <c r="H3019" s="142"/>
      <c r="I3019" s="143"/>
      <c r="J3019" s="144"/>
      <c r="K3019" s="17"/>
      <c r="L3019" s="17"/>
      <c r="M3019" s="17"/>
      <c r="N3019" s="68"/>
      <c r="O3019" s="68"/>
      <c r="P3019" s="68"/>
      <c r="Q3019" s="149"/>
      <c r="R3019" s="149"/>
      <c r="S3019" s="149"/>
      <c r="T3019" s="149"/>
      <c r="U3019" s="149"/>
      <c r="V3019" s="149"/>
      <c r="W3019" s="149"/>
      <c r="X3019" s="68"/>
      <c r="Y3019" s="68"/>
      <c r="Z3019" s="68"/>
    </row>
    <row r="3020" ht="15.0" customHeight="1">
      <c r="A3020" s="421"/>
      <c r="B3020" s="201"/>
      <c r="C3020" s="17"/>
      <c r="D3020" s="140"/>
      <c r="E3020" s="17"/>
      <c r="F3020" s="202"/>
      <c r="G3020" s="142"/>
      <c r="H3020" s="142"/>
      <c r="I3020" s="143"/>
      <c r="J3020" s="144"/>
      <c r="K3020" s="17"/>
      <c r="L3020" s="17"/>
      <c r="M3020" s="17"/>
      <c r="N3020" s="68"/>
      <c r="O3020" s="68"/>
      <c r="P3020" s="68"/>
      <c r="Q3020" s="149"/>
      <c r="R3020" s="149"/>
      <c r="S3020" s="149"/>
      <c r="T3020" s="149"/>
      <c r="U3020" s="149"/>
      <c r="V3020" s="149"/>
      <c r="W3020" s="149"/>
      <c r="X3020" s="68"/>
      <c r="Y3020" s="68"/>
      <c r="Z3020" s="68"/>
    </row>
    <row r="3021" ht="15.0" customHeight="1">
      <c r="A3021" s="421"/>
      <c r="B3021" s="201"/>
      <c r="C3021" s="17"/>
      <c r="D3021" s="140"/>
      <c r="E3021" s="17"/>
      <c r="F3021" s="202"/>
      <c r="G3021" s="142"/>
      <c r="H3021" s="142"/>
      <c r="I3021" s="143"/>
      <c r="J3021" s="144"/>
      <c r="K3021" s="17"/>
      <c r="L3021" s="17"/>
      <c r="M3021" s="17"/>
      <c r="N3021" s="68"/>
      <c r="O3021" s="68"/>
      <c r="P3021" s="68"/>
      <c r="Q3021" s="149"/>
      <c r="R3021" s="149"/>
      <c r="S3021" s="149"/>
      <c r="T3021" s="149"/>
      <c r="U3021" s="149"/>
      <c r="V3021" s="149"/>
      <c r="W3021" s="149"/>
      <c r="X3021" s="68"/>
      <c r="Y3021" s="68"/>
      <c r="Z3021" s="68"/>
    </row>
    <row r="3022" ht="15.0" customHeight="1">
      <c r="A3022" s="421"/>
      <c r="B3022" s="201"/>
      <c r="C3022" s="17"/>
      <c r="D3022" s="140"/>
      <c r="E3022" s="17"/>
      <c r="F3022" s="202"/>
      <c r="G3022" s="142"/>
      <c r="H3022" s="142"/>
      <c r="I3022" s="143"/>
      <c r="J3022" s="144"/>
      <c r="K3022" s="17"/>
      <c r="L3022" s="17"/>
      <c r="M3022" s="17"/>
      <c r="N3022" s="68"/>
      <c r="O3022" s="68"/>
      <c r="P3022" s="68"/>
      <c r="Q3022" s="149"/>
      <c r="R3022" s="149"/>
      <c r="S3022" s="149"/>
      <c r="T3022" s="149"/>
      <c r="U3022" s="149"/>
      <c r="V3022" s="149"/>
      <c r="W3022" s="149"/>
      <c r="X3022" s="68"/>
      <c r="Y3022" s="68"/>
      <c r="Z3022" s="68"/>
    </row>
    <row r="3023" ht="15.0" customHeight="1">
      <c r="A3023" s="421"/>
      <c r="B3023" s="201"/>
      <c r="C3023" s="17"/>
      <c r="D3023" s="140"/>
      <c r="E3023" s="17"/>
      <c r="F3023" s="202"/>
      <c r="G3023" s="142"/>
      <c r="H3023" s="142"/>
      <c r="I3023" s="143"/>
      <c r="J3023" s="144"/>
      <c r="K3023" s="17"/>
      <c r="L3023" s="17"/>
      <c r="M3023" s="17"/>
      <c r="N3023" s="68"/>
      <c r="O3023" s="68"/>
      <c r="P3023" s="68"/>
      <c r="Q3023" s="149"/>
      <c r="R3023" s="149"/>
      <c r="S3023" s="149"/>
      <c r="T3023" s="149"/>
      <c r="U3023" s="149"/>
      <c r="V3023" s="149"/>
      <c r="W3023" s="149"/>
      <c r="X3023" s="68"/>
      <c r="Y3023" s="68"/>
      <c r="Z3023" s="68"/>
    </row>
    <row r="3024" ht="15.0" customHeight="1">
      <c r="A3024" s="421"/>
      <c r="B3024" s="201"/>
      <c r="C3024" s="17"/>
      <c r="D3024" s="140"/>
      <c r="E3024" s="17"/>
      <c r="F3024" s="202"/>
      <c r="G3024" s="142"/>
      <c r="H3024" s="142"/>
      <c r="I3024" s="143"/>
      <c r="J3024" s="144"/>
      <c r="K3024" s="17"/>
      <c r="L3024" s="17"/>
      <c r="M3024" s="17"/>
      <c r="N3024" s="68"/>
      <c r="O3024" s="68"/>
      <c r="P3024" s="68"/>
      <c r="Q3024" s="149"/>
      <c r="R3024" s="149"/>
      <c r="S3024" s="149"/>
      <c r="T3024" s="149"/>
      <c r="U3024" s="149"/>
      <c r="V3024" s="149"/>
      <c r="W3024" s="149"/>
      <c r="X3024" s="68"/>
      <c r="Y3024" s="68"/>
      <c r="Z3024" s="68"/>
    </row>
    <row r="3025" ht="15.0" customHeight="1">
      <c r="A3025" s="421"/>
      <c r="B3025" s="201"/>
      <c r="C3025" s="17"/>
      <c r="D3025" s="140"/>
      <c r="E3025" s="17"/>
      <c r="F3025" s="202"/>
      <c r="G3025" s="142"/>
      <c r="H3025" s="142"/>
      <c r="I3025" s="143"/>
      <c r="J3025" s="144"/>
      <c r="K3025" s="17"/>
      <c r="L3025" s="17"/>
      <c r="M3025" s="17"/>
      <c r="N3025" s="68"/>
      <c r="O3025" s="68"/>
      <c r="P3025" s="68"/>
      <c r="Q3025" s="149"/>
      <c r="R3025" s="149"/>
      <c r="S3025" s="149"/>
      <c r="T3025" s="149"/>
      <c r="U3025" s="149"/>
      <c r="V3025" s="149"/>
      <c r="W3025" s="149"/>
      <c r="X3025" s="68"/>
      <c r="Y3025" s="68"/>
      <c r="Z3025" s="68"/>
    </row>
    <row r="3026" ht="15.0" customHeight="1">
      <c r="A3026" s="421"/>
      <c r="B3026" s="201"/>
      <c r="C3026" s="17"/>
      <c r="D3026" s="140"/>
      <c r="E3026" s="17"/>
      <c r="F3026" s="202"/>
      <c r="G3026" s="142"/>
      <c r="H3026" s="142"/>
      <c r="I3026" s="143"/>
      <c r="J3026" s="144"/>
      <c r="K3026" s="17"/>
      <c r="L3026" s="17"/>
      <c r="M3026" s="17"/>
      <c r="N3026" s="68"/>
      <c r="O3026" s="68"/>
      <c r="P3026" s="68"/>
      <c r="Q3026" s="149"/>
      <c r="R3026" s="149"/>
      <c r="S3026" s="149"/>
      <c r="T3026" s="149"/>
      <c r="U3026" s="149"/>
      <c r="V3026" s="149"/>
      <c r="W3026" s="149"/>
      <c r="X3026" s="68"/>
      <c r="Y3026" s="68"/>
      <c r="Z3026" s="68"/>
    </row>
    <row r="3027" ht="15.0" customHeight="1">
      <c r="A3027" s="421"/>
      <c r="B3027" s="201"/>
      <c r="C3027" s="17"/>
      <c r="D3027" s="140"/>
      <c r="E3027" s="17"/>
      <c r="F3027" s="202"/>
      <c r="G3027" s="142"/>
      <c r="H3027" s="142"/>
      <c r="I3027" s="143"/>
      <c r="J3027" s="144"/>
      <c r="K3027" s="17"/>
      <c r="L3027" s="17"/>
      <c r="M3027" s="17"/>
      <c r="N3027" s="68"/>
      <c r="O3027" s="68"/>
      <c r="P3027" s="68"/>
      <c r="Q3027" s="149"/>
      <c r="R3027" s="149"/>
      <c r="S3027" s="149"/>
      <c r="T3027" s="149"/>
      <c r="U3027" s="149"/>
      <c r="V3027" s="149"/>
      <c r="W3027" s="149"/>
      <c r="X3027" s="68"/>
      <c r="Y3027" s="68"/>
      <c r="Z3027" s="68"/>
    </row>
    <row r="3028" ht="15.0" customHeight="1">
      <c r="A3028" s="421"/>
      <c r="B3028" s="201"/>
      <c r="C3028" s="17"/>
      <c r="D3028" s="140"/>
      <c r="E3028" s="17"/>
      <c r="F3028" s="202"/>
      <c r="G3028" s="142"/>
      <c r="H3028" s="142"/>
      <c r="I3028" s="143"/>
      <c r="J3028" s="144"/>
      <c r="K3028" s="17"/>
      <c r="L3028" s="17"/>
      <c r="M3028" s="17"/>
      <c r="N3028" s="68"/>
      <c r="O3028" s="68"/>
      <c r="P3028" s="68"/>
      <c r="Q3028" s="149"/>
      <c r="R3028" s="149"/>
      <c r="S3028" s="149"/>
      <c r="T3028" s="149"/>
      <c r="U3028" s="149"/>
      <c r="V3028" s="149"/>
      <c r="W3028" s="149"/>
      <c r="X3028" s="68"/>
      <c r="Y3028" s="68"/>
      <c r="Z3028" s="68"/>
    </row>
    <row r="3029" ht="15.0" customHeight="1">
      <c r="A3029" s="421"/>
      <c r="B3029" s="201"/>
      <c r="C3029" s="17"/>
      <c r="D3029" s="140"/>
      <c r="E3029" s="17"/>
      <c r="F3029" s="202"/>
      <c r="G3029" s="142"/>
      <c r="H3029" s="142"/>
      <c r="I3029" s="143"/>
      <c r="J3029" s="144"/>
      <c r="K3029" s="17"/>
      <c r="L3029" s="17"/>
      <c r="M3029" s="17"/>
      <c r="N3029" s="68"/>
      <c r="O3029" s="68"/>
      <c r="P3029" s="68"/>
      <c r="Q3029" s="149"/>
      <c r="R3029" s="149"/>
      <c r="S3029" s="149"/>
      <c r="T3029" s="149"/>
      <c r="U3029" s="149"/>
      <c r="V3029" s="149"/>
      <c r="W3029" s="149"/>
      <c r="X3029" s="68"/>
      <c r="Y3029" s="68"/>
      <c r="Z3029" s="68"/>
    </row>
    <row r="3030" ht="15.0" customHeight="1">
      <c r="A3030" s="421"/>
      <c r="B3030" s="201"/>
      <c r="C3030" s="17"/>
      <c r="D3030" s="140"/>
      <c r="E3030" s="17"/>
      <c r="F3030" s="202"/>
      <c r="G3030" s="142"/>
      <c r="H3030" s="142"/>
      <c r="I3030" s="143"/>
      <c r="J3030" s="144"/>
      <c r="K3030" s="17"/>
      <c r="L3030" s="17"/>
      <c r="M3030" s="17"/>
      <c r="N3030" s="68"/>
      <c r="O3030" s="68"/>
      <c r="P3030" s="68"/>
      <c r="Q3030" s="149"/>
      <c r="R3030" s="149"/>
      <c r="S3030" s="149"/>
      <c r="T3030" s="149"/>
      <c r="U3030" s="149"/>
      <c r="V3030" s="149"/>
      <c r="W3030" s="149"/>
      <c r="X3030" s="68"/>
      <c r="Y3030" s="68"/>
      <c r="Z3030" s="68"/>
    </row>
    <row r="3031" ht="15.0" customHeight="1">
      <c r="A3031" s="421"/>
      <c r="B3031" s="201"/>
      <c r="C3031" s="17"/>
      <c r="D3031" s="140"/>
      <c r="E3031" s="17"/>
      <c r="F3031" s="202"/>
      <c r="G3031" s="142"/>
      <c r="H3031" s="142"/>
      <c r="I3031" s="143"/>
      <c r="J3031" s="144"/>
      <c r="K3031" s="17"/>
      <c r="L3031" s="17"/>
      <c r="M3031" s="17"/>
      <c r="N3031" s="68"/>
      <c r="O3031" s="68"/>
      <c r="P3031" s="68"/>
      <c r="Q3031" s="149"/>
      <c r="R3031" s="149"/>
      <c r="S3031" s="149"/>
      <c r="T3031" s="149"/>
      <c r="U3031" s="149"/>
      <c r="V3031" s="149"/>
      <c r="W3031" s="149"/>
      <c r="X3031" s="68"/>
      <c r="Y3031" s="68"/>
      <c r="Z3031" s="68"/>
    </row>
    <row r="3032" ht="15.0" customHeight="1">
      <c r="A3032" s="421"/>
      <c r="B3032" s="201"/>
      <c r="C3032" s="17"/>
      <c r="D3032" s="140"/>
      <c r="E3032" s="17"/>
      <c r="F3032" s="202"/>
      <c r="G3032" s="142"/>
      <c r="H3032" s="142"/>
      <c r="I3032" s="143"/>
      <c r="J3032" s="144"/>
      <c r="K3032" s="17"/>
      <c r="L3032" s="17"/>
      <c r="M3032" s="17"/>
      <c r="N3032" s="68"/>
      <c r="O3032" s="68"/>
      <c r="P3032" s="68"/>
      <c r="Q3032" s="149"/>
      <c r="R3032" s="149"/>
      <c r="S3032" s="149"/>
      <c r="T3032" s="149"/>
      <c r="U3032" s="149"/>
      <c r="V3032" s="149"/>
      <c r="W3032" s="149"/>
      <c r="X3032" s="68"/>
      <c r="Y3032" s="68"/>
      <c r="Z3032" s="68"/>
    </row>
    <row r="3033" ht="15.0" customHeight="1">
      <c r="A3033" s="421"/>
      <c r="B3033" s="201"/>
      <c r="C3033" s="17"/>
      <c r="D3033" s="140"/>
      <c r="E3033" s="17"/>
      <c r="F3033" s="202"/>
      <c r="G3033" s="142"/>
      <c r="H3033" s="142"/>
      <c r="I3033" s="143"/>
      <c r="J3033" s="144"/>
      <c r="K3033" s="17"/>
      <c r="L3033" s="17"/>
      <c r="M3033" s="17"/>
      <c r="N3033" s="68"/>
      <c r="O3033" s="68"/>
      <c r="P3033" s="68"/>
      <c r="Q3033" s="149"/>
      <c r="R3033" s="149"/>
      <c r="S3033" s="149"/>
      <c r="T3033" s="149"/>
      <c r="U3033" s="149"/>
      <c r="V3033" s="149"/>
      <c r="W3033" s="149"/>
      <c r="X3033" s="68"/>
      <c r="Y3033" s="68"/>
      <c r="Z3033" s="68"/>
    </row>
    <row r="3034" ht="15.0" customHeight="1">
      <c r="A3034" s="421"/>
      <c r="B3034" s="201"/>
      <c r="C3034" s="17"/>
      <c r="D3034" s="140"/>
      <c r="E3034" s="17"/>
      <c r="F3034" s="202"/>
      <c r="G3034" s="142"/>
      <c r="H3034" s="142"/>
      <c r="I3034" s="143"/>
      <c r="J3034" s="144"/>
      <c r="K3034" s="17"/>
      <c r="L3034" s="17"/>
      <c r="M3034" s="17"/>
      <c r="N3034" s="68"/>
      <c r="O3034" s="68"/>
      <c r="P3034" s="68"/>
      <c r="Q3034" s="149"/>
      <c r="R3034" s="149"/>
      <c r="S3034" s="149"/>
      <c r="T3034" s="149"/>
      <c r="U3034" s="149"/>
      <c r="V3034" s="149"/>
      <c r="W3034" s="149"/>
      <c r="X3034" s="68"/>
      <c r="Y3034" s="68"/>
      <c r="Z3034" s="68"/>
    </row>
    <row r="3035" ht="15.0" customHeight="1">
      <c r="A3035" s="421"/>
      <c r="B3035" s="201"/>
      <c r="C3035" s="17"/>
      <c r="D3035" s="140"/>
      <c r="E3035" s="17"/>
      <c r="F3035" s="202"/>
      <c r="G3035" s="142"/>
      <c r="H3035" s="142"/>
      <c r="I3035" s="143"/>
      <c r="J3035" s="144"/>
      <c r="K3035" s="17"/>
      <c r="L3035" s="17"/>
      <c r="M3035" s="17"/>
      <c r="N3035" s="68"/>
      <c r="O3035" s="68"/>
      <c r="P3035" s="68"/>
      <c r="Q3035" s="149"/>
      <c r="R3035" s="149"/>
      <c r="S3035" s="149"/>
      <c r="T3035" s="149"/>
      <c r="U3035" s="149"/>
      <c r="V3035" s="149"/>
      <c r="W3035" s="149"/>
      <c r="X3035" s="68"/>
      <c r="Y3035" s="68"/>
      <c r="Z3035" s="68"/>
    </row>
    <row r="3036" ht="15.0" customHeight="1">
      <c r="A3036" s="421"/>
      <c r="B3036" s="201"/>
      <c r="C3036" s="17"/>
      <c r="D3036" s="140"/>
      <c r="E3036" s="17"/>
      <c r="F3036" s="202"/>
      <c r="G3036" s="142"/>
      <c r="H3036" s="142"/>
      <c r="I3036" s="143"/>
      <c r="J3036" s="144"/>
      <c r="K3036" s="17"/>
      <c r="L3036" s="17"/>
      <c r="M3036" s="17"/>
      <c r="N3036" s="68"/>
      <c r="O3036" s="68"/>
      <c r="P3036" s="68"/>
      <c r="Q3036" s="149"/>
      <c r="R3036" s="149"/>
      <c r="S3036" s="149"/>
      <c r="T3036" s="149"/>
      <c r="U3036" s="149"/>
      <c r="V3036" s="149"/>
      <c r="W3036" s="149"/>
      <c r="X3036" s="68"/>
      <c r="Y3036" s="68"/>
      <c r="Z3036" s="68"/>
    </row>
    <row r="3037" ht="15.0" customHeight="1">
      <c r="A3037" s="421"/>
      <c r="B3037" s="201"/>
      <c r="C3037" s="17"/>
      <c r="D3037" s="140"/>
      <c r="E3037" s="17"/>
      <c r="F3037" s="202"/>
      <c r="G3037" s="142"/>
      <c r="H3037" s="142"/>
      <c r="I3037" s="143"/>
      <c r="J3037" s="144"/>
      <c r="K3037" s="17"/>
      <c r="L3037" s="17"/>
      <c r="M3037" s="17"/>
      <c r="N3037" s="68"/>
      <c r="O3037" s="68"/>
      <c r="P3037" s="68"/>
      <c r="Q3037" s="149"/>
      <c r="R3037" s="149"/>
      <c r="S3037" s="149"/>
      <c r="T3037" s="149"/>
      <c r="U3037" s="149"/>
      <c r="V3037" s="149"/>
      <c r="W3037" s="149"/>
      <c r="X3037" s="68"/>
      <c r="Y3037" s="68"/>
      <c r="Z3037" s="68"/>
    </row>
    <row r="3038" ht="15.0" customHeight="1">
      <c r="A3038" s="421"/>
      <c r="B3038" s="201"/>
      <c r="C3038" s="17"/>
      <c r="D3038" s="140"/>
      <c r="E3038" s="17"/>
      <c r="F3038" s="202"/>
      <c r="G3038" s="142"/>
      <c r="H3038" s="142"/>
      <c r="I3038" s="143"/>
      <c r="J3038" s="144"/>
      <c r="K3038" s="17"/>
      <c r="L3038" s="17"/>
      <c r="M3038" s="17"/>
      <c r="N3038" s="68"/>
      <c r="O3038" s="68"/>
      <c r="P3038" s="68"/>
      <c r="Q3038" s="149"/>
      <c r="R3038" s="149"/>
      <c r="S3038" s="149"/>
      <c r="T3038" s="149"/>
      <c r="U3038" s="149"/>
      <c r="V3038" s="149"/>
      <c r="W3038" s="149"/>
      <c r="X3038" s="68"/>
      <c r="Y3038" s="68"/>
      <c r="Z3038" s="68"/>
    </row>
    <row r="3039" ht="15.0" customHeight="1">
      <c r="A3039" s="421"/>
      <c r="B3039" s="201"/>
      <c r="C3039" s="17"/>
      <c r="D3039" s="140"/>
      <c r="E3039" s="17"/>
      <c r="F3039" s="202"/>
      <c r="G3039" s="142"/>
      <c r="H3039" s="142"/>
      <c r="I3039" s="143"/>
      <c r="J3039" s="144"/>
      <c r="K3039" s="17"/>
      <c r="L3039" s="17"/>
      <c r="M3039" s="17"/>
      <c r="N3039" s="68"/>
      <c r="O3039" s="68"/>
      <c r="P3039" s="68"/>
      <c r="Q3039" s="149"/>
      <c r="R3039" s="149"/>
      <c r="S3039" s="149"/>
      <c r="T3039" s="149"/>
      <c r="U3039" s="149"/>
      <c r="V3039" s="149"/>
      <c r="W3039" s="149"/>
      <c r="X3039" s="68"/>
      <c r="Y3039" s="68"/>
      <c r="Z3039" s="68"/>
    </row>
    <row r="3040" ht="15.0" customHeight="1">
      <c r="A3040" s="421"/>
      <c r="B3040" s="201"/>
      <c r="C3040" s="17"/>
      <c r="D3040" s="140"/>
      <c r="E3040" s="17"/>
      <c r="F3040" s="202"/>
      <c r="G3040" s="142"/>
      <c r="H3040" s="142"/>
      <c r="I3040" s="143"/>
      <c r="J3040" s="144"/>
      <c r="K3040" s="17"/>
      <c r="L3040" s="17"/>
      <c r="M3040" s="17"/>
      <c r="N3040" s="68"/>
      <c r="O3040" s="68"/>
      <c r="P3040" s="68"/>
      <c r="Q3040" s="149"/>
      <c r="R3040" s="149"/>
      <c r="S3040" s="149"/>
      <c r="T3040" s="149"/>
      <c r="U3040" s="149"/>
      <c r="V3040" s="149"/>
      <c r="W3040" s="149"/>
      <c r="X3040" s="68"/>
      <c r="Y3040" s="68"/>
      <c r="Z3040" s="68"/>
    </row>
    <row r="3041" ht="15.0" customHeight="1">
      <c r="A3041" s="421"/>
      <c r="B3041" s="201"/>
      <c r="C3041" s="17"/>
      <c r="D3041" s="140"/>
      <c r="E3041" s="17"/>
      <c r="F3041" s="202"/>
      <c r="G3041" s="142"/>
      <c r="H3041" s="142"/>
      <c r="I3041" s="143"/>
      <c r="J3041" s="144"/>
      <c r="K3041" s="17"/>
      <c r="L3041" s="17"/>
      <c r="M3041" s="17"/>
      <c r="N3041" s="68"/>
      <c r="O3041" s="68"/>
      <c r="P3041" s="68"/>
      <c r="Q3041" s="149"/>
      <c r="R3041" s="149"/>
      <c r="S3041" s="149"/>
      <c r="T3041" s="149"/>
      <c r="U3041" s="149"/>
      <c r="V3041" s="149"/>
      <c r="W3041" s="149"/>
      <c r="X3041" s="68"/>
      <c r="Y3041" s="68"/>
      <c r="Z3041" s="68"/>
    </row>
    <row r="3042" ht="15.0" customHeight="1">
      <c r="A3042" s="421"/>
      <c r="B3042" s="201"/>
      <c r="C3042" s="17"/>
      <c r="D3042" s="140"/>
      <c r="E3042" s="17"/>
      <c r="F3042" s="202"/>
      <c r="G3042" s="142"/>
      <c r="H3042" s="142"/>
      <c r="I3042" s="143"/>
      <c r="J3042" s="144"/>
      <c r="K3042" s="17"/>
      <c r="L3042" s="17"/>
      <c r="M3042" s="17"/>
      <c r="N3042" s="68"/>
      <c r="O3042" s="68"/>
      <c r="P3042" s="68"/>
      <c r="Q3042" s="149"/>
      <c r="R3042" s="149"/>
      <c r="S3042" s="149"/>
      <c r="T3042" s="149"/>
      <c r="U3042" s="149"/>
      <c r="V3042" s="149"/>
      <c r="W3042" s="149"/>
      <c r="X3042" s="68"/>
      <c r="Y3042" s="68"/>
      <c r="Z3042" s="68"/>
    </row>
    <row r="3043" ht="15.0" customHeight="1">
      <c r="A3043" s="421"/>
      <c r="B3043" s="201"/>
      <c r="C3043" s="17"/>
      <c r="D3043" s="140"/>
      <c r="E3043" s="17"/>
      <c r="F3043" s="202"/>
      <c r="G3043" s="142"/>
      <c r="H3043" s="142"/>
      <c r="I3043" s="143"/>
      <c r="J3043" s="144"/>
      <c r="K3043" s="17"/>
      <c r="L3043" s="17"/>
      <c r="M3043" s="17"/>
      <c r="N3043" s="68"/>
      <c r="O3043" s="68"/>
      <c r="P3043" s="68"/>
      <c r="Q3043" s="149"/>
      <c r="R3043" s="149"/>
      <c r="S3043" s="149"/>
      <c r="T3043" s="149"/>
      <c r="U3043" s="149"/>
      <c r="V3043" s="149"/>
      <c r="W3043" s="149"/>
      <c r="X3043" s="68"/>
      <c r="Y3043" s="68"/>
      <c r="Z3043" s="68"/>
    </row>
    <row r="3044" ht="15.0" customHeight="1">
      <c r="A3044" s="421"/>
      <c r="B3044" s="201"/>
      <c r="C3044" s="17"/>
      <c r="D3044" s="140"/>
      <c r="E3044" s="17"/>
      <c r="F3044" s="202"/>
      <c r="G3044" s="142"/>
      <c r="H3044" s="142"/>
      <c r="I3044" s="143"/>
      <c r="J3044" s="144"/>
      <c r="K3044" s="17"/>
      <c r="L3044" s="17"/>
      <c r="M3044" s="17"/>
      <c r="N3044" s="68"/>
      <c r="O3044" s="68"/>
      <c r="P3044" s="68"/>
      <c r="Q3044" s="149"/>
      <c r="R3044" s="149"/>
      <c r="S3044" s="149"/>
      <c r="T3044" s="149"/>
      <c r="U3044" s="149"/>
      <c r="V3044" s="149"/>
      <c r="W3044" s="149"/>
      <c r="X3044" s="68"/>
      <c r="Y3044" s="68"/>
      <c r="Z3044" s="68"/>
    </row>
    <row r="3045" ht="15.0" customHeight="1">
      <c r="A3045" s="421"/>
      <c r="B3045" s="201"/>
      <c r="C3045" s="17"/>
      <c r="D3045" s="140"/>
      <c r="E3045" s="17"/>
      <c r="F3045" s="202"/>
      <c r="G3045" s="142"/>
      <c r="H3045" s="142"/>
      <c r="I3045" s="143"/>
      <c r="J3045" s="144"/>
      <c r="K3045" s="17"/>
      <c r="L3045" s="17"/>
      <c r="M3045" s="17"/>
      <c r="N3045" s="68"/>
      <c r="O3045" s="68"/>
      <c r="P3045" s="68"/>
      <c r="Q3045" s="149"/>
      <c r="R3045" s="149"/>
      <c r="S3045" s="149"/>
      <c r="T3045" s="149"/>
      <c r="U3045" s="149"/>
      <c r="V3045" s="149"/>
      <c r="W3045" s="149"/>
      <c r="X3045" s="68"/>
      <c r="Y3045" s="68"/>
      <c r="Z3045" s="68"/>
    </row>
    <row r="3046" ht="15.0" customHeight="1">
      <c r="A3046" s="421"/>
      <c r="B3046" s="201"/>
      <c r="C3046" s="17"/>
      <c r="D3046" s="140"/>
      <c r="E3046" s="17"/>
      <c r="F3046" s="202"/>
      <c r="G3046" s="142"/>
      <c r="H3046" s="142"/>
      <c r="I3046" s="143"/>
      <c r="J3046" s="144"/>
      <c r="K3046" s="17"/>
      <c r="L3046" s="17"/>
      <c r="M3046" s="17"/>
      <c r="N3046" s="68"/>
      <c r="O3046" s="68"/>
      <c r="P3046" s="68"/>
      <c r="Q3046" s="149"/>
      <c r="R3046" s="149"/>
      <c r="S3046" s="149"/>
      <c r="T3046" s="149"/>
      <c r="U3046" s="149"/>
      <c r="V3046" s="149"/>
      <c r="W3046" s="149"/>
      <c r="X3046" s="68"/>
      <c r="Y3046" s="68"/>
      <c r="Z3046" s="68"/>
    </row>
    <row r="3047" ht="15.0" customHeight="1">
      <c r="A3047" s="421"/>
      <c r="B3047" s="201"/>
      <c r="C3047" s="17"/>
      <c r="D3047" s="140"/>
      <c r="E3047" s="17"/>
      <c r="F3047" s="202"/>
      <c r="G3047" s="142"/>
      <c r="H3047" s="142"/>
      <c r="I3047" s="143"/>
      <c r="J3047" s="144"/>
      <c r="K3047" s="17"/>
      <c r="L3047" s="17"/>
      <c r="M3047" s="17"/>
      <c r="N3047" s="68"/>
      <c r="O3047" s="68"/>
      <c r="P3047" s="68"/>
      <c r="Q3047" s="149"/>
      <c r="R3047" s="149"/>
      <c r="S3047" s="149"/>
      <c r="T3047" s="149"/>
      <c r="U3047" s="149"/>
      <c r="V3047" s="149"/>
      <c r="W3047" s="149"/>
      <c r="X3047" s="68"/>
      <c r="Y3047" s="68"/>
      <c r="Z3047" s="68"/>
    </row>
    <row r="3048" ht="15.0" customHeight="1">
      <c r="A3048" s="421"/>
      <c r="B3048" s="201"/>
      <c r="C3048" s="17"/>
      <c r="D3048" s="140"/>
      <c r="E3048" s="17"/>
      <c r="F3048" s="202"/>
      <c r="G3048" s="142"/>
      <c r="H3048" s="142"/>
      <c r="I3048" s="143"/>
      <c r="J3048" s="144"/>
      <c r="K3048" s="17"/>
      <c r="L3048" s="17"/>
      <c r="M3048" s="17"/>
      <c r="N3048" s="68"/>
      <c r="O3048" s="68"/>
      <c r="P3048" s="68"/>
      <c r="Q3048" s="149"/>
      <c r="R3048" s="149"/>
      <c r="S3048" s="149"/>
      <c r="T3048" s="149"/>
      <c r="U3048" s="149"/>
      <c r="V3048" s="149"/>
      <c r="W3048" s="149"/>
      <c r="X3048" s="68"/>
      <c r="Y3048" s="68"/>
      <c r="Z3048" s="68"/>
    </row>
    <row r="3049" ht="15.0" customHeight="1">
      <c r="A3049" s="421"/>
      <c r="B3049" s="201"/>
      <c r="C3049" s="17"/>
      <c r="D3049" s="140"/>
      <c r="E3049" s="17"/>
      <c r="F3049" s="202"/>
      <c r="G3049" s="142"/>
      <c r="H3049" s="142"/>
      <c r="I3049" s="143"/>
      <c r="J3049" s="144"/>
      <c r="K3049" s="17"/>
      <c r="L3049" s="17"/>
      <c r="M3049" s="17"/>
      <c r="N3049" s="68"/>
      <c r="O3049" s="68"/>
      <c r="P3049" s="68"/>
      <c r="Q3049" s="149"/>
      <c r="R3049" s="149"/>
      <c r="S3049" s="149"/>
      <c r="T3049" s="149"/>
      <c r="U3049" s="149"/>
      <c r="V3049" s="149"/>
      <c r="W3049" s="149"/>
      <c r="X3049" s="68"/>
      <c r="Y3049" s="68"/>
      <c r="Z3049" s="68"/>
    </row>
    <row r="3050" ht="15.0" customHeight="1">
      <c r="A3050" s="421"/>
      <c r="B3050" s="201"/>
      <c r="C3050" s="17"/>
      <c r="D3050" s="140"/>
      <c r="E3050" s="17"/>
      <c r="F3050" s="202"/>
      <c r="G3050" s="142"/>
      <c r="H3050" s="142"/>
      <c r="I3050" s="143"/>
      <c r="J3050" s="144"/>
      <c r="K3050" s="17"/>
      <c r="L3050" s="17"/>
      <c r="M3050" s="17"/>
      <c r="N3050" s="68"/>
      <c r="O3050" s="68"/>
      <c r="P3050" s="68"/>
      <c r="Q3050" s="149"/>
      <c r="R3050" s="149"/>
      <c r="S3050" s="149"/>
      <c r="T3050" s="149"/>
      <c r="U3050" s="149"/>
      <c r="V3050" s="149"/>
      <c r="W3050" s="149"/>
      <c r="X3050" s="68"/>
      <c r="Y3050" s="68"/>
      <c r="Z3050" s="68"/>
    </row>
    <row r="3051" ht="15.0" customHeight="1">
      <c r="A3051" s="421"/>
      <c r="B3051" s="201"/>
      <c r="C3051" s="17"/>
      <c r="D3051" s="140"/>
      <c r="E3051" s="17"/>
      <c r="F3051" s="202"/>
      <c r="G3051" s="142"/>
      <c r="H3051" s="142"/>
      <c r="I3051" s="143"/>
      <c r="J3051" s="144"/>
      <c r="K3051" s="17"/>
      <c r="L3051" s="17"/>
      <c r="M3051" s="17"/>
      <c r="N3051" s="68"/>
      <c r="O3051" s="68"/>
      <c r="P3051" s="68"/>
      <c r="Q3051" s="149"/>
      <c r="R3051" s="149"/>
      <c r="S3051" s="149"/>
      <c r="T3051" s="149"/>
      <c r="U3051" s="149"/>
      <c r="V3051" s="149"/>
      <c r="W3051" s="149"/>
      <c r="X3051" s="68"/>
      <c r="Y3051" s="68"/>
      <c r="Z3051" s="68"/>
    </row>
    <row r="3052" ht="15.0" customHeight="1">
      <c r="A3052" s="421"/>
      <c r="B3052" s="201"/>
      <c r="C3052" s="17"/>
      <c r="D3052" s="140"/>
      <c r="E3052" s="17"/>
      <c r="F3052" s="202"/>
      <c r="G3052" s="142"/>
      <c r="H3052" s="142"/>
      <c r="I3052" s="143"/>
      <c r="J3052" s="144"/>
      <c r="K3052" s="17"/>
      <c r="L3052" s="17"/>
      <c r="M3052" s="17"/>
      <c r="N3052" s="68"/>
      <c r="O3052" s="68"/>
      <c r="P3052" s="68"/>
      <c r="Q3052" s="149"/>
      <c r="R3052" s="149"/>
      <c r="S3052" s="149"/>
      <c r="T3052" s="149"/>
      <c r="U3052" s="149"/>
      <c r="V3052" s="149"/>
      <c r="W3052" s="149"/>
      <c r="X3052" s="68"/>
      <c r="Y3052" s="68"/>
      <c r="Z3052" s="68"/>
    </row>
    <row r="3053" ht="15.0" customHeight="1">
      <c r="A3053" s="421"/>
      <c r="B3053" s="201"/>
      <c r="C3053" s="17"/>
      <c r="D3053" s="140"/>
      <c r="E3053" s="17"/>
      <c r="F3053" s="202"/>
      <c r="G3053" s="142"/>
      <c r="H3053" s="142"/>
      <c r="I3053" s="143"/>
      <c r="J3053" s="144"/>
      <c r="K3053" s="17"/>
      <c r="L3053" s="17"/>
      <c r="M3053" s="17"/>
      <c r="N3053" s="68"/>
      <c r="O3053" s="68"/>
      <c r="P3053" s="68"/>
      <c r="Q3053" s="149"/>
      <c r="R3053" s="149"/>
      <c r="S3053" s="149"/>
      <c r="T3053" s="149"/>
      <c r="U3053" s="149"/>
      <c r="V3053" s="149"/>
      <c r="W3053" s="149"/>
      <c r="X3053" s="68"/>
      <c r="Y3053" s="68"/>
      <c r="Z3053" s="68"/>
    </row>
    <row r="3054" ht="15.0" customHeight="1">
      <c r="A3054" s="421"/>
      <c r="B3054" s="201"/>
      <c r="C3054" s="17"/>
      <c r="D3054" s="140"/>
      <c r="E3054" s="17"/>
      <c r="F3054" s="202"/>
      <c r="G3054" s="142"/>
      <c r="H3054" s="142"/>
      <c r="I3054" s="143"/>
      <c r="J3054" s="144"/>
      <c r="K3054" s="17"/>
      <c r="L3054" s="17"/>
      <c r="M3054" s="17"/>
      <c r="N3054" s="68"/>
      <c r="O3054" s="68"/>
      <c r="P3054" s="68"/>
      <c r="Q3054" s="149"/>
      <c r="R3054" s="149"/>
      <c r="S3054" s="149"/>
      <c r="T3054" s="149"/>
      <c r="U3054" s="149"/>
      <c r="V3054" s="149"/>
      <c r="W3054" s="149"/>
      <c r="X3054" s="68"/>
      <c r="Y3054" s="68"/>
      <c r="Z3054" s="68"/>
    </row>
    <row r="3055" ht="15.0" customHeight="1">
      <c r="A3055" s="421"/>
      <c r="B3055" s="201"/>
      <c r="C3055" s="17"/>
      <c r="D3055" s="140"/>
      <c r="E3055" s="17"/>
      <c r="F3055" s="202"/>
      <c r="G3055" s="142"/>
      <c r="H3055" s="142"/>
      <c r="I3055" s="143"/>
      <c r="J3055" s="144"/>
      <c r="K3055" s="17"/>
      <c r="L3055" s="17"/>
      <c r="M3055" s="17"/>
      <c r="N3055" s="68"/>
      <c r="O3055" s="68"/>
      <c r="P3055" s="68"/>
      <c r="Q3055" s="149"/>
      <c r="R3055" s="149"/>
      <c r="S3055" s="149"/>
      <c r="T3055" s="149"/>
      <c r="U3055" s="149"/>
      <c r="V3055" s="149"/>
      <c r="W3055" s="149"/>
      <c r="X3055" s="68"/>
      <c r="Y3055" s="68"/>
      <c r="Z3055" s="68"/>
    </row>
    <row r="3056" ht="15.0" customHeight="1">
      <c r="A3056" s="421"/>
      <c r="B3056" s="201"/>
      <c r="C3056" s="17"/>
      <c r="D3056" s="140"/>
      <c r="E3056" s="17"/>
      <c r="F3056" s="202"/>
      <c r="G3056" s="142"/>
      <c r="H3056" s="142"/>
      <c r="I3056" s="143"/>
      <c r="J3056" s="144"/>
      <c r="K3056" s="17"/>
      <c r="L3056" s="17"/>
      <c r="M3056" s="17"/>
      <c r="N3056" s="68"/>
      <c r="O3056" s="68"/>
      <c r="P3056" s="68"/>
      <c r="Q3056" s="149"/>
      <c r="R3056" s="149"/>
      <c r="S3056" s="149"/>
      <c r="T3056" s="149"/>
      <c r="U3056" s="149"/>
      <c r="V3056" s="149"/>
      <c r="W3056" s="149"/>
      <c r="X3056" s="68"/>
      <c r="Y3056" s="68"/>
      <c r="Z3056" s="68"/>
    </row>
    <row r="3057" ht="15.0" customHeight="1">
      <c r="A3057" s="421"/>
      <c r="B3057" s="201"/>
      <c r="C3057" s="17"/>
      <c r="D3057" s="140"/>
      <c r="E3057" s="17"/>
      <c r="F3057" s="202"/>
      <c r="G3057" s="142"/>
      <c r="H3057" s="142"/>
      <c r="I3057" s="143"/>
      <c r="J3057" s="144"/>
      <c r="K3057" s="17"/>
      <c r="L3057" s="17"/>
      <c r="M3057" s="17"/>
      <c r="N3057" s="68"/>
      <c r="O3057" s="68"/>
      <c r="P3057" s="68"/>
      <c r="Q3057" s="149"/>
      <c r="R3057" s="149"/>
      <c r="S3057" s="149"/>
      <c r="T3057" s="149"/>
      <c r="U3057" s="149"/>
      <c r="V3057" s="149"/>
      <c r="W3057" s="149"/>
      <c r="X3057" s="68"/>
      <c r="Y3057" s="68"/>
      <c r="Z3057" s="68"/>
    </row>
    <row r="3058" ht="15.0" customHeight="1">
      <c r="A3058" s="421"/>
      <c r="B3058" s="201"/>
      <c r="C3058" s="17"/>
      <c r="D3058" s="140"/>
      <c r="E3058" s="17"/>
      <c r="F3058" s="202"/>
      <c r="G3058" s="142"/>
      <c r="H3058" s="142"/>
      <c r="I3058" s="143"/>
      <c r="J3058" s="144"/>
      <c r="K3058" s="17"/>
      <c r="L3058" s="17"/>
      <c r="M3058" s="17"/>
      <c r="N3058" s="68"/>
      <c r="O3058" s="68"/>
      <c r="P3058" s="68"/>
      <c r="Q3058" s="149"/>
      <c r="R3058" s="149"/>
      <c r="S3058" s="149"/>
      <c r="T3058" s="149"/>
      <c r="U3058" s="149"/>
      <c r="V3058" s="149"/>
      <c r="W3058" s="149"/>
      <c r="X3058" s="68"/>
      <c r="Y3058" s="68"/>
      <c r="Z3058" s="68"/>
    </row>
    <row r="3059" ht="15.0" customHeight="1">
      <c r="A3059" s="421"/>
      <c r="B3059" s="201"/>
      <c r="C3059" s="17"/>
      <c r="D3059" s="140"/>
      <c r="E3059" s="17"/>
      <c r="F3059" s="202"/>
      <c r="G3059" s="142"/>
      <c r="H3059" s="142"/>
      <c r="I3059" s="143"/>
      <c r="J3059" s="144"/>
      <c r="K3059" s="17"/>
      <c r="L3059" s="17"/>
      <c r="M3059" s="17"/>
      <c r="N3059" s="68"/>
      <c r="O3059" s="68"/>
      <c r="P3059" s="68"/>
      <c r="Q3059" s="149"/>
      <c r="R3059" s="149"/>
      <c r="S3059" s="149"/>
      <c r="T3059" s="149"/>
      <c r="U3059" s="149"/>
      <c r="V3059" s="149"/>
      <c r="W3059" s="149"/>
      <c r="X3059" s="68"/>
      <c r="Y3059" s="68"/>
      <c r="Z3059" s="68"/>
    </row>
    <row r="3060" ht="15.0" customHeight="1">
      <c r="A3060" s="421"/>
      <c r="B3060" s="201"/>
      <c r="C3060" s="17"/>
      <c r="D3060" s="140"/>
      <c r="E3060" s="17"/>
      <c r="F3060" s="202"/>
      <c r="G3060" s="142"/>
      <c r="H3060" s="142"/>
      <c r="I3060" s="143"/>
      <c r="J3060" s="144"/>
      <c r="K3060" s="17"/>
      <c r="L3060" s="17"/>
      <c r="M3060" s="17"/>
      <c r="N3060" s="68"/>
      <c r="O3060" s="68"/>
      <c r="P3060" s="68"/>
      <c r="Q3060" s="149"/>
      <c r="R3060" s="149"/>
      <c r="S3060" s="149"/>
      <c r="T3060" s="149"/>
      <c r="U3060" s="149"/>
      <c r="V3060" s="149"/>
      <c r="W3060" s="149"/>
      <c r="X3060" s="68"/>
      <c r="Y3060" s="68"/>
      <c r="Z3060" s="68"/>
    </row>
    <row r="3061" ht="15.0" customHeight="1">
      <c r="A3061" s="421"/>
      <c r="B3061" s="201"/>
      <c r="C3061" s="17"/>
      <c r="D3061" s="140"/>
      <c r="E3061" s="17"/>
      <c r="F3061" s="202"/>
      <c r="G3061" s="142"/>
      <c r="H3061" s="142"/>
      <c r="I3061" s="143"/>
      <c r="J3061" s="144"/>
      <c r="K3061" s="17"/>
      <c r="L3061" s="17"/>
      <c r="M3061" s="17"/>
      <c r="N3061" s="68"/>
      <c r="O3061" s="68"/>
      <c r="P3061" s="68"/>
      <c r="Q3061" s="149"/>
      <c r="R3061" s="149"/>
      <c r="S3061" s="149"/>
      <c r="T3061" s="149"/>
      <c r="U3061" s="149"/>
      <c r="V3061" s="149"/>
      <c r="W3061" s="149"/>
      <c r="X3061" s="68"/>
      <c r="Y3061" s="68"/>
      <c r="Z3061" s="68"/>
    </row>
    <row r="3062" ht="15.0" customHeight="1">
      <c r="A3062" s="421"/>
      <c r="B3062" s="201"/>
      <c r="C3062" s="17"/>
      <c r="D3062" s="140"/>
      <c r="E3062" s="17"/>
      <c r="F3062" s="202"/>
      <c r="G3062" s="142"/>
      <c r="H3062" s="142"/>
      <c r="I3062" s="143"/>
      <c r="J3062" s="144"/>
      <c r="K3062" s="17"/>
      <c r="L3062" s="17"/>
      <c r="M3062" s="17"/>
      <c r="N3062" s="68"/>
      <c r="O3062" s="68"/>
      <c r="P3062" s="68"/>
      <c r="Q3062" s="149"/>
      <c r="R3062" s="149"/>
      <c r="S3062" s="149"/>
      <c r="T3062" s="149"/>
      <c r="U3062" s="149"/>
      <c r="V3062" s="149"/>
      <c r="W3062" s="149"/>
      <c r="X3062" s="68"/>
      <c r="Y3062" s="68"/>
      <c r="Z3062" s="68"/>
    </row>
    <row r="3063" ht="15.0" customHeight="1">
      <c r="A3063" s="421"/>
      <c r="B3063" s="201"/>
      <c r="C3063" s="17"/>
      <c r="D3063" s="140"/>
      <c r="E3063" s="17"/>
      <c r="F3063" s="202"/>
      <c r="G3063" s="142"/>
      <c r="H3063" s="142"/>
      <c r="I3063" s="143"/>
      <c r="J3063" s="144"/>
      <c r="K3063" s="17"/>
      <c r="L3063" s="17"/>
      <c r="M3063" s="17"/>
      <c r="N3063" s="68"/>
      <c r="O3063" s="68"/>
      <c r="P3063" s="68"/>
      <c r="Q3063" s="149"/>
      <c r="R3063" s="149"/>
      <c r="S3063" s="149"/>
      <c r="T3063" s="149"/>
      <c r="U3063" s="149"/>
      <c r="V3063" s="149"/>
      <c r="W3063" s="149"/>
      <c r="X3063" s="68"/>
      <c r="Y3063" s="68"/>
      <c r="Z3063" s="68"/>
    </row>
    <row r="3064" ht="15.0" customHeight="1">
      <c r="A3064" s="421"/>
      <c r="B3064" s="201"/>
      <c r="C3064" s="17"/>
      <c r="D3064" s="140"/>
      <c r="E3064" s="17"/>
      <c r="F3064" s="202"/>
      <c r="G3064" s="142"/>
      <c r="H3064" s="142"/>
      <c r="I3064" s="143"/>
      <c r="J3064" s="144"/>
      <c r="K3064" s="17"/>
      <c r="L3064" s="17"/>
      <c r="M3064" s="17"/>
      <c r="N3064" s="68"/>
      <c r="O3064" s="68"/>
      <c r="P3064" s="68"/>
      <c r="Q3064" s="149"/>
      <c r="R3064" s="149"/>
      <c r="S3064" s="149"/>
      <c r="T3064" s="149"/>
      <c r="U3064" s="149"/>
      <c r="V3064" s="149"/>
      <c r="W3064" s="149"/>
      <c r="X3064" s="68"/>
      <c r="Y3064" s="68"/>
      <c r="Z3064" s="68"/>
    </row>
    <row r="3065" ht="15.0" customHeight="1">
      <c r="A3065" s="421"/>
      <c r="B3065" s="201"/>
      <c r="C3065" s="17"/>
      <c r="D3065" s="140"/>
      <c r="E3065" s="17"/>
      <c r="F3065" s="202"/>
      <c r="G3065" s="142"/>
      <c r="H3065" s="142"/>
      <c r="I3065" s="143"/>
      <c r="J3065" s="144"/>
      <c r="K3065" s="17"/>
      <c r="L3065" s="17"/>
      <c r="M3065" s="17"/>
      <c r="N3065" s="68"/>
      <c r="O3065" s="68"/>
      <c r="P3065" s="68"/>
      <c r="Q3065" s="149"/>
      <c r="R3065" s="149"/>
      <c r="S3065" s="149"/>
      <c r="T3065" s="149"/>
      <c r="U3065" s="149"/>
      <c r="V3065" s="149"/>
      <c r="W3065" s="149"/>
      <c r="X3065" s="68"/>
      <c r="Y3065" s="68"/>
      <c r="Z3065" s="68"/>
    </row>
    <row r="3066" ht="15.0" customHeight="1">
      <c r="A3066" s="421"/>
      <c r="B3066" s="201"/>
      <c r="C3066" s="17"/>
      <c r="D3066" s="140"/>
      <c r="E3066" s="17"/>
      <c r="F3066" s="202"/>
      <c r="G3066" s="142"/>
      <c r="H3066" s="142"/>
      <c r="I3066" s="143"/>
      <c r="J3066" s="144"/>
      <c r="K3066" s="17"/>
      <c r="L3066" s="17"/>
      <c r="M3066" s="17"/>
      <c r="N3066" s="68"/>
      <c r="O3066" s="68"/>
      <c r="P3066" s="68"/>
      <c r="Q3066" s="149"/>
      <c r="R3066" s="149"/>
      <c r="S3066" s="149"/>
      <c r="T3066" s="149"/>
      <c r="U3066" s="149"/>
      <c r="V3066" s="149"/>
      <c r="W3066" s="149"/>
      <c r="X3066" s="68"/>
      <c r="Y3066" s="68"/>
      <c r="Z3066" s="68"/>
    </row>
    <row r="3067" ht="15.0" customHeight="1">
      <c r="A3067" s="421"/>
      <c r="B3067" s="201"/>
      <c r="C3067" s="17"/>
      <c r="D3067" s="140"/>
      <c r="E3067" s="17"/>
      <c r="F3067" s="202"/>
      <c r="G3067" s="142"/>
      <c r="H3067" s="142"/>
      <c r="I3067" s="143"/>
      <c r="J3067" s="144"/>
      <c r="K3067" s="17"/>
      <c r="L3067" s="17"/>
      <c r="M3067" s="17"/>
      <c r="N3067" s="68"/>
      <c r="O3067" s="68"/>
      <c r="P3067" s="68"/>
      <c r="Q3067" s="149"/>
      <c r="R3067" s="149"/>
      <c r="S3067" s="149"/>
      <c r="T3067" s="149"/>
      <c r="U3067" s="149"/>
      <c r="V3067" s="149"/>
      <c r="W3067" s="149"/>
      <c r="X3067" s="68"/>
      <c r="Y3067" s="68"/>
      <c r="Z3067" s="68"/>
    </row>
    <row r="3068" ht="15.0" customHeight="1">
      <c r="A3068" s="421"/>
      <c r="B3068" s="201"/>
      <c r="C3068" s="17"/>
      <c r="D3068" s="140"/>
      <c r="E3068" s="17"/>
      <c r="F3068" s="202"/>
      <c r="G3068" s="142"/>
      <c r="H3068" s="142"/>
      <c r="I3068" s="143"/>
      <c r="J3068" s="144"/>
      <c r="K3068" s="17"/>
      <c r="L3068" s="17"/>
      <c r="M3068" s="17"/>
      <c r="N3068" s="68"/>
      <c r="O3068" s="68"/>
      <c r="P3068" s="68"/>
      <c r="Q3068" s="149"/>
      <c r="R3068" s="149"/>
      <c r="S3068" s="149"/>
      <c r="T3068" s="149"/>
      <c r="U3068" s="149"/>
      <c r="V3068" s="149"/>
      <c r="W3068" s="149"/>
      <c r="X3068" s="68"/>
      <c r="Y3068" s="68"/>
      <c r="Z3068" s="68"/>
    </row>
    <row r="3069" ht="15.0" customHeight="1">
      <c r="A3069" s="421"/>
      <c r="B3069" s="201"/>
      <c r="C3069" s="17"/>
      <c r="D3069" s="140"/>
      <c r="E3069" s="17"/>
      <c r="F3069" s="202"/>
      <c r="G3069" s="142"/>
      <c r="H3069" s="142"/>
      <c r="I3069" s="143"/>
      <c r="J3069" s="144"/>
      <c r="K3069" s="17"/>
      <c r="L3069" s="17"/>
      <c r="M3069" s="17"/>
      <c r="N3069" s="68"/>
      <c r="O3069" s="68"/>
      <c r="P3069" s="68"/>
      <c r="Q3069" s="149"/>
      <c r="R3069" s="149"/>
      <c r="S3069" s="149"/>
      <c r="T3069" s="149"/>
      <c r="U3069" s="149"/>
      <c r="V3069" s="149"/>
      <c r="W3069" s="149"/>
      <c r="X3069" s="68"/>
      <c r="Y3069" s="68"/>
      <c r="Z3069" s="68"/>
    </row>
    <row r="3070" ht="15.0" customHeight="1">
      <c r="A3070" s="421"/>
      <c r="B3070" s="201"/>
      <c r="C3070" s="17"/>
      <c r="D3070" s="140"/>
      <c r="E3070" s="17"/>
      <c r="F3070" s="202"/>
      <c r="G3070" s="142"/>
      <c r="H3070" s="142"/>
      <c r="I3070" s="143"/>
      <c r="J3070" s="144"/>
      <c r="K3070" s="17"/>
      <c r="L3070" s="17"/>
      <c r="M3070" s="17"/>
      <c r="N3070" s="68"/>
      <c r="O3070" s="68"/>
      <c r="P3070" s="68"/>
      <c r="Q3070" s="149"/>
      <c r="R3070" s="149"/>
      <c r="S3070" s="149"/>
      <c r="T3070" s="149"/>
      <c r="U3070" s="149"/>
      <c r="V3070" s="149"/>
      <c r="W3070" s="149"/>
      <c r="X3070" s="68"/>
      <c r="Y3070" s="68"/>
      <c r="Z3070" s="68"/>
    </row>
    <row r="3071" ht="15.0" customHeight="1">
      <c r="A3071" s="421"/>
      <c r="B3071" s="201"/>
      <c r="C3071" s="17"/>
      <c r="D3071" s="140"/>
      <c r="E3071" s="17"/>
      <c r="F3071" s="202"/>
      <c r="G3071" s="142"/>
      <c r="H3071" s="142"/>
      <c r="I3071" s="143"/>
      <c r="J3071" s="144"/>
      <c r="K3071" s="17"/>
      <c r="L3071" s="17"/>
      <c r="M3071" s="17"/>
      <c r="N3071" s="68"/>
      <c r="O3071" s="68"/>
      <c r="P3071" s="68"/>
      <c r="Q3071" s="149"/>
      <c r="R3071" s="149"/>
      <c r="S3071" s="149"/>
      <c r="T3071" s="149"/>
      <c r="U3071" s="149"/>
      <c r="V3071" s="149"/>
      <c r="W3071" s="149"/>
      <c r="X3071" s="68"/>
      <c r="Y3071" s="68"/>
      <c r="Z3071" s="68"/>
    </row>
    <row r="3072" ht="15.0" customHeight="1">
      <c r="A3072" s="421"/>
      <c r="B3072" s="201"/>
      <c r="C3072" s="17"/>
      <c r="D3072" s="140"/>
      <c r="E3072" s="17"/>
      <c r="F3072" s="202"/>
      <c r="G3072" s="142"/>
      <c r="H3072" s="142"/>
      <c r="I3072" s="143"/>
      <c r="J3072" s="144"/>
      <c r="K3072" s="17"/>
      <c r="L3072" s="17"/>
      <c r="M3072" s="17"/>
      <c r="N3072" s="68"/>
      <c r="O3072" s="68"/>
      <c r="P3072" s="68"/>
      <c r="Q3072" s="149"/>
      <c r="R3072" s="149"/>
      <c r="S3072" s="149"/>
      <c r="T3072" s="149"/>
      <c r="U3072" s="149"/>
      <c r="V3072" s="149"/>
      <c r="W3072" s="149"/>
      <c r="X3072" s="68"/>
      <c r="Y3072" s="68"/>
      <c r="Z3072" s="68"/>
    </row>
    <row r="3073" ht="15.0" customHeight="1">
      <c r="A3073" s="421"/>
      <c r="B3073" s="201"/>
      <c r="C3073" s="17"/>
      <c r="D3073" s="140"/>
      <c r="E3073" s="17"/>
      <c r="F3073" s="202"/>
      <c r="G3073" s="142"/>
      <c r="H3073" s="142"/>
      <c r="I3073" s="143"/>
      <c r="J3073" s="144"/>
      <c r="K3073" s="17"/>
      <c r="L3073" s="17"/>
      <c r="M3073" s="17"/>
      <c r="N3073" s="68"/>
      <c r="O3073" s="68"/>
      <c r="P3073" s="68"/>
      <c r="Q3073" s="149"/>
      <c r="R3073" s="149"/>
      <c r="S3073" s="149"/>
      <c r="T3073" s="149"/>
      <c r="U3073" s="149"/>
      <c r="V3073" s="149"/>
      <c r="W3073" s="149"/>
      <c r="X3073" s="68"/>
      <c r="Y3073" s="68"/>
      <c r="Z3073" s="68"/>
    </row>
    <row r="3074" ht="15.0" customHeight="1">
      <c r="A3074" s="421"/>
      <c r="B3074" s="201"/>
      <c r="C3074" s="17"/>
      <c r="D3074" s="140"/>
      <c r="E3074" s="17"/>
      <c r="F3074" s="202"/>
      <c r="G3074" s="142"/>
      <c r="H3074" s="142"/>
      <c r="I3074" s="143"/>
      <c r="J3074" s="144"/>
      <c r="K3074" s="17"/>
      <c r="L3074" s="17"/>
      <c r="M3074" s="17"/>
      <c r="N3074" s="68"/>
      <c r="O3074" s="68"/>
      <c r="P3074" s="68"/>
      <c r="Q3074" s="149"/>
      <c r="R3074" s="149"/>
      <c r="S3074" s="149"/>
      <c r="T3074" s="149"/>
      <c r="U3074" s="149"/>
      <c r="V3074" s="149"/>
      <c r="W3074" s="149"/>
      <c r="X3074" s="68"/>
      <c r="Y3074" s="68"/>
      <c r="Z3074" s="68"/>
    </row>
    <row r="3075" ht="15.0" customHeight="1">
      <c r="A3075" s="421"/>
      <c r="B3075" s="201"/>
      <c r="C3075" s="17"/>
      <c r="D3075" s="140"/>
      <c r="E3075" s="17"/>
      <c r="F3075" s="202"/>
      <c r="G3075" s="142"/>
      <c r="H3075" s="142"/>
      <c r="I3075" s="143"/>
      <c r="J3075" s="144"/>
      <c r="K3075" s="17"/>
      <c r="L3075" s="17"/>
      <c r="M3075" s="17"/>
      <c r="N3075" s="68"/>
      <c r="O3075" s="68"/>
      <c r="P3075" s="68"/>
      <c r="Q3075" s="149"/>
      <c r="R3075" s="149"/>
      <c r="S3075" s="149"/>
      <c r="T3075" s="149"/>
      <c r="U3075" s="149"/>
      <c r="V3075" s="149"/>
      <c r="W3075" s="149"/>
      <c r="X3075" s="68"/>
      <c r="Y3075" s="68"/>
      <c r="Z3075" s="68"/>
    </row>
    <row r="3076" ht="15.0" customHeight="1">
      <c r="A3076" s="421"/>
      <c r="B3076" s="201"/>
      <c r="C3076" s="17"/>
      <c r="D3076" s="140"/>
      <c r="E3076" s="17"/>
      <c r="F3076" s="202"/>
      <c r="G3076" s="142"/>
      <c r="H3076" s="142"/>
      <c r="I3076" s="143"/>
      <c r="J3076" s="144"/>
      <c r="K3076" s="17"/>
      <c r="L3076" s="17"/>
      <c r="M3076" s="17"/>
      <c r="N3076" s="68"/>
      <c r="O3076" s="68"/>
      <c r="P3076" s="68"/>
      <c r="Q3076" s="149"/>
      <c r="R3076" s="149"/>
      <c r="S3076" s="149"/>
      <c r="T3076" s="149"/>
      <c r="U3076" s="149"/>
      <c r="V3076" s="149"/>
      <c r="W3076" s="149"/>
      <c r="X3076" s="68"/>
      <c r="Y3076" s="68"/>
      <c r="Z3076" s="68"/>
    </row>
    <row r="3077" ht="15.0" customHeight="1">
      <c r="A3077" s="421"/>
      <c r="B3077" s="201"/>
      <c r="C3077" s="17"/>
      <c r="D3077" s="140"/>
      <c r="E3077" s="17"/>
      <c r="F3077" s="202"/>
      <c r="G3077" s="142"/>
      <c r="H3077" s="142"/>
      <c r="I3077" s="143"/>
      <c r="J3077" s="144"/>
      <c r="K3077" s="17"/>
      <c r="L3077" s="17"/>
      <c r="M3077" s="17"/>
      <c r="N3077" s="68"/>
      <c r="O3077" s="68"/>
      <c r="P3077" s="68"/>
      <c r="Q3077" s="149"/>
      <c r="R3077" s="149"/>
      <c r="S3077" s="149"/>
      <c r="T3077" s="149"/>
      <c r="U3077" s="149"/>
      <c r="V3077" s="149"/>
      <c r="W3077" s="149"/>
      <c r="X3077" s="68"/>
      <c r="Y3077" s="68"/>
      <c r="Z3077" s="68"/>
    </row>
    <row r="3078" ht="15.0" customHeight="1">
      <c r="A3078" s="421"/>
      <c r="B3078" s="201"/>
      <c r="C3078" s="17"/>
      <c r="D3078" s="140"/>
      <c r="E3078" s="17"/>
      <c r="F3078" s="202"/>
      <c r="G3078" s="142"/>
      <c r="H3078" s="142"/>
      <c r="I3078" s="143"/>
      <c r="J3078" s="144"/>
      <c r="K3078" s="17"/>
      <c r="L3078" s="17"/>
      <c r="M3078" s="17"/>
      <c r="N3078" s="68"/>
      <c r="O3078" s="68"/>
      <c r="P3078" s="68"/>
      <c r="Q3078" s="149"/>
      <c r="R3078" s="149"/>
      <c r="S3078" s="149"/>
      <c r="T3078" s="149"/>
      <c r="U3078" s="149"/>
      <c r="V3078" s="149"/>
      <c r="W3078" s="149"/>
      <c r="X3078" s="68"/>
      <c r="Y3078" s="68"/>
      <c r="Z3078" s="68"/>
    </row>
    <row r="3079" ht="15.0" customHeight="1">
      <c r="A3079" s="421"/>
      <c r="B3079" s="201"/>
      <c r="C3079" s="17"/>
      <c r="D3079" s="140"/>
      <c r="E3079" s="17"/>
      <c r="F3079" s="202"/>
      <c r="G3079" s="142"/>
      <c r="H3079" s="142"/>
      <c r="I3079" s="143"/>
      <c r="J3079" s="144"/>
      <c r="K3079" s="17"/>
      <c r="L3079" s="17"/>
      <c r="M3079" s="17"/>
      <c r="N3079" s="68"/>
      <c r="O3079" s="68"/>
      <c r="P3079" s="68"/>
      <c r="Q3079" s="149"/>
      <c r="R3079" s="149"/>
      <c r="S3079" s="149"/>
      <c r="T3079" s="149"/>
      <c r="U3079" s="149"/>
      <c r="V3079" s="149"/>
      <c r="W3079" s="149"/>
      <c r="X3079" s="68"/>
      <c r="Y3079" s="68"/>
      <c r="Z3079" s="68"/>
    </row>
    <row r="3080" ht="15.0" customHeight="1">
      <c r="A3080" s="421"/>
      <c r="B3080" s="201"/>
      <c r="C3080" s="17"/>
      <c r="D3080" s="140"/>
      <c r="E3080" s="17"/>
      <c r="F3080" s="202"/>
      <c r="G3080" s="142"/>
      <c r="H3080" s="142"/>
      <c r="I3080" s="143"/>
      <c r="J3080" s="144"/>
      <c r="K3080" s="17"/>
      <c r="L3080" s="17"/>
      <c r="M3080" s="17"/>
      <c r="N3080" s="68"/>
      <c r="O3080" s="68"/>
      <c r="P3080" s="68"/>
      <c r="Q3080" s="149"/>
      <c r="R3080" s="149"/>
      <c r="S3080" s="149"/>
      <c r="T3080" s="149"/>
      <c r="U3080" s="149"/>
      <c r="V3080" s="149"/>
      <c r="W3080" s="149"/>
      <c r="X3080" s="68"/>
      <c r="Y3080" s="68"/>
      <c r="Z3080" s="68"/>
    </row>
    <row r="3081" ht="15.0" customHeight="1">
      <c r="A3081" s="421"/>
      <c r="B3081" s="201"/>
      <c r="C3081" s="17"/>
      <c r="D3081" s="140"/>
      <c r="E3081" s="17"/>
      <c r="F3081" s="202"/>
      <c r="G3081" s="142"/>
      <c r="H3081" s="142"/>
      <c r="I3081" s="143"/>
      <c r="J3081" s="144"/>
      <c r="K3081" s="17"/>
      <c r="L3081" s="17"/>
      <c r="M3081" s="17"/>
      <c r="N3081" s="68"/>
      <c r="O3081" s="68"/>
      <c r="P3081" s="68"/>
      <c r="Q3081" s="149"/>
      <c r="R3081" s="149"/>
      <c r="S3081" s="149"/>
      <c r="T3081" s="149"/>
      <c r="U3081" s="149"/>
      <c r="V3081" s="149"/>
      <c r="W3081" s="149"/>
      <c r="X3081" s="68"/>
      <c r="Y3081" s="68"/>
      <c r="Z3081" s="68"/>
    </row>
    <row r="3082" ht="15.0" customHeight="1">
      <c r="A3082" s="421"/>
      <c r="B3082" s="201"/>
      <c r="C3082" s="17"/>
      <c r="D3082" s="140"/>
      <c r="E3082" s="17"/>
      <c r="F3082" s="202"/>
      <c r="G3082" s="142"/>
      <c r="H3082" s="142"/>
      <c r="I3082" s="143"/>
      <c r="J3082" s="144"/>
      <c r="K3082" s="17"/>
      <c r="L3082" s="17"/>
      <c r="M3082" s="17"/>
      <c r="N3082" s="68"/>
      <c r="O3082" s="68"/>
      <c r="P3082" s="68"/>
      <c r="Q3082" s="149"/>
      <c r="R3082" s="149"/>
      <c r="S3082" s="149"/>
      <c r="T3082" s="149"/>
      <c r="U3082" s="149"/>
      <c r="V3082" s="149"/>
      <c r="W3082" s="149"/>
      <c r="X3082" s="68"/>
      <c r="Y3082" s="68"/>
      <c r="Z3082" s="68"/>
    </row>
    <row r="3083" ht="15.0" customHeight="1">
      <c r="A3083" s="421"/>
      <c r="B3083" s="201"/>
      <c r="C3083" s="17"/>
      <c r="D3083" s="140"/>
      <c r="E3083" s="17"/>
      <c r="F3083" s="202"/>
      <c r="G3083" s="142"/>
      <c r="H3083" s="142"/>
      <c r="I3083" s="143"/>
      <c r="J3083" s="144"/>
      <c r="K3083" s="17"/>
      <c r="L3083" s="17"/>
      <c r="M3083" s="17"/>
      <c r="N3083" s="68"/>
      <c r="O3083" s="68"/>
      <c r="P3083" s="68"/>
      <c r="Q3083" s="149"/>
      <c r="R3083" s="149"/>
      <c r="S3083" s="149"/>
      <c r="T3083" s="149"/>
      <c r="U3083" s="149"/>
      <c r="V3083" s="149"/>
      <c r="W3083" s="149"/>
      <c r="X3083" s="68"/>
      <c r="Y3083" s="68"/>
      <c r="Z3083" s="68"/>
    </row>
    <row r="3084" ht="15.0" customHeight="1">
      <c r="A3084" s="421"/>
      <c r="B3084" s="201"/>
      <c r="C3084" s="17"/>
      <c r="D3084" s="140"/>
      <c r="E3084" s="17"/>
      <c r="F3084" s="202"/>
      <c r="G3084" s="142"/>
      <c r="H3084" s="142"/>
      <c r="I3084" s="143"/>
      <c r="J3084" s="144"/>
      <c r="K3084" s="17"/>
      <c r="L3084" s="17"/>
      <c r="M3084" s="17"/>
      <c r="N3084" s="68"/>
      <c r="O3084" s="68"/>
      <c r="P3084" s="68"/>
      <c r="Q3084" s="149"/>
      <c r="R3084" s="149"/>
      <c r="S3084" s="149"/>
      <c r="T3084" s="149"/>
      <c r="U3084" s="149"/>
      <c r="V3084" s="149"/>
      <c r="W3084" s="149"/>
      <c r="X3084" s="68"/>
      <c r="Y3084" s="68"/>
      <c r="Z3084" s="68"/>
    </row>
    <row r="3085" ht="15.0" customHeight="1">
      <c r="A3085" s="421"/>
      <c r="B3085" s="201"/>
      <c r="C3085" s="17"/>
      <c r="D3085" s="140"/>
      <c r="E3085" s="17"/>
      <c r="F3085" s="202"/>
      <c r="G3085" s="142"/>
      <c r="H3085" s="142"/>
      <c r="I3085" s="143"/>
      <c r="J3085" s="144"/>
      <c r="K3085" s="17"/>
      <c r="L3085" s="17"/>
      <c r="M3085" s="17"/>
      <c r="N3085" s="68"/>
      <c r="O3085" s="68"/>
      <c r="P3085" s="68"/>
      <c r="Q3085" s="149"/>
      <c r="R3085" s="149"/>
      <c r="S3085" s="149"/>
      <c r="T3085" s="149"/>
      <c r="U3085" s="149"/>
      <c r="V3085" s="149"/>
      <c r="W3085" s="149"/>
      <c r="X3085" s="68"/>
      <c r="Y3085" s="68"/>
      <c r="Z3085" s="68"/>
    </row>
    <row r="3086" ht="15.0" customHeight="1">
      <c r="A3086" s="421"/>
      <c r="B3086" s="201"/>
      <c r="C3086" s="17"/>
      <c r="D3086" s="140"/>
      <c r="E3086" s="17"/>
      <c r="F3086" s="202"/>
      <c r="G3086" s="142"/>
      <c r="H3086" s="142"/>
      <c r="I3086" s="143"/>
      <c r="J3086" s="144"/>
      <c r="K3086" s="17"/>
      <c r="L3086" s="17"/>
      <c r="M3086" s="17"/>
      <c r="N3086" s="68"/>
      <c r="O3086" s="68"/>
      <c r="P3086" s="68"/>
      <c r="Q3086" s="149"/>
      <c r="R3086" s="149"/>
      <c r="S3086" s="149"/>
      <c r="T3086" s="149"/>
      <c r="U3086" s="149"/>
      <c r="V3086" s="149"/>
      <c r="W3086" s="149"/>
      <c r="X3086" s="68"/>
      <c r="Y3086" s="68"/>
      <c r="Z3086" s="68"/>
    </row>
    <row r="3087" ht="15.0" customHeight="1">
      <c r="A3087" s="421"/>
      <c r="B3087" s="201"/>
      <c r="C3087" s="17"/>
      <c r="D3087" s="140"/>
      <c r="E3087" s="17"/>
      <c r="F3087" s="202"/>
      <c r="G3087" s="142"/>
      <c r="H3087" s="142"/>
      <c r="I3087" s="143"/>
      <c r="J3087" s="144"/>
      <c r="K3087" s="17"/>
      <c r="L3087" s="17"/>
      <c r="M3087" s="17"/>
      <c r="N3087" s="68"/>
      <c r="O3087" s="68"/>
      <c r="P3087" s="68"/>
      <c r="Q3087" s="149"/>
      <c r="R3087" s="149"/>
      <c r="S3087" s="149"/>
      <c r="T3087" s="149"/>
      <c r="U3087" s="149"/>
      <c r="V3087" s="149"/>
      <c r="W3087" s="149"/>
      <c r="X3087" s="68"/>
      <c r="Y3087" s="68"/>
      <c r="Z3087" s="68"/>
    </row>
    <row r="3088" ht="15.0" customHeight="1">
      <c r="A3088" s="421"/>
      <c r="B3088" s="201"/>
      <c r="C3088" s="17"/>
      <c r="D3088" s="140"/>
      <c r="E3088" s="17"/>
      <c r="F3088" s="202"/>
      <c r="G3088" s="142"/>
      <c r="H3088" s="142"/>
      <c r="I3088" s="143"/>
      <c r="J3088" s="144"/>
      <c r="K3088" s="17"/>
      <c r="L3088" s="17"/>
      <c r="M3088" s="17"/>
      <c r="N3088" s="68"/>
      <c r="O3088" s="68"/>
      <c r="P3088" s="68"/>
      <c r="Q3088" s="149"/>
      <c r="R3088" s="149"/>
      <c r="S3088" s="149"/>
      <c r="T3088" s="149"/>
      <c r="U3088" s="149"/>
      <c r="V3088" s="149"/>
      <c r="W3088" s="149"/>
      <c r="X3088" s="68"/>
      <c r="Y3088" s="68"/>
      <c r="Z3088" s="68"/>
    </row>
    <row r="3089" ht="15.0" customHeight="1">
      <c r="A3089" s="421"/>
      <c r="B3089" s="201"/>
      <c r="C3089" s="17"/>
      <c r="D3089" s="140"/>
      <c r="E3089" s="17"/>
      <c r="F3089" s="202"/>
      <c r="G3089" s="142"/>
      <c r="H3089" s="142"/>
      <c r="I3089" s="143"/>
      <c r="J3089" s="144"/>
      <c r="K3089" s="17"/>
      <c r="L3089" s="17"/>
      <c r="M3089" s="17"/>
      <c r="N3089" s="68"/>
      <c r="O3089" s="68"/>
      <c r="P3089" s="68"/>
      <c r="Q3089" s="149"/>
      <c r="R3089" s="149"/>
      <c r="S3089" s="149"/>
      <c r="T3089" s="149"/>
      <c r="U3089" s="149"/>
      <c r="V3089" s="149"/>
      <c r="W3089" s="149"/>
      <c r="X3089" s="68"/>
      <c r="Y3089" s="68"/>
      <c r="Z3089" s="68"/>
    </row>
    <row r="3090" ht="15.0" customHeight="1">
      <c r="A3090" s="421"/>
      <c r="B3090" s="201"/>
      <c r="C3090" s="17"/>
      <c r="D3090" s="140"/>
      <c r="E3090" s="17"/>
      <c r="F3090" s="202"/>
      <c r="G3090" s="142"/>
      <c r="H3090" s="142"/>
      <c r="I3090" s="143"/>
      <c r="J3090" s="144"/>
      <c r="K3090" s="17"/>
      <c r="L3090" s="17"/>
      <c r="M3090" s="17"/>
      <c r="N3090" s="68"/>
      <c r="O3090" s="68"/>
      <c r="P3090" s="68"/>
      <c r="Q3090" s="149"/>
      <c r="R3090" s="149"/>
      <c r="S3090" s="149"/>
      <c r="T3090" s="149"/>
      <c r="U3090" s="149"/>
      <c r="V3090" s="149"/>
      <c r="W3090" s="149"/>
      <c r="X3090" s="68"/>
      <c r="Y3090" s="68"/>
      <c r="Z3090" s="68"/>
    </row>
    <row r="3091" ht="15.0" customHeight="1">
      <c r="A3091" s="421"/>
      <c r="B3091" s="201"/>
      <c r="C3091" s="17"/>
      <c r="D3091" s="140"/>
      <c r="E3091" s="17"/>
      <c r="F3091" s="202"/>
      <c r="G3091" s="142"/>
      <c r="H3091" s="142"/>
      <c r="I3091" s="143"/>
      <c r="J3091" s="144"/>
      <c r="K3091" s="17"/>
      <c r="L3091" s="17"/>
      <c r="M3091" s="17"/>
      <c r="N3091" s="68"/>
      <c r="O3091" s="68"/>
      <c r="P3091" s="68"/>
      <c r="Q3091" s="149"/>
      <c r="R3091" s="149"/>
      <c r="S3091" s="149"/>
      <c r="T3091" s="149"/>
      <c r="U3091" s="149"/>
      <c r="V3091" s="149"/>
      <c r="W3091" s="149"/>
      <c r="X3091" s="68"/>
      <c r="Y3091" s="68"/>
      <c r="Z3091" s="68"/>
    </row>
    <row r="3092" ht="15.0" customHeight="1">
      <c r="A3092" s="421"/>
      <c r="B3092" s="201"/>
      <c r="C3092" s="17"/>
      <c r="D3092" s="140"/>
      <c r="E3092" s="17"/>
      <c r="F3092" s="202"/>
      <c r="G3092" s="142"/>
      <c r="H3092" s="142"/>
      <c r="I3092" s="143"/>
      <c r="J3092" s="144"/>
      <c r="K3092" s="17"/>
      <c r="L3092" s="17"/>
      <c r="M3092" s="17"/>
      <c r="N3092" s="68"/>
      <c r="O3092" s="68"/>
      <c r="P3092" s="68"/>
      <c r="Q3092" s="149"/>
      <c r="R3092" s="149"/>
      <c r="S3092" s="149"/>
      <c r="T3092" s="149"/>
      <c r="U3092" s="149"/>
      <c r="V3092" s="149"/>
      <c r="W3092" s="149"/>
      <c r="X3092" s="68"/>
      <c r="Y3092" s="68"/>
      <c r="Z3092" s="68"/>
    </row>
    <row r="3093" ht="15.0" customHeight="1">
      <c r="A3093" s="421"/>
      <c r="B3093" s="201"/>
      <c r="C3093" s="17"/>
      <c r="D3093" s="140"/>
      <c r="E3093" s="17"/>
      <c r="F3093" s="202"/>
      <c r="G3093" s="142"/>
      <c r="H3093" s="142"/>
      <c r="I3093" s="143"/>
      <c r="J3093" s="144"/>
      <c r="K3093" s="17"/>
      <c r="L3093" s="17"/>
      <c r="M3093" s="17"/>
      <c r="N3093" s="68"/>
      <c r="O3093" s="68"/>
      <c r="P3093" s="68"/>
      <c r="Q3093" s="149"/>
      <c r="R3093" s="149"/>
      <c r="S3093" s="149"/>
      <c r="T3093" s="149"/>
      <c r="U3093" s="149"/>
      <c r="V3093" s="149"/>
      <c r="W3093" s="149"/>
      <c r="X3093" s="68"/>
      <c r="Y3093" s="68"/>
      <c r="Z3093" s="68"/>
    </row>
    <row r="3094" ht="15.0" customHeight="1">
      <c r="A3094" s="421"/>
      <c r="B3094" s="201"/>
      <c r="C3094" s="17"/>
      <c r="D3094" s="140"/>
      <c r="E3094" s="17"/>
      <c r="F3094" s="202"/>
      <c r="G3094" s="142"/>
      <c r="H3094" s="142"/>
      <c r="I3094" s="143"/>
      <c r="J3094" s="144"/>
      <c r="K3094" s="17"/>
      <c r="L3094" s="17"/>
      <c r="M3094" s="17"/>
      <c r="N3094" s="68"/>
      <c r="O3094" s="68"/>
      <c r="P3094" s="68"/>
      <c r="Q3094" s="149"/>
      <c r="R3094" s="149"/>
      <c r="S3094" s="149"/>
      <c r="T3094" s="149"/>
      <c r="U3094" s="149"/>
      <c r="V3094" s="149"/>
      <c r="W3094" s="149"/>
      <c r="X3094" s="68"/>
      <c r="Y3094" s="68"/>
      <c r="Z3094" s="68"/>
    </row>
    <row r="3095" ht="15.0" customHeight="1">
      <c r="A3095" s="421"/>
      <c r="B3095" s="201"/>
      <c r="C3095" s="17"/>
      <c r="D3095" s="140"/>
      <c r="E3095" s="17"/>
      <c r="F3095" s="202"/>
      <c r="G3095" s="142"/>
      <c r="H3095" s="142"/>
      <c r="I3095" s="143"/>
      <c r="J3095" s="144"/>
      <c r="K3095" s="17"/>
      <c r="L3095" s="17"/>
      <c r="M3095" s="17"/>
      <c r="N3095" s="68"/>
      <c r="O3095" s="68"/>
      <c r="P3095" s="68"/>
      <c r="Q3095" s="149"/>
      <c r="R3095" s="149"/>
      <c r="S3095" s="149"/>
      <c r="T3095" s="149"/>
      <c r="U3095" s="149"/>
      <c r="V3095" s="149"/>
      <c r="W3095" s="149"/>
      <c r="X3095" s="68"/>
      <c r="Y3095" s="68"/>
      <c r="Z3095" s="68"/>
    </row>
    <row r="3096" ht="15.0" customHeight="1">
      <c r="A3096" s="421"/>
      <c r="B3096" s="201"/>
      <c r="C3096" s="17"/>
      <c r="D3096" s="140"/>
      <c r="E3096" s="17"/>
      <c r="F3096" s="202"/>
      <c r="G3096" s="142"/>
      <c r="H3096" s="142"/>
      <c r="I3096" s="143"/>
      <c r="J3096" s="144"/>
      <c r="K3096" s="17"/>
      <c r="L3096" s="17"/>
      <c r="M3096" s="17"/>
      <c r="N3096" s="68"/>
      <c r="O3096" s="68"/>
      <c r="P3096" s="68"/>
      <c r="Q3096" s="149"/>
      <c r="R3096" s="149"/>
      <c r="S3096" s="149"/>
      <c r="T3096" s="149"/>
      <c r="U3096" s="149"/>
      <c r="V3096" s="149"/>
      <c r="W3096" s="149"/>
      <c r="X3096" s="68"/>
      <c r="Y3096" s="68"/>
      <c r="Z3096" s="68"/>
    </row>
    <row r="3097" ht="15.0" customHeight="1">
      <c r="A3097" s="421"/>
      <c r="B3097" s="201"/>
      <c r="C3097" s="17"/>
      <c r="D3097" s="140"/>
      <c r="E3097" s="17"/>
      <c r="F3097" s="202"/>
      <c r="G3097" s="142"/>
      <c r="H3097" s="142"/>
      <c r="I3097" s="143"/>
      <c r="J3097" s="144"/>
      <c r="K3097" s="17"/>
      <c r="L3097" s="17"/>
      <c r="M3097" s="17"/>
      <c r="N3097" s="68"/>
      <c r="O3097" s="68"/>
      <c r="P3097" s="68"/>
      <c r="Q3097" s="149"/>
      <c r="R3097" s="149"/>
      <c r="S3097" s="149"/>
      <c r="T3097" s="149"/>
      <c r="U3097" s="149"/>
      <c r="V3097" s="149"/>
      <c r="W3097" s="149"/>
      <c r="X3097" s="68"/>
      <c r="Y3097" s="68"/>
      <c r="Z3097" s="68"/>
    </row>
    <row r="3098" ht="15.0" customHeight="1">
      <c r="A3098" s="421"/>
      <c r="B3098" s="201"/>
      <c r="C3098" s="17"/>
      <c r="D3098" s="140"/>
      <c r="E3098" s="17"/>
      <c r="F3098" s="202"/>
      <c r="G3098" s="142"/>
      <c r="H3098" s="142"/>
      <c r="I3098" s="143"/>
      <c r="J3098" s="144"/>
      <c r="K3098" s="17"/>
      <c r="L3098" s="17"/>
      <c r="M3098" s="17"/>
      <c r="N3098" s="68"/>
      <c r="O3098" s="68"/>
      <c r="P3098" s="68"/>
      <c r="Q3098" s="149"/>
      <c r="R3098" s="149"/>
      <c r="S3098" s="149"/>
      <c r="T3098" s="149"/>
      <c r="U3098" s="149"/>
      <c r="V3098" s="149"/>
      <c r="W3098" s="149"/>
      <c r="X3098" s="68"/>
      <c r="Y3098" s="68"/>
      <c r="Z3098" s="68"/>
    </row>
    <row r="3099" ht="15.0" customHeight="1">
      <c r="A3099" s="421"/>
      <c r="B3099" s="201"/>
      <c r="C3099" s="17"/>
      <c r="D3099" s="140"/>
      <c r="E3099" s="17"/>
      <c r="F3099" s="202"/>
      <c r="G3099" s="142"/>
      <c r="H3099" s="142"/>
      <c r="I3099" s="143"/>
      <c r="J3099" s="144"/>
      <c r="K3099" s="17"/>
      <c r="L3099" s="17"/>
      <c r="M3099" s="17"/>
      <c r="N3099" s="68"/>
      <c r="O3099" s="68"/>
      <c r="P3099" s="68"/>
      <c r="Q3099" s="149"/>
      <c r="R3099" s="149"/>
      <c r="S3099" s="149"/>
      <c r="T3099" s="149"/>
      <c r="U3099" s="149"/>
      <c r="V3099" s="149"/>
      <c r="W3099" s="149"/>
      <c r="X3099" s="68"/>
      <c r="Y3099" s="68"/>
      <c r="Z3099" s="68"/>
    </row>
    <row r="3100" ht="15.0" customHeight="1">
      <c r="A3100" s="421"/>
      <c r="B3100" s="201"/>
      <c r="C3100" s="17"/>
      <c r="D3100" s="140"/>
      <c r="E3100" s="17"/>
      <c r="F3100" s="202"/>
      <c r="G3100" s="142"/>
      <c r="H3100" s="142"/>
      <c r="I3100" s="143"/>
      <c r="J3100" s="144"/>
      <c r="K3100" s="17"/>
      <c r="L3100" s="17"/>
      <c r="M3100" s="17"/>
      <c r="N3100" s="68"/>
      <c r="O3100" s="68"/>
      <c r="P3100" s="68"/>
      <c r="Q3100" s="149"/>
      <c r="R3100" s="149"/>
      <c r="S3100" s="149"/>
      <c r="T3100" s="149"/>
      <c r="U3100" s="149"/>
      <c r="V3100" s="149"/>
      <c r="W3100" s="149"/>
      <c r="X3100" s="68"/>
      <c r="Y3100" s="68"/>
      <c r="Z3100" s="68"/>
    </row>
    <row r="3101" ht="15.0" customHeight="1">
      <c r="A3101" s="421"/>
      <c r="B3101" s="201"/>
      <c r="C3101" s="17"/>
      <c r="D3101" s="140"/>
      <c r="E3101" s="17"/>
      <c r="F3101" s="202"/>
      <c r="G3101" s="142"/>
      <c r="H3101" s="142"/>
      <c r="I3101" s="143"/>
      <c r="J3101" s="144"/>
      <c r="K3101" s="17"/>
      <c r="L3101" s="17"/>
      <c r="M3101" s="17"/>
      <c r="N3101" s="68"/>
      <c r="O3101" s="68"/>
      <c r="P3101" s="68"/>
      <c r="Q3101" s="149"/>
      <c r="R3101" s="149"/>
      <c r="S3101" s="149"/>
      <c r="T3101" s="149"/>
      <c r="U3101" s="149"/>
      <c r="V3101" s="149"/>
      <c r="W3101" s="149"/>
      <c r="X3101" s="68"/>
      <c r="Y3101" s="68"/>
      <c r="Z3101" s="68"/>
    </row>
    <row r="3102" ht="15.0" customHeight="1">
      <c r="A3102" s="421"/>
      <c r="B3102" s="201"/>
      <c r="C3102" s="17"/>
      <c r="D3102" s="140"/>
      <c r="E3102" s="17"/>
      <c r="F3102" s="202"/>
      <c r="G3102" s="142"/>
      <c r="H3102" s="142"/>
      <c r="I3102" s="143"/>
      <c r="J3102" s="144"/>
      <c r="K3102" s="17"/>
      <c r="L3102" s="17"/>
      <c r="M3102" s="17"/>
      <c r="N3102" s="68"/>
      <c r="O3102" s="68"/>
      <c r="P3102" s="68"/>
      <c r="Q3102" s="149"/>
      <c r="R3102" s="149"/>
      <c r="S3102" s="149"/>
      <c r="T3102" s="149"/>
      <c r="U3102" s="149"/>
      <c r="V3102" s="149"/>
      <c r="W3102" s="149"/>
      <c r="X3102" s="68"/>
      <c r="Y3102" s="68"/>
      <c r="Z3102" s="68"/>
    </row>
    <row r="3103" ht="15.0" customHeight="1">
      <c r="A3103" s="421"/>
      <c r="B3103" s="201"/>
      <c r="C3103" s="17"/>
      <c r="D3103" s="140"/>
      <c r="E3103" s="17"/>
      <c r="F3103" s="202"/>
      <c r="G3103" s="142"/>
      <c r="H3103" s="142"/>
      <c r="I3103" s="143"/>
      <c r="J3103" s="144"/>
      <c r="K3103" s="17"/>
      <c r="L3103" s="17"/>
      <c r="M3103" s="17"/>
      <c r="N3103" s="68"/>
      <c r="O3103" s="68"/>
      <c r="P3103" s="68"/>
      <c r="Q3103" s="149"/>
      <c r="R3103" s="149"/>
      <c r="S3103" s="149"/>
      <c r="T3103" s="149"/>
      <c r="U3103" s="149"/>
      <c r="V3103" s="149"/>
      <c r="W3103" s="149"/>
      <c r="X3103" s="68"/>
      <c r="Y3103" s="68"/>
      <c r="Z3103" s="68"/>
    </row>
    <row r="3104" ht="15.0" customHeight="1">
      <c r="A3104" s="421"/>
      <c r="B3104" s="201"/>
      <c r="C3104" s="17"/>
      <c r="D3104" s="140"/>
      <c r="E3104" s="17"/>
      <c r="F3104" s="202"/>
      <c r="G3104" s="142"/>
      <c r="H3104" s="142"/>
      <c r="I3104" s="143"/>
      <c r="J3104" s="144"/>
      <c r="K3104" s="17"/>
      <c r="L3104" s="17"/>
      <c r="M3104" s="17"/>
      <c r="N3104" s="68"/>
      <c r="O3104" s="68"/>
      <c r="P3104" s="68"/>
      <c r="Q3104" s="149"/>
      <c r="R3104" s="149"/>
      <c r="S3104" s="149"/>
      <c r="T3104" s="149"/>
      <c r="U3104" s="149"/>
      <c r="V3104" s="149"/>
      <c r="W3104" s="149"/>
      <c r="X3104" s="68"/>
      <c r="Y3104" s="68"/>
      <c r="Z3104" s="68"/>
    </row>
    <row r="3105" ht="15.0" customHeight="1">
      <c r="A3105" s="421"/>
      <c r="B3105" s="201"/>
      <c r="C3105" s="17"/>
      <c r="D3105" s="140"/>
      <c r="E3105" s="17"/>
      <c r="F3105" s="202"/>
      <c r="G3105" s="142"/>
      <c r="H3105" s="142"/>
      <c r="I3105" s="143"/>
      <c r="J3105" s="144"/>
      <c r="K3105" s="17"/>
      <c r="L3105" s="17"/>
      <c r="M3105" s="17"/>
      <c r="N3105" s="68"/>
      <c r="O3105" s="68"/>
      <c r="P3105" s="68"/>
      <c r="Q3105" s="149"/>
      <c r="R3105" s="149"/>
      <c r="S3105" s="149"/>
      <c r="T3105" s="149"/>
      <c r="U3105" s="149"/>
      <c r="V3105" s="149"/>
      <c r="W3105" s="149"/>
      <c r="X3105" s="68"/>
      <c r="Y3105" s="68"/>
      <c r="Z3105" s="68"/>
    </row>
    <row r="3106" ht="15.0" customHeight="1">
      <c r="A3106" s="421"/>
      <c r="B3106" s="201"/>
      <c r="C3106" s="17"/>
      <c r="D3106" s="140"/>
      <c r="E3106" s="17"/>
      <c r="F3106" s="202"/>
      <c r="G3106" s="142"/>
      <c r="H3106" s="142"/>
      <c r="I3106" s="143"/>
      <c r="J3106" s="144"/>
      <c r="K3106" s="17"/>
      <c r="L3106" s="17"/>
      <c r="M3106" s="17"/>
      <c r="N3106" s="68"/>
      <c r="O3106" s="68"/>
      <c r="P3106" s="68"/>
      <c r="Q3106" s="149"/>
      <c r="R3106" s="149"/>
      <c r="S3106" s="149"/>
      <c r="T3106" s="149"/>
      <c r="U3106" s="149"/>
      <c r="V3106" s="149"/>
      <c r="W3106" s="149"/>
      <c r="X3106" s="68"/>
      <c r="Y3106" s="68"/>
      <c r="Z3106" s="68"/>
    </row>
    <row r="3107" ht="15.0" customHeight="1">
      <c r="A3107" s="421"/>
      <c r="B3107" s="201"/>
      <c r="C3107" s="17"/>
      <c r="D3107" s="140"/>
      <c r="E3107" s="17"/>
      <c r="F3107" s="202"/>
      <c r="G3107" s="142"/>
      <c r="H3107" s="142"/>
      <c r="I3107" s="143"/>
      <c r="J3107" s="144"/>
      <c r="K3107" s="17"/>
      <c r="L3107" s="17"/>
      <c r="M3107" s="17"/>
      <c r="N3107" s="68"/>
      <c r="O3107" s="68"/>
      <c r="P3107" s="68"/>
      <c r="Q3107" s="149"/>
      <c r="R3107" s="149"/>
      <c r="S3107" s="149"/>
      <c r="T3107" s="149"/>
      <c r="U3107" s="149"/>
      <c r="V3107" s="149"/>
      <c r="W3107" s="149"/>
      <c r="X3107" s="68"/>
      <c r="Y3107" s="68"/>
      <c r="Z3107" s="68"/>
    </row>
    <row r="3108" ht="15.0" customHeight="1">
      <c r="A3108" s="421"/>
      <c r="B3108" s="201"/>
      <c r="C3108" s="17"/>
      <c r="D3108" s="140"/>
      <c r="E3108" s="17"/>
      <c r="F3108" s="202"/>
      <c r="G3108" s="142"/>
      <c r="H3108" s="142"/>
      <c r="I3108" s="143"/>
      <c r="J3108" s="144"/>
      <c r="K3108" s="17"/>
      <c r="L3108" s="17"/>
      <c r="M3108" s="17"/>
      <c r="N3108" s="68"/>
      <c r="O3108" s="68"/>
      <c r="P3108" s="68"/>
      <c r="Q3108" s="149"/>
      <c r="R3108" s="149"/>
      <c r="S3108" s="149"/>
      <c r="T3108" s="149"/>
      <c r="U3108" s="149"/>
      <c r="V3108" s="149"/>
      <c r="W3108" s="149"/>
      <c r="X3108" s="68"/>
      <c r="Y3108" s="68"/>
      <c r="Z3108" s="68"/>
    </row>
    <row r="3109" ht="15.0" customHeight="1">
      <c r="A3109" s="421"/>
      <c r="B3109" s="201"/>
      <c r="C3109" s="17"/>
      <c r="D3109" s="140"/>
      <c r="E3109" s="17"/>
      <c r="F3109" s="202"/>
      <c r="G3109" s="142"/>
      <c r="H3109" s="142"/>
      <c r="I3109" s="143"/>
      <c r="J3109" s="144"/>
      <c r="K3109" s="17"/>
      <c r="L3109" s="17"/>
      <c r="M3109" s="17"/>
      <c r="N3109" s="68"/>
      <c r="O3109" s="68"/>
      <c r="P3109" s="68"/>
      <c r="Q3109" s="149"/>
      <c r="R3109" s="149"/>
      <c r="S3109" s="149"/>
      <c r="T3109" s="149"/>
      <c r="U3109" s="149"/>
      <c r="V3109" s="149"/>
      <c r="W3109" s="149"/>
      <c r="X3109" s="68"/>
      <c r="Y3109" s="68"/>
      <c r="Z3109" s="68"/>
    </row>
    <row r="3110" ht="15.0" customHeight="1">
      <c r="A3110" s="421"/>
      <c r="B3110" s="201"/>
      <c r="C3110" s="17"/>
      <c r="D3110" s="140"/>
      <c r="E3110" s="17"/>
      <c r="F3110" s="202"/>
      <c r="G3110" s="142"/>
      <c r="H3110" s="142"/>
      <c r="I3110" s="143"/>
      <c r="J3110" s="144"/>
      <c r="K3110" s="17"/>
      <c r="L3110" s="17"/>
      <c r="M3110" s="17"/>
      <c r="N3110" s="68"/>
      <c r="O3110" s="68"/>
      <c r="P3110" s="68"/>
      <c r="Q3110" s="149"/>
      <c r="R3110" s="149"/>
      <c r="S3110" s="149"/>
      <c r="T3110" s="149"/>
      <c r="U3110" s="149"/>
      <c r="V3110" s="149"/>
      <c r="W3110" s="149"/>
      <c r="X3110" s="68"/>
      <c r="Y3110" s="68"/>
      <c r="Z3110" s="68"/>
    </row>
    <row r="3111" ht="15.0" customHeight="1">
      <c r="A3111" s="421"/>
      <c r="B3111" s="201"/>
      <c r="C3111" s="17"/>
      <c r="D3111" s="140"/>
      <c r="E3111" s="17"/>
      <c r="F3111" s="202"/>
      <c r="G3111" s="142"/>
      <c r="H3111" s="142"/>
      <c r="I3111" s="143"/>
      <c r="J3111" s="144"/>
      <c r="K3111" s="17"/>
      <c r="L3111" s="17"/>
      <c r="M3111" s="17"/>
      <c r="N3111" s="68"/>
      <c r="O3111" s="68"/>
      <c r="P3111" s="68"/>
      <c r="Q3111" s="149"/>
      <c r="R3111" s="149"/>
      <c r="S3111" s="149"/>
      <c r="T3111" s="149"/>
      <c r="U3111" s="149"/>
      <c r="V3111" s="149"/>
      <c r="W3111" s="149"/>
      <c r="X3111" s="68"/>
      <c r="Y3111" s="68"/>
      <c r="Z3111" s="68"/>
    </row>
    <row r="3112" ht="15.0" customHeight="1">
      <c r="A3112" s="421"/>
      <c r="B3112" s="201"/>
      <c r="C3112" s="17"/>
      <c r="D3112" s="140"/>
      <c r="E3112" s="17"/>
      <c r="F3112" s="202"/>
      <c r="G3112" s="142"/>
      <c r="H3112" s="142"/>
      <c r="I3112" s="143"/>
      <c r="J3112" s="144"/>
      <c r="K3112" s="17"/>
      <c r="L3112" s="17"/>
      <c r="M3112" s="17"/>
      <c r="N3112" s="68"/>
      <c r="O3112" s="68"/>
      <c r="P3112" s="68"/>
      <c r="Q3112" s="149"/>
      <c r="R3112" s="149"/>
      <c r="S3112" s="149"/>
      <c r="T3112" s="149"/>
      <c r="U3112" s="149"/>
      <c r="V3112" s="149"/>
      <c r="W3112" s="149"/>
      <c r="X3112" s="68"/>
      <c r="Y3112" s="68"/>
      <c r="Z3112" s="68"/>
    </row>
    <row r="3113" ht="15.0" customHeight="1">
      <c r="A3113" s="421"/>
      <c r="B3113" s="201"/>
      <c r="C3113" s="17"/>
      <c r="D3113" s="140"/>
      <c r="E3113" s="17"/>
      <c r="F3113" s="202"/>
      <c r="G3113" s="142"/>
      <c r="H3113" s="142"/>
      <c r="I3113" s="143"/>
      <c r="J3113" s="144"/>
      <c r="K3113" s="17"/>
      <c r="L3113" s="17"/>
      <c r="M3113" s="17"/>
      <c r="N3113" s="68"/>
      <c r="O3113" s="68"/>
      <c r="P3113" s="68"/>
      <c r="Q3113" s="149"/>
      <c r="R3113" s="149"/>
      <c r="S3113" s="149"/>
      <c r="T3113" s="149"/>
      <c r="U3113" s="149"/>
      <c r="V3113" s="149"/>
      <c r="W3113" s="149"/>
      <c r="X3113" s="68"/>
      <c r="Y3113" s="68"/>
      <c r="Z3113" s="68"/>
    </row>
    <row r="3114" ht="15.0" customHeight="1">
      <c r="A3114" s="421"/>
      <c r="B3114" s="201"/>
      <c r="C3114" s="17"/>
      <c r="D3114" s="140"/>
      <c r="E3114" s="17"/>
      <c r="F3114" s="202"/>
      <c r="G3114" s="142"/>
      <c r="H3114" s="142"/>
      <c r="I3114" s="143"/>
      <c r="J3114" s="144"/>
      <c r="K3114" s="17"/>
      <c r="L3114" s="17"/>
      <c r="M3114" s="17"/>
      <c r="N3114" s="68"/>
      <c r="O3114" s="68"/>
      <c r="P3114" s="68"/>
      <c r="Q3114" s="149"/>
      <c r="R3114" s="149"/>
      <c r="S3114" s="149"/>
      <c r="T3114" s="149"/>
      <c r="U3114" s="149"/>
      <c r="V3114" s="149"/>
      <c r="W3114" s="149"/>
      <c r="X3114" s="68"/>
      <c r="Y3114" s="68"/>
      <c r="Z3114" s="68"/>
    </row>
    <row r="3115" ht="15.0" customHeight="1">
      <c r="A3115" s="421"/>
      <c r="B3115" s="201"/>
      <c r="C3115" s="17"/>
      <c r="D3115" s="140"/>
      <c r="E3115" s="17"/>
      <c r="F3115" s="202"/>
      <c r="G3115" s="142"/>
      <c r="H3115" s="142"/>
      <c r="I3115" s="143"/>
      <c r="J3115" s="144"/>
      <c r="K3115" s="17"/>
      <c r="L3115" s="17"/>
      <c r="M3115" s="17"/>
      <c r="N3115" s="68"/>
      <c r="O3115" s="68"/>
      <c r="P3115" s="68"/>
      <c r="Q3115" s="149"/>
      <c r="R3115" s="149"/>
      <c r="S3115" s="149"/>
      <c r="T3115" s="149"/>
      <c r="U3115" s="149"/>
      <c r="V3115" s="149"/>
      <c r="W3115" s="149"/>
      <c r="X3115" s="68"/>
      <c r="Y3115" s="68"/>
      <c r="Z3115" s="68"/>
    </row>
    <row r="3116" ht="15.0" customHeight="1">
      <c r="A3116" s="421"/>
      <c r="B3116" s="201"/>
      <c r="C3116" s="17"/>
      <c r="D3116" s="140"/>
      <c r="E3116" s="17"/>
      <c r="F3116" s="202"/>
      <c r="G3116" s="142"/>
      <c r="H3116" s="142"/>
      <c r="I3116" s="143"/>
      <c r="J3116" s="144"/>
      <c r="K3116" s="17"/>
      <c r="L3116" s="17"/>
      <c r="M3116" s="17"/>
      <c r="N3116" s="68"/>
      <c r="O3116" s="68"/>
      <c r="P3116" s="68"/>
      <c r="Q3116" s="149"/>
      <c r="R3116" s="149"/>
      <c r="S3116" s="149"/>
      <c r="T3116" s="149"/>
      <c r="U3116" s="149"/>
      <c r="V3116" s="149"/>
      <c r="W3116" s="149"/>
      <c r="X3116" s="68"/>
      <c r="Y3116" s="68"/>
      <c r="Z3116" s="68"/>
    </row>
    <row r="3117" ht="15.0" customHeight="1">
      <c r="A3117" s="421"/>
      <c r="B3117" s="201"/>
      <c r="C3117" s="17"/>
      <c r="D3117" s="140"/>
      <c r="E3117" s="17"/>
      <c r="F3117" s="202"/>
      <c r="G3117" s="142"/>
      <c r="H3117" s="142"/>
      <c r="I3117" s="143"/>
      <c r="J3117" s="144"/>
      <c r="K3117" s="17"/>
      <c r="L3117" s="17"/>
      <c r="M3117" s="17"/>
      <c r="N3117" s="68"/>
      <c r="O3117" s="68"/>
      <c r="P3117" s="68"/>
      <c r="Q3117" s="149"/>
      <c r="R3117" s="149"/>
      <c r="S3117" s="149"/>
      <c r="T3117" s="149"/>
      <c r="U3117" s="149"/>
      <c r="V3117" s="149"/>
      <c r="W3117" s="149"/>
      <c r="X3117" s="68"/>
      <c r="Y3117" s="68"/>
      <c r="Z3117" s="68"/>
    </row>
    <row r="3118" ht="15.0" customHeight="1">
      <c r="A3118" s="421"/>
      <c r="B3118" s="201"/>
      <c r="C3118" s="17"/>
      <c r="D3118" s="140"/>
      <c r="E3118" s="17"/>
      <c r="F3118" s="202"/>
      <c r="G3118" s="142"/>
      <c r="H3118" s="142"/>
      <c r="I3118" s="143"/>
      <c r="J3118" s="144"/>
      <c r="K3118" s="17"/>
      <c r="L3118" s="17"/>
      <c r="M3118" s="17"/>
      <c r="N3118" s="68"/>
      <c r="O3118" s="68"/>
      <c r="P3118" s="68"/>
      <c r="Q3118" s="149"/>
      <c r="R3118" s="149"/>
      <c r="S3118" s="149"/>
      <c r="T3118" s="149"/>
      <c r="U3118" s="149"/>
      <c r="V3118" s="149"/>
      <c r="W3118" s="149"/>
      <c r="X3118" s="68"/>
      <c r="Y3118" s="68"/>
      <c r="Z3118" s="68"/>
    </row>
    <row r="3119" ht="15.0" customHeight="1">
      <c r="A3119" s="421"/>
      <c r="B3119" s="201"/>
      <c r="C3119" s="17"/>
      <c r="D3119" s="140"/>
      <c r="E3119" s="17"/>
      <c r="F3119" s="202"/>
      <c r="G3119" s="142"/>
      <c r="H3119" s="142"/>
      <c r="I3119" s="143"/>
      <c r="J3119" s="144"/>
      <c r="K3119" s="17"/>
      <c r="L3119" s="17"/>
      <c r="M3119" s="17"/>
      <c r="N3119" s="68"/>
      <c r="O3119" s="68"/>
      <c r="P3119" s="68"/>
      <c r="Q3119" s="149"/>
      <c r="R3119" s="149"/>
      <c r="S3119" s="149"/>
      <c r="T3119" s="149"/>
      <c r="U3119" s="149"/>
      <c r="V3119" s="149"/>
      <c r="W3119" s="149"/>
      <c r="X3119" s="68"/>
      <c r="Y3119" s="68"/>
      <c r="Z3119" s="68"/>
    </row>
    <row r="3120" ht="15.0" customHeight="1">
      <c r="A3120" s="421"/>
      <c r="B3120" s="201"/>
      <c r="C3120" s="17"/>
      <c r="D3120" s="140"/>
      <c r="E3120" s="17"/>
      <c r="F3120" s="202"/>
      <c r="G3120" s="142"/>
      <c r="H3120" s="142"/>
      <c r="I3120" s="143"/>
      <c r="J3120" s="144"/>
      <c r="K3120" s="17"/>
      <c r="L3120" s="17"/>
      <c r="M3120" s="17"/>
      <c r="N3120" s="68"/>
      <c r="O3120" s="68"/>
      <c r="P3120" s="68"/>
      <c r="Q3120" s="149"/>
      <c r="R3120" s="149"/>
      <c r="S3120" s="149"/>
      <c r="T3120" s="149"/>
      <c r="U3120" s="149"/>
      <c r="V3120" s="149"/>
      <c r="W3120" s="149"/>
      <c r="X3120" s="68"/>
      <c r="Y3120" s="68"/>
      <c r="Z3120" s="68"/>
    </row>
    <row r="3121" ht="15.0" customHeight="1">
      <c r="A3121" s="421"/>
      <c r="B3121" s="201"/>
      <c r="C3121" s="17"/>
      <c r="D3121" s="140"/>
      <c r="E3121" s="17"/>
      <c r="F3121" s="202"/>
      <c r="G3121" s="142"/>
      <c r="H3121" s="142"/>
      <c r="I3121" s="143"/>
      <c r="J3121" s="144"/>
      <c r="K3121" s="17"/>
      <c r="L3121" s="17"/>
      <c r="M3121" s="17"/>
      <c r="N3121" s="68"/>
      <c r="O3121" s="68"/>
      <c r="P3121" s="68"/>
      <c r="Q3121" s="149"/>
      <c r="R3121" s="149"/>
      <c r="S3121" s="149"/>
      <c r="T3121" s="149"/>
      <c r="U3121" s="149"/>
      <c r="V3121" s="149"/>
      <c r="W3121" s="149"/>
      <c r="X3121" s="68"/>
      <c r="Y3121" s="68"/>
      <c r="Z3121" s="68"/>
    </row>
    <row r="3122" ht="15.0" customHeight="1">
      <c r="A3122" s="421"/>
      <c r="B3122" s="201"/>
      <c r="C3122" s="17"/>
      <c r="D3122" s="140"/>
      <c r="E3122" s="17"/>
      <c r="F3122" s="202"/>
      <c r="G3122" s="142"/>
      <c r="H3122" s="142"/>
      <c r="I3122" s="143"/>
      <c r="J3122" s="144"/>
      <c r="K3122" s="17"/>
      <c r="L3122" s="17"/>
      <c r="M3122" s="17"/>
      <c r="N3122" s="68"/>
      <c r="O3122" s="68"/>
      <c r="P3122" s="68"/>
      <c r="Q3122" s="149"/>
      <c r="R3122" s="149"/>
      <c r="S3122" s="149"/>
      <c r="T3122" s="149"/>
      <c r="U3122" s="149"/>
      <c r="V3122" s="149"/>
      <c r="W3122" s="149"/>
      <c r="X3122" s="68"/>
      <c r="Y3122" s="68"/>
      <c r="Z3122" s="68"/>
    </row>
    <row r="3123" ht="15.0" customHeight="1">
      <c r="A3123" s="421"/>
      <c r="B3123" s="201"/>
      <c r="C3123" s="17"/>
      <c r="D3123" s="140"/>
      <c r="E3123" s="17"/>
      <c r="F3123" s="202"/>
      <c r="G3123" s="142"/>
      <c r="H3123" s="142"/>
      <c r="I3123" s="143"/>
      <c r="J3123" s="144"/>
      <c r="K3123" s="17"/>
      <c r="L3123" s="17"/>
      <c r="M3123" s="17"/>
      <c r="N3123" s="68"/>
      <c r="O3123" s="68"/>
      <c r="P3123" s="68"/>
      <c r="Q3123" s="149"/>
      <c r="R3123" s="149"/>
      <c r="S3123" s="149"/>
      <c r="T3123" s="149"/>
      <c r="U3123" s="149"/>
      <c r="V3123" s="149"/>
      <c r="W3123" s="149"/>
      <c r="X3123" s="68"/>
      <c r="Y3123" s="68"/>
      <c r="Z3123" s="68"/>
    </row>
    <row r="3124" ht="15.0" customHeight="1">
      <c r="A3124" s="421"/>
      <c r="B3124" s="201"/>
      <c r="C3124" s="17"/>
      <c r="D3124" s="140"/>
      <c r="E3124" s="17"/>
      <c r="F3124" s="202"/>
      <c r="G3124" s="142"/>
      <c r="H3124" s="142"/>
      <c r="I3124" s="143"/>
      <c r="J3124" s="144"/>
      <c r="K3124" s="17"/>
      <c r="L3124" s="17"/>
      <c r="M3124" s="17"/>
      <c r="N3124" s="68"/>
      <c r="O3124" s="68"/>
      <c r="P3124" s="68"/>
      <c r="Q3124" s="149"/>
      <c r="R3124" s="149"/>
      <c r="S3124" s="149"/>
      <c r="T3124" s="149"/>
      <c r="U3124" s="149"/>
      <c r="V3124" s="149"/>
      <c r="W3124" s="149"/>
      <c r="X3124" s="68"/>
      <c r="Y3124" s="68"/>
      <c r="Z3124" s="68"/>
    </row>
    <row r="3125" ht="15.0" customHeight="1">
      <c r="A3125" s="421"/>
      <c r="B3125" s="201"/>
      <c r="C3125" s="17"/>
      <c r="D3125" s="140"/>
      <c r="E3125" s="17"/>
      <c r="F3125" s="202"/>
      <c r="G3125" s="142"/>
      <c r="H3125" s="142"/>
      <c r="I3125" s="143"/>
      <c r="J3125" s="144"/>
      <c r="K3125" s="17"/>
      <c r="L3125" s="17"/>
      <c r="M3125" s="17"/>
      <c r="N3125" s="68"/>
      <c r="O3125" s="68"/>
      <c r="P3125" s="68"/>
      <c r="Q3125" s="149"/>
      <c r="R3125" s="149"/>
      <c r="S3125" s="149"/>
      <c r="T3125" s="149"/>
      <c r="U3125" s="149"/>
      <c r="V3125" s="149"/>
      <c r="W3125" s="149"/>
      <c r="X3125" s="68"/>
      <c r="Y3125" s="68"/>
      <c r="Z3125" s="68"/>
    </row>
    <row r="3126" ht="15.0" customHeight="1">
      <c r="A3126" s="421"/>
      <c r="B3126" s="201"/>
      <c r="C3126" s="17"/>
      <c r="D3126" s="140"/>
      <c r="E3126" s="17"/>
      <c r="F3126" s="202"/>
      <c r="G3126" s="142"/>
      <c r="H3126" s="142"/>
      <c r="I3126" s="143"/>
      <c r="J3126" s="144"/>
      <c r="K3126" s="17"/>
      <c r="L3126" s="17"/>
      <c r="M3126" s="17"/>
      <c r="N3126" s="68"/>
      <c r="O3126" s="68"/>
      <c r="P3126" s="68"/>
      <c r="Q3126" s="149"/>
      <c r="R3126" s="149"/>
      <c r="S3126" s="149"/>
      <c r="T3126" s="149"/>
      <c r="U3126" s="149"/>
      <c r="V3126" s="149"/>
      <c r="W3126" s="149"/>
      <c r="X3126" s="68"/>
      <c r="Y3126" s="68"/>
      <c r="Z3126" s="68"/>
    </row>
    <row r="3127" ht="15.0" customHeight="1">
      <c r="A3127" s="421"/>
      <c r="B3127" s="201"/>
      <c r="C3127" s="17"/>
      <c r="D3127" s="140"/>
      <c r="E3127" s="17"/>
      <c r="F3127" s="202"/>
      <c r="G3127" s="142"/>
      <c r="H3127" s="142"/>
      <c r="I3127" s="143"/>
      <c r="J3127" s="144"/>
      <c r="K3127" s="17"/>
      <c r="L3127" s="17"/>
      <c r="M3127" s="17"/>
      <c r="N3127" s="68"/>
      <c r="O3127" s="68"/>
      <c r="P3127" s="68"/>
      <c r="Q3127" s="149"/>
      <c r="R3127" s="149"/>
      <c r="S3127" s="149"/>
      <c r="T3127" s="149"/>
      <c r="U3127" s="149"/>
      <c r="V3127" s="149"/>
      <c r="W3127" s="149"/>
      <c r="X3127" s="68"/>
      <c r="Y3127" s="68"/>
      <c r="Z3127" s="68"/>
    </row>
    <row r="3128" ht="15.0" customHeight="1">
      <c r="A3128" s="421"/>
      <c r="B3128" s="201"/>
      <c r="C3128" s="17"/>
      <c r="D3128" s="140"/>
      <c r="E3128" s="17"/>
      <c r="F3128" s="202"/>
      <c r="G3128" s="142"/>
      <c r="H3128" s="142"/>
      <c r="I3128" s="143"/>
      <c r="J3128" s="144"/>
      <c r="K3128" s="17"/>
      <c r="L3128" s="17"/>
      <c r="M3128" s="17"/>
      <c r="N3128" s="68"/>
      <c r="O3128" s="68"/>
      <c r="P3128" s="68"/>
      <c r="Q3128" s="149"/>
      <c r="R3128" s="149"/>
      <c r="S3128" s="149"/>
      <c r="T3128" s="149"/>
      <c r="U3128" s="149"/>
      <c r="V3128" s="149"/>
      <c r="W3128" s="149"/>
      <c r="X3128" s="68"/>
      <c r="Y3128" s="68"/>
      <c r="Z3128" s="68"/>
    </row>
    <row r="3129" ht="15.0" customHeight="1">
      <c r="A3129" s="421"/>
      <c r="B3129" s="201"/>
      <c r="C3129" s="17"/>
      <c r="D3129" s="140"/>
      <c r="E3129" s="17"/>
      <c r="F3129" s="202"/>
      <c r="G3129" s="142"/>
      <c r="H3129" s="142"/>
      <c r="I3129" s="143"/>
      <c r="J3129" s="144"/>
      <c r="K3129" s="17"/>
      <c r="L3129" s="17"/>
      <c r="M3129" s="17"/>
      <c r="N3129" s="68"/>
      <c r="O3129" s="68"/>
      <c r="P3129" s="68"/>
      <c r="Q3129" s="149"/>
      <c r="R3129" s="149"/>
      <c r="S3129" s="149"/>
      <c r="T3129" s="149"/>
      <c r="U3129" s="149"/>
      <c r="V3129" s="149"/>
      <c r="W3129" s="149"/>
      <c r="X3129" s="68"/>
      <c r="Y3129" s="68"/>
      <c r="Z3129" s="68"/>
    </row>
    <row r="3130" ht="15.0" customHeight="1">
      <c r="A3130" s="421"/>
      <c r="B3130" s="201"/>
      <c r="C3130" s="17"/>
      <c r="D3130" s="140"/>
      <c r="E3130" s="17"/>
      <c r="F3130" s="202"/>
      <c r="G3130" s="142"/>
      <c r="H3130" s="142"/>
      <c r="I3130" s="143"/>
      <c r="J3130" s="144"/>
      <c r="K3130" s="17"/>
      <c r="L3130" s="17"/>
      <c r="M3130" s="17"/>
      <c r="N3130" s="68"/>
      <c r="O3130" s="68"/>
      <c r="P3130" s="68"/>
      <c r="Q3130" s="149"/>
      <c r="R3130" s="149"/>
      <c r="S3130" s="149"/>
      <c r="T3130" s="149"/>
      <c r="U3130" s="149"/>
      <c r="V3130" s="149"/>
      <c r="W3130" s="149"/>
      <c r="X3130" s="68"/>
      <c r="Y3130" s="68"/>
      <c r="Z3130" s="68"/>
    </row>
    <row r="3131" ht="15.0" customHeight="1">
      <c r="A3131" s="421"/>
      <c r="B3131" s="201"/>
      <c r="C3131" s="17"/>
      <c r="D3131" s="140"/>
      <c r="E3131" s="17"/>
      <c r="F3131" s="202"/>
      <c r="G3131" s="142"/>
      <c r="H3131" s="142"/>
      <c r="I3131" s="143"/>
      <c r="J3131" s="144"/>
      <c r="K3131" s="17"/>
      <c r="L3131" s="17"/>
      <c r="M3131" s="17"/>
      <c r="N3131" s="68"/>
      <c r="O3131" s="68"/>
      <c r="P3131" s="68"/>
      <c r="Q3131" s="149"/>
      <c r="R3131" s="149"/>
      <c r="S3131" s="149"/>
      <c r="T3131" s="149"/>
      <c r="U3131" s="149"/>
      <c r="V3131" s="149"/>
      <c r="W3131" s="149"/>
      <c r="X3131" s="68"/>
      <c r="Y3131" s="68"/>
      <c r="Z3131" s="68"/>
    </row>
    <row r="3132" ht="15.0" customHeight="1">
      <c r="A3132" s="421"/>
      <c r="B3132" s="201"/>
      <c r="C3132" s="17"/>
      <c r="D3132" s="140"/>
      <c r="E3132" s="17"/>
      <c r="F3132" s="202"/>
      <c r="G3132" s="142"/>
      <c r="H3132" s="142"/>
      <c r="I3132" s="143"/>
      <c r="J3132" s="144"/>
      <c r="K3132" s="17"/>
      <c r="L3132" s="17"/>
      <c r="M3132" s="17"/>
      <c r="N3132" s="68"/>
      <c r="O3132" s="68"/>
      <c r="P3132" s="68"/>
      <c r="Q3132" s="149"/>
      <c r="R3132" s="149"/>
      <c r="S3132" s="149"/>
      <c r="T3132" s="149"/>
      <c r="U3132" s="149"/>
      <c r="V3132" s="149"/>
      <c r="W3132" s="149"/>
      <c r="X3132" s="68"/>
      <c r="Y3132" s="68"/>
      <c r="Z3132" s="68"/>
    </row>
    <row r="3133" ht="15.0" customHeight="1">
      <c r="A3133" s="421"/>
      <c r="B3133" s="201"/>
      <c r="C3133" s="17"/>
      <c r="D3133" s="140"/>
      <c r="E3133" s="17"/>
      <c r="F3133" s="202"/>
      <c r="G3133" s="142"/>
      <c r="H3133" s="142"/>
      <c r="I3133" s="143"/>
      <c r="J3133" s="144"/>
      <c r="K3133" s="17"/>
      <c r="L3133" s="17"/>
      <c r="M3133" s="17"/>
      <c r="N3133" s="68"/>
      <c r="O3133" s="68"/>
      <c r="P3133" s="68"/>
      <c r="Q3133" s="149"/>
      <c r="R3133" s="149"/>
      <c r="S3133" s="149"/>
      <c r="T3133" s="149"/>
      <c r="U3133" s="149"/>
      <c r="V3133" s="149"/>
      <c r="W3133" s="149"/>
      <c r="X3133" s="68"/>
      <c r="Y3133" s="68"/>
      <c r="Z3133" s="68"/>
    </row>
    <row r="3134" ht="15.0" customHeight="1">
      <c r="A3134" s="421"/>
      <c r="B3134" s="201"/>
      <c r="C3134" s="17"/>
      <c r="D3134" s="140"/>
      <c r="E3134" s="17"/>
      <c r="F3134" s="202"/>
      <c r="G3134" s="142"/>
      <c r="H3134" s="142"/>
      <c r="I3134" s="143"/>
      <c r="J3134" s="144"/>
      <c r="K3134" s="17"/>
      <c r="L3134" s="17"/>
      <c r="M3134" s="17"/>
      <c r="N3134" s="68"/>
      <c r="O3134" s="68"/>
      <c r="P3134" s="68"/>
      <c r="Q3134" s="149"/>
      <c r="R3134" s="149"/>
      <c r="S3134" s="149"/>
      <c r="T3134" s="149"/>
      <c r="U3134" s="149"/>
      <c r="V3134" s="149"/>
      <c r="W3134" s="149"/>
      <c r="X3134" s="68"/>
      <c r="Y3134" s="68"/>
      <c r="Z3134" s="68"/>
    </row>
    <row r="3135" ht="15.0" customHeight="1">
      <c r="A3135" s="421"/>
      <c r="B3135" s="201"/>
      <c r="C3135" s="17"/>
      <c r="D3135" s="140"/>
      <c r="E3135" s="17"/>
      <c r="F3135" s="202"/>
      <c r="G3135" s="142"/>
      <c r="H3135" s="142"/>
      <c r="I3135" s="143"/>
      <c r="J3135" s="144"/>
      <c r="K3135" s="17"/>
      <c r="L3135" s="17"/>
      <c r="M3135" s="17"/>
      <c r="N3135" s="68"/>
      <c r="O3135" s="68"/>
      <c r="P3135" s="68"/>
      <c r="Q3135" s="149"/>
      <c r="R3135" s="149"/>
      <c r="S3135" s="149"/>
      <c r="T3135" s="149"/>
      <c r="U3135" s="149"/>
      <c r="V3135" s="149"/>
      <c r="W3135" s="149"/>
      <c r="X3135" s="68"/>
      <c r="Y3135" s="68"/>
      <c r="Z3135" s="68"/>
    </row>
    <row r="3136" ht="15.0" customHeight="1">
      <c r="A3136" s="421"/>
      <c r="B3136" s="201"/>
      <c r="C3136" s="17"/>
      <c r="D3136" s="140"/>
      <c r="E3136" s="17"/>
      <c r="F3136" s="202"/>
      <c r="G3136" s="142"/>
      <c r="H3136" s="142"/>
      <c r="I3136" s="143"/>
      <c r="J3136" s="144"/>
      <c r="K3136" s="17"/>
      <c r="L3136" s="17"/>
      <c r="M3136" s="17"/>
      <c r="N3136" s="68"/>
      <c r="O3136" s="68"/>
      <c r="P3136" s="68"/>
      <c r="Q3136" s="149"/>
      <c r="R3136" s="149"/>
      <c r="S3136" s="149"/>
      <c r="T3136" s="149"/>
      <c r="U3136" s="149"/>
      <c r="V3136" s="149"/>
      <c r="W3136" s="149"/>
      <c r="X3136" s="68"/>
      <c r="Y3136" s="68"/>
      <c r="Z3136" s="68"/>
    </row>
    <row r="3137" ht="15.0" customHeight="1">
      <c r="A3137" s="421"/>
      <c r="B3137" s="201"/>
      <c r="C3137" s="17"/>
      <c r="D3137" s="140"/>
      <c r="E3137" s="17"/>
      <c r="F3137" s="202"/>
      <c r="G3137" s="142"/>
      <c r="H3137" s="142"/>
      <c r="I3137" s="143"/>
      <c r="J3137" s="144"/>
      <c r="K3137" s="17"/>
      <c r="L3137" s="17"/>
      <c r="M3137" s="17"/>
      <c r="N3137" s="68"/>
      <c r="O3137" s="68"/>
      <c r="P3137" s="68"/>
      <c r="Q3137" s="149"/>
      <c r="R3137" s="149"/>
      <c r="S3137" s="149"/>
      <c r="T3137" s="149"/>
      <c r="U3137" s="149"/>
      <c r="V3137" s="149"/>
      <c r="W3137" s="149"/>
      <c r="X3137" s="68"/>
      <c r="Y3137" s="68"/>
      <c r="Z3137" s="68"/>
    </row>
    <row r="3138" ht="15.0" customHeight="1">
      <c r="A3138" s="421"/>
      <c r="B3138" s="201"/>
      <c r="C3138" s="17"/>
      <c r="D3138" s="140"/>
      <c r="E3138" s="17"/>
      <c r="F3138" s="202"/>
      <c r="G3138" s="142"/>
      <c r="H3138" s="142"/>
      <c r="I3138" s="143"/>
      <c r="J3138" s="144"/>
      <c r="K3138" s="17"/>
      <c r="L3138" s="17"/>
      <c r="M3138" s="17"/>
      <c r="N3138" s="68"/>
      <c r="O3138" s="68"/>
      <c r="P3138" s="68"/>
      <c r="Q3138" s="149"/>
      <c r="R3138" s="149"/>
      <c r="S3138" s="149"/>
      <c r="T3138" s="149"/>
      <c r="U3138" s="149"/>
      <c r="V3138" s="149"/>
      <c r="W3138" s="149"/>
      <c r="X3138" s="68"/>
      <c r="Y3138" s="68"/>
      <c r="Z3138" s="68"/>
    </row>
    <row r="3139" ht="15.0" customHeight="1">
      <c r="A3139" s="421"/>
      <c r="B3139" s="201"/>
      <c r="C3139" s="17"/>
      <c r="D3139" s="140"/>
      <c r="E3139" s="17"/>
      <c r="F3139" s="202"/>
      <c r="G3139" s="142"/>
      <c r="H3139" s="142"/>
      <c r="I3139" s="143"/>
      <c r="J3139" s="144"/>
      <c r="K3139" s="17"/>
      <c r="L3139" s="17"/>
      <c r="M3139" s="17"/>
      <c r="N3139" s="68"/>
      <c r="O3139" s="68"/>
      <c r="P3139" s="68"/>
      <c r="Q3139" s="149"/>
      <c r="R3139" s="149"/>
      <c r="S3139" s="149"/>
      <c r="T3139" s="149"/>
      <c r="U3139" s="149"/>
      <c r="V3139" s="149"/>
      <c r="W3139" s="149"/>
      <c r="X3139" s="68"/>
      <c r="Y3139" s="68"/>
      <c r="Z3139" s="68"/>
    </row>
    <row r="3140" ht="15.0" customHeight="1">
      <c r="A3140" s="421"/>
      <c r="B3140" s="201"/>
      <c r="C3140" s="17"/>
      <c r="D3140" s="140"/>
      <c r="E3140" s="17"/>
      <c r="F3140" s="202"/>
      <c r="G3140" s="142"/>
      <c r="H3140" s="142"/>
      <c r="I3140" s="143"/>
      <c r="J3140" s="144"/>
      <c r="K3140" s="17"/>
      <c r="L3140" s="17"/>
      <c r="M3140" s="17"/>
      <c r="N3140" s="68"/>
      <c r="O3140" s="68"/>
      <c r="P3140" s="68"/>
      <c r="Q3140" s="149"/>
      <c r="R3140" s="149"/>
      <c r="S3140" s="149"/>
      <c r="T3140" s="149"/>
      <c r="U3140" s="149"/>
      <c r="V3140" s="149"/>
      <c r="W3140" s="149"/>
      <c r="X3140" s="68"/>
      <c r="Y3140" s="68"/>
      <c r="Z3140" s="68"/>
    </row>
    <row r="3141" ht="15.0" customHeight="1">
      <c r="A3141" s="421"/>
      <c r="B3141" s="201"/>
      <c r="C3141" s="17"/>
      <c r="D3141" s="140"/>
      <c r="E3141" s="17"/>
      <c r="F3141" s="202"/>
      <c r="G3141" s="142"/>
      <c r="H3141" s="142"/>
      <c r="I3141" s="143"/>
      <c r="J3141" s="144"/>
      <c r="K3141" s="17"/>
      <c r="L3141" s="17"/>
      <c r="M3141" s="17"/>
      <c r="N3141" s="68"/>
      <c r="O3141" s="68"/>
      <c r="P3141" s="68"/>
      <c r="Q3141" s="149"/>
      <c r="R3141" s="149"/>
      <c r="S3141" s="149"/>
      <c r="T3141" s="149"/>
      <c r="U3141" s="149"/>
      <c r="V3141" s="149"/>
      <c r="W3141" s="149"/>
      <c r="X3141" s="68"/>
      <c r="Y3141" s="68"/>
      <c r="Z3141" s="68"/>
    </row>
    <row r="3142" ht="15.0" customHeight="1">
      <c r="A3142" s="421"/>
      <c r="B3142" s="201"/>
      <c r="C3142" s="17"/>
      <c r="D3142" s="140"/>
      <c r="E3142" s="17"/>
      <c r="F3142" s="202"/>
      <c r="G3142" s="142"/>
      <c r="H3142" s="142"/>
      <c r="I3142" s="143"/>
      <c r="J3142" s="144"/>
      <c r="K3142" s="17"/>
      <c r="L3142" s="17"/>
      <c r="M3142" s="17"/>
      <c r="N3142" s="68"/>
      <c r="O3142" s="68"/>
      <c r="P3142" s="68"/>
      <c r="Q3142" s="149"/>
      <c r="R3142" s="149"/>
      <c r="S3142" s="149"/>
      <c r="T3142" s="149"/>
      <c r="U3142" s="149"/>
      <c r="V3142" s="149"/>
      <c r="W3142" s="149"/>
      <c r="X3142" s="68"/>
      <c r="Y3142" s="68"/>
      <c r="Z3142" s="68"/>
    </row>
    <row r="3143" ht="15.0" customHeight="1">
      <c r="A3143" s="421"/>
      <c r="B3143" s="201"/>
      <c r="C3143" s="17"/>
      <c r="D3143" s="140"/>
      <c r="E3143" s="17"/>
      <c r="F3143" s="202"/>
      <c r="G3143" s="142"/>
      <c r="H3143" s="142"/>
      <c r="I3143" s="143"/>
      <c r="J3143" s="144"/>
      <c r="K3143" s="17"/>
      <c r="L3143" s="17"/>
      <c r="M3143" s="17"/>
      <c r="N3143" s="68"/>
      <c r="O3143" s="68"/>
      <c r="P3143" s="68"/>
      <c r="Q3143" s="149"/>
      <c r="R3143" s="149"/>
      <c r="S3143" s="149"/>
      <c r="T3143" s="149"/>
      <c r="U3143" s="149"/>
      <c r="V3143" s="149"/>
      <c r="W3143" s="149"/>
      <c r="X3143" s="68"/>
      <c r="Y3143" s="68"/>
      <c r="Z3143" s="68"/>
    </row>
    <row r="3144" ht="15.0" customHeight="1">
      <c r="A3144" s="421"/>
      <c r="B3144" s="201"/>
      <c r="C3144" s="17"/>
      <c r="D3144" s="140"/>
      <c r="E3144" s="17"/>
      <c r="F3144" s="202"/>
      <c r="G3144" s="142"/>
      <c r="H3144" s="142"/>
      <c r="I3144" s="143"/>
      <c r="J3144" s="144"/>
      <c r="K3144" s="17"/>
      <c r="L3144" s="17"/>
      <c r="M3144" s="17"/>
      <c r="N3144" s="68"/>
      <c r="O3144" s="68"/>
      <c r="P3144" s="68"/>
      <c r="Q3144" s="149"/>
      <c r="R3144" s="149"/>
      <c r="S3144" s="149"/>
      <c r="T3144" s="149"/>
      <c r="U3144" s="149"/>
      <c r="V3144" s="149"/>
      <c r="W3144" s="149"/>
      <c r="X3144" s="68"/>
      <c r="Y3144" s="68"/>
      <c r="Z3144" s="68"/>
    </row>
    <row r="3145" ht="15.0" customHeight="1">
      <c r="A3145" s="421"/>
      <c r="B3145" s="201"/>
      <c r="C3145" s="17"/>
      <c r="D3145" s="140"/>
      <c r="E3145" s="17"/>
      <c r="F3145" s="202"/>
      <c r="G3145" s="142"/>
      <c r="H3145" s="142"/>
      <c r="I3145" s="143"/>
      <c r="J3145" s="144"/>
      <c r="K3145" s="17"/>
      <c r="L3145" s="17"/>
      <c r="M3145" s="17"/>
      <c r="N3145" s="68"/>
      <c r="O3145" s="68"/>
      <c r="P3145" s="68"/>
      <c r="Q3145" s="149"/>
      <c r="R3145" s="149"/>
      <c r="S3145" s="149"/>
      <c r="T3145" s="149"/>
      <c r="U3145" s="149"/>
      <c r="V3145" s="149"/>
      <c r="W3145" s="149"/>
      <c r="X3145" s="68"/>
      <c r="Y3145" s="68"/>
      <c r="Z3145" s="68"/>
    </row>
    <row r="3146" ht="15.0" customHeight="1">
      <c r="A3146" s="421"/>
      <c r="B3146" s="201"/>
      <c r="C3146" s="17"/>
      <c r="D3146" s="140"/>
      <c r="E3146" s="17"/>
      <c r="F3146" s="202"/>
      <c r="G3146" s="142"/>
      <c r="H3146" s="142"/>
      <c r="I3146" s="143"/>
      <c r="J3146" s="144"/>
      <c r="K3146" s="17"/>
      <c r="L3146" s="17"/>
      <c r="M3146" s="17"/>
      <c r="N3146" s="68"/>
      <c r="O3146" s="68"/>
      <c r="P3146" s="68"/>
      <c r="Q3146" s="149"/>
      <c r="R3146" s="149"/>
      <c r="S3146" s="149"/>
      <c r="T3146" s="149"/>
      <c r="U3146" s="149"/>
      <c r="V3146" s="149"/>
      <c r="W3146" s="149"/>
      <c r="X3146" s="68"/>
      <c r="Y3146" s="68"/>
      <c r="Z3146" s="68"/>
    </row>
    <row r="3147" ht="15.0" customHeight="1">
      <c r="A3147" s="421"/>
      <c r="B3147" s="201"/>
      <c r="C3147" s="17"/>
      <c r="D3147" s="140"/>
      <c r="E3147" s="17"/>
      <c r="F3147" s="202"/>
      <c r="G3147" s="142"/>
      <c r="H3147" s="142"/>
      <c r="I3147" s="143"/>
      <c r="J3147" s="144"/>
      <c r="K3147" s="17"/>
      <c r="L3147" s="17"/>
      <c r="M3147" s="17"/>
      <c r="N3147" s="68"/>
      <c r="O3147" s="68"/>
      <c r="P3147" s="68"/>
      <c r="Q3147" s="149"/>
      <c r="R3147" s="149"/>
      <c r="S3147" s="149"/>
      <c r="T3147" s="149"/>
      <c r="U3147" s="149"/>
      <c r="V3147" s="149"/>
      <c r="W3147" s="149"/>
      <c r="X3147" s="68"/>
      <c r="Y3147" s="68"/>
      <c r="Z3147" s="68"/>
    </row>
    <row r="3148" ht="15.0" customHeight="1">
      <c r="A3148" s="421"/>
      <c r="B3148" s="201"/>
      <c r="C3148" s="17"/>
      <c r="D3148" s="140"/>
      <c r="E3148" s="17"/>
      <c r="F3148" s="202"/>
      <c r="G3148" s="142"/>
      <c r="H3148" s="142"/>
      <c r="I3148" s="143"/>
      <c r="J3148" s="144"/>
      <c r="K3148" s="17"/>
      <c r="L3148" s="17"/>
      <c r="M3148" s="17"/>
      <c r="N3148" s="68"/>
      <c r="O3148" s="68"/>
      <c r="P3148" s="68"/>
      <c r="Q3148" s="149"/>
      <c r="R3148" s="149"/>
      <c r="S3148" s="149"/>
      <c r="T3148" s="149"/>
      <c r="U3148" s="149"/>
      <c r="V3148" s="149"/>
      <c r="W3148" s="149"/>
      <c r="X3148" s="68"/>
      <c r="Y3148" s="68"/>
      <c r="Z3148" s="68"/>
    </row>
    <row r="3149" ht="15.0" customHeight="1">
      <c r="A3149" s="421"/>
      <c r="B3149" s="201"/>
      <c r="C3149" s="17"/>
      <c r="D3149" s="140"/>
      <c r="E3149" s="17"/>
      <c r="F3149" s="202"/>
      <c r="G3149" s="142"/>
      <c r="H3149" s="142"/>
      <c r="I3149" s="143"/>
      <c r="J3149" s="144"/>
      <c r="K3149" s="17"/>
      <c r="L3149" s="17"/>
      <c r="M3149" s="17"/>
      <c r="N3149" s="68"/>
      <c r="O3149" s="68"/>
      <c r="P3149" s="68"/>
      <c r="Q3149" s="149"/>
      <c r="R3149" s="149"/>
      <c r="S3149" s="149"/>
      <c r="T3149" s="149"/>
      <c r="U3149" s="149"/>
      <c r="V3149" s="149"/>
      <c r="W3149" s="149"/>
      <c r="X3149" s="68"/>
      <c r="Y3149" s="68"/>
      <c r="Z3149" s="68"/>
    </row>
    <row r="3150" ht="15.0" customHeight="1">
      <c r="A3150" s="421"/>
      <c r="B3150" s="201"/>
      <c r="C3150" s="17"/>
      <c r="D3150" s="140"/>
      <c r="E3150" s="17"/>
      <c r="F3150" s="202"/>
      <c r="G3150" s="142"/>
      <c r="H3150" s="142"/>
      <c r="I3150" s="143"/>
      <c r="J3150" s="144"/>
      <c r="K3150" s="17"/>
      <c r="L3150" s="17"/>
      <c r="M3150" s="17"/>
      <c r="N3150" s="68"/>
      <c r="O3150" s="68"/>
      <c r="P3150" s="68"/>
      <c r="Q3150" s="149"/>
      <c r="R3150" s="149"/>
      <c r="S3150" s="149"/>
      <c r="T3150" s="149"/>
      <c r="U3150" s="149"/>
      <c r="V3150" s="149"/>
      <c r="W3150" s="149"/>
      <c r="X3150" s="68"/>
      <c r="Y3150" s="68"/>
      <c r="Z3150" s="68"/>
    </row>
    <row r="3151" ht="15.0" customHeight="1">
      <c r="A3151" s="421"/>
      <c r="B3151" s="201"/>
      <c r="C3151" s="17"/>
      <c r="D3151" s="140"/>
      <c r="E3151" s="17"/>
      <c r="F3151" s="202"/>
      <c r="G3151" s="142"/>
      <c r="H3151" s="142"/>
      <c r="I3151" s="143"/>
      <c r="J3151" s="144"/>
      <c r="K3151" s="17"/>
      <c r="L3151" s="17"/>
      <c r="M3151" s="17"/>
      <c r="N3151" s="68"/>
      <c r="O3151" s="68"/>
      <c r="P3151" s="68"/>
      <c r="Q3151" s="149"/>
      <c r="R3151" s="149"/>
      <c r="S3151" s="149"/>
      <c r="T3151" s="149"/>
      <c r="U3151" s="149"/>
      <c r="V3151" s="149"/>
      <c r="W3151" s="149"/>
      <c r="X3151" s="68"/>
      <c r="Y3151" s="68"/>
      <c r="Z3151" s="68"/>
    </row>
    <row r="3152" ht="15.0" customHeight="1">
      <c r="A3152" s="421"/>
      <c r="B3152" s="201"/>
      <c r="C3152" s="17"/>
      <c r="D3152" s="140"/>
      <c r="E3152" s="17"/>
      <c r="F3152" s="202"/>
      <c r="G3152" s="142"/>
      <c r="H3152" s="142"/>
      <c r="I3152" s="143"/>
      <c r="J3152" s="144"/>
      <c r="K3152" s="17"/>
      <c r="L3152" s="17"/>
      <c r="M3152" s="17"/>
      <c r="N3152" s="68"/>
      <c r="O3152" s="68"/>
      <c r="P3152" s="68"/>
      <c r="Q3152" s="149"/>
      <c r="R3152" s="149"/>
      <c r="S3152" s="149"/>
      <c r="T3152" s="149"/>
      <c r="U3152" s="149"/>
      <c r="V3152" s="149"/>
      <c r="W3152" s="149"/>
      <c r="X3152" s="68"/>
      <c r="Y3152" s="68"/>
      <c r="Z3152" s="68"/>
    </row>
    <row r="3153" ht="15.0" customHeight="1">
      <c r="A3153" s="421"/>
      <c r="B3153" s="201"/>
      <c r="C3153" s="17"/>
      <c r="D3153" s="140"/>
      <c r="E3153" s="17"/>
      <c r="F3153" s="202"/>
      <c r="G3153" s="142"/>
      <c r="H3153" s="142"/>
      <c r="I3153" s="143"/>
      <c r="J3153" s="144"/>
      <c r="K3153" s="17"/>
      <c r="L3153" s="17"/>
      <c r="M3153" s="17"/>
      <c r="N3153" s="68"/>
      <c r="O3153" s="68"/>
      <c r="P3153" s="68"/>
      <c r="Q3153" s="149"/>
      <c r="R3153" s="149"/>
      <c r="S3153" s="149"/>
      <c r="T3153" s="149"/>
      <c r="U3153" s="149"/>
      <c r="V3153" s="149"/>
      <c r="W3153" s="149"/>
      <c r="X3153" s="68"/>
      <c r="Y3153" s="68"/>
      <c r="Z3153" s="68"/>
    </row>
    <row r="3154" ht="15.0" customHeight="1">
      <c r="A3154" s="421"/>
      <c r="B3154" s="201"/>
      <c r="C3154" s="17"/>
      <c r="D3154" s="140"/>
      <c r="E3154" s="17"/>
      <c r="F3154" s="202"/>
      <c r="G3154" s="142"/>
      <c r="H3154" s="142"/>
      <c r="I3154" s="143"/>
      <c r="J3154" s="144"/>
      <c r="K3154" s="17"/>
      <c r="L3154" s="17"/>
      <c r="M3154" s="17"/>
      <c r="N3154" s="68"/>
      <c r="O3154" s="68"/>
      <c r="P3154" s="68"/>
      <c r="Q3154" s="149"/>
      <c r="R3154" s="149"/>
      <c r="S3154" s="149"/>
      <c r="T3154" s="149"/>
      <c r="U3154" s="149"/>
      <c r="V3154" s="149"/>
      <c r="W3154" s="149"/>
      <c r="X3154" s="68"/>
      <c r="Y3154" s="68"/>
      <c r="Z3154" s="68"/>
    </row>
    <row r="3155" ht="15.0" customHeight="1">
      <c r="A3155" s="421"/>
      <c r="B3155" s="201"/>
      <c r="C3155" s="17"/>
      <c r="D3155" s="140"/>
      <c r="E3155" s="17"/>
      <c r="F3155" s="202"/>
      <c r="G3155" s="142"/>
      <c r="H3155" s="142"/>
      <c r="I3155" s="143"/>
      <c r="J3155" s="144"/>
      <c r="K3155" s="17"/>
      <c r="L3155" s="17"/>
      <c r="M3155" s="17"/>
      <c r="N3155" s="68"/>
      <c r="O3155" s="68"/>
      <c r="P3155" s="68"/>
      <c r="Q3155" s="149"/>
      <c r="R3155" s="149"/>
      <c r="S3155" s="149"/>
      <c r="T3155" s="149"/>
      <c r="U3155" s="149"/>
      <c r="V3155" s="149"/>
      <c r="W3155" s="149"/>
      <c r="X3155" s="68"/>
      <c r="Y3155" s="68"/>
      <c r="Z3155" s="68"/>
    </row>
    <row r="3156" ht="15.0" customHeight="1">
      <c r="A3156" s="421"/>
      <c r="B3156" s="201"/>
      <c r="C3156" s="17"/>
      <c r="D3156" s="140"/>
      <c r="E3156" s="17"/>
      <c r="F3156" s="202"/>
      <c r="G3156" s="142"/>
      <c r="H3156" s="142"/>
      <c r="I3156" s="143"/>
      <c r="J3156" s="144"/>
      <c r="K3156" s="17"/>
      <c r="L3156" s="17"/>
      <c r="M3156" s="17"/>
      <c r="N3156" s="68"/>
      <c r="O3156" s="68"/>
      <c r="P3156" s="68"/>
      <c r="Q3156" s="149"/>
      <c r="R3156" s="149"/>
      <c r="S3156" s="149"/>
      <c r="T3156" s="149"/>
      <c r="U3156" s="149"/>
      <c r="V3156" s="149"/>
      <c r="W3156" s="149"/>
      <c r="X3156" s="68"/>
      <c r="Y3156" s="68"/>
      <c r="Z3156" s="68"/>
    </row>
    <row r="3157" ht="15.0" customHeight="1">
      <c r="A3157" s="421"/>
      <c r="B3157" s="201"/>
      <c r="C3157" s="17"/>
      <c r="D3157" s="140"/>
      <c r="E3157" s="17"/>
      <c r="F3157" s="202"/>
      <c r="G3157" s="142"/>
      <c r="H3157" s="142"/>
      <c r="I3157" s="143"/>
      <c r="J3157" s="144"/>
      <c r="K3157" s="17"/>
      <c r="L3157" s="17"/>
      <c r="M3157" s="17"/>
      <c r="N3157" s="68"/>
      <c r="O3157" s="68"/>
      <c r="P3157" s="68"/>
      <c r="Q3157" s="149"/>
      <c r="R3157" s="149"/>
      <c r="S3157" s="149"/>
      <c r="T3157" s="149"/>
      <c r="U3157" s="149"/>
      <c r="V3157" s="149"/>
      <c r="W3157" s="149"/>
      <c r="X3157" s="68"/>
      <c r="Y3157" s="68"/>
      <c r="Z3157" s="68"/>
    </row>
    <row r="3158" ht="15.0" customHeight="1">
      <c r="A3158" s="421"/>
      <c r="B3158" s="201"/>
      <c r="C3158" s="17"/>
      <c r="D3158" s="140"/>
      <c r="E3158" s="17"/>
      <c r="F3158" s="202"/>
      <c r="G3158" s="142"/>
      <c r="H3158" s="142"/>
      <c r="I3158" s="143"/>
      <c r="J3158" s="144"/>
      <c r="K3158" s="17"/>
      <c r="L3158" s="17"/>
      <c r="M3158" s="17"/>
      <c r="N3158" s="68"/>
      <c r="O3158" s="68"/>
      <c r="P3158" s="68"/>
      <c r="Q3158" s="149"/>
      <c r="R3158" s="149"/>
      <c r="S3158" s="149"/>
      <c r="T3158" s="149"/>
      <c r="U3158" s="149"/>
      <c r="V3158" s="149"/>
      <c r="W3158" s="149"/>
      <c r="X3158" s="68"/>
      <c r="Y3158" s="68"/>
      <c r="Z3158" s="68"/>
    </row>
    <row r="3159" ht="15.0" customHeight="1">
      <c r="A3159" s="421"/>
      <c r="B3159" s="201"/>
      <c r="C3159" s="17"/>
      <c r="D3159" s="140"/>
      <c r="E3159" s="17"/>
      <c r="F3159" s="202"/>
      <c r="G3159" s="142"/>
      <c r="H3159" s="142"/>
      <c r="I3159" s="143"/>
      <c r="J3159" s="144"/>
      <c r="K3159" s="17"/>
      <c r="L3159" s="17"/>
      <c r="M3159" s="17"/>
      <c r="N3159" s="68"/>
      <c r="O3159" s="68"/>
      <c r="P3159" s="68"/>
      <c r="Q3159" s="149"/>
      <c r="R3159" s="149"/>
      <c r="S3159" s="149"/>
      <c r="T3159" s="149"/>
      <c r="U3159" s="149"/>
      <c r="V3159" s="149"/>
      <c r="W3159" s="149"/>
      <c r="X3159" s="68"/>
      <c r="Y3159" s="68"/>
      <c r="Z3159" s="68"/>
    </row>
    <row r="3160" ht="15.0" customHeight="1">
      <c r="A3160" s="421"/>
      <c r="B3160" s="201"/>
      <c r="C3160" s="17"/>
      <c r="D3160" s="140"/>
      <c r="E3160" s="17"/>
      <c r="F3160" s="202"/>
      <c r="G3160" s="142"/>
      <c r="H3160" s="142"/>
      <c r="I3160" s="143"/>
      <c r="J3160" s="144"/>
      <c r="K3160" s="17"/>
      <c r="L3160" s="17"/>
      <c r="M3160" s="17"/>
      <c r="N3160" s="68"/>
      <c r="O3160" s="68"/>
      <c r="P3160" s="68"/>
      <c r="Q3160" s="149"/>
      <c r="R3160" s="149"/>
      <c r="S3160" s="149"/>
      <c r="T3160" s="149"/>
      <c r="U3160" s="149"/>
      <c r="V3160" s="149"/>
      <c r="W3160" s="149"/>
      <c r="X3160" s="68"/>
      <c r="Y3160" s="68"/>
      <c r="Z3160" s="68"/>
    </row>
    <row r="3161" ht="15.0" customHeight="1">
      <c r="A3161" s="421"/>
      <c r="B3161" s="201"/>
      <c r="C3161" s="17"/>
      <c r="D3161" s="140"/>
      <c r="E3161" s="17"/>
      <c r="F3161" s="202"/>
      <c r="G3161" s="142"/>
      <c r="H3161" s="142"/>
      <c r="I3161" s="143"/>
      <c r="J3161" s="144"/>
      <c r="K3161" s="17"/>
      <c r="L3161" s="17"/>
      <c r="M3161" s="17"/>
      <c r="N3161" s="68"/>
      <c r="O3161" s="68"/>
      <c r="P3161" s="68"/>
      <c r="Q3161" s="149"/>
      <c r="R3161" s="149"/>
      <c r="S3161" s="149"/>
      <c r="T3161" s="149"/>
      <c r="U3161" s="149"/>
      <c r="V3161" s="149"/>
      <c r="W3161" s="149"/>
      <c r="X3161" s="68"/>
      <c r="Y3161" s="68"/>
      <c r="Z3161" s="68"/>
    </row>
    <row r="3162" ht="15.0" customHeight="1">
      <c r="A3162" s="421"/>
      <c r="B3162" s="201"/>
      <c r="C3162" s="17"/>
      <c r="D3162" s="140"/>
      <c r="E3162" s="17"/>
      <c r="F3162" s="202"/>
      <c r="G3162" s="142"/>
      <c r="H3162" s="142"/>
      <c r="I3162" s="143"/>
      <c r="J3162" s="144"/>
      <c r="K3162" s="17"/>
      <c r="L3162" s="17"/>
      <c r="M3162" s="17"/>
      <c r="N3162" s="68"/>
      <c r="O3162" s="68"/>
      <c r="P3162" s="68"/>
      <c r="Q3162" s="149"/>
      <c r="R3162" s="149"/>
      <c r="S3162" s="149"/>
      <c r="T3162" s="149"/>
      <c r="U3162" s="149"/>
      <c r="V3162" s="149"/>
      <c r="W3162" s="149"/>
      <c r="X3162" s="68"/>
      <c r="Y3162" s="68"/>
      <c r="Z3162" s="68"/>
    </row>
    <row r="3163" ht="15.0" customHeight="1">
      <c r="A3163" s="421"/>
      <c r="B3163" s="201"/>
      <c r="C3163" s="17"/>
      <c r="D3163" s="140"/>
      <c r="E3163" s="17"/>
      <c r="F3163" s="202"/>
      <c r="G3163" s="142"/>
      <c r="H3163" s="142"/>
      <c r="I3163" s="143"/>
      <c r="J3163" s="144"/>
      <c r="K3163" s="17"/>
      <c r="L3163" s="17"/>
      <c r="M3163" s="17"/>
      <c r="N3163" s="68"/>
      <c r="O3163" s="68"/>
      <c r="P3163" s="68"/>
      <c r="Q3163" s="149"/>
      <c r="R3163" s="149"/>
      <c r="S3163" s="149"/>
      <c r="T3163" s="149"/>
      <c r="U3163" s="149"/>
      <c r="V3163" s="149"/>
      <c r="W3163" s="149"/>
      <c r="X3163" s="68"/>
      <c r="Y3163" s="68"/>
      <c r="Z3163" s="68"/>
    </row>
    <row r="3164" ht="15.0" customHeight="1">
      <c r="A3164" s="421"/>
      <c r="B3164" s="201"/>
      <c r="C3164" s="17"/>
      <c r="D3164" s="140"/>
      <c r="E3164" s="17"/>
      <c r="F3164" s="202"/>
      <c r="G3164" s="142"/>
      <c r="H3164" s="142"/>
      <c r="I3164" s="143"/>
      <c r="J3164" s="144"/>
      <c r="K3164" s="17"/>
      <c r="L3164" s="17"/>
      <c r="M3164" s="17"/>
      <c r="N3164" s="68"/>
      <c r="O3164" s="68"/>
      <c r="P3164" s="68"/>
      <c r="Q3164" s="149"/>
      <c r="R3164" s="149"/>
      <c r="S3164" s="149"/>
      <c r="T3164" s="149"/>
      <c r="U3164" s="149"/>
      <c r="V3164" s="149"/>
      <c r="W3164" s="149"/>
      <c r="X3164" s="68"/>
      <c r="Y3164" s="68"/>
      <c r="Z3164" s="68"/>
    </row>
    <row r="3165" ht="15.0" customHeight="1">
      <c r="A3165" s="421"/>
      <c r="B3165" s="201"/>
      <c r="C3165" s="17"/>
      <c r="D3165" s="140"/>
      <c r="E3165" s="17"/>
      <c r="F3165" s="202"/>
      <c r="G3165" s="142"/>
      <c r="H3165" s="142"/>
      <c r="I3165" s="143"/>
      <c r="J3165" s="144"/>
      <c r="K3165" s="17"/>
      <c r="L3165" s="17"/>
      <c r="M3165" s="17"/>
      <c r="N3165" s="68"/>
      <c r="O3165" s="68"/>
      <c r="P3165" s="68"/>
      <c r="Q3165" s="149"/>
      <c r="R3165" s="149"/>
      <c r="S3165" s="149"/>
      <c r="T3165" s="149"/>
      <c r="U3165" s="149"/>
      <c r="V3165" s="149"/>
      <c r="W3165" s="149"/>
      <c r="X3165" s="68"/>
      <c r="Y3165" s="68"/>
      <c r="Z3165" s="68"/>
    </row>
    <row r="3166" ht="15.0" customHeight="1">
      <c r="A3166" s="421"/>
      <c r="B3166" s="201"/>
      <c r="C3166" s="17"/>
      <c r="D3166" s="140"/>
      <c r="E3166" s="17"/>
      <c r="F3166" s="202"/>
      <c r="G3166" s="142"/>
      <c r="H3166" s="142"/>
      <c r="I3166" s="143"/>
      <c r="J3166" s="144"/>
      <c r="K3166" s="17"/>
      <c r="L3166" s="17"/>
      <c r="M3166" s="17"/>
      <c r="N3166" s="68"/>
      <c r="O3166" s="68"/>
      <c r="P3166" s="68"/>
      <c r="Q3166" s="149"/>
      <c r="R3166" s="149"/>
      <c r="S3166" s="149"/>
      <c r="T3166" s="149"/>
      <c r="U3166" s="149"/>
      <c r="V3166" s="149"/>
      <c r="W3166" s="149"/>
      <c r="X3166" s="68"/>
      <c r="Y3166" s="68"/>
      <c r="Z3166" s="68"/>
    </row>
    <row r="3167" ht="15.0" customHeight="1">
      <c r="A3167" s="421"/>
      <c r="B3167" s="201"/>
      <c r="C3167" s="17"/>
      <c r="D3167" s="140"/>
      <c r="E3167" s="17"/>
      <c r="F3167" s="202"/>
      <c r="G3167" s="142"/>
      <c r="H3167" s="142"/>
      <c r="I3167" s="143"/>
      <c r="J3167" s="144"/>
      <c r="K3167" s="17"/>
      <c r="L3167" s="17"/>
      <c r="M3167" s="17"/>
      <c r="N3167" s="68"/>
      <c r="O3167" s="68"/>
      <c r="P3167" s="68"/>
      <c r="Q3167" s="149"/>
      <c r="R3167" s="149"/>
      <c r="S3167" s="149"/>
      <c r="T3167" s="149"/>
      <c r="U3167" s="149"/>
      <c r="V3167" s="149"/>
      <c r="W3167" s="149"/>
      <c r="X3167" s="68"/>
      <c r="Y3167" s="68"/>
      <c r="Z3167" s="68"/>
    </row>
    <row r="3168" ht="15.0" customHeight="1">
      <c r="A3168" s="421"/>
      <c r="B3168" s="201"/>
      <c r="C3168" s="17"/>
      <c r="D3168" s="140"/>
      <c r="E3168" s="17"/>
      <c r="F3168" s="202"/>
      <c r="G3168" s="142"/>
      <c r="H3168" s="142"/>
      <c r="I3168" s="143"/>
      <c r="J3168" s="144"/>
      <c r="K3168" s="17"/>
      <c r="L3168" s="17"/>
      <c r="M3168" s="17"/>
      <c r="N3168" s="68"/>
      <c r="O3168" s="68"/>
      <c r="P3168" s="68"/>
      <c r="Q3168" s="149"/>
      <c r="R3168" s="149"/>
      <c r="S3168" s="149"/>
      <c r="T3168" s="149"/>
      <c r="U3168" s="149"/>
      <c r="V3168" s="149"/>
      <c r="W3168" s="149"/>
      <c r="X3168" s="68"/>
      <c r="Y3168" s="68"/>
      <c r="Z3168" s="68"/>
    </row>
    <row r="3169" ht="15.0" customHeight="1">
      <c r="A3169" s="421"/>
      <c r="B3169" s="201"/>
      <c r="C3169" s="17"/>
      <c r="D3169" s="140"/>
      <c r="E3169" s="17"/>
      <c r="F3169" s="202"/>
      <c r="G3169" s="142"/>
      <c r="H3169" s="142"/>
      <c r="I3169" s="143"/>
      <c r="J3169" s="144"/>
      <c r="K3169" s="17"/>
      <c r="L3169" s="17"/>
      <c r="M3169" s="17"/>
      <c r="N3169" s="68"/>
      <c r="O3169" s="68"/>
      <c r="P3169" s="68"/>
      <c r="Q3169" s="149"/>
      <c r="R3169" s="149"/>
      <c r="S3169" s="149"/>
      <c r="T3169" s="149"/>
      <c r="U3169" s="149"/>
      <c r="V3169" s="149"/>
      <c r="W3169" s="149"/>
      <c r="X3169" s="68"/>
      <c r="Y3169" s="68"/>
      <c r="Z3169" s="68"/>
    </row>
    <row r="3170" ht="15.0" customHeight="1">
      <c r="A3170" s="421"/>
      <c r="B3170" s="201"/>
      <c r="C3170" s="17"/>
      <c r="D3170" s="140"/>
      <c r="E3170" s="17"/>
      <c r="F3170" s="202"/>
      <c r="G3170" s="142"/>
      <c r="H3170" s="142"/>
      <c r="I3170" s="143"/>
      <c r="J3170" s="144"/>
      <c r="K3170" s="17"/>
      <c r="L3170" s="17"/>
      <c r="M3170" s="17"/>
      <c r="N3170" s="68"/>
      <c r="O3170" s="68"/>
      <c r="P3170" s="68"/>
      <c r="Q3170" s="149"/>
      <c r="R3170" s="149"/>
      <c r="S3170" s="149"/>
      <c r="T3170" s="149"/>
      <c r="U3170" s="149"/>
      <c r="V3170" s="149"/>
      <c r="W3170" s="149"/>
      <c r="X3170" s="68"/>
      <c r="Y3170" s="68"/>
      <c r="Z3170" s="68"/>
    </row>
    <row r="3171" ht="15.0" customHeight="1">
      <c r="A3171" s="421"/>
      <c r="B3171" s="201"/>
      <c r="C3171" s="17"/>
      <c r="D3171" s="140"/>
      <c r="E3171" s="17"/>
      <c r="F3171" s="202"/>
      <c r="G3171" s="142"/>
      <c r="H3171" s="142"/>
      <c r="I3171" s="143"/>
      <c r="J3171" s="144"/>
      <c r="K3171" s="17"/>
      <c r="L3171" s="17"/>
      <c r="M3171" s="17"/>
      <c r="N3171" s="68"/>
      <c r="O3171" s="68"/>
      <c r="P3171" s="68"/>
      <c r="Q3171" s="149"/>
      <c r="R3171" s="149"/>
      <c r="S3171" s="149"/>
      <c r="T3171" s="149"/>
      <c r="U3171" s="149"/>
      <c r="V3171" s="149"/>
      <c r="W3171" s="149"/>
      <c r="X3171" s="68"/>
      <c r="Y3171" s="68"/>
      <c r="Z3171" s="68"/>
    </row>
    <row r="3172" ht="15.0" customHeight="1">
      <c r="A3172" s="421"/>
      <c r="B3172" s="201"/>
      <c r="C3172" s="17"/>
      <c r="D3172" s="140"/>
      <c r="E3172" s="17"/>
      <c r="F3172" s="202"/>
      <c r="G3172" s="142"/>
      <c r="H3172" s="142"/>
      <c r="I3172" s="143"/>
      <c r="J3172" s="144"/>
      <c r="K3172" s="17"/>
      <c r="L3172" s="17"/>
      <c r="M3172" s="17"/>
      <c r="N3172" s="68"/>
      <c r="O3172" s="68"/>
      <c r="P3172" s="68"/>
      <c r="Q3172" s="149"/>
      <c r="R3172" s="149"/>
      <c r="S3172" s="149"/>
      <c r="T3172" s="149"/>
      <c r="U3172" s="149"/>
      <c r="V3172" s="149"/>
      <c r="W3172" s="149"/>
      <c r="X3172" s="68"/>
      <c r="Y3172" s="68"/>
      <c r="Z3172" s="68"/>
    </row>
    <row r="3173" ht="15.0" customHeight="1">
      <c r="A3173" s="421"/>
      <c r="B3173" s="201"/>
      <c r="C3173" s="17"/>
      <c r="D3173" s="140"/>
      <c r="E3173" s="17"/>
      <c r="F3173" s="202"/>
      <c r="G3173" s="142"/>
      <c r="H3173" s="142"/>
      <c r="I3173" s="143"/>
      <c r="J3173" s="144"/>
      <c r="K3173" s="17"/>
      <c r="L3173" s="17"/>
      <c r="M3173" s="17"/>
      <c r="N3173" s="68"/>
      <c r="O3173" s="68"/>
      <c r="P3173" s="68"/>
      <c r="Q3173" s="149"/>
      <c r="R3173" s="149"/>
      <c r="S3173" s="149"/>
      <c r="T3173" s="149"/>
      <c r="U3173" s="149"/>
      <c r="V3173" s="149"/>
      <c r="W3173" s="149"/>
      <c r="X3173" s="68"/>
      <c r="Y3173" s="68"/>
      <c r="Z3173" s="68"/>
    </row>
    <row r="3174" ht="15.0" customHeight="1">
      <c r="A3174" s="421"/>
      <c r="B3174" s="201"/>
      <c r="C3174" s="17"/>
      <c r="D3174" s="140"/>
      <c r="E3174" s="17"/>
      <c r="F3174" s="202"/>
      <c r="G3174" s="142"/>
      <c r="H3174" s="142"/>
      <c r="I3174" s="143"/>
      <c r="J3174" s="144"/>
      <c r="K3174" s="17"/>
      <c r="L3174" s="17"/>
      <c r="M3174" s="17"/>
      <c r="N3174" s="68"/>
      <c r="O3174" s="68"/>
      <c r="P3174" s="68"/>
      <c r="Q3174" s="149"/>
      <c r="R3174" s="149"/>
      <c r="S3174" s="149"/>
      <c r="T3174" s="149"/>
      <c r="U3174" s="149"/>
      <c r="V3174" s="149"/>
      <c r="W3174" s="149"/>
      <c r="X3174" s="68"/>
      <c r="Y3174" s="68"/>
      <c r="Z3174" s="68"/>
    </row>
    <row r="3175" ht="15.0" customHeight="1">
      <c r="A3175" s="421"/>
      <c r="B3175" s="201"/>
      <c r="C3175" s="17"/>
      <c r="D3175" s="140"/>
      <c r="E3175" s="17"/>
      <c r="F3175" s="202"/>
      <c r="G3175" s="142"/>
      <c r="H3175" s="142"/>
      <c r="I3175" s="143"/>
      <c r="J3175" s="144"/>
      <c r="K3175" s="17"/>
      <c r="L3175" s="17"/>
      <c r="M3175" s="17"/>
      <c r="N3175" s="68"/>
      <c r="O3175" s="68"/>
      <c r="P3175" s="68"/>
      <c r="Q3175" s="149"/>
      <c r="R3175" s="149"/>
      <c r="S3175" s="149"/>
      <c r="T3175" s="149"/>
      <c r="U3175" s="149"/>
      <c r="V3175" s="149"/>
      <c r="W3175" s="149"/>
      <c r="X3175" s="68"/>
      <c r="Y3175" s="68"/>
      <c r="Z3175" s="68"/>
    </row>
    <row r="3176" ht="15.0" customHeight="1">
      <c r="A3176" s="421"/>
      <c r="B3176" s="201"/>
      <c r="C3176" s="17"/>
      <c r="D3176" s="140"/>
      <c r="E3176" s="17"/>
      <c r="F3176" s="202"/>
      <c r="G3176" s="142"/>
      <c r="H3176" s="142"/>
      <c r="I3176" s="143"/>
      <c r="J3176" s="144"/>
      <c r="K3176" s="17"/>
      <c r="L3176" s="17"/>
      <c r="M3176" s="17"/>
      <c r="N3176" s="68"/>
      <c r="O3176" s="68"/>
      <c r="P3176" s="68"/>
      <c r="Q3176" s="149"/>
      <c r="R3176" s="149"/>
      <c r="S3176" s="149"/>
      <c r="T3176" s="149"/>
      <c r="U3176" s="149"/>
      <c r="V3176" s="149"/>
      <c r="W3176" s="149"/>
      <c r="X3176" s="68"/>
      <c r="Y3176" s="68"/>
      <c r="Z3176" s="68"/>
    </row>
    <row r="3177" ht="15.0" customHeight="1">
      <c r="A3177" s="421"/>
      <c r="B3177" s="201"/>
      <c r="C3177" s="17"/>
      <c r="D3177" s="140"/>
      <c r="E3177" s="17"/>
      <c r="F3177" s="202"/>
      <c r="G3177" s="142"/>
      <c r="H3177" s="142"/>
      <c r="I3177" s="143"/>
      <c r="J3177" s="144"/>
      <c r="K3177" s="17"/>
      <c r="L3177" s="17"/>
      <c r="M3177" s="17"/>
      <c r="N3177" s="68"/>
      <c r="O3177" s="68"/>
      <c r="P3177" s="68"/>
      <c r="Q3177" s="149"/>
      <c r="R3177" s="149"/>
      <c r="S3177" s="149"/>
      <c r="T3177" s="149"/>
      <c r="U3177" s="149"/>
      <c r="V3177" s="149"/>
      <c r="W3177" s="149"/>
      <c r="X3177" s="68"/>
      <c r="Y3177" s="68"/>
      <c r="Z3177" s="68"/>
    </row>
    <row r="3178" ht="15.0" customHeight="1">
      <c r="A3178" s="421"/>
      <c r="B3178" s="201"/>
      <c r="C3178" s="17"/>
      <c r="D3178" s="140"/>
      <c r="E3178" s="17"/>
      <c r="F3178" s="202"/>
      <c r="G3178" s="142"/>
      <c r="H3178" s="142"/>
      <c r="I3178" s="143"/>
      <c r="J3178" s="144"/>
      <c r="K3178" s="17"/>
      <c r="L3178" s="17"/>
      <c r="M3178" s="17"/>
      <c r="N3178" s="68"/>
      <c r="O3178" s="68"/>
      <c r="P3178" s="68"/>
      <c r="Q3178" s="149"/>
      <c r="R3178" s="149"/>
      <c r="S3178" s="149"/>
      <c r="T3178" s="149"/>
      <c r="U3178" s="149"/>
      <c r="V3178" s="149"/>
      <c r="W3178" s="149"/>
      <c r="X3178" s="68"/>
      <c r="Y3178" s="68"/>
      <c r="Z3178" s="68"/>
    </row>
    <row r="3179" ht="15.0" customHeight="1">
      <c r="A3179" s="421"/>
      <c r="B3179" s="201"/>
      <c r="C3179" s="17"/>
      <c r="D3179" s="140"/>
      <c r="E3179" s="17"/>
      <c r="F3179" s="202"/>
      <c r="G3179" s="142"/>
      <c r="H3179" s="142"/>
      <c r="I3179" s="143"/>
      <c r="J3179" s="144"/>
      <c r="K3179" s="17"/>
      <c r="L3179" s="17"/>
      <c r="M3179" s="17"/>
      <c r="N3179" s="68"/>
      <c r="O3179" s="68"/>
      <c r="P3179" s="68"/>
      <c r="Q3179" s="149"/>
      <c r="R3179" s="149"/>
      <c r="S3179" s="149"/>
      <c r="T3179" s="149"/>
      <c r="U3179" s="149"/>
      <c r="V3179" s="149"/>
      <c r="W3179" s="149"/>
      <c r="X3179" s="68"/>
      <c r="Y3179" s="68"/>
      <c r="Z3179" s="68"/>
    </row>
    <row r="3180" ht="15.0" customHeight="1">
      <c r="A3180" s="421"/>
      <c r="B3180" s="201"/>
      <c r="C3180" s="17"/>
      <c r="D3180" s="140"/>
      <c r="E3180" s="17"/>
      <c r="F3180" s="202"/>
      <c r="G3180" s="142"/>
      <c r="H3180" s="142"/>
      <c r="I3180" s="143"/>
      <c r="J3180" s="144"/>
      <c r="K3180" s="17"/>
      <c r="L3180" s="17"/>
      <c r="M3180" s="17"/>
      <c r="N3180" s="68"/>
      <c r="O3180" s="68"/>
      <c r="P3180" s="68"/>
      <c r="Q3180" s="149"/>
      <c r="R3180" s="149"/>
      <c r="S3180" s="149"/>
      <c r="T3180" s="149"/>
      <c r="U3180" s="149"/>
      <c r="V3180" s="149"/>
      <c r="W3180" s="149"/>
      <c r="X3180" s="68"/>
      <c r="Y3180" s="68"/>
      <c r="Z3180" s="68"/>
    </row>
    <row r="3181" ht="15.0" customHeight="1">
      <c r="A3181" s="421"/>
      <c r="B3181" s="201"/>
      <c r="C3181" s="17"/>
      <c r="D3181" s="140"/>
      <c r="E3181" s="17"/>
      <c r="F3181" s="202"/>
      <c r="G3181" s="142"/>
      <c r="H3181" s="142"/>
      <c r="I3181" s="143"/>
      <c r="J3181" s="144"/>
      <c r="K3181" s="17"/>
      <c r="L3181" s="17"/>
      <c r="M3181" s="17"/>
      <c r="N3181" s="68"/>
      <c r="O3181" s="68"/>
      <c r="P3181" s="68"/>
      <c r="Q3181" s="149"/>
      <c r="R3181" s="149"/>
      <c r="S3181" s="149"/>
      <c r="T3181" s="149"/>
      <c r="U3181" s="149"/>
      <c r="V3181" s="149"/>
      <c r="W3181" s="149"/>
      <c r="X3181" s="68"/>
      <c r="Y3181" s="68"/>
      <c r="Z3181" s="68"/>
    </row>
    <row r="3182" ht="15.0" customHeight="1">
      <c r="A3182" s="421"/>
      <c r="B3182" s="201"/>
      <c r="C3182" s="17"/>
      <c r="D3182" s="140"/>
      <c r="E3182" s="17"/>
      <c r="F3182" s="202"/>
      <c r="G3182" s="142"/>
      <c r="H3182" s="142"/>
      <c r="I3182" s="143"/>
      <c r="J3182" s="144"/>
      <c r="K3182" s="17"/>
      <c r="L3182" s="17"/>
      <c r="M3182" s="17"/>
      <c r="N3182" s="68"/>
      <c r="O3182" s="68"/>
      <c r="P3182" s="68"/>
      <c r="Q3182" s="149"/>
      <c r="R3182" s="149"/>
      <c r="S3182" s="149"/>
      <c r="T3182" s="149"/>
      <c r="U3182" s="149"/>
      <c r="V3182" s="149"/>
      <c r="W3182" s="149"/>
      <c r="X3182" s="68"/>
      <c r="Y3182" s="68"/>
      <c r="Z3182" s="68"/>
    </row>
    <row r="3183" ht="15.0" customHeight="1">
      <c r="A3183" s="421"/>
      <c r="B3183" s="201"/>
      <c r="C3183" s="17"/>
      <c r="D3183" s="140"/>
      <c r="E3183" s="17"/>
      <c r="F3183" s="202"/>
      <c r="G3183" s="142"/>
      <c r="H3183" s="142"/>
      <c r="I3183" s="143"/>
      <c r="J3183" s="144"/>
      <c r="K3183" s="17"/>
      <c r="L3183" s="17"/>
      <c r="M3183" s="17"/>
      <c r="N3183" s="68"/>
      <c r="O3183" s="68"/>
      <c r="P3183" s="68"/>
      <c r="Q3183" s="149"/>
      <c r="R3183" s="149"/>
      <c r="S3183" s="149"/>
      <c r="T3183" s="149"/>
      <c r="U3183" s="149"/>
      <c r="V3183" s="149"/>
      <c r="W3183" s="149"/>
      <c r="X3183" s="68"/>
      <c r="Y3183" s="68"/>
      <c r="Z3183" s="68"/>
    </row>
    <row r="3184" ht="15.0" customHeight="1">
      <c r="A3184" s="421"/>
      <c r="B3184" s="201"/>
      <c r="C3184" s="17"/>
      <c r="D3184" s="140"/>
      <c r="E3184" s="17"/>
      <c r="F3184" s="202"/>
      <c r="G3184" s="142"/>
      <c r="H3184" s="142"/>
      <c r="I3184" s="143"/>
      <c r="J3184" s="144"/>
      <c r="K3184" s="17"/>
      <c r="L3184" s="17"/>
      <c r="M3184" s="17"/>
      <c r="N3184" s="68"/>
      <c r="O3184" s="68"/>
      <c r="P3184" s="68"/>
      <c r="Q3184" s="149"/>
      <c r="R3184" s="149"/>
      <c r="S3184" s="149"/>
      <c r="T3184" s="149"/>
      <c r="U3184" s="149"/>
      <c r="V3184" s="149"/>
      <c r="W3184" s="149"/>
      <c r="X3184" s="68"/>
      <c r="Y3184" s="68"/>
      <c r="Z3184" s="68"/>
    </row>
    <row r="3185" ht="15.0" customHeight="1">
      <c r="A3185" s="421"/>
      <c r="B3185" s="201"/>
      <c r="C3185" s="17"/>
      <c r="D3185" s="140"/>
      <c r="E3185" s="17"/>
      <c r="F3185" s="202"/>
      <c r="G3185" s="142"/>
      <c r="H3185" s="142"/>
      <c r="I3185" s="143"/>
      <c r="J3185" s="144"/>
      <c r="K3185" s="17"/>
      <c r="L3185" s="17"/>
      <c r="M3185" s="17"/>
      <c r="N3185" s="68"/>
      <c r="O3185" s="68"/>
      <c r="P3185" s="68"/>
      <c r="Q3185" s="149"/>
      <c r="R3185" s="149"/>
      <c r="S3185" s="149"/>
      <c r="T3185" s="149"/>
      <c r="U3185" s="149"/>
      <c r="V3185" s="149"/>
      <c r="W3185" s="149"/>
      <c r="X3185" s="68"/>
      <c r="Y3185" s="68"/>
      <c r="Z3185" s="68"/>
    </row>
    <row r="3186" ht="15.0" customHeight="1">
      <c r="A3186" s="421"/>
      <c r="B3186" s="201"/>
      <c r="C3186" s="17"/>
      <c r="D3186" s="140"/>
      <c r="E3186" s="17"/>
      <c r="F3186" s="202"/>
      <c r="G3186" s="142"/>
      <c r="H3186" s="142"/>
      <c r="I3186" s="143"/>
      <c r="J3186" s="144"/>
      <c r="K3186" s="17"/>
      <c r="L3186" s="17"/>
      <c r="M3186" s="17"/>
      <c r="N3186" s="68"/>
      <c r="O3186" s="68"/>
      <c r="P3186" s="68"/>
      <c r="Q3186" s="149"/>
      <c r="R3186" s="149"/>
      <c r="S3186" s="149"/>
      <c r="T3186" s="149"/>
      <c r="U3186" s="149"/>
      <c r="V3186" s="149"/>
      <c r="W3186" s="149"/>
      <c r="X3186" s="68"/>
      <c r="Y3186" s="68"/>
      <c r="Z3186" s="68"/>
    </row>
    <row r="3187" ht="15.0" customHeight="1">
      <c r="A3187" s="421"/>
      <c r="B3187" s="201"/>
      <c r="C3187" s="17"/>
      <c r="D3187" s="140"/>
      <c r="E3187" s="17"/>
      <c r="F3187" s="202"/>
      <c r="G3187" s="142"/>
      <c r="H3187" s="142"/>
      <c r="I3187" s="143"/>
      <c r="J3187" s="144"/>
      <c r="K3187" s="17"/>
      <c r="L3187" s="17"/>
      <c r="M3187" s="17"/>
      <c r="N3187" s="68"/>
      <c r="O3187" s="68"/>
      <c r="P3187" s="68"/>
      <c r="Q3187" s="149"/>
      <c r="R3187" s="149"/>
      <c r="S3187" s="149"/>
      <c r="T3187" s="149"/>
      <c r="U3187" s="149"/>
      <c r="V3187" s="149"/>
      <c r="W3187" s="149"/>
      <c r="X3187" s="68"/>
      <c r="Y3187" s="68"/>
      <c r="Z3187" s="68"/>
    </row>
    <row r="3188" ht="15.0" customHeight="1">
      <c r="A3188" s="421"/>
      <c r="B3188" s="201"/>
      <c r="C3188" s="17"/>
      <c r="D3188" s="140"/>
      <c r="E3188" s="17"/>
      <c r="F3188" s="202"/>
      <c r="G3188" s="142"/>
      <c r="H3188" s="142"/>
      <c r="I3188" s="143"/>
      <c r="J3188" s="144"/>
      <c r="K3188" s="17"/>
      <c r="L3188" s="17"/>
      <c r="M3188" s="17"/>
      <c r="N3188" s="68"/>
      <c r="O3188" s="68"/>
      <c r="P3188" s="68"/>
      <c r="Q3188" s="149"/>
      <c r="R3188" s="149"/>
      <c r="S3188" s="149"/>
      <c r="T3188" s="149"/>
      <c r="U3188" s="149"/>
      <c r="V3188" s="149"/>
      <c r="W3188" s="149"/>
      <c r="X3188" s="68"/>
      <c r="Y3188" s="68"/>
      <c r="Z3188" s="68"/>
    </row>
    <row r="3189" ht="15.0" customHeight="1">
      <c r="A3189" s="421"/>
      <c r="B3189" s="201"/>
      <c r="C3189" s="17"/>
      <c r="D3189" s="140"/>
      <c r="E3189" s="17"/>
      <c r="F3189" s="202"/>
      <c r="G3189" s="142"/>
      <c r="H3189" s="142"/>
      <c r="I3189" s="143"/>
      <c r="J3189" s="144"/>
      <c r="K3189" s="17"/>
      <c r="L3189" s="17"/>
      <c r="M3189" s="17"/>
      <c r="N3189" s="68"/>
      <c r="O3189" s="68"/>
      <c r="P3189" s="68"/>
      <c r="Q3189" s="149"/>
      <c r="R3189" s="149"/>
      <c r="S3189" s="149"/>
      <c r="T3189" s="149"/>
      <c r="U3189" s="149"/>
      <c r="V3189" s="149"/>
      <c r="W3189" s="149"/>
      <c r="X3189" s="68"/>
      <c r="Y3189" s="68"/>
      <c r="Z3189" s="68"/>
    </row>
    <row r="3190" ht="15.0" customHeight="1">
      <c r="A3190" s="421"/>
      <c r="B3190" s="201"/>
      <c r="C3190" s="17"/>
      <c r="D3190" s="140"/>
      <c r="E3190" s="17"/>
      <c r="F3190" s="202"/>
      <c r="G3190" s="142"/>
      <c r="H3190" s="142"/>
      <c r="I3190" s="143"/>
      <c r="J3190" s="144"/>
      <c r="K3190" s="17"/>
      <c r="L3190" s="17"/>
      <c r="M3190" s="17"/>
      <c r="N3190" s="68"/>
      <c r="O3190" s="68"/>
      <c r="P3190" s="68"/>
      <c r="Q3190" s="149"/>
      <c r="R3190" s="149"/>
      <c r="S3190" s="149"/>
      <c r="T3190" s="149"/>
      <c r="U3190" s="149"/>
      <c r="V3190" s="149"/>
      <c r="W3190" s="149"/>
      <c r="X3190" s="68"/>
      <c r="Y3190" s="68"/>
      <c r="Z3190" s="68"/>
    </row>
    <row r="3191" ht="15.0" customHeight="1">
      <c r="A3191" s="421"/>
      <c r="B3191" s="201"/>
      <c r="C3191" s="17"/>
      <c r="D3191" s="140"/>
      <c r="E3191" s="17"/>
      <c r="F3191" s="202"/>
      <c r="G3191" s="142"/>
      <c r="H3191" s="142"/>
      <c r="I3191" s="143"/>
      <c r="J3191" s="144"/>
      <c r="K3191" s="17"/>
      <c r="L3191" s="17"/>
      <c r="M3191" s="17"/>
      <c r="N3191" s="68"/>
      <c r="O3191" s="68"/>
      <c r="P3191" s="68"/>
      <c r="Q3191" s="149"/>
      <c r="R3191" s="149"/>
      <c r="S3191" s="149"/>
      <c r="T3191" s="149"/>
      <c r="U3191" s="149"/>
      <c r="V3191" s="149"/>
      <c r="W3191" s="149"/>
      <c r="X3191" s="68"/>
      <c r="Y3191" s="68"/>
      <c r="Z3191" s="68"/>
    </row>
    <row r="3192" ht="15.0" customHeight="1">
      <c r="A3192" s="421"/>
      <c r="B3192" s="201"/>
      <c r="C3192" s="17"/>
      <c r="D3192" s="140"/>
      <c r="E3192" s="17"/>
      <c r="F3192" s="202"/>
      <c r="G3192" s="142"/>
      <c r="H3192" s="142"/>
      <c r="I3192" s="143"/>
      <c r="J3192" s="144"/>
      <c r="K3192" s="17"/>
      <c r="L3192" s="17"/>
      <c r="M3192" s="17"/>
      <c r="N3192" s="68"/>
      <c r="O3192" s="68"/>
      <c r="P3192" s="68"/>
      <c r="Q3192" s="149"/>
      <c r="R3192" s="149"/>
      <c r="S3192" s="149"/>
      <c r="T3192" s="149"/>
      <c r="U3192" s="149"/>
      <c r="V3192" s="149"/>
      <c r="W3192" s="149"/>
      <c r="X3192" s="68"/>
      <c r="Y3192" s="68"/>
      <c r="Z3192" s="68"/>
    </row>
    <row r="3193" ht="15.0" customHeight="1">
      <c r="A3193" s="421"/>
      <c r="B3193" s="201"/>
      <c r="C3193" s="17"/>
      <c r="D3193" s="140"/>
      <c r="E3193" s="17"/>
      <c r="F3193" s="202"/>
      <c r="G3193" s="142"/>
      <c r="H3193" s="142"/>
      <c r="I3193" s="143"/>
      <c r="J3193" s="144"/>
      <c r="K3193" s="17"/>
      <c r="L3193" s="17"/>
      <c r="M3193" s="17"/>
      <c r="N3193" s="68"/>
      <c r="O3193" s="68"/>
      <c r="P3193" s="68"/>
      <c r="Q3193" s="149"/>
      <c r="R3193" s="149"/>
      <c r="S3193" s="149"/>
      <c r="T3193" s="149"/>
      <c r="U3193" s="149"/>
      <c r="V3193" s="149"/>
      <c r="W3193" s="149"/>
      <c r="X3193" s="68"/>
      <c r="Y3193" s="68"/>
      <c r="Z3193" s="68"/>
    </row>
    <row r="3194" ht="15.0" customHeight="1">
      <c r="A3194" s="421"/>
      <c r="B3194" s="201"/>
      <c r="C3194" s="17"/>
      <c r="D3194" s="140"/>
      <c r="E3194" s="17"/>
      <c r="F3194" s="202"/>
      <c r="G3194" s="142"/>
      <c r="H3194" s="142"/>
      <c r="I3194" s="143"/>
      <c r="J3194" s="144"/>
      <c r="K3194" s="17"/>
      <c r="L3194" s="17"/>
      <c r="M3194" s="17"/>
      <c r="N3194" s="68"/>
      <c r="O3194" s="68"/>
      <c r="P3194" s="68"/>
      <c r="Q3194" s="149"/>
      <c r="R3194" s="149"/>
      <c r="S3194" s="149"/>
      <c r="T3194" s="149"/>
      <c r="U3194" s="149"/>
      <c r="V3194" s="149"/>
      <c r="W3194" s="149"/>
      <c r="X3194" s="68"/>
      <c r="Y3194" s="68"/>
      <c r="Z3194" s="68"/>
    </row>
    <row r="3195" ht="15.0" customHeight="1">
      <c r="A3195" s="421"/>
      <c r="B3195" s="201"/>
      <c r="C3195" s="17"/>
      <c r="D3195" s="140"/>
      <c r="E3195" s="17"/>
      <c r="F3195" s="202"/>
      <c r="G3195" s="142"/>
      <c r="H3195" s="142"/>
      <c r="I3195" s="143"/>
      <c r="J3195" s="144"/>
      <c r="K3195" s="17"/>
      <c r="L3195" s="17"/>
      <c r="M3195" s="17"/>
      <c r="N3195" s="68"/>
      <c r="O3195" s="68"/>
      <c r="P3195" s="68"/>
      <c r="Q3195" s="149"/>
      <c r="R3195" s="149"/>
      <c r="S3195" s="149"/>
      <c r="T3195" s="149"/>
      <c r="U3195" s="149"/>
      <c r="V3195" s="149"/>
      <c r="W3195" s="149"/>
      <c r="X3195" s="68"/>
      <c r="Y3195" s="68"/>
      <c r="Z3195" s="68"/>
    </row>
    <row r="3196" ht="15.0" customHeight="1">
      <c r="A3196" s="421"/>
      <c r="B3196" s="201"/>
      <c r="C3196" s="17"/>
      <c r="D3196" s="140"/>
      <c r="E3196" s="17"/>
      <c r="F3196" s="202"/>
      <c r="G3196" s="142"/>
      <c r="H3196" s="142"/>
      <c r="I3196" s="143"/>
      <c r="J3196" s="144"/>
      <c r="K3196" s="17"/>
      <c r="L3196" s="17"/>
      <c r="M3196" s="17"/>
      <c r="N3196" s="68"/>
      <c r="O3196" s="68"/>
      <c r="P3196" s="68"/>
      <c r="Q3196" s="149"/>
      <c r="R3196" s="149"/>
      <c r="S3196" s="149"/>
      <c r="T3196" s="149"/>
      <c r="U3196" s="149"/>
      <c r="V3196" s="149"/>
      <c r="W3196" s="149"/>
      <c r="X3196" s="68"/>
      <c r="Y3196" s="68"/>
      <c r="Z3196" s="68"/>
    </row>
    <row r="3197" ht="15.0" customHeight="1">
      <c r="A3197" s="421"/>
      <c r="B3197" s="201"/>
      <c r="C3197" s="17"/>
      <c r="D3197" s="140"/>
      <c r="E3197" s="17"/>
      <c r="F3197" s="202"/>
      <c r="G3197" s="142"/>
      <c r="H3197" s="142"/>
      <c r="I3197" s="143"/>
      <c r="J3197" s="144"/>
      <c r="K3197" s="17"/>
      <c r="L3197" s="17"/>
      <c r="M3197" s="17"/>
      <c r="N3197" s="68"/>
      <c r="O3197" s="68"/>
      <c r="P3197" s="68"/>
      <c r="Q3197" s="149"/>
      <c r="R3197" s="149"/>
      <c r="S3197" s="149"/>
      <c r="T3197" s="149"/>
      <c r="U3197" s="149"/>
      <c r="V3197" s="149"/>
      <c r="W3197" s="149"/>
      <c r="X3197" s="68"/>
      <c r="Y3197" s="68"/>
      <c r="Z3197" s="68"/>
    </row>
    <row r="3198" ht="15.0" customHeight="1">
      <c r="A3198" s="421"/>
      <c r="B3198" s="201"/>
      <c r="C3198" s="17"/>
      <c r="D3198" s="140"/>
      <c r="E3198" s="17"/>
      <c r="F3198" s="202"/>
      <c r="G3198" s="142"/>
      <c r="H3198" s="142"/>
      <c r="I3198" s="143"/>
      <c r="J3198" s="144"/>
      <c r="K3198" s="17"/>
      <c r="L3198" s="17"/>
      <c r="M3198" s="17"/>
      <c r="N3198" s="68"/>
      <c r="O3198" s="68"/>
      <c r="P3198" s="68"/>
      <c r="Q3198" s="149"/>
      <c r="R3198" s="149"/>
      <c r="S3198" s="149"/>
      <c r="T3198" s="149"/>
      <c r="U3198" s="149"/>
      <c r="V3198" s="149"/>
      <c r="W3198" s="149"/>
      <c r="X3198" s="68"/>
      <c r="Y3198" s="68"/>
      <c r="Z3198" s="68"/>
    </row>
    <row r="3199" ht="15.0" customHeight="1">
      <c r="A3199" s="421"/>
      <c r="B3199" s="201"/>
      <c r="C3199" s="17"/>
      <c r="D3199" s="140"/>
      <c r="E3199" s="17"/>
      <c r="F3199" s="202"/>
      <c r="G3199" s="142"/>
      <c r="H3199" s="142"/>
      <c r="I3199" s="143"/>
      <c r="J3199" s="144"/>
      <c r="K3199" s="17"/>
      <c r="L3199" s="17"/>
      <c r="M3199" s="17"/>
      <c r="N3199" s="68"/>
      <c r="O3199" s="68"/>
      <c r="P3199" s="68"/>
      <c r="Q3199" s="149"/>
      <c r="R3199" s="149"/>
      <c r="S3199" s="149"/>
      <c r="T3199" s="149"/>
      <c r="U3199" s="149"/>
      <c r="V3199" s="149"/>
      <c r="W3199" s="149"/>
      <c r="X3199" s="68"/>
      <c r="Y3199" s="68"/>
      <c r="Z3199" s="68"/>
    </row>
    <row r="3200" ht="15.0" customHeight="1">
      <c r="A3200" s="421"/>
      <c r="B3200" s="201"/>
      <c r="C3200" s="17"/>
      <c r="D3200" s="140"/>
      <c r="E3200" s="17"/>
      <c r="F3200" s="202"/>
      <c r="G3200" s="142"/>
      <c r="H3200" s="142"/>
      <c r="I3200" s="143"/>
      <c r="J3200" s="144"/>
      <c r="K3200" s="17"/>
      <c r="L3200" s="17"/>
      <c r="M3200" s="17"/>
      <c r="N3200" s="68"/>
      <c r="O3200" s="68"/>
      <c r="P3200" s="68"/>
      <c r="Q3200" s="149"/>
      <c r="R3200" s="149"/>
      <c r="S3200" s="149"/>
      <c r="T3200" s="149"/>
      <c r="U3200" s="149"/>
      <c r="V3200" s="149"/>
      <c r="W3200" s="149"/>
      <c r="X3200" s="68"/>
      <c r="Y3200" s="68"/>
      <c r="Z3200" s="68"/>
    </row>
    <row r="3201" ht="15.0" customHeight="1">
      <c r="A3201" s="421"/>
      <c r="B3201" s="201"/>
      <c r="C3201" s="17"/>
      <c r="D3201" s="140"/>
      <c r="E3201" s="17"/>
      <c r="F3201" s="202"/>
      <c r="G3201" s="142"/>
      <c r="H3201" s="142"/>
      <c r="I3201" s="143"/>
      <c r="J3201" s="144"/>
      <c r="K3201" s="17"/>
      <c r="L3201" s="17"/>
      <c r="M3201" s="17"/>
      <c r="N3201" s="68"/>
      <c r="O3201" s="68"/>
      <c r="P3201" s="68"/>
      <c r="Q3201" s="149"/>
      <c r="R3201" s="149"/>
      <c r="S3201" s="149"/>
      <c r="T3201" s="149"/>
      <c r="U3201" s="149"/>
      <c r="V3201" s="149"/>
      <c r="W3201" s="149"/>
      <c r="X3201" s="68"/>
      <c r="Y3201" s="68"/>
      <c r="Z3201" s="68"/>
    </row>
    <row r="3202" ht="15.0" customHeight="1">
      <c r="A3202" s="421"/>
      <c r="B3202" s="201"/>
      <c r="C3202" s="17"/>
      <c r="D3202" s="140"/>
      <c r="E3202" s="17"/>
      <c r="F3202" s="202"/>
      <c r="G3202" s="142"/>
      <c r="H3202" s="142"/>
      <c r="I3202" s="143"/>
      <c r="J3202" s="144"/>
      <c r="K3202" s="17"/>
      <c r="L3202" s="17"/>
      <c r="M3202" s="17"/>
      <c r="N3202" s="68"/>
      <c r="O3202" s="68"/>
      <c r="P3202" s="68"/>
      <c r="Q3202" s="149"/>
      <c r="R3202" s="149"/>
      <c r="S3202" s="149"/>
      <c r="T3202" s="149"/>
      <c r="U3202" s="149"/>
      <c r="V3202" s="149"/>
      <c r="W3202" s="149"/>
      <c r="X3202" s="68"/>
      <c r="Y3202" s="68"/>
      <c r="Z3202" s="68"/>
    </row>
    <row r="3203" ht="15.0" customHeight="1">
      <c r="A3203" s="421"/>
      <c r="B3203" s="201"/>
      <c r="C3203" s="17"/>
      <c r="D3203" s="140"/>
      <c r="E3203" s="17"/>
      <c r="F3203" s="202"/>
      <c r="G3203" s="142"/>
      <c r="H3203" s="142"/>
      <c r="I3203" s="143"/>
      <c r="J3203" s="144"/>
      <c r="K3203" s="17"/>
      <c r="L3203" s="17"/>
      <c r="M3203" s="17"/>
      <c r="N3203" s="68"/>
      <c r="O3203" s="68"/>
      <c r="P3203" s="68"/>
      <c r="Q3203" s="149"/>
      <c r="R3203" s="149"/>
      <c r="S3203" s="149"/>
      <c r="T3203" s="149"/>
      <c r="U3203" s="149"/>
      <c r="V3203" s="149"/>
      <c r="W3203" s="149"/>
      <c r="X3203" s="68"/>
      <c r="Y3203" s="68"/>
      <c r="Z3203" s="68"/>
    </row>
    <row r="3204" ht="15.0" customHeight="1">
      <c r="A3204" s="421"/>
      <c r="B3204" s="201"/>
      <c r="C3204" s="17"/>
      <c r="D3204" s="140"/>
      <c r="E3204" s="17"/>
      <c r="F3204" s="202"/>
      <c r="G3204" s="142"/>
      <c r="H3204" s="142"/>
      <c r="I3204" s="143"/>
      <c r="J3204" s="144"/>
      <c r="K3204" s="17"/>
      <c r="L3204" s="17"/>
      <c r="M3204" s="17"/>
      <c r="N3204" s="68"/>
      <c r="O3204" s="68"/>
      <c r="P3204" s="68"/>
      <c r="Q3204" s="149"/>
      <c r="R3204" s="149"/>
      <c r="S3204" s="149"/>
      <c r="T3204" s="149"/>
      <c r="U3204" s="149"/>
      <c r="V3204" s="149"/>
      <c r="W3204" s="149"/>
      <c r="X3204" s="68"/>
      <c r="Y3204" s="68"/>
      <c r="Z3204" s="68"/>
    </row>
    <row r="3205" ht="15.0" customHeight="1">
      <c r="A3205" s="421"/>
      <c r="B3205" s="201"/>
      <c r="C3205" s="17"/>
      <c r="D3205" s="140"/>
      <c r="E3205" s="17"/>
      <c r="F3205" s="202"/>
      <c r="G3205" s="142"/>
      <c r="H3205" s="142"/>
      <c r="I3205" s="143"/>
      <c r="J3205" s="144"/>
      <c r="K3205" s="17"/>
      <c r="L3205" s="17"/>
      <c r="M3205" s="17"/>
      <c r="N3205" s="68"/>
      <c r="O3205" s="68"/>
      <c r="P3205" s="68"/>
      <c r="Q3205" s="149"/>
      <c r="R3205" s="149"/>
      <c r="S3205" s="149"/>
      <c r="T3205" s="149"/>
      <c r="U3205" s="149"/>
      <c r="V3205" s="149"/>
      <c r="W3205" s="149"/>
      <c r="X3205" s="68"/>
      <c r="Y3205" s="68"/>
      <c r="Z3205" s="68"/>
    </row>
    <row r="3206" ht="15.0" customHeight="1">
      <c r="A3206" s="421"/>
      <c r="B3206" s="201"/>
      <c r="C3206" s="17"/>
      <c r="D3206" s="140"/>
      <c r="E3206" s="17"/>
      <c r="F3206" s="202"/>
      <c r="G3206" s="142"/>
      <c r="H3206" s="142"/>
      <c r="I3206" s="143"/>
      <c r="J3206" s="144"/>
      <c r="K3206" s="17"/>
      <c r="L3206" s="17"/>
      <c r="M3206" s="17"/>
      <c r="N3206" s="68"/>
      <c r="O3206" s="68"/>
      <c r="P3206" s="68"/>
      <c r="Q3206" s="149"/>
      <c r="R3206" s="149"/>
      <c r="S3206" s="149"/>
      <c r="T3206" s="149"/>
      <c r="U3206" s="149"/>
      <c r="V3206" s="149"/>
      <c r="W3206" s="149"/>
      <c r="X3206" s="68"/>
      <c r="Y3206" s="68"/>
      <c r="Z3206" s="68"/>
    </row>
    <row r="3207" ht="15.0" customHeight="1">
      <c r="A3207" s="421"/>
      <c r="B3207" s="201"/>
      <c r="C3207" s="17"/>
      <c r="D3207" s="140"/>
      <c r="E3207" s="17"/>
      <c r="F3207" s="202"/>
      <c r="G3207" s="142"/>
      <c r="H3207" s="142"/>
      <c r="I3207" s="143"/>
      <c r="J3207" s="144"/>
      <c r="K3207" s="17"/>
      <c r="L3207" s="17"/>
      <c r="M3207" s="17"/>
      <c r="N3207" s="68"/>
      <c r="O3207" s="68"/>
      <c r="P3207" s="68"/>
      <c r="Q3207" s="149"/>
      <c r="R3207" s="149"/>
      <c r="S3207" s="149"/>
      <c r="T3207" s="149"/>
      <c r="U3207" s="149"/>
      <c r="V3207" s="149"/>
      <c r="W3207" s="149"/>
      <c r="X3207" s="68"/>
      <c r="Y3207" s="68"/>
      <c r="Z3207" s="68"/>
    </row>
    <row r="3208" ht="15.0" customHeight="1">
      <c r="A3208" s="421"/>
      <c r="B3208" s="201"/>
      <c r="C3208" s="17"/>
      <c r="D3208" s="140"/>
      <c r="E3208" s="17"/>
      <c r="F3208" s="202"/>
      <c r="G3208" s="142"/>
      <c r="H3208" s="142"/>
      <c r="I3208" s="143"/>
      <c r="J3208" s="144"/>
      <c r="K3208" s="17"/>
      <c r="L3208" s="17"/>
      <c r="M3208" s="17"/>
      <c r="N3208" s="68"/>
      <c r="O3208" s="68"/>
      <c r="P3208" s="68"/>
      <c r="Q3208" s="149"/>
      <c r="R3208" s="149"/>
      <c r="S3208" s="149"/>
      <c r="T3208" s="149"/>
      <c r="U3208" s="149"/>
      <c r="V3208" s="149"/>
      <c r="W3208" s="149"/>
      <c r="X3208" s="68"/>
      <c r="Y3208" s="68"/>
      <c r="Z3208" s="68"/>
    </row>
    <row r="3209" ht="15.0" customHeight="1">
      <c r="A3209" s="421"/>
      <c r="B3209" s="201"/>
      <c r="C3209" s="17"/>
      <c r="D3209" s="140"/>
      <c r="E3209" s="17"/>
      <c r="F3209" s="202"/>
      <c r="G3209" s="142"/>
      <c r="H3209" s="142"/>
      <c r="I3209" s="143"/>
      <c r="J3209" s="144"/>
      <c r="K3209" s="17"/>
      <c r="L3209" s="17"/>
      <c r="M3209" s="17"/>
      <c r="N3209" s="68"/>
      <c r="O3209" s="68"/>
      <c r="P3209" s="68"/>
      <c r="Q3209" s="149"/>
      <c r="R3209" s="149"/>
      <c r="S3209" s="149"/>
      <c r="T3209" s="149"/>
      <c r="U3209" s="149"/>
      <c r="V3209" s="149"/>
      <c r="W3209" s="149"/>
      <c r="X3209" s="68"/>
      <c r="Y3209" s="68"/>
      <c r="Z3209" s="68"/>
    </row>
    <row r="3210" ht="15.0" customHeight="1">
      <c r="A3210" s="421"/>
      <c r="B3210" s="201"/>
      <c r="C3210" s="17"/>
      <c r="D3210" s="140"/>
      <c r="E3210" s="17"/>
      <c r="F3210" s="202"/>
      <c r="G3210" s="142"/>
      <c r="H3210" s="142"/>
      <c r="I3210" s="143"/>
      <c r="J3210" s="144"/>
      <c r="K3210" s="17"/>
      <c r="L3210" s="17"/>
      <c r="M3210" s="17"/>
      <c r="N3210" s="68"/>
      <c r="O3210" s="68"/>
      <c r="P3210" s="68"/>
      <c r="Q3210" s="149"/>
      <c r="R3210" s="149"/>
      <c r="S3210" s="149"/>
      <c r="T3210" s="149"/>
      <c r="U3210" s="149"/>
      <c r="V3210" s="149"/>
      <c r="W3210" s="149"/>
      <c r="X3210" s="68"/>
      <c r="Y3210" s="68"/>
      <c r="Z3210" s="68"/>
    </row>
    <row r="3211" ht="15.0" customHeight="1">
      <c r="A3211" s="421"/>
      <c r="B3211" s="201"/>
      <c r="C3211" s="17"/>
      <c r="D3211" s="140"/>
      <c r="E3211" s="17"/>
      <c r="F3211" s="202"/>
      <c r="G3211" s="142"/>
      <c r="H3211" s="142"/>
      <c r="I3211" s="143"/>
      <c r="J3211" s="144"/>
      <c r="K3211" s="17"/>
      <c r="L3211" s="17"/>
      <c r="M3211" s="17"/>
      <c r="N3211" s="68"/>
      <c r="O3211" s="68"/>
      <c r="P3211" s="68"/>
      <c r="Q3211" s="149"/>
      <c r="R3211" s="149"/>
      <c r="S3211" s="149"/>
      <c r="T3211" s="149"/>
      <c r="U3211" s="149"/>
      <c r="V3211" s="149"/>
      <c r="W3211" s="149"/>
      <c r="X3211" s="68"/>
      <c r="Y3211" s="68"/>
      <c r="Z3211" s="68"/>
    </row>
    <row r="3212" ht="15.0" customHeight="1">
      <c r="A3212" s="421"/>
      <c r="B3212" s="201"/>
      <c r="C3212" s="17"/>
      <c r="D3212" s="140"/>
      <c r="E3212" s="17"/>
      <c r="F3212" s="202"/>
      <c r="G3212" s="142"/>
      <c r="H3212" s="142"/>
      <c r="I3212" s="143"/>
      <c r="J3212" s="144"/>
      <c r="K3212" s="17"/>
      <c r="L3212" s="17"/>
      <c r="M3212" s="17"/>
      <c r="N3212" s="68"/>
      <c r="O3212" s="68"/>
      <c r="P3212" s="68"/>
      <c r="Q3212" s="149"/>
      <c r="R3212" s="149"/>
      <c r="S3212" s="149"/>
      <c r="T3212" s="149"/>
      <c r="U3212" s="149"/>
      <c r="V3212" s="149"/>
      <c r="W3212" s="149"/>
      <c r="X3212" s="68"/>
      <c r="Y3212" s="68"/>
      <c r="Z3212" s="68"/>
    </row>
    <row r="3213" ht="15.0" customHeight="1">
      <c r="A3213" s="421"/>
      <c r="B3213" s="201"/>
      <c r="C3213" s="17"/>
      <c r="D3213" s="140"/>
      <c r="E3213" s="17"/>
      <c r="F3213" s="202"/>
      <c r="G3213" s="142"/>
      <c r="H3213" s="142"/>
      <c r="I3213" s="143"/>
      <c r="J3213" s="144"/>
      <c r="K3213" s="17"/>
      <c r="L3213" s="17"/>
      <c r="M3213" s="17"/>
      <c r="N3213" s="68"/>
      <c r="O3213" s="68"/>
      <c r="P3213" s="68"/>
      <c r="Q3213" s="149"/>
      <c r="R3213" s="149"/>
      <c r="S3213" s="149"/>
      <c r="T3213" s="149"/>
      <c r="U3213" s="149"/>
      <c r="V3213" s="149"/>
      <c r="W3213" s="149"/>
      <c r="X3213" s="68"/>
      <c r="Y3213" s="68"/>
      <c r="Z3213" s="68"/>
    </row>
    <row r="3214" ht="15.0" customHeight="1">
      <c r="A3214" s="421"/>
      <c r="B3214" s="201"/>
      <c r="C3214" s="17"/>
      <c r="D3214" s="140"/>
      <c r="E3214" s="17"/>
      <c r="F3214" s="202"/>
      <c r="G3214" s="142"/>
      <c r="H3214" s="142"/>
      <c r="I3214" s="143"/>
      <c r="J3214" s="144"/>
      <c r="K3214" s="17"/>
      <c r="L3214" s="17"/>
      <c r="M3214" s="17"/>
      <c r="N3214" s="68"/>
      <c r="O3214" s="68"/>
      <c r="P3214" s="68"/>
      <c r="Q3214" s="149"/>
      <c r="R3214" s="149"/>
      <c r="S3214" s="149"/>
      <c r="T3214" s="149"/>
      <c r="U3214" s="149"/>
      <c r="V3214" s="149"/>
      <c r="W3214" s="149"/>
      <c r="X3214" s="68"/>
      <c r="Y3214" s="68"/>
      <c r="Z3214" s="68"/>
    </row>
    <row r="3215" ht="15.0" customHeight="1">
      <c r="A3215" s="421"/>
      <c r="B3215" s="201"/>
      <c r="C3215" s="17"/>
      <c r="D3215" s="140"/>
      <c r="E3215" s="17"/>
      <c r="F3215" s="202"/>
      <c r="G3215" s="142"/>
      <c r="H3215" s="142"/>
      <c r="I3215" s="143"/>
      <c r="J3215" s="144"/>
      <c r="K3215" s="17"/>
      <c r="L3215" s="17"/>
      <c r="M3215" s="17"/>
      <c r="N3215" s="68"/>
      <c r="O3215" s="68"/>
      <c r="P3215" s="68"/>
      <c r="Q3215" s="149"/>
      <c r="R3215" s="149"/>
      <c r="S3215" s="149"/>
      <c r="T3215" s="149"/>
      <c r="U3215" s="149"/>
      <c r="V3215" s="149"/>
      <c r="W3215" s="149"/>
      <c r="X3215" s="68"/>
      <c r="Y3215" s="68"/>
      <c r="Z3215" s="68"/>
    </row>
    <row r="3216" ht="15.0" customHeight="1">
      <c r="A3216" s="421"/>
      <c r="B3216" s="201"/>
      <c r="C3216" s="17"/>
      <c r="D3216" s="140"/>
      <c r="E3216" s="17"/>
      <c r="F3216" s="202"/>
      <c r="G3216" s="142"/>
      <c r="H3216" s="142"/>
      <c r="I3216" s="143"/>
      <c r="J3216" s="144"/>
      <c r="K3216" s="17"/>
      <c r="L3216" s="17"/>
      <c r="M3216" s="17"/>
      <c r="N3216" s="68"/>
      <c r="O3216" s="68"/>
      <c r="P3216" s="68"/>
      <c r="Q3216" s="149"/>
      <c r="R3216" s="149"/>
      <c r="S3216" s="149"/>
      <c r="T3216" s="149"/>
      <c r="U3216" s="149"/>
      <c r="V3216" s="149"/>
      <c r="W3216" s="149"/>
      <c r="X3216" s="68"/>
      <c r="Y3216" s="68"/>
      <c r="Z3216" s="68"/>
    </row>
    <row r="3217" ht="15.0" customHeight="1">
      <c r="A3217" s="421"/>
      <c r="B3217" s="201"/>
      <c r="C3217" s="17"/>
      <c r="D3217" s="140"/>
      <c r="E3217" s="17"/>
      <c r="F3217" s="202"/>
      <c r="G3217" s="142"/>
      <c r="H3217" s="142"/>
      <c r="I3217" s="143"/>
      <c r="J3217" s="144"/>
      <c r="K3217" s="17"/>
      <c r="L3217" s="17"/>
      <c r="M3217" s="17"/>
      <c r="N3217" s="68"/>
      <c r="O3217" s="68"/>
      <c r="P3217" s="68"/>
      <c r="Q3217" s="149"/>
      <c r="R3217" s="149"/>
      <c r="S3217" s="149"/>
      <c r="T3217" s="149"/>
      <c r="U3217" s="149"/>
      <c r="V3217" s="149"/>
      <c r="W3217" s="149"/>
      <c r="X3217" s="68"/>
      <c r="Y3217" s="68"/>
      <c r="Z3217" s="68"/>
    </row>
    <row r="3218" ht="15.0" customHeight="1">
      <c r="A3218" s="421"/>
      <c r="B3218" s="201"/>
      <c r="C3218" s="17"/>
      <c r="D3218" s="140"/>
      <c r="E3218" s="17"/>
      <c r="F3218" s="202"/>
      <c r="G3218" s="142"/>
      <c r="H3218" s="142"/>
      <c r="I3218" s="143"/>
      <c r="J3218" s="144"/>
      <c r="K3218" s="17"/>
      <c r="L3218" s="17"/>
      <c r="M3218" s="17"/>
      <c r="N3218" s="68"/>
      <c r="O3218" s="68"/>
      <c r="P3218" s="68"/>
      <c r="Q3218" s="149"/>
      <c r="R3218" s="149"/>
      <c r="S3218" s="149"/>
      <c r="T3218" s="149"/>
      <c r="U3218" s="149"/>
      <c r="V3218" s="149"/>
      <c r="W3218" s="149"/>
      <c r="X3218" s="68"/>
      <c r="Y3218" s="68"/>
      <c r="Z3218" s="68"/>
    </row>
    <row r="3219" ht="15.0" customHeight="1">
      <c r="A3219" s="421"/>
      <c r="B3219" s="201"/>
      <c r="C3219" s="17"/>
      <c r="D3219" s="140"/>
      <c r="E3219" s="17"/>
      <c r="F3219" s="202"/>
      <c r="G3219" s="142"/>
      <c r="H3219" s="142"/>
      <c r="I3219" s="143"/>
      <c r="J3219" s="144"/>
      <c r="K3219" s="17"/>
      <c r="L3219" s="17"/>
      <c r="M3219" s="17"/>
      <c r="N3219" s="68"/>
      <c r="O3219" s="68"/>
      <c r="P3219" s="68"/>
      <c r="Q3219" s="149"/>
      <c r="R3219" s="149"/>
      <c r="S3219" s="149"/>
      <c r="T3219" s="149"/>
      <c r="U3219" s="149"/>
      <c r="V3219" s="149"/>
      <c r="W3219" s="149"/>
      <c r="X3219" s="68"/>
      <c r="Y3219" s="68"/>
      <c r="Z3219" s="68"/>
    </row>
    <row r="3220" ht="15.0" customHeight="1">
      <c r="A3220" s="421"/>
      <c r="B3220" s="201"/>
      <c r="C3220" s="17"/>
      <c r="D3220" s="140"/>
      <c r="E3220" s="17"/>
      <c r="F3220" s="202"/>
      <c r="G3220" s="142"/>
      <c r="H3220" s="142"/>
      <c r="I3220" s="143"/>
      <c r="J3220" s="144"/>
      <c r="K3220" s="17"/>
      <c r="L3220" s="17"/>
      <c r="M3220" s="17"/>
      <c r="N3220" s="68"/>
      <c r="O3220" s="68"/>
      <c r="P3220" s="68"/>
      <c r="Q3220" s="149"/>
      <c r="R3220" s="149"/>
      <c r="S3220" s="149"/>
      <c r="T3220" s="149"/>
      <c r="U3220" s="149"/>
      <c r="V3220" s="149"/>
      <c r="W3220" s="149"/>
      <c r="X3220" s="68"/>
      <c r="Y3220" s="68"/>
      <c r="Z3220" s="68"/>
    </row>
    <row r="3221" ht="15.0" customHeight="1">
      <c r="A3221" s="421"/>
      <c r="B3221" s="201"/>
      <c r="C3221" s="17"/>
      <c r="D3221" s="140"/>
      <c r="E3221" s="17"/>
      <c r="F3221" s="202"/>
      <c r="G3221" s="142"/>
      <c r="H3221" s="142"/>
      <c r="I3221" s="143"/>
      <c r="J3221" s="144"/>
      <c r="K3221" s="17"/>
      <c r="L3221" s="17"/>
      <c r="M3221" s="17"/>
      <c r="N3221" s="68"/>
      <c r="O3221" s="68"/>
      <c r="P3221" s="68"/>
      <c r="Q3221" s="149"/>
      <c r="R3221" s="149"/>
      <c r="S3221" s="149"/>
      <c r="T3221" s="149"/>
      <c r="U3221" s="149"/>
      <c r="V3221" s="149"/>
      <c r="W3221" s="149"/>
      <c r="X3221" s="68"/>
      <c r="Y3221" s="68"/>
      <c r="Z3221" s="68"/>
    </row>
    <row r="3222" ht="15.0" customHeight="1">
      <c r="A3222" s="421"/>
      <c r="B3222" s="201"/>
      <c r="C3222" s="17"/>
      <c r="D3222" s="140"/>
      <c r="E3222" s="17"/>
      <c r="F3222" s="202"/>
      <c r="G3222" s="142"/>
      <c r="H3222" s="142"/>
      <c r="I3222" s="143"/>
      <c r="J3222" s="144"/>
      <c r="K3222" s="17"/>
      <c r="L3222" s="17"/>
      <c r="M3222" s="17"/>
      <c r="N3222" s="68"/>
      <c r="O3222" s="68"/>
      <c r="P3222" s="68"/>
      <c r="Q3222" s="149"/>
      <c r="R3222" s="149"/>
      <c r="S3222" s="149"/>
      <c r="T3222" s="149"/>
      <c r="U3222" s="149"/>
      <c r="V3222" s="149"/>
      <c r="W3222" s="149"/>
      <c r="X3222" s="68"/>
      <c r="Y3222" s="68"/>
      <c r="Z3222" s="68"/>
    </row>
    <row r="3223" ht="15.0" customHeight="1">
      <c r="A3223" s="421"/>
      <c r="B3223" s="201"/>
      <c r="C3223" s="17"/>
      <c r="D3223" s="140"/>
      <c r="E3223" s="17"/>
      <c r="F3223" s="202"/>
      <c r="G3223" s="142"/>
      <c r="H3223" s="142"/>
      <c r="I3223" s="143"/>
      <c r="J3223" s="144"/>
      <c r="K3223" s="17"/>
      <c r="L3223" s="17"/>
      <c r="M3223" s="17"/>
      <c r="N3223" s="68"/>
      <c r="O3223" s="68"/>
      <c r="P3223" s="68"/>
      <c r="Q3223" s="149"/>
      <c r="R3223" s="149"/>
      <c r="S3223" s="149"/>
      <c r="T3223" s="149"/>
      <c r="U3223" s="149"/>
      <c r="V3223" s="149"/>
      <c r="W3223" s="149"/>
      <c r="X3223" s="68"/>
      <c r="Y3223" s="68"/>
      <c r="Z3223" s="68"/>
    </row>
    <row r="3224" ht="15.0" customHeight="1">
      <c r="A3224" s="421"/>
      <c r="B3224" s="201"/>
      <c r="C3224" s="17"/>
      <c r="D3224" s="140"/>
      <c r="E3224" s="17"/>
      <c r="F3224" s="202"/>
      <c r="G3224" s="142"/>
      <c r="H3224" s="142"/>
      <c r="I3224" s="143"/>
      <c r="J3224" s="144"/>
      <c r="K3224" s="17"/>
      <c r="L3224" s="17"/>
      <c r="M3224" s="17"/>
      <c r="N3224" s="68"/>
      <c r="O3224" s="68"/>
      <c r="P3224" s="68"/>
      <c r="Q3224" s="149"/>
      <c r="R3224" s="149"/>
      <c r="S3224" s="149"/>
      <c r="T3224" s="149"/>
      <c r="U3224" s="149"/>
      <c r="V3224" s="149"/>
      <c r="W3224" s="149"/>
      <c r="X3224" s="68"/>
      <c r="Y3224" s="68"/>
      <c r="Z3224" s="68"/>
    </row>
    <row r="3225" ht="15.0" customHeight="1">
      <c r="A3225" s="421"/>
      <c r="B3225" s="201"/>
      <c r="C3225" s="17"/>
      <c r="D3225" s="140"/>
      <c r="E3225" s="17"/>
      <c r="F3225" s="202"/>
      <c r="G3225" s="142"/>
      <c r="H3225" s="142"/>
      <c r="I3225" s="143"/>
      <c r="J3225" s="144"/>
      <c r="K3225" s="17"/>
      <c r="L3225" s="17"/>
      <c r="M3225" s="17"/>
      <c r="N3225" s="68"/>
      <c r="O3225" s="68"/>
      <c r="P3225" s="68"/>
      <c r="Q3225" s="149"/>
      <c r="R3225" s="149"/>
      <c r="S3225" s="149"/>
      <c r="T3225" s="149"/>
      <c r="U3225" s="149"/>
      <c r="V3225" s="149"/>
      <c r="W3225" s="149"/>
      <c r="X3225" s="68"/>
      <c r="Y3225" s="68"/>
      <c r="Z3225" s="68"/>
    </row>
    <row r="3226" ht="15.0" customHeight="1">
      <c r="A3226" s="421"/>
      <c r="B3226" s="201"/>
      <c r="C3226" s="17"/>
      <c r="D3226" s="140"/>
      <c r="E3226" s="17"/>
      <c r="F3226" s="202"/>
      <c r="G3226" s="142"/>
      <c r="H3226" s="142"/>
      <c r="I3226" s="143"/>
      <c r="J3226" s="144"/>
      <c r="K3226" s="17"/>
      <c r="L3226" s="17"/>
      <c r="M3226" s="17"/>
      <c r="N3226" s="68"/>
      <c r="O3226" s="68"/>
      <c r="P3226" s="68"/>
      <c r="Q3226" s="149"/>
      <c r="R3226" s="149"/>
      <c r="S3226" s="149"/>
      <c r="T3226" s="149"/>
      <c r="U3226" s="149"/>
      <c r="V3226" s="149"/>
      <c r="W3226" s="149"/>
      <c r="X3226" s="68"/>
      <c r="Y3226" s="68"/>
      <c r="Z3226" s="68"/>
    </row>
    <row r="3227" ht="15.0" customHeight="1">
      <c r="A3227" s="421"/>
      <c r="B3227" s="201"/>
      <c r="C3227" s="17"/>
      <c r="D3227" s="140"/>
      <c r="E3227" s="17"/>
      <c r="F3227" s="202"/>
      <c r="G3227" s="142"/>
      <c r="H3227" s="142"/>
      <c r="I3227" s="143"/>
      <c r="J3227" s="144"/>
      <c r="K3227" s="17"/>
      <c r="L3227" s="17"/>
      <c r="M3227" s="17"/>
      <c r="N3227" s="68"/>
      <c r="O3227" s="68"/>
      <c r="P3227" s="68"/>
      <c r="Q3227" s="149"/>
      <c r="R3227" s="149"/>
      <c r="S3227" s="149"/>
      <c r="T3227" s="149"/>
      <c r="U3227" s="149"/>
      <c r="V3227" s="149"/>
      <c r="W3227" s="149"/>
      <c r="X3227" s="68"/>
      <c r="Y3227" s="68"/>
      <c r="Z3227" s="68"/>
    </row>
    <row r="3228" ht="15.0" customHeight="1">
      <c r="A3228" s="421"/>
      <c r="B3228" s="201"/>
      <c r="C3228" s="17"/>
      <c r="D3228" s="140"/>
      <c r="E3228" s="17"/>
      <c r="F3228" s="202"/>
      <c r="G3228" s="142"/>
      <c r="H3228" s="142"/>
      <c r="I3228" s="143"/>
      <c r="J3228" s="144"/>
      <c r="K3228" s="17"/>
      <c r="L3228" s="17"/>
      <c r="M3228" s="17"/>
      <c r="N3228" s="68"/>
      <c r="O3228" s="68"/>
      <c r="P3228" s="68"/>
      <c r="Q3228" s="149"/>
      <c r="R3228" s="149"/>
      <c r="S3228" s="149"/>
      <c r="T3228" s="149"/>
      <c r="U3228" s="149"/>
      <c r="V3228" s="149"/>
      <c r="W3228" s="149"/>
      <c r="X3228" s="68"/>
      <c r="Y3228" s="68"/>
      <c r="Z3228" s="68"/>
    </row>
    <row r="3229" ht="15.0" customHeight="1">
      <c r="A3229" s="421"/>
      <c r="B3229" s="201"/>
      <c r="C3229" s="17"/>
      <c r="D3229" s="140"/>
      <c r="E3229" s="17"/>
      <c r="F3229" s="202"/>
      <c r="G3229" s="142"/>
      <c r="H3229" s="142"/>
      <c r="I3229" s="143"/>
      <c r="J3229" s="144"/>
      <c r="K3229" s="17"/>
      <c r="L3229" s="17"/>
      <c r="M3229" s="17"/>
      <c r="N3229" s="68"/>
      <c r="O3229" s="68"/>
      <c r="P3229" s="68"/>
      <c r="Q3229" s="149"/>
      <c r="R3229" s="149"/>
      <c r="S3229" s="149"/>
      <c r="T3229" s="149"/>
      <c r="U3229" s="149"/>
      <c r="V3229" s="149"/>
      <c r="W3229" s="149"/>
      <c r="X3229" s="68"/>
      <c r="Y3229" s="68"/>
      <c r="Z3229" s="68"/>
    </row>
    <row r="3230" ht="15.0" customHeight="1">
      <c r="A3230" s="421"/>
      <c r="B3230" s="201"/>
      <c r="C3230" s="17"/>
      <c r="D3230" s="140"/>
      <c r="E3230" s="17"/>
      <c r="F3230" s="202"/>
      <c r="G3230" s="142"/>
      <c r="H3230" s="142"/>
      <c r="I3230" s="143"/>
      <c r="J3230" s="144"/>
      <c r="K3230" s="17"/>
      <c r="L3230" s="17"/>
      <c r="M3230" s="17"/>
      <c r="N3230" s="68"/>
      <c r="O3230" s="68"/>
      <c r="P3230" s="68"/>
      <c r="Q3230" s="149"/>
      <c r="R3230" s="149"/>
      <c r="S3230" s="149"/>
      <c r="T3230" s="149"/>
      <c r="U3230" s="149"/>
      <c r="V3230" s="149"/>
      <c r="W3230" s="149"/>
      <c r="X3230" s="68"/>
      <c r="Y3230" s="68"/>
      <c r="Z3230" s="68"/>
    </row>
    <row r="3231" ht="15.0" customHeight="1">
      <c r="A3231" s="421"/>
      <c r="B3231" s="201"/>
      <c r="C3231" s="17"/>
      <c r="D3231" s="140"/>
      <c r="E3231" s="17"/>
      <c r="F3231" s="202"/>
      <c r="G3231" s="142"/>
      <c r="H3231" s="142"/>
      <c r="I3231" s="143"/>
      <c r="J3231" s="144"/>
      <c r="K3231" s="17"/>
      <c r="L3231" s="17"/>
      <c r="M3231" s="17"/>
      <c r="N3231" s="68"/>
      <c r="O3231" s="68"/>
      <c r="P3231" s="68"/>
      <c r="Q3231" s="149"/>
      <c r="R3231" s="149"/>
      <c r="S3231" s="149"/>
      <c r="T3231" s="149"/>
      <c r="U3231" s="149"/>
      <c r="V3231" s="149"/>
      <c r="W3231" s="149"/>
      <c r="X3231" s="68"/>
      <c r="Y3231" s="68"/>
      <c r="Z3231" s="68"/>
    </row>
    <row r="3232" ht="15.0" customHeight="1">
      <c r="A3232" s="421"/>
      <c r="B3232" s="201"/>
      <c r="C3232" s="17"/>
      <c r="D3232" s="140"/>
      <c r="E3232" s="17"/>
      <c r="F3232" s="202"/>
      <c r="G3232" s="142"/>
      <c r="H3232" s="142"/>
      <c r="I3232" s="143"/>
      <c r="J3232" s="144"/>
      <c r="K3232" s="17"/>
      <c r="L3232" s="17"/>
      <c r="M3232" s="17"/>
      <c r="N3232" s="68"/>
      <c r="O3232" s="68"/>
      <c r="P3232" s="68"/>
      <c r="Q3232" s="149"/>
      <c r="R3232" s="149"/>
      <c r="S3232" s="149"/>
      <c r="T3232" s="149"/>
      <c r="U3232" s="149"/>
      <c r="V3232" s="149"/>
      <c r="W3232" s="149"/>
      <c r="X3232" s="68"/>
      <c r="Y3232" s="68"/>
      <c r="Z3232" s="68"/>
    </row>
    <row r="3233" ht="15.0" customHeight="1">
      <c r="A3233" s="421"/>
      <c r="B3233" s="201"/>
      <c r="C3233" s="17"/>
      <c r="D3233" s="140"/>
      <c r="E3233" s="17"/>
      <c r="F3233" s="202"/>
      <c r="G3233" s="142"/>
      <c r="H3233" s="142"/>
      <c r="I3233" s="143"/>
      <c r="J3233" s="144"/>
      <c r="K3233" s="17"/>
      <c r="L3233" s="17"/>
      <c r="M3233" s="17"/>
      <c r="N3233" s="68"/>
      <c r="O3233" s="68"/>
      <c r="P3233" s="68"/>
      <c r="Q3233" s="149"/>
      <c r="R3233" s="149"/>
      <c r="S3233" s="149"/>
      <c r="T3233" s="149"/>
      <c r="U3233" s="149"/>
      <c r="V3233" s="149"/>
      <c r="W3233" s="149"/>
      <c r="X3233" s="68"/>
      <c r="Y3233" s="68"/>
      <c r="Z3233" s="68"/>
    </row>
    <row r="3234" ht="15.0" customHeight="1">
      <c r="A3234" s="421"/>
      <c r="B3234" s="201"/>
      <c r="C3234" s="17"/>
      <c r="D3234" s="140"/>
      <c r="E3234" s="17"/>
      <c r="F3234" s="202"/>
      <c r="G3234" s="142"/>
      <c r="H3234" s="142"/>
      <c r="I3234" s="143"/>
      <c r="J3234" s="144"/>
      <c r="K3234" s="17"/>
      <c r="L3234" s="17"/>
      <c r="M3234" s="17"/>
      <c r="N3234" s="68"/>
      <c r="O3234" s="68"/>
      <c r="P3234" s="68"/>
      <c r="Q3234" s="149"/>
      <c r="R3234" s="149"/>
      <c r="S3234" s="149"/>
      <c r="T3234" s="149"/>
      <c r="U3234" s="149"/>
      <c r="V3234" s="149"/>
      <c r="W3234" s="149"/>
      <c r="X3234" s="68"/>
      <c r="Y3234" s="68"/>
      <c r="Z3234" s="68"/>
    </row>
    <row r="3235" ht="15.0" customHeight="1">
      <c r="A3235" s="421"/>
      <c r="B3235" s="201"/>
      <c r="C3235" s="17"/>
      <c r="D3235" s="140"/>
      <c r="E3235" s="17"/>
      <c r="F3235" s="202"/>
      <c r="G3235" s="142"/>
      <c r="H3235" s="142"/>
      <c r="I3235" s="143"/>
      <c r="J3235" s="144"/>
      <c r="K3235" s="17"/>
      <c r="L3235" s="17"/>
      <c r="M3235" s="17"/>
      <c r="N3235" s="68"/>
      <c r="O3235" s="68"/>
      <c r="P3235" s="68"/>
      <c r="Q3235" s="149"/>
      <c r="R3235" s="149"/>
      <c r="S3235" s="149"/>
      <c r="T3235" s="149"/>
      <c r="U3235" s="149"/>
      <c r="V3235" s="149"/>
      <c r="W3235" s="149"/>
      <c r="X3235" s="68"/>
      <c r="Y3235" s="68"/>
      <c r="Z3235" s="68"/>
    </row>
    <row r="3236" ht="15.0" customHeight="1">
      <c r="A3236" s="421"/>
      <c r="B3236" s="201"/>
      <c r="C3236" s="17"/>
      <c r="D3236" s="140"/>
      <c r="E3236" s="17"/>
      <c r="F3236" s="202"/>
      <c r="G3236" s="142"/>
      <c r="H3236" s="142"/>
      <c r="I3236" s="143"/>
      <c r="J3236" s="144"/>
      <c r="K3236" s="17"/>
      <c r="L3236" s="17"/>
      <c r="M3236" s="17"/>
      <c r="N3236" s="68"/>
      <c r="O3236" s="68"/>
      <c r="P3236" s="68"/>
      <c r="Q3236" s="149"/>
      <c r="R3236" s="149"/>
      <c r="S3236" s="149"/>
      <c r="T3236" s="149"/>
      <c r="U3236" s="149"/>
      <c r="V3236" s="149"/>
      <c r="W3236" s="149"/>
      <c r="X3236" s="68"/>
      <c r="Y3236" s="68"/>
      <c r="Z3236" s="68"/>
    </row>
    <row r="3237" ht="15.0" customHeight="1">
      <c r="A3237" s="421"/>
      <c r="B3237" s="201"/>
      <c r="C3237" s="17"/>
      <c r="D3237" s="140"/>
      <c r="E3237" s="17"/>
      <c r="F3237" s="202"/>
      <c r="G3237" s="142"/>
      <c r="H3237" s="142"/>
      <c r="I3237" s="143"/>
      <c r="J3237" s="144"/>
      <c r="K3237" s="17"/>
      <c r="L3237" s="17"/>
      <c r="M3237" s="17"/>
      <c r="N3237" s="68"/>
      <c r="O3237" s="68"/>
      <c r="P3237" s="68"/>
      <c r="Q3237" s="149"/>
      <c r="R3237" s="149"/>
      <c r="S3237" s="149"/>
      <c r="T3237" s="149"/>
      <c r="U3237" s="149"/>
      <c r="V3237" s="149"/>
      <c r="W3237" s="149"/>
      <c r="X3237" s="68"/>
      <c r="Y3237" s="68"/>
      <c r="Z3237" s="68"/>
    </row>
    <row r="3238" ht="15.0" customHeight="1">
      <c r="A3238" s="421"/>
      <c r="B3238" s="201"/>
      <c r="C3238" s="17"/>
      <c r="D3238" s="140"/>
      <c r="E3238" s="17"/>
      <c r="F3238" s="202"/>
      <c r="G3238" s="142"/>
      <c r="H3238" s="142"/>
      <c r="I3238" s="143"/>
      <c r="J3238" s="144"/>
      <c r="K3238" s="17"/>
      <c r="L3238" s="17"/>
      <c r="M3238" s="17"/>
      <c r="N3238" s="68"/>
      <c r="O3238" s="68"/>
      <c r="P3238" s="68"/>
      <c r="Q3238" s="149"/>
      <c r="R3238" s="149"/>
      <c r="S3238" s="149"/>
      <c r="T3238" s="149"/>
      <c r="U3238" s="149"/>
      <c r="V3238" s="149"/>
      <c r="W3238" s="149"/>
      <c r="X3238" s="68"/>
      <c r="Y3238" s="68"/>
      <c r="Z3238" s="68"/>
    </row>
    <row r="3239" ht="15.0" customHeight="1">
      <c r="A3239" s="421"/>
      <c r="B3239" s="201"/>
      <c r="C3239" s="17"/>
      <c r="D3239" s="140"/>
      <c r="E3239" s="17"/>
      <c r="F3239" s="202"/>
      <c r="G3239" s="142"/>
      <c r="H3239" s="142"/>
      <c r="I3239" s="143"/>
      <c r="J3239" s="144"/>
      <c r="K3239" s="17"/>
      <c r="L3239" s="17"/>
      <c r="M3239" s="17"/>
      <c r="N3239" s="68"/>
      <c r="O3239" s="68"/>
      <c r="P3239" s="68"/>
      <c r="Q3239" s="149"/>
      <c r="R3239" s="149"/>
      <c r="S3239" s="149"/>
      <c r="T3239" s="149"/>
      <c r="U3239" s="149"/>
      <c r="V3239" s="149"/>
      <c r="W3239" s="149"/>
      <c r="X3239" s="68"/>
      <c r="Y3239" s="68"/>
      <c r="Z3239" s="68"/>
    </row>
    <row r="3240" ht="15.0" customHeight="1">
      <c r="A3240" s="421"/>
      <c r="B3240" s="201"/>
      <c r="C3240" s="17"/>
      <c r="D3240" s="140"/>
      <c r="E3240" s="17"/>
      <c r="F3240" s="202"/>
      <c r="G3240" s="142"/>
      <c r="H3240" s="142"/>
      <c r="I3240" s="143"/>
      <c r="J3240" s="144"/>
      <c r="K3240" s="17"/>
      <c r="L3240" s="17"/>
      <c r="M3240" s="17"/>
      <c r="N3240" s="68"/>
      <c r="O3240" s="68"/>
      <c r="P3240" s="68"/>
      <c r="Q3240" s="149"/>
      <c r="R3240" s="149"/>
      <c r="S3240" s="149"/>
      <c r="T3240" s="149"/>
      <c r="U3240" s="149"/>
      <c r="V3240" s="149"/>
      <c r="W3240" s="149"/>
      <c r="X3240" s="68"/>
      <c r="Y3240" s="68"/>
      <c r="Z3240" s="68"/>
    </row>
    <row r="3241" ht="15.0" customHeight="1">
      <c r="A3241" s="421"/>
      <c r="B3241" s="201"/>
      <c r="C3241" s="17"/>
      <c r="D3241" s="140"/>
      <c r="E3241" s="17"/>
      <c r="F3241" s="202"/>
      <c r="G3241" s="142"/>
      <c r="H3241" s="142"/>
      <c r="I3241" s="143"/>
      <c r="J3241" s="144"/>
      <c r="K3241" s="17"/>
      <c r="L3241" s="17"/>
      <c r="M3241" s="17"/>
      <c r="N3241" s="68"/>
      <c r="O3241" s="68"/>
      <c r="P3241" s="68"/>
      <c r="Q3241" s="149"/>
      <c r="R3241" s="149"/>
      <c r="S3241" s="149"/>
      <c r="T3241" s="149"/>
      <c r="U3241" s="149"/>
      <c r="V3241" s="149"/>
      <c r="W3241" s="149"/>
      <c r="X3241" s="68"/>
      <c r="Y3241" s="68"/>
      <c r="Z3241" s="68"/>
    </row>
    <row r="3242" ht="15.0" customHeight="1">
      <c r="A3242" s="421"/>
      <c r="B3242" s="201"/>
      <c r="C3242" s="17"/>
      <c r="D3242" s="140"/>
      <c r="E3242" s="17"/>
      <c r="F3242" s="202"/>
      <c r="G3242" s="142"/>
      <c r="H3242" s="142"/>
      <c r="I3242" s="143"/>
      <c r="J3242" s="144"/>
      <c r="K3242" s="17"/>
      <c r="L3242" s="17"/>
      <c r="M3242" s="17"/>
      <c r="N3242" s="68"/>
      <c r="O3242" s="68"/>
      <c r="P3242" s="68"/>
      <c r="Q3242" s="149"/>
      <c r="R3242" s="149"/>
      <c r="S3242" s="149"/>
      <c r="T3242" s="149"/>
      <c r="U3242" s="149"/>
      <c r="V3242" s="149"/>
      <c r="W3242" s="149"/>
      <c r="X3242" s="68"/>
      <c r="Y3242" s="68"/>
      <c r="Z3242" s="68"/>
    </row>
    <row r="3243" ht="15.0" customHeight="1">
      <c r="A3243" s="421"/>
      <c r="B3243" s="201"/>
      <c r="C3243" s="17"/>
      <c r="D3243" s="140"/>
      <c r="E3243" s="17"/>
      <c r="F3243" s="202"/>
      <c r="G3243" s="142"/>
      <c r="H3243" s="142"/>
      <c r="I3243" s="143"/>
      <c r="J3243" s="144"/>
      <c r="K3243" s="17"/>
      <c r="L3243" s="17"/>
      <c r="M3243" s="17"/>
      <c r="N3243" s="68"/>
      <c r="O3243" s="68"/>
      <c r="P3243" s="68"/>
      <c r="Q3243" s="149"/>
      <c r="R3243" s="149"/>
      <c r="S3243" s="149"/>
      <c r="T3243" s="149"/>
      <c r="U3243" s="149"/>
      <c r="V3243" s="149"/>
      <c r="W3243" s="149"/>
      <c r="X3243" s="68"/>
      <c r="Y3243" s="68"/>
      <c r="Z3243" s="68"/>
    </row>
    <row r="3244" ht="15.0" customHeight="1">
      <c r="A3244" s="421"/>
      <c r="B3244" s="201"/>
      <c r="C3244" s="17"/>
      <c r="D3244" s="140"/>
      <c r="E3244" s="17"/>
      <c r="F3244" s="202"/>
      <c r="G3244" s="142"/>
      <c r="H3244" s="142"/>
      <c r="I3244" s="143"/>
      <c r="J3244" s="144"/>
      <c r="K3244" s="17"/>
      <c r="L3244" s="17"/>
      <c r="M3244" s="17"/>
      <c r="N3244" s="68"/>
      <c r="O3244" s="68"/>
      <c r="P3244" s="68"/>
      <c r="Q3244" s="149"/>
      <c r="R3244" s="149"/>
      <c r="S3244" s="149"/>
      <c r="T3244" s="149"/>
      <c r="U3244" s="149"/>
      <c r="V3244" s="149"/>
      <c r="W3244" s="149"/>
      <c r="X3244" s="68"/>
      <c r="Y3244" s="68"/>
      <c r="Z3244" s="68"/>
    </row>
    <row r="3245" ht="15.0" customHeight="1">
      <c r="A3245" s="421"/>
      <c r="B3245" s="201"/>
      <c r="C3245" s="17"/>
      <c r="D3245" s="140"/>
      <c r="E3245" s="17"/>
      <c r="F3245" s="202"/>
      <c r="G3245" s="142"/>
      <c r="H3245" s="142"/>
      <c r="I3245" s="143"/>
      <c r="J3245" s="144"/>
      <c r="K3245" s="17"/>
      <c r="L3245" s="17"/>
      <c r="M3245" s="17"/>
      <c r="N3245" s="68"/>
      <c r="O3245" s="68"/>
      <c r="P3245" s="68"/>
      <c r="Q3245" s="149"/>
      <c r="R3245" s="149"/>
      <c r="S3245" s="149"/>
      <c r="T3245" s="149"/>
      <c r="U3245" s="149"/>
      <c r="V3245" s="149"/>
      <c r="W3245" s="149"/>
      <c r="X3245" s="68"/>
      <c r="Y3245" s="68"/>
      <c r="Z3245" s="68"/>
    </row>
    <row r="3246" ht="15.0" customHeight="1">
      <c r="A3246" s="421"/>
      <c r="B3246" s="201"/>
      <c r="C3246" s="17"/>
      <c r="D3246" s="140"/>
      <c r="E3246" s="17"/>
      <c r="F3246" s="202"/>
      <c r="G3246" s="142"/>
      <c r="H3246" s="142"/>
      <c r="I3246" s="143"/>
      <c r="J3246" s="144"/>
      <c r="K3246" s="17"/>
      <c r="L3246" s="17"/>
      <c r="M3246" s="17"/>
      <c r="N3246" s="68"/>
      <c r="O3246" s="68"/>
      <c r="P3246" s="68"/>
      <c r="Q3246" s="149"/>
      <c r="R3246" s="149"/>
      <c r="S3246" s="149"/>
      <c r="T3246" s="149"/>
      <c r="U3246" s="149"/>
      <c r="V3246" s="149"/>
      <c r="W3246" s="149"/>
      <c r="X3246" s="68"/>
      <c r="Y3246" s="68"/>
      <c r="Z3246" s="68"/>
    </row>
    <row r="3247" ht="15.0" customHeight="1">
      <c r="A3247" s="421"/>
      <c r="B3247" s="201"/>
      <c r="C3247" s="17"/>
      <c r="D3247" s="140"/>
      <c r="E3247" s="17"/>
      <c r="F3247" s="202"/>
      <c r="G3247" s="142"/>
      <c r="H3247" s="142"/>
      <c r="I3247" s="143"/>
      <c r="J3247" s="144"/>
      <c r="K3247" s="17"/>
      <c r="L3247" s="17"/>
      <c r="M3247" s="17"/>
      <c r="N3247" s="68"/>
      <c r="O3247" s="68"/>
      <c r="P3247" s="68"/>
      <c r="Q3247" s="149"/>
      <c r="R3247" s="149"/>
      <c r="S3247" s="149"/>
      <c r="T3247" s="149"/>
      <c r="U3247" s="149"/>
      <c r="V3247" s="149"/>
      <c r="W3247" s="149"/>
      <c r="X3247" s="68"/>
      <c r="Y3247" s="68"/>
      <c r="Z3247" s="68"/>
    </row>
    <row r="3248" ht="15.0" customHeight="1">
      <c r="A3248" s="421"/>
      <c r="B3248" s="201"/>
      <c r="C3248" s="17"/>
      <c r="D3248" s="140"/>
      <c r="E3248" s="17"/>
      <c r="F3248" s="202"/>
      <c r="G3248" s="142"/>
      <c r="H3248" s="142"/>
      <c r="I3248" s="143"/>
      <c r="J3248" s="144"/>
      <c r="K3248" s="17"/>
      <c r="L3248" s="17"/>
      <c r="M3248" s="17"/>
      <c r="N3248" s="68"/>
      <c r="O3248" s="68"/>
      <c r="P3248" s="68"/>
      <c r="Q3248" s="149"/>
      <c r="R3248" s="149"/>
      <c r="S3248" s="149"/>
      <c r="T3248" s="149"/>
      <c r="U3248" s="149"/>
      <c r="V3248" s="149"/>
      <c r="W3248" s="149"/>
      <c r="X3248" s="68"/>
      <c r="Y3248" s="68"/>
      <c r="Z3248" s="68"/>
    </row>
    <row r="3249" ht="15.0" customHeight="1">
      <c r="A3249" s="421"/>
      <c r="B3249" s="201"/>
      <c r="C3249" s="17"/>
      <c r="D3249" s="140"/>
      <c r="E3249" s="17"/>
      <c r="F3249" s="202"/>
      <c r="G3249" s="142"/>
      <c r="H3249" s="142"/>
      <c r="I3249" s="143"/>
      <c r="J3249" s="144"/>
      <c r="K3249" s="17"/>
      <c r="L3249" s="17"/>
      <c r="M3249" s="17"/>
      <c r="N3249" s="68"/>
      <c r="O3249" s="68"/>
      <c r="P3249" s="68"/>
      <c r="Q3249" s="149"/>
      <c r="R3249" s="149"/>
      <c r="S3249" s="149"/>
      <c r="T3249" s="149"/>
      <c r="U3249" s="149"/>
      <c r="V3249" s="149"/>
      <c r="W3249" s="149"/>
      <c r="X3249" s="68"/>
      <c r="Y3249" s="68"/>
      <c r="Z3249" s="68"/>
    </row>
    <row r="3250" ht="15.0" customHeight="1">
      <c r="A3250" s="421"/>
      <c r="B3250" s="201"/>
      <c r="C3250" s="17"/>
      <c r="D3250" s="140"/>
      <c r="E3250" s="17"/>
      <c r="F3250" s="202"/>
      <c r="G3250" s="142"/>
      <c r="H3250" s="142"/>
      <c r="I3250" s="143"/>
      <c r="J3250" s="144"/>
      <c r="K3250" s="17"/>
      <c r="L3250" s="17"/>
      <c r="M3250" s="17"/>
      <c r="N3250" s="68"/>
      <c r="O3250" s="68"/>
      <c r="P3250" s="68"/>
      <c r="Q3250" s="149"/>
      <c r="R3250" s="149"/>
      <c r="S3250" s="149"/>
      <c r="T3250" s="149"/>
      <c r="U3250" s="149"/>
      <c r="V3250" s="149"/>
      <c r="W3250" s="149"/>
      <c r="X3250" s="68"/>
      <c r="Y3250" s="68"/>
      <c r="Z3250" s="68"/>
    </row>
    <row r="3251" ht="15.0" customHeight="1">
      <c r="A3251" s="421"/>
      <c r="B3251" s="201"/>
      <c r="C3251" s="17"/>
      <c r="D3251" s="140"/>
      <c r="E3251" s="17"/>
      <c r="F3251" s="202"/>
      <c r="G3251" s="142"/>
      <c r="H3251" s="142"/>
      <c r="I3251" s="143"/>
      <c r="J3251" s="144"/>
      <c r="K3251" s="17"/>
      <c r="L3251" s="17"/>
      <c r="M3251" s="17"/>
      <c r="N3251" s="68"/>
      <c r="O3251" s="68"/>
      <c r="P3251" s="68"/>
      <c r="Q3251" s="149"/>
      <c r="R3251" s="149"/>
      <c r="S3251" s="149"/>
      <c r="T3251" s="149"/>
      <c r="U3251" s="149"/>
      <c r="V3251" s="149"/>
      <c r="W3251" s="149"/>
      <c r="X3251" s="68"/>
      <c r="Y3251" s="68"/>
      <c r="Z3251" s="68"/>
    </row>
    <row r="3252" ht="15.0" customHeight="1">
      <c r="A3252" s="421"/>
      <c r="B3252" s="201"/>
      <c r="C3252" s="17"/>
      <c r="D3252" s="140"/>
      <c r="E3252" s="17"/>
      <c r="F3252" s="202"/>
      <c r="G3252" s="142"/>
      <c r="H3252" s="142"/>
      <c r="I3252" s="143"/>
      <c r="J3252" s="144"/>
      <c r="K3252" s="17"/>
      <c r="L3252" s="17"/>
      <c r="M3252" s="17"/>
      <c r="N3252" s="68"/>
      <c r="O3252" s="68"/>
      <c r="P3252" s="68"/>
      <c r="Q3252" s="149"/>
      <c r="R3252" s="149"/>
      <c r="S3252" s="149"/>
      <c r="T3252" s="149"/>
      <c r="U3252" s="149"/>
      <c r="V3252" s="149"/>
      <c r="W3252" s="149"/>
      <c r="X3252" s="68"/>
      <c r="Y3252" s="68"/>
      <c r="Z3252" s="68"/>
    </row>
    <row r="3253" ht="15.0" customHeight="1">
      <c r="A3253" s="421"/>
      <c r="B3253" s="201"/>
      <c r="C3253" s="17"/>
      <c r="D3253" s="140"/>
      <c r="E3253" s="17"/>
      <c r="F3253" s="202"/>
      <c r="G3253" s="142"/>
      <c r="H3253" s="142"/>
      <c r="I3253" s="143"/>
      <c r="J3253" s="144"/>
      <c r="K3253" s="17"/>
      <c r="L3253" s="17"/>
      <c r="M3253" s="17"/>
      <c r="N3253" s="68"/>
      <c r="O3253" s="68"/>
      <c r="P3253" s="68"/>
      <c r="Q3253" s="149"/>
      <c r="R3253" s="149"/>
      <c r="S3253" s="149"/>
      <c r="T3253" s="149"/>
      <c r="U3253" s="149"/>
      <c r="V3253" s="149"/>
      <c r="W3253" s="149"/>
      <c r="X3253" s="68"/>
      <c r="Y3253" s="68"/>
      <c r="Z3253" s="68"/>
    </row>
    <row r="3254" ht="15.0" customHeight="1">
      <c r="A3254" s="421"/>
      <c r="B3254" s="201"/>
      <c r="C3254" s="17"/>
      <c r="D3254" s="140"/>
      <c r="E3254" s="17"/>
      <c r="F3254" s="202"/>
      <c r="G3254" s="142"/>
      <c r="H3254" s="142"/>
      <c r="I3254" s="143"/>
      <c r="J3254" s="144"/>
      <c r="K3254" s="17"/>
      <c r="L3254" s="17"/>
      <c r="M3254" s="17"/>
      <c r="N3254" s="68"/>
      <c r="O3254" s="68"/>
      <c r="P3254" s="68"/>
      <c r="Q3254" s="149"/>
      <c r="R3254" s="149"/>
      <c r="S3254" s="149"/>
      <c r="T3254" s="149"/>
      <c r="U3254" s="149"/>
      <c r="V3254" s="149"/>
      <c r="W3254" s="149"/>
      <c r="X3254" s="68"/>
      <c r="Y3254" s="68"/>
      <c r="Z3254" s="68"/>
    </row>
    <row r="3255" ht="15.0" customHeight="1">
      <c r="A3255" s="421"/>
      <c r="B3255" s="201"/>
      <c r="C3255" s="17"/>
      <c r="D3255" s="140"/>
      <c r="E3255" s="17"/>
      <c r="F3255" s="202"/>
      <c r="G3255" s="142"/>
      <c r="H3255" s="142"/>
      <c r="I3255" s="143"/>
      <c r="J3255" s="144"/>
      <c r="K3255" s="17"/>
      <c r="L3255" s="17"/>
      <c r="M3255" s="17"/>
      <c r="N3255" s="68"/>
      <c r="O3255" s="68"/>
      <c r="P3255" s="68"/>
      <c r="Q3255" s="149"/>
      <c r="R3255" s="149"/>
      <c r="S3255" s="149"/>
      <c r="T3255" s="149"/>
      <c r="U3255" s="149"/>
      <c r="V3255" s="149"/>
      <c r="W3255" s="149"/>
      <c r="X3255" s="68"/>
      <c r="Y3255" s="68"/>
      <c r="Z3255" s="68"/>
    </row>
    <row r="3256" ht="15.0" customHeight="1">
      <c r="A3256" s="421"/>
      <c r="B3256" s="201"/>
      <c r="C3256" s="17"/>
      <c r="D3256" s="140"/>
      <c r="E3256" s="17"/>
      <c r="F3256" s="202"/>
      <c r="G3256" s="142"/>
      <c r="H3256" s="142"/>
      <c r="I3256" s="143"/>
      <c r="J3256" s="144"/>
      <c r="K3256" s="17"/>
      <c r="L3256" s="17"/>
      <c r="M3256" s="17"/>
      <c r="N3256" s="68"/>
      <c r="O3256" s="68"/>
      <c r="P3256" s="68"/>
      <c r="Q3256" s="149"/>
      <c r="R3256" s="149"/>
      <c r="S3256" s="149"/>
      <c r="T3256" s="149"/>
      <c r="U3256" s="149"/>
      <c r="V3256" s="149"/>
      <c r="W3256" s="149"/>
      <c r="X3256" s="68"/>
      <c r="Y3256" s="68"/>
      <c r="Z3256" s="68"/>
    </row>
    <row r="3257" ht="15.0" customHeight="1">
      <c r="A3257" s="421"/>
      <c r="B3257" s="201"/>
      <c r="C3257" s="17"/>
      <c r="D3257" s="140"/>
      <c r="E3257" s="17"/>
      <c r="F3257" s="202"/>
      <c r="G3257" s="142"/>
      <c r="H3257" s="142"/>
      <c r="I3257" s="143"/>
      <c r="J3257" s="144"/>
      <c r="K3257" s="17"/>
      <c r="L3257" s="17"/>
      <c r="M3257" s="17"/>
      <c r="N3257" s="68"/>
      <c r="O3257" s="68"/>
      <c r="P3257" s="68"/>
      <c r="Q3257" s="149"/>
      <c r="R3257" s="149"/>
      <c r="S3257" s="149"/>
      <c r="T3257" s="149"/>
      <c r="U3257" s="149"/>
      <c r="V3257" s="149"/>
      <c r="W3257" s="149"/>
      <c r="X3257" s="68"/>
      <c r="Y3257" s="68"/>
      <c r="Z3257" s="68"/>
    </row>
    <row r="3258" ht="15.0" customHeight="1">
      <c r="A3258" s="421"/>
      <c r="B3258" s="201"/>
      <c r="C3258" s="17"/>
      <c r="D3258" s="140"/>
      <c r="E3258" s="17"/>
      <c r="F3258" s="202"/>
      <c r="G3258" s="142"/>
      <c r="H3258" s="142"/>
      <c r="I3258" s="143"/>
      <c r="J3258" s="144"/>
      <c r="K3258" s="17"/>
      <c r="L3258" s="17"/>
      <c r="M3258" s="17"/>
      <c r="N3258" s="68"/>
      <c r="O3258" s="68"/>
      <c r="P3258" s="68"/>
      <c r="Q3258" s="149"/>
      <c r="R3258" s="149"/>
      <c r="S3258" s="149"/>
      <c r="T3258" s="149"/>
      <c r="U3258" s="149"/>
      <c r="V3258" s="149"/>
      <c r="W3258" s="149"/>
      <c r="X3258" s="68"/>
      <c r="Y3258" s="68"/>
      <c r="Z3258" s="68"/>
    </row>
    <row r="3259" ht="15.0" customHeight="1">
      <c r="A3259" s="421"/>
      <c r="B3259" s="201"/>
      <c r="C3259" s="17"/>
      <c r="D3259" s="140"/>
      <c r="E3259" s="17"/>
      <c r="F3259" s="202"/>
      <c r="G3259" s="142"/>
      <c r="H3259" s="142"/>
      <c r="I3259" s="143"/>
      <c r="J3259" s="144"/>
      <c r="K3259" s="17"/>
      <c r="L3259" s="17"/>
      <c r="M3259" s="17"/>
      <c r="N3259" s="68"/>
      <c r="O3259" s="68"/>
      <c r="P3259" s="68"/>
      <c r="Q3259" s="149"/>
      <c r="R3259" s="149"/>
      <c r="S3259" s="149"/>
      <c r="T3259" s="149"/>
      <c r="U3259" s="149"/>
      <c r="V3259" s="149"/>
      <c r="W3259" s="149"/>
      <c r="X3259" s="68"/>
      <c r="Y3259" s="68"/>
      <c r="Z3259" s="68"/>
    </row>
    <row r="3260" ht="15.0" customHeight="1">
      <c r="A3260" s="421"/>
      <c r="B3260" s="201"/>
      <c r="C3260" s="17"/>
      <c r="D3260" s="140"/>
      <c r="E3260" s="17"/>
      <c r="F3260" s="202"/>
      <c r="G3260" s="142"/>
      <c r="H3260" s="142"/>
      <c r="I3260" s="143"/>
      <c r="J3260" s="144"/>
      <c r="K3260" s="17"/>
      <c r="L3260" s="17"/>
      <c r="M3260" s="17"/>
      <c r="N3260" s="68"/>
      <c r="O3260" s="68"/>
      <c r="P3260" s="68"/>
      <c r="Q3260" s="149"/>
      <c r="R3260" s="149"/>
      <c r="S3260" s="149"/>
      <c r="T3260" s="149"/>
      <c r="U3260" s="149"/>
      <c r="V3260" s="149"/>
      <c r="W3260" s="149"/>
      <c r="X3260" s="68"/>
      <c r="Y3260" s="68"/>
      <c r="Z3260" s="68"/>
    </row>
    <row r="3261" ht="15.0" customHeight="1">
      <c r="A3261" s="421"/>
      <c r="B3261" s="201"/>
      <c r="C3261" s="17"/>
      <c r="D3261" s="140"/>
      <c r="E3261" s="17"/>
      <c r="F3261" s="202"/>
      <c r="G3261" s="142"/>
      <c r="H3261" s="142"/>
      <c r="I3261" s="143"/>
      <c r="J3261" s="144"/>
      <c r="K3261" s="17"/>
      <c r="L3261" s="17"/>
      <c r="M3261" s="17"/>
      <c r="N3261" s="68"/>
      <c r="O3261" s="68"/>
      <c r="P3261" s="68"/>
      <c r="Q3261" s="149"/>
      <c r="R3261" s="149"/>
      <c r="S3261" s="149"/>
      <c r="T3261" s="149"/>
      <c r="U3261" s="149"/>
      <c r="V3261" s="149"/>
      <c r="W3261" s="149"/>
      <c r="X3261" s="68"/>
      <c r="Y3261" s="68"/>
      <c r="Z3261" s="68"/>
    </row>
    <row r="3262" ht="15.0" customHeight="1">
      <c r="A3262" s="421"/>
      <c r="B3262" s="201"/>
      <c r="C3262" s="17"/>
      <c r="D3262" s="140"/>
      <c r="E3262" s="17"/>
      <c r="F3262" s="202"/>
      <c r="G3262" s="142"/>
      <c r="H3262" s="142"/>
      <c r="I3262" s="143"/>
      <c r="J3262" s="144"/>
      <c r="K3262" s="17"/>
      <c r="L3262" s="17"/>
      <c r="M3262" s="17"/>
      <c r="N3262" s="68"/>
      <c r="O3262" s="68"/>
      <c r="P3262" s="68"/>
      <c r="Q3262" s="149"/>
      <c r="R3262" s="149"/>
      <c r="S3262" s="149"/>
      <c r="T3262" s="149"/>
      <c r="U3262" s="149"/>
      <c r="V3262" s="149"/>
      <c r="W3262" s="149"/>
      <c r="X3262" s="68"/>
      <c r="Y3262" s="68"/>
      <c r="Z3262" s="68"/>
    </row>
    <row r="3263" ht="15.0" customHeight="1">
      <c r="A3263" s="421"/>
      <c r="B3263" s="201"/>
      <c r="C3263" s="17"/>
      <c r="D3263" s="140"/>
      <c r="E3263" s="17"/>
      <c r="F3263" s="202"/>
      <c r="G3263" s="142"/>
      <c r="H3263" s="142"/>
      <c r="I3263" s="143"/>
      <c r="J3263" s="144"/>
      <c r="K3263" s="17"/>
      <c r="L3263" s="17"/>
      <c r="M3263" s="17"/>
      <c r="N3263" s="68"/>
      <c r="O3263" s="68"/>
      <c r="P3263" s="68"/>
      <c r="Q3263" s="149"/>
      <c r="R3263" s="149"/>
      <c r="S3263" s="149"/>
      <c r="T3263" s="149"/>
      <c r="U3263" s="149"/>
      <c r="V3263" s="149"/>
      <c r="W3263" s="149"/>
      <c r="X3263" s="68"/>
      <c r="Y3263" s="68"/>
      <c r="Z3263" s="68"/>
    </row>
    <row r="3264" ht="15.0" customHeight="1">
      <c r="A3264" s="421"/>
      <c r="B3264" s="201"/>
      <c r="C3264" s="17"/>
      <c r="D3264" s="140"/>
      <c r="E3264" s="17"/>
      <c r="F3264" s="202"/>
      <c r="G3264" s="142"/>
      <c r="H3264" s="142"/>
      <c r="I3264" s="143"/>
      <c r="J3264" s="144"/>
      <c r="K3264" s="17"/>
      <c r="L3264" s="17"/>
      <c r="M3264" s="17"/>
      <c r="N3264" s="68"/>
      <c r="O3264" s="68"/>
      <c r="P3264" s="68"/>
      <c r="Q3264" s="149"/>
      <c r="R3264" s="149"/>
      <c r="S3264" s="149"/>
      <c r="T3264" s="149"/>
      <c r="U3264" s="149"/>
      <c r="V3264" s="149"/>
      <c r="W3264" s="149"/>
      <c r="X3264" s="68"/>
      <c r="Y3264" s="68"/>
      <c r="Z3264" s="68"/>
    </row>
    <row r="3265" ht="15.0" customHeight="1">
      <c r="A3265" s="421"/>
      <c r="B3265" s="201"/>
      <c r="C3265" s="17"/>
      <c r="D3265" s="140"/>
      <c r="E3265" s="17"/>
      <c r="F3265" s="202"/>
      <c r="G3265" s="142"/>
      <c r="H3265" s="142"/>
      <c r="I3265" s="143"/>
      <c r="J3265" s="144"/>
      <c r="K3265" s="17"/>
      <c r="L3265" s="17"/>
      <c r="M3265" s="17"/>
      <c r="N3265" s="68"/>
      <c r="O3265" s="68"/>
      <c r="P3265" s="68"/>
      <c r="Q3265" s="149"/>
      <c r="R3265" s="149"/>
      <c r="S3265" s="149"/>
      <c r="T3265" s="149"/>
      <c r="U3265" s="149"/>
      <c r="V3265" s="149"/>
      <c r="W3265" s="149"/>
      <c r="X3265" s="68"/>
      <c r="Y3265" s="68"/>
      <c r="Z3265" s="68"/>
    </row>
    <row r="3266" ht="15.0" customHeight="1">
      <c r="A3266" s="421"/>
      <c r="B3266" s="201"/>
      <c r="C3266" s="17"/>
      <c r="D3266" s="140"/>
      <c r="E3266" s="17"/>
      <c r="F3266" s="202"/>
      <c r="G3266" s="142"/>
      <c r="H3266" s="142"/>
      <c r="I3266" s="143"/>
      <c r="J3266" s="144"/>
      <c r="K3266" s="17"/>
      <c r="L3266" s="17"/>
      <c r="M3266" s="17"/>
      <c r="N3266" s="68"/>
      <c r="O3266" s="68"/>
      <c r="P3266" s="68"/>
      <c r="Q3266" s="149"/>
      <c r="R3266" s="149"/>
      <c r="S3266" s="149"/>
      <c r="T3266" s="149"/>
      <c r="U3266" s="149"/>
      <c r="V3266" s="149"/>
      <c r="W3266" s="149"/>
      <c r="X3266" s="68"/>
      <c r="Y3266" s="68"/>
      <c r="Z3266" s="68"/>
    </row>
    <row r="3267" ht="15.0" customHeight="1">
      <c r="A3267" s="421"/>
      <c r="B3267" s="201"/>
      <c r="C3267" s="17"/>
      <c r="D3267" s="140"/>
      <c r="E3267" s="17"/>
      <c r="F3267" s="202"/>
      <c r="G3267" s="142"/>
      <c r="H3267" s="142"/>
      <c r="I3267" s="143"/>
      <c r="J3267" s="144"/>
      <c r="K3267" s="17"/>
      <c r="L3267" s="17"/>
      <c r="M3267" s="17"/>
      <c r="N3267" s="68"/>
      <c r="O3267" s="68"/>
      <c r="P3267" s="68"/>
      <c r="Q3267" s="149"/>
      <c r="R3267" s="149"/>
      <c r="S3267" s="149"/>
      <c r="T3267" s="149"/>
      <c r="U3267" s="149"/>
      <c r="V3267" s="149"/>
      <c r="W3267" s="149"/>
      <c r="X3267" s="68"/>
      <c r="Y3267" s="68"/>
      <c r="Z3267" s="68"/>
    </row>
    <row r="3268" ht="15.0" customHeight="1">
      <c r="A3268" s="421"/>
      <c r="B3268" s="201"/>
      <c r="C3268" s="17"/>
      <c r="D3268" s="140"/>
      <c r="E3268" s="17"/>
      <c r="F3268" s="202"/>
      <c r="G3268" s="142"/>
      <c r="H3268" s="142"/>
      <c r="I3268" s="143"/>
      <c r="J3268" s="144"/>
      <c r="K3268" s="17"/>
      <c r="L3268" s="17"/>
      <c r="M3268" s="17"/>
      <c r="N3268" s="68"/>
      <c r="O3268" s="68"/>
      <c r="P3268" s="68"/>
      <c r="Q3268" s="149"/>
      <c r="R3268" s="149"/>
      <c r="S3268" s="149"/>
      <c r="T3268" s="149"/>
      <c r="U3268" s="149"/>
      <c r="V3268" s="149"/>
      <c r="W3268" s="149"/>
      <c r="X3268" s="68"/>
      <c r="Y3268" s="68"/>
      <c r="Z3268" s="68"/>
    </row>
    <row r="3269" ht="15.0" customHeight="1">
      <c r="A3269" s="421"/>
      <c r="B3269" s="201"/>
      <c r="C3269" s="17"/>
      <c r="D3269" s="140"/>
      <c r="E3269" s="17"/>
      <c r="F3269" s="202"/>
      <c r="G3269" s="142"/>
      <c r="H3269" s="142"/>
      <c r="I3269" s="143"/>
      <c r="J3269" s="144"/>
      <c r="K3269" s="17"/>
      <c r="L3269" s="17"/>
      <c r="M3269" s="17"/>
      <c r="N3269" s="68"/>
      <c r="O3269" s="68"/>
      <c r="P3269" s="68"/>
      <c r="Q3269" s="149"/>
      <c r="R3269" s="149"/>
      <c r="S3269" s="149"/>
      <c r="T3269" s="149"/>
      <c r="U3269" s="149"/>
      <c r="V3269" s="149"/>
      <c r="W3269" s="149"/>
      <c r="X3269" s="68"/>
      <c r="Y3269" s="68"/>
      <c r="Z3269" s="68"/>
    </row>
    <row r="3270" ht="15.0" customHeight="1">
      <c r="A3270" s="421"/>
      <c r="B3270" s="201"/>
      <c r="C3270" s="17"/>
      <c r="D3270" s="140"/>
      <c r="E3270" s="17"/>
      <c r="F3270" s="202"/>
      <c r="G3270" s="142"/>
      <c r="H3270" s="142"/>
      <c r="I3270" s="143"/>
      <c r="J3270" s="144"/>
      <c r="K3270" s="17"/>
      <c r="L3270" s="17"/>
      <c r="M3270" s="17"/>
      <c r="N3270" s="68"/>
      <c r="O3270" s="68"/>
      <c r="P3270" s="68"/>
      <c r="Q3270" s="149"/>
      <c r="R3270" s="149"/>
      <c r="S3270" s="149"/>
      <c r="T3270" s="149"/>
      <c r="U3270" s="149"/>
      <c r="V3270" s="149"/>
      <c r="W3270" s="149"/>
      <c r="X3270" s="68"/>
      <c r="Y3270" s="68"/>
      <c r="Z3270" s="68"/>
    </row>
    <row r="3271" ht="15.0" customHeight="1">
      <c r="A3271" s="421"/>
      <c r="B3271" s="201"/>
      <c r="C3271" s="17"/>
      <c r="D3271" s="140"/>
      <c r="E3271" s="17"/>
      <c r="F3271" s="202"/>
      <c r="G3271" s="142"/>
      <c r="H3271" s="142"/>
      <c r="I3271" s="143"/>
      <c r="J3271" s="144"/>
      <c r="K3271" s="17"/>
      <c r="L3271" s="17"/>
      <c r="M3271" s="17"/>
      <c r="N3271" s="68"/>
      <c r="O3271" s="68"/>
      <c r="P3271" s="68"/>
      <c r="Q3271" s="149"/>
      <c r="R3271" s="149"/>
      <c r="S3271" s="149"/>
      <c r="T3271" s="149"/>
      <c r="U3271" s="149"/>
      <c r="V3271" s="149"/>
      <c r="W3271" s="149"/>
      <c r="X3271" s="68"/>
      <c r="Y3271" s="68"/>
      <c r="Z3271" s="68"/>
    </row>
    <row r="3272" ht="15.0" customHeight="1">
      <c r="A3272" s="421"/>
      <c r="B3272" s="201"/>
      <c r="C3272" s="17"/>
      <c r="D3272" s="140"/>
      <c r="E3272" s="17"/>
      <c r="F3272" s="202"/>
      <c r="G3272" s="142"/>
      <c r="H3272" s="142"/>
      <c r="I3272" s="143"/>
      <c r="J3272" s="144"/>
      <c r="K3272" s="17"/>
      <c r="L3272" s="17"/>
      <c r="M3272" s="17"/>
      <c r="N3272" s="68"/>
      <c r="O3272" s="68"/>
      <c r="P3272" s="68"/>
      <c r="Q3272" s="149"/>
      <c r="R3272" s="149"/>
      <c r="S3272" s="149"/>
      <c r="T3272" s="149"/>
      <c r="U3272" s="149"/>
      <c r="V3272" s="149"/>
      <c r="W3272" s="149"/>
      <c r="X3272" s="68"/>
      <c r="Y3272" s="68"/>
      <c r="Z3272" s="68"/>
    </row>
    <row r="3273" ht="15.0" customHeight="1">
      <c r="A3273" s="421"/>
      <c r="B3273" s="201"/>
      <c r="C3273" s="17"/>
      <c r="D3273" s="140"/>
      <c r="E3273" s="17"/>
      <c r="F3273" s="202"/>
      <c r="G3273" s="142"/>
      <c r="H3273" s="142"/>
      <c r="I3273" s="143"/>
      <c r="J3273" s="144"/>
      <c r="K3273" s="17"/>
      <c r="L3273" s="17"/>
      <c r="M3273" s="17"/>
      <c r="N3273" s="68"/>
      <c r="O3273" s="68"/>
      <c r="P3273" s="68"/>
      <c r="Q3273" s="149"/>
      <c r="R3273" s="149"/>
      <c r="S3273" s="149"/>
      <c r="T3273" s="149"/>
      <c r="U3273" s="149"/>
      <c r="V3273" s="149"/>
      <c r="W3273" s="149"/>
      <c r="X3273" s="68"/>
      <c r="Y3273" s="68"/>
      <c r="Z3273" s="68"/>
    </row>
    <row r="3274" ht="15.0" customHeight="1">
      <c r="A3274" s="421"/>
      <c r="B3274" s="201"/>
      <c r="C3274" s="17"/>
      <c r="D3274" s="140"/>
      <c r="E3274" s="17"/>
      <c r="F3274" s="202"/>
      <c r="G3274" s="142"/>
      <c r="H3274" s="142"/>
      <c r="I3274" s="143"/>
      <c r="J3274" s="144"/>
      <c r="K3274" s="17"/>
      <c r="L3274" s="17"/>
      <c r="M3274" s="17"/>
      <c r="N3274" s="68"/>
      <c r="O3274" s="68"/>
      <c r="P3274" s="68"/>
      <c r="Q3274" s="149"/>
      <c r="R3274" s="149"/>
      <c r="S3274" s="149"/>
      <c r="T3274" s="149"/>
      <c r="U3274" s="149"/>
      <c r="V3274" s="149"/>
      <c r="W3274" s="149"/>
      <c r="X3274" s="68"/>
      <c r="Y3274" s="68"/>
      <c r="Z3274" s="68"/>
    </row>
    <row r="3275" ht="15.0" customHeight="1">
      <c r="A3275" s="421"/>
      <c r="B3275" s="201"/>
      <c r="C3275" s="17"/>
      <c r="D3275" s="140"/>
      <c r="E3275" s="17"/>
      <c r="F3275" s="202"/>
      <c r="G3275" s="142"/>
      <c r="H3275" s="142"/>
      <c r="I3275" s="143"/>
      <c r="J3275" s="144"/>
      <c r="K3275" s="17"/>
      <c r="L3275" s="17"/>
      <c r="M3275" s="17"/>
      <c r="N3275" s="68"/>
      <c r="O3275" s="68"/>
      <c r="P3275" s="68"/>
      <c r="Q3275" s="149"/>
      <c r="R3275" s="149"/>
      <c r="S3275" s="149"/>
      <c r="T3275" s="149"/>
      <c r="U3275" s="149"/>
      <c r="V3275" s="149"/>
      <c r="W3275" s="149"/>
      <c r="X3275" s="68"/>
      <c r="Y3275" s="68"/>
      <c r="Z3275" s="68"/>
    </row>
    <row r="3276" ht="15.0" customHeight="1">
      <c r="A3276" s="421"/>
      <c r="B3276" s="201"/>
      <c r="C3276" s="17"/>
      <c r="D3276" s="140"/>
      <c r="E3276" s="17"/>
      <c r="F3276" s="202"/>
      <c r="G3276" s="142"/>
      <c r="H3276" s="142"/>
      <c r="I3276" s="143"/>
      <c r="J3276" s="144"/>
      <c r="K3276" s="17"/>
      <c r="L3276" s="17"/>
      <c r="M3276" s="17"/>
      <c r="N3276" s="68"/>
      <c r="O3276" s="68"/>
      <c r="P3276" s="68"/>
      <c r="Q3276" s="149"/>
      <c r="R3276" s="149"/>
      <c r="S3276" s="149"/>
      <c r="T3276" s="149"/>
      <c r="U3276" s="149"/>
      <c r="V3276" s="149"/>
      <c r="W3276" s="149"/>
      <c r="X3276" s="68"/>
      <c r="Y3276" s="68"/>
      <c r="Z3276" s="68"/>
    </row>
    <row r="3277" ht="15.0" customHeight="1">
      <c r="A3277" s="421"/>
      <c r="B3277" s="201"/>
      <c r="C3277" s="17"/>
      <c r="D3277" s="140"/>
      <c r="E3277" s="17"/>
      <c r="F3277" s="202"/>
      <c r="G3277" s="142"/>
      <c r="H3277" s="142"/>
      <c r="I3277" s="143"/>
      <c r="J3277" s="144"/>
      <c r="K3277" s="17"/>
      <c r="L3277" s="17"/>
      <c r="M3277" s="17"/>
      <c r="N3277" s="68"/>
      <c r="O3277" s="68"/>
      <c r="P3277" s="68"/>
      <c r="Q3277" s="149"/>
      <c r="R3277" s="149"/>
      <c r="S3277" s="149"/>
      <c r="T3277" s="149"/>
      <c r="U3277" s="149"/>
      <c r="V3277" s="149"/>
      <c r="W3277" s="149"/>
      <c r="X3277" s="68"/>
      <c r="Y3277" s="68"/>
      <c r="Z3277" s="68"/>
    </row>
    <row r="3278" ht="15.0" customHeight="1">
      <c r="A3278" s="421"/>
      <c r="B3278" s="201"/>
      <c r="C3278" s="17"/>
      <c r="D3278" s="140"/>
      <c r="E3278" s="17"/>
      <c r="F3278" s="202"/>
      <c r="G3278" s="142"/>
      <c r="H3278" s="142"/>
      <c r="I3278" s="143"/>
      <c r="J3278" s="144"/>
      <c r="K3278" s="17"/>
      <c r="L3278" s="17"/>
      <c r="M3278" s="17"/>
      <c r="N3278" s="68"/>
      <c r="O3278" s="68"/>
      <c r="P3278" s="68"/>
      <c r="Q3278" s="149"/>
      <c r="R3278" s="149"/>
      <c r="S3278" s="149"/>
      <c r="T3278" s="149"/>
      <c r="U3278" s="149"/>
      <c r="V3278" s="149"/>
      <c r="W3278" s="149"/>
      <c r="X3278" s="68"/>
      <c r="Y3278" s="68"/>
      <c r="Z3278" s="68"/>
    </row>
    <row r="3279" ht="15.0" customHeight="1">
      <c r="A3279" s="421"/>
      <c r="B3279" s="201"/>
      <c r="C3279" s="17"/>
      <c r="D3279" s="140"/>
      <c r="E3279" s="17"/>
      <c r="F3279" s="202"/>
      <c r="G3279" s="142"/>
      <c r="H3279" s="142"/>
      <c r="I3279" s="143"/>
      <c r="J3279" s="144"/>
      <c r="K3279" s="17"/>
      <c r="L3279" s="17"/>
      <c r="M3279" s="17"/>
      <c r="N3279" s="68"/>
      <c r="O3279" s="68"/>
      <c r="P3279" s="68"/>
      <c r="Q3279" s="149"/>
      <c r="R3279" s="149"/>
      <c r="S3279" s="149"/>
      <c r="T3279" s="149"/>
      <c r="U3279" s="149"/>
      <c r="V3279" s="149"/>
      <c r="W3279" s="149"/>
      <c r="X3279" s="68"/>
      <c r="Y3279" s="68"/>
      <c r="Z3279" s="68"/>
    </row>
    <row r="3280" ht="15.0" customHeight="1">
      <c r="A3280" s="421"/>
      <c r="B3280" s="201"/>
      <c r="C3280" s="17"/>
      <c r="D3280" s="140"/>
      <c r="E3280" s="17"/>
      <c r="F3280" s="202"/>
      <c r="G3280" s="142"/>
      <c r="H3280" s="142"/>
      <c r="I3280" s="143"/>
      <c r="J3280" s="144"/>
      <c r="K3280" s="17"/>
      <c r="L3280" s="17"/>
      <c r="M3280" s="17"/>
      <c r="N3280" s="68"/>
      <c r="O3280" s="68"/>
      <c r="P3280" s="68"/>
      <c r="Q3280" s="149"/>
      <c r="R3280" s="149"/>
      <c r="S3280" s="149"/>
      <c r="T3280" s="149"/>
      <c r="U3280" s="149"/>
      <c r="V3280" s="149"/>
      <c r="W3280" s="149"/>
      <c r="X3280" s="68"/>
      <c r="Y3280" s="68"/>
      <c r="Z3280" s="68"/>
    </row>
    <row r="3281" ht="15.0" customHeight="1">
      <c r="A3281" s="421"/>
      <c r="B3281" s="201"/>
      <c r="C3281" s="17"/>
      <c r="D3281" s="140"/>
      <c r="E3281" s="17"/>
      <c r="F3281" s="202"/>
      <c r="G3281" s="142"/>
      <c r="H3281" s="142"/>
      <c r="I3281" s="143"/>
      <c r="J3281" s="144"/>
      <c r="K3281" s="17"/>
      <c r="L3281" s="17"/>
      <c r="M3281" s="17"/>
      <c r="N3281" s="68"/>
      <c r="O3281" s="68"/>
      <c r="P3281" s="68"/>
      <c r="Q3281" s="149"/>
      <c r="R3281" s="149"/>
      <c r="S3281" s="149"/>
      <c r="T3281" s="149"/>
      <c r="U3281" s="149"/>
      <c r="V3281" s="149"/>
      <c r="W3281" s="149"/>
      <c r="X3281" s="68"/>
      <c r="Y3281" s="68"/>
      <c r="Z3281" s="68"/>
    </row>
    <row r="3282" ht="15.0" customHeight="1">
      <c r="A3282" s="421"/>
      <c r="B3282" s="201"/>
      <c r="C3282" s="17"/>
      <c r="D3282" s="140"/>
      <c r="E3282" s="17"/>
      <c r="F3282" s="202"/>
      <c r="G3282" s="142"/>
      <c r="H3282" s="142"/>
      <c r="I3282" s="143"/>
      <c r="J3282" s="144"/>
      <c r="K3282" s="17"/>
      <c r="L3282" s="17"/>
      <c r="M3282" s="17"/>
      <c r="N3282" s="68"/>
      <c r="O3282" s="68"/>
      <c r="P3282" s="68"/>
      <c r="Q3282" s="149"/>
      <c r="R3282" s="149"/>
      <c r="S3282" s="149"/>
      <c r="T3282" s="149"/>
      <c r="U3282" s="149"/>
      <c r="V3282" s="149"/>
      <c r="W3282" s="149"/>
      <c r="X3282" s="68"/>
      <c r="Y3282" s="68"/>
      <c r="Z3282" s="68"/>
    </row>
    <row r="3283" ht="15.0" customHeight="1">
      <c r="A3283" s="421"/>
      <c r="B3283" s="201"/>
      <c r="C3283" s="17"/>
      <c r="D3283" s="140"/>
      <c r="E3283" s="17"/>
      <c r="F3283" s="202"/>
      <c r="G3283" s="142"/>
      <c r="H3283" s="142"/>
      <c r="I3283" s="143"/>
      <c r="J3283" s="144"/>
      <c r="K3283" s="17"/>
      <c r="L3283" s="17"/>
      <c r="M3283" s="17"/>
      <c r="N3283" s="68"/>
      <c r="O3283" s="68"/>
      <c r="P3283" s="68"/>
      <c r="Q3283" s="149"/>
      <c r="R3283" s="149"/>
      <c r="S3283" s="149"/>
      <c r="T3283" s="149"/>
      <c r="U3283" s="149"/>
      <c r="V3283" s="149"/>
      <c r="W3283" s="149"/>
      <c r="X3283" s="68"/>
      <c r="Y3283" s="68"/>
      <c r="Z3283" s="68"/>
    </row>
    <row r="3284" ht="15.0" customHeight="1">
      <c r="A3284" s="421"/>
      <c r="B3284" s="201"/>
      <c r="C3284" s="17"/>
      <c r="D3284" s="140"/>
      <c r="E3284" s="17"/>
      <c r="F3284" s="202"/>
      <c r="G3284" s="142"/>
      <c r="H3284" s="142"/>
      <c r="I3284" s="143"/>
      <c r="J3284" s="144"/>
      <c r="K3284" s="17"/>
      <c r="L3284" s="17"/>
      <c r="M3284" s="17"/>
      <c r="N3284" s="68"/>
      <c r="O3284" s="68"/>
      <c r="P3284" s="68"/>
      <c r="Q3284" s="149"/>
      <c r="R3284" s="149"/>
      <c r="S3284" s="149"/>
      <c r="T3284" s="149"/>
      <c r="U3284" s="149"/>
      <c r="V3284" s="149"/>
      <c r="W3284" s="149"/>
      <c r="X3284" s="68"/>
      <c r="Y3284" s="68"/>
      <c r="Z3284" s="68"/>
    </row>
    <row r="3285" ht="15.0" customHeight="1">
      <c r="A3285" s="421"/>
      <c r="B3285" s="201"/>
      <c r="C3285" s="17"/>
      <c r="D3285" s="140"/>
      <c r="E3285" s="17"/>
      <c r="F3285" s="202"/>
      <c r="G3285" s="142"/>
      <c r="H3285" s="142"/>
      <c r="I3285" s="143"/>
      <c r="J3285" s="144"/>
      <c r="K3285" s="17"/>
      <c r="L3285" s="17"/>
      <c r="M3285" s="17"/>
      <c r="N3285" s="68"/>
      <c r="O3285" s="68"/>
      <c r="P3285" s="68"/>
      <c r="Q3285" s="149"/>
      <c r="R3285" s="149"/>
      <c r="S3285" s="149"/>
      <c r="T3285" s="149"/>
      <c r="U3285" s="149"/>
      <c r="V3285" s="149"/>
      <c r="W3285" s="149"/>
      <c r="X3285" s="68"/>
      <c r="Y3285" s="68"/>
      <c r="Z3285" s="68"/>
    </row>
    <row r="3286" ht="15.0" customHeight="1">
      <c r="A3286" s="421"/>
      <c r="B3286" s="201"/>
      <c r="C3286" s="17"/>
      <c r="D3286" s="140"/>
      <c r="E3286" s="17"/>
      <c r="F3286" s="202"/>
      <c r="G3286" s="142"/>
      <c r="H3286" s="142"/>
      <c r="I3286" s="143"/>
      <c r="J3286" s="144"/>
      <c r="K3286" s="17"/>
      <c r="L3286" s="17"/>
      <c r="M3286" s="17"/>
      <c r="N3286" s="68"/>
      <c r="O3286" s="68"/>
      <c r="P3286" s="68"/>
      <c r="Q3286" s="149"/>
      <c r="R3286" s="149"/>
      <c r="S3286" s="149"/>
      <c r="T3286" s="149"/>
      <c r="U3286" s="149"/>
      <c r="V3286" s="149"/>
      <c r="W3286" s="149"/>
      <c r="X3286" s="68"/>
      <c r="Y3286" s="68"/>
      <c r="Z3286" s="68"/>
    </row>
    <row r="3287" ht="15.0" customHeight="1">
      <c r="A3287" s="421"/>
      <c r="B3287" s="201"/>
      <c r="C3287" s="17"/>
      <c r="D3287" s="140"/>
      <c r="E3287" s="17"/>
      <c r="F3287" s="202"/>
      <c r="G3287" s="142"/>
      <c r="H3287" s="142"/>
      <c r="I3287" s="143"/>
      <c r="J3287" s="144"/>
      <c r="K3287" s="17"/>
      <c r="L3287" s="17"/>
      <c r="M3287" s="17"/>
      <c r="N3287" s="68"/>
      <c r="O3287" s="68"/>
      <c r="P3287" s="68"/>
      <c r="Q3287" s="149"/>
      <c r="R3287" s="149"/>
      <c r="S3287" s="149"/>
      <c r="T3287" s="149"/>
      <c r="U3287" s="149"/>
      <c r="V3287" s="149"/>
      <c r="W3287" s="149"/>
      <c r="X3287" s="68"/>
      <c r="Y3287" s="68"/>
      <c r="Z3287" s="68"/>
    </row>
    <row r="3288" ht="15.0" customHeight="1">
      <c r="A3288" s="421"/>
      <c r="B3288" s="201"/>
      <c r="C3288" s="17"/>
      <c r="D3288" s="140"/>
      <c r="E3288" s="17"/>
      <c r="F3288" s="202"/>
      <c r="G3288" s="142"/>
      <c r="H3288" s="142"/>
      <c r="I3288" s="143"/>
      <c r="J3288" s="144"/>
      <c r="K3288" s="17"/>
      <c r="L3288" s="17"/>
      <c r="M3288" s="17"/>
      <c r="N3288" s="68"/>
      <c r="O3288" s="68"/>
      <c r="P3288" s="68"/>
      <c r="Q3288" s="149"/>
      <c r="R3288" s="149"/>
      <c r="S3288" s="149"/>
      <c r="T3288" s="149"/>
      <c r="U3288" s="149"/>
      <c r="V3288" s="149"/>
      <c r="W3288" s="149"/>
      <c r="X3288" s="68"/>
      <c r="Y3288" s="68"/>
      <c r="Z3288" s="68"/>
    </row>
    <row r="3289" ht="15.0" customHeight="1">
      <c r="A3289" s="421"/>
      <c r="B3289" s="201"/>
      <c r="C3289" s="17"/>
      <c r="D3289" s="140"/>
      <c r="E3289" s="17"/>
      <c r="F3289" s="202"/>
      <c r="G3289" s="142"/>
      <c r="H3289" s="142"/>
      <c r="I3289" s="143"/>
      <c r="J3289" s="144"/>
      <c r="K3289" s="17"/>
      <c r="L3289" s="17"/>
      <c r="M3289" s="17"/>
      <c r="N3289" s="68"/>
      <c r="O3289" s="68"/>
      <c r="P3289" s="68"/>
      <c r="Q3289" s="149"/>
      <c r="R3289" s="149"/>
      <c r="S3289" s="149"/>
      <c r="T3289" s="149"/>
      <c r="U3289" s="149"/>
      <c r="V3289" s="149"/>
      <c r="W3289" s="149"/>
      <c r="X3289" s="68"/>
      <c r="Y3289" s="68"/>
      <c r="Z3289" s="68"/>
    </row>
    <row r="3290" ht="15.0" customHeight="1">
      <c r="A3290" s="421"/>
      <c r="B3290" s="201"/>
      <c r="C3290" s="17"/>
      <c r="D3290" s="140"/>
      <c r="E3290" s="17"/>
      <c r="F3290" s="202"/>
      <c r="G3290" s="142"/>
      <c r="H3290" s="142"/>
      <c r="I3290" s="143"/>
      <c r="J3290" s="144"/>
      <c r="K3290" s="17"/>
      <c r="L3290" s="17"/>
      <c r="M3290" s="17"/>
      <c r="N3290" s="68"/>
      <c r="O3290" s="68"/>
      <c r="P3290" s="68"/>
      <c r="Q3290" s="149"/>
      <c r="R3290" s="149"/>
      <c r="S3290" s="149"/>
      <c r="T3290" s="149"/>
      <c r="U3290" s="149"/>
      <c r="V3290" s="149"/>
      <c r="W3290" s="149"/>
      <c r="X3290" s="68"/>
      <c r="Y3290" s="68"/>
      <c r="Z3290" s="68"/>
    </row>
    <row r="3291" ht="15.0" customHeight="1">
      <c r="A3291" s="421"/>
      <c r="B3291" s="201"/>
      <c r="C3291" s="17"/>
      <c r="D3291" s="140"/>
      <c r="E3291" s="17"/>
      <c r="F3291" s="202"/>
      <c r="G3291" s="142"/>
      <c r="H3291" s="142"/>
      <c r="I3291" s="143"/>
      <c r="J3291" s="144"/>
      <c r="K3291" s="17"/>
      <c r="L3291" s="17"/>
      <c r="M3291" s="17"/>
      <c r="N3291" s="68"/>
      <c r="O3291" s="68"/>
      <c r="P3291" s="68"/>
      <c r="Q3291" s="149"/>
      <c r="R3291" s="149"/>
      <c r="S3291" s="149"/>
      <c r="T3291" s="149"/>
      <c r="U3291" s="149"/>
      <c r="V3291" s="149"/>
      <c r="W3291" s="149"/>
      <c r="X3291" s="68"/>
      <c r="Y3291" s="68"/>
      <c r="Z3291" s="68"/>
    </row>
    <row r="3292" ht="15.0" customHeight="1">
      <c r="A3292" s="421"/>
      <c r="B3292" s="201"/>
      <c r="C3292" s="17"/>
      <c r="D3292" s="140"/>
      <c r="E3292" s="17"/>
      <c r="F3292" s="202"/>
      <c r="G3292" s="142"/>
      <c r="H3292" s="142"/>
      <c r="I3292" s="143"/>
      <c r="J3292" s="144"/>
      <c r="K3292" s="17"/>
      <c r="L3292" s="17"/>
      <c r="M3292" s="17"/>
      <c r="N3292" s="68"/>
      <c r="O3292" s="68"/>
      <c r="P3292" s="68"/>
      <c r="Q3292" s="149"/>
      <c r="R3292" s="149"/>
      <c r="S3292" s="149"/>
      <c r="T3292" s="149"/>
      <c r="U3292" s="149"/>
      <c r="V3292" s="149"/>
      <c r="W3292" s="149"/>
      <c r="X3292" s="68"/>
      <c r="Y3292" s="68"/>
      <c r="Z3292" s="68"/>
    </row>
    <row r="3293" ht="15.0" customHeight="1">
      <c r="A3293" s="421"/>
      <c r="B3293" s="201"/>
      <c r="C3293" s="17"/>
      <c r="D3293" s="140"/>
      <c r="E3293" s="17"/>
      <c r="F3293" s="202"/>
      <c r="G3293" s="142"/>
      <c r="H3293" s="142"/>
      <c r="I3293" s="143"/>
      <c r="J3293" s="144"/>
      <c r="K3293" s="17"/>
      <c r="L3293" s="17"/>
      <c r="M3293" s="17"/>
      <c r="N3293" s="68"/>
      <c r="O3293" s="68"/>
      <c r="P3293" s="68"/>
      <c r="Q3293" s="149"/>
      <c r="R3293" s="149"/>
      <c r="S3293" s="149"/>
      <c r="T3293" s="149"/>
      <c r="U3293" s="149"/>
      <c r="V3293" s="149"/>
      <c r="W3293" s="149"/>
      <c r="X3293" s="68"/>
      <c r="Y3293" s="68"/>
      <c r="Z3293" s="68"/>
    </row>
    <row r="3294" ht="15.0" customHeight="1">
      <c r="A3294" s="421"/>
      <c r="B3294" s="201"/>
      <c r="C3294" s="17"/>
      <c r="D3294" s="140"/>
      <c r="E3294" s="17"/>
      <c r="F3294" s="202"/>
      <c r="G3294" s="142"/>
      <c r="H3294" s="142"/>
      <c r="I3294" s="143"/>
      <c r="J3294" s="144"/>
      <c r="K3294" s="17"/>
      <c r="L3294" s="17"/>
      <c r="M3294" s="17"/>
      <c r="N3294" s="68"/>
      <c r="O3294" s="68"/>
      <c r="P3294" s="68"/>
      <c r="Q3294" s="149"/>
      <c r="R3294" s="149"/>
      <c r="S3294" s="149"/>
      <c r="T3294" s="149"/>
      <c r="U3294" s="149"/>
      <c r="V3294" s="149"/>
      <c r="W3294" s="149"/>
      <c r="X3294" s="68"/>
      <c r="Y3294" s="68"/>
      <c r="Z3294" s="68"/>
    </row>
    <row r="3295" ht="15.0" customHeight="1">
      <c r="A3295" s="421"/>
      <c r="B3295" s="201"/>
      <c r="C3295" s="17"/>
      <c r="D3295" s="140"/>
      <c r="E3295" s="17"/>
      <c r="F3295" s="202"/>
      <c r="G3295" s="142"/>
      <c r="H3295" s="142"/>
      <c r="I3295" s="143"/>
      <c r="J3295" s="144"/>
      <c r="K3295" s="17"/>
      <c r="L3295" s="17"/>
      <c r="M3295" s="17"/>
      <c r="N3295" s="68"/>
      <c r="O3295" s="68"/>
      <c r="P3295" s="68"/>
      <c r="Q3295" s="149"/>
      <c r="R3295" s="149"/>
      <c r="S3295" s="149"/>
      <c r="T3295" s="149"/>
      <c r="U3295" s="149"/>
      <c r="V3295" s="149"/>
      <c r="W3295" s="149"/>
      <c r="X3295" s="68"/>
      <c r="Y3295" s="68"/>
      <c r="Z3295" s="68"/>
    </row>
    <row r="3296" ht="15.0" customHeight="1">
      <c r="A3296" s="421"/>
      <c r="B3296" s="201"/>
      <c r="C3296" s="17"/>
      <c r="D3296" s="140"/>
      <c r="E3296" s="17"/>
      <c r="F3296" s="202"/>
      <c r="G3296" s="142"/>
      <c r="H3296" s="142"/>
      <c r="I3296" s="143"/>
      <c r="J3296" s="144"/>
      <c r="K3296" s="17"/>
      <c r="L3296" s="17"/>
      <c r="M3296" s="17"/>
      <c r="N3296" s="68"/>
      <c r="O3296" s="68"/>
      <c r="P3296" s="68"/>
      <c r="Q3296" s="149"/>
      <c r="R3296" s="149"/>
      <c r="S3296" s="149"/>
      <c r="T3296" s="149"/>
      <c r="U3296" s="149"/>
      <c r="V3296" s="149"/>
      <c r="W3296" s="149"/>
      <c r="X3296" s="68"/>
      <c r="Y3296" s="68"/>
      <c r="Z3296" s="68"/>
    </row>
    <row r="3297" ht="15.0" customHeight="1">
      <c r="A3297" s="421"/>
      <c r="B3297" s="201"/>
      <c r="C3297" s="17"/>
      <c r="D3297" s="140"/>
      <c r="E3297" s="17"/>
      <c r="F3297" s="202"/>
      <c r="G3297" s="142"/>
      <c r="H3297" s="142"/>
      <c r="I3297" s="143"/>
      <c r="J3297" s="144"/>
      <c r="K3297" s="17"/>
      <c r="L3297" s="17"/>
      <c r="M3297" s="17"/>
      <c r="N3297" s="68"/>
      <c r="O3297" s="68"/>
      <c r="P3297" s="68"/>
      <c r="Q3297" s="149"/>
      <c r="R3297" s="149"/>
      <c r="S3297" s="149"/>
      <c r="T3297" s="149"/>
      <c r="U3297" s="149"/>
      <c r="V3297" s="149"/>
      <c r="W3297" s="149"/>
      <c r="X3297" s="68"/>
      <c r="Y3297" s="68"/>
      <c r="Z3297" s="68"/>
    </row>
    <row r="3298" ht="15.0" customHeight="1">
      <c r="A3298" s="421"/>
      <c r="B3298" s="201"/>
      <c r="C3298" s="17"/>
      <c r="D3298" s="140"/>
      <c r="E3298" s="17"/>
      <c r="F3298" s="202"/>
      <c r="G3298" s="142"/>
      <c r="H3298" s="142"/>
      <c r="I3298" s="143"/>
      <c r="J3298" s="144"/>
      <c r="K3298" s="17"/>
      <c r="L3298" s="17"/>
      <c r="M3298" s="17"/>
      <c r="N3298" s="68"/>
      <c r="O3298" s="68"/>
      <c r="P3298" s="68"/>
      <c r="Q3298" s="149"/>
      <c r="R3298" s="149"/>
      <c r="S3298" s="149"/>
      <c r="T3298" s="149"/>
      <c r="U3298" s="149"/>
      <c r="V3298" s="149"/>
      <c r="W3298" s="149"/>
      <c r="X3298" s="68"/>
      <c r="Y3298" s="68"/>
      <c r="Z3298" s="68"/>
    </row>
    <row r="3299" ht="15.0" customHeight="1">
      <c r="A3299" s="421"/>
      <c r="B3299" s="201"/>
      <c r="C3299" s="17"/>
      <c r="D3299" s="140"/>
      <c r="E3299" s="17"/>
      <c r="F3299" s="202"/>
      <c r="G3299" s="142"/>
      <c r="H3299" s="142"/>
      <c r="I3299" s="143"/>
      <c r="J3299" s="144"/>
      <c r="K3299" s="17"/>
      <c r="L3299" s="17"/>
      <c r="M3299" s="17"/>
      <c r="N3299" s="68"/>
      <c r="O3299" s="68"/>
      <c r="P3299" s="68"/>
      <c r="Q3299" s="149"/>
      <c r="R3299" s="149"/>
      <c r="S3299" s="149"/>
      <c r="T3299" s="149"/>
      <c r="U3299" s="149"/>
      <c r="V3299" s="149"/>
      <c r="W3299" s="149"/>
      <c r="X3299" s="68"/>
      <c r="Y3299" s="68"/>
      <c r="Z3299" s="68"/>
    </row>
    <row r="3300" ht="15.0" customHeight="1">
      <c r="A3300" s="421"/>
      <c r="B3300" s="201"/>
      <c r="C3300" s="17"/>
      <c r="D3300" s="140"/>
      <c r="E3300" s="17"/>
      <c r="F3300" s="202"/>
      <c r="G3300" s="142"/>
      <c r="H3300" s="142"/>
      <c r="I3300" s="143"/>
      <c r="J3300" s="144"/>
      <c r="K3300" s="17"/>
      <c r="L3300" s="17"/>
      <c r="M3300" s="17"/>
      <c r="N3300" s="68"/>
      <c r="O3300" s="68"/>
      <c r="P3300" s="68"/>
      <c r="Q3300" s="149"/>
      <c r="R3300" s="149"/>
      <c r="S3300" s="149"/>
      <c r="T3300" s="149"/>
      <c r="U3300" s="149"/>
      <c r="V3300" s="149"/>
      <c r="W3300" s="149"/>
      <c r="X3300" s="68"/>
      <c r="Y3300" s="68"/>
      <c r="Z3300" s="68"/>
    </row>
    <row r="3301" ht="15.0" customHeight="1">
      <c r="A3301" s="421"/>
      <c r="B3301" s="201"/>
      <c r="C3301" s="17"/>
      <c r="D3301" s="140"/>
      <c r="E3301" s="17"/>
      <c r="F3301" s="202"/>
      <c r="G3301" s="142"/>
      <c r="H3301" s="142"/>
      <c r="I3301" s="143"/>
      <c r="J3301" s="144"/>
      <c r="K3301" s="17"/>
      <c r="L3301" s="17"/>
      <c r="M3301" s="17"/>
      <c r="N3301" s="68"/>
      <c r="O3301" s="68"/>
      <c r="P3301" s="68"/>
      <c r="Q3301" s="149"/>
      <c r="R3301" s="149"/>
      <c r="S3301" s="149"/>
      <c r="T3301" s="149"/>
      <c r="U3301" s="149"/>
      <c r="V3301" s="149"/>
      <c r="W3301" s="149"/>
      <c r="X3301" s="68"/>
      <c r="Y3301" s="68"/>
      <c r="Z3301" s="68"/>
    </row>
    <row r="3302" ht="15.0" customHeight="1">
      <c r="A3302" s="421"/>
      <c r="B3302" s="201"/>
      <c r="C3302" s="17"/>
      <c r="D3302" s="140"/>
      <c r="E3302" s="17"/>
      <c r="F3302" s="202"/>
      <c r="G3302" s="142"/>
      <c r="H3302" s="142"/>
      <c r="I3302" s="143"/>
      <c r="J3302" s="144"/>
      <c r="K3302" s="17"/>
      <c r="L3302" s="17"/>
      <c r="M3302" s="17"/>
      <c r="N3302" s="68"/>
      <c r="O3302" s="68"/>
      <c r="P3302" s="68"/>
      <c r="Q3302" s="149"/>
      <c r="R3302" s="149"/>
      <c r="S3302" s="149"/>
      <c r="T3302" s="149"/>
      <c r="U3302" s="149"/>
      <c r="V3302" s="149"/>
      <c r="W3302" s="149"/>
      <c r="X3302" s="68"/>
      <c r="Y3302" s="68"/>
      <c r="Z3302" s="68"/>
    </row>
    <row r="3303" ht="15.0" customHeight="1">
      <c r="A3303" s="421"/>
      <c r="B3303" s="201"/>
      <c r="C3303" s="17"/>
      <c r="D3303" s="140"/>
      <c r="E3303" s="17"/>
      <c r="F3303" s="202"/>
      <c r="G3303" s="142"/>
      <c r="H3303" s="142"/>
      <c r="I3303" s="143"/>
      <c r="J3303" s="144"/>
      <c r="K3303" s="17"/>
      <c r="L3303" s="17"/>
      <c r="M3303" s="17"/>
      <c r="N3303" s="68"/>
      <c r="O3303" s="68"/>
      <c r="P3303" s="68"/>
      <c r="Q3303" s="149"/>
      <c r="R3303" s="149"/>
      <c r="S3303" s="149"/>
      <c r="T3303" s="149"/>
      <c r="U3303" s="149"/>
      <c r="V3303" s="149"/>
      <c r="W3303" s="149"/>
      <c r="X3303" s="68"/>
      <c r="Y3303" s="68"/>
      <c r="Z3303" s="68"/>
    </row>
    <row r="3304" ht="15.0" customHeight="1">
      <c r="A3304" s="421"/>
      <c r="B3304" s="201"/>
      <c r="C3304" s="17"/>
      <c r="D3304" s="140"/>
      <c r="E3304" s="17"/>
      <c r="F3304" s="202"/>
      <c r="G3304" s="142"/>
      <c r="H3304" s="142"/>
      <c r="I3304" s="143"/>
      <c r="J3304" s="144"/>
      <c r="K3304" s="17"/>
      <c r="L3304" s="17"/>
      <c r="M3304" s="17"/>
      <c r="N3304" s="68"/>
      <c r="O3304" s="68"/>
      <c r="P3304" s="68"/>
      <c r="Q3304" s="149"/>
      <c r="R3304" s="149"/>
      <c r="S3304" s="149"/>
      <c r="T3304" s="149"/>
      <c r="U3304" s="149"/>
      <c r="V3304" s="149"/>
      <c r="W3304" s="149"/>
      <c r="X3304" s="68"/>
      <c r="Y3304" s="68"/>
      <c r="Z3304" s="68"/>
    </row>
    <row r="3305" ht="15.0" customHeight="1">
      <c r="A3305" s="421"/>
      <c r="B3305" s="201"/>
      <c r="C3305" s="17"/>
      <c r="D3305" s="140"/>
      <c r="E3305" s="17"/>
      <c r="F3305" s="202"/>
      <c r="G3305" s="142"/>
      <c r="H3305" s="142"/>
      <c r="I3305" s="143"/>
      <c r="J3305" s="144"/>
      <c r="K3305" s="17"/>
      <c r="L3305" s="17"/>
      <c r="M3305" s="17"/>
      <c r="N3305" s="68"/>
      <c r="O3305" s="68"/>
      <c r="P3305" s="68"/>
      <c r="Q3305" s="149"/>
      <c r="R3305" s="149"/>
      <c r="S3305" s="149"/>
      <c r="T3305" s="149"/>
      <c r="U3305" s="149"/>
      <c r="V3305" s="149"/>
      <c r="W3305" s="149"/>
      <c r="X3305" s="68"/>
      <c r="Y3305" s="68"/>
      <c r="Z3305" s="68"/>
    </row>
    <row r="3306" ht="15.0" customHeight="1">
      <c r="A3306" s="421"/>
      <c r="B3306" s="201"/>
      <c r="C3306" s="17"/>
      <c r="D3306" s="140"/>
      <c r="E3306" s="17"/>
      <c r="F3306" s="202"/>
      <c r="G3306" s="142"/>
      <c r="H3306" s="142"/>
      <c r="I3306" s="143"/>
      <c r="J3306" s="144"/>
      <c r="K3306" s="17"/>
      <c r="L3306" s="17"/>
      <c r="M3306" s="17"/>
      <c r="N3306" s="68"/>
      <c r="O3306" s="68"/>
      <c r="P3306" s="68"/>
      <c r="Q3306" s="149"/>
      <c r="R3306" s="149"/>
      <c r="S3306" s="149"/>
      <c r="T3306" s="149"/>
      <c r="U3306" s="149"/>
      <c r="V3306" s="149"/>
      <c r="W3306" s="149"/>
      <c r="X3306" s="68"/>
      <c r="Y3306" s="68"/>
      <c r="Z3306" s="68"/>
    </row>
    <row r="3307" ht="15.0" customHeight="1">
      <c r="A3307" s="421"/>
      <c r="B3307" s="201"/>
      <c r="C3307" s="17"/>
      <c r="D3307" s="140"/>
      <c r="E3307" s="17"/>
      <c r="F3307" s="202"/>
      <c r="G3307" s="142"/>
      <c r="H3307" s="142"/>
      <c r="I3307" s="143"/>
      <c r="J3307" s="144"/>
      <c r="K3307" s="17"/>
      <c r="L3307" s="17"/>
      <c r="M3307" s="17"/>
      <c r="N3307" s="68"/>
      <c r="O3307" s="68"/>
      <c r="P3307" s="68"/>
      <c r="Q3307" s="149"/>
      <c r="R3307" s="149"/>
      <c r="S3307" s="149"/>
      <c r="T3307" s="149"/>
      <c r="U3307" s="149"/>
      <c r="V3307" s="149"/>
      <c r="W3307" s="149"/>
      <c r="X3307" s="68"/>
      <c r="Y3307" s="68"/>
      <c r="Z3307" s="68"/>
    </row>
    <row r="3308" ht="15.0" customHeight="1">
      <c r="A3308" s="421"/>
      <c r="B3308" s="201"/>
      <c r="C3308" s="17"/>
      <c r="D3308" s="140"/>
      <c r="E3308" s="17"/>
      <c r="F3308" s="202"/>
      <c r="G3308" s="142"/>
      <c r="H3308" s="142"/>
      <c r="I3308" s="143"/>
      <c r="J3308" s="144"/>
      <c r="K3308" s="17"/>
      <c r="L3308" s="17"/>
      <c r="M3308" s="17"/>
      <c r="N3308" s="68"/>
      <c r="O3308" s="68"/>
      <c r="P3308" s="68"/>
      <c r="Q3308" s="149"/>
      <c r="R3308" s="149"/>
      <c r="S3308" s="149"/>
      <c r="T3308" s="149"/>
      <c r="U3308" s="149"/>
      <c r="V3308" s="149"/>
      <c r="W3308" s="149"/>
      <c r="X3308" s="68"/>
      <c r="Y3308" s="68"/>
      <c r="Z3308" s="68"/>
    </row>
    <row r="3309" ht="15.0" customHeight="1">
      <c r="A3309" s="421"/>
      <c r="B3309" s="201"/>
      <c r="C3309" s="17"/>
      <c r="D3309" s="140"/>
      <c r="E3309" s="17"/>
      <c r="F3309" s="202"/>
      <c r="G3309" s="142"/>
      <c r="H3309" s="142"/>
      <c r="I3309" s="143"/>
      <c r="J3309" s="144"/>
      <c r="K3309" s="17"/>
      <c r="L3309" s="17"/>
      <c r="M3309" s="17"/>
      <c r="N3309" s="68"/>
      <c r="O3309" s="68"/>
      <c r="P3309" s="68"/>
      <c r="Q3309" s="149"/>
      <c r="R3309" s="149"/>
      <c r="S3309" s="149"/>
      <c r="T3309" s="149"/>
      <c r="U3309" s="149"/>
      <c r="V3309" s="149"/>
      <c r="W3309" s="149"/>
      <c r="X3309" s="68"/>
      <c r="Y3309" s="68"/>
      <c r="Z3309" s="68"/>
    </row>
    <row r="3310" ht="15.0" customHeight="1">
      <c r="A3310" s="421"/>
      <c r="B3310" s="201"/>
      <c r="C3310" s="17"/>
      <c r="D3310" s="140"/>
      <c r="E3310" s="17"/>
      <c r="F3310" s="202"/>
      <c r="G3310" s="142"/>
      <c r="H3310" s="142"/>
      <c r="I3310" s="143"/>
      <c r="J3310" s="144"/>
      <c r="K3310" s="17"/>
      <c r="L3310" s="17"/>
      <c r="M3310" s="17"/>
      <c r="N3310" s="68"/>
      <c r="O3310" s="68"/>
      <c r="P3310" s="68"/>
      <c r="Q3310" s="149"/>
      <c r="R3310" s="149"/>
      <c r="S3310" s="149"/>
      <c r="T3310" s="149"/>
      <c r="U3310" s="149"/>
      <c r="V3310" s="149"/>
      <c r="W3310" s="149"/>
      <c r="X3310" s="68"/>
      <c r="Y3310" s="68"/>
      <c r="Z3310" s="68"/>
    </row>
    <row r="3311" ht="15.0" customHeight="1">
      <c r="A3311" s="421"/>
      <c r="B3311" s="201"/>
      <c r="C3311" s="17"/>
      <c r="D3311" s="140"/>
      <c r="E3311" s="17"/>
      <c r="F3311" s="202"/>
      <c r="G3311" s="142"/>
      <c r="H3311" s="142"/>
      <c r="I3311" s="143"/>
      <c r="J3311" s="144"/>
      <c r="K3311" s="17"/>
      <c r="L3311" s="17"/>
      <c r="M3311" s="17"/>
      <c r="N3311" s="68"/>
      <c r="O3311" s="68"/>
      <c r="P3311" s="68"/>
      <c r="Q3311" s="149"/>
      <c r="R3311" s="149"/>
      <c r="S3311" s="149"/>
      <c r="T3311" s="149"/>
      <c r="U3311" s="149"/>
      <c r="V3311" s="149"/>
      <c r="W3311" s="149"/>
      <c r="X3311" s="68"/>
      <c r="Y3311" s="68"/>
      <c r="Z3311" s="68"/>
    </row>
    <row r="3312" ht="15.0" customHeight="1">
      <c r="A3312" s="421"/>
      <c r="B3312" s="201"/>
      <c r="C3312" s="17"/>
      <c r="D3312" s="140"/>
      <c r="E3312" s="17"/>
      <c r="F3312" s="202"/>
      <c r="G3312" s="142"/>
      <c r="H3312" s="142"/>
      <c r="I3312" s="143"/>
      <c r="J3312" s="144"/>
      <c r="K3312" s="17"/>
      <c r="L3312" s="17"/>
      <c r="M3312" s="17"/>
      <c r="N3312" s="68"/>
      <c r="O3312" s="68"/>
      <c r="P3312" s="68"/>
      <c r="Q3312" s="149"/>
      <c r="R3312" s="149"/>
      <c r="S3312" s="149"/>
      <c r="T3312" s="149"/>
      <c r="U3312" s="149"/>
      <c r="V3312" s="149"/>
      <c r="W3312" s="149"/>
      <c r="X3312" s="68"/>
      <c r="Y3312" s="68"/>
      <c r="Z3312" s="68"/>
    </row>
    <row r="3313" ht="15.0" customHeight="1">
      <c r="A3313" s="421"/>
      <c r="B3313" s="201"/>
      <c r="C3313" s="17"/>
      <c r="D3313" s="140"/>
      <c r="E3313" s="17"/>
      <c r="F3313" s="202"/>
      <c r="G3313" s="142"/>
      <c r="H3313" s="142"/>
      <c r="I3313" s="143"/>
      <c r="J3313" s="144"/>
      <c r="K3313" s="17"/>
      <c r="L3313" s="17"/>
      <c r="M3313" s="17"/>
      <c r="N3313" s="68"/>
      <c r="O3313" s="68"/>
      <c r="P3313" s="68"/>
      <c r="Q3313" s="149"/>
      <c r="R3313" s="149"/>
      <c r="S3313" s="149"/>
      <c r="T3313" s="149"/>
      <c r="U3313" s="149"/>
      <c r="V3313" s="149"/>
      <c r="W3313" s="149"/>
      <c r="X3313" s="68"/>
      <c r="Y3313" s="68"/>
      <c r="Z3313" s="68"/>
    </row>
    <row r="3314" ht="15.0" customHeight="1">
      <c r="A3314" s="421"/>
      <c r="B3314" s="201"/>
      <c r="C3314" s="17"/>
      <c r="D3314" s="140"/>
      <c r="E3314" s="17"/>
      <c r="F3314" s="202"/>
      <c r="G3314" s="142"/>
      <c r="H3314" s="142"/>
      <c r="I3314" s="143"/>
      <c r="J3314" s="144"/>
      <c r="K3314" s="17"/>
      <c r="L3314" s="17"/>
      <c r="M3314" s="17"/>
      <c r="N3314" s="68"/>
      <c r="O3314" s="68"/>
      <c r="P3314" s="68"/>
      <c r="Q3314" s="149"/>
      <c r="R3314" s="149"/>
      <c r="S3314" s="149"/>
      <c r="T3314" s="149"/>
      <c r="U3314" s="149"/>
      <c r="V3314" s="149"/>
      <c r="W3314" s="149"/>
      <c r="X3314" s="68"/>
      <c r="Y3314" s="68"/>
      <c r="Z3314" s="68"/>
    </row>
    <row r="3315" ht="15.0" customHeight="1">
      <c r="A3315" s="421"/>
      <c r="B3315" s="201"/>
      <c r="C3315" s="17"/>
      <c r="D3315" s="140"/>
      <c r="E3315" s="17"/>
      <c r="F3315" s="202"/>
      <c r="G3315" s="142"/>
      <c r="H3315" s="142"/>
      <c r="I3315" s="143"/>
      <c r="J3315" s="144"/>
      <c r="K3315" s="17"/>
      <c r="L3315" s="17"/>
      <c r="M3315" s="17"/>
      <c r="N3315" s="68"/>
      <c r="O3315" s="68"/>
      <c r="P3315" s="68"/>
      <c r="Q3315" s="149"/>
      <c r="R3315" s="149"/>
      <c r="S3315" s="149"/>
      <c r="T3315" s="149"/>
      <c r="U3315" s="149"/>
      <c r="V3315" s="149"/>
      <c r="W3315" s="149"/>
      <c r="X3315" s="68"/>
      <c r="Y3315" s="68"/>
      <c r="Z3315" s="68"/>
    </row>
    <row r="3316" ht="15.0" customHeight="1">
      <c r="A3316" s="421"/>
      <c r="B3316" s="201"/>
      <c r="C3316" s="17"/>
      <c r="D3316" s="140"/>
      <c r="E3316" s="17"/>
      <c r="F3316" s="202"/>
      <c r="G3316" s="142"/>
      <c r="H3316" s="142"/>
      <c r="I3316" s="143"/>
      <c r="J3316" s="144"/>
      <c r="K3316" s="17"/>
      <c r="L3316" s="17"/>
      <c r="M3316" s="17"/>
      <c r="N3316" s="68"/>
      <c r="O3316" s="68"/>
      <c r="P3316" s="68"/>
      <c r="Q3316" s="149"/>
      <c r="R3316" s="149"/>
      <c r="S3316" s="149"/>
      <c r="T3316" s="149"/>
      <c r="U3316" s="149"/>
      <c r="V3316" s="149"/>
      <c r="W3316" s="149"/>
      <c r="X3316" s="68"/>
      <c r="Y3316" s="68"/>
      <c r="Z3316" s="68"/>
    </row>
    <row r="3317" ht="15.0" customHeight="1">
      <c r="A3317" s="421"/>
      <c r="B3317" s="201"/>
      <c r="C3317" s="17"/>
      <c r="D3317" s="140"/>
      <c r="E3317" s="17"/>
      <c r="F3317" s="202"/>
      <c r="G3317" s="142"/>
      <c r="H3317" s="142"/>
      <c r="I3317" s="143"/>
      <c r="J3317" s="144"/>
      <c r="K3317" s="17"/>
      <c r="L3317" s="17"/>
      <c r="M3317" s="17"/>
      <c r="N3317" s="68"/>
      <c r="O3317" s="68"/>
      <c r="P3317" s="68"/>
      <c r="Q3317" s="149"/>
      <c r="R3317" s="149"/>
      <c r="S3317" s="149"/>
      <c r="T3317" s="149"/>
      <c r="U3317" s="149"/>
      <c r="V3317" s="149"/>
      <c r="W3317" s="149"/>
      <c r="X3317" s="68"/>
      <c r="Y3317" s="68"/>
      <c r="Z3317" s="68"/>
    </row>
    <row r="3318" ht="15.0" customHeight="1">
      <c r="A3318" s="421"/>
      <c r="B3318" s="201"/>
      <c r="C3318" s="17"/>
      <c r="D3318" s="140"/>
      <c r="E3318" s="17"/>
      <c r="F3318" s="202"/>
      <c r="G3318" s="142"/>
      <c r="H3318" s="142"/>
      <c r="I3318" s="143"/>
      <c r="J3318" s="144"/>
      <c r="K3318" s="17"/>
      <c r="L3318" s="17"/>
      <c r="M3318" s="17"/>
      <c r="N3318" s="68"/>
      <c r="O3318" s="68"/>
      <c r="P3318" s="68"/>
      <c r="Q3318" s="149"/>
      <c r="R3318" s="149"/>
      <c r="S3318" s="149"/>
      <c r="T3318" s="149"/>
      <c r="U3318" s="149"/>
      <c r="V3318" s="149"/>
      <c r="W3318" s="149"/>
      <c r="X3318" s="68"/>
      <c r="Y3318" s="68"/>
      <c r="Z3318" s="68"/>
    </row>
    <row r="3319" ht="15.0" customHeight="1">
      <c r="A3319" s="421"/>
      <c r="B3319" s="201"/>
      <c r="C3319" s="17"/>
      <c r="D3319" s="140"/>
      <c r="E3319" s="17"/>
      <c r="F3319" s="202"/>
      <c r="G3319" s="142"/>
      <c r="H3319" s="142"/>
      <c r="I3319" s="143"/>
      <c r="J3319" s="144"/>
      <c r="K3319" s="17"/>
      <c r="L3319" s="17"/>
      <c r="M3319" s="17"/>
      <c r="N3319" s="68"/>
      <c r="O3319" s="68"/>
      <c r="P3319" s="68"/>
      <c r="Q3319" s="149"/>
      <c r="R3319" s="149"/>
      <c r="S3319" s="149"/>
      <c r="T3319" s="149"/>
      <c r="U3319" s="149"/>
      <c r="V3319" s="149"/>
      <c r="W3319" s="149"/>
      <c r="X3319" s="68"/>
      <c r="Y3319" s="68"/>
      <c r="Z3319" s="68"/>
    </row>
    <row r="3320" ht="15.0" customHeight="1">
      <c r="A3320" s="421"/>
      <c r="B3320" s="201"/>
      <c r="C3320" s="17"/>
      <c r="D3320" s="140"/>
      <c r="E3320" s="17"/>
      <c r="F3320" s="202"/>
      <c r="G3320" s="142"/>
      <c r="H3320" s="142"/>
      <c r="I3320" s="143"/>
      <c r="J3320" s="144"/>
      <c r="K3320" s="17"/>
      <c r="L3320" s="17"/>
      <c r="M3320" s="17"/>
      <c r="N3320" s="68"/>
      <c r="O3320" s="68"/>
      <c r="P3320" s="68"/>
      <c r="Q3320" s="149"/>
      <c r="R3320" s="149"/>
      <c r="S3320" s="149"/>
      <c r="T3320" s="149"/>
      <c r="U3320" s="149"/>
      <c r="V3320" s="149"/>
      <c r="W3320" s="149"/>
      <c r="X3320" s="68"/>
      <c r="Y3320" s="68"/>
      <c r="Z3320" s="68"/>
    </row>
    <row r="3321" ht="15.0" customHeight="1">
      <c r="A3321" s="421"/>
      <c r="B3321" s="201"/>
      <c r="C3321" s="17"/>
      <c r="D3321" s="140"/>
      <c r="E3321" s="17"/>
      <c r="F3321" s="202"/>
      <c r="G3321" s="142"/>
      <c r="H3321" s="142"/>
      <c r="I3321" s="143"/>
      <c r="J3321" s="144"/>
      <c r="K3321" s="17"/>
      <c r="L3321" s="17"/>
      <c r="M3321" s="17"/>
      <c r="N3321" s="68"/>
      <c r="O3321" s="68"/>
      <c r="P3321" s="68"/>
      <c r="Q3321" s="149"/>
      <c r="R3321" s="149"/>
      <c r="S3321" s="149"/>
      <c r="T3321" s="149"/>
      <c r="U3321" s="149"/>
      <c r="V3321" s="149"/>
      <c r="W3321" s="149"/>
      <c r="X3321" s="68"/>
      <c r="Y3321" s="68"/>
      <c r="Z3321" s="68"/>
    </row>
    <row r="3322" ht="15.0" customHeight="1">
      <c r="A3322" s="421"/>
      <c r="B3322" s="201"/>
      <c r="C3322" s="17"/>
      <c r="D3322" s="140"/>
      <c r="E3322" s="17"/>
      <c r="F3322" s="202"/>
      <c r="G3322" s="142"/>
      <c r="H3322" s="142"/>
      <c r="I3322" s="143"/>
      <c r="J3322" s="144"/>
      <c r="K3322" s="17"/>
      <c r="L3322" s="17"/>
      <c r="M3322" s="17"/>
      <c r="N3322" s="68"/>
      <c r="O3322" s="68"/>
      <c r="P3322" s="68"/>
      <c r="Q3322" s="149"/>
      <c r="R3322" s="149"/>
      <c r="S3322" s="149"/>
      <c r="T3322" s="149"/>
      <c r="U3322" s="149"/>
      <c r="V3322" s="149"/>
      <c r="W3322" s="149"/>
      <c r="X3322" s="68"/>
      <c r="Y3322" s="68"/>
      <c r="Z3322" s="68"/>
    </row>
    <row r="3323" ht="15.0" customHeight="1">
      <c r="A3323" s="421"/>
      <c r="B3323" s="201"/>
      <c r="C3323" s="17"/>
      <c r="D3323" s="140"/>
      <c r="E3323" s="17"/>
      <c r="F3323" s="202"/>
      <c r="G3323" s="142"/>
      <c r="H3323" s="142"/>
      <c r="I3323" s="143"/>
      <c r="J3323" s="144"/>
      <c r="K3323" s="17"/>
      <c r="L3323" s="17"/>
      <c r="M3323" s="17"/>
      <c r="N3323" s="68"/>
      <c r="O3323" s="68"/>
      <c r="P3323" s="68"/>
      <c r="Q3323" s="149"/>
      <c r="R3323" s="149"/>
      <c r="S3323" s="149"/>
      <c r="T3323" s="149"/>
      <c r="U3323" s="149"/>
      <c r="V3323" s="149"/>
      <c r="W3323" s="149"/>
      <c r="X3323" s="68"/>
      <c r="Y3323" s="68"/>
      <c r="Z3323" s="68"/>
    </row>
    <row r="3324" ht="15.0" customHeight="1">
      <c r="A3324" s="421"/>
      <c r="B3324" s="201"/>
      <c r="C3324" s="17"/>
      <c r="D3324" s="140"/>
      <c r="E3324" s="17"/>
      <c r="F3324" s="202"/>
      <c r="G3324" s="142"/>
      <c r="H3324" s="142"/>
      <c r="I3324" s="143"/>
      <c r="J3324" s="144"/>
      <c r="K3324" s="17"/>
      <c r="L3324" s="17"/>
      <c r="M3324" s="17"/>
      <c r="N3324" s="68"/>
      <c r="O3324" s="68"/>
      <c r="P3324" s="68"/>
      <c r="Q3324" s="149"/>
      <c r="R3324" s="149"/>
      <c r="S3324" s="149"/>
      <c r="T3324" s="149"/>
      <c r="U3324" s="149"/>
      <c r="V3324" s="149"/>
      <c r="W3324" s="149"/>
      <c r="X3324" s="68"/>
      <c r="Y3324" s="68"/>
      <c r="Z3324" s="68"/>
    </row>
    <row r="3325" ht="15.0" customHeight="1">
      <c r="A3325" s="421"/>
      <c r="B3325" s="201"/>
      <c r="C3325" s="17"/>
      <c r="D3325" s="140"/>
      <c r="E3325" s="17"/>
      <c r="F3325" s="202"/>
      <c r="G3325" s="142"/>
      <c r="H3325" s="142"/>
      <c r="I3325" s="143"/>
      <c r="J3325" s="144"/>
      <c r="K3325" s="17"/>
      <c r="L3325" s="17"/>
      <c r="M3325" s="17"/>
      <c r="N3325" s="68"/>
      <c r="O3325" s="68"/>
      <c r="P3325" s="68"/>
      <c r="Q3325" s="149"/>
      <c r="R3325" s="149"/>
      <c r="S3325" s="149"/>
      <c r="T3325" s="149"/>
      <c r="U3325" s="149"/>
      <c r="V3325" s="149"/>
      <c r="W3325" s="149"/>
      <c r="X3325" s="68"/>
      <c r="Y3325" s="68"/>
      <c r="Z3325" s="68"/>
    </row>
    <row r="3326" ht="15.0" customHeight="1">
      <c r="A3326" s="421"/>
      <c r="B3326" s="201"/>
      <c r="C3326" s="17"/>
      <c r="D3326" s="140"/>
      <c r="E3326" s="17"/>
      <c r="F3326" s="202"/>
      <c r="G3326" s="142"/>
      <c r="H3326" s="142"/>
      <c r="I3326" s="143"/>
      <c r="J3326" s="144"/>
      <c r="K3326" s="17"/>
      <c r="L3326" s="17"/>
      <c r="M3326" s="17"/>
      <c r="N3326" s="68"/>
      <c r="O3326" s="68"/>
      <c r="P3326" s="68"/>
      <c r="Q3326" s="149"/>
      <c r="R3326" s="149"/>
      <c r="S3326" s="149"/>
      <c r="T3326" s="149"/>
      <c r="U3326" s="149"/>
      <c r="V3326" s="149"/>
      <c r="W3326" s="149"/>
      <c r="X3326" s="68"/>
      <c r="Y3326" s="68"/>
      <c r="Z3326" s="68"/>
    </row>
    <row r="3327" ht="15.0" customHeight="1">
      <c r="A3327" s="421"/>
      <c r="B3327" s="201"/>
      <c r="C3327" s="17"/>
      <c r="D3327" s="140"/>
      <c r="E3327" s="17"/>
      <c r="F3327" s="202"/>
      <c r="G3327" s="142"/>
      <c r="H3327" s="142"/>
      <c r="I3327" s="143"/>
      <c r="J3327" s="144"/>
      <c r="K3327" s="17"/>
      <c r="L3327" s="17"/>
      <c r="M3327" s="17"/>
      <c r="N3327" s="68"/>
      <c r="O3327" s="68"/>
      <c r="P3327" s="68"/>
      <c r="Q3327" s="149"/>
      <c r="R3327" s="149"/>
      <c r="S3327" s="149"/>
      <c r="T3327" s="149"/>
      <c r="U3327" s="149"/>
      <c r="V3327" s="149"/>
      <c r="W3327" s="149"/>
      <c r="X3327" s="68"/>
      <c r="Y3327" s="68"/>
      <c r="Z3327" s="68"/>
    </row>
    <row r="3328" ht="15.0" customHeight="1">
      <c r="A3328" s="421"/>
      <c r="B3328" s="201"/>
      <c r="C3328" s="17"/>
      <c r="D3328" s="140"/>
      <c r="E3328" s="17"/>
      <c r="F3328" s="202"/>
      <c r="G3328" s="142"/>
      <c r="H3328" s="142"/>
      <c r="I3328" s="143"/>
      <c r="J3328" s="144"/>
      <c r="K3328" s="17"/>
      <c r="L3328" s="17"/>
      <c r="M3328" s="17"/>
      <c r="N3328" s="68"/>
      <c r="O3328" s="68"/>
      <c r="P3328" s="68"/>
      <c r="Q3328" s="149"/>
      <c r="R3328" s="149"/>
      <c r="S3328" s="149"/>
      <c r="T3328" s="149"/>
      <c r="U3328" s="149"/>
      <c r="V3328" s="149"/>
      <c r="W3328" s="149"/>
      <c r="X3328" s="68"/>
      <c r="Y3328" s="68"/>
      <c r="Z3328" s="68"/>
    </row>
    <row r="3329" ht="15.0" customHeight="1">
      <c r="A3329" s="421"/>
      <c r="B3329" s="201"/>
      <c r="C3329" s="17"/>
      <c r="D3329" s="140"/>
      <c r="E3329" s="17"/>
      <c r="F3329" s="202"/>
      <c r="G3329" s="142"/>
      <c r="H3329" s="142"/>
      <c r="I3329" s="143"/>
      <c r="J3329" s="144"/>
      <c r="K3329" s="17"/>
      <c r="L3329" s="17"/>
      <c r="M3329" s="17"/>
      <c r="N3329" s="68"/>
      <c r="O3329" s="68"/>
      <c r="P3329" s="68"/>
      <c r="Q3329" s="149"/>
      <c r="R3329" s="149"/>
      <c r="S3329" s="149"/>
      <c r="T3329" s="149"/>
      <c r="U3329" s="149"/>
      <c r="V3329" s="149"/>
      <c r="W3329" s="149"/>
      <c r="X3329" s="68"/>
      <c r="Y3329" s="68"/>
      <c r="Z3329" s="68"/>
    </row>
    <row r="3330" ht="15.0" customHeight="1">
      <c r="A3330" s="421"/>
      <c r="B3330" s="201"/>
      <c r="C3330" s="17"/>
      <c r="D3330" s="140"/>
      <c r="E3330" s="17"/>
      <c r="F3330" s="202"/>
      <c r="G3330" s="142"/>
      <c r="H3330" s="142"/>
      <c r="I3330" s="143"/>
      <c r="J3330" s="144"/>
      <c r="K3330" s="17"/>
      <c r="L3330" s="17"/>
      <c r="M3330" s="17"/>
      <c r="N3330" s="68"/>
      <c r="O3330" s="68"/>
      <c r="P3330" s="68"/>
      <c r="Q3330" s="149"/>
      <c r="R3330" s="149"/>
      <c r="S3330" s="149"/>
      <c r="T3330" s="149"/>
      <c r="U3330" s="149"/>
      <c r="V3330" s="149"/>
      <c r="W3330" s="149"/>
      <c r="X3330" s="68"/>
      <c r="Y3330" s="68"/>
      <c r="Z3330" s="68"/>
    </row>
    <row r="3331" ht="15.0" customHeight="1">
      <c r="A3331" s="421"/>
      <c r="B3331" s="201"/>
      <c r="C3331" s="17"/>
      <c r="D3331" s="140"/>
      <c r="E3331" s="17"/>
      <c r="F3331" s="202"/>
      <c r="G3331" s="142"/>
      <c r="H3331" s="142"/>
      <c r="I3331" s="143"/>
      <c r="J3331" s="144"/>
      <c r="K3331" s="17"/>
      <c r="L3331" s="17"/>
      <c r="M3331" s="17"/>
      <c r="N3331" s="68"/>
      <c r="O3331" s="68"/>
      <c r="P3331" s="68"/>
      <c r="Q3331" s="149"/>
      <c r="R3331" s="149"/>
      <c r="S3331" s="149"/>
      <c r="T3331" s="149"/>
      <c r="U3331" s="149"/>
      <c r="V3331" s="149"/>
      <c r="W3331" s="149"/>
      <c r="X3331" s="68"/>
      <c r="Y3331" s="68"/>
      <c r="Z3331" s="68"/>
    </row>
    <row r="3332" ht="15.0" customHeight="1">
      <c r="A3332" s="421"/>
      <c r="B3332" s="201"/>
      <c r="C3332" s="17"/>
      <c r="D3332" s="140"/>
      <c r="E3332" s="17"/>
      <c r="F3332" s="202"/>
      <c r="G3332" s="142"/>
      <c r="H3332" s="142"/>
      <c r="I3332" s="143"/>
      <c r="J3332" s="144"/>
      <c r="K3332" s="17"/>
      <c r="L3332" s="17"/>
      <c r="M3332" s="17"/>
      <c r="N3332" s="68"/>
      <c r="O3332" s="68"/>
      <c r="P3332" s="68"/>
      <c r="Q3332" s="149"/>
      <c r="R3332" s="149"/>
      <c r="S3332" s="149"/>
      <c r="T3332" s="149"/>
      <c r="U3332" s="149"/>
      <c r="V3332" s="149"/>
      <c r="W3332" s="149"/>
      <c r="X3332" s="68"/>
      <c r="Y3332" s="68"/>
      <c r="Z3332" s="68"/>
    </row>
    <row r="3333" ht="15.0" customHeight="1">
      <c r="A3333" s="421"/>
      <c r="B3333" s="201"/>
      <c r="C3333" s="17"/>
      <c r="D3333" s="140"/>
      <c r="E3333" s="17"/>
      <c r="F3333" s="202"/>
      <c r="G3333" s="142"/>
      <c r="H3333" s="142"/>
      <c r="I3333" s="143"/>
      <c r="J3333" s="144"/>
      <c r="K3333" s="17"/>
      <c r="L3333" s="17"/>
      <c r="M3333" s="17"/>
      <c r="N3333" s="68"/>
      <c r="O3333" s="68"/>
      <c r="P3333" s="68"/>
      <c r="Q3333" s="149"/>
      <c r="R3333" s="149"/>
      <c r="S3333" s="149"/>
      <c r="T3333" s="149"/>
      <c r="U3333" s="149"/>
      <c r="V3333" s="149"/>
      <c r="W3333" s="149"/>
      <c r="X3333" s="68"/>
      <c r="Y3333" s="68"/>
      <c r="Z3333" s="68"/>
    </row>
    <row r="3334" ht="15.0" customHeight="1">
      <c r="A3334" s="421"/>
      <c r="B3334" s="201"/>
      <c r="C3334" s="17"/>
      <c r="D3334" s="140"/>
      <c r="E3334" s="17"/>
      <c r="F3334" s="202"/>
      <c r="G3334" s="142"/>
      <c r="H3334" s="142"/>
      <c r="I3334" s="143"/>
      <c r="J3334" s="144"/>
      <c r="K3334" s="17"/>
      <c r="L3334" s="17"/>
      <c r="M3334" s="17"/>
      <c r="N3334" s="68"/>
      <c r="O3334" s="68"/>
      <c r="P3334" s="68"/>
      <c r="Q3334" s="149"/>
      <c r="R3334" s="149"/>
      <c r="S3334" s="149"/>
      <c r="T3334" s="149"/>
      <c r="U3334" s="149"/>
      <c r="V3334" s="149"/>
      <c r="W3334" s="149"/>
      <c r="X3334" s="68"/>
      <c r="Y3334" s="68"/>
      <c r="Z3334" s="68"/>
    </row>
    <row r="3335" ht="15.0" customHeight="1">
      <c r="A3335" s="421"/>
      <c r="B3335" s="201"/>
      <c r="C3335" s="17"/>
      <c r="D3335" s="140"/>
      <c r="E3335" s="17"/>
      <c r="F3335" s="202"/>
      <c r="G3335" s="142"/>
      <c r="H3335" s="142"/>
      <c r="I3335" s="143"/>
      <c r="J3335" s="144"/>
      <c r="K3335" s="17"/>
      <c r="L3335" s="17"/>
      <c r="M3335" s="17"/>
      <c r="N3335" s="68"/>
      <c r="O3335" s="68"/>
      <c r="P3335" s="68"/>
      <c r="Q3335" s="149"/>
      <c r="R3335" s="149"/>
      <c r="S3335" s="149"/>
      <c r="T3335" s="149"/>
      <c r="U3335" s="149"/>
      <c r="V3335" s="149"/>
      <c r="W3335" s="149"/>
      <c r="X3335" s="68"/>
      <c r="Y3335" s="68"/>
      <c r="Z3335" s="68"/>
    </row>
    <row r="3336" ht="15.0" customHeight="1">
      <c r="A3336" s="421"/>
      <c r="B3336" s="201"/>
      <c r="C3336" s="17"/>
      <c r="D3336" s="140"/>
      <c r="E3336" s="17"/>
      <c r="F3336" s="202"/>
      <c r="G3336" s="142"/>
      <c r="H3336" s="142"/>
      <c r="I3336" s="143"/>
      <c r="J3336" s="144"/>
      <c r="K3336" s="17"/>
      <c r="L3336" s="17"/>
      <c r="M3336" s="17"/>
      <c r="N3336" s="68"/>
      <c r="O3336" s="68"/>
      <c r="P3336" s="68"/>
      <c r="Q3336" s="149"/>
      <c r="R3336" s="149"/>
      <c r="S3336" s="149"/>
      <c r="T3336" s="149"/>
      <c r="U3336" s="149"/>
      <c r="V3336" s="149"/>
      <c r="W3336" s="149"/>
      <c r="X3336" s="68"/>
      <c r="Y3336" s="68"/>
      <c r="Z3336" s="68"/>
    </row>
    <row r="3337" ht="15.0" customHeight="1">
      <c r="A3337" s="421"/>
      <c r="B3337" s="201"/>
      <c r="C3337" s="17"/>
      <c r="D3337" s="140"/>
      <c r="E3337" s="17"/>
      <c r="F3337" s="202"/>
      <c r="G3337" s="142"/>
      <c r="H3337" s="142"/>
      <c r="I3337" s="143"/>
      <c r="J3337" s="144"/>
      <c r="K3337" s="17"/>
      <c r="L3337" s="17"/>
      <c r="M3337" s="17"/>
      <c r="N3337" s="68"/>
      <c r="O3337" s="68"/>
      <c r="P3337" s="68"/>
      <c r="Q3337" s="149"/>
      <c r="R3337" s="149"/>
      <c r="S3337" s="149"/>
      <c r="T3337" s="149"/>
      <c r="U3337" s="149"/>
      <c r="V3337" s="149"/>
      <c r="W3337" s="149"/>
      <c r="X3337" s="68"/>
      <c r="Y3337" s="68"/>
      <c r="Z3337" s="68"/>
    </row>
    <row r="3338" ht="15.0" customHeight="1">
      <c r="A3338" s="421"/>
      <c r="B3338" s="201"/>
      <c r="C3338" s="17"/>
      <c r="D3338" s="140"/>
      <c r="E3338" s="17"/>
      <c r="F3338" s="202"/>
      <c r="G3338" s="142"/>
      <c r="H3338" s="142"/>
      <c r="I3338" s="143"/>
      <c r="J3338" s="144"/>
      <c r="K3338" s="17"/>
      <c r="L3338" s="17"/>
      <c r="M3338" s="17"/>
      <c r="N3338" s="68"/>
      <c r="O3338" s="68"/>
      <c r="P3338" s="68"/>
      <c r="Q3338" s="149"/>
      <c r="R3338" s="149"/>
      <c r="S3338" s="149"/>
      <c r="T3338" s="149"/>
      <c r="U3338" s="149"/>
      <c r="V3338" s="149"/>
      <c r="W3338" s="149"/>
      <c r="X3338" s="68"/>
      <c r="Y3338" s="68"/>
      <c r="Z3338" s="68"/>
    </row>
    <row r="3339" ht="15.0" customHeight="1">
      <c r="A3339" s="421"/>
      <c r="B3339" s="201"/>
      <c r="C3339" s="17"/>
      <c r="D3339" s="140"/>
      <c r="E3339" s="17"/>
      <c r="F3339" s="202"/>
      <c r="G3339" s="142"/>
      <c r="H3339" s="142"/>
      <c r="I3339" s="143"/>
      <c r="J3339" s="144"/>
      <c r="K3339" s="17"/>
      <c r="L3339" s="17"/>
      <c r="M3339" s="17"/>
      <c r="N3339" s="68"/>
      <c r="O3339" s="68"/>
      <c r="P3339" s="68"/>
      <c r="Q3339" s="149"/>
      <c r="R3339" s="149"/>
      <c r="S3339" s="149"/>
      <c r="T3339" s="149"/>
      <c r="U3339" s="149"/>
      <c r="V3339" s="149"/>
      <c r="W3339" s="149"/>
      <c r="X3339" s="68"/>
      <c r="Y3339" s="68"/>
      <c r="Z3339" s="68"/>
    </row>
    <row r="3340" ht="15.0" customHeight="1">
      <c r="A3340" s="421"/>
      <c r="B3340" s="201"/>
      <c r="C3340" s="17"/>
      <c r="D3340" s="140"/>
      <c r="E3340" s="17"/>
      <c r="F3340" s="202"/>
      <c r="G3340" s="142"/>
      <c r="H3340" s="142"/>
      <c r="I3340" s="143"/>
      <c r="J3340" s="144"/>
      <c r="K3340" s="17"/>
      <c r="L3340" s="17"/>
      <c r="M3340" s="17"/>
      <c r="N3340" s="68"/>
      <c r="O3340" s="68"/>
      <c r="P3340" s="68"/>
      <c r="Q3340" s="149"/>
      <c r="R3340" s="149"/>
      <c r="S3340" s="149"/>
      <c r="T3340" s="149"/>
      <c r="U3340" s="149"/>
      <c r="V3340" s="149"/>
      <c r="W3340" s="149"/>
      <c r="X3340" s="68"/>
      <c r="Y3340" s="68"/>
      <c r="Z3340" s="68"/>
    </row>
    <row r="3341" ht="15.0" customHeight="1">
      <c r="A3341" s="421"/>
      <c r="B3341" s="201"/>
      <c r="C3341" s="17"/>
      <c r="D3341" s="140"/>
      <c r="E3341" s="17"/>
      <c r="F3341" s="202"/>
      <c r="G3341" s="142"/>
      <c r="H3341" s="142"/>
      <c r="I3341" s="143"/>
      <c r="J3341" s="144"/>
      <c r="K3341" s="17"/>
      <c r="L3341" s="17"/>
      <c r="M3341" s="17"/>
      <c r="N3341" s="68"/>
      <c r="O3341" s="68"/>
      <c r="P3341" s="68"/>
      <c r="Q3341" s="149"/>
      <c r="R3341" s="149"/>
      <c r="S3341" s="149"/>
      <c r="T3341" s="149"/>
      <c r="U3341" s="149"/>
      <c r="V3341" s="149"/>
      <c r="W3341" s="149"/>
      <c r="X3341" s="68"/>
      <c r="Y3341" s="68"/>
      <c r="Z3341" s="68"/>
    </row>
    <row r="3342" ht="15.0" customHeight="1">
      <c r="A3342" s="421"/>
      <c r="B3342" s="201"/>
      <c r="C3342" s="17"/>
      <c r="D3342" s="140"/>
      <c r="E3342" s="17"/>
      <c r="F3342" s="202"/>
      <c r="G3342" s="142"/>
      <c r="H3342" s="142"/>
      <c r="I3342" s="143"/>
      <c r="J3342" s="144"/>
      <c r="K3342" s="17"/>
      <c r="L3342" s="17"/>
      <c r="M3342" s="17"/>
      <c r="N3342" s="68"/>
      <c r="O3342" s="68"/>
      <c r="P3342" s="68"/>
      <c r="Q3342" s="149"/>
      <c r="R3342" s="149"/>
      <c r="S3342" s="149"/>
      <c r="T3342" s="149"/>
      <c r="U3342" s="149"/>
      <c r="V3342" s="149"/>
      <c r="W3342" s="149"/>
      <c r="X3342" s="68"/>
      <c r="Y3342" s="68"/>
      <c r="Z3342" s="68"/>
    </row>
    <row r="3343" ht="15.0" customHeight="1">
      <c r="A3343" s="421"/>
      <c r="B3343" s="201"/>
      <c r="C3343" s="17"/>
      <c r="D3343" s="140"/>
      <c r="E3343" s="17"/>
      <c r="F3343" s="202"/>
      <c r="G3343" s="142"/>
      <c r="H3343" s="142"/>
      <c r="I3343" s="143"/>
      <c r="J3343" s="144"/>
      <c r="K3343" s="17"/>
      <c r="L3343" s="17"/>
      <c r="M3343" s="17"/>
      <c r="N3343" s="68"/>
      <c r="O3343" s="68"/>
      <c r="P3343" s="68"/>
      <c r="Q3343" s="149"/>
      <c r="R3343" s="149"/>
      <c r="S3343" s="149"/>
      <c r="T3343" s="149"/>
      <c r="U3343" s="149"/>
      <c r="V3343" s="149"/>
      <c r="W3343" s="149"/>
      <c r="X3343" s="68"/>
      <c r="Y3343" s="68"/>
      <c r="Z3343" s="68"/>
    </row>
    <row r="3344" ht="15.0" customHeight="1">
      <c r="A3344" s="421"/>
      <c r="B3344" s="201"/>
      <c r="C3344" s="17"/>
      <c r="D3344" s="140"/>
      <c r="E3344" s="17"/>
      <c r="F3344" s="202"/>
      <c r="G3344" s="142"/>
      <c r="H3344" s="142"/>
      <c r="I3344" s="143"/>
      <c r="J3344" s="144"/>
      <c r="K3344" s="17"/>
      <c r="L3344" s="17"/>
      <c r="M3344" s="17"/>
      <c r="N3344" s="68"/>
      <c r="O3344" s="68"/>
      <c r="P3344" s="68"/>
      <c r="Q3344" s="149"/>
      <c r="R3344" s="149"/>
      <c r="S3344" s="149"/>
      <c r="T3344" s="149"/>
      <c r="U3344" s="149"/>
      <c r="V3344" s="149"/>
      <c r="W3344" s="149"/>
      <c r="X3344" s="68"/>
      <c r="Y3344" s="68"/>
      <c r="Z3344" s="68"/>
    </row>
    <row r="3345" ht="15.0" customHeight="1">
      <c r="A3345" s="421"/>
      <c r="B3345" s="201"/>
      <c r="C3345" s="17"/>
      <c r="D3345" s="140"/>
      <c r="E3345" s="17"/>
      <c r="F3345" s="202"/>
      <c r="G3345" s="142"/>
      <c r="H3345" s="142"/>
      <c r="I3345" s="143"/>
      <c r="J3345" s="144"/>
      <c r="K3345" s="17"/>
      <c r="L3345" s="17"/>
      <c r="M3345" s="17"/>
      <c r="N3345" s="68"/>
      <c r="O3345" s="68"/>
      <c r="P3345" s="68"/>
      <c r="Q3345" s="149"/>
      <c r="R3345" s="149"/>
      <c r="S3345" s="149"/>
      <c r="T3345" s="149"/>
      <c r="U3345" s="149"/>
      <c r="V3345" s="149"/>
      <c r="W3345" s="149"/>
      <c r="X3345" s="68"/>
      <c r="Y3345" s="68"/>
      <c r="Z3345" s="68"/>
    </row>
    <row r="3346" ht="15.0" customHeight="1">
      <c r="A3346" s="421"/>
      <c r="B3346" s="201"/>
      <c r="C3346" s="17"/>
      <c r="D3346" s="140"/>
      <c r="E3346" s="17"/>
      <c r="F3346" s="202"/>
      <c r="G3346" s="142"/>
      <c r="H3346" s="142"/>
      <c r="I3346" s="143"/>
      <c r="J3346" s="144"/>
      <c r="K3346" s="17"/>
      <c r="L3346" s="17"/>
      <c r="M3346" s="17"/>
      <c r="N3346" s="68"/>
      <c r="O3346" s="68"/>
      <c r="P3346" s="68"/>
      <c r="Q3346" s="149"/>
      <c r="R3346" s="149"/>
      <c r="S3346" s="149"/>
      <c r="T3346" s="149"/>
      <c r="U3346" s="149"/>
      <c r="V3346" s="149"/>
      <c r="W3346" s="149"/>
      <c r="X3346" s="68"/>
      <c r="Y3346" s="68"/>
      <c r="Z3346" s="68"/>
    </row>
    <row r="3347" ht="15.0" customHeight="1">
      <c r="A3347" s="421"/>
      <c r="B3347" s="201"/>
      <c r="C3347" s="17"/>
      <c r="D3347" s="140"/>
      <c r="E3347" s="17"/>
      <c r="F3347" s="202"/>
      <c r="G3347" s="142"/>
      <c r="H3347" s="142"/>
      <c r="I3347" s="143"/>
      <c r="J3347" s="144"/>
      <c r="K3347" s="17"/>
      <c r="L3347" s="17"/>
      <c r="M3347" s="17"/>
      <c r="N3347" s="68"/>
      <c r="O3347" s="68"/>
      <c r="P3347" s="68"/>
      <c r="Q3347" s="149"/>
      <c r="R3347" s="149"/>
      <c r="S3347" s="149"/>
      <c r="T3347" s="149"/>
      <c r="U3347" s="149"/>
      <c r="V3347" s="149"/>
      <c r="W3347" s="149"/>
      <c r="X3347" s="68"/>
      <c r="Y3347" s="68"/>
      <c r="Z3347" s="68"/>
    </row>
    <row r="3348" ht="15.0" customHeight="1">
      <c r="A3348" s="421"/>
      <c r="B3348" s="201"/>
      <c r="C3348" s="17"/>
      <c r="D3348" s="140"/>
      <c r="E3348" s="17"/>
      <c r="F3348" s="202"/>
      <c r="G3348" s="142"/>
      <c r="H3348" s="142"/>
      <c r="I3348" s="143"/>
      <c r="J3348" s="144"/>
      <c r="K3348" s="17"/>
      <c r="L3348" s="17"/>
      <c r="M3348" s="17"/>
      <c r="N3348" s="68"/>
      <c r="O3348" s="68"/>
      <c r="P3348" s="68"/>
      <c r="Q3348" s="149"/>
      <c r="R3348" s="149"/>
      <c r="S3348" s="149"/>
      <c r="T3348" s="149"/>
      <c r="U3348" s="149"/>
      <c r="V3348" s="149"/>
      <c r="W3348" s="149"/>
      <c r="X3348" s="68"/>
      <c r="Y3348" s="68"/>
      <c r="Z3348" s="68"/>
    </row>
    <row r="3349" ht="15.0" customHeight="1">
      <c r="A3349" s="421"/>
      <c r="B3349" s="201"/>
      <c r="C3349" s="17"/>
      <c r="D3349" s="140"/>
      <c r="E3349" s="17"/>
      <c r="F3349" s="202"/>
      <c r="G3349" s="142"/>
      <c r="H3349" s="142"/>
      <c r="I3349" s="143"/>
      <c r="J3349" s="144"/>
      <c r="K3349" s="17"/>
      <c r="L3349" s="17"/>
      <c r="M3349" s="17"/>
      <c r="N3349" s="68"/>
      <c r="O3349" s="68"/>
      <c r="P3349" s="68"/>
      <c r="Q3349" s="149"/>
      <c r="R3349" s="149"/>
      <c r="S3349" s="149"/>
      <c r="T3349" s="149"/>
      <c r="U3349" s="149"/>
      <c r="V3349" s="149"/>
      <c r="W3349" s="149"/>
      <c r="X3349" s="68"/>
      <c r="Y3349" s="68"/>
      <c r="Z3349" s="68"/>
    </row>
    <row r="3350" ht="15.0" customHeight="1">
      <c r="A3350" s="421"/>
      <c r="B3350" s="201"/>
      <c r="C3350" s="17"/>
      <c r="D3350" s="140"/>
      <c r="E3350" s="17"/>
      <c r="F3350" s="202"/>
      <c r="G3350" s="142"/>
      <c r="H3350" s="142"/>
      <c r="I3350" s="143"/>
      <c r="J3350" s="144"/>
      <c r="K3350" s="17"/>
      <c r="L3350" s="17"/>
      <c r="M3350" s="17"/>
      <c r="N3350" s="68"/>
      <c r="O3350" s="68"/>
      <c r="P3350" s="68"/>
      <c r="Q3350" s="149"/>
      <c r="R3350" s="149"/>
      <c r="S3350" s="149"/>
      <c r="T3350" s="149"/>
      <c r="U3350" s="149"/>
      <c r="V3350" s="149"/>
      <c r="W3350" s="149"/>
      <c r="X3350" s="68"/>
      <c r="Y3350" s="68"/>
      <c r="Z3350" s="68"/>
    </row>
    <row r="3351" ht="15.0" customHeight="1">
      <c r="A3351" s="421"/>
      <c r="B3351" s="201"/>
      <c r="C3351" s="17"/>
      <c r="D3351" s="140"/>
      <c r="E3351" s="17"/>
      <c r="F3351" s="202"/>
      <c r="G3351" s="142"/>
      <c r="H3351" s="142"/>
      <c r="I3351" s="143"/>
      <c r="J3351" s="144"/>
      <c r="K3351" s="17"/>
      <c r="L3351" s="17"/>
      <c r="M3351" s="17"/>
      <c r="N3351" s="68"/>
      <c r="O3351" s="68"/>
      <c r="P3351" s="68"/>
      <c r="Q3351" s="149"/>
      <c r="R3351" s="149"/>
      <c r="S3351" s="149"/>
      <c r="T3351" s="149"/>
      <c r="U3351" s="149"/>
      <c r="V3351" s="149"/>
      <c r="W3351" s="149"/>
      <c r="X3351" s="68"/>
      <c r="Y3351" s="68"/>
      <c r="Z3351" s="68"/>
    </row>
    <row r="3352" ht="15.0" customHeight="1">
      <c r="A3352" s="421"/>
      <c r="B3352" s="201"/>
      <c r="C3352" s="17"/>
      <c r="D3352" s="140"/>
      <c r="E3352" s="17"/>
      <c r="F3352" s="202"/>
      <c r="G3352" s="142"/>
      <c r="H3352" s="142"/>
      <c r="I3352" s="143"/>
      <c r="J3352" s="144"/>
      <c r="K3352" s="17"/>
      <c r="L3352" s="17"/>
      <c r="M3352" s="17"/>
      <c r="N3352" s="68"/>
      <c r="O3352" s="68"/>
      <c r="P3352" s="68"/>
      <c r="Q3352" s="149"/>
      <c r="R3352" s="149"/>
      <c r="S3352" s="149"/>
      <c r="T3352" s="149"/>
      <c r="U3352" s="149"/>
      <c r="V3352" s="149"/>
      <c r="W3352" s="149"/>
      <c r="X3352" s="68"/>
      <c r="Y3352" s="68"/>
      <c r="Z3352" s="68"/>
    </row>
    <row r="3353" ht="15.0" customHeight="1">
      <c r="A3353" s="421"/>
      <c r="B3353" s="201"/>
      <c r="C3353" s="17"/>
      <c r="D3353" s="140"/>
      <c r="E3353" s="17"/>
      <c r="F3353" s="202"/>
      <c r="G3353" s="142"/>
      <c r="H3353" s="142"/>
      <c r="I3353" s="143"/>
      <c r="J3353" s="144"/>
      <c r="K3353" s="17"/>
      <c r="L3353" s="17"/>
      <c r="M3353" s="17"/>
      <c r="N3353" s="68"/>
      <c r="O3353" s="68"/>
      <c r="P3353" s="68"/>
      <c r="Q3353" s="149"/>
      <c r="R3353" s="149"/>
      <c r="S3353" s="149"/>
      <c r="T3353" s="149"/>
      <c r="U3353" s="149"/>
      <c r="V3353" s="149"/>
      <c r="W3353" s="149"/>
      <c r="X3353" s="68"/>
      <c r="Y3353" s="68"/>
      <c r="Z3353" s="68"/>
    </row>
    <row r="3354" ht="15.0" customHeight="1">
      <c r="A3354" s="421"/>
      <c r="B3354" s="201"/>
      <c r="C3354" s="17"/>
      <c r="D3354" s="140"/>
      <c r="E3354" s="17"/>
      <c r="F3354" s="202"/>
      <c r="G3354" s="142"/>
      <c r="H3354" s="142"/>
      <c r="I3354" s="143"/>
      <c r="J3354" s="144"/>
      <c r="K3354" s="17"/>
      <c r="L3354" s="17"/>
      <c r="M3354" s="17"/>
      <c r="N3354" s="68"/>
      <c r="O3354" s="68"/>
      <c r="P3354" s="68"/>
      <c r="Q3354" s="149"/>
      <c r="R3354" s="149"/>
      <c r="S3354" s="149"/>
      <c r="T3354" s="149"/>
      <c r="U3354" s="149"/>
      <c r="V3354" s="149"/>
      <c r="W3354" s="149"/>
      <c r="X3354" s="68"/>
      <c r="Y3354" s="68"/>
      <c r="Z3354" s="68"/>
    </row>
    <row r="3355" ht="15.0" customHeight="1">
      <c r="A3355" s="421"/>
      <c r="B3355" s="201"/>
      <c r="C3355" s="17"/>
      <c r="D3355" s="140"/>
      <c r="E3355" s="17"/>
      <c r="F3355" s="202"/>
      <c r="G3355" s="142"/>
      <c r="H3355" s="142"/>
      <c r="I3355" s="143"/>
      <c r="J3355" s="144"/>
      <c r="K3355" s="17"/>
      <c r="L3355" s="17"/>
      <c r="M3355" s="17"/>
      <c r="N3355" s="68"/>
      <c r="O3355" s="68"/>
      <c r="P3355" s="68"/>
      <c r="Q3355" s="149"/>
      <c r="R3355" s="149"/>
      <c r="S3355" s="149"/>
      <c r="T3355" s="149"/>
      <c r="U3355" s="149"/>
      <c r="V3355" s="149"/>
      <c r="W3355" s="149"/>
      <c r="X3355" s="68"/>
      <c r="Y3355" s="68"/>
      <c r="Z3355" s="68"/>
    </row>
    <row r="3356" ht="15.0" customHeight="1">
      <c r="A3356" s="421"/>
      <c r="B3356" s="201"/>
      <c r="C3356" s="17"/>
      <c r="D3356" s="140"/>
      <c r="E3356" s="17"/>
      <c r="F3356" s="202"/>
      <c r="G3356" s="142"/>
      <c r="H3356" s="142"/>
      <c r="I3356" s="143"/>
      <c r="J3356" s="144"/>
      <c r="K3356" s="17"/>
      <c r="L3356" s="17"/>
      <c r="M3356" s="17"/>
      <c r="N3356" s="68"/>
      <c r="O3356" s="68"/>
      <c r="P3356" s="68"/>
      <c r="Q3356" s="149"/>
      <c r="R3356" s="149"/>
      <c r="S3356" s="149"/>
      <c r="T3356" s="149"/>
      <c r="U3356" s="149"/>
      <c r="V3356" s="149"/>
      <c r="W3356" s="149"/>
      <c r="X3356" s="68"/>
      <c r="Y3356" s="68"/>
      <c r="Z3356" s="68"/>
    </row>
    <row r="3357" ht="15.0" customHeight="1">
      <c r="A3357" s="421"/>
      <c r="B3357" s="201"/>
      <c r="C3357" s="17"/>
      <c r="D3357" s="140"/>
      <c r="E3357" s="17"/>
      <c r="F3357" s="202"/>
      <c r="G3357" s="142"/>
      <c r="H3357" s="142"/>
      <c r="I3357" s="143"/>
      <c r="J3357" s="144"/>
      <c r="K3357" s="17"/>
      <c r="L3357" s="17"/>
      <c r="M3357" s="17"/>
      <c r="N3357" s="68"/>
      <c r="O3357" s="68"/>
      <c r="P3357" s="68"/>
      <c r="Q3357" s="149"/>
      <c r="R3357" s="149"/>
      <c r="S3357" s="149"/>
      <c r="T3357" s="149"/>
      <c r="U3357" s="149"/>
      <c r="V3357" s="149"/>
      <c r="W3357" s="149"/>
      <c r="X3357" s="68"/>
      <c r="Y3357" s="68"/>
      <c r="Z3357" s="68"/>
    </row>
    <row r="3358" ht="15.0" customHeight="1">
      <c r="A3358" s="421"/>
      <c r="B3358" s="201"/>
      <c r="C3358" s="17"/>
      <c r="D3358" s="140"/>
      <c r="E3358" s="17"/>
      <c r="F3358" s="202"/>
      <c r="G3358" s="142"/>
      <c r="H3358" s="142"/>
      <c r="I3358" s="143"/>
      <c r="J3358" s="144"/>
      <c r="K3358" s="17"/>
      <c r="L3358" s="17"/>
      <c r="M3358" s="17"/>
      <c r="N3358" s="68"/>
      <c r="O3358" s="68"/>
      <c r="P3358" s="68"/>
      <c r="Q3358" s="149"/>
      <c r="R3358" s="149"/>
      <c r="S3358" s="149"/>
      <c r="T3358" s="149"/>
      <c r="U3358" s="149"/>
      <c r="V3358" s="149"/>
      <c r="W3358" s="149"/>
      <c r="X3358" s="68"/>
      <c r="Y3358" s="68"/>
      <c r="Z3358" s="68"/>
    </row>
    <row r="3359" ht="15.0" customHeight="1">
      <c r="A3359" s="421"/>
      <c r="B3359" s="201"/>
      <c r="C3359" s="17"/>
      <c r="D3359" s="140"/>
      <c r="E3359" s="17"/>
      <c r="F3359" s="202"/>
      <c r="G3359" s="142"/>
      <c r="H3359" s="142"/>
      <c r="I3359" s="143"/>
      <c r="J3359" s="144"/>
      <c r="K3359" s="17"/>
      <c r="L3359" s="17"/>
      <c r="M3359" s="17"/>
      <c r="N3359" s="68"/>
      <c r="O3359" s="68"/>
      <c r="P3359" s="68"/>
      <c r="Q3359" s="149"/>
      <c r="R3359" s="149"/>
      <c r="S3359" s="149"/>
      <c r="T3359" s="149"/>
      <c r="U3359" s="149"/>
      <c r="V3359" s="149"/>
      <c r="W3359" s="149"/>
      <c r="X3359" s="68"/>
      <c r="Y3359" s="68"/>
      <c r="Z3359" s="68"/>
    </row>
    <row r="3360" ht="15.0" customHeight="1">
      <c r="A3360" s="421"/>
      <c r="B3360" s="201"/>
      <c r="C3360" s="17"/>
      <c r="D3360" s="140"/>
      <c r="E3360" s="17"/>
      <c r="F3360" s="202"/>
      <c r="G3360" s="142"/>
      <c r="H3360" s="142"/>
      <c r="I3360" s="143"/>
      <c r="J3360" s="144"/>
      <c r="K3360" s="17"/>
      <c r="L3360" s="17"/>
      <c r="M3360" s="17"/>
      <c r="N3360" s="68"/>
      <c r="O3360" s="68"/>
      <c r="P3360" s="68"/>
      <c r="Q3360" s="149"/>
      <c r="R3360" s="149"/>
      <c r="S3360" s="149"/>
      <c r="T3360" s="149"/>
      <c r="U3360" s="149"/>
      <c r="V3360" s="149"/>
      <c r="W3360" s="149"/>
      <c r="X3360" s="68"/>
      <c r="Y3360" s="68"/>
      <c r="Z3360" s="68"/>
    </row>
    <row r="3361" ht="15.0" customHeight="1">
      <c r="A3361" s="421"/>
      <c r="B3361" s="201"/>
      <c r="C3361" s="17"/>
      <c r="D3361" s="140"/>
      <c r="E3361" s="17"/>
      <c r="F3361" s="202"/>
      <c r="G3361" s="142"/>
      <c r="H3361" s="142"/>
      <c r="I3361" s="143"/>
      <c r="J3361" s="144"/>
      <c r="K3361" s="17"/>
      <c r="L3361" s="17"/>
      <c r="M3361" s="17"/>
      <c r="N3361" s="68"/>
      <c r="O3361" s="68"/>
      <c r="P3361" s="68"/>
      <c r="Q3361" s="149"/>
      <c r="R3361" s="149"/>
      <c r="S3361" s="149"/>
      <c r="T3361" s="149"/>
      <c r="U3361" s="149"/>
      <c r="V3361" s="149"/>
      <c r="W3361" s="149"/>
      <c r="X3361" s="68"/>
      <c r="Y3361" s="68"/>
      <c r="Z3361" s="68"/>
    </row>
    <row r="3362" ht="15.0" customHeight="1">
      <c r="A3362" s="421"/>
      <c r="B3362" s="201"/>
      <c r="C3362" s="17"/>
      <c r="D3362" s="140"/>
      <c r="E3362" s="17"/>
      <c r="F3362" s="202"/>
      <c r="G3362" s="142"/>
      <c r="H3362" s="142"/>
      <c r="I3362" s="143"/>
      <c r="J3362" s="144"/>
      <c r="K3362" s="17"/>
      <c r="L3362" s="17"/>
      <c r="M3362" s="17"/>
      <c r="N3362" s="68"/>
      <c r="O3362" s="68"/>
      <c r="P3362" s="68"/>
      <c r="Q3362" s="149"/>
      <c r="R3362" s="149"/>
      <c r="S3362" s="149"/>
      <c r="T3362" s="149"/>
      <c r="U3362" s="149"/>
      <c r="V3362" s="149"/>
      <c r="W3362" s="149"/>
      <c r="X3362" s="68"/>
      <c r="Y3362" s="68"/>
      <c r="Z3362" s="68"/>
    </row>
    <row r="3363" ht="15.0" customHeight="1">
      <c r="A3363" s="421"/>
      <c r="B3363" s="201"/>
      <c r="C3363" s="17"/>
      <c r="D3363" s="140"/>
      <c r="E3363" s="17"/>
      <c r="F3363" s="202"/>
      <c r="G3363" s="142"/>
      <c r="H3363" s="142"/>
      <c r="I3363" s="143"/>
      <c r="J3363" s="144"/>
      <c r="K3363" s="17"/>
      <c r="L3363" s="17"/>
      <c r="M3363" s="17"/>
      <c r="N3363" s="68"/>
      <c r="O3363" s="68"/>
      <c r="P3363" s="68"/>
      <c r="Q3363" s="149"/>
      <c r="R3363" s="149"/>
      <c r="S3363" s="149"/>
      <c r="T3363" s="149"/>
      <c r="U3363" s="149"/>
      <c r="V3363" s="149"/>
      <c r="W3363" s="149"/>
      <c r="X3363" s="68"/>
      <c r="Y3363" s="68"/>
      <c r="Z3363" s="68"/>
    </row>
    <row r="3364" ht="15.0" customHeight="1">
      <c r="A3364" s="421"/>
      <c r="B3364" s="201"/>
      <c r="C3364" s="17"/>
      <c r="D3364" s="140"/>
      <c r="E3364" s="17"/>
      <c r="F3364" s="202"/>
      <c r="G3364" s="142"/>
      <c r="H3364" s="142"/>
      <c r="I3364" s="143"/>
      <c r="J3364" s="144"/>
      <c r="K3364" s="17"/>
      <c r="L3364" s="17"/>
      <c r="M3364" s="17"/>
      <c r="N3364" s="68"/>
      <c r="O3364" s="68"/>
      <c r="P3364" s="68"/>
      <c r="Q3364" s="149"/>
      <c r="R3364" s="149"/>
      <c r="S3364" s="149"/>
      <c r="T3364" s="149"/>
      <c r="U3364" s="149"/>
      <c r="V3364" s="149"/>
      <c r="W3364" s="149"/>
      <c r="X3364" s="68"/>
      <c r="Y3364" s="68"/>
      <c r="Z3364" s="68"/>
    </row>
    <row r="3365" ht="15.0" customHeight="1">
      <c r="A3365" s="421"/>
      <c r="B3365" s="201"/>
      <c r="C3365" s="17"/>
      <c r="D3365" s="140"/>
      <c r="E3365" s="17"/>
      <c r="F3365" s="202"/>
      <c r="G3365" s="142"/>
      <c r="H3365" s="142"/>
      <c r="I3365" s="143"/>
      <c r="J3365" s="144"/>
      <c r="K3365" s="17"/>
      <c r="L3365" s="17"/>
      <c r="M3365" s="17"/>
      <c r="N3365" s="68"/>
      <c r="O3365" s="68"/>
      <c r="P3365" s="68"/>
      <c r="Q3365" s="149"/>
      <c r="R3365" s="149"/>
      <c r="S3365" s="149"/>
      <c r="T3365" s="149"/>
      <c r="U3365" s="149"/>
      <c r="V3365" s="149"/>
      <c r="W3365" s="149"/>
      <c r="X3365" s="68"/>
      <c r="Y3365" s="68"/>
      <c r="Z3365" s="68"/>
    </row>
    <row r="3366" ht="15.0" customHeight="1">
      <c r="A3366" s="421"/>
      <c r="B3366" s="201"/>
      <c r="C3366" s="17"/>
      <c r="D3366" s="140"/>
      <c r="E3366" s="17"/>
      <c r="F3366" s="202"/>
      <c r="G3366" s="142"/>
      <c r="H3366" s="142"/>
      <c r="I3366" s="143"/>
      <c r="J3366" s="144"/>
      <c r="K3366" s="17"/>
      <c r="L3366" s="17"/>
      <c r="M3366" s="17"/>
      <c r="N3366" s="68"/>
      <c r="O3366" s="68"/>
      <c r="P3366" s="68"/>
      <c r="Q3366" s="149"/>
      <c r="R3366" s="149"/>
      <c r="S3366" s="149"/>
      <c r="T3366" s="149"/>
      <c r="U3366" s="149"/>
      <c r="V3366" s="149"/>
      <c r="W3366" s="149"/>
      <c r="X3366" s="68"/>
      <c r="Y3366" s="68"/>
      <c r="Z3366" s="68"/>
    </row>
    <row r="3367" ht="15.0" customHeight="1">
      <c r="A3367" s="421"/>
      <c r="B3367" s="201"/>
      <c r="C3367" s="17"/>
      <c r="D3367" s="140"/>
      <c r="E3367" s="17"/>
      <c r="F3367" s="202"/>
      <c r="G3367" s="142"/>
      <c r="H3367" s="142"/>
      <c r="I3367" s="143"/>
      <c r="J3367" s="144"/>
      <c r="K3367" s="17"/>
      <c r="L3367" s="17"/>
      <c r="M3367" s="17"/>
      <c r="N3367" s="68"/>
      <c r="O3367" s="68"/>
      <c r="P3367" s="68"/>
      <c r="Q3367" s="149"/>
      <c r="R3367" s="149"/>
      <c r="S3367" s="149"/>
      <c r="T3367" s="149"/>
      <c r="U3367" s="149"/>
      <c r="V3367" s="149"/>
      <c r="W3367" s="149"/>
      <c r="X3367" s="68"/>
      <c r="Y3367" s="68"/>
      <c r="Z3367" s="68"/>
    </row>
    <row r="3368" ht="15.0" customHeight="1">
      <c r="A3368" s="421"/>
      <c r="B3368" s="201"/>
      <c r="C3368" s="17"/>
      <c r="D3368" s="140"/>
      <c r="E3368" s="17"/>
      <c r="F3368" s="202"/>
      <c r="G3368" s="142"/>
      <c r="H3368" s="142"/>
      <c r="I3368" s="143"/>
      <c r="J3368" s="144"/>
      <c r="K3368" s="17"/>
      <c r="L3368" s="17"/>
      <c r="M3368" s="17"/>
      <c r="N3368" s="68"/>
      <c r="O3368" s="68"/>
      <c r="P3368" s="68"/>
      <c r="Q3368" s="149"/>
      <c r="R3368" s="149"/>
      <c r="S3368" s="149"/>
      <c r="T3368" s="149"/>
      <c r="U3368" s="149"/>
      <c r="V3368" s="149"/>
      <c r="W3368" s="149"/>
      <c r="X3368" s="68"/>
      <c r="Y3368" s="68"/>
      <c r="Z3368" s="68"/>
    </row>
    <row r="3369" ht="15.0" customHeight="1">
      <c r="A3369" s="421"/>
      <c r="B3369" s="201"/>
      <c r="C3369" s="17"/>
      <c r="D3369" s="140"/>
      <c r="E3369" s="17"/>
      <c r="F3369" s="202"/>
      <c r="G3369" s="142"/>
      <c r="H3369" s="142"/>
      <c r="I3369" s="143"/>
      <c r="J3369" s="144"/>
      <c r="K3369" s="17"/>
      <c r="L3369" s="17"/>
      <c r="M3369" s="17"/>
      <c r="N3369" s="68"/>
      <c r="O3369" s="68"/>
      <c r="P3369" s="68"/>
      <c r="Q3369" s="149"/>
      <c r="R3369" s="149"/>
      <c r="S3369" s="149"/>
      <c r="T3369" s="149"/>
      <c r="U3369" s="149"/>
      <c r="V3369" s="149"/>
      <c r="W3369" s="149"/>
      <c r="X3369" s="68"/>
      <c r="Y3369" s="68"/>
      <c r="Z3369" s="68"/>
    </row>
    <row r="3370" ht="15.0" customHeight="1">
      <c r="A3370" s="421"/>
      <c r="B3370" s="201"/>
      <c r="C3370" s="17"/>
      <c r="D3370" s="140"/>
      <c r="E3370" s="17"/>
      <c r="F3370" s="202"/>
      <c r="G3370" s="142"/>
      <c r="H3370" s="142"/>
      <c r="I3370" s="143"/>
      <c r="J3370" s="144"/>
      <c r="K3370" s="17"/>
      <c r="L3370" s="17"/>
      <c r="M3370" s="17"/>
      <c r="N3370" s="68"/>
      <c r="O3370" s="68"/>
      <c r="P3370" s="68"/>
      <c r="Q3370" s="149"/>
      <c r="R3370" s="149"/>
      <c r="S3370" s="149"/>
      <c r="T3370" s="149"/>
      <c r="U3370" s="149"/>
      <c r="V3370" s="149"/>
      <c r="W3370" s="149"/>
      <c r="X3370" s="68"/>
      <c r="Y3370" s="68"/>
      <c r="Z3370" s="68"/>
    </row>
    <row r="3371" ht="15.0" customHeight="1">
      <c r="A3371" s="421"/>
      <c r="B3371" s="201"/>
      <c r="C3371" s="17"/>
      <c r="D3371" s="140"/>
      <c r="E3371" s="17"/>
      <c r="F3371" s="202"/>
      <c r="G3371" s="142"/>
      <c r="H3371" s="142"/>
      <c r="I3371" s="143"/>
      <c r="J3371" s="144"/>
      <c r="K3371" s="17"/>
      <c r="L3371" s="17"/>
      <c r="M3371" s="17"/>
      <c r="N3371" s="68"/>
      <c r="O3371" s="68"/>
      <c r="P3371" s="68"/>
      <c r="Q3371" s="149"/>
      <c r="R3371" s="149"/>
      <c r="S3371" s="149"/>
      <c r="T3371" s="149"/>
      <c r="U3371" s="149"/>
      <c r="V3371" s="149"/>
      <c r="W3371" s="149"/>
      <c r="X3371" s="68"/>
      <c r="Y3371" s="68"/>
      <c r="Z3371" s="68"/>
    </row>
    <row r="3372" ht="15.0" customHeight="1">
      <c r="A3372" s="421"/>
      <c r="B3372" s="201"/>
      <c r="C3372" s="17"/>
      <c r="D3372" s="140"/>
      <c r="E3372" s="17"/>
      <c r="F3372" s="202"/>
      <c r="G3372" s="142"/>
      <c r="H3372" s="142"/>
      <c r="I3372" s="143"/>
      <c r="J3372" s="144"/>
      <c r="K3372" s="17"/>
      <c r="L3372" s="17"/>
      <c r="M3372" s="17"/>
      <c r="N3372" s="68"/>
      <c r="O3372" s="68"/>
      <c r="P3372" s="68"/>
      <c r="Q3372" s="149"/>
      <c r="R3372" s="149"/>
      <c r="S3372" s="149"/>
      <c r="T3372" s="149"/>
      <c r="U3372" s="149"/>
      <c r="V3372" s="149"/>
      <c r="W3372" s="149"/>
      <c r="X3372" s="68"/>
      <c r="Y3372" s="68"/>
      <c r="Z3372" s="68"/>
    </row>
    <row r="3373" ht="15.0" customHeight="1">
      <c r="A3373" s="421"/>
      <c r="B3373" s="201"/>
      <c r="C3373" s="17"/>
      <c r="D3373" s="140"/>
      <c r="E3373" s="17"/>
      <c r="F3373" s="202"/>
      <c r="G3373" s="142"/>
      <c r="H3373" s="142"/>
      <c r="I3373" s="143"/>
      <c r="J3373" s="144"/>
      <c r="K3373" s="17"/>
      <c r="L3373" s="17"/>
      <c r="M3373" s="17"/>
      <c r="N3373" s="68"/>
      <c r="O3373" s="68"/>
      <c r="P3373" s="68"/>
      <c r="Q3373" s="149"/>
      <c r="R3373" s="149"/>
      <c r="S3373" s="149"/>
      <c r="T3373" s="149"/>
      <c r="U3373" s="149"/>
      <c r="V3373" s="149"/>
      <c r="W3373" s="149"/>
      <c r="X3373" s="68"/>
      <c r="Y3373" s="68"/>
      <c r="Z3373" s="68"/>
    </row>
    <row r="3374" ht="15.0" customHeight="1">
      <c r="A3374" s="421"/>
      <c r="B3374" s="201"/>
      <c r="C3374" s="17"/>
      <c r="D3374" s="140"/>
      <c r="E3374" s="17"/>
      <c r="F3374" s="202"/>
      <c r="G3374" s="142"/>
      <c r="H3374" s="142"/>
      <c r="I3374" s="143"/>
      <c r="J3374" s="144"/>
      <c r="K3374" s="17"/>
      <c r="L3374" s="17"/>
      <c r="M3374" s="17"/>
      <c r="N3374" s="68"/>
      <c r="O3374" s="68"/>
      <c r="P3374" s="68"/>
      <c r="Q3374" s="149"/>
      <c r="R3374" s="149"/>
      <c r="S3374" s="149"/>
      <c r="T3374" s="149"/>
      <c r="U3374" s="149"/>
      <c r="V3374" s="149"/>
      <c r="W3374" s="149"/>
      <c r="X3374" s="68"/>
      <c r="Y3374" s="68"/>
      <c r="Z3374" s="68"/>
    </row>
    <row r="3375" ht="15.0" customHeight="1">
      <c r="A3375" s="421"/>
      <c r="B3375" s="201"/>
      <c r="C3375" s="17"/>
      <c r="D3375" s="140"/>
      <c r="E3375" s="17"/>
      <c r="F3375" s="202"/>
      <c r="G3375" s="142"/>
      <c r="H3375" s="142"/>
      <c r="I3375" s="143"/>
      <c r="J3375" s="144"/>
      <c r="K3375" s="17"/>
      <c r="L3375" s="17"/>
      <c r="M3375" s="17"/>
      <c r="N3375" s="68"/>
      <c r="O3375" s="68"/>
      <c r="P3375" s="68"/>
      <c r="Q3375" s="149"/>
      <c r="R3375" s="149"/>
      <c r="S3375" s="149"/>
      <c r="T3375" s="149"/>
      <c r="U3375" s="149"/>
      <c r="V3375" s="149"/>
      <c r="W3375" s="149"/>
      <c r="X3375" s="68"/>
      <c r="Y3375" s="68"/>
      <c r="Z3375" s="68"/>
    </row>
    <row r="3376" ht="15.0" customHeight="1">
      <c r="A3376" s="421"/>
      <c r="B3376" s="201"/>
      <c r="C3376" s="17"/>
      <c r="D3376" s="140"/>
      <c r="E3376" s="17"/>
      <c r="F3376" s="202"/>
      <c r="G3376" s="142"/>
      <c r="H3376" s="142"/>
      <c r="I3376" s="143"/>
      <c r="J3376" s="144"/>
      <c r="K3376" s="17"/>
      <c r="L3376" s="17"/>
      <c r="M3376" s="17"/>
      <c r="N3376" s="68"/>
      <c r="O3376" s="68"/>
      <c r="P3376" s="68"/>
      <c r="Q3376" s="149"/>
      <c r="R3376" s="149"/>
      <c r="S3376" s="149"/>
      <c r="T3376" s="149"/>
      <c r="U3376" s="149"/>
      <c r="V3376" s="149"/>
      <c r="W3376" s="149"/>
      <c r="X3376" s="68"/>
      <c r="Y3376" s="68"/>
      <c r="Z3376" s="68"/>
    </row>
    <row r="3377" ht="15.0" customHeight="1">
      <c r="A3377" s="421"/>
      <c r="B3377" s="201"/>
      <c r="C3377" s="17"/>
      <c r="D3377" s="140"/>
      <c r="E3377" s="17"/>
      <c r="F3377" s="202"/>
      <c r="G3377" s="142"/>
      <c r="H3377" s="142"/>
      <c r="I3377" s="143"/>
      <c r="J3377" s="144"/>
      <c r="K3377" s="17"/>
      <c r="L3377" s="17"/>
      <c r="M3377" s="17"/>
      <c r="N3377" s="68"/>
      <c r="O3377" s="68"/>
      <c r="P3377" s="68"/>
      <c r="Q3377" s="149"/>
      <c r="R3377" s="149"/>
      <c r="S3377" s="149"/>
      <c r="T3377" s="149"/>
      <c r="U3377" s="149"/>
      <c r="V3377" s="149"/>
      <c r="W3377" s="149"/>
      <c r="X3377" s="68"/>
      <c r="Y3377" s="68"/>
      <c r="Z3377" s="68"/>
    </row>
    <row r="3378" ht="15.0" customHeight="1">
      <c r="A3378" s="421"/>
      <c r="B3378" s="201"/>
      <c r="C3378" s="17"/>
      <c r="D3378" s="140"/>
      <c r="E3378" s="17"/>
      <c r="F3378" s="202"/>
      <c r="G3378" s="142"/>
      <c r="H3378" s="142"/>
      <c r="I3378" s="143"/>
      <c r="J3378" s="144"/>
      <c r="K3378" s="17"/>
      <c r="L3378" s="17"/>
      <c r="M3378" s="17"/>
      <c r="N3378" s="68"/>
      <c r="O3378" s="68"/>
      <c r="P3378" s="68"/>
      <c r="Q3378" s="149"/>
      <c r="R3378" s="149"/>
      <c r="S3378" s="149"/>
      <c r="T3378" s="149"/>
      <c r="U3378" s="149"/>
      <c r="V3378" s="149"/>
      <c r="W3378" s="149"/>
      <c r="X3378" s="68"/>
      <c r="Y3378" s="68"/>
      <c r="Z3378" s="68"/>
    </row>
    <row r="3379" ht="15.0" customHeight="1">
      <c r="A3379" s="421"/>
      <c r="B3379" s="201"/>
      <c r="C3379" s="17"/>
      <c r="D3379" s="140"/>
      <c r="E3379" s="17"/>
      <c r="F3379" s="202"/>
      <c r="G3379" s="142"/>
      <c r="H3379" s="142"/>
      <c r="I3379" s="143"/>
      <c r="J3379" s="144"/>
      <c r="K3379" s="17"/>
      <c r="L3379" s="17"/>
      <c r="M3379" s="17"/>
      <c r="N3379" s="68"/>
      <c r="O3379" s="68"/>
      <c r="P3379" s="68"/>
      <c r="Q3379" s="149"/>
      <c r="R3379" s="149"/>
      <c r="S3379" s="149"/>
      <c r="T3379" s="149"/>
      <c r="U3379" s="149"/>
      <c r="V3379" s="149"/>
      <c r="W3379" s="149"/>
      <c r="X3379" s="68"/>
      <c r="Y3379" s="68"/>
      <c r="Z3379" s="68"/>
    </row>
    <row r="3380" ht="15.0" customHeight="1">
      <c r="A3380" s="421"/>
      <c r="B3380" s="201"/>
      <c r="C3380" s="17"/>
      <c r="D3380" s="140"/>
      <c r="E3380" s="17"/>
      <c r="F3380" s="202"/>
      <c r="G3380" s="142"/>
      <c r="H3380" s="142"/>
      <c r="I3380" s="143"/>
      <c r="J3380" s="144"/>
      <c r="K3380" s="17"/>
      <c r="L3380" s="17"/>
      <c r="M3380" s="17"/>
      <c r="N3380" s="68"/>
      <c r="O3380" s="68"/>
      <c r="P3380" s="68"/>
      <c r="Q3380" s="149"/>
      <c r="R3380" s="149"/>
      <c r="S3380" s="149"/>
      <c r="T3380" s="149"/>
      <c r="U3380" s="149"/>
      <c r="V3380" s="149"/>
      <c r="W3380" s="149"/>
      <c r="X3380" s="68"/>
      <c r="Y3380" s="68"/>
      <c r="Z3380" s="68"/>
    </row>
    <row r="3381" ht="15.0" customHeight="1">
      <c r="A3381" s="421"/>
      <c r="B3381" s="201"/>
      <c r="C3381" s="17"/>
      <c r="D3381" s="140"/>
      <c r="E3381" s="17"/>
      <c r="F3381" s="202"/>
      <c r="G3381" s="142"/>
      <c r="H3381" s="142"/>
      <c r="I3381" s="143"/>
      <c r="J3381" s="144"/>
      <c r="K3381" s="17"/>
      <c r="L3381" s="17"/>
      <c r="M3381" s="17"/>
      <c r="N3381" s="68"/>
      <c r="O3381" s="68"/>
      <c r="P3381" s="68"/>
      <c r="Q3381" s="149"/>
      <c r="R3381" s="149"/>
      <c r="S3381" s="149"/>
      <c r="T3381" s="149"/>
      <c r="U3381" s="149"/>
      <c r="V3381" s="149"/>
      <c r="W3381" s="149"/>
      <c r="X3381" s="68"/>
      <c r="Y3381" s="68"/>
      <c r="Z3381" s="68"/>
    </row>
    <row r="3382" ht="15.0" customHeight="1">
      <c r="A3382" s="421"/>
      <c r="B3382" s="201"/>
      <c r="C3382" s="17"/>
      <c r="D3382" s="140"/>
      <c r="E3382" s="17"/>
      <c r="F3382" s="202"/>
      <c r="G3382" s="142"/>
      <c r="H3382" s="142"/>
      <c r="I3382" s="143"/>
      <c r="J3382" s="144"/>
      <c r="K3382" s="17"/>
      <c r="L3382" s="17"/>
      <c r="M3382" s="17"/>
      <c r="N3382" s="68"/>
      <c r="O3382" s="68"/>
      <c r="P3382" s="68"/>
      <c r="Q3382" s="149"/>
      <c r="R3382" s="149"/>
      <c r="S3382" s="149"/>
      <c r="T3382" s="149"/>
      <c r="U3382" s="149"/>
      <c r="V3382" s="149"/>
      <c r="W3382" s="149"/>
      <c r="X3382" s="68"/>
      <c r="Y3382" s="68"/>
      <c r="Z3382" s="68"/>
    </row>
    <row r="3383" ht="15.0" customHeight="1">
      <c r="A3383" s="421"/>
      <c r="B3383" s="201"/>
      <c r="C3383" s="17"/>
      <c r="D3383" s="140"/>
      <c r="E3383" s="17"/>
      <c r="F3383" s="202"/>
      <c r="G3383" s="142"/>
      <c r="H3383" s="142"/>
      <c r="I3383" s="143"/>
      <c r="J3383" s="144"/>
      <c r="K3383" s="17"/>
      <c r="L3383" s="17"/>
      <c r="M3383" s="17"/>
      <c r="N3383" s="68"/>
      <c r="O3383" s="68"/>
      <c r="P3383" s="68"/>
      <c r="Q3383" s="149"/>
      <c r="R3383" s="149"/>
      <c r="S3383" s="149"/>
      <c r="T3383" s="149"/>
      <c r="U3383" s="149"/>
      <c r="V3383" s="149"/>
      <c r="W3383" s="149"/>
      <c r="X3383" s="68"/>
      <c r="Y3383" s="68"/>
      <c r="Z3383" s="68"/>
    </row>
    <row r="3384" ht="15.0" customHeight="1">
      <c r="A3384" s="421"/>
      <c r="B3384" s="201"/>
      <c r="C3384" s="17"/>
      <c r="D3384" s="140"/>
      <c r="E3384" s="17"/>
      <c r="F3384" s="202"/>
      <c r="G3384" s="142"/>
      <c r="H3384" s="142"/>
      <c r="I3384" s="143"/>
      <c r="J3384" s="144"/>
      <c r="K3384" s="17"/>
      <c r="L3384" s="17"/>
      <c r="M3384" s="17"/>
      <c r="N3384" s="68"/>
      <c r="O3384" s="68"/>
      <c r="P3384" s="68"/>
      <c r="Q3384" s="149"/>
      <c r="R3384" s="149"/>
      <c r="S3384" s="149"/>
      <c r="T3384" s="149"/>
      <c r="U3384" s="149"/>
      <c r="V3384" s="149"/>
      <c r="W3384" s="149"/>
      <c r="X3384" s="68"/>
      <c r="Y3384" s="68"/>
      <c r="Z3384" s="68"/>
    </row>
    <row r="3385" ht="15.0" customHeight="1">
      <c r="A3385" s="421"/>
      <c r="B3385" s="201"/>
      <c r="C3385" s="17"/>
      <c r="D3385" s="140"/>
      <c r="E3385" s="17"/>
      <c r="F3385" s="202"/>
      <c r="G3385" s="142"/>
      <c r="H3385" s="142"/>
      <c r="I3385" s="143"/>
      <c r="J3385" s="144"/>
      <c r="K3385" s="17"/>
      <c r="L3385" s="17"/>
      <c r="M3385" s="17"/>
      <c r="N3385" s="68"/>
      <c r="O3385" s="68"/>
      <c r="P3385" s="68"/>
      <c r="Q3385" s="149"/>
      <c r="R3385" s="149"/>
      <c r="S3385" s="149"/>
      <c r="T3385" s="149"/>
      <c r="U3385" s="149"/>
      <c r="V3385" s="149"/>
      <c r="W3385" s="149"/>
      <c r="X3385" s="68"/>
      <c r="Y3385" s="68"/>
      <c r="Z3385" s="68"/>
    </row>
    <row r="3386" ht="15.0" customHeight="1">
      <c r="A3386" s="421"/>
      <c r="B3386" s="201"/>
      <c r="C3386" s="17"/>
      <c r="D3386" s="140"/>
      <c r="E3386" s="17"/>
      <c r="F3386" s="202"/>
      <c r="G3386" s="142"/>
      <c r="H3386" s="142"/>
      <c r="I3386" s="143"/>
      <c r="J3386" s="144"/>
      <c r="K3386" s="17"/>
      <c r="L3386" s="17"/>
      <c r="M3386" s="17"/>
      <c r="N3386" s="68"/>
      <c r="O3386" s="68"/>
      <c r="P3386" s="68"/>
      <c r="Q3386" s="149"/>
      <c r="R3386" s="149"/>
      <c r="S3386" s="149"/>
      <c r="T3386" s="149"/>
      <c r="U3386" s="149"/>
      <c r="V3386" s="149"/>
      <c r="W3386" s="149"/>
      <c r="X3386" s="68"/>
      <c r="Y3386" s="68"/>
      <c r="Z3386" s="68"/>
    </row>
    <row r="3387" ht="15.0" customHeight="1">
      <c r="A3387" s="421"/>
      <c r="B3387" s="201"/>
      <c r="C3387" s="17"/>
      <c r="D3387" s="140"/>
      <c r="E3387" s="17"/>
      <c r="F3387" s="202"/>
      <c r="G3387" s="142"/>
      <c r="H3387" s="142"/>
      <c r="I3387" s="143"/>
      <c r="J3387" s="144"/>
      <c r="K3387" s="17"/>
      <c r="L3387" s="17"/>
      <c r="M3387" s="17"/>
      <c r="N3387" s="68"/>
      <c r="O3387" s="68"/>
      <c r="P3387" s="68"/>
      <c r="Q3387" s="149"/>
      <c r="R3387" s="149"/>
      <c r="S3387" s="149"/>
      <c r="T3387" s="149"/>
      <c r="U3387" s="149"/>
      <c r="V3387" s="149"/>
      <c r="W3387" s="149"/>
      <c r="X3387" s="68"/>
      <c r="Y3387" s="68"/>
      <c r="Z3387" s="68"/>
    </row>
    <row r="3388" ht="15.0" customHeight="1">
      <c r="A3388" s="421"/>
      <c r="B3388" s="201"/>
      <c r="C3388" s="17"/>
      <c r="D3388" s="140"/>
      <c r="E3388" s="17"/>
      <c r="F3388" s="202"/>
      <c r="G3388" s="142"/>
      <c r="H3388" s="142"/>
      <c r="I3388" s="143"/>
      <c r="J3388" s="144"/>
      <c r="K3388" s="17"/>
      <c r="L3388" s="17"/>
      <c r="M3388" s="17"/>
      <c r="N3388" s="68"/>
      <c r="O3388" s="68"/>
      <c r="P3388" s="68"/>
      <c r="Q3388" s="149"/>
      <c r="R3388" s="149"/>
      <c r="S3388" s="149"/>
      <c r="T3388" s="149"/>
      <c r="U3388" s="149"/>
      <c r="V3388" s="149"/>
      <c r="W3388" s="149"/>
      <c r="X3388" s="68"/>
      <c r="Y3388" s="68"/>
      <c r="Z3388" s="68"/>
    </row>
    <row r="3389" ht="15.0" customHeight="1">
      <c r="A3389" s="421"/>
      <c r="B3389" s="201"/>
      <c r="C3389" s="17"/>
      <c r="D3389" s="140"/>
      <c r="E3389" s="17"/>
      <c r="F3389" s="202"/>
      <c r="G3389" s="142"/>
      <c r="H3389" s="142"/>
      <c r="I3389" s="143"/>
      <c r="J3389" s="144"/>
      <c r="K3389" s="17"/>
      <c r="L3389" s="17"/>
      <c r="M3389" s="17"/>
      <c r="N3389" s="68"/>
      <c r="O3389" s="68"/>
      <c r="P3389" s="68"/>
      <c r="Q3389" s="149"/>
      <c r="R3389" s="149"/>
      <c r="S3389" s="149"/>
      <c r="T3389" s="149"/>
      <c r="U3389" s="149"/>
      <c r="V3389" s="149"/>
      <c r="W3389" s="149"/>
      <c r="X3389" s="68"/>
      <c r="Y3389" s="68"/>
      <c r="Z3389" s="68"/>
    </row>
    <row r="3390" ht="15.0" customHeight="1">
      <c r="A3390" s="421"/>
      <c r="B3390" s="201"/>
      <c r="C3390" s="17"/>
      <c r="D3390" s="140"/>
      <c r="E3390" s="17"/>
      <c r="F3390" s="202"/>
      <c r="G3390" s="142"/>
      <c r="H3390" s="142"/>
      <c r="I3390" s="143"/>
      <c r="J3390" s="144"/>
      <c r="K3390" s="17"/>
      <c r="L3390" s="17"/>
      <c r="M3390" s="17"/>
      <c r="N3390" s="68"/>
      <c r="O3390" s="68"/>
      <c r="P3390" s="68"/>
      <c r="Q3390" s="149"/>
      <c r="R3390" s="149"/>
      <c r="S3390" s="149"/>
      <c r="T3390" s="149"/>
      <c r="U3390" s="149"/>
      <c r="V3390" s="149"/>
      <c r="W3390" s="149"/>
      <c r="X3390" s="68"/>
      <c r="Y3390" s="68"/>
      <c r="Z3390" s="68"/>
    </row>
    <row r="3391" ht="15.0" customHeight="1">
      <c r="A3391" s="421"/>
      <c r="B3391" s="201"/>
      <c r="C3391" s="17"/>
      <c r="D3391" s="140"/>
      <c r="E3391" s="17"/>
      <c r="F3391" s="202"/>
      <c r="G3391" s="142"/>
      <c r="H3391" s="142"/>
      <c r="I3391" s="143"/>
      <c r="J3391" s="144"/>
      <c r="K3391" s="17"/>
      <c r="L3391" s="17"/>
      <c r="M3391" s="17"/>
      <c r="N3391" s="68"/>
      <c r="O3391" s="68"/>
      <c r="P3391" s="68"/>
      <c r="Q3391" s="149"/>
      <c r="R3391" s="149"/>
      <c r="S3391" s="149"/>
      <c r="T3391" s="149"/>
      <c r="U3391" s="149"/>
      <c r="V3391" s="149"/>
      <c r="W3391" s="149"/>
      <c r="X3391" s="68"/>
      <c r="Y3391" s="68"/>
      <c r="Z3391" s="68"/>
    </row>
    <row r="3392" ht="15.0" customHeight="1">
      <c r="A3392" s="421"/>
      <c r="B3392" s="201"/>
      <c r="C3392" s="17"/>
      <c r="D3392" s="140"/>
      <c r="E3392" s="17"/>
      <c r="F3392" s="202"/>
      <c r="G3392" s="142"/>
      <c r="H3392" s="142"/>
      <c r="I3392" s="143"/>
      <c r="J3392" s="144"/>
      <c r="K3392" s="17"/>
      <c r="L3392" s="17"/>
      <c r="M3392" s="17"/>
      <c r="N3392" s="68"/>
      <c r="O3392" s="68"/>
      <c r="P3392" s="68"/>
      <c r="Q3392" s="149"/>
      <c r="R3392" s="149"/>
      <c r="S3392" s="149"/>
      <c r="T3392" s="149"/>
      <c r="U3392" s="149"/>
      <c r="V3392" s="149"/>
      <c r="W3392" s="149"/>
      <c r="X3392" s="68"/>
      <c r="Y3392" s="68"/>
      <c r="Z3392" s="68"/>
    </row>
    <row r="3393" ht="15.0" customHeight="1">
      <c r="A3393" s="421"/>
      <c r="B3393" s="201"/>
      <c r="C3393" s="17"/>
      <c r="D3393" s="140"/>
      <c r="E3393" s="17"/>
      <c r="F3393" s="202"/>
      <c r="G3393" s="142"/>
      <c r="H3393" s="142"/>
      <c r="I3393" s="143"/>
      <c r="J3393" s="144"/>
      <c r="K3393" s="17"/>
      <c r="L3393" s="17"/>
      <c r="M3393" s="17"/>
      <c r="N3393" s="68"/>
      <c r="O3393" s="68"/>
      <c r="P3393" s="68"/>
      <c r="Q3393" s="149"/>
      <c r="R3393" s="149"/>
      <c r="S3393" s="149"/>
      <c r="T3393" s="149"/>
      <c r="U3393" s="149"/>
      <c r="V3393" s="149"/>
      <c r="W3393" s="149"/>
      <c r="X3393" s="68"/>
      <c r="Y3393" s="68"/>
      <c r="Z3393" s="68"/>
    </row>
    <row r="3394" ht="15.0" customHeight="1">
      <c r="A3394" s="421"/>
      <c r="B3394" s="201"/>
      <c r="C3394" s="17"/>
      <c r="D3394" s="140"/>
      <c r="E3394" s="17"/>
      <c r="F3394" s="202"/>
      <c r="G3394" s="142"/>
      <c r="H3394" s="142"/>
      <c r="I3394" s="143"/>
      <c r="J3394" s="144"/>
      <c r="K3394" s="17"/>
      <c r="L3394" s="17"/>
      <c r="M3394" s="17"/>
      <c r="N3394" s="68"/>
      <c r="O3394" s="68"/>
      <c r="P3394" s="68"/>
      <c r="Q3394" s="149"/>
      <c r="R3394" s="149"/>
      <c r="S3394" s="149"/>
      <c r="T3394" s="149"/>
      <c r="U3394" s="149"/>
      <c r="V3394" s="149"/>
      <c r="W3394" s="149"/>
      <c r="X3394" s="68"/>
      <c r="Y3394" s="68"/>
      <c r="Z3394" s="68"/>
    </row>
    <row r="3395" ht="15.0" customHeight="1">
      <c r="A3395" s="421"/>
      <c r="B3395" s="201"/>
      <c r="C3395" s="17"/>
      <c r="D3395" s="140"/>
      <c r="E3395" s="17"/>
      <c r="F3395" s="202"/>
      <c r="G3395" s="142"/>
      <c r="H3395" s="142"/>
      <c r="I3395" s="143"/>
      <c r="J3395" s="144"/>
      <c r="K3395" s="17"/>
      <c r="L3395" s="17"/>
      <c r="M3395" s="17"/>
      <c r="N3395" s="68"/>
      <c r="O3395" s="68"/>
      <c r="P3395" s="68"/>
      <c r="Q3395" s="149"/>
      <c r="R3395" s="149"/>
      <c r="S3395" s="149"/>
      <c r="T3395" s="149"/>
      <c r="U3395" s="149"/>
      <c r="V3395" s="149"/>
      <c r="W3395" s="149"/>
      <c r="X3395" s="68"/>
      <c r="Y3395" s="68"/>
      <c r="Z3395" s="68"/>
    </row>
    <row r="3396" ht="15.0" customHeight="1">
      <c r="A3396" s="421"/>
      <c r="B3396" s="201"/>
      <c r="C3396" s="17"/>
      <c r="D3396" s="140"/>
      <c r="E3396" s="17"/>
      <c r="F3396" s="202"/>
      <c r="G3396" s="142"/>
      <c r="H3396" s="142"/>
      <c r="I3396" s="143"/>
      <c r="J3396" s="144"/>
      <c r="K3396" s="17"/>
      <c r="L3396" s="17"/>
      <c r="M3396" s="17"/>
      <c r="N3396" s="68"/>
      <c r="O3396" s="68"/>
      <c r="P3396" s="68"/>
      <c r="Q3396" s="149"/>
      <c r="R3396" s="149"/>
      <c r="S3396" s="149"/>
      <c r="T3396" s="149"/>
      <c r="U3396" s="149"/>
      <c r="V3396" s="149"/>
      <c r="W3396" s="149"/>
      <c r="X3396" s="68"/>
      <c r="Y3396" s="68"/>
      <c r="Z3396" s="68"/>
    </row>
    <row r="3397" ht="15.0" customHeight="1">
      <c r="A3397" s="421"/>
      <c r="B3397" s="201"/>
      <c r="C3397" s="17"/>
      <c r="D3397" s="140"/>
      <c r="E3397" s="17"/>
      <c r="F3397" s="202"/>
      <c r="G3397" s="142"/>
      <c r="H3397" s="142"/>
      <c r="I3397" s="143"/>
      <c r="J3397" s="144"/>
      <c r="K3397" s="17"/>
      <c r="L3397" s="17"/>
      <c r="M3397" s="17"/>
      <c r="N3397" s="68"/>
      <c r="O3397" s="68"/>
      <c r="P3397" s="68"/>
      <c r="Q3397" s="149"/>
      <c r="R3397" s="149"/>
      <c r="S3397" s="149"/>
      <c r="T3397" s="149"/>
      <c r="U3397" s="149"/>
      <c r="V3397" s="149"/>
      <c r="W3397" s="149"/>
      <c r="X3397" s="68"/>
      <c r="Y3397" s="68"/>
      <c r="Z3397" s="68"/>
    </row>
    <row r="3398" ht="15.0" customHeight="1">
      <c r="A3398" s="421"/>
      <c r="B3398" s="201"/>
      <c r="C3398" s="17"/>
      <c r="D3398" s="140"/>
      <c r="E3398" s="17"/>
      <c r="F3398" s="202"/>
      <c r="G3398" s="142"/>
      <c r="H3398" s="142"/>
      <c r="I3398" s="143"/>
      <c r="J3398" s="144"/>
      <c r="K3398" s="17"/>
      <c r="L3398" s="17"/>
      <c r="M3398" s="17"/>
      <c r="N3398" s="68"/>
      <c r="O3398" s="68"/>
      <c r="P3398" s="68"/>
      <c r="Q3398" s="149"/>
      <c r="R3398" s="149"/>
      <c r="S3398" s="149"/>
      <c r="T3398" s="149"/>
      <c r="U3398" s="149"/>
      <c r="V3398" s="149"/>
      <c r="W3398" s="149"/>
      <c r="X3398" s="68"/>
      <c r="Y3398" s="68"/>
      <c r="Z3398" s="68"/>
    </row>
    <row r="3399" ht="15.0" customHeight="1">
      <c r="A3399" s="421"/>
      <c r="B3399" s="201"/>
      <c r="C3399" s="17"/>
      <c r="D3399" s="140"/>
      <c r="E3399" s="17"/>
      <c r="F3399" s="202"/>
      <c r="G3399" s="142"/>
      <c r="H3399" s="142"/>
      <c r="I3399" s="143"/>
      <c r="J3399" s="144"/>
      <c r="K3399" s="17"/>
      <c r="L3399" s="17"/>
      <c r="M3399" s="17"/>
      <c r="N3399" s="68"/>
      <c r="O3399" s="68"/>
      <c r="P3399" s="68"/>
      <c r="Q3399" s="149"/>
      <c r="R3399" s="149"/>
      <c r="S3399" s="149"/>
      <c r="T3399" s="149"/>
      <c r="U3399" s="149"/>
      <c r="V3399" s="149"/>
      <c r="W3399" s="149"/>
      <c r="X3399" s="68"/>
      <c r="Y3399" s="68"/>
      <c r="Z3399" s="68"/>
    </row>
    <row r="3400" ht="15.0" customHeight="1">
      <c r="A3400" s="421"/>
      <c r="B3400" s="201"/>
      <c r="C3400" s="17"/>
      <c r="D3400" s="140"/>
      <c r="E3400" s="17"/>
      <c r="F3400" s="202"/>
      <c r="G3400" s="142"/>
      <c r="H3400" s="142"/>
      <c r="I3400" s="143"/>
      <c r="J3400" s="144"/>
      <c r="K3400" s="17"/>
      <c r="L3400" s="17"/>
      <c r="M3400" s="17"/>
      <c r="N3400" s="68"/>
      <c r="O3400" s="68"/>
      <c r="P3400" s="68"/>
      <c r="Q3400" s="149"/>
      <c r="R3400" s="149"/>
      <c r="S3400" s="149"/>
      <c r="T3400" s="149"/>
      <c r="U3400" s="149"/>
      <c r="V3400" s="149"/>
      <c r="W3400" s="149"/>
      <c r="X3400" s="68"/>
      <c r="Y3400" s="68"/>
      <c r="Z3400" s="68"/>
    </row>
    <row r="3401" ht="15.0" customHeight="1">
      <c r="A3401" s="421"/>
      <c r="B3401" s="201"/>
      <c r="C3401" s="17"/>
      <c r="D3401" s="140"/>
      <c r="E3401" s="17"/>
      <c r="F3401" s="202"/>
      <c r="G3401" s="142"/>
      <c r="H3401" s="142"/>
      <c r="I3401" s="143"/>
      <c r="J3401" s="144"/>
      <c r="K3401" s="17"/>
      <c r="L3401" s="17"/>
      <c r="M3401" s="17"/>
      <c r="N3401" s="68"/>
      <c r="O3401" s="68"/>
      <c r="P3401" s="68"/>
      <c r="Q3401" s="149"/>
      <c r="R3401" s="149"/>
      <c r="S3401" s="149"/>
      <c r="T3401" s="149"/>
      <c r="U3401" s="149"/>
      <c r="V3401" s="149"/>
      <c r="W3401" s="149"/>
      <c r="X3401" s="68"/>
      <c r="Y3401" s="68"/>
      <c r="Z3401" s="68"/>
    </row>
    <row r="3402" ht="15.0" customHeight="1">
      <c r="A3402" s="421"/>
      <c r="B3402" s="201"/>
      <c r="C3402" s="17"/>
      <c r="D3402" s="140"/>
      <c r="E3402" s="17"/>
      <c r="F3402" s="202"/>
      <c r="G3402" s="142"/>
      <c r="H3402" s="142"/>
      <c r="I3402" s="143"/>
      <c r="J3402" s="144"/>
      <c r="K3402" s="17"/>
      <c r="L3402" s="17"/>
      <c r="M3402" s="17"/>
      <c r="N3402" s="68"/>
      <c r="O3402" s="68"/>
      <c r="P3402" s="68"/>
      <c r="Q3402" s="149"/>
      <c r="R3402" s="149"/>
      <c r="S3402" s="149"/>
      <c r="T3402" s="149"/>
      <c r="U3402" s="149"/>
      <c r="V3402" s="149"/>
      <c r="W3402" s="149"/>
      <c r="X3402" s="68"/>
      <c r="Y3402" s="68"/>
      <c r="Z3402" s="68"/>
    </row>
    <row r="3403" ht="15.0" customHeight="1">
      <c r="A3403" s="421"/>
      <c r="B3403" s="201"/>
      <c r="C3403" s="17"/>
      <c r="D3403" s="140"/>
      <c r="E3403" s="17"/>
      <c r="F3403" s="202"/>
      <c r="G3403" s="142"/>
      <c r="H3403" s="142"/>
      <c r="I3403" s="143"/>
      <c r="J3403" s="144"/>
      <c r="K3403" s="17"/>
      <c r="L3403" s="17"/>
      <c r="M3403" s="17"/>
      <c r="N3403" s="68"/>
      <c r="O3403" s="68"/>
      <c r="P3403" s="68"/>
      <c r="Q3403" s="149"/>
      <c r="R3403" s="149"/>
      <c r="S3403" s="149"/>
      <c r="T3403" s="149"/>
      <c r="U3403" s="149"/>
      <c r="V3403" s="149"/>
      <c r="W3403" s="149"/>
      <c r="X3403" s="68"/>
      <c r="Y3403" s="68"/>
      <c r="Z3403" s="68"/>
    </row>
    <row r="3404" ht="15.0" customHeight="1">
      <c r="A3404" s="421"/>
      <c r="B3404" s="201"/>
      <c r="C3404" s="17"/>
      <c r="D3404" s="140"/>
      <c r="E3404" s="17"/>
      <c r="F3404" s="202"/>
      <c r="G3404" s="142"/>
      <c r="H3404" s="142"/>
      <c r="I3404" s="143"/>
      <c r="J3404" s="144"/>
      <c r="K3404" s="17"/>
      <c r="L3404" s="17"/>
      <c r="M3404" s="17"/>
      <c r="N3404" s="68"/>
      <c r="O3404" s="68"/>
      <c r="P3404" s="68"/>
      <c r="Q3404" s="149"/>
      <c r="R3404" s="149"/>
      <c r="S3404" s="149"/>
      <c r="T3404" s="149"/>
      <c r="U3404" s="149"/>
      <c r="V3404" s="149"/>
      <c r="W3404" s="149"/>
      <c r="X3404" s="68"/>
      <c r="Y3404" s="68"/>
      <c r="Z3404" s="68"/>
    </row>
    <row r="3405" ht="15.0" customHeight="1">
      <c r="A3405" s="421"/>
      <c r="B3405" s="201"/>
      <c r="C3405" s="17"/>
      <c r="D3405" s="140"/>
      <c r="E3405" s="17"/>
      <c r="F3405" s="202"/>
      <c r="G3405" s="142"/>
      <c r="H3405" s="142"/>
      <c r="I3405" s="143"/>
      <c r="J3405" s="144"/>
      <c r="K3405" s="17"/>
      <c r="L3405" s="17"/>
      <c r="M3405" s="17"/>
      <c r="N3405" s="68"/>
      <c r="O3405" s="68"/>
      <c r="P3405" s="68"/>
      <c r="Q3405" s="149"/>
      <c r="R3405" s="149"/>
      <c r="S3405" s="149"/>
      <c r="T3405" s="149"/>
      <c r="U3405" s="149"/>
      <c r="V3405" s="149"/>
      <c r="W3405" s="149"/>
      <c r="X3405" s="68"/>
      <c r="Y3405" s="68"/>
      <c r="Z3405" s="68"/>
    </row>
    <row r="3406" ht="15.0" customHeight="1">
      <c r="A3406" s="421"/>
      <c r="B3406" s="201"/>
      <c r="C3406" s="17"/>
      <c r="D3406" s="140"/>
      <c r="E3406" s="17"/>
      <c r="F3406" s="202"/>
      <c r="G3406" s="142"/>
      <c r="H3406" s="142"/>
      <c r="I3406" s="143"/>
      <c r="J3406" s="144"/>
      <c r="K3406" s="17"/>
      <c r="L3406" s="17"/>
      <c r="M3406" s="17"/>
      <c r="N3406" s="68"/>
      <c r="O3406" s="68"/>
      <c r="P3406" s="68"/>
      <c r="Q3406" s="149"/>
      <c r="R3406" s="149"/>
      <c r="S3406" s="149"/>
      <c r="T3406" s="149"/>
      <c r="U3406" s="149"/>
      <c r="V3406" s="149"/>
      <c r="W3406" s="149"/>
      <c r="X3406" s="68"/>
      <c r="Y3406" s="68"/>
      <c r="Z3406" s="68"/>
    </row>
    <row r="3407" ht="15.0" customHeight="1">
      <c r="A3407" s="421"/>
      <c r="B3407" s="201"/>
      <c r="C3407" s="17"/>
      <c r="D3407" s="140"/>
      <c r="E3407" s="17"/>
      <c r="F3407" s="202"/>
      <c r="G3407" s="142"/>
      <c r="H3407" s="142"/>
      <c r="I3407" s="143"/>
      <c r="J3407" s="144"/>
      <c r="K3407" s="17"/>
      <c r="L3407" s="17"/>
      <c r="M3407" s="17"/>
      <c r="N3407" s="68"/>
      <c r="O3407" s="68"/>
      <c r="P3407" s="68"/>
      <c r="Q3407" s="149"/>
      <c r="R3407" s="149"/>
      <c r="S3407" s="149"/>
      <c r="T3407" s="149"/>
      <c r="U3407" s="149"/>
      <c r="V3407" s="149"/>
      <c r="W3407" s="149"/>
      <c r="X3407" s="68"/>
      <c r="Y3407" s="68"/>
      <c r="Z3407" s="68"/>
    </row>
    <row r="3408" ht="15.0" customHeight="1">
      <c r="A3408" s="421"/>
      <c r="B3408" s="201"/>
      <c r="C3408" s="17"/>
      <c r="D3408" s="140"/>
      <c r="E3408" s="17"/>
      <c r="F3408" s="202"/>
      <c r="G3408" s="142"/>
      <c r="H3408" s="142"/>
      <c r="I3408" s="143"/>
      <c r="J3408" s="144"/>
      <c r="K3408" s="17"/>
      <c r="L3408" s="17"/>
      <c r="M3408" s="17"/>
      <c r="N3408" s="68"/>
      <c r="O3408" s="68"/>
      <c r="P3408" s="68"/>
      <c r="Q3408" s="149"/>
      <c r="R3408" s="149"/>
      <c r="S3408" s="149"/>
      <c r="T3408" s="149"/>
      <c r="U3408" s="149"/>
      <c r="V3408" s="149"/>
      <c r="W3408" s="149"/>
      <c r="X3408" s="68"/>
      <c r="Y3408" s="68"/>
      <c r="Z3408" s="68"/>
    </row>
    <row r="3409" ht="15.0" customHeight="1">
      <c r="A3409" s="421"/>
      <c r="B3409" s="201"/>
      <c r="C3409" s="17"/>
      <c r="D3409" s="140"/>
      <c r="E3409" s="17"/>
      <c r="F3409" s="202"/>
      <c r="G3409" s="142"/>
      <c r="H3409" s="142"/>
      <c r="I3409" s="143"/>
      <c r="J3409" s="144"/>
      <c r="K3409" s="17"/>
      <c r="L3409" s="17"/>
      <c r="M3409" s="17"/>
      <c r="N3409" s="68"/>
      <c r="O3409" s="68"/>
      <c r="P3409" s="68"/>
      <c r="Q3409" s="149"/>
      <c r="R3409" s="149"/>
      <c r="S3409" s="149"/>
      <c r="T3409" s="149"/>
      <c r="U3409" s="149"/>
      <c r="V3409" s="149"/>
      <c r="W3409" s="149"/>
      <c r="X3409" s="68"/>
      <c r="Y3409" s="68"/>
      <c r="Z3409" s="68"/>
    </row>
    <row r="3410" ht="15.0" customHeight="1">
      <c r="A3410" s="421"/>
      <c r="B3410" s="201"/>
      <c r="C3410" s="17"/>
      <c r="D3410" s="140"/>
      <c r="E3410" s="17"/>
      <c r="F3410" s="202"/>
      <c r="G3410" s="142"/>
      <c r="H3410" s="142"/>
      <c r="I3410" s="143"/>
      <c r="J3410" s="144"/>
      <c r="K3410" s="17"/>
      <c r="L3410" s="17"/>
      <c r="M3410" s="17"/>
      <c r="N3410" s="68"/>
      <c r="O3410" s="68"/>
      <c r="P3410" s="68"/>
      <c r="Q3410" s="149"/>
      <c r="R3410" s="149"/>
      <c r="S3410" s="149"/>
      <c r="T3410" s="149"/>
      <c r="U3410" s="149"/>
      <c r="V3410" s="149"/>
      <c r="W3410" s="149"/>
      <c r="X3410" s="68"/>
      <c r="Y3410" s="68"/>
      <c r="Z3410" s="68"/>
    </row>
    <row r="3411" ht="15.0" customHeight="1">
      <c r="A3411" s="421"/>
      <c r="B3411" s="201"/>
      <c r="C3411" s="17"/>
      <c r="D3411" s="140"/>
      <c r="E3411" s="17"/>
      <c r="F3411" s="202"/>
      <c r="G3411" s="142"/>
      <c r="H3411" s="142"/>
      <c r="I3411" s="143"/>
      <c r="J3411" s="144"/>
      <c r="K3411" s="17"/>
      <c r="L3411" s="17"/>
      <c r="M3411" s="17"/>
      <c r="N3411" s="68"/>
      <c r="O3411" s="68"/>
      <c r="P3411" s="68"/>
      <c r="Q3411" s="149"/>
      <c r="R3411" s="149"/>
      <c r="S3411" s="149"/>
      <c r="T3411" s="149"/>
      <c r="U3411" s="149"/>
      <c r="V3411" s="149"/>
      <c r="W3411" s="149"/>
      <c r="X3411" s="68"/>
      <c r="Y3411" s="68"/>
      <c r="Z3411" s="68"/>
    </row>
    <row r="3412" ht="15.0" customHeight="1">
      <c r="A3412" s="421"/>
      <c r="B3412" s="201"/>
      <c r="C3412" s="17"/>
      <c r="D3412" s="140"/>
      <c r="E3412" s="17"/>
      <c r="F3412" s="202"/>
      <c r="G3412" s="142"/>
      <c r="H3412" s="142"/>
      <c r="I3412" s="143"/>
      <c r="J3412" s="144"/>
      <c r="K3412" s="17"/>
      <c r="L3412" s="17"/>
      <c r="M3412" s="17"/>
      <c r="N3412" s="68"/>
      <c r="O3412" s="68"/>
      <c r="P3412" s="68"/>
      <c r="Q3412" s="149"/>
      <c r="R3412" s="149"/>
      <c r="S3412" s="149"/>
      <c r="T3412" s="149"/>
      <c r="U3412" s="149"/>
      <c r="V3412" s="149"/>
      <c r="W3412" s="149"/>
      <c r="X3412" s="68"/>
      <c r="Y3412" s="68"/>
      <c r="Z3412" s="68"/>
    </row>
    <row r="3413" ht="15.0" customHeight="1">
      <c r="A3413" s="421"/>
      <c r="B3413" s="201"/>
      <c r="C3413" s="17"/>
      <c r="D3413" s="140"/>
      <c r="E3413" s="17"/>
      <c r="F3413" s="202"/>
      <c r="G3413" s="142"/>
      <c r="H3413" s="142"/>
      <c r="I3413" s="143"/>
      <c r="J3413" s="144"/>
      <c r="K3413" s="17"/>
      <c r="L3413" s="17"/>
      <c r="M3413" s="17"/>
      <c r="N3413" s="68"/>
      <c r="O3413" s="68"/>
      <c r="P3413" s="68"/>
      <c r="Q3413" s="149"/>
      <c r="R3413" s="149"/>
      <c r="S3413" s="149"/>
      <c r="T3413" s="149"/>
      <c r="U3413" s="149"/>
      <c r="V3413" s="149"/>
      <c r="W3413" s="149"/>
      <c r="X3413" s="68"/>
      <c r="Y3413" s="68"/>
      <c r="Z3413" s="68"/>
    </row>
    <row r="3414" ht="15.0" customHeight="1">
      <c r="A3414" s="421"/>
      <c r="B3414" s="201"/>
      <c r="C3414" s="17"/>
      <c r="D3414" s="140"/>
      <c r="E3414" s="17"/>
      <c r="F3414" s="202"/>
      <c r="G3414" s="142"/>
      <c r="H3414" s="142"/>
      <c r="I3414" s="143"/>
      <c r="J3414" s="144"/>
      <c r="K3414" s="17"/>
      <c r="L3414" s="17"/>
      <c r="M3414" s="17"/>
      <c r="N3414" s="68"/>
      <c r="O3414" s="68"/>
      <c r="P3414" s="68"/>
      <c r="Q3414" s="149"/>
      <c r="R3414" s="149"/>
      <c r="S3414" s="149"/>
      <c r="T3414" s="149"/>
      <c r="U3414" s="149"/>
      <c r="V3414" s="149"/>
      <c r="W3414" s="149"/>
      <c r="X3414" s="68"/>
      <c r="Y3414" s="68"/>
      <c r="Z3414" s="68"/>
    </row>
    <row r="3415" ht="15.0" customHeight="1">
      <c r="A3415" s="421"/>
      <c r="B3415" s="201"/>
      <c r="C3415" s="17"/>
      <c r="D3415" s="140"/>
      <c r="E3415" s="17"/>
      <c r="F3415" s="202"/>
      <c r="G3415" s="142"/>
      <c r="H3415" s="142"/>
      <c r="I3415" s="143"/>
      <c r="J3415" s="144"/>
      <c r="K3415" s="17"/>
      <c r="L3415" s="17"/>
      <c r="M3415" s="17"/>
      <c r="N3415" s="68"/>
      <c r="O3415" s="68"/>
      <c r="P3415" s="68"/>
      <c r="Q3415" s="149"/>
      <c r="R3415" s="149"/>
      <c r="S3415" s="149"/>
      <c r="T3415" s="149"/>
      <c r="U3415" s="149"/>
      <c r="V3415" s="149"/>
      <c r="W3415" s="149"/>
      <c r="X3415" s="68"/>
      <c r="Y3415" s="68"/>
      <c r="Z3415" s="68"/>
    </row>
    <row r="3416" ht="15.0" customHeight="1">
      <c r="A3416" s="421"/>
      <c r="B3416" s="201"/>
      <c r="C3416" s="17"/>
      <c r="D3416" s="140"/>
      <c r="E3416" s="17"/>
      <c r="F3416" s="202"/>
      <c r="G3416" s="142"/>
      <c r="H3416" s="142"/>
      <c r="I3416" s="143"/>
      <c r="J3416" s="144"/>
      <c r="K3416" s="17"/>
      <c r="L3416" s="17"/>
      <c r="M3416" s="17"/>
      <c r="N3416" s="68"/>
      <c r="O3416" s="68"/>
      <c r="P3416" s="68"/>
      <c r="Q3416" s="149"/>
      <c r="R3416" s="149"/>
      <c r="S3416" s="149"/>
      <c r="T3416" s="149"/>
      <c r="U3416" s="149"/>
      <c r="V3416" s="149"/>
      <c r="W3416" s="149"/>
      <c r="X3416" s="68"/>
      <c r="Y3416" s="68"/>
      <c r="Z3416" s="68"/>
    </row>
    <row r="3417" ht="15.0" customHeight="1">
      <c r="A3417" s="421"/>
      <c r="B3417" s="201"/>
      <c r="C3417" s="17"/>
      <c r="D3417" s="140"/>
      <c r="E3417" s="17"/>
      <c r="F3417" s="202"/>
      <c r="G3417" s="142"/>
      <c r="H3417" s="142"/>
      <c r="I3417" s="143"/>
      <c r="J3417" s="144"/>
      <c r="K3417" s="17"/>
      <c r="L3417" s="17"/>
      <c r="M3417" s="17"/>
      <c r="N3417" s="68"/>
      <c r="O3417" s="68"/>
      <c r="P3417" s="68"/>
      <c r="Q3417" s="149"/>
      <c r="R3417" s="149"/>
      <c r="S3417" s="149"/>
      <c r="T3417" s="149"/>
      <c r="U3417" s="149"/>
      <c r="V3417" s="149"/>
      <c r="W3417" s="149"/>
      <c r="X3417" s="68"/>
      <c r="Y3417" s="68"/>
      <c r="Z3417" s="68"/>
    </row>
    <row r="3418" ht="15.0" customHeight="1">
      <c r="A3418" s="421"/>
      <c r="B3418" s="201"/>
      <c r="C3418" s="17"/>
      <c r="D3418" s="140"/>
      <c r="E3418" s="17"/>
      <c r="F3418" s="202"/>
      <c r="G3418" s="142"/>
      <c r="H3418" s="142"/>
      <c r="I3418" s="143"/>
      <c r="J3418" s="144"/>
      <c r="K3418" s="17"/>
      <c r="L3418" s="17"/>
      <c r="M3418" s="17"/>
      <c r="N3418" s="68"/>
      <c r="O3418" s="68"/>
      <c r="P3418" s="68"/>
      <c r="Q3418" s="149"/>
      <c r="R3418" s="149"/>
      <c r="S3418" s="149"/>
      <c r="T3418" s="149"/>
      <c r="U3418" s="149"/>
      <c r="V3418" s="149"/>
      <c r="W3418" s="149"/>
      <c r="X3418" s="68"/>
      <c r="Y3418" s="68"/>
      <c r="Z3418" s="68"/>
    </row>
    <row r="3419" ht="15.0" customHeight="1">
      <c r="A3419" s="421"/>
      <c r="B3419" s="201"/>
      <c r="C3419" s="17"/>
      <c r="D3419" s="140"/>
      <c r="E3419" s="17"/>
      <c r="F3419" s="202"/>
      <c r="G3419" s="142"/>
      <c r="H3419" s="142"/>
      <c r="I3419" s="143"/>
      <c r="J3419" s="144"/>
      <c r="K3419" s="17"/>
      <c r="L3419" s="17"/>
      <c r="M3419" s="17"/>
      <c r="N3419" s="68"/>
      <c r="O3419" s="68"/>
      <c r="P3419" s="68"/>
      <c r="Q3419" s="149"/>
      <c r="R3419" s="149"/>
      <c r="S3419" s="149"/>
      <c r="T3419" s="149"/>
      <c r="U3419" s="149"/>
      <c r="V3419" s="149"/>
      <c r="W3419" s="149"/>
      <c r="X3419" s="68"/>
      <c r="Y3419" s="68"/>
      <c r="Z3419" s="68"/>
    </row>
    <row r="3420" ht="15.0" customHeight="1">
      <c r="A3420" s="421"/>
      <c r="B3420" s="201"/>
      <c r="C3420" s="17"/>
      <c r="D3420" s="140"/>
      <c r="E3420" s="17"/>
      <c r="F3420" s="202"/>
      <c r="G3420" s="142"/>
      <c r="H3420" s="142"/>
      <c r="I3420" s="143"/>
      <c r="J3420" s="144"/>
      <c r="K3420" s="17"/>
      <c r="L3420" s="17"/>
      <c r="M3420" s="17"/>
      <c r="N3420" s="68"/>
      <c r="O3420" s="68"/>
      <c r="P3420" s="68"/>
      <c r="Q3420" s="149"/>
      <c r="R3420" s="149"/>
      <c r="S3420" s="149"/>
      <c r="T3420" s="149"/>
      <c r="U3420" s="149"/>
      <c r="V3420" s="149"/>
      <c r="W3420" s="149"/>
      <c r="X3420" s="68"/>
      <c r="Y3420" s="68"/>
      <c r="Z3420" s="68"/>
    </row>
    <row r="3421" ht="15.0" customHeight="1">
      <c r="A3421" s="421"/>
      <c r="B3421" s="201"/>
      <c r="C3421" s="17"/>
      <c r="D3421" s="140"/>
      <c r="E3421" s="17"/>
      <c r="F3421" s="202"/>
      <c r="G3421" s="142"/>
      <c r="H3421" s="142"/>
      <c r="I3421" s="143"/>
      <c r="J3421" s="144"/>
      <c r="K3421" s="17"/>
      <c r="L3421" s="17"/>
      <c r="M3421" s="17"/>
      <c r="N3421" s="68"/>
      <c r="O3421" s="68"/>
      <c r="P3421" s="68"/>
      <c r="Q3421" s="149"/>
      <c r="R3421" s="149"/>
      <c r="S3421" s="149"/>
      <c r="T3421" s="149"/>
      <c r="U3421" s="149"/>
      <c r="V3421" s="149"/>
      <c r="W3421" s="149"/>
      <c r="X3421" s="68"/>
      <c r="Y3421" s="68"/>
      <c r="Z3421" s="68"/>
    </row>
    <row r="3422" ht="15.0" customHeight="1">
      <c r="A3422" s="421"/>
      <c r="B3422" s="201"/>
      <c r="C3422" s="17"/>
      <c r="D3422" s="140"/>
      <c r="E3422" s="17"/>
      <c r="F3422" s="202"/>
      <c r="G3422" s="142"/>
      <c r="H3422" s="142"/>
      <c r="I3422" s="143"/>
      <c r="J3422" s="144"/>
      <c r="K3422" s="17"/>
      <c r="L3422" s="17"/>
      <c r="M3422" s="17"/>
      <c r="N3422" s="68"/>
      <c r="O3422" s="68"/>
      <c r="P3422" s="68"/>
      <c r="Q3422" s="149"/>
      <c r="R3422" s="149"/>
      <c r="S3422" s="149"/>
      <c r="T3422" s="149"/>
      <c r="U3422" s="149"/>
      <c r="V3422" s="149"/>
      <c r="W3422" s="149"/>
      <c r="X3422" s="68"/>
      <c r="Y3422" s="68"/>
      <c r="Z3422" s="68"/>
    </row>
    <row r="3423" ht="15.0" customHeight="1">
      <c r="A3423" s="421"/>
      <c r="B3423" s="201"/>
      <c r="C3423" s="17"/>
      <c r="D3423" s="140"/>
      <c r="E3423" s="17"/>
      <c r="F3423" s="202"/>
      <c r="G3423" s="142"/>
      <c r="H3423" s="142"/>
      <c r="I3423" s="143"/>
      <c r="J3423" s="144"/>
      <c r="K3423" s="17"/>
      <c r="L3423" s="17"/>
      <c r="M3423" s="17"/>
      <c r="N3423" s="68"/>
      <c r="O3423" s="68"/>
      <c r="P3423" s="68"/>
      <c r="Q3423" s="149"/>
      <c r="R3423" s="149"/>
      <c r="S3423" s="149"/>
      <c r="T3423" s="149"/>
      <c r="U3423" s="149"/>
      <c r="V3423" s="149"/>
      <c r="W3423" s="149"/>
      <c r="X3423" s="68"/>
      <c r="Y3423" s="68"/>
      <c r="Z3423" s="68"/>
    </row>
    <row r="3424" ht="15.0" customHeight="1">
      <c r="A3424" s="421"/>
      <c r="B3424" s="201"/>
      <c r="C3424" s="17"/>
      <c r="D3424" s="140"/>
      <c r="E3424" s="17"/>
      <c r="F3424" s="202"/>
      <c r="G3424" s="142"/>
      <c r="H3424" s="142"/>
      <c r="I3424" s="143"/>
      <c r="J3424" s="144"/>
      <c r="K3424" s="17"/>
      <c r="L3424" s="17"/>
      <c r="M3424" s="17"/>
      <c r="N3424" s="68"/>
      <c r="O3424" s="68"/>
      <c r="P3424" s="68"/>
      <c r="Q3424" s="149"/>
      <c r="R3424" s="149"/>
      <c r="S3424" s="149"/>
      <c r="T3424" s="149"/>
      <c r="U3424" s="149"/>
      <c r="V3424" s="149"/>
      <c r="W3424" s="149"/>
      <c r="X3424" s="68"/>
      <c r="Y3424" s="68"/>
      <c r="Z3424" s="68"/>
    </row>
    <row r="3425" ht="15.0" customHeight="1">
      <c r="A3425" s="421"/>
      <c r="B3425" s="201"/>
      <c r="C3425" s="17"/>
      <c r="D3425" s="140"/>
      <c r="E3425" s="17"/>
      <c r="F3425" s="202"/>
      <c r="G3425" s="142"/>
      <c r="H3425" s="142"/>
      <c r="I3425" s="143"/>
      <c r="J3425" s="144"/>
      <c r="K3425" s="17"/>
      <c r="L3425" s="17"/>
      <c r="M3425" s="17"/>
      <c r="N3425" s="68"/>
      <c r="O3425" s="68"/>
      <c r="P3425" s="68"/>
      <c r="Q3425" s="149"/>
      <c r="R3425" s="149"/>
      <c r="S3425" s="149"/>
      <c r="T3425" s="149"/>
      <c r="U3425" s="149"/>
      <c r="V3425" s="149"/>
      <c r="W3425" s="149"/>
      <c r="X3425" s="68"/>
      <c r="Y3425" s="68"/>
      <c r="Z3425" s="68"/>
    </row>
    <row r="3426" ht="15.0" customHeight="1">
      <c r="A3426" s="421"/>
      <c r="B3426" s="201"/>
      <c r="C3426" s="17"/>
      <c r="D3426" s="140"/>
      <c r="E3426" s="17"/>
      <c r="F3426" s="202"/>
      <c r="G3426" s="142"/>
      <c r="H3426" s="142"/>
      <c r="I3426" s="143"/>
      <c r="J3426" s="144"/>
      <c r="K3426" s="17"/>
      <c r="L3426" s="17"/>
      <c r="M3426" s="17"/>
      <c r="N3426" s="68"/>
      <c r="O3426" s="68"/>
      <c r="P3426" s="68"/>
      <c r="Q3426" s="149"/>
      <c r="R3426" s="149"/>
      <c r="S3426" s="149"/>
      <c r="T3426" s="149"/>
      <c r="U3426" s="149"/>
      <c r="V3426" s="149"/>
      <c r="W3426" s="149"/>
      <c r="X3426" s="68"/>
      <c r="Y3426" s="68"/>
      <c r="Z3426" s="68"/>
    </row>
    <row r="3427" ht="15.0" customHeight="1">
      <c r="A3427" s="421"/>
      <c r="B3427" s="201"/>
      <c r="C3427" s="17"/>
      <c r="D3427" s="140"/>
      <c r="E3427" s="17"/>
      <c r="F3427" s="202"/>
      <c r="G3427" s="142"/>
      <c r="H3427" s="142"/>
      <c r="I3427" s="143"/>
      <c r="J3427" s="144"/>
      <c r="K3427" s="17"/>
      <c r="L3427" s="17"/>
      <c r="M3427" s="17"/>
      <c r="N3427" s="68"/>
      <c r="O3427" s="68"/>
      <c r="P3427" s="68"/>
      <c r="Q3427" s="149"/>
      <c r="R3427" s="149"/>
      <c r="S3427" s="149"/>
      <c r="T3427" s="149"/>
      <c r="U3427" s="149"/>
      <c r="V3427" s="149"/>
      <c r="W3427" s="149"/>
      <c r="X3427" s="68"/>
      <c r="Y3427" s="68"/>
      <c r="Z3427" s="68"/>
    </row>
    <row r="3428" ht="15.0" customHeight="1">
      <c r="A3428" s="421"/>
      <c r="B3428" s="201"/>
      <c r="C3428" s="17"/>
      <c r="D3428" s="140"/>
      <c r="E3428" s="17"/>
      <c r="F3428" s="202"/>
      <c r="G3428" s="142"/>
      <c r="H3428" s="142"/>
      <c r="I3428" s="143"/>
      <c r="J3428" s="144"/>
      <c r="K3428" s="17"/>
      <c r="L3428" s="17"/>
      <c r="M3428" s="17"/>
      <c r="N3428" s="68"/>
      <c r="O3428" s="68"/>
      <c r="P3428" s="68"/>
      <c r="Q3428" s="149"/>
      <c r="R3428" s="149"/>
      <c r="S3428" s="149"/>
      <c r="T3428" s="149"/>
      <c r="U3428" s="149"/>
      <c r="V3428" s="149"/>
      <c r="W3428" s="149"/>
      <c r="X3428" s="68"/>
      <c r="Y3428" s="68"/>
      <c r="Z3428" s="68"/>
    </row>
    <row r="3429" ht="15.0" customHeight="1">
      <c r="A3429" s="421"/>
      <c r="B3429" s="201"/>
      <c r="C3429" s="17"/>
      <c r="D3429" s="140"/>
      <c r="E3429" s="17"/>
      <c r="F3429" s="202"/>
      <c r="G3429" s="142"/>
      <c r="H3429" s="142"/>
      <c r="I3429" s="143"/>
      <c r="J3429" s="144"/>
      <c r="K3429" s="17"/>
      <c r="L3429" s="17"/>
      <c r="M3429" s="17"/>
      <c r="N3429" s="68"/>
      <c r="O3429" s="68"/>
      <c r="P3429" s="68"/>
      <c r="Q3429" s="149"/>
      <c r="R3429" s="149"/>
      <c r="S3429" s="149"/>
      <c r="T3429" s="149"/>
      <c r="U3429" s="149"/>
      <c r="V3429" s="149"/>
      <c r="W3429" s="149"/>
      <c r="X3429" s="68"/>
      <c r="Y3429" s="68"/>
      <c r="Z3429" s="68"/>
    </row>
    <row r="3430" ht="15.0" customHeight="1">
      <c r="A3430" s="421"/>
      <c r="B3430" s="201"/>
      <c r="C3430" s="17"/>
      <c r="D3430" s="140"/>
      <c r="E3430" s="17"/>
      <c r="F3430" s="202"/>
      <c r="G3430" s="142"/>
      <c r="H3430" s="142"/>
      <c r="I3430" s="143"/>
      <c r="J3430" s="144"/>
      <c r="K3430" s="17"/>
      <c r="L3430" s="17"/>
      <c r="M3430" s="17"/>
      <c r="N3430" s="68"/>
      <c r="O3430" s="68"/>
      <c r="P3430" s="68"/>
      <c r="Q3430" s="149"/>
      <c r="R3430" s="149"/>
      <c r="S3430" s="149"/>
      <c r="T3430" s="149"/>
      <c r="U3430" s="149"/>
      <c r="V3430" s="149"/>
      <c r="W3430" s="149"/>
      <c r="X3430" s="68"/>
      <c r="Y3430" s="68"/>
      <c r="Z3430" s="68"/>
    </row>
    <row r="3431" ht="15.0" customHeight="1">
      <c r="A3431" s="421"/>
      <c r="B3431" s="201"/>
      <c r="C3431" s="17"/>
      <c r="D3431" s="140"/>
      <c r="E3431" s="17"/>
      <c r="F3431" s="202"/>
      <c r="G3431" s="142"/>
      <c r="H3431" s="142"/>
      <c r="I3431" s="143"/>
      <c r="J3431" s="144"/>
      <c r="K3431" s="17"/>
      <c r="L3431" s="17"/>
      <c r="M3431" s="17"/>
      <c r="N3431" s="68"/>
      <c r="O3431" s="68"/>
      <c r="P3431" s="68"/>
      <c r="Q3431" s="149"/>
      <c r="R3431" s="149"/>
      <c r="S3431" s="149"/>
      <c r="T3431" s="149"/>
      <c r="U3431" s="149"/>
      <c r="V3431" s="149"/>
      <c r="W3431" s="149"/>
      <c r="X3431" s="68"/>
      <c r="Y3431" s="68"/>
      <c r="Z3431" s="68"/>
    </row>
    <row r="3432" ht="15.0" customHeight="1">
      <c r="A3432" s="421"/>
      <c r="B3432" s="201"/>
      <c r="C3432" s="17"/>
      <c r="D3432" s="140"/>
      <c r="E3432" s="17"/>
      <c r="F3432" s="202"/>
      <c r="G3432" s="142"/>
      <c r="H3432" s="142"/>
      <c r="I3432" s="143"/>
      <c r="J3432" s="144"/>
      <c r="K3432" s="17"/>
      <c r="L3432" s="17"/>
      <c r="M3432" s="17"/>
      <c r="N3432" s="68"/>
      <c r="O3432" s="68"/>
      <c r="P3432" s="68"/>
      <c r="Q3432" s="149"/>
      <c r="R3432" s="149"/>
      <c r="S3432" s="149"/>
      <c r="T3432" s="149"/>
      <c r="U3432" s="149"/>
      <c r="V3432" s="149"/>
      <c r="W3432" s="149"/>
      <c r="X3432" s="68"/>
      <c r="Y3432" s="68"/>
      <c r="Z3432" s="68"/>
    </row>
    <row r="3433" ht="15.0" customHeight="1">
      <c r="A3433" s="421"/>
      <c r="B3433" s="201"/>
      <c r="C3433" s="17"/>
      <c r="D3433" s="140"/>
      <c r="E3433" s="17"/>
      <c r="F3433" s="202"/>
      <c r="G3433" s="142"/>
      <c r="H3433" s="142"/>
      <c r="I3433" s="143"/>
      <c r="J3433" s="144"/>
      <c r="K3433" s="17"/>
      <c r="L3433" s="17"/>
      <c r="M3433" s="17"/>
      <c r="N3433" s="68"/>
      <c r="O3433" s="68"/>
      <c r="P3433" s="68"/>
      <c r="Q3433" s="149"/>
      <c r="R3433" s="149"/>
      <c r="S3433" s="149"/>
      <c r="T3433" s="149"/>
      <c r="U3433" s="149"/>
      <c r="V3433" s="149"/>
      <c r="W3433" s="149"/>
      <c r="X3433" s="68"/>
      <c r="Y3433" s="68"/>
      <c r="Z3433" s="68"/>
    </row>
    <row r="3434" ht="15.0" customHeight="1">
      <c r="A3434" s="421"/>
      <c r="B3434" s="201"/>
      <c r="C3434" s="17"/>
      <c r="D3434" s="140"/>
      <c r="E3434" s="17"/>
      <c r="F3434" s="202"/>
      <c r="G3434" s="142"/>
      <c r="H3434" s="142"/>
      <c r="I3434" s="143"/>
      <c r="J3434" s="144"/>
      <c r="K3434" s="17"/>
      <c r="L3434" s="17"/>
      <c r="M3434" s="17"/>
      <c r="N3434" s="68"/>
      <c r="O3434" s="68"/>
      <c r="P3434" s="68"/>
      <c r="Q3434" s="149"/>
      <c r="R3434" s="149"/>
      <c r="S3434" s="149"/>
      <c r="T3434" s="149"/>
      <c r="U3434" s="149"/>
      <c r="V3434" s="149"/>
      <c r="W3434" s="149"/>
      <c r="X3434" s="68"/>
      <c r="Y3434" s="68"/>
      <c r="Z3434" s="68"/>
    </row>
    <row r="3435" ht="15.0" customHeight="1">
      <c r="A3435" s="421"/>
      <c r="B3435" s="201"/>
      <c r="C3435" s="17"/>
      <c r="D3435" s="140"/>
      <c r="E3435" s="17"/>
      <c r="F3435" s="202"/>
      <c r="G3435" s="142"/>
      <c r="H3435" s="142"/>
      <c r="I3435" s="143"/>
      <c r="J3435" s="144"/>
      <c r="K3435" s="17"/>
      <c r="L3435" s="17"/>
      <c r="M3435" s="17"/>
      <c r="N3435" s="68"/>
      <c r="O3435" s="68"/>
      <c r="P3435" s="68"/>
      <c r="Q3435" s="149"/>
      <c r="R3435" s="149"/>
      <c r="S3435" s="149"/>
      <c r="T3435" s="149"/>
      <c r="U3435" s="149"/>
      <c r="V3435" s="149"/>
      <c r="W3435" s="149"/>
      <c r="X3435" s="68"/>
      <c r="Y3435" s="68"/>
      <c r="Z3435" s="68"/>
    </row>
    <row r="3436" ht="15.0" customHeight="1">
      <c r="A3436" s="421"/>
      <c r="B3436" s="201"/>
      <c r="C3436" s="17"/>
      <c r="D3436" s="140"/>
      <c r="E3436" s="17"/>
      <c r="F3436" s="202"/>
      <c r="G3436" s="142"/>
      <c r="H3436" s="142"/>
      <c r="I3436" s="143"/>
      <c r="J3436" s="144"/>
      <c r="K3436" s="17"/>
      <c r="L3436" s="17"/>
      <c r="M3436" s="17"/>
      <c r="N3436" s="68"/>
      <c r="O3436" s="68"/>
      <c r="P3436" s="68"/>
      <c r="Q3436" s="149"/>
      <c r="R3436" s="149"/>
      <c r="S3436" s="149"/>
      <c r="T3436" s="149"/>
      <c r="U3436" s="149"/>
      <c r="V3436" s="149"/>
      <c r="W3436" s="149"/>
      <c r="X3436" s="68"/>
      <c r="Y3436" s="68"/>
      <c r="Z3436" s="68"/>
    </row>
    <row r="3437" ht="15.0" customHeight="1">
      <c r="A3437" s="421"/>
      <c r="B3437" s="201"/>
      <c r="C3437" s="17"/>
      <c r="D3437" s="140"/>
      <c r="E3437" s="17"/>
      <c r="F3437" s="202"/>
      <c r="G3437" s="142"/>
      <c r="H3437" s="142"/>
      <c r="I3437" s="143"/>
      <c r="J3437" s="144"/>
      <c r="K3437" s="17"/>
      <c r="L3437" s="17"/>
      <c r="M3437" s="17"/>
      <c r="N3437" s="68"/>
      <c r="O3437" s="68"/>
      <c r="P3437" s="68"/>
      <c r="Q3437" s="149"/>
      <c r="R3437" s="149"/>
      <c r="S3437" s="149"/>
      <c r="T3437" s="149"/>
      <c r="U3437" s="149"/>
      <c r="V3437" s="149"/>
      <c r="W3437" s="149"/>
      <c r="X3437" s="68"/>
      <c r="Y3437" s="68"/>
      <c r="Z3437" s="68"/>
    </row>
    <row r="3438" ht="15.0" customHeight="1">
      <c r="A3438" s="421"/>
      <c r="B3438" s="201"/>
      <c r="C3438" s="17"/>
      <c r="D3438" s="140"/>
      <c r="E3438" s="17"/>
      <c r="F3438" s="202"/>
      <c r="G3438" s="142"/>
      <c r="H3438" s="142"/>
      <c r="I3438" s="143"/>
      <c r="J3438" s="144"/>
      <c r="K3438" s="17"/>
      <c r="L3438" s="17"/>
      <c r="M3438" s="17"/>
      <c r="N3438" s="68"/>
      <c r="O3438" s="68"/>
      <c r="P3438" s="68"/>
      <c r="Q3438" s="149"/>
      <c r="R3438" s="149"/>
      <c r="S3438" s="149"/>
      <c r="T3438" s="149"/>
      <c r="U3438" s="149"/>
      <c r="V3438" s="149"/>
      <c r="W3438" s="149"/>
      <c r="X3438" s="68"/>
      <c r="Y3438" s="68"/>
      <c r="Z3438" s="68"/>
    </row>
    <row r="3439" ht="15.0" customHeight="1">
      <c r="A3439" s="421"/>
      <c r="B3439" s="201"/>
      <c r="C3439" s="17"/>
      <c r="D3439" s="140"/>
      <c r="E3439" s="17"/>
      <c r="F3439" s="202"/>
      <c r="G3439" s="142"/>
      <c r="H3439" s="142"/>
      <c r="I3439" s="143"/>
      <c r="J3439" s="144"/>
      <c r="K3439" s="17"/>
      <c r="L3439" s="17"/>
      <c r="M3439" s="17"/>
      <c r="N3439" s="68"/>
      <c r="O3439" s="68"/>
      <c r="P3439" s="68"/>
      <c r="Q3439" s="149"/>
      <c r="R3439" s="149"/>
      <c r="S3439" s="149"/>
      <c r="T3439" s="149"/>
      <c r="U3439" s="149"/>
      <c r="V3439" s="149"/>
      <c r="W3439" s="149"/>
      <c r="X3439" s="68"/>
      <c r="Y3439" s="68"/>
      <c r="Z3439" s="68"/>
    </row>
    <row r="3440" ht="15.0" customHeight="1">
      <c r="A3440" s="421"/>
      <c r="B3440" s="201"/>
      <c r="C3440" s="17"/>
      <c r="D3440" s="140"/>
      <c r="E3440" s="17"/>
      <c r="F3440" s="202"/>
      <c r="G3440" s="142"/>
      <c r="H3440" s="142"/>
      <c r="I3440" s="143"/>
      <c r="J3440" s="144"/>
      <c r="K3440" s="17"/>
      <c r="L3440" s="17"/>
      <c r="M3440" s="17"/>
      <c r="N3440" s="68"/>
      <c r="O3440" s="68"/>
      <c r="P3440" s="68"/>
      <c r="Q3440" s="149"/>
      <c r="R3440" s="149"/>
      <c r="S3440" s="149"/>
      <c r="T3440" s="149"/>
      <c r="U3440" s="149"/>
      <c r="V3440" s="149"/>
      <c r="W3440" s="149"/>
      <c r="X3440" s="68"/>
      <c r="Y3440" s="68"/>
      <c r="Z3440" s="68"/>
    </row>
    <row r="3441" ht="15.0" customHeight="1">
      <c r="A3441" s="421"/>
      <c r="B3441" s="201"/>
      <c r="C3441" s="17"/>
      <c r="D3441" s="140"/>
      <c r="E3441" s="17"/>
      <c r="F3441" s="202"/>
      <c r="G3441" s="142"/>
      <c r="H3441" s="142"/>
      <c r="I3441" s="143"/>
      <c r="J3441" s="144"/>
      <c r="K3441" s="17"/>
      <c r="L3441" s="17"/>
      <c r="M3441" s="17"/>
      <c r="N3441" s="68"/>
      <c r="O3441" s="68"/>
      <c r="P3441" s="68"/>
      <c r="Q3441" s="149"/>
      <c r="R3441" s="149"/>
      <c r="S3441" s="149"/>
      <c r="T3441" s="149"/>
      <c r="U3441" s="149"/>
      <c r="V3441" s="149"/>
      <c r="W3441" s="149"/>
      <c r="X3441" s="68"/>
      <c r="Y3441" s="68"/>
      <c r="Z3441" s="68"/>
    </row>
    <row r="3442" ht="15.0" customHeight="1">
      <c r="A3442" s="421"/>
      <c r="B3442" s="201"/>
      <c r="C3442" s="17"/>
      <c r="D3442" s="140"/>
      <c r="E3442" s="17"/>
      <c r="F3442" s="202"/>
      <c r="G3442" s="142"/>
      <c r="H3442" s="142"/>
      <c r="I3442" s="143"/>
      <c r="J3442" s="144"/>
      <c r="K3442" s="17"/>
      <c r="L3442" s="17"/>
      <c r="M3442" s="17"/>
      <c r="N3442" s="68"/>
      <c r="O3442" s="68"/>
      <c r="P3442" s="68"/>
      <c r="Q3442" s="149"/>
      <c r="R3442" s="149"/>
      <c r="S3442" s="149"/>
      <c r="T3442" s="149"/>
      <c r="U3442" s="149"/>
      <c r="V3442" s="149"/>
      <c r="W3442" s="149"/>
      <c r="X3442" s="68"/>
      <c r="Y3442" s="68"/>
      <c r="Z3442" s="68"/>
    </row>
    <row r="3443" ht="15.0" customHeight="1">
      <c r="A3443" s="421"/>
      <c r="B3443" s="201"/>
      <c r="C3443" s="17"/>
      <c r="D3443" s="140"/>
      <c r="E3443" s="17"/>
      <c r="F3443" s="202"/>
      <c r="G3443" s="142"/>
      <c r="H3443" s="142"/>
      <c r="I3443" s="143"/>
      <c r="J3443" s="144"/>
      <c r="K3443" s="17"/>
      <c r="L3443" s="17"/>
      <c r="M3443" s="17"/>
      <c r="N3443" s="68"/>
      <c r="O3443" s="68"/>
      <c r="P3443" s="68"/>
      <c r="Q3443" s="149"/>
      <c r="R3443" s="149"/>
      <c r="S3443" s="149"/>
      <c r="T3443" s="149"/>
      <c r="U3443" s="149"/>
      <c r="V3443" s="149"/>
      <c r="W3443" s="149"/>
      <c r="X3443" s="68"/>
      <c r="Y3443" s="68"/>
      <c r="Z3443" s="68"/>
    </row>
    <row r="3444" ht="15.0" customHeight="1">
      <c r="A3444" s="421"/>
      <c r="B3444" s="201"/>
      <c r="C3444" s="17"/>
      <c r="D3444" s="140"/>
      <c r="E3444" s="17"/>
      <c r="F3444" s="202"/>
      <c r="G3444" s="142"/>
      <c r="H3444" s="142"/>
      <c r="I3444" s="143"/>
      <c r="J3444" s="144"/>
      <c r="K3444" s="17"/>
      <c r="L3444" s="17"/>
      <c r="M3444" s="17"/>
      <c r="N3444" s="68"/>
      <c r="O3444" s="68"/>
      <c r="P3444" s="68"/>
      <c r="Q3444" s="149"/>
      <c r="R3444" s="149"/>
      <c r="S3444" s="149"/>
      <c r="T3444" s="149"/>
      <c r="U3444" s="149"/>
      <c r="V3444" s="149"/>
      <c r="W3444" s="149"/>
      <c r="X3444" s="68"/>
      <c r="Y3444" s="68"/>
      <c r="Z3444" s="68"/>
    </row>
    <row r="3445" ht="15.0" customHeight="1">
      <c r="A3445" s="421"/>
      <c r="B3445" s="201"/>
      <c r="C3445" s="17"/>
      <c r="D3445" s="140"/>
      <c r="E3445" s="17"/>
      <c r="F3445" s="202"/>
      <c r="G3445" s="142"/>
      <c r="H3445" s="142"/>
      <c r="I3445" s="143"/>
      <c r="J3445" s="144"/>
      <c r="K3445" s="17"/>
      <c r="L3445" s="17"/>
      <c r="M3445" s="17"/>
      <c r="N3445" s="68"/>
      <c r="O3445" s="68"/>
      <c r="P3445" s="68"/>
      <c r="Q3445" s="149"/>
      <c r="R3445" s="149"/>
      <c r="S3445" s="149"/>
      <c r="T3445" s="149"/>
      <c r="U3445" s="149"/>
      <c r="V3445" s="149"/>
      <c r="W3445" s="149"/>
      <c r="X3445" s="68"/>
      <c r="Y3445" s="68"/>
      <c r="Z3445" s="68"/>
    </row>
    <row r="3446" ht="15.0" customHeight="1">
      <c r="A3446" s="421"/>
      <c r="B3446" s="201"/>
      <c r="C3446" s="17"/>
      <c r="D3446" s="140"/>
      <c r="E3446" s="17"/>
      <c r="F3446" s="202"/>
      <c r="G3446" s="142"/>
      <c r="H3446" s="142"/>
      <c r="I3446" s="143"/>
      <c r="J3446" s="144"/>
      <c r="K3446" s="17"/>
      <c r="L3446" s="17"/>
      <c r="M3446" s="17"/>
      <c r="N3446" s="68"/>
      <c r="O3446" s="68"/>
      <c r="P3446" s="68"/>
      <c r="Q3446" s="149"/>
      <c r="R3446" s="149"/>
      <c r="S3446" s="149"/>
      <c r="T3446" s="149"/>
      <c r="U3446" s="149"/>
      <c r="V3446" s="149"/>
      <c r="W3446" s="149"/>
      <c r="X3446" s="68"/>
      <c r="Y3446" s="68"/>
      <c r="Z3446" s="68"/>
    </row>
    <row r="3447" ht="15.0" customHeight="1">
      <c r="A3447" s="421"/>
      <c r="B3447" s="201"/>
      <c r="C3447" s="17"/>
      <c r="D3447" s="140"/>
      <c r="E3447" s="17"/>
      <c r="F3447" s="202"/>
      <c r="G3447" s="142"/>
      <c r="H3447" s="142"/>
      <c r="I3447" s="143"/>
      <c r="J3447" s="144"/>
      <c r="K3447" s="17"/>
      <c r="L3447" s="17"/>
      <c r="M3447" s="17"/>
      <c r="N3447" s="68"/>
      <c r="O3447" s="68"/>
      <c r="P3447" s="68"/>
      <c r="Q3447" s="149"/>
      <c r="R3447" s="149"/>
      <c r="S3447" s="149"/>
      <c r="T3447" s="149"/>
      <c r="U3447" s="149"/>
      <c r="V3447" s="149"/>
      <c r="W3447" s="149"/>
      <c r="X3447" s="68"/>
      <c r="Y3447" s="68"/>
      <c r="Z3447" s="68"/>
    </row>
    <row r="3448" ht="15.0" customHeight="1">
      <c r="A3448" s="421"/>
      <c r="B3448" s="201"/>
      <c r="C3448" s="17"/>
      <c r="D3448" s="140"/>
      <c r="E3448" s="17"/>
      <c r="F3448" s="202"/>
      <c r="G3448" s="142"/>
      <c r="H3448" s="142"/>
      <c r="I3448" s="143"/>
      <c r="J3448" s="144"/>
      <c r="K3448" s="17"/>
      <c r="L3448" s="17"/>
      <c r="M3448" s="17"/>
      <c r="N3448" s="68"/>
      <c r="O3448" s="68"/>
      <c r="P3448" s="68"/>
      <c r="Q3448" s="149"/>
      <c r="R3448" s="149"/>
      <c r="S3448" s="149"/>
      <c r="T3448" s="149"/>
      <c r="U3448" s="149"/>
      <c r="V3448" s="149"/>
      <c r="W3448" s="149"/>
      <c r="X3448" s="68"/>
      <c r="Y3448" s="68"/>
      <c r="Z3448" s="68"/>
    </row>
    <row r="3449" ht="15.0" customHeight="1">
      <c r="A3449" s="421"/>
      <c r="B3449" s="201"/>
      <c r="C3449" s="17"/>
      <c r="D3449" s="140"/>
      <c r="E3449" s="17"/>
      <c r="F3449" s="202"/>
      <c r="G3449" s="142"/>
      <c r="H3449" s="142"/>
      <c r="I3449" s="143"/>
      <c r="J3449" s="144"/>
      <c r="K3449" s="17"/>
      <c r="L3449" s="17"/>
      <c r="M3449" s="17"/>
      <c r="N3449" s="68"/>
      <c r="O3449" s="68"/>
      <c r="P3449" s="68"/>
      <c r="Q3449" s="149"/>
      <c r="R3449" s="149"/>
      <c r="S3449" s="149"/>
      <c r="T3449" s="149"/>
      <c r="U3449" s="149"/>
      <c r="V3449" s="149"/>
      <c r="W3449" s="149"/>
      <c r="X3449" s="68"/>
      <c r="Y3449" s="68"/>
      <c r="Z3449" s="68"/>
    </row>
    <row r="3450" ht="15.0" customHeight="1">
      <c r="A3450" s="421"/>
      <c r="B3450" s="201"/>
      <c r="C3450" s="17"/>
      <c r="D3450" s="140"/>
      <c r="E3450" s="17"/>
      <c r="F3450" s="202"/>
      <c r="G3450" s="142"/>
      <c r="H3450" s="142"/>
      <c r="I3450" s="143"/>
      <c r="J3450" s="144"/>
      <c r="K3450" s="17"/>
      <c r="L3450" s="17"/>
      <c r="M3450" s="17"/>
      <c r="N3450" s="68"/>
      <c r="O3450" s="68"/>
      <c r="P3450" s="68"/>
      <c r="Q3450" s="149"/>
      <c r="R3450" s="149"/>
      <c r="S3450" s="149"/>
      <c r="T3450" s="149"/>
      <c r="U3450" s="149"/>
      <c r="V3450" s="149"/>
      <c r="W3450" s="149"/>
      <c r="X3450" s="68"/>
      <c r="Y3450" s="68"/>
      <c r="Z3450" s="68"/>
    </row>
    <row r="3451" ht="15.0" customHeight="1">
      <c r="A3451" s="421"/>
      <c r="B3451" s="201"/>
      <c r="C3451" s="17"/>
      <c r="D3451" s="140"/>
      <c r="E3451" s="17"/>
      <c r="F3451" s="202"/>
      <c r="G3451" s="142"/>
      <c r="H3451" s="142"/>
      <c r="I3451" s="143"/>
      <c r="J3451" s="144"/>
      <c r="K3451" s="17"/>
      <c r="L3451" s="17"/>
      <c r="M3451" s="17"/>
      <c r="N3451" s="68"/>
      <c r="O3451" s="68"/>
      <c r="P3451" s="68"/>
      <c r="Q3451" s="149"/>
      <c r="R3451" s="149"/>
      <c r="S3451" s="149"/>
      <c r="T3451" s="149"/>
      <c r="U3451" s="149"/>
      <c r="V3451" s="149"/>
      <c r="W3451" s="149"/>
      <c r="X3451" s="68"/>
      <c r="Y3451" s="68"/>
      <c r="Z3451" s="68"/>
    </row>
    <row r="3452" ht="15.0" customHeight="1">
      <c r="A3452" s="421"/>
      <c r="B3452" s="201"/>
      <c r="C3452" s="17"/>
      <c r="D3452" s="140"/>
      <c r="E3452" s="17"/>
      <c r="F3452" s="202"/>
      <c r="G3452" s="142"/>
      <c r="H3452" s="142"/>
      <c r="I3452" s="143"/>
      <c r="J3452" s="144"/>
      <c r="K3452" s="17"/>
      <c r="L3452" s="17"/>
      <c r="M3452" s="17"/>
      <c r="N3452" s="68"/>
      <c r="O3452" s="68"/>
      <c r="P3452" s="68"/>
      <c r="Q3452" s="149"/>
      <c r="R3452" s="149"/>
      <c r="S3452" s="149"/>
      <c r="T3452" s="149"/>
      <c r="U3452" s="149"/>
      <c r="V3452" s="149"/>
      <c r="W3452" s="149"/>
      <c r="X3452" s="68"/>
      <c r="Y3452" s="68"/>
      <c r="Z3452" s="68"/>
    </row>
    <row r="3453" ht="15.0" customHeight="1">
      <c r="A3453" s="421"/>
      <c r="B3453" s="201"/>
      <c r="C3453" s="17"/>
      <c r="D3453" s="140"/>
      <c r="E3453" s="17"/>
      <c r="F3453" s="202"/>
      <c r="G3453" s="142"/>
      <c r="H3453" s="142"/>
      <c r="I3453" s="143"/>
      <c r="J3453" s="144"/>
      <c r="K3453" s="17"/>
      <c r="L3453" s="17"/>
      <c r="M3453" s="17"/>
      <c r="N3453" s="68"/>
      <c r="O3453" s="68"/>
      <c r="P3453" s="68"/>
      <c r="Q3453" s="149"/>
      <c r="R3453" s="149"/>
      <c r="S3453" s="149"/>
      <c r="T3453" s="149"/>
      <c r="U3453" s="149"/>
      <c r="V3453" s="149"/>
      <c r="W3453" s="149"/>
      <c r="X3453" s="68"/>
      <c r="Y3453" s="68"/>
      <c r="Z3453" s="68"/>
    </row>
    <row r="3454" ht="15.0" customHeight="1">
      <c r="A3454" s="421"/>
      <c r="B3454" s="201"/>
      <c r="C3454" s="17"/>
      <c r="D3454" s="140"/>
      <c r="E3454" s="17"/>
      <c r="F3454" s="202"/>
      <c r="G3454" s="142"/>
      <c r="H3454" s="142"/>
      <c r="I3454" s="143"/>
      <c r="J3454" s="144"/>
      <c r="K3454" s="17"/>
      <c r="L3454" s="17"/>
      <c r="M3454" s="17"/>
      <c r="N3454" s="68"/>
      <c r="O3454" s="68"/>
      <c r="P3454" s="68"/>
      <c r="Q3454" s="149"/>
      <c r="R3454" s="149"/>
      <c r="S3454" s="149"/>
      <c r="T3454" s="149"/>
      <c r="U3454" s="149"/>
      <c r="V3454" s="149"/>
      <c r="W3454" s="149"/>
      <c r="X3454" s="68"/>
      <c r="Y3454" s="68"/>
      <c r="Z3454" s="68"/>
    </row>
    <row r="3455" ht="15.0" customHeight="1">
      <c r="A3455" s="421"/>
      <c r="B3455" s="201"/>
      <c r="C3455" s="17"/>
      <c r="D3455" s="140"/>
      <c r="E3455" s="17"/>
      <c r="F3455" s="202"/>
      <c r="G3455" s="142"/>
      <c r="H3455" s="142"/>
      <c r="I3455" s="143"/>
      <c r="J3455" s="144"/>
      <c r="K3455" s="17"/>
      <c r="L3455" s="17"/>
      <c r="M3455" s="17"/>
      <c r="N3455" s="68"/>
      <c r="O3455" s="68"/>
      <c r="P3455" s="68"/>
      <c r="Q3455" s="149"/>
      <c r="R3455" s="149"/>
      <c r="S3455" s="149"/>
      <c r="T3455" s="149"/>
      <c r="U3455" s="149"/>
      <c r="V3455" s="149"/>
      <c r="W3455" s="149"/>
      <c r="X3455" s="68"/>
      <c r="Y3455" s="68"/>
      <c r="Z3455" s="68"/>
    </row>
    <row r="3456" ht="15.0" customHeight="1">
      <c r="A3456" s="421"/>
      <c r="B3456" s="201"/>
      <c r="C3456" s="17"/>
      <c r="D3456" s="140"/>
      <c r="E3456" s="17"/>
      <c r="F3456" s="202"/>
      <c r="G3456" s="142"/>
      <c r="H3456" s="142"/>
      <c r="I3456" s="143"/>
      <c r="J3456" s="144"/>
      <c r="K3456" s="17"/>
      <c r="L3456" s="17"/>
      <c r="M3456" s="17"/>
      <c r="N3456" s="68"/>
      <c r="O3456" s="68"/>
      <c r="P3456" s="68"/>
      <c r="Q3456" s="149"/>
      <c r="R3456" s="149"/>
      <c r="S3456" s="149"/>
      <c r="T3456" s="149"/>
      <c r="U3456" s="149"/>
      <c r="V3456" s="149"/>
      <c r="W3456" s="149"/>
      <c r="X3456" s="68"/>
      <c r="Y3456" s="68"/>
      <c r="Z3456" s="68"/>
    </row>
    <row r="3457" ht="15.0" customHeight="1">
      <c r="A3457" s="421"/>
      <c r="B3457" s="201"/>
      <c r="C3457" s="17"/>
      <c r="D3457" s="140"/>
      <c r="E3457" s="17"/>
      <c r="F3457" s="202"/>
      <c r="G3457" s="142"/>
      <c r="H3457" s="142"/>
      <c r="I3457" s="143"/>
      <c r="J3457" s="144"/>
      <c r="K3457" s="17"/>
      <c r="L3457" s="17"/>
      <c r="M3457" s="17"/>
      <c r="N3457" s="68"/>
      <c r="O3457" s="68"/>
      <c r="P3457" s="68"/>
      <c r="Q3457" s="149"/>
      <c r="R3457" s="149"/>
      <c r="S3457" s="149"/>
      <c r="T3457" s="149"/>
      <c r="U3457" s="149"/>
      <c r="V3457" s="149"/>
      <c r="W3457" s="149"/>
      <c r="X3457" s="68"/>
      <c r="Y3457" s="68"/>
      <c r="Z3457" s="68"/>
    </row>
    <row r="3458" ht="15.0" customHeight="1">
      <c r="A3458" s="421"/>
      <c r="B3458" s="201"/>
      <c r="C3458" s="17"/>
      <c r="D3458" s="140"/>
      <c r="E3458" s="17"/>
      <c r="F3458" s="202"/>
      <c r="G3458" s="142"/>
      <c r="H3458" s="142"/>
      <c r="I3458" s="143"/>
      <c r="J3458" s="144"/>
      <c r="K3458" s="17"/>
      <c r="L3458" s="17"/>
      <c r="M3458" s="17"/>
      <c r="N3458" s="68"/>
      <c r="O3458" s="68"/>
      <c r="P3458" s="68"/>
      <c r="Q3458" s="149"/>
      <c r="R3458" s="149"/>
      <c r="S3458" s="149"/>
      <c r="T3458" s="149"/>
      <c r="U3458" s="149"/>
      <c r="V3458" s="149"/>
      <c r="W3458" s="149"/>
      <c r="X3458" s="68"/>
      <c r="Y3458" s="68"/>
      <c r="Z3458" s="68"/>
    </row>
    <row r="3459" ht="15.0" customHeight="1">
      <c r="A3459" s="421"/>
      <c r="B3459" s="201"/>
      <c r="C3459" s="17"/>
      <c r="D3459" s="140"/>
      <c r="E3459" s="17"/>
      <c r="F3459" s="202"/>
      <c r="G3459" s="142"/>
      <c r="H3459" s="142"/>
      <c r="I3459" s="143"/>
      <c r="J3459" s="144"/>
      <c r="K3459" s="17"/>
      <c r="L3459" s="17"/>
      <c r="M3459" s="17"/>
      <c r="N3459" s="68"/>
      <c r="O3459" s="68"/>
      <c r="P3459" s="68"/>
      <c r="Q3459" s="149"/>
      <c r="R3459" s="149"/>
      <c r="S3459" s="149"/>
      <c r="T3459" s="149"/>
      <c r="U3459" s="149"/>
      <c r="V3459" s="149"/>
      <c r="W3459" s="149"/>
      <c r="X3459" s="68"/>
      <c r="Y3459" s="68"/>
      <c r="Z3459" s="68"/>
    </row>
    <row r="3460" ht="15.0" customHeight="1">
      <c r="A3460" s="421"/>
      <c r="B3460" s="201"/>
      <c r="C3460" s="17"/>
      <c r="D3460" s="140"/>
      <c r="E3460" s="17"/>
      <c r="F3460" s="202"/>
      <c r="G3460" s="142"/>
      <c r="H3460" s="142"/>
      <c r="I3460" s="143"/>
      <c r="J3460" s="144"/>
      <c r="K3460" s="17"/>
      <c r="L3460" s="17"/>
      <c r="M3460" s="17"/>
      <c r="N3460" s="68"/>
      <c r="O3460" s="68"/>
      <c r="P3460" s="68"/>
      <c r="Q3460" s="149"/>
      <c r="R3460" s="149"/>
      <c r="S3460" s="149"/>
      <c r="T3460" s="149"/>
      <c r="U3460" s="149"/>
      <c r="V3460" s="149"/>
      <c r="W3460" s="149"/>
      <c r="X3460" s="68"/>
      <c r="Y3460" s="68"/>
      <c r="Z3460" s="68"/>
    </row>
    <row r="3461" ht="15.0" customHeight="1">
      <c r="A3461" s="421"/>
      <c r="B3461" s="201"/>
      <c r="C3461" s="17"/>
      <c r="D3461" s="140"/>
      <c r="E3461" s="17"/>
      <c r="F3461" s="202"/>
      <c r="G3461" s="142"/>
      <c r="H3461" s="142"/>
      <c r="I3461" s="143"/>
      <c r="J3461" s="144"/>
      <c r="K3461" s="17"/>
      <c r="L3461" s="17"/>
      <c r="M3461" s="17"/>
      <c r="N3461" s="68"/>
      <c r="O3461" s="68"/>
      <c r="P3461" s="68"/>
      <c r="Q3461" s="149"/>
      <c r="R3461" s="149"/>
      <c r="S3461" s="149"/>
      <c r="T3461" s="149"/>
      <c r="U3461" s="149"/>
      <c r="V3461" s="149"/>
      <c r="W3461" s="149"/>
      <c r="X3461" s="68"/>
      <c r="Y3461" s="68"/>
      <c r="Z3461" s="68"/>
    </row>
    <row r="3462" ht="15.0" customHeight="1">
      <c r="A3462" s="421"/>
      <c r="B3462" s="201"/>
      <c r="C3462" s="17"/>
      <c r="D3462" s="140"/>
      <c r="E3462" s="17"/>
      <c r="F3462" s="202"/>
      <c r="G3462" s="142"/>
      <c r="H3462" s="142"/>
      <c r="I3462" s="143"/>
      <c r="J3462" s="144"/>
      <c r="K3462" s="17"/>
      <c r="L3462" s="17"/>
      <c r="M3462" s="17"/>
      <c r="N3462" s="68"/>
      <c r="O3462" s="68"/>
      <c r="P3462" s="68"/>
      <c r="Q3462" s="149"/>
      <c r="R3462" s="149"/>
      <c r="S3462" s="149"/>
      <c r="T3462" s="149"/>
      <c r="U3462" s="149"/>
      <c r="V3462" s="149"/>
      <c r="W3462" s="149"/>
      <c r="X3462" s="68"/>
      <c r="Y3462" s="68"/>
      <c r="Z3462" s="68"/>
    </row>
    <row r="3463" ht="15.0" customHeight="1">
      <c r="A3463" s="421"/>
      <c r="B3463" s="201"/>
      <c r="C3463" s="17"/>
      <c r="D3463" s="140"/>
      <c r="E3463" s="17"/>
      <c r="F3463" s="202"/>
      <c r="G3463" s="142"/>
      <c r="H3463" s="142"/>
      <c r="I3463" s="143"/>
      <c r="J3463" s="144"/>
      <c r="K3463" s="17"/>
      <c r="L3463" s="17"/>
      <c r="M3463" s="17"/>
      <c r="N3463" s="68"/>
      <c r="O3463" s="68"/>
      <c r="P3463" s="68"/>
      <c r="Q3463" s="149"/>
      <c r="R3463" s="149"/>
      <c r="S3463" s="149"/>
      <c r="T3463" s="149"/>
      <c r="U3463" s="149"/>
      <c r="V3463" s="149"/>
      <c r="W3463" s="149"/>
      <c r="X3463" s="68"/>
      <c r="Y3463" s="68"/>
      <c r="Z3463" s="68"/>
    </row>
    <row r="3464" ht="15.0" customHeight="1">
      <c r="A3464" s="421"/>
      <c r="B3464" s="201"/>
      <c r="C3464" s="17"/>
      <c r="D3464" s="140"/>
      <c r="E3464" s="17"/>
      <c r="F3464" s="202"/>
      <c r="G3464" s="142"/>
      <c r="H3464" s="142"/>
      <c r="I3464" s="143"/>
      <c r="J3464" s="144"/>
      <c r="K3464" s="17"/>
      <c r="L3464" s="17"/>
      <c r="M3464" s="17"/>
      <c r="N3464" s="68"/>
      <c r="O3464" s="68"/>
      <c r="P3464" s="68"/>
      <c r="Q3464" s="149"/>
      <c r="R3464" s="149"/>
      <c r="S3464" s="149"/>
      <c r="T3464" s="149"/>
      <c r="U3464" s="149"/>
      <c r="V3464" s="149"/>
      <c r="W3464" s="149"/>
      <c r="X3464" s="68"/>
      <c r="Y3464" s="68"/>
      <c r="Z3464" s="68"/>
    </row>
    <row r="3465" ht="15.0" customHeight="1">
      <c r="A3465" s="421"/>
      <c r="B3465" s="201"/>
      <c r="C3465" s="17"/>
      <c r="D3465" s="140"/>
      <c r="E3465" s="17"/>
      <c r="F3465" s="202"/>
      <c r="G3465" s="142"/>
      <c r="H3465" s="142"/>
      <c r="I3465" s="143"/>
      <c r="J3465" s="144"/>
      <c r="K3465" s="17"/>
      <c r="L3465" s="17"/>
      <c r="M3465" s="17"/>
      <c r="N3465" s="68"/>
      <c r="O3465" s="68"/>
      <c r="P3465" s="68"/>
      <c r="Q3465" s="149"/>
      <c r="R3465" s="149"/>
      <c r="S3465" s="149"/>
      <c r="T3465" s="149"/>
      <c r="U3465" s="149"/>
      <c r="V3465" s="149"/>
      <c r="W3465" s="149"/>
      <c r="X3465" s="68"/>
      <c r="Y3465" s="68"/>
      <c r="Z3465" s="68"/>
    </row>
    <row r="3466" ht="15.0" customHeight="1">
      <c r="A3466" s="421"/>
      <c r="B3466" s="201"/>
      <c r="C3466" s="17"/>
      <c r="D3466" s="140"/>
      <c r="E3466" s="17"/>
      <c r="F3466" s="202"/>
      <c r="G3466" s="142"/>
      <c r="H3466" s="142"/>
      <c r="I3466" s="143"/>
      <c r="J3466" s="144"/>
      <c r="K3466" s="17"/>
      <c r="L3466" s="17"/>
      <c r="M3466" s="17"/>
      <c r="N3466" s="68"/>
      <c r="O3466" s="68"/>
      <c r="P3466" s="68"/>
      <c r="Q3466" s="149"/>
      <c r="R3466" s="149"/>
      <c r="S3466" s="149"/>
      <c r="T3466" s="149"/>
      <c r="U3466" s="149"/>
      <c r="V3466" s="149"/>
      <c r="W3466" s="149"/>
      <c r="X3466" s="68"/>
      <c r="Y3466" s="68"/>
      <c r="Z3466" s="68"/>
    </row>
    <row r="3467" ht="15.0" customHeight="1">
      <c r="A3467" s="421"/>
      <c r="B3467" s="201"/>
      <c r="C3467" s="17"/>
      <c r="D3467" s="140"/>
      <c r="E3467" s="17"/>
      <c r="F3467" s="202"/>
      <c r="G3467" s="142"/>
      <c r="H3467" s="142"/>
      <c r="I3467" s="143"/>
      <c r="J3467" s="144"/>
      <c r="K3467" s="17"/>
      <c r="L3467" s="17"/>
      <c r="M3467" s="17"/>
      <c r="N3467" s="68"/>
      <c r="O3467" s="68"/>
      <c r="P3467" s="68"/>
      <c r="Q3467" s="149"/>
      <c r="R3467" s="149"/>
      <c r="S3467" s="149"/>
      <c r="T3467" s="149"/>
      <c r="U3467" s="149"/>
      <c r="V3467" s="149"/>
      <c r="W3467" s="149"/>
      <c r="X3467" s="68"/>
      <c r="Y3467" s="68"/>
      <c r="Z3467" s="68"/>
    </row>
    <row r="3468" ht="15.0" customHeight="1">
      <c r="A3468" s="421"/>
      <c r="B3468" s="201"/>
      <c r="C3468" s="17"/>
      <c r="D3468" s="140"/>
      <c r="E3468" s="17"/>
      <c r="F3468" s="202"/>
      <c r="G3468" s="142"/>
      <c r="H3468" s="142"/>
      <c r="I3468" s="143"/>
      <c r="J3468" s="144"/>
      <c r="K3468" s="17"/>
      <c r="L3468" s="17"/>
      <c r="M3468" s="17"/>
      <c r="N3468" s="68"/>
      <c r="O3468" s="68"/>
      <c r="P3468" s="68"/>
      <c r="Q3468" s="149"/>
      <c r="R3468" s="149"/>
      <c r="S3468" s="149"/>
      <c r="T3468" s="149"/>
      <c r="U3468" s="149"/>
      <c r="V3468" s="149"/>
      <c r="W3468" s="149"/>
      <c r="X3468" s="68"/>
      <c r="Y3468" s="68"/>
      <c r="Z3468" s="68"/>
    </row>
    <row r="3469" ht="15.0" customHeight="1">
      <c r="A3469" s="421"/>
      <c r="B3469" s="201"/>
      <c r="C3469" s="17"/>
      <c r="D3469" s="140"/>
      <c r="E3469" s="17"/>
      <c r="F3469" s="202"/>
      <c r="G3469" s="142"/>
      <c r="H3469" s="142"/>
      <c r="I3469" s="143"/>
      <c r="J3469" s="144"/>
      <c r="K3469" s="17"/>
      <c r="L3469" s="17"/>
      <c r="M3469" s="17"/>
      <c r="N3469" s="68"/>
      <c r="O3469" s="68"/>
      <c r="P3469" s="68"/>
      <c r="Q3469" s="149"/>
      <c r="R3469" s="149"/>
      <c r="S3469" s="149"/>
      <c r="T3469" s="149"/>
      <c r="U3469" s="149"/>
      <c r="V3469" s="149"/>
      <c r="W3469" s="149"/>
      <c r="X3469" s="68"/>
      <c r="Y3469" s="68"/>
      <c r="Z3469" s="68"/>
    </row>
    <row r="3470" ht="15.0" customHeight="1">
      <c r="A3470" s="421"/>
      <c r="B3470" s="201"/>
      <c r="C3470" s="17"/>
      <c r="D3470" s="140"/>
      <c r="E3470" s="17"/>
      <c r="F3470" s="202"/>
      <c r="G3470" s="142"/>
      <c r="H3470" s="142"/>
      <c r="I3470" s="143"/>
      <c r="J3470" s="144"/>
      <c r="K3470" s="17"/>
      <c r="L3470" s="17"/>
      <c r="M3470" s="17"/>
      <c r="N3470" s="68"/>
      <c r="O3470" s="68"/>
      <c r="P3470" s="68"/>
      <c r="Q3470" s="149"/>
      <c r="R3470" s="149"/>
      <c r="S3470" s="149"/>
      <c r="T3470" s="149"/>
      <c r="U3470" s="149"/>
      <c r="V3470" s="149"/>
      <c r="W3470" s="149"/>
      <c r="X3470" s="68"/>
      <c r="Y3470" s="68"/>
      <c r="Z3470" s="68"/>
    </row>
    <row r="3471" ht="15.0" customHeight="1">
      <c r="A3471" s="421"/>
      <c r="B3471" s="201"/>
      <c r="C3471" s="17"/>
      <c r="D3471" s="140"/>
      <c r="E3471" s="17"/>
      <c r="F3471" s="202"/>
      <c r="G3471" s="142"/>
      <c r="H3471" s="142"/>
      <c r="I3471" s="143"/>
      <c r="J3471" s="144"/>
      <c r="K3471" s="17"/>
      <c r="L3471" s="17"/>
      <c r="M3471" s="17"/>
      <c r="N3471" s="68"/>
      <c r="O3471" s="68"/>
      <c r="P3471" s="68"/>
      <c r="Q3471" s="149"/>
      <c r="R3471" s="149"/>
      <c r="S3471" s="149"/>
      <c r="T3471" s="149"/>
      <c r="U3471" s="149"/>
      <c r="V3471" s="149"/>
      <c r="W3471" s="149"/>
      <c r="X3471" s="68"/>
      <c r="Y3471" s="68"/>
      <c r="Z3471" s="68"/>
    </row>
    <row r="3472" ht="15.0" customHeight="1">
      <c r="A3472" s="421"/>
      <c r="B3472" s="201"/>
      <c r="C3472" s="17"/>
      <c r="D3472" s="140"/>
      <c r="E3472" s="17"/>
      <c r="F3472" s="202"/>
      <c r="G3472" s="142"/>
      <c r="H3472" s="142"/>
      <c r="I3472" s="143"/>
      <c r="J3472" s="144"/>
      <c r="K3472" s="17"/>
      <c r="L3472" s="17"/>
      <c r="M3472" s="17"/>
      <c r="N3472" s="68"/>
      <c r="O3472" s="68"/>
      <c r="P3472" s="68"/>
      <c r="Q3472" s="149"/>
      <c r="R3472" s="149"/>
      <c r="S3472" s="149"/>
      <c r="T3472" s="149"/>
      <c r="U3472" s="149"/>
      <c r="V3472" s="149"/>
      <c r="W3472" s="149"/>
      <c r="X3472" s="68"/>
      <c r="Y3472" s="68"/>
      <c r="Z3472" s="68"/>
    </row>
    <row r="3473" ht="15.0" customHeight="1">
      <c r="A3473" s="421"/>
      <c r="B3473" s="201"/>
      <c r="C3473" s="17"/>
      <c r="D3473" s="140"/>
      <c r="E3473" s="17"/>
      <c r="F3473" s="202"/>
      <c r="G3473" s="142"/>
      <c r="H3473" s="142"/>
      <c r="I3473" s="143"/>
      <c r="J3473" s="144"/>
      <c r="K3473" s="17"/>
      <c r="L3473" s="17"/>
      <c r="M3473" s="17"/>
      <c r="N3473" s="68"/>
      <c r="O3473" s="68"/>
      <c r="P3473" s="68"/>
      <c r="Q3473" s="149"/>
      <c r="R3473" s="149"/>
      <c r="S3473" s="149"/>
      <c r="T3473" s="149"/>
      <c r="U3473" s="149"/>
      <c r="V3473" s="149"/>
      <c r="W3473" s="149"/>
      <c r="X3473" s="68"/>
      <c r="Y3473" s="68"/>
      <c r="Z3473" s="68"/>
    </row>
    <row r="3474" ht="15.0" customHeight="1">
      <c r="A3474" s="421"/>
      <c r="B3474" s="201"/>
      <c r="C3474" s="17"/>
      <c r="D3474" s="140"/>
      <c r="E3474" s="17"/>
      <c r="F3474" s="202"/>
      <c r="G3474" s="142"/>
      <c r="H3474" s="142"/>
      <c r="I3474" s="143"/>
      <c r="J3474" s="144"/>
      <c r="K3474" s="17"/>
      <c r="L3474" s="17"/>
      <c r="M3474" s="17"/>
      <c r="N3474" s="68"/>
      <c r="O3474" s="68"/>
      <c r="P3474" s="68"/>
      <c r="Q3474" s="149"/>
      <c r="R3474" s="149"/>
      <c r="S3474" s="149"/>
      <c r="T3474" s="149"/>
      <c r="U3474" s="149"/>
      <c r="V3474" s="149"/>
      <c r="W3474" s="149"/>
      <c r="X3474" s="68"/>
      <c r="Y3474" s="68"/>
      <c r="Z3474" s="68"/>
    </row>
    <row r="3475" ht="15.0" customHeight="1">
      <c r="A3475" s="421"/>
      <c r="B3475" s="201"/>
      <c r="C3475" s="17"/>
      <c r="D3475" s="140"/>
      <c r="E3475" s="17"/>
      <c r="F3475" s="202"/>
      <c r="G3475" s="142"/>
      <c r="H3475" s="142"/>
      <c r="I3475" s="143"/>
      <c r="J3475" s="144"/>
      <c r="K3475" s="17"/>
      <c r="L3475" s="17"/>
      <c r="M3475" s="17"/>
      <c r="N3475" s="68"/>
      <c r="O3475" s="68"/>
      <c r="P3475" s="68"/>
      <c r="Q3475" s="149"/>
      <c r="R3475" s="149"/>
      <c r="S3475" s="149"/>
      <c r="T3475" s="149"/>
      <c r="U3475" s="149"/>
      <c r="V3475" s="149"/>
      <c r="W3475" s="149"/>
      <c r="X3475" s="68"/>
      <c r="Y3475" s="68"/>
      <c r="Z3475" s="68"/>
    </row>
    <row r="3476" ht="15.0" customHeight="1">
      <c r="A3476" s="421"/>
      <c r="B3476" s="201"/>
      <c r="C3476" s="17"/>
      <c r="D3476" s="140"/>
      <c r="E3476" s="17"/>
      <c r="F3476" s="202"/>
      <c r="G3476" s="142"/>
      <c r="H3476" s="142"/>
      <c r="I3476" s="143"/>
      <c r="J3476" s="144"/>
      <c r="K3476" s="17"/>
      <c r="L3476" s="17"/>
      <c r="M3476" s="17"/>
      <c r="N3476" s="68"/>
      <c r="O3476" s="68"/>
      <c r="P3476" s="68"/>
      <c r="Q3476" s="149"/>
      <c r="R3476" s="149"/>
      <c r="S3476" s="149"/>
      <c r="T3476" s="149"/>
      <c r="U3476" s="149"/>
      <c r="V3476" s="149"/>
      <c r="W3476" s="149"/>
      <c r="X3476" s="68"/>
      <c r="Y3476" s="68"/>
      <c r="Z3476" s="68"/>
    </row>
    <row r="3477" ht="15.0" customHeight="1">
      <c r="A3477" s="421"/>
      <c r="B3477" s="201"/>
      <c r="C3477" s="17"/>
      <c r="D3477" s="140"/>
      <c r="E3477" s="17"/>
      <c r="F3477" s="202"/>
      <c r="G3477" s="142"/>
      <c r="H3477" s="142"/>
      <c r="I3477" s="143"/>
      <c r="J3477" s="144"/>
      <c r="K3477" s="17"/>
      <c r="L3477" s="17"/>
      <c r="M3477" s="17"/>
      <c r="N3477" s="68"/>
      <c r="O3477" s="68"/>
      <c r="P3477" s="68"/>
      <c r="Q3477" s="149"/>
      <c r="R3477" s="149"/>
      <c r="S3477" s="149"/>
      <c r="T3477" s="149"/>
      <c r="U3477" s="149"/>
      <c r="V3477" s="149"/>
      <c r="W3477" s="149"/>
      <c r="X3477" s="68"/>
      <c r="Y3477" s="68"/>
      <c r="Z3477" s="68"/>
    </row>
    <row r="3478" ht="15.0" customHeight="1">
      <c r="A3478" s="421"/>
      <c r="B3478" s="201"/>
      <c r="C3478" s="17"/>
      <c r="D3478" s="140"/>
      <c r="E3478" s="17"/>
      <c r="F3478" s="202"/>
      <c r="G3478" s="142"/>
      <c r="H3478" s="142"/>
      <c r="I3478" s="143"/>
      <c r="J3478" s="144"/>
      <c r="K3478" s="17"/>
      <c r="L3478" s="17"/>
      <c r="M3478" s="17"/>
      <c r="N3478" s="68"/>
      <c r="O3478" s="68"/>
      <c r="P3478" s="68"/>
      <c r="Q3478" s="149"/>
      <c r="R3478" s="149"/>
      <c r="S3478" s="149"/>
      <c r="T3478" s="149"/>
      <c r="U3478" s="149"/>
      <c r="V3478" s="149"/>
      <c r="W3478" s="149"/>
      <c r="X3478" s="68"/>
      <c r="Y3478" s="68"/>
      <c r="Z3478" s="68"/>
    </row>
    <row r="3479" ht="15.0" customHeight="1">
      <c r="A3479" s="421"/>
      <c r="B3479" s="201"/>
      <c r="C3479" s="17"/>
      <c r="D3479" s="140"/>
      <c r="E3479" s="17"/>
      <c r="F3479" s="202"/>
      <c r="G3479" s="142"/>
      <c r="H3479" s="142"/>
      <c r="I3479" s="143"/>
      <c r="J3479" s="144"/>
      <c r="K3479" s="17"/>
      <c r="L3479" s="17"/>
      <c r="M3479" s="17"/>
      <c r="N3479" s="68"/>
      <c r="O3479" s="68"/>
      <c r="P3479" s="68"/>
      <c r="Q3479" s="149"/>
      <c r="R3479" s="149"/>
      <c r="S3479" s="149"/>
      <c r="T3479" s="149"/>
      <c r="U3479" s="149"/>
      <c r="V3479" s="149"/>
      <c r="W3479" s="149"/>
      <c r="X3479" s="68"/>
      <c r="Y3479" s="68"/>
      <c r="Z3479" s="68"/>
    </row>
    <row r="3480" ht="15.0" customHeight="1">
      <c r="A3480" s="421"/>
      <c r="B3480" s="201"/>
      <c r="C3480" s="17"/>
      <c r="D3480" s="140"/>
      <c r="E3480" s="17"/>
      <c r="F3480" s="202"/>
      <c r="G3480" s="142"/>
      <c r="H3480" s="142"/>
      <c r="I3480" s="143"/>
      <c r="J3480" s="144"/>
      <c r="K3480" s="17"/>
      <c r="L3480" s="17"/>
      <c r="M3480" s="17"/>
      <c r="N3480" s="68"/>
      <c r="O3480" s="68"/>
      <c r="P3480" s="68"/>
      <c r="Q3480" s="149"/>
      <c r="R3480" s="149"/>
      <c r="S3480" s="149"/>
      <c r="T3480" s="149"/>
      <c r="U3480" s="149"/>
      <c r="V3480" s="149"/>
      <c r="W3480" s="149"/>
      <c r="X3480" s="68"/>
      <c r="Y3480" s="68"/>
      <c r="Z3480" s="68"/>
    </row>
    <row r="3481" ht="15.0" customHeight="1">
      <c r="A3481" s="421"/>
      <c r="B3481" s="201"/>
      <c r="C3481" s="17"/>
      <c r="D3481" s="140"/>
      <c r="E3481" s="17"/>
      <c r="F3481" s="202"/>
      <c r="G3481" s="142"/>
      <c r="H3481" s="142"/>
      <c r="I3481" s="143"/>
      <c r="J3481" s="144"/>
      <c r="K3481" s="17"/>
      <c r="L3481" s="17"/>
      <c r="M3481" s="17"/>
      <c r="N3481" s="68"/>
      <c r="O3481" s="68"/>
      <c r="P3481" s="68"/>
      <c r="Q3481" s="149"/>
      <c r="R3481" s="149"/>
      <c r="S3481" s="149"/>
      <c r="T3481" s="149"/>
      <c r="U3481" s="149"/>
      <c r="V3481" s="149"/>
      <c r="W3481" s="149"/>
      <c r="X3481" s="68"/>
      <c r="Y3481" s="68"/>
      <c r="Z3481" s="68"/>
    </row>
    <row r="3482" ht="15.0" customHeight="1">
      <c r="A3482" s="421"/>
      <c r="B3482" s="201"/>
      <c r="C3482" s="17"/>
      <c r="D3482" s="140"/>
      <c r="E3482" s="17"/>
      <c r="F3482" s="202"/>
      <c r="G3482" s="142"/>
      <c r="H3482" s="142"/>
      <c r="I3482" s="143"/>
      <c r="J3482" s="144"/>
      <c r="K3482" s="17"/>
      <c r="L3482" s="17"/>
      <c r="M3482" s="17"/>
      <c r="N3482" s="68"/>
      <c r="O3482" s="68"/>
      <c r="P3482" s="68"/>
      <c r="Q3482" s="149"/>
      <c r="R3482" s="149"/>
      <c r="S3482" s="149"/>
      <c r="T3482" s="149"/>
      <c r="U3482" s="149"/>
      <c r="V3482" s="149"/>
      <c r="W3482" s="149"/>
      <c r="X3482" s="68"/>
      <c r="Y3482" s="68"/>
      <c r="Z3482" s="68"/>
    </row>
    <row r="3483" ht="15.0" customHeight="1">
      <c r="A3483" s="421"/>
      <c r="B3483" s="201"/>
      <c r="C3483" s="17"/>
      <c r="D3483" s="140"/>
      <c r="E3483" s="17"/>
      <c r="F3483" s="202"/>
      <c r="G3483" s="142"/>
      <c r="H3483" s="142"/>
      <c r="I3483" s="143"/>
      <c r="J3483" s="144"/>
      <c r="K3483" s="17"/>
      <c r="L3483" s="17"/>
      <c r="M3483" s="17"/>
      <c r="N3483" s="68"/>
      <c r="O3483" s="68"/>
      <c r="P3483" s="68"/>
      <c r="Q3483" s="149"/>
      <c r="R3483" s="149"/>
      <c r="S3483" s="149"/>
      <c r="T3483" s="149"/>
      <c r="U3483" s="149"/>
      <c r="V3483" s="149"/>
      <c r="W3483" s="149"/>
      <c r="X3483" s="68"/>
      <c r="Y3483" s="68"/>
      <c r="Z3483" s="68"/>
    </row>
    <row r="3484" ht="15.0" customHeight="1">
      <c r="A3484" s="421"/>
      <c r="B3484" s="201"/>
      <c r="C3484" s="17"/>
      <c r="D3484" s="140"/>
      <c r="E3484" s="17"/>
      <c r="F3484" s="202"/>
      <c r="G3484" s="142"/>
      <c r="H3484" s="142"/>
      <c r="I3484" s="143"/>
      <c r="J3484" s="144"/>
      <c r="K3484" s="17"/>
      <c r="L3484" s="17"/>
      <c r="M3484" s="17"/>
      <c r="N3484" s="68"/>
      <c r="O3484" s="68"/>
      <c r="P3484" s="68"/>
      <c r="Q3484" s="149"/>
      <c r="R3484" s="149"/>
      <c r="S3484" s="149"/>
      <c r="T3484" s="149"/>
      <c r="U3484" s="149"/>
      <c r="V3484" s="149"/>
      <c r="W3484" s="149"/>
      <c r="X3484" s="68"/>
      <c r="Y3484" s="68"/>
      <c r="Z3484" s="68"/>
    </row>
    <row r="3485" ht="15.0" customHeight="1">
      <c r="A3485" s="421"/>
      <c r="B3485" s="201"/>
      <c r="C3485" s="17"/>
      <c r="D3485" s="140"/>
      <c r="E3485" s="17"/>
      <c r="F3485" s="202"/>
      <c r="G3485" s="142"/>
      <c r="H3485" s="142"/>
      <c r="I3485" s="143"/>
      <c r="J3485" s="144"/>
      <c r="K3485" s="17"/>
      <c r="L3485" s="17"/>
      <c r="M3485" s="17"/>
      <c r="N3485" s="68"/>
      <c r="O3485" s="68"/>
      <c r="P3485" s="68"/>
      <c r="Q3485" s="149"/>
      <c r="R3485" s="149"/>
      <c r="S3485" s="149"/>
      <c r="T3485" s="149"/>
      <c r="U3485" s="149"/>
      <c r="V3485" s="149"/>
      <c r="W3485" s="149"/>
      <c r="X3485" s="68"/>
      <c r="Y3485" s="68"/>
      <c r="Z3485" s="68"/>
    </row>
    <row r="3486" ht="15.0" customHeight="1">
      <c r="A3486" s="421"/>
      <c r="B3486" s="201"/>
      <c r="C3486" s="17"/>
      <c r="D3486" s="140"/>
      <c r="E3486" s="17"/>
      <c r="F3486" s="202"/>
      <c r="G3486" s="142"/>
      <c r="H3486" s="142"/>
      <c r="I3486" s="143"/>
      <c r="J3486" s="144"/>
      <c r="K3486" s="17"/>
      <c r="L3486" s="17"/>
      <c r="M3486" s="17"/>
      <c r="N3486" s="68"/>
      <c r="O3486" s="68"/>
      <c r="P3486" s="68"/>
      <c r="Q3486" s="149"/>
      <c r="R3486" s="149"/>
      <c r="S3486" s="149"/>
      <c r="T3486" s="149"/>
      <c r="U3486" s="149"/>
      <c r="V3486" s="149"/>
      <c r="W3486" s="149"/>
      <c r="X3486" s="68"/>
      <c r="Y3486" s="68"/>
      <c r="Z3486" s="68"/>
    </row>
    <row r="3487" ht="15.0" customHeight="1">
      <c r="A3487" s="421"/>
      <c r="B3487" s="201"/>
      <c r="C3487" s="17"/>
      <c r="D3487" s="140"/>
      <c r="E3487" s="17"/>
      <c r="F3487" s="202"/>
      <c r="G3487" s="142"/>
      <c r="H3487" s="142"/>
      <c r="I3487" s="143"/>
      <c r="J3487" s="144"/>
      <c r="K3487" s="17"/>
      <c r="L3487" s="17"/>
      <c r="M3487" s="17"/>
      <c r="N3487" s="68"/>
      <c r="O3487" s="68"/>
      <c r="P3487" s="68"/>
      <c r="Q3487" s="149"/>
      <c r="R3487" s="149"/>
      <c r="S3487" s="149"/>
      <c r="T3487" s="149"/>
      <c r="U3487" s="149"/>
      <c r="V3487" s="149"/>
      <c r="W3487" s="149"/>
      <c r="X3487" s="68"/>
      <c r="Y3487" s="68"/>
      <c r="Z3487" s="68"/>
    </row>
    <row r="3488" ht="15.0" customHeight="1">
      <c r="A3488" s="421"/>
      <c r="B3488" s="201"/>
      <c r="C3488" s="17"/>
      <c r="D3488" s="140"/>
      <c r="E3488" s="17"/>
      <c r="F3488" s="202"/>
      <c r="G3488" s="142"/>
      <c r="H3488" s="142"/>
      <c r="I3488" s="143"/>
      <c r="J3488" s="144"/>
      <c r="K3488" s="17"/>
      <c r="L3488" s="17"/>
      <c r="M3488" s="17"/>
      <c r="N3488" s="68"/>
      <c r="O3488" s="68"/>
      <c r="P3488" s="68"/>
      <c r="Q3488" s="149"/>
      <c r="R3488" s="149"/>
      <c r="S3488" s="149"/>
      <c r="T3488" s="149"/>
      <c r="U3488" s="149"/>
      <c r="V3488" s="149"/>
      <c r="W3488" s="149"/>
      <c r="X3488" s="68"/>
      <c r="Y3488" s="68"/>
      <c r="Z3488" s="68"/>
    </row>
    <row r="3489" ht="15.0" customHeight="1">
      <c r="A3489" s="421"/>
      <c r="B3489" s="201"/>
      <c r="C3489" s="17"/>
      <c r="D3489" s="140"/>
      <c r="E3489" s="17"/>
      <c r="F3489" s="202"/>
      <c r="G3489" s="142"/>
      <c r="H3489" s="142"/>
      <c r="I3489" s="143"/>
      <c r="J3489" s="144"/>
      <c r="K3489" s="17"/>
      <c r="L3489" s="17"/>
      <c r="M3489" s="17"/>
      <c r="N3489" s="68"/>
      <c r="O3489" s="68"/>
      <c r="P3489" s="68"/>
      <c r="Q3489" s="149"/>
      <c r="R3489" s="149"/>
      <c r="S3489" s="149"/>
      <c r="T3489" s="149"/>
      <c r="U3489" s="149"/>
      <c r="V3489" s="149"/>
      <c r="W3489" s="149"/>
      <c r="X3489" s="68"/>
      <c r="Y3489" s="68"/>
      <c r="Z3489" s="68"/>
    </row>
    <row r="3490" ht="15.0" customHeight="1">
      <c r="A3490" s="421"/>
      <c r="B3490" s="201"/>
      <c r="C3490" s="17"/>
      <c r="D3490" s="140"/>
      <c r="E3490" s="17"/>
      <c r="F3490" s="202"/>
      <c r="G3490" s="142"/>
      <c r="H3490" s="142"/>
      <c r="I3490" s="143"/>
      <c r="J3490" s="144"/>
      <c r="K3490" s="17"/>
      <c r="L3490" s="17"/>
      <c r="M3490" s="17"/>
      <c r="N3490" s="68"/>
      <c r="O3490" s="68"/>
      <c r="P3490" s="68"/>
      <c r="Q3490" s="149"/>
      <c r="R3490" s="149"/>
      <c r="S3490" s="149"/>
      <c r="T3490" s="149"/>
      <c r="U3490" s="149"/>
      <c r="V3490" s="149"/>
      <c r="W3490" s="149"/>
      <c r="X3490" s="68"/>
      <c r="Y3490" s="68"/>
      <c r="Z3490" s="68"/>
    </row>
    <row r="3491" ht="15.0" customHeight="1">
      <c r="A3491" s="421"/>
      <c r="B3491" s="201"/>
      <c r="C3491" s="17"/>
      <c r="D3491" s="140"/>
      <c r="E3491" s="17"/>
      <c r="F3491" s="202"/>
      <c r="G3491" s="142"/>
      <c r="H3491" s="142"/>
      <c r="I3491" s="143"/>
      <c r="J3491" s="144"/>
      <c r="K3491" s="17"/>
      <c r="L3491" s="17"/>
      <c r="M3491" s="17"/>
      <c r="N3491" s="68"/>
      <c r="O3491" s="68"/>
      <c r="P3491" s="68"/>
      <c r="Q3491" s="149"/>
      <c r="R3491" s="149"/>
      <c r="S3491" s="149"/>
      <c r="T3491" s="149"/>
      <c r="U3491" s="149"/>
      <c r="V3491" s="149"/>
      <c r="W3491" s="149"/>
      <c r="X3491" s="68"/>
      <c r="Y3491" s="68"/>
      <c r="Z3491" s="68"/>
    </row>
    <row r="3492" ht="15.0" customHeight="1">
      <c r="A3492" s="421"/>
      <c r="B3492" s="201"/>
      <c r="C3492" s="17"/>
      <c r="D3492" s="140"/>
      <c r="E3492" s="17"/>
      <c r="F3492" s="202"/>
      <c r="G3492" s="142"/>
      <c r="H3492" s="142"/>
      <c r="I3492" s="143"/>
      <c r="J3492" s="144"/>
      <c r="K3492" s="17"/>
      <c r="L3492" s="17"/>
      <c r="M3492" s="17"/>
      <c r="N3492" s="68"/>
      <c r="O3492" s="68"/>
      <c r="P3492" s="68"/>
      <c r="Q3492" s="149"/>
      <c r="R3492" s="149"/>
      <c r="S3492" s="149"/>
      <c r="T3492" s="149"/>
      <c r="U3492" s="149"/>
      <c r="V3492" s="149"/>
      <c r="W3492" s="149"/>
      <c r="X3492" s="68"/>
      <c r="Y3492" s="68"/>
      <c r="Z3492" s="68"/>
    </row>
    <row r="3493" ht="15.0" customHeight="1">
      <c r="A3493" s="421"/>
      <c r="B3493" s="201"/>
      <c r="C3493" s="17"/>
      <c r="D3493" s="140"/>
      <c r="E3493" s="17"/>
      <c r="F3493" s="202"/>
      <c r="G3493" s="142"/>
      <c r="H3493" s="142"/>
      <c r="I3493" s="143"/>
      <c r="J3493" s="144"/>
      <c r="K3493" s="17"/>
      <c r="L3493" s="17"/>
      <c r="M3493" s="17"/>
      <c r="N3493" s="68"/>
      <c r="O3493" s="68"/>
      <c r="P3493" s="68"/>
      <c r="Q3493" s="149"/>
      <c r="R3493" s="149"/>
      <c r="S3493" s="149"/>
      <c r="T3493" s="149"/>
      <c r="U3493" s="149"/>
      <c r="V3493" s="149"/>
      <c r="W3493" s="149"/>
      <c r="X3493" s="68"/>
      <c r="Y3493" s="68"/>
      <c r="Z3493" s="68"/>
    </row>
    <row r="3494" ht="15.0" customHeight="1">
      <c r="A3494" s="421"/>
      <c r="B3494" s="201"/>
      <c r="C3494" s="17"/>
      <c r="D3494" s="140"/>
      <c r="E3494" s="17"/>
      <c r="F3494" s="202"/>
      <c r="G3494" s="142"/>
      <c r="H3494" s="142"/>
      <c r="I3494" s="143"/>
      <c r="J3494" s="144"/>
      <c r="K3494" s="17"/>
      <c r="L3494" s="17"/>
      <c r="M3494" s="17"/>
      <c r="N3494" s="68"/>
      <c r="O3494" s="68"/>
      <c r="P3494" s="68"/>
      <c r="Q3494" s="149"/>
      <c r="R3494" s="149"/>
      <c r="S3494" s="149"/>
      <c r="T3494" s="149"/>
      <c r="U3494" s="149"/>
      <c r="V3494" s="149"/>
      <c r="W3494" s="149"/>
      <c r="X3494" s="68"/>
      <c r="Y3494" s="68"/>
      <c r="Z3494" s="68"/>
    </row>
    <row r="3495" ht="15.0" customHeight="1">
      <c r="A3495" s="421"/>
      <c r="B3495" s="201"/>
      <c r="C3495" s="17"/>
      <c r="D3495" s="140"/>
      <c r="E3495" s="17"/>
      <c r="F3495" s="202"/>
      <c r="G3495" s="142"/>
      <c r="H3495" s="142"/>
      <c r="I3495" s="143"/>
      <c r="J3495" s="144"/>
      <c r="K3495" s="17"/>
      <c r="L3495" s="17"/>
      <c r="M3495" s="17"/>
      <c r="N3495" s="68"/>
      <c r="O3495" s="68"/>
      <c r="P3495" s="68"/>
      <c r="Q3495" s="149"/>
      <c r="R3495" s="149"/>
      <c r="S3495" s="149"/>
      <c r="T3495" s="149"/>
      <c r="U3495" s="149"/>
      <c r="V3495" s="149"/>
      <c r="W3495" s="149"/>
      <c r="X3495" s="68"/>
      <c r="Y3495" s="68"/>
      <c r="Z3495" s="68"/>
    </row>
    <row r="3496" ht="15.0" customHeight="1">
      <c r="A3496" s="421"/>
      <c r="B3496" s="201"/>
      <c r="C3496" s="17"/>
      <c r="D3496" s="140"/>
      <c r="E3496" s="17"/>
      <c r="F3496" s="202"/>
      <c r="G3496" s="142"/>
      <c r="H3496" s="142"/>
      <c r="I3496" s="143"/>
      <c r="J3496" s="144"/>
      <c r="K3496" s="17"/>
      <c r="L3496" s="17"/>
      <c r="M3496" s="17"/>
      <c r="N3496" s="68"/>
      <c r="O3496" s="68"/>
      <c r="P3496" s="68"/>
      <c r="Q3496" s="149"/>
      <c r="R3496" s="149"/>
      <c r="S3496" s="149"/>
      <c r="T3496" s="149"/>
      <c r="U3496" s="149"/>
      <c r="V3496" s="149"/>
      <c r="W3496" s="149"/>
      <c r="X3496" s="68"/>
      <c r="Y3496" s="68"/>
      <c r="Z3496" s="68"/>
    </row>
    <row r="3497" ht="15.0" customHeight="1">
      <c r="A3497" s="421"/>
      <c r="B3497" s="201"/>
      <c r="C3497" s="17"/>
      <c r="D3497" s="140"/>
      <c r="E3497" s="17"/>
      <c r="F3497" s="202"/>
      <c r="G3497" s="142"/>
      <c r="H3497" s="142"/>
      <c r="I3497" s="143"/>
      <c r="J3497" s="144"/>
      <c r="K3497" s="17"/>
      <c r="L3497" s="17"/>
      <c r="M3497" s="17"/>
      <c r="N3497" s="68"/>
      <c r="O3497" s="68"/>
      <c r="P3497" s="68"/>
      <c r="Q3497" s="149"/>
      <c r="R3497" s="149"/>
      <c r="S3497" s="149"/>
      <c r="T3497" s="149"/>
      <c r="U3497" s="149"/>
      <c r="V3497" s="149"/>
      <c r="W3497" s="149"/>
      <c r="X3497" s="68"/>
      <c r="Y3497" s="68"/>
      <c r="Z3497" s="68"/>
    </row>
    <row r="3498" ht="15.0" customHeight="1">
      <c r="A3498" s="421"/>
      <c r="B3498" s="201"/>
      <c r="C3498" s="17"/>
      <c r="D3498" s="140"/>
      <c r="E3498" s="17"/>
      <c r="F3498" s="202"/>
      <c r="G3498" s="142"/>
      <c r="H3498" s="142"/>
      <c r="I3498" s="143"/>
      <c r="J3498" s="144"/>
      <c r="K3498" s="17"/>
      <c r="L3498" s="17"/>
      <c r="M3498" s="17"/>
      <c r="N3498" s="68"/>
      <c r="O3498" s="68"/>
      <c r="P3498" s="68"/>
      <c r="Q3498" s="149"/>
      <c r="R3498" s="149"/>
      <c r="S3498" s="149"/>
      <c r="T3498" s="149"/>
      <c r="U3498" s="149"/>
      <c r="V3498" s="149"/>
      <c r="W3498" s="149"/>
      <c r="X3498" s="68"/>
      <c r="Y3498" s="68"/>
      <c r="Z3498" s="68"/>
    </row>
    <row r="3499" ht="15.0" customHeight="1">
      <c r="A3499" s="421"/>
      <c r="B3499" s="201"/>
      <c r="C3499" s="17"/>
      <c r="D3499" s="140"/>
      <c r="E3499" s="17"/>
      <c r="F3499" s="202"/>
      <c r="G3499" s="142"/>
      <c r="H3499" s="142"/>
      <c r="I3499" s="143"/>
      <c r="J3499" s="144"/>
      <c r="K3499" s="17"/>
      <c r="L3499" s="17"/>
      <c r="M3499" s="17"/>
      <c r="N3499" s="68"/>
      <c r="O3499" s="68"/>
      <c r="P3499" s="68"/>
      <c r="Q3499" s="149"/>
      <c r="R3499" s="149"/>
      <c r="S3499" s="149"/>
      <c r="T3499" s="149"/>
      <c r="U3499" s="149"/>
      <c r="V3499" s="149"/>
      <c r="W3499" s="149"/>
      <c r="X3499" s="68"/>
      <c r="Y3499" s="68"/>
      <c r="Z3499" s="68"/>
    </row>
    <row r="3500" ht="15.0" customHeight="1">
      <c r="A3500" s="421"/>
      <c r="B3500" s="201"/>
      <c r="C3500" s="17"/>
      <c r="D3500" s="140"/>
      <c r="E3500" s="17"/>
      <c r="F3500" s="202"/>
      <c r="G3500" s="142"/>
      <c r="H3500" s="142"/>
      <c r="I3500" s="143"/>
      <c r="J3500" s="144"/>
      <c r="K3500" s="17"/>
      <c r="L3500" s="17"/>
      <c r="M3500" s="17"/>
      <c r="N3500" s="68"/>
      <c r="O3500" s="68"/>
      <c r="P3500" s="68"/>
      <c r="Q3500" s="149"/>
      <c r="R3500" s="149"/>
      <c r="S3500" s="149"/>
      <c r="T3500" s="149"/>
      <c r="U3500" s="149"/>
      <c r="V3500" s="149"/>
      <c r="W3500" s="149"/>
      <c r="X3500" s="68"/>
      <c r="Y3500" s="68"/>
      <c r="Z3500" s="68"/>
    </row>
    <row r="3501" ht="15.0" customHeight="1">
      <c r="A3501" s="421"/>
      <c r="B3501" s="201"/>
      <c r="C3501" s="17"/>
      <c r="D3501" s="140"/>
      <c r="E3501" s="17"/>
      <c r="F3501" s="202"/>
      <c r="G3501" s="142"/>
      <c r="H3501" s="142"/>
      <c r="I3501" s="143"/>
      <c r="J3501" s="144"/>
      <c r="K3501" s="17"/>
      <c r="L3501" s="17"/>
      <c r="M3501" s="17"/>
      <c r="N3501" s="68"/>
      <c r="O3501" s="68"/>
      <c r="P3501" s="68"/>
      <c r="Q3501" s="149"/>
      <c r="R3501" s="149"/>
      <c r="S3501" s="149"/>
      <c r="T3501" s="149"/>
      <c r="U3501" s="149"/>
      <c r="V3501" s="149"/>
      <c r="W3501" s="149"/>
      <c r="X3501" s="68"/>
      <c r="Y3501" s="68"/>
      <c r="Z3501" s="68"/>
    </row>
    <row r="3502" ht="15.0" customHeight="1">
      <c r="A3502" s="421"/>
      <c r="B3502" s="201"/>
      <c r="C3502" s="17"/>
      <c r="D3502" s="140"/>
      <c r="E3502" s="17"/>
      <c r="F3502" s="202"/>
      <c r="G3502" s="142"/>
      <c r="H3502" s="142"/>
      <c r="I3502" s="143"/>
      <c r="J3502" s="144"/>
      <c r="K3502" s="17"/>
      <c r="L3502" s="17"/>
      <c r="M3502" s="17"/>
      <c r="N3502" s="68"/>
      <c r="O3502" s="68"/>
      <c r="P3502" s="68"/>
      <c r="Q3502" s="149"/>
      <c r="R3502" s="149"/>
      <c r="S3502" s="149"/>
      <c r="T3502" s="149"/>
      <c r="U3502" s="149"/>
      <c r="V3502" s="149"/>
      <c r="W3502" s="149"/>
      <c r="X3502" s="68"/>
      <c r="Y3502" s="68"/>
      <c r="Z3502" s="68"/>
    </row>
    <row r="3503" ht="15.0" customHeight="1">
      <c r="A3503" s="421"/>
      <c r="B3503" s="201"/>
      <c r="C3503" s="17"/>
      <c r="D3503" s="140"/>
      <c r="E3503" s="17"/>
      <c r="F3503" s="202"/>
      <c r="G3503" s="142"/>
      <c r="H3503" s="142"/>
      <c r="I3503" s="143"/>
      <c r="J3503" s="144"/>
      <c r="K3503" s="17"/>
      <c r="L3503" s="17"/>
      <c r="M3503" s="17"/>
      <c r="N3503" s="68"/>
      <c r="O3503" s="68"/>
      <c r="P3503" s="68"/>
      <c r="Q3503" s="149"/>
      <c r="R3503" s="149"/>
      <c r="S3503" s="149"/>
      <c r="T3503" s="149"/>
      <c r="U3503" s="149"/>
      <c r="V3503" s="149"/>
      <c r="W3503" s="149"/>
      <c r="X3503" s="68"/>
      <c r="Y3503" s="68"/>
      <c r="Z3503" s="68"/>
    </row>
    <row r="3504" ht="15.0" customHeight="1">
      <c r="A3504" s="421"/>
      <c r="B3504" s="201"/>
      <c r="C3504" s="17"/>
      <c r="D3504" s="140"/>
      <c r="E3504" s="17"/>
      <c r="F3504" s="202"/>
      <c r="G3504" s="142"/>
      <c r="H3504" s="142"/>
      <c r="I3504" s="143"/>
      <c r="J3504" s="144"/>
      <c r="K3504" s="17"/>
      <c r="L3504" s="17"/>
      <c r="M3504" s="17"/>
      <c r="N3504" s="68"/>
      <c r="O3504" s="68"/>
      <c r="P3504" s="68"/>
      <c r="Q3504" s="149"/>
      <c r="R3504" s="149"/>
      <c r="S3504" s="149"/>
      <c r="T3504" s="149"/>
      <c r="U3504" s="149"/>
      <c r="V3504" s="149"/>
      <c r="W3504" s="149"/>
      <c r="X3504" s="68"/>
      <c r="Y3504" s="68"/>
      <c r="Z3504" s="68"/>
    </row>
    <row r="3505" ht="15.0" customHeight="1">
      <c r="A3505" s="421"/>
      <c r="B3505" s="201"/>
      <c r="C3505" s="17"/>
      <c r="D3505" s="140"/>
      <c r="E3505" s="17"/>
      <c r="F3505" s="202"/>
      <c r="G3505" s="142"/>
      <c r="H3505" s="142"/>
      <c r="I3505" s="143"/>
      <c r="J3505" s="144"/>
      <c r="K3505" s="17"/>
      <c r="L3505" s="17"/>
      <c r="M3505" s="17"/>
      <c r="N3505" s="68"/>
      <c r="O3505" s="68"/>
      <c r="P3505" s="68"/>
      <c r="Q3505" s="149"/>
      <c r="R3505" s="149"/>
      <c r="S3505" s="149"/>
      <c r="T3505" s="149"/>
      <c r="U3505" s="149"/>
      <c r="V3505" s="149"/>
      <c r="W3505" s="149"/>
      <c r="X3505" s="68"/>
      <c r="Y3505" s="68"/>
      <c r="Z3505" s="68"/>
    </row>
    <row r="3506" ht="15.0" customHeight="1">
      <c r="A3506" s="421"/>
      <c r="B3506" s="201"/>
      <c r="C3506" s="17"/>
      <c r="D3506" s="140"/>
      <c r="E3506" s="17"/>
      <c r="F3506" s="202"/>
      <c r="G3506" s="142"/>
      <c r="H3506" s="142"/>
      <c r="I3506" s="143"/>
      <c r="J3506" s="144"/>
      <c r="K3506" s="17"/>
      <c r="L3506" s="17"/>
      <c r="M3506" s="17"/>
      <c r="N3506" s="68"/>
      <c r="O3506" s="68"/>
      <c r="P3506" s="68"/>
      <c r="Q3506" s="149"/>
      <c r="R3506" s="149"/>
      <c r="S3506" s="149"/>
      <c r="T3506" s="149"/>
      <c r="U3506" s="149"/>
      <c r="V3506" s="149"/>
      <c r="W3506" s="149"/>
      <c r="X3506" s="68"/>
      <c r="Y3506" s="68"/>
      <c r="Z3506" s="68"/>
    </row>
    <row r="3507" ht="15.0" customHeight="1">
      <c r="A3507" s="421"/>
      <c r="B3507" s="201"/>
      <c r="C3507" s="17"/>
      <c r="D3507" s="140"/>
      <c r="E3507" s="17"/>
      <c r="F3507" s="202"/>
      <c r="G3507" s="142"/>
      <c r="H3507" s="142"/>
      <c r="I3507" s="143"/>
      <c r="J3507" s="144"/>
      <c r="K3507" s="17"/>
      <c r="L3507" s="17"/>
      <c r="M3507" s="17"/>
      <c r="N3507" s="68"/>
      <c r="O3507" s="68"/>
      <c r="P3507" s="68"/>
      <c r="Q3507" s="149"/>
      <c r="R3507" s="149"/>
      <c r="S3507" s="149"/>
      <c r="T3507" s="149"/>
      <c r="U3507" s="149"/>
      <c r="V3507" s="149"/>
      <c r="W3507" s="149"/>
      <c r="X3507" s="68"/>
      <c r="Y3507" s="68"/>
      <c r="Z3507" s="68"/>
    </row>
    <row r="3508" ht="15.0" customHeight="1">
      <c r="A3508" s="421"/>
      <c r="B3508" s="201"/>
      <c r="C3508" s="17"/>
      <c r="D3508" s="140"/>
      <c r="E3508" s="17"/>
      <c r="F3508" s="202"/>
      <c r="G3508" s="142"/>
      <c r="H3508" s="142"/>
      <c r="I3508" s="143"/>
      <c r="J3508" s="144"/>
      <c r="K3508" s="17"/>
      <c r="L3508" s="17"/>
      <c r="M3508" s="17"/>
      <c r="N3508" s="68"/>
      <c r="O3508" s="68"/>
      <c r="P3508" s="68"/>
      <c r="Q3508" s="149"/>
      <c r="R3508" s="149"/>
      <c r="S3508" s="149"/>
      <c r="T3508" s="149"/>
      <c r="U3508" s="149"/>
      <c r="V3508" s="149"/>
      <c r="W3508" s="149"/>
      <c r="X3508" s="68"/>
      <c r="Y3508" s="68"/>
      <c r="Z3508" s="68"/>
    </row>
    <row r="3509" ht="15.0" customHeight="1">
      <c r="A3509" s="421"/>
      <c r="B3509" s="201"/>
      <c r="C3509" s="17"/>
      <c r="D3509" s="140"/>
      <c r="E3509" s="17"/>
      <c r="F3509" s="202"/>
      <c r="G3509" s="142"/>
      <c r="H3509" s="142"/>
      <c r="I3509" s="143"/>
      <c r="J3509" s="144"/>
      <c r="K3509" s="17"/>
      <c r="L3509" s="17"/>
      <c r="M3509" s="17"/>
      <c r="N3509" s="68"/>
      <c r="O3509" s="68"/>
      <c r="P3509" s="68"/>
      <c r="Q3509" s="149"/>
      <c r="R3509" s="149"/>
      <c r="S3509" s="149"/>
      <c r="T3509" s="149"/>
      <c r="U3509" s="149"/>
      <c r="V3509" s="149"/>
      <c r="W3509" s="149"/>
      <c r="X3509" s="68"/>
      <c r="Y3509" s="68"/>
      <c r="Z3509" s="68"/>
    </row>
    <row r="3510" ht="15.0" customHeight="1">
      <c r="A3510" s="421"/>
      <c r="B3510" s="201"/>
      <c r="C3510" s="17"/>
      <c r="D3510" s="140"/>
      <c r="E3510" s="17"/>
      <c r="F3510" s="202"/>
      <c r="G3510" s="142"/>
      <c r="H3510" s="142"/>
      <c r="I3510" s="143"/>
      <c r="J3510" s="144"/>
      <c r="K3510" s="17"/>
      <c r="L3510" s="17"/>
      <c r="M3510" s="17"/>
      <c r="N3510" s="68"/>
      <c r="O3510" s="68"/>
      <c r="P3510" s="68"/>
      <c r="Q3510" s="149"/>
      <c r="R3510" s="149"/>
      <c r="S3510" s="149"/>
      <c r="T3510" s="149"/>
      <c r="U3510" s="149"/>
      <c r="V3510" s="149"/>
      <c r="W3510" s="149"/>
      <c r="X3510" s="68"/>
      <c r="Y3510" s="68"/>
      <c r="Z3510" s="68"/>
    </row>
    <row r="3511" ht="15.0" customHeight="1">
      <c r="A3511" s="421"/>
      <c r="B3511" s="201"/>
      <c r="C3511" s="17"/>
      <c r="D3511" s="140"/>
      <c r="E3511" s="17"/>
      <c r="F3511" s="202"/>
      <c r="G3511" s="142"/>
      <c r="H3511" s="142"/>
      <c r="I3511" s="143"/>
      <c r="J3511" s="144"/>
      <c r="K3511" s="17"/>
      <c r="L3511" s="17"/>
      <c r="M3511" s="17"/>
      <c r="N3511" s="68"/>
      <c r="O3511" s="68"/>
      <c r="P3511" s="68"/>
      <c r="Q3511" s="149"/>
      <c r="R3511" s="149"/>
      <c r="S3511" s="149"/>
      <c r="T3511" s="149"/>
      <c r="U3511" s="149"/>
      <c r="V3511" s="149"/>
      <c r="W3511" s="149"/>
      <c r="X3511" s="68"/>
      <c r="Y3511" s="68"/>
      <c r="Z3511" s="68"/>
    </row>
    <row r="3512" ht="15.0" customHeight="1">
      <c r="A3512" s="421"/>
      <c r="B3512" s="201"/>
      <c r="C3512" s="17"/>
      <c r="D3512" s="140"/>
      <c r="E3512" s="17"/>
      <c r="F3512" s="202"/>
      <c r="G3512" s="142"/>
      <c r="H3512" s="142"/>
      <c r="I3512" s="143"/>
      <c r="J3512" s="144"/>
      <c r="K3512" s="17"/>
      <c r="L3512" s="17"/>
      <c r="M3512" s="17"/>
      <c r="N3512" s="68"/>
      <c r="O3512" s="68"/>
      <c r="P3512" s="68"/>
      <c r="Q3512" s="149"/>
      <c r="R3512" s="149"/>
      <c r="S3512" s="149"/>
      <c r="T3512" s="149"/>
      <c r="U3512" s="149"/>
      <c r="V3512" s="149"/>
      <c r="W3512" s="149"/>
      <c r="X3512" s="68"/>
      <c r="Y3512" s="68"/>
      <c r="Z3512" s="68"/>
    </row>
    <row r="3513" ht="15.0" customHeight="1">
      <c r="A3513" s="421"/>
      <c r="B3513" s="201"/>
      <c r="C3513" s="17"/>
      <c r="D3513" s="140"/>
      <c r="E3513" s="17"/>
      <c r="F3513" s="202"/>
      <c r="G3513" s="142"/>
      <c r="H3513" s="142"/>
      <c r="I3513" s="143"/>
      <c r="J3513" s="144"/>
      <c r="K3513" s="17"/>
      <c r="L3513" s="17"/>
      <c r="M3513" s="17"/>
      <c r="N3513" s="68"/>
      <c r="O3513" s="68"/>
      <c r="P3513" s="68"/>
      <c r="Q3513" s="149"/>
      <c r="R3513" s="149"/>
      <c r="S3513" s="149"/>
      <c r="T3513" s="149"/>
      <c r="U3513" s="149"/>
      <c r="V3513" s="149"/>
      <c r="W3513" s="149"/>
      <c r="X3513" s="68"/>
      <c r="Y3513" s="68"/>
      <c r="Z3513" s="68"/>
    </row>
    <row r="3514" ht="15.0" customHeight="1">
      <c r="A3514" s="421"/>
      <c r="B3514" s="201"/>
      <c r="C3514" s="17"/>
      <c r="D3514" s="140"/>
      <c r="E3514" s="17"/>
      <c r="F3514" s="202"/>
      <c r="G3514" s="142"/>
      <c r="H3514" s="142"/>
      <c r="I3514" s="143"/>
      <c r="J3514" s="144"/>
      <c r="K3514" s="17"/>
      <c r="L3514" s="17"/>
      <c r="M3514" s="17"/>
      <c r="N3514" s="68"/>
      <c r="O3514" s="68"/>
      <c r="P3514" s="68"/>
      <c r="Q3514" s="149"/>
      <c r="R3514" s="149"/>
      <c r="S3514" s="149"/>
      <c r="T3514" s="149"/>
      <c r="U3514" s="149"/>
      <c r="V3514" s="149"/>
      <c r="W3514" s="149"/>
      <c r="X3514" s="68"/>
      <c r="Y3514" s="68"/>
      <c r="Z3514" s="68"/>
    </row>
    <row r="3515" ht="15.0" customHeight="1">
      <c r="A3515" s="421"/>
      <c r="B3515" s="201"/>
      <c r="C3515" s="17"/>
      <c r="D3515" s="140"/>
      <c r="E3515" s="17"/>
      <c r="F3515" s="202"/>
      <c r="G3515" s="142"/>
      <c r="H3515" s="142"/>
      <c r="I3515" s="143"/>
      <c r="J3515" s="144"/>
      <c r="K3515" s="17"/>
      <c r="L3515" s="17"/>
      <c r="M3515" s="17"/>
      <c r="N3515" s="68"/>
      <c r="O3515" s="68"/>
      <c r="P3515" s="68"/>
      <c r="Q3515" s="149"/>
      <c r="R3515" s="149"/>
      <c r="S3515" s="149"/>
      <c r="T3515" s="149"/>
      <c r="U3515" s="149"/>
      <c r="V3515" s="149"/>
      <c r="W3515" s="149"/>
      <c r="X3515" s="68"/>
      <c r="Y3515" s="68"/>
      <c r="Z3515" s="68"/>
    </row>
    <row r="3516" ht="15.0" customHeight="1">
      <c r="A3516" s="421"/>
      <c r="B3516" s="201"/>
      <c r="C3516" s="17"/>
      <c r="D3516" s="140"/>
      <c r="E3516" s="17"/>
      <c r="F3516" s="202"/>
      <c r="G3516" s="142"/>
      <c r="H3516" s="142"/>
      <c r="I3516" s="143"/>
      <c r="J3516" s="144"/>
      <c r="K3516" s="17"/>
      <c r="L3516" s="17"/>
      <c r="M3516" s="17"/>
      <c r="N3516" s="68"/>
      <c r="O3516" s="68"/>
      <c r="P3516" s="68"/>
      <c r="Q3516" s="149"/>
      <c r="R3516" s="149"/>
      <c r="S3516" s="149"/>
      <c r="T3516" s="149"/>
      <c r="U3516" s="149"/>
      <c r="V3516" s="149"/>
      <c r="W3516" s="149"/>
      <c r="X3516" s="68"/>
      <c r="Y3516" s="68"/>
      <c r="Z3516" s="68"/>
    </row>
    <row r="3517" ht="15.0" customHeight="1">
      <c r="A3517" s="421"/>
      <c r="B3517" s="201"/>
      <c r="C3517" s="17"/>
      <c r="D3517" s="140"/>
      <c r="E3517" s="17"/>
      <c r="F3517" s="202"/>
      <c r="G3517" s="142"/>
      <c r="H3517" s="142"/>
      <c r="I3517" s="143"/>
      <c r="J3517" s="144"/>
      <c r="K3517" s="17"/>
      <c r="L3517" s="17"/>
      <c r="M3517" s="17"/>
      <c r="N3517" s="68"/>
      <c r="O3517" s="68"/>
      <c r="P3517" s="68"/>
      <c r="Q3517" s="149"/>
      <c r="R3517" s="149"/>
      <c r="S3517" s="149"/>
      <c r="T3517" s="149"/>
      <c r="U3517" s="149"/>
      <c r="V3517" s="149"/>
      <c r="W3517" s="149"/>
      <c r="X3517" s="68"/>
      <c r="Y3517" s="68"/>
      <c r="Z3517" s="68"/>
    </row>
    <row r="3518" ht="15.0" customHeight="1">
      <c r="A3518" s="421"/>
      <c r="B3518" s="201"/>
      <c r="C3518" s="17"/>
      <c r="D3518" s="140"/>
      <c r="E3518" s="17"/>
      <c r="F3518" s="202"/>
      <c r="G3518" s="142"/>
      <c r="H3518" s="142"/>
      <c r="I3518" s="143"/>
      <c r="J3518" s="144"/>
      <c r="K3518" s="17"/>
      <c r="L3518" s="17"/>
      <c r="M3518" s="17"/>
      <c r="N3518" s="68"/>
      <c r="O3518" s="68"/>
      <c r="P3518" s="68"/>
      <c r="Q3518" s="149"/>
      <c r="R3518" s="149"/>
      <c r="S3518" s="149"/>
      <c r="T3518" s="149"/>
      <c r="U3518" s="149"/>
      <c r="V3518" s="149"/>
      <c r="W3518" s="149"/>
      <c r="X3518" s="68"/>
      <c r="Y3518" s="68"/>
      <c r="Z3518" s="68"/>
    </row>
    <row r="3519" ht="15.0" customHeight="1">
      <c r="A3519" s="421"/>
      <c r="B3519" s="201"/>
      <c r="C3519" s="17"/>
      <c r="D3519" s="140"/>
      <c r="E3519" s="17"/>
      <c r="F3519" s="202"/>
      <c r="G3519" s="142"/>
      <c r="H3519" s="142"/>
      <c r="I3519" s="143"/>
      <c r="J3519" s="144"/>
      <c r="K3519" s="17"/>
      <c r="L3519" s="17"/>
      <c r="M3519" s="17"/>
      <c r="N3519" s="68"/>
      <c r="O3519" s="68"/>
      <c r="P3519" s="68"/>
      <c r="Q3519" s="149"/>
      <c r="R3519" s="149"/>
      <c r="S3519" s="149"/>
      <c r="T3519" s="149"/>
      <c r="U3519" s="149"/>
      <c r="V3519" s="149"/>
      <c r="W3519" s="149"/>
      <c r="X3519" s="68"/>
      <c r="Y3519" s="68"/>
      <c r="Z3519" s="68"/>
    </row>
    <row r="3520" ht="15.0" customHeight="1">
      <c r="A3520" s="421"/>
      <c r="B3520" s="201"/>
      <c r="C3520" s="17"/>
      <c r="D3520" s="140"/>
      <c r="E3520" s="17"/>
      <c r="F3520" s="202"/>
      <c r="G3520" s="142"/>
      <c r="H3520" s="142"/>
      <c r="I3520" s="143"/>
      <c r="J3520" s="144"/>
      <c r="K3520" s="17"/>
      <c r="L3520" s="17"/>
      <c r="M3520" s="17"/>
      <c r="N3520" s="68"/>
      <c r="O3520" s="68"/>
      <c r="P3520" s="68"/>
      <c r="Q3520" s="149"/>
      <c r="R3520" s="149"/>
      <c r="S3520" s="149"/>
      <c r="T3520" s="149"/>
      <c r="U3520" s="149"/>
      <c r="V3520" s="149"/>
      <c r="W3520" s="149"/>
      <c r="X3520" s="68"/>
      <c r="Y3520" s="68"/>
      <c r="Z3520" s="68"/>
    </row>
    <row r="3521" ht="15.0" customHeight="1">
      <c r="A3521" s="421"/>
      <c r="B3521" s="201"/>
      <c r="C3521" s="17"/>
      <c r="D3521" s="140"/>
      <c r="E3521" s="17"/>
      <c r="F3521" s="202"/>
      <c r="G3521" s="142"/>
      <c r="H3521" s="142"/>
      <c r="I3521" s="143"/>
      <c r="J3521" s="144"/>
      <c r="K3521" s="17"/>
      <c r="L3521" s="17"/>
      <c r="M3521" s="17"/>
      <c r="N3521" s="68"/>
      <c r="O3521" s="68"/>
      <c r="P3521" s="68"/>
      <c r="Q3521" s="149"/>
      <c r="R3521" s="149"/>
      <c r="S3521" s="149"/>
      <c r="T3521" s="149"/>
      <c r="U3521" s="149"/>
      <c r="V3521" s="149"/>
      <c r="W3521" s="149"/>
      <c r="X3521" s="68"/>
      <c r="Y3521" s="68"/>
      <c r="Z3521" s="68"/>
    </row>
    <row r="3522" ht="15.0" customHeight="1">
      <c r="A3522" s="421"/>
      <c r="B3522" s="201"/>
      <c r="C3522" s="17"/>
      <c r="D3522" s="140"/>
      <c r="E3522" s="17"/>
      <c r="F3522" s="202"/>
      <c r="G3522" s="142"/>
      <c r="H3522" s="142"/>
      <c r="I3522" s="143"/>
      <c r="J3522" s="144"/>
      <c r="K3522" s="17"/>
      <c r="L3522" s="17"/>
      <c r="M3522" s="17"/>
      <c r="N3522" s="68"/>
      <c r="O3522" s="68"/>
      <c r="P3522" s="68"/>
      <c r="Q3522" s="149"/>
      <c r="R3522" s="149"/>
      <c r="S3522" s="149"/>
      <c r="T3522" s="149"/>
      <c r="U3522" s="149"/>
      <c r="V3522" s="149"/>
      <c r="W3522" s="149"/>
      <c r="X3522" s="68"/>
      <c r="Y3522" s="68"/>
      <c r="Z3522" s="68"/>
    </row>
    <row r="3523" ht="15.0" customHeight="1">
      <c r="A3523" s="421"/>
      <c r="B3523" s="201"/>
      <c r="C3523" s="17"/>
      <c r="D3523" s="140"/>
      <c r="E3523" s="17"/>
      <c r="F3523" s="202"/>
      <c r="G3523" s="142"/>
      <c r="H3523" s="142"/>
      <c r="I3523" s="143"/>
      <c r="J3523" s="144"/>
      <c r="K3523" s="17"/>
      <c r="L3523" s="17"/>
      <c r="M3523" s="17"/>
      <c r="N3523" s="68"/>
      <c r="O3523" s="68"/>
      <c r="P3523" s="68"/>
      <c r="Q3523" s="149"/>
      <c r="R3523" s="149"/>
      <c r="S3523" s="149"/>
      <c r="T3523" s="149"/>
      <c r="U3523" s="149"/>
      <c r="V3523" s="149"/>
      <c r="W3523" s="149"/>
      <c r="X3523" s="68"/>
      <c r="Y3523" s="68"/>
      <c r="Z3523" s="68"/>
    </row>
    <row r="3524" ht="15.0" customHeight="1">
      <c r="A3524" s="421"/>
      <c r="B3524" s="201"/>
      <c r="C3524" s="17"/>
      <c r="D3524" s="140"/>
      <c r="E3524" s="17"/>
      <c r="F3524" s="202"/>
      <c r="G3524" s="142"/>
      <c r="H3524" s="142"/>
      <c r="I3524" s="143"/>
      <c r="J3524" s="144"/>
      <c r="K3524" s="17"/>
      <c r="L3524" s="17"/>
      <c r="M3524" s="17"/>
      <c r="N3524" s="68"/>
      <c r="O3524" s="68"/>
      <c r="P3524" s="68"/>
      <c r="Q3524" s="149"/>
      <c r="R3524" s="149"/>
      <c r="S3524" s="149"/>
      <c r="T3524" s="149"/>
      <c r="U3524" s="149"/>
      <c r="V3524" s="149"/>
      <c r="W3524" s="149"/>
      <c r="X3524" s="68"/>
      <c r="Y3524" s="68"/>
      <c r="Z3524" s="68"/>
    </row>
    <row r="3525" ht="15.0" customHeight="1">
      <c r="A3525" s="421"/>
      <c r="B3525" s="201"/>
      <c r="C3525" s="17"/>
      <c r="D3525" s="140"/>
      <c r="E3525" s="17"/>
      <c r="F3525" s="202"/>
      <c r="G3525" s="142"/>
      <c r="H3525" s="142"/>
      <c r="I3525" s="143"/>
      <c r="J3525" s="144"/>
      <c r="K3525" s="17"/>
      <c r="L3525" s="17"/>
      <c r="M3525" s="17"/>
      <c r="N3525" s="68"/>
      <c r="O3525" s="68"/>
      <c r="P3525" s="68"/>
      <c r="Q3525" s="149"/>
      <c r="R3525" s="149"/>
      <c r="S3525" s="149"/>
      <c r="T3525" s="149"/>
      <c r="U3525" s="149"/>
      <c r="V3525" s="149"/>
      <c r="W3525" s="149"/>
      <c r="X3525" s="68"/>
      <c r="Y3525" s="68"/>
      <c r="Z3525" s="68"/>
    </row>
    <row r="3526" ht="15.0" customHeight="1">
      <c r="A3526" s="421"/>
      <c r="B3526" s="201"/>
      <c r="C3526" s="17"/>
      <c r="D3526" s="140"/>
      <c r="E3526" s="17"/>
      <c r="F3526" s="202"/>
      <c r="G3526" s="142"/>
      <c r="H3526" s="142"/>
      <c r="I3526" s="143"/>
      <c r="J3526" s="144"/>
      <c r="K3526" s="17"/>
      <c r="L3526" s="17"/>
      <c r="M3526" s="17"/>
      <c r="N3526" s="68"/>
      <c r="O3526" s="68"/>
      <c r="P3526" s="68"/>
      <c r="Q3526" s="149"/>
      <c r="R3526" s="149"/>
      <c r="S3526" s="149"/>
      <c r="T3526" s="149"/>
      <c r="U3526" s="149"/>
      <c r="V3526" s="149"/>
      <c r="W3526" s="149"/>
      <c r="X3526" s="68"/>
      <c r="Y3526" s="68"/>
      <c r="Z3526" s="68"/>
    </row>
    <row r="3527" ht="15.0" customHeight="1">
      <c r="A3527" s="421"/>
      <c r="B3527" s="201"/>
      <c r="C3527" s="17"/>
      <c r="D3527" s="140"/>
      <c r="E3527" s="17"/>
      <c r="F3527" s="202"/>
      <c r="G3527" s="142"/>
      <c r="H3527" s="142"/>
      <c r="I3527" s="143"/>
      <c r="J3527" s="144"/>
      <c r="K3527" s="17"/>
      <c r="L3527" s="17"/>
      <c r="M3527" s="17"/>
      <c r="N3527" s="68"/>
      <c r="O3527" s="68"/>
      <c r="P3527" s="68"/>
      <c r="Q3527" s="149"/>
      <c r="R3527" s="149"/>
      <c r="S3527" s="149"/>
      <c r="T3527" s="149"/>
      <c r="U3527" s="149"/>
      <c r="V3527" s="149"/>
      <c r="W3527" s="149"/>
      <c r="X3527" s="68"/>
      <c r="Y3527" s="68"/>
      <c r="Z3527" s="68"/>
    </row>
    <row r="3528" ht="15.0" customHeight="1">
      <c r="A3528" s="421"/>
      <c r="B3528" s="201"/>
      <c r="C3528" s="17"/>
      <c r="D3528" s="140"/>
      <c r="E3528" s="17"/>
      <c r="F3528" s="202"/>
      <c r="G3528" s="142"/>
      <c r="H3528" s="142"/>
      <c r="I3528" s="143"/>
      <c r="J3528" s="144"/>
      <c r="K3528" s="17"/>
      <c r="L3528" s="17"/>
      <c r="M3528" s="17"/>
      <c r="N3528" s="68"/>
      <c r="O3528" s="68"/>
      <c r="P3528" s="68"/>
      <c r="Q3528" s="149"/>
      <c r="R3528" s="149"/>
      <c r="S3528" s="149"/>
      <c r="T3528" s="149"/>
      <c r="U3528" s="149"/>
      <c r="V3528" s="149"/>
      <c r="W3528" s="149"/>
      <c r="X3528" s="68"/>
      <c r="Y3528" s="68"/>
      <c r="Z3528" s="68"/>
    </row>
    <row r="3529" ht="15.0" customHeight="1">
      <c r="A3529" s="421"/>
      <c r="B3529" s="201"/>
      <c r="C3529" s="17"/>
      <c r="D3529" s="140"/>
      <c r="E3529" s="17"/>
      <c r="F3529" s="202"/>
      <c r="G3529" s="142"/>
      <c r="H3529" s="142"/>
      <c r="I3529" s="143"/>
      <c r="J3529" s="144"/>
      <c r="K3529" s="17"/>
      <c r="L3529" s="17"/>
      <c r="M3529" s="17"/>
      <c r="N3529" s="68"/>
      <c r="O3529" s="68"/>
      <c r="P3529" s="68"/>
      <c r="Q3529" s="149"/>
      <c r="R3529" s="149"/>
      <c r="S3529" s="149"/>
      <c r="T3529" s="149"/>
      <c r="U3529" s="149"/>
      <c r="V3529" s="149"/>
      <c r="W3529" s="149"/>
      <c r="X3529" s="68"/>
      <c r="Y3529" s="68"/>
      <c r="Z3529" s="68"/>
    </row>
    <row r="3530" ht="15.0" customHeight="1">
      <c r="A3530" s="421"/>
      <c r="B3530" s="201"/>
      <c r="C3530" s="17"/>
      <c r="D3530" s="140"/>
      <c r="E3530" s="17"/>
      <c r="F3530" s="202"/>
      <c r="G3530" s="142"/>
      <c r="H3530" s="142"/>
      <c r="I3530" s="143"/>
      <c r="J3530" s="144"/>
      <c r="K3530" s="17"/>
      <c r="L3530" s="17"/>
      <c r="M3530" s="17"/>
      <c r="N3530" s="68"/>
      <c r="O3530" s="68"/>
      <c r="P3530" s="68"/>
      <c r="Q3530" s="149"/>
      <c r="R3530" s="149"/>
      <c r="S3530" s="149"/>
      <c r="T3530" s="149"/>
      <c r="U3530" s="149"/>
      <c r="V3530" s="149"/>
      <c r="W3530" s="149"/>
      <c r="X3530" s="68"/>
      <c r="Y3530" s="68"/>
      <c r="Z3530" s="68"/>
    </row>
    <row r="3531" ht="15.0" customHeight="1">
      <c r="A3531" s="421"/>
      <c r="B3531" s="201"/>
      <c r="C3531" s="17"/>
      <c r="D3531" s="140"/>
      <c r="E3531" s="17"/>
      <c r="F3531" s="202"/>
      <c r="G3531" s="142"/>
      <c r="H3531" s="142"/>
      <c r="I3531" s="143"/>
      <c r="J3531" s="144"/>
      <c r="K3531" s="17"/>
      <c r="L3531" s="17"/>
      <c r="M3531" s="17"/>
      <c r="N3531" s="68"/>
      <c r="O3531" s="68"/>
      <c r="P3531" s="68"/>
      <c r="Q3531" s="149"/>
      <c r="R3531" s="149"/>
      <c r="S3531" s="149"/>
      <c r="T3531" s="149"/>
      <c r="U3531" s="149"/>
      <c r="V3531" s="149"/>
      <c r="W3531" s="149"/>
      <c r="X3531" s="68"/>
      <c r="Y3531" s="68"/>
      <c r="Z3531" s="68"/>
    </row>
    <row r="3532" ht="15.0" customHeight="1">
      <c r="A3532" s="421"/>
      <c r="B3532" s="201"/>
      <c r="C3532" s="17"/>
      <c r="D3532" s="140"/>
      <c r="E3532" s="17"/>
      <c r="F3532" s="202"/>
      <c r="G3532" s="142"/>
      <c r="H3532" s="142"/>
      <c r="I3532" s="143"/>
      <c r="J3532" s="144"/>
      <c r="K3532" s="17"/>
      <c r="L3532" s="17"/>
      <c r="M3532" s="17"/>
      <c r="N3532" s="68"/>
      <c r="O3532" s="68"/>
      <c r="P3532" s="68"/>
      <c r="Q3532" s="149"/>
      <c r="R3532" s="149"/>
      <c r="S3532" s="149"/>
      <c r="T3532" s="149"/>
      <c r="U3532" s="149"/>
      <c r="V3532" s="149"/>
      <c r="W3532" s="149"/>
      <c r="X3532" s="68"/>
      <c r="Y3532" s="68"/>
      <c r="Z3532" s="68"/>
    </row>
    <row r="3533" ht="15.0" customHeight="1">
      <c r="A3533" s="421"/>
      <c r="B3533" s="201"/>
      <c r="C3533" s="17"/>
      <c r="D3533" s="140"/>
      <c r="E3533" s="17"/>
      <c r="F3533" s="202"/>
      <c r="G3533" s="142"/>
      <c r="H3533" s="142"/>
      <c r="I3533" s="143"/>
      <c r="J3533" s="144"/>
      <c r="K3533" s="17"/>
      <c r="L3533" s="17"/>
      <c r="M3533" s="17"/>
      <c r="N3533" s="68"/>
      <c r="O3533" s="68"/>
      <c r="P3533" s="68"/>
      <c r="Q3533" s="149"/>
      <c r="R3533" s="149"/>
      <c r="S3533" s="149"/>
      <c r="T3533" s="149"/>
      <c r="U3533" s="149"/>
      <c r="V3533" s="149"/>
      <c r="W3533" s="149"/>
      <c r="X3533" s="68"/>
      <c r="Y3533" s="68"/>
      <c r="Z3533" s="68"/>
    </row>
    <row r="3534" ht="15.0" customHeight="1">
      <c r="A3534" s="421"/>
      <c r="B3534" s="201"/>
      <c r="C3534" s="17"/>
      <c r="D3534" s="140"/>
      <c r="E3534" s="17"/>
      <c r="F3534" s="202"/>
      <c r="G3534" s="142"/>
      <c r="H3534" s="142"/>
      <c r="I3534" s="143"/>
      <c r="J3534" s="144"/>
      <c r="K3534" s="17"/>
      <c r="L3534" s="17"/>
      <c r="M3534" s="17"/>
      <c r="N3534" s="68"/>
      <c r="O3534" s="68"/>
      <c r="P3534" s="68"/>
      <c r="Q3534" s="149"/>
      <c r="R3534" s="149"/>
      <c r="S3534" s="149"/>
      <c r="T3534" s="149"/>
      <c r="U3534" s="149"/>
      <c r="V3534" s="149"/>
      <c r="W3534" s="149"/>
      <c r="X3534" s="68"/>
      <c r="Y3534" s="68"/>
      <c r="Z3534" s="68"/>
    </row>
    <row r="3535" ht="15.0" customHeight="1">
      <c r="A3535" s="421"/>
      <c r="B3535" s="201"/>
      <c r="C3535" s="17"/>
      <c r="D3535" s="140"/>
      <c r="E3535" s="17"/>
      <c r="F3535" s="202"/>
      <c r="G3535" s="142"/>
      <c r="H3535" s="142"/>
      <c r="I3535" s="143"/>
      <c r="J3535" s="144"/>
      <c r="K3535" s="17"/>
      <c r="L3535" s="17"/>
      <c r="M3535" s="17"/>
      <c r="N3535" s="68"/>
      <c r="O3535" s="68"/>
      <c r="P3535" s="68"/>
      <c r="Q3535" s="149"/>
      <c r="R3535" s="149"/>
      <c r="S3535" s="149"/>
      <c r="T3535" s="149"/>
      <c r="U3535" s="149"/>
      <c r="V3535" s="149"/>
      <c r="W3535" s="149"/>
      <c r="X3535" s="68"/>
      <c r="Y3535" s="68"/>
      <c r="Z3535" s="68"/>
    </row>
  </sheetData>
  <mergeCells count="12">
    <mergeCell ref="K2:O2"/>
    <mergeCell ref="Q2:V2"/>
    <mergeCell ref="X2:X3"/>
    <mergeCell ref="Y2:Y3"/>
    <mergeCell ref="A1:Z1"/>
    <mergeCell ref="A2:A3"/>
    <mergeCell ref="B2:B3"/>
    <mergeCell ref="C2:D2"/>
    <mergeCell ref="E2:E3"/>
    <mergeCell ref="F2:J2"/>
    <mergeCell ref="P2:P3"/>
    <mergeCell ref="Z2:Z3"/>
  </mergeCells>
  <printOptions/>
  <pageMargins bottom="0.75" footer="0.0" header="0.0" left="0.7" right="0.7" top="0.75"/>
  <pageSetup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1.71"/>
    <col customWidth="1" min="3" max="3" width="8.71"/>
    <col customWidth="1" min="4" max="4" width="11.43"/>
    <col customWidth="1" min="5" max="5" width="8.71"/>
    <col customWidth="1" min="6" max="6" width="6.71"/>
    <col customWidth="1" min="7" max="7" width="7.29"/>
    <col customWidth="1" min="8" max="8" width="3.57"/>
    <col customWidth="1" min="9" max="9" width="3.43"/>
    <col customWidth="1" min="10" max="10" width="6.43"/>
    <col customWidth="1" min="11" max="11" width="9.71"/>
    <col customWidth="1" min="12" max="12" width="15.29"/>
    <col customWidth="1" min="13" max="16" width="8.71"/>
  </cols>
  <sheetData>
    <row r="1" ht="13.5" customHeight="1">
      <c r="A1" s="590" t="s">
        <v>9772</v>
      </c>
      <c r="B1" s="591"/>
      <c r="C1" s="592"/>
      <c r="D1" s="592"/>
      <c r="E1" s="592"/>
      <c r="F1" s="593"/>
      <c r="G1" s="592"/>
      <c r="H1" s="592"/>
      <c r="I1" s="592"/>
      <c r="J1" s="594" t="s">
        <v>9773</v>
      </c>
      <c r="K1" s="68"/>
      <c r="L1" s="595">
        <v>46132.0</v>
      </c>
    </row>
    <row r="2" ht="13.5" customHeight="1">
      <c r="A2" s="596" t="s">
        <v>9774</v>
      </c>
      <c r="B2" s="597"/>
      <c r="C2" s="598"/>
      <c r="D2" s="598"/>
      <c r="E2" s="598"/>
      <c r="F2" s="592"/>
      <c r="G2" s="592"/>
      <c r="H2" s="592"/>
      <c r="I2" s="594"/>
      <c r="J2" s="594" t="s">
        <v>9775</v>
      </c>
      <c r="K2" s="88"/>
      <c r="L2" s="17"/>
    </row>
    <row r="3" ht="13.5" customHeight="1">
      <c r="A3" s="599" t="s">
        <v>9776</v>
      </c>
      <c r="B3" s="600"/>
      <c r="C3" s="592"/>
      <c r="D3" s="601"/>
      <c r="E3" s="601"/>
      <c r="F3" s="601"/>
      <c r="G3" s="601"/>
      <c r="H3" s="601"/>
      <c r="I3" s="602"/>
      <c r="J3" s="109"/>
      <c r="L3" s="603"/>
    </row>
    <row r="4" ht="13.5" customHeight="1">
      <c r="A4" s="604"/>
      <c r="B4" s="604"/>
      <c r="C4" s="592"/>
      <c r="D4" s="601"/>
      <c r="E4" s="601"/>
      <c r="F4" s="601"/>
      <c r="G4" s="601"/>
      <c r="H4" s="601"/>
      <c r="I4" s="602"/>
      <c r="J4" s="567" t="s">
        <v>9635</v>
      </c>
      <c r="K4" s="605"/>
      <c r="L4" s="605"/>
    </row>
    <row r="5" ht="13.5" customHeight="1">
      <c r="A5" s="604"/>
      <c r="B5" s="604"/>
      <c r="C5" s="592"/>
      <c r="D5" s="601"/>
      <c r="E5" s="601"/>
      <c r="F5" s="601"/>
      <c r="G5" s="601"/>
      <c r="H5" s="601"/>
      <c r="I5" s="602"/>
      <c r="J5" s="606" t="s">
        <v>2813</v>
      </c>
      <c r="K5" s="607"/>
      <c r="L5" s="607"/>
    </row>
    <row r="6" ht="13.5" customHeight="1">
      <c r="A6" s="604"/>
      <c r="B6" s="604"/>
      <c r="C6" s="592"/>
      <c r="D6" s="601"/>
      <c r="E6" s="601"/>
      <c r="F6" s="601"/>
      <c r="G6" s="601"/>
      <c r="H6" s="601"/>
      <c r="I6" s="602"/>
      <c r="J6" s="606"/>
    </row>
    <row r="7" ht="13.5" customHeight="1">
      <c r="A7" s="604"/>
      <c r="B7" s="604"/>
      <c r="C7" s="592"/>
      <c r="D7" s="601"/>
      <c r="E7" s="601"/>
      <c r="F7" s="601"/>
      <c r="G7" s="601"/>
      <c r="H7" s="601"/>
      <c r="I7" s="601"/>
      <c r="J7" s="606"/>
      <c r="K7" s="606"/>
      <c r="L7" s="606"/>
    </row>
    <row r="8" ht="13.5" customHeight="1">
      <c r="A8" s="604"/>
      <c r="B8" s="604"/>
      <c r="C8" s="592"/>
      <c r="D8" s="608" t="s">
        <v>9777</v>
      </c>
      <c r="G8" s="601"/>
      <c r="H8" s="601"/>
      <c r="I8" s="601"/>
      <c r="J8" s="609"/>
      <c r="K8" s="609"/>
      <c r="L8" s="609"/>
    </row>
    <row r="9" ht="13.5" customHeight="1">
      <c r="A9" s="17"/>
      <c r="B9" s="610"/>
      <c r="C9" s="17"/>
      <c r="D9" s="611"/>
      <c r="E9" s="611"/>
      <c r="F9" s="611"/>
      <c r="G9" s="17"/>
      <c r="H9" s="17"/>
      <c r="I9" s="17"/>
      <c r="J9" s="612"/>
      <c r="K9" s="612"/>
    </row>
    <row r="10" ht="13.5" customHeight="1">
      <c r="A10" s="613" t="s">
        <v>2727</v>
      </c>
      <c r="B10" s="614" t="s">
        <v>9634</v>
      </c>
      <c r="C10" s="17"/>
      <c r="D10" s="615"/>
      <c r="E10" s="17"/>
      <c r="F10" s="17"/>
      <c r="G10" s="17"/>
      <c r="H10" s="616"/>
      <c r="I10" s="617"/>
      <c r="J10" s="616" t="s">
        <v>9778</v>
      </c>
      <c r="K10" s="617"/>
      <c r="L10" s="64"/>
    </row>
    <row r="11" ht="13.5" customHeight="1">
      <c r="A11" s="618" t="s">
        <v>9779</v>
      </c>
      <c r="B11" s="619" t="s">
        <v>0</v>
      </c>
      <c r="C11" s="618" t="s">
        <v>9780</v>
      </c>
      <c r="D11" s="122"/>
      <c r="E11" s="122"/>
      <c r="F11" s="122"/>
      <c r="G11" s="122"/>
      <c r="H11" s="620" t="s">
        <v>9781</v>
      </c>
      <c r="I11" s="621"/>
      <c r="J11" s="618" t="s">
        <v>9782</v>
      </c>
      <c r="K11" s="122"/>
      <c r="L11" s="618" t="s">
        <v>2740</v>
      </c>
      <c r="M11" s="622"/>
      <c r="N11" s="622"/>
      <c r="O11" s="622"/>
      <c r="P11" s="622"/>
      <c r="Q11" s="622"/>
      <c r="R11" s="622"/>
      <c r="S11" s="622"/>
      <c r="T11" s="622"/>
      <c r="U11" s="622"/>
      <c r="V11" s="622"/>
      <c r="W11" s="622"/>
      <c r="X11" s="622"/>
      <c r="Y11" s="622"/>
      <c r="Z11" s="622"/>
    </row>
    <row r="12" ht="13.5" customHeight="1">
      <c r="A12" s="623">
        <v>1.0</v>
      </c>
      <c r="B12" s="45" t="s">
        <v>5954</v>
      </c>
      <c r="C12" s="455" t="str">
        <f>IFERROR(VLOOKUP(B12,Stock,3,FALSE),"")</f>
        <v>Toyota Voxy 17-</v>
      </c>
      <c r="D12" s="229"/>
      <c r="E12" s="229"/>
      <c r="F12" s="229"/>
      <c r="G12" s="229"/>
      <c r="H12" s="624">
        <v>1.0</v>
      </c>
      <c r="I12" s="624" t="s">
        <v>2729</v>
      </c>
      <c r="J12" s="419">
        <v>3326000.0</v>
      </c>
      <c r="L12" s="625">
        <f t="shared" ref="L12:L17" si="1">H12*J12</f>
        <v>3326000</v>
      </c>
    </row>
    <row r="13" ht="13.5" customHeight="1">
      <c r="A13" s="626">
        <v>2.0</v>
      </c>
      <c r="B13" s="45" t="s">
        <v>9783</v>
      </c>
      <c r="C13" s="455" t="str">
        <f>IFERROR(VLOOKUP(B13,Stock,3,FALSE),"")</f>
        <v/>
      </c>
      <c r="H13" s="444">
        <v>1.0</v>
      </c>
      <c r="I13" s="444" t="s">
        <v>9784</v>
      </c>
      <c r="J13" s="419">
        <v>2004000.0</v>
      </c>
      <c r="L13" s="625">
        <f t="shared" si="1"/>
        <v>2004000</v>
      </c>
    </row>
    <row r="14" ht="13.5" customHeight="1">
      <c r="A14" s="623">
        <v>3.0</v>
      </c>
      <c r="B14" s="45"/>
      <c r="C14" s="229" t="str">
        <f>IFERROR(VLOOKUP(B14,Stock,3,FALSE),"")</f>
        <v/>
      </c>
      <c r="H14" s="444"/>
      <c r="I14" s="444"/>
      <c r="J14" s="627"/>
      <c r="L14" s="625">
        <f t="shared" si="1"/>
        <v>0</v>
      </c>
      <c r="P14" s="17"/>
    </row>
    <row r="15" ht="13.5" customHeight="1">
      <c r="A15" s="444">
        <v>4.0</v>
      </c>
      <c r="B15" s="201"/>
      <c r="C15" s="229" t="str">
        <f>IFERROR(VLOOKUP(B15,Stock,3,FALSE),"")</f>
        <v/>
      </c>
      <c r="H15" s="444"/>
      <c r="I15" s="444"/>
      <c r="J15" s="627"/>
      <c r="L15" s="625">
        <f t="shared" si="1"/>
        <v>0</v>
      </c>
    </row>
    <row r="16" ht="13.5" customHeight="1">
      <c r="A16" s="444">
        <v>5.0</v>
      </c>
      <c r="B16" s="628"/>
      <c r="C16" s="229" t="str">
        <f>IFERROR(VLOOKUP(B16,Stock,3,FALSE),"")</f>
        <v/>
      </c>
      <c r="H16" s="628"/>
      <c r="I16" s="628"/>
      <c r="J16" s="627"/>
      <c r="L16" s="625">
        <f t="shared" si="1"/>
        <v>0</v>
      </c>
    </row>
    <row r="17" ht="13.5" customHeight="1">
      <c r="A17" s="629">
        <v>6.0</v>
      </c>
      <c r="B17" s="630"/>
      <c r="C17" s="229" t="str">
        <f>IFERROR(VLOOKUP(B17,Stock,3,FALSE),"")</f>
        <v/>
      </c>
      <c r="H17" s="628"/>
      <c r="I17" s="628"/>
      <c r="J17" s="631"/>
      <c r="K17" s="617"/>
      <c r="L17" s="625">
        <f t="shared" si="1"/>
        <v>0</v>
      </c>
    </row>
    <row r="18" ht="13.5" customHeight="1">
      <c r="A18" s="632" t="s">
        <v>9785</v>
      </c>
      <c r="B18" s="621"/>
      <c r="C18" s="621"/>
      <c r="D18" s="621"/>
      <c r="E18" s="633"/>
      <c r="F18" s="633"/>
      <c r="G18" s="633"/>
      <c r="H18" s="634"/>
      <c r="I18" s="635"/>
      <c r="J18" s="636"/>
      <c r="K18" s="637" t="s">
        <v>9786</v>
      </c>
      <c r="L18" s="638">
        <f>SUM(L12:L17)</f>
        <v>5330000</v>
      </c>
    </row>
    <row r="19" ht="13.5" customHeight="1">
      <c r="A19" s="639"/>
      <c r="D19" s="640"/>
      <c r="E19" s="641"/>
      <c r="G19" s="642"/>
      <c r="H19" s="642"/>
      <c r="I19" s="642"/>
      <c r="J19" s="643"/>
      <c r="K19" s="201" t="s">
        <v>9787</v>
      </c>
      <c r="L19" s="644">
        <v>0.0</v>
      </c>
    </row>
    <row r="20" ht="13.5" customHeight="1">
      <c r="A20" s="639"/>
      <c r="B20" s="639"/>
      <c r="C20" s="639"/>
      <c r="D20" s="640"/>
      <c r="E20" s="645" t="s">
        <v>9788</v>
      </c>
      <c r="J20" s="643"/>
      <c r="K20" s="201" t="s">
        <v>9789</v>
      </c>
      <c r="L20" s="644">
        <v>0.0</v>
      </c>
    </row>
    <row r="21" ht="13.5" customHeight="1">
      <c r="A21" s="592"/>
      <c r="B21" s="628"/>
      <c r="C21" s="628"/>
      <c r="D21" s="628"/>
      <c r="J21" s="646"/>
      <c r="K21" s="647" t="s">
        <v>9790</v>
      </c>
      <c r="L21" s="648">
        <f>L18-L19-L20</f>
        <v>5330000</v>
      </c>
    </row>
    <row r="22" ht="13.5" customHeight="1">
      <c r="A22" s="592"/>
      <c r="B22" s="604"/>
      <c r="C22" s="604"/>
      <c r="D22" s="649"/>
      <c r="J22" s="650"/>
      <c r="K22" s="637"/>
      <c r="L22" s="651"/>
    </row>
    <row r="23" ht="13.5" customHeight="1">
      <c r="A23" s="592"/>
      <c r="B23" s="604"/>
      <c r="C23" s="604"/>
      <c r="D23" s="604"/>
      <c r="J23" s="652" t="s">
        <v>1973</v>
      </c>
      <c r="K23" s="653" t="s">
        <v>9791</v>
      </c>
      <c r="L23" s="653"/>
    </row>
    <row r="24" ht="13.5" customHeight="1">
      <c r="A24" s="654" t="s">
        <v>9792</v>
      </c>
      <c r="B24" s="591"/>
      <c r="C24" s="591"/>
      <c r="D24" s="649"/>
      <c r="J24" s="655"/>
      <c r="K24" s="656"/>
    </row>
    <row r="25" ht="13.5" customHeight="1">
      <c r="B25" s="657"/>
      <c r="F25" s="594" t="s">
        <v>1973</v>
      </c>
      <c r="H25" s="658"/>
      <c r="I25" s="658"/>
      <c r="J25" s="650"/>
      <c r="K25" s="659"/>
      <c r="L25" s="646"/>
    </row>
    <row r="26" ht="13.5" customHeight="1">
      <c r="K26" s="660"/>
      <c r="L26" s="660"/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22">
    <mergeCell ref="J13:K13"/>
    <mergeCell ref="J14:K14"/>
    <mergeCell ref="J15:K15"/>
    <mergeCell ref="J16:K16"/>
    <mergeCell ref="J17:K17"/>
    <mergeCell ref="J6:L6"/>
    <mergeCell ref="D8:F8"/>
    <mergeCell ref="H10:I10"/>
    <mergeCell ref="J10:K10"/>
    <mergeCell ref="H11:I11"/>
    <mergeCell ref="J11:K11"/>
    <mergeCell ref="J12:K12"/>
    <mergeCell ref="A19:C19"/>
    <mergeCell ref="E20:I24"/>
    <mergeCell ref="K24:L24"/>
    <mergeCell ref="C11:G11"/>
    <mergeCell ref="C13:G13"/>
    <mergeCell ref="C14:G14"/>
    <mergeCell ref="C15:G15"/>
    <mergeCell ref="C16:G16"/>
    <mergeCell ref="C17:G17"/>
    <mergeCell ref="A18:D18"/>
  </mergeCells>
  <printOptions horizontalCentered="1"/>
  <pageMargins bottom="0.75" footer="0.0" header="0.0" left="0.25" right="0.25" top="0.75"/>
  <pageSetup paperSize="11" scale="92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1.71"/>
    <col customWidth="1" min="3" max="3" width="8.71"/>
    <col customWidth="1" min="4" max="4" width="11.43"/>
    <col customWidth="1" min="5" max="5" width="8.71"/>
    <col customWidth="1" min="6" max="6" width="6.71"/>
    <col customWidth="1" min="7" max="7" width="7.29"/>
    <col customWidth="1" min="8" max="8" width="3.57"/>
    <col customWidth="1" min="9" max="9" width="3.43"/>
    <col customWidth="1" min="10" max="10" width="6.43"/>
    <col customWidth="1" min="11" max="11" width="9.71"/>
    <col customWidth="1" min="12" max="12" width="15.29"/>
    <col customWidth="1" min="13" max="16" width="8.71"/>
  </cols>
  <sheetData>
    <row r="1" ht="13.5" customHeight="1">
      <c r="A1" s="590" t="s">
        <v>9772</v>
      </c>
      <c r="B1" s="591"/>
      <c r="C1" s="592"/>
      <c r="D1" s="592"/>
      <c r="E1" s="592"/>
      <c r="F1" s="593"/>
      <c r="G1" s="592"/>
      <c r="H1" s="592"/>
      <c r="I1" s="592"/>
      <c r="J1" s="594" t="s">
        <v>9773</v>
      </c>
      <c r="K1" s="68"/>
      <c r="L1" s="595">
        <v>46132.0</v>
      </c>
    </row>
    <row r="2" ht="13.5" customHeight="1">
      <c r="A2" s="596" t="s">
        <v>9774</v>
      </c>
      <c r="B2" s="597"/>
      <c r="C2" s="598"/>
      <c r="D2" s="598"/>
      <c r="E2" s="598"/>
      <c r="F2" s="592"/>
      <c r="G2" s="592"/>
      <c r="H2" s="592"/>
      <c r="I2" s="594"/>
      <c r="J2" s="594" t="s">
        <v>9775</v>
      </c>
      <c r="K2" s="88"/>
      <c r="L2" s="17"/>
    </row>
    <row r="3" ht="13.5" customHeight="1">
      <c r="A3" s="599" t="s">
        <v>9776</v>
      </c>
      <c r="B3" s="600"/>
      <c r="C3" s="592"/>
      <c r="D3" s="601"/>
      <c r="E3" s="601"/>
      <c r="F3" s="601"/>
      <c r="G3" s="601"/>
      <c r="H3" s="601"/>
      <c r="I3" s="602"/>
      <c r="J3" s="109"/>
      <c r="L3" s="603"/>
    </row>
    <row r="4" ht="13.5" customHeight="1">
      <c r="A4" s="604"/>
      <c r="B4" s="604"/>
      <c r="C4" s="592"/>
      <c r="D4" s="601"/>
      <c r="E4" s="601"/>
      <c r="F4" s="601"/>
      <c r="G4" s="601"/>
      <c r="H4" s="601"/>
      <c r="I4" s="602"/>
      <c r="J4" s="567" t="s">
        <v>9635</v>
      </c>
      <c r="K4" s="605"/>
      <c r="L4" s="605"/>
    </row>
    <row r="5" ht="13.5" customHeight="1">
      <c r="A5" s="604"/>
      <c r="B5" s="604"/>
      <c r="C5" s="592"/>
      <c r="D5" s="601"/>
      <c r="E5" s="601"/>
      <c r="F5" s="601"/>
      <c r="G5" s="601"/>
      <c r="H5" s="601"/>
      <c r="I5" s="602"/>
      <c r="J5" s="606" t="s">
        <v>2813</v>
      </c>
      <c r="K5" s="607"/>
      <c r="L5" s="607"/>
    </row>
    <row r="6" ht="13.5" customHeight="1">
      <c r="A6" s="604"/>
      <c r="B6" s="604"/>
      <c r="C6" s="592"/>
      <c r="D6" s="601"/>
      <c r="E6" s="601"/>
      <c r="F6" s="601"/>
      <c r="G6" s="601"/>
      <c r="H6" s="601"/>
      <c r="I6" s="602"/>
      <c r="J6" s="606"/>
    </row>
    <row r="7" ht="13.5" customHeight="1">
      <c r="A7" s="604"/>
      <c r="B7" s="604"/>
      <c r="C7" s="592"/>
      <c r="D7" s="601"/>
      <c r="E7" s="601"/>
      <c r="F7" s="601"/>
      <c r="G7" s="601"/>
      <c r="H7" s="601"/>
      <c r="I7" s="601"/>
      <c r="J7" s="606"/>
      <c r="K7" s="606"/>
      <c r="L7" s="606"/>
    </row>
    <row r="8" ht="13.5" customHeight="1">
      <c r="A8" s="604"/>
      <c r="B8" s="604"/>
      <c r="C8" s="592"/>
      <c r="D8" s="608" t="s">
        <v>9777</v>
      </c>
      <c r="G8" s="601"/>
      <c r="H8" s="601"/>
      <c r="I8" s="601"/>
      <c r="J8" s="609"/>
      <c r="K8" s="609"/>
      <c r="L8" s="609"/>
    </row>
    <row r="9" ht="13.5" customHeight="1">
      <c r="A9" s="17"/>
      <c r="B9" s="610"/>
      <c r="C9" s="17"/>
      <c r="D9" s="611"/>
      <c r="E9" s="611"/>
      <c r="F9" s="611"/>
      <c r="G9" s="17"/>
      <c r="H9" s="17"/>
      <c r="I9" s="17"/>
      <c r="J9" s="612"/>
      <c r="K9" s="612"/>
    </row>
    <row r="10" ht="13.5" customHeight="1">
      <c r="A10" s="613" t="s">
        <v>2727</v>
      </c>
      <c r="B10" s="614" t="s">
        <v>9634</v>
      </c>
      <c r="C10" s="17"/>
      <c r="D10" s="615"/>
      <c r="E10" s="17"/>
      <c r="F10" s="17"/>
      <c r="G10" s="17"/>
      <c r="H10" s="616"/>
      <c r="I10" s="617"/>
      <c r="J10" s="616" t="s">
        <v>9778</v>
      </c>
      <c r="K10" s="617"/>
      <c r="L10" s="64"/>
    </row>
    <row r="11" ht="13.5" customHeight="1">
      <c r="A11" s="618" t="s">
        <v>9779</v>
      </c>
      <c r="B11" s="619" t="s">
        <v>0</v>
      </c>
      <c r="C11" s="618" t="s">
        <v>9780</v>
      </c>
      <c r="D11" s="122"/>
      <c r="E11" s="122"/>
      <c r="F11" s="122"/>
      <c r="G11" s="122"/>
      <c r="H11" s="620" t="s">
        <v>9781</v>
      </c>
      <c r="I11" s="621"/>
      <c r="J11" s="618" t="s">
        <v>9782</v>
      </c>
      <c r="K11" s="122"/>
      <c r="L11" s="618" t="s">
        <v>2740</v>
      </c>
      <c r="M11" s="622"/>
      <c r="N11" s="622"/>
      <c r="O11" s="622"/>
      <c r="P11" s="622"/>
      <c r="Q11" s="622"/>
      <c r="R11" s="622"/>
      <c r="S11" s="622"/>
      <c r="T11" s="622"/>
      <c r="U11" s="622"/>
      <c r="V11" s="622"/>
      <c r="W11" s="622"/>
      <c r="X11" s="622"/>
      <c r="Y11" s="622"/>
      <c r="Z11" s="622"/>
    </row>
    <row r="12" ht="13.5" customHeight="1">
      <c r="A12" s="623">
        <v>1.0</v>
      </c>
      <c r="B12" s="45" t="s">
        <v>5954</v>
      </c>
      <c r="C12" s="455" t="str">
        <f>IFERROR(VLOOKUP(B12,Stock,3,FALSE),"")</f>
        <v>Toyota Voxy 17-</v>
      </c>
      <c r="D12" s="229"/>
      <c r="E12" s="229"/>
      <c r="F12" s="229"/>
      <c r="G12" s="229"/>
      <c r="H12" s="624">
        <v>1.0</v>
      </c>
      <c r="I12" s="624" t="s">
        <v>2729</v>
      </c>
      <c r="J12" s="419">
        <v>3326000.0</v>
      </c>
      <c r="L12" s="625">
        <f t="shared" ref="L12:L17" si="1">H12*J12</f>
        <v>3326000</v>
      </c>
    </row>
    <row r="13" ht="13.5" customHeight="1">
      <c r="A13" s="626">
        <v>2.0</v>
      </c>
      <c r="B13" s="45" t="s">
        <v>9783</v>
      </c>
      <c r="C13" s="455" t="str">
        <f>IFERROR(VLOOKUP(B13,Stock,3,FALSE),"")</f>
        <v/>
      </c>
      <c r="H13" s="444">
        <v>1.0</v>
      </c>
      <c r="I13" s="444" t="s">
        <v>9784</v>
      </c>
      <c r="J13" s="419">
        <v>2004000.0</v>
      </c>
      <c r="L13" s="625">
        <f t="shared" si="1"/>
        <v>2004000</v>
      </c>
    </row>
    <row r="14" ht="13.5" customHeight="1">
      <c r="A14" s="623">
        <v>3.0</v>
      </c>
      <c r="B14" s="45"/>
      <c r="C14" s="229" t="str">
        <f>IFERROR(VLOOKUP(B14,Stock,3,FALSE),"")</f>
        <v/>
      </c>
      <c r="H14" s="444"/>
      <c r="I14" s="444"/>
      <c r="J14" s="627"/>
      <c r="L14" s="625">
        <f t="shared" si="1"/>
        <v>0</v>
      </c>
      <c r="P14" s="17"/>
    </row>
    <row r="15" ht="13.5" customHeight="1">
      <c r="A15" s="444">
        <v>4.0</v>
      </c>
      <c r="B15" s="201"/>
      <c r="C15" s="229" t="str">
        <f>IFERROR(VLOOKUP(B15,Stock,3,FALSE),"")</f>
        <v/>
      </c>
      <c r="H15" s="444"/>
      <c r="I15" s="444"/>
      <c r="J15" s="627"/>
      <c r="L15" s="625">
        <f t="shared" si="1"/>
        <v>0</v>
      </c>
    </row>
    <row r="16" ht="13.5" customHeight="1">
      <c r="A16" s="444">
        <v>5.0</v>
      </c>
      <c r="B16" s="628"/>
      <c r="C16" s="229" t="str">
        <f>IFERROR(VLOOKUP(B16,Stock,3,FALSE),"")</f>
        <v/>
      </c>
      <c r="H16" s="628"/>
      <c r="I16" s="628"/>
      <c r="J16" s="627"/>
      <c r="L16" s="625">
        <f t="shared" si="1"/>
        <v>0</v>
      </c>
    </row>
    <row r="17" ht="13.5" customHeight="1">
      <c r="A17" s="629">
        <v>6.0</v>
      </c>
      <c r="B17" s="630"/>
      <c r="C17" s="229" t="str">
        <f>IFERROR(VLOOKUP(B17,Stock,3,FALSE),"")</f>
        <v/>
      </c>
      <c r="H17" s="628"/>
      <c r="I17" s="628"/>
      <c r="J17" s="631"/>
      <c r="K17" s="617"/>
      <c r="L17" s="625">
        <f t="shared" si="1"/>
        <v>0</v>
      </c>
    </row>
    <row r="18" ht="13.5" customHeight="1">
      <c r="A18" s="632" t="s">
        <v>9785</v>
      </c>
      <c r="B18" s="621"/>
      <c r="C18" s="621"/>
      <c r="D18" s="621"/>
      <c r="E18" s="633"/>
      <c r="F18" s="633"/>
      <c r="G18" s="633"/>
      <c r="H18" s="634"/>
      <c r="I18" s="635"/>
      <c r="J18" s="636"/>
      <c r="K18" s="637" t="s">
        <v>9786</v>
      </c>
      <c r="L18" s="638">
        <f>SUM(L12:L17)</f>
        <v>5330000</v>
      </c>
    </row>
    <row r="19" ht="13.5" customHeight="1">
      <c r="A19" s="639"/>
      <c r="D19" s="640"/>
      <c r="E19" s="641"/>
      <c r="G19" s="642"/>
      <c r="H19" s="642"/>
      <c r="I19" s="642"/>
      <c r="J19" s="643"/>
      <c r="K19" s="201" t="s">
        <v>9787</v>
      </c>
      <c r="L19" s="644">
        <v>0.0</v>
      </c>
    </row>
    <row r="20" ht="13.5" customHeight="1">
      <c r="A20" s="639"/>
      <c r="B20" s="639"/>
      <c r="C20" s="639"/>
      <c r="D20" s="640"/>
      <c r="E20" s="645" t="s">
        <v>9788</v>
      </c>
      <c r="J20" s="643"/>
      <c r="K20" s="201" t="s">
        <v>9789</v>
      </c>
      <c r="L20" s="644">
        <v>0.0</v>
      </c>
    </row>
    <row r="21" ht="13.5" customHeight="1">
      <c r="A21" s="592"/>
      <c r="B21" s="628"/>
      <c r="C21" s="628"/>
      <c r="D21" s="628"/>
      <c r="J21" s="646"/>
      <c r="K21" s="647" t="s">
        <v>9790</v>
      </c>
      <c r="L21" s="648">
        <f>L18-L19-L20</f>
        <v>5330000</v>
      </c>
    </row>
    <row r="22" ht="13.5" customHeight="1">
      <c r="A22" s="592"/>
      <c r="B22" s="604"/>
      <c r="C22" s="604"/>
      <c r="D22" s="649"/>
      <c r="J22" s="650"/>
      <c r="K22" s="637"/>
      <c r="L22" s="651"/>
    </row>
    <row r="23" ht="13.5" customHeight="1">
      <c r="A23" s="592"/>
      <c r="B23" s="604"/>
      <c r="C23" s="604"/>
      <c r="D23" s="604"/>
      <c r="J23" s="652" t="s">
        <v>1973</v>
      </c>
      <c r="K23" s="653" t="s">
        <v>9791</v>
      </c>
      <c r="L23" s="653"/>
    </row>
    <row r="24" ht="13.5" customHeight="1">
      <c r="A24" s="654" t="s">
        <v>9792</v>
      </c>
      <c r="B24" s="591"/>
      <c r="C24" s="591"/>
      <c r="D24" s="649"/>
      <c r="J24" s="655"/>
      <c r="K24" s="656"/>
    </row>
    <row r="25" ht="13.5" customHeight="1">
      <c r="B25" s="657"/>
      <c r="F25" s="594" t="s">
        <v>1973</v>
      </c>
      <c r="H25" s="658"/>
      <c r="I25" s="658"/>
      <c r="J25" s="650"/>
      <c r="K25" s="659"/>
      <c r="L25" s="646"/>
    </row>
    <row r="26" ht="13.5" customHeight="1">
      <c r="K26" s="660"/>
      <c r="L26" s="660"/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22">
    <mergeCell ref="J13:K13"/>
    <mergeCell ref="J14:K14"/>
    <mergeCell ref="J15:K15"/>
    <mergeCell ref="J16:K16"/>
    <mergeCell ref="J17:K17"/>
    <mergeCell ref="J6:L6"/>
    <mergeCell ref="D8:F8"/>
    <mergeCell ref="H10:I10"/>
    <mergeCell ref="J10:K10"/>
    <mergeCell ref="H11:I11"/>
    <mergeCell ref="J11:K11"/>
    <mergeCell ref="J12:K12"/>
    <mergeCell ref="A19:C19"/>
    <mergeCell ref="E20:I24"/>
    <mergeCell ref="K24:L24"/>
    <mergeCell ref="C11:G11"/>
    <mergeCell ref="C13:G13"/>
    <mergeCell ref="C14:G14"/>
    <mergeCell ref="C15:G15"/>
    <mergeCell ref="C16:G16"/>
    <mergeCell ref="C17:G17"/>
    <mergeCell ref="A18:D18"/>
  </mergeCells>
  <printOptions horizontalCentered="1"/>
  <pageMargins bottom="0.75" footer="0.0" header="0.0" left="0.25" right="0.25" top="0.75"/>
  <pageSetup paperSize="11" scale="92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8.71"/>
    <col customWidth="1" min="3" max="3" width="16.71"/>
  </cols>
  <sheetData>
    <row r="1">
      <c r="A1" s="661" t="s">
        <v>9793</v>
      </c>
    </row>
    <row r="2">
      <c r="A2" s="661"/>
      <c r="B2" s="661"/>
      <c r="C2" s="661"/>
    </row>
    <row r="4">
      <c r="A4" s="662" t="s">
        <v>9794</v>
      </c>
      <c r="B4" s="663" t="s">
        <v>9795</v>
      </c>
      <c r="C4" s="663" t="s">
        <v>9796</v>
      </c>
    </row>
    <row r="5">
      <c r="A5" s="664">
        <v>1.0</v>
      </c>
      <c r="B5" s="45" t="s">
        <v>9797</v>
      </c>
      <c r="C5" s="665">
        <v>100000.0</v>
      </c>
    </row>
    <row r="6">
      <c r="A6" s="666"/>
      <c r="C6" s="667"/>
    </row>
    <row r="7">
      <c r="A7" s="666"/>
      <c r="C7" s="667"/>
    </row>
    <row r="8">
      <c r="A8" s="666"/>
      <c r="C8" s="667"/>
    </row>
    <row r="9">
      <c r="A9" s="668"/>
      <c r="B9" s="669" t="s">
        <v>9786</v>
      </c>
      <c r="C9" s="670">
        <f>SUM(C5:C8)</f>
        <v>100000</v>
      </c>
    </row>
    <row r="11">
      <c r="B11" s="671" t="s">
        <v>9798</v>
      </c>
    </row>
    <row r="13">
      <c r="A13" s="654" t="s">
        <v>9792</v>
      </c>
    </row>
    <row r="15">
      <c r="A15" s="645"/>
    </row>
  </sheetData>
  <mergeCells count="3">
    <mergeCell ref="A1:C1"/>
    <mergeCell ref="B11:C11"/>
    <mergeCell ref="A15:E19"/>
  </mergeCells>
  <printOptions horizontalCentered="1"/>
  <pageMargins bottom="0.75" footer="0.0" header="0.0" left="0.7" right="0.7" top="0.75"/>
  <pageSetup fitToHeight="0" paperSize="11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1.71"/>
    <col customWidth="1" min="3" max="3" width="8.71"/>
    <col customWidth="1" min="4" max="4" width="11.43"/>
    <col customWidth="1" min="5" max="5" width="8.71"/>
    <col customWidth="1" min="6" max="6" width="6.71"/>
    <col customWidth="1" min="7" max="7" width="7.29"/>
    <col customWidth="1" min="8" max="8" width="3.57"/>
    <col customWidth="1" min="9" max="9" width="3.43"/>
    <col customWidth="1" min="10" max="10" width="6.43"/>
    <col customWidth="1" min="11" max="11" width="9.71"/>
    <col customWidth="1" min="12" max="12" width="15.29"/>
    <col customWidth="1" min="13" max="16" width="8.71"/>
  </cols>
  <sheetData>
    <row r="1" ht="13.5" customHeight="1">
      <c r="A1" s="590" t="s">
        <v>9772</v>
      </c>
      <c r="B1" s="591"/>
      <c r="C1" s="592"/>
      <c r="D1" s="592"/>
      <c r="E1" s="592"/>
      <c r="F1" s="593"/>
      <c r="G1" s="592"/>
      <c r="H1" s="592"/>
      <c r="I1" s="592"/>
      <c r="J1" s="594" t="s">
        <v>9773</v>
      </c>
      <c r="K1" s="68"/>
      <c r="L1" s="595">
        <v>46130.0</v>
      </c>
    </row>
    <row r="2" ht="13.5" customHeight="1">
      <c r="A2" s="596" t="s">
        <v>9774</v>
      </c>
      <c r="B2" s="597"/>
      <c r="C2" s="598"/>
      <c r="D2" s="598"/>
      <c r="E2" s="598"/>
      <c r="F2" s="592"/>
      <c r="G2" s="592"/>
      <c r="H2" s="592"/>
      <c r="I2" s="594"/>
      <c r="J2" s="594" t="s">
        <v>9775</v>
      </c>
      <c r="K2" s="88"/>
      <c r="L2" s="17"/>
    </row>
    <row r="3" ht="13.5" customHeight="1">
      <c r="A3" s="599" t="s">
        <v>9776</v>
      </c>
      <c r="B3" s="600"/>
      <c r="C3" s="592"/>
      <c r="D3" s="601"/>
      <c r="E3" s="601"/>
      <c r="F3" s="601"/>
      <c r="G3" s="601"/>
      <c r="H3" s="601"/>
      <c r="I3" s="602"/>
      <c r="J3" s="672" t="s">
        <v>9799</v>
      </c>
      <c r="L3" s="603"/>
    </row>
    <row r="4" ht="13.5" customHeight="1">
      <c r="A4" s="604"/>
      <c r="B4" s="604"/>
      <c r="C4" s="592"/>
      <c r="D4" s="601"/>
      <c r="E4" s="601"/>
      <c r="F4" s="601"/>
      <c r="G4" s="601"/>
      <c r="H4" s="601"/>
      <c r="I4" s="602"/>
      <c r="J4" s="567" t="s">
        <v>8375</v>
      </c>
      <c r="K4" s="605"/>
      <c r="L4" s="605"/>
    </row>
    <row r="5" ht="13.5" customHeight="1">
      <c r="A5" s="604"/>
      <c r="B5" s="604"/>
      <c r="C5" s="592"/>
      <c r="D5" s="601"/>
      <c r="E5" s="601"/>
      <c r="F5" s="601"/>
      <c r="G5" s="601"/>
      <c r="H5" s="601"/>
      <c r="I5" s="602"/>
      <c r="J5" s="606" t="s">
        <v>2813</v>
      </c>
      <c r="K5" s="607"/>
      <c r="L5" s="607"/>
    </row>
    <row r="6" ht="13.5" customHeight="1">
      <c r="A6" s="604"/>
      <c r="B6" s="604"/>
      <c r="C6" s="592"/>
      <c r="D6" s="601"/>
      <c r="E6" s="601"/>
      <c r="F6" s="601"/>
      <c r="G6" s="601"/>
      <c r="H6" s="601"/>
      <c r="I6" s="602"/>
      <c r="J6" s="606"/>
    </row>
    <row r="7" ht="13.5" customHeight="1">
      <c r="A7" s="604"/>
      <c r="B7" s="604"/>
      <c r="C7" s="592"/>
      <c r="D7" s="601"/>
      <c r="E7" s="601"/>
      <c r="F7" s="601"/>
      <c r="G7" s="601"/>
      <c r="H7" s="601"/>
      <c r="I7" s="601"/>
      <c r="J7" s="606"/>
      <c r="K7" s="606"/>
      <c r="L7" s="606"/>
    </row>
    <row r="8" ht="13.5" customHeight="1">
      <c r="A8" s="604"/>
      <c r="B8" s="604"/>
      <c r="C8" s="592"/>
      <c r="D8" s="608" t="s">
        <v>9777</v>
      </c>
      <c r="G8" s="601"/>
      <c r="H8" s="601"/>
      <c r="I8" s="601"/>
      <c r="J8" s="609"/>
      <c r="K8" s="609"/>
      <c r="L8" s="609"/>
    </row>
    <row r="9" ht="13.5" customHeight="1">
      <c r="A9" s="17"/>
      <c r="B9" s="610"/>
      <c r="C9" s="17"/>
      <c r="D9" s="611"/>
      <c r="E9" s="611"/>
      <c r="F9" s="611"/>
      <c r="G9" s="17"/>
      <c r="H9" s="17"/>
      <c r="I9" s="17"/>
      <c r="J9" s="612"/>
      <c r="K9" s="612"/>
    </row>
    <row r="10" ht="13.5" customHeight="1">
      <c r="A10" s="613" t="s">
        <v>2727</v>
      </c>
      <c r="B10" s="673" t="s">
        <v>9585</v>
      </c>
      <c r="C10" s="17"/>
      <c r="D10" s="615"/>
      <c r="E10" s="17"/>
      <c r="F10" s="17"/>
      <c r="G10" s="17"/>
      <c r="H10" s="616"/>
      <c r="I10" s="617"/>
      <c r="J10" s="616" t="s">
        <v>9778</v>
      </c>
      <c r="K10" s="617"/>
      <c r="L10" s="562"/>
    </row>
    <row r="11" ht="13.5" customHeight="1">
      <c r="A11" s="618" t="s">
        <v>9779</v>
      </c>
      <c r="B11" s="619" t="s">
        <v>0</v>
      </c>
      <c r="C11" s="618" t="s">
        <v>9780</v>
      </c>
      <c r="D11" s="122"/>
      <c r="E11" s="122"/>
      <c r="F11" s="122"/>
      <c r="G11" s="122"/>
      <c r="H11" s="620" t="s">
        <v>9781</v>
      </c>
      <c r="I11" s="621"/>
      <c r="J11" s="618" t="s">
        <v>9782</v>
      </c>
      <c r="K11" s="122"/>
      <c r="L11" s="618" t="s">
        <v>2740</v>
      </c>
      <c r="M11" s="622"/>
      <c r="N11" s="622"/>
      <c r="O11" s="622"/>
      <c r="P11" s="622"/>
      <c r="Q11" s="622"/>
      <c r="R11" s="622"/>
      <c r="S11" s="622"/>
      <c r="T11" s="622"/>
      <c r="U11" s="622"/>
      <c r="V11" s="622"/>
      <c r="W11" s="622"/>
      <c r="X11" s="622"/>
      <c r="Y11" s="622"/>
      <c r="Z11" s="622"/>
    </row>
    <row r="12" ht="13.5" customHeight="1">
      <c r="A12" s="623">
        <v>1.0</v>
      </c>
      <c r="B12" s="45" t="s">
        <v>6237</v>
      </c>
      <c r="C12" s="455" t="str">
        <f>IFERROR(VLOOKUP(B12,Stock,3,FALSE),"")</f>
        <v>Nissan Quester / Cw445 Quon 05-</v>
      </c>
      <c r="D12" s="229"/>
      <c r="E12" s="229"/>
      <c r="F12" s="229"/>
      <c r="G12" s="229"/>
      <c r="H12" s="624">
        <v>2.0</v>
      </c>
      <c r="I12" s="624" t="s">
        <v>2729</v>
      </c>
      <c r="J12" s="419">
        <v>2469000.0</v>
      </c>
      <c r="L12" s="625">
        <f t="shared" ref="L12:L17" si="1">H12*J12</f>
        <v>4938000</v>
      </c>
    </row>
    <row r="13" ht="13.5" customHeight="1">
      <c r="A13" s="626">
        <v>2.0</v>
      </c>
      <c r="B13" s="45" t="s">
        <v>8374</v>
      </c>
      <c r="C13" s="455" t="str">
        <f>IFERROR(VLOOKUP(B13,Stock,3,FALSE),"")</f>
        <v>Mers-Benz Axor 98- Truck</v>
      </c>
      <c r="D13" s="229"/>
      <c r="E13" s="229"/>
      <c r="F13" s="229"/>
      <c r="G13" s="229"/>
      <c r="H13" s="444">
        <v>1.0</v>
      </c>
      <c r="I13" s="444" t="s">
        <v>2729</v>
      </c>
      <c r="J13" s="627">
        <v>2199000.0</v>
      </c>
      <c r="L13" s="625">
        <f t="shared" si="1"/>
        <v>2199000</v>
      </c>
    </row>
    <row r="14" ht="13.5" customHeight="1">
      <c r="A14" s="623">
        <v>3.0</v>
      </c>
      <c r="B14" s="45" t="s">
        <v>2770</v>
      </c>
      <c r="C14" s="229" t="str">
        <f>IFERROR(VLOOKUP(B14,Stock,3,FALSE),"")</f>
        <v>Transport</v>
      </c>
      <c r="H14" s="444">
        <v>1.0</v>
      </c>
      <c r="I14" s="444" t="s">
        <v>9784</v>
      </c>
      <c r="J14" s="627">
        <v>1100000.0</v>
      </c>
      <c r="L14" s="625">
        <f t="shared" si="1"/>
        <v>1100000</v>
      </c>
      <c r="P14" s="17"/>
    </row>
    <row r="15" ht="13.5" customHeight="1">
      <c r="A15" s="444">
        <v>4.0</v>
      </c>
      <c r="B15" s="201"/>
      <c r="C15" s="229" t="str">
        <f>IFERROR(VLOOKUP(B15,Stock,3,FALSE),"")</f>
        <v/>
      </c>
      <c r="H15" s="444"/>
      <c r="I15" s="444"/>
      <c r="J15" s="627"/>
      <c r="L15" s="625">
        <f t="shared" si="1"/>
        <v>0</v>
      </c>
    </row>
    <row r="16" ht="13.5" customHeight="1">
      <c r="A16" s="444">
        <v>5.0</v>
      </c>
      <c r="B16" s="628"/>
      <c r="C16" s="229" t="str">
        <f>IFERROR(VLOOKUP(B16,Stock,3,FALSE),"")</f>
        <v/>
      </c>
      <c r="H16" s="628"/>
      <c r="I16" s="628"/>
      <c r="J16" s="627"/>
      <c r="L16" s="625">
        <f t="shared" si="1"/>
        <v>0</v>
      </c>
    </row>
    <row r="17" ht="13.5" customHeight="1">
      <c r="A17" s="629">
        <v>6.0</v>
      </c>
      <c r="B17" s="630"/>
      <c r="C17" s="229" t="str">
        <f>IFERROR(VLOOKUP(B17,Stock,3,FALSE),"")</f>
        <v/>
      </c>
      <c r="H17" s="628"/>
      <c r="I17" s="628"/>
      <c r="J17" s="631"/>
      <c r="K17" s="617"/>
      <c r="L17" s="625">
        <f t="shared" si="1"/>
        <v>0</v>
      </c>
    </row>
    <row r="18" ht="13.5" customHeight="1">
      <c r="A18" s="632" t="s">
        <v>9785</v>
      </c>
      <c r="B18" s="621"/>
      <c r="C18" s="621"/>
      <c r="D18" s="621"/>
      <c r="E18" s="633"/>
      <c r="F18" s="633"/>
      <c r="G18" s="633"/>
      <c r="H18" s="634"/>
      <c r="I18" s="635"/>
      <c r="J18" s="636"/>
      <c r="K18" s="637" t="s">
        <v>9786</v>
      </c>
      <c r="L18" s="638">
        <f>SUM(L12:L17)</f>
        <v>8237000</v>
      </c>
    </row>
    <row r="19" ht="13.5" customHeight="1">
      <c r="A19" s="639"/>
      <c r="D19" s="640"/>
      <c r="E19" s="641"/>
      <c r="G19" s="642"/>
      <c r="H19" s="642"/>
      <c r="I19" s="642"/>
      <c r="J19" s="643"/>
      <c r="K19" s="201" t="s">
        <v>9787</v>
      </c>
      <c r="L19" s="644">
        <v>3000000.0</v>
      </c>
    </row>
    <row r="20" ht="13.5" customHeight="1">
      <c r="A20" s="639"/>
      <c r="B20" s="639"/>
      <c r="C20" s="639"/>
      <c r="D20" s="640"/>
      <c r="E20" s="645" t="s">
        <v>9788</v>
      </c>
      <c r="J20" s="643"/>
      <c r="K20" s="201" t="s">
        <v>9789</v>
      </c>
      <c r="L20" s="644">
        <v>0.0</v>
      </c>
    </row>
    <row r="21" ht="13.5" customHeight="1">
      <c r="A21" s="592"/>
      <c r="B21" s="628"/>
      <c r="C21" s="628"/>
      <c r="D21" s="628"/>
      <c r="J21" s="646"/>
      <c r="K21" s="647" t="s">
        <v>9790</v>
      </c>
      <c r="L21" s="648">
        <f>L18-L19-L20</f>
        <v>5237000</v>
      </c>
    </row>
    <row r="22" ht="13.5" customHeight="1">
      <c r="A22" s="592"/>
      <c r="B22" s="604"/>
      <c r="C22" s="604"/>
      <c r="D22" s="649"/>
      <c r="J22" s="650"/>
      <c r="K22" s="637"/>
      <c r="L22" s="651"/>
    </row>
    <row r="23" ht="13.5" customHeight="1">
      <c r="A23" s="592"/>
      <c r="B23" s="604"/>
      <c r="C23" s="604"/>
      <c r="D23" s="604"/>
      <c r="J23" s="652" t="s">
        <v>1973</v>
      </c>
      <c r="K23" s="653" t="s">
        <v>9791</v>
      </c>
      <c r="L23" s="653"/>
    </row>
    <row r="24" ht="13.5" customHeight="1">
      <c r="A24" s="654" t="s">
        <v>9792</v>
      </c>
      <c r="B24" s="591"/>
      <c r="C24" s="591"/>
      <c r="D24" s="649"/>
      <c r="J24" s="655"/>
      <c r="K24" s="656"/>
    </row>
    <row r="25" ht="13.5" customHeight="1">
      <c r="B25" s="657"/>
      <c r="F25" s="594" t="s">
        <v>1973</v>
      </c>
      <c r="H25" s="658"/>
      <c r="I25" s="658"/>
      <c r="J25" s="650"/>
      <c r="K25" s="659"/>
      <c r="L25" s="646"/>
    </row>
    <row r="26" ht="13.5" customHeight="1">
      <c r="K26" s="660"/>
      <c r="L26" s="660"/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21">
    <mergeCell ref="J6:L6"/>
    <mergeCell ref="D8:F8"/>
    <mergeCell ref="H10:I10"/>
    <mergeCell ref="J10:K10"/>
    <mergeCell ref="C11:G11"/>
    <mergeCell ref="H11:I11"/>
    <mergeCell ref="J11:K11"/>
    <mergeCell ref="C16:G16"/>
    <mergeCell ref="C17:G17"/>
    <mergeCell ref="J17:K17"/>
    <mergeCell ref="A18:D18"/>
    <mergeCell ref="A19:C19"/>
    <mergeCell ref="E20:I24"/>
    <mergeCell ref="K24:L24"/>
    <mergeCell ref="J12:K12"/>
    <mergeCell ref="J13:K13"/>
    <mergeCell ref="C14:G14"/>
    <mergeCell ref="J14:K14"/>
    <mergeCell ref="C15:G15"/>
    <mergeCell ref="J15:K15"/>
    <mergeCell ref="J16:K16"/>
  </mergeCells>
  <printOptions horizontalCentered="1"/>
  <pageMargins bottom="0.75" footer="0.0" header="0.0" left="0.25" right="0.25" top="0.75"/>
  <pageSetup paperSize="11" scale="92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1.71"/>
    <col customWidth="1" min="3" max="3" width="8.71"/>
    <col customWidth="1" min="4" max="4" width="11.43"/>
    <col customWidth="1" min="5" max="5" width="8.71"/>
    <col customWidth="1" min="6" max="6" width="6.71"/>
    <col customWidth="1" min="7" max="7" width="7.29"/>
    <col customWidth="1" min="8" max="8" width="3.57"/>
    <col customWidth="1" min="9" max="9" width="3.43"/>
    <col customWidth="1" min="10" max="10" width="6.43"/>
    <col customWidth="1" min="11" max="11" width="9.71"/>
    <col customWidth="1" min="12" max="12" width="15.29"/>
    <col customWidth="1" min="13" max="16" width="8.71"/>
  </cols>
  <sheetData>
    <row r="1" ht="13.5" customHeight="1">
      <c r="A1" s="590" t="s">
        <v>9772</v>
      </c>
      <c r="B1" s="591"/>
      <c r="C1" s="592"/>
      <c r="D1" s="592"/>
      <c r="E1" s="592"/>
      <c r="F1" s="593"/>
      <c r="G1" s="592"/>
      <c r="H1" s="592"/>
      <c r="I1" s="592"/>
      <c r="J1" s="594" t="s">
        <v>9773</v>
      </c>
      <c r="K1" s="68"/>
      <c r="L1" s="595">
        <v>46139.0</v>
      </c>
    </row>
    <row r="2" ht="13.5" customHeight="1">
      <c r="A2" s="596" t="s">
        <v>9774</v>
      </c>
      <c r="B2" s="597"/>
      <c r="C2" s="598"/>
      <c r="D2" s="598"/>
      <c r="E2" s="598"/>
      <c r="F2" s="592"/>
      <c r="G2" s="592"/>
      <c r="H2" s="592"/>
      <c r="I2" s="594"/>
      <c r="J2" s="594" t="s">
        <v>9775</v>
      </c>
      <c r="K2" s="88"/>
      <c r="L2" s="17"/>
    </row>
    <row r="3" ht="13.5" customHeight="1">
      <c r="A3" s="599" t="s">
        <v>9776</v>
      </c>
      <c r="B3" s="600"/>
      <c r="C3" s="592"/>
      <c r="D3" s="601"/>
      <c r="E3" s="601"/>
      <c r="F3" s="601"/>
      <c r="G3" s="601"/>
      <c r="H3" s="601"/>
      <c r="I3" s="602"/>
      <c r="J3" s="674" t="s">
        <v>9770</v>
      </c>
      <c r="L3" s="603"/>
    </row>
    <row r="4" ht="13.5" customHeight="1">
      <c r="A4" s="604"/>
      <c r="B4" s="604"/>
      <c r="C4" s="592"/>
      <c r="D4" s="601"/>
      <c r="E4" s="601"/>
      <c r="F4" s="601"/>
      <c r="G4" s="601"/>
      <c r="H4" s="601"/>
      <c r="I4" s="602"/>
      <c r="J4" s="567" t="s">
        <v>9771</v>
      </c>
      <c r="K4" s="605"/>
      <c r="L4" s="605"/>
    </row>
    <row r="5" ht="13.5" customHeight="1">
      <c r="A5" s="604"/>
      <c r="B5" s="604"/>
      <c r="C5" s="592"/>
      <c r="D5" s="601"/>
      <c r="E5" s="601"/>
      <c r="F5" s="601"/>
      <c r="G5" s="601"/>
      <c r="H5" s="601"/>
      <c r="I5" s="602"/>
      <c r="J5" s="606"/>
      <c r="K5" s="607"/>
      <c r="L5" s="607"/>
    </row>
    <row r="6" ht="13.5" customHeight="1">
      <c r="A6" s="604"/>
      <c r="B6" s="604"/>
      <c r="C6" s="592"/>
      <c r="D6" s="601"/>
      <c r="E6" s="601"/>
      <c r="F6" s="601"/>
      <c r="G6" s="601"/>
      <c r="H6" s="601"/>
      <c r="I6" s="602"/>
      <c r="J6" s="606"/>
    </row>
    <row r="7" ht="13.5" customHeight="1">
      <c r="A7" s="604"/>
      <c r="B7" s="604"/>
      <c r="C7" s="592"/>
      <c r="D7" s="601"/>
      <c r="E7" s="601"/>
      <c r="F7" s="601"/>
      <c r="G7" s="601"/>
      <c r="H7" s="601"/>
      <c r="I7" s="601"/>
      <c r="J7" s="606"/>
      <c r="K7" s="606"/>
      <c r="L7" s="606"/>
    </row>
    <row r="8" ht="13.5" customHeight="1">
      <c r="A8" s="604"/>
      <c r="B8" s="604"/>
      <c r="C8" s="592"/>
      <c r="D8" s="608" t="s">
        <v>9777</v>
      </c>
      <c r="G8" s="601"/>
      <c r="H8" s="601"/>
      <c r="I8" s="601"/>
      <c r="J8" s="609"/>
      <c r="K8" s="609"/>
      <c r="L8" s="609"/>
    </row>
    <row r="9" ht="13.5" customHeight="1">
      <c r="A9" s="17"/>
      <c r="B9" s="610"/>
      <c r="C9" s="17"/>
      <c r="D9" s="611"/>
      <c r="E9" s="611"/>
      <c r="F9" s="611"/>
      <c r="G9" s="17"/>
      <c r="H9" s="17"/>
      <c r="I9" s="17"/>
      <c r="J9" s="612"/>
      <c r="K9" s="612"/>
    </row>
    <row r="10" ht="13.5" customHeight="1">
      <c r="A10" s="613" t="s">
        <v>2727</v>
      </c>
      <c r="B10" s="673" t="s">
        <v>9769</v>
      </c>
      <c r="C10" s="17"/>
      <c r="D10" s="615"/>
      <c r="E10" s="17"/>
      <c r="F10" s="17"/>
      <c r="G10" s="17"/>
      <c r="H10" s="616"/>
      <c r="I10" s="617"/>
      <c r="J10" s="616" t="s">
        <v>9778</v>
      </c>
      <c r="K10" s="617"/>
      <c r="L10" s="64"/>
    </row>
    <row r="11" ht="13.5" customHeight="1">
      <c r="A11" s="618" t="s">
        <v>9779</v>
      </c>
      <c r="B11" s="675" t="s">
        <v>0</v>
      </c>
      <c r="C11" s="618" t="s">
        <v>9780</v>
      </c>
      <c r="D11" s="122"/>
      <c r="E11" s="122"/>
      <c r="F11" s="122"/>
      <c r="G11" s="122"/>
      <c r="H11" s="620" t="s">
        <v>9781</v>
      </c>
      <c r="I11" s="621"/>
      <c r="J11" s="618" t="s">
        <v>9782</v>
      </c>
      <c r="K11" s="122"/>
      <c r="L11" s="618" t="s">
        <v>2740</v>
      </c>
      <c r="M11" s="622"/>
      <c r="N11" s="622"/>
      <c r="O11" s="622"/>
      <c r="P11" s="622"/>
      <c r="Q11" s="622"/>
      <c r="R11" s="622"/>
      <c r="S11" s="622"/>
      <c r="T11" s="622"/>
      <c r="U11" s="622"/>
      <c r="V11" s="622"/>
      <c r="W11" s="622"/>
      <c r="X11" s="622"/>
      <c r="Y11" s="622"/>
      <c r="Z11" s="622"/>
    </row>
    <row r="12" ht="13.5" customHeight="1">
      <c r="A12" s="623">
        <v>1.0</v>
      </c>
      <c r="B12" s="596" t="s">
        <v>3073</v>
      </c>
      <c r="C12" s="229" t="str">
        <f>IFERROR(VLOOKUP(B12,Stock,3,FALSE),"")</f>
        <v>Toyota Innova 15- 2nd Gen</v>
      </c>
      <c r="H12" s="624">
        <v>1.0</v>
      </c>
      <c r="I12" s="624" t="s">
        <v>2729</v>
      </c>
      <c r="J12" s="419">
        <v>1199000.0</v>
      </c>
      <c r="L12" s="625">
        <f t="shared" ref="L12:L17" si="1">H12*J12</f>
        <v>1199000</v>
      </c>
    </row>
    <row r="13" ht="13.5" customHeight="1">
      <c r="A13" s="626">
        <v>2.0</v>
      </c>
      <c r="B13" s="45" t="s">
        <v>2770</v>
      </c>
      <c r="C13" s="229" t="str">
        <f>IFERROR(VLOOKUP(B13,Stock,3,FALSE),"")</f>
        <v>Transport</v>
      </c>
      <c r="H13" s="444">
        <v>1.0</v>
      </c>
      <c r="I13" s="444" t="s">
        <v>109</v>
      </c>
      <c r="J13" s="627">
        <v>100000.0</v>
      </c>
      <c r="L13" s="625">
        <f t="shared" si="1"/>
        <v>100000</v>
      </c>
    </row>
    <row r="14" ht="13.5" customHeight="1">
      <c r="A14" s="623">
        <v>3.0</v>
      </c>
      <c r="C14" s="229" t="str">
        <f>IFERROR(VLOOKUP(B14,Stock,3,FALSE),"")</f>
        <v/>
      </c>
      <c r="H14" s="444"/>
      <c r="I14" s="444"/>
      <c r="J14" s="627"/>
      <c r="L14" s="625">
        <f t="shared" si="1"/>
        <v>0</v>
      </c>
      <c r="P14" s="17"/>
    </row>
    <row r="15" ht="13.5" customHeight="1">
      <c r="A15" s="444">
        <v>4.0</v>
      </c>
      <c r="B15" s="201"/>
      <c r="C15" s="229" t="str">
        <f>IFERROR(VLOOKUP(B15,Stock,3,FALSE),"")</f>
        <v/>
      </c>
      <c r="H15" s="444"/>
      <c r="I15" s="444"/>
      <c r="J15" s="627"/>
      <c r="L15" s="625">
        <f t="shared" si="1"/>
        <v>0</v>
      </c>
    </row>
    <row r="16" ht="13.5" customHeight="1">
      <c r="A16" s="444">
        <v>5.0</v>
      </c>
      <c r="B16" s="628"/>
      <c r="C16" s="229" t="str">
        <f>IFERROR(VLOOKUP(B16,Stock,3,FALSE),"")</f>
        <v/>
      </c>
      <c r="H16" s="628"/>
      <c r="I16" s="628"/>
      <c r="J16" s="627"/>
      <c r="L16" s="625">
        <f t="shared" si="1"/>
        <v>0</v>
      </c>
    </row>
    <row r="17" ht="13.5" customHeight="1">
      <c r="A17" s="629">
        <v>6.0</v>
      </c>
      <c r="B17" s="630"/>
      <c r="C17" s="229" t="str">
        <f>IFERROR(VLOOKUP(B17,Stock,3,FALSE),"")</f>
        <v/>
      </c>
      <c r="H17" s="628"/>
      <c r="I17" s="628"/>
      <c r="J17" s="631"/>
      <c r="K17" s="617"/>
      <c r="L17" s="625">
        <f t="shared" si="1"/>
        <v>0</v>
      </c>
    </row>
    <row r="18" ht="13.5" customHeight="1">
      <c r="A18" s="632" t="s">
        <v>9785</v>
      </c>
      <c r="B18" s="621"/>
      <c r="C18" s="621"/>
      <c r="D18" s="621"/>
      <c r="E18" s="633"/>
      <c r="F18" s="633"/>
      <c r="G18" s="633"/>
      <c r="H18" s="634"/>
      <c r="I18" s="635"/>
      <c r="J18" s="636"/>
      <c r="K18" s="637" t="s">
        <v>9786</v>
      </c>
      <c r="L18" s="638">
        <f>SUM(L12:L17)</f>
        <v>1299000</v>
      </c>
    </row>
    <row r="19" ht="13.5" customHeight="1">
      <c r="A19" s="639"/>
      <c r="D19" s="640"/>
      <c r="E19" s="641"/>
      <c r="G19" s="642"/>
      <c r="H19" s="642"/>
      <c r="I19" s="642"/>
      <c r="J19" s="643"/>
      <c r="K19" s="201" t="s">
        <v>9787</v>
      </c>
      <c r="L19" s="644">
        <v>100000.0</v>
      </c>
    </row>
    <row r="20" ht="13.5" customHeight="1">
      <c r="A20" s="639"/>
      <c r="B20" s="639"/>
      <c r="C20" s="639"/>
      <c r="D20" s="640"/>
      <c r="E20" s="645" t="s">
        <v>9788</v>
      </c>
      <c r="J20" s="643"/>
      <c r="K20" s="201" t="s">
        <v>9789</v>
      </c>
      <c r="L20" s="644">
        <v>0.0</v>
      </c>
    </row>
    <row r="21" ht="13.5" customHeight="1">
      <c r="A21" s="592"/>
      <c r="B21" s="628"/>
      <c r="C21" s="628"/>
      <c r="D21" s="628"/>
      <c r="J21" s="646"/>
      <c r="K21" s="647" t="s">
        <v>9790</v>
      </c>
      <c r="L21" s="648">
        <f>L18-L19-L20</f>
        <v>1199000</v>
      </c>
    </row>
    <row r="22" ht="13.5" customHeight="1">
      <c r="A22" s="592"/>
      <c r="B22" s="604"/>
      <c r="C22" s="604"/>
      <c r="D22" s="649"/>
      <c r="J22" s="650"/>
      <c r="K22" s="637"/>
      <c r="L22" s="651"/>
    </row>
    <row r="23" ht="13.5" customHeight="1">
      <c r="A23" s="592"/>
      <c r="B23" s="604"/>
      <c r="C23" s="604"/>
      <c r="D23" s="604"/>
      <c r="J23" s="652" t="s">
        <v>1973</v>
      </c>
      <c r="K23" s="653" t="s">
        <v>9791</v>
      </c>
      <c r="L23" s="653"/>
    </row>
    <row r="24" ht="13.5" customHeight="1">
      <c r="A24" s="654" t="s">
        <v>9792</v>
      </c>
      <c r="B24" s="591"/>
      <c r="C24" s="591"/>
      <c r="D24" s="649"/>
      <c r="J24" s="655"/>
      <c r="K24" s="656"/>
    </row>
    <row r="25" ht="13.5" customHeight="1">
      <c r="B25" s="657"/>
      <c r="F25" s="594" t="s">
        <v>1973</v>
      </c>
      <c r="H25" s="658"/>
      <c r="I25" s="658"/>
      <c r="J25" s="650"/>
      <c r="K25" s="659"/>
      <c r="L25" s="646"/>
    </row>
    <row r="26" ht="13.5" customHeight="1">
      <c r="K26" s="660"/>
      <c r="L26" s="660"/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23">
    <mergeCell ref="J11:K11"/>
    <mergeCell ref="J12:K12"/>
    <mergeCell ref="J6:L6"/>
    <mergeCell ref="D8:F8"/>
    <mergeCell ref="H10:I10"/>
    <mergeCell ref="J10:K10"/>
    <mergeCell ref="C11:G11"/>
    <mergeCell ref="H11:I11"/>
    <mergeCell ref="C12:G12"/>
    <mergeCell ref="C16:G16"/>
    <mergeCell ref="C17:G17"/>
    <mergeCell ref="J17:K17"/>
    <mergeCell ref="A18:D18"/>
    <mergeCell ref="A19:C19"/>
    <mergeCell ref="E20:I24"/>
    <mergeCell ref="K24:L24"/>
    <mergeCell ref="C13:G13"/>
    <mergeCell ref="J13:K13"/>
    <mergeCell ref="C14:G14"/>
    <mergeCell ref="J14:K14"/>
    <mergeCell ref="C15:G15"/>
    <mergeCell ref="J15:K15"/>
    <mergeCell ref="J16:K16"/>
  </mergeCells>
  <printOptions horizontalCentered="1"/>
  <pageMargins bottom="0.75" footer="0.0" header="0.0" left="0.25" right="0.25" top="0.75"/>
  <pageSetup paperSize="9" scale="92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1.71"/>
    <col customWidth="1" min="3" max="3" width="8.71"/>
    <col customWidth="1" min="4" max="4" width="11.43"/>
    <col customWidth="1" min="5" max="5" width="8.71"/>
    <col customWidth="1" min="6" max="6" width="6.71"/>
    <col customWidth="1" min="7" max="7" width="7.29"/>
    <col customWidth="1" min="8" max="8" width="3.57"/>
    <col customWidth="1" min="9" max="9" width="3.43"/>
    <col customWidth="1" min="10" max="10" width="6.43"/>
    <col customWidth="1" min="11" max="11" width="9.71"/>
    <col customWidth="1" min="12" max="12" width="15.29"/>
    <col customWidth="1" min="13" max="16" width="8.71"/>
  </cols>
  <sheetData>
    <row r="1" ht="13.5" customHeight="1">
      <c r="A1" s="590" t="s">
        <v>9772</v>
      </c>
      <c r="B1" s="591"/>
      <c r="C1" s="592"/>
      <c r="D1" s="592"/>
      <c r="E1" s="592"/>
      <c r="F1" s="593"/>
      <c r="G1" s="592"/>
      <c r="H1" s="592"/>
      <c r="I1" s="592"/>
      <c r="J1" s="594" t="s">
        <v>9773</v>
      </c>
      <c r="K1" s="68"/>
      <c r="L1" s="595">
        <v>46137.0</v>
      </c>
    </row>
    <row r="2" ht="13.5" customHeight="1">
      <c r="A2" s="596" t="s">
        <v>9774</v>
      </c>
      <c r="B2" s="597"/>
      <c r="C2" s="598"/>
      <c r="D2" s="598"/>
      <c r="E2" s="598"/>
      <c r="F2" s="592"/>
      <c r="G2" s="592"/>
      <c r="H2" s="592"/>
      <c r="I2" s="594"/>
      <c r="J2" s="594" t="s">
        <v>9775</v>
      </c>
      <c r="K2" s="88"/>
      <c r="L2" s="17"/>
    </row>
    <row r="3" ht="13.5" customHeight="1">
      <c r="A3" s="599" t="s">
        <v>9776</v>
      </c>
      <c r="B3" s="600"/>
      <c r="C3" s="592"/>
      <c r="D3" s="601"/>
      <c r="E3" s="601"/>
      <c r="F3" s="601"/>
      <c r="G3" s="601"/>
      <c r="H3" s="601"/>
      <c r="I3" s="602"/>
      <c r="J3" s="674" t="s">
        <v>9758</v>
      </c>
      <c r="L3" s="603"/>
    </row>
    <row r="4" ht="13.5" customHeight="1">
      <c r="A4" s="604"/>
      <c r="B4" s="604"/>
      <c r="C4" s="592"/>
      <c r="D4" s="601"/>
      <c r="E4" s="601"/>
      <c r="F4" s="601"/>
      <c r="G4" s="601"/>
      <c r="H4" s="601"/>
      <c r="I4" s="602"/>
      <c r="J4" s="567" t="s">
        <v>9759</v>
      </c>
      <c r="K4" s="605"/>
      <c r="L4" s="605"/>
    </row>
    <row r="5" ht="13.5" customHeight="1">
      <c r="A5" s="604"/>
      <c r="B5" s="604"/>
      <c r="C5" s="592"/>
      <c r="D5" s="601"/>
      <c r="E5" s="601"/>
      <c r="F5" s="601"/>
      <c r="G5" s="601"/>
      <c r="H5" s="601"/>
      <c r="I5" s="602"/>
      <c r="J5" s="606"/>
      <c r="K5" s="607"/>
      <c r="L5" s="607"/>
    </row>
    <row r="6" ht="13.5" customHeight="1">
      <c r="A6" s="604"/>
      <c r="B6" s="604"/>
      <c r="C6" s="592"/>
      <c r="D6" s="601"/>
      <c r="E6" s="601"/>
      <c r="F6" s="601"/>
      <c r="G6" s="601"/>
      <c r="H6" s="601"/>
      <c r="I6" s="602"/>
      <c r="J6" s="606"/>
    </row>
    <row r="7" ht="13.5" customHeight="1">
      <c r="A7" s="604"/>
      <c r="B7" s="604"/>
      <c r="C7" s="592"/>
      <c r="D7" s="601"/>
      <c r="E7" s="601"/>
      <c r="F7" s="601"/>
      <c r="G7" s="601"/>
      <c r="H7" s="601"/>
      <c r="I7" s="601"/>
      <c r="J7" s="606"/>
      <c r="K7" s="606"/>
      <c r="L7" s="606"/>
    </row>
    <row r="8" ht="13.5" customHeight="1">
      <c r="A8" s="604"/>
      <c r="B8" s="604"/>
      <c r="C8" s="592"/>
      <c r="D8" s="608" t="s">
        <v>9777</v>
      </c>
      <c r="G8" s="601"/>
      <c r="H8" s="601"/>
      <c r="I8" s="601"/>
      <c r="J8" s="609"/>
      <c r="K8" s="609"/>
      <c r="L8" s="609"/>
    </row>
    <row r="9" ht="13.5" customHeight="1">
      <c r="A9" s="17"/>
      <c r="B9" s="610"/>
      <c r="C9" s="17"/>
      <c r="D9" s="611"/>
      <c r="E9" s="611"/>
      <c r="F9" s="611"/>
      <c r="G9" s="17"/>
      <c r="H9" s="17"/>
      <c r="I9" s="17"/>
      <c r="J9" s="612"/>
      <c r="K9" s="612"/>
    </row>
    <row r="10" ht="13.5" customHeight="1">
      <c r="A10" s="613" t="s">
        <v>2727</v>
      </c>
      <c r="B10" s="673" t="s">
        <v>9756</v>
      </c>
      <c r="C10" s="17"/>
      <c r="D10" s="615"/>
      <c r="E10" s="17"/>
      <c r="F10" s="17"/>
      <c r="G10" s="17"/>
      <c r="H10" s="616"/>
      <c r="I10" s="617"/>
      <c r="J10" s="616" t="s">
        <v>9778</v>
      </c>
      <c r="K10" s="617"/>
      <c r="L10" s="64" t="s">
        <v>9760</v>
      </c>
    </row>
    <row r="11" ht="13.5" customHeight="1">
      <c r="A11" s="618" t="s">
        <v>9779</v>
      </c>
      <c r="B11" s="619" t="s">
        <v>0</v>
      </c>
      <c r="C11" s="618" t="s">
        <v>9780</v>
      </c>
      <c r="D11" s="122"/>
      <c r="E11" s="122"/>
      <c r="F11" s="122"/>
      <c r="G11" s="122"/>
      <c r="H11" s="620" t="s">
        <v>9781</v>
      </c>
      <c r="I11" s="621"/>
      <c r="J11" s="618" t="s">
        <v>9782</v>
      </c>
      <c r="K11" s="122"/>
      <c r="L11" s="618" t="s">
        <v>2740</v>
      </c>
      <c r="M11" s="622"/>
      <c r="N11" s="622"/>
      <c r="O11" s="622"/>
      <c r="P11" s="622"/>
      <c r="Q11" s="622"/>
      <c r="R11" s="622"/>
      <c r="S11" s="622"/>
      <c r="T11" s="622"/>
      <c r="U11" s="622"/>
      <c r="V11" s="622"/>
      <c r="W11" s="622"/>
      <c r="X11" s="622"/>
      <c r="Y11" s="622"/>
      <c r="Z11" s="622"/>
    </row>
    <row r="12" ht="13.5" customHeight="1">
      <c r="A12" s="623">
        <v>1.0</v>
      </c>
      <c r="B12" s="64" t="s">
        <v>9757</v>
      </c>
      <c r="C12" s="229" t="s">
        <v>9800</v>
      </c>
      <c r="H12" s="624">
        <v>1.0</v>
      </c>
      <c r="I12" s="624" t="s">
        <v>2729</v>
      </c>
      <c r="J12" s="419">
        <v>650000.0</v>
      </c>
      <c r="L12" s="625">
        <f t="shared" ref="L12:L17" si="1">H12*J12</f>
        <v>650000</v>
      </c>
    </row>
    <row r="13" ht="13.5" customHeight="1">
      <c r="A13" s="626">
        <v>2.0</v>
      </c>
      <c r="B13" s="45" t="s">
        <v>5254</v>
      </c>
      <c r="C13" s="229" t="s">
        <v>9801</v>
      </c>
      <c r="H13" s="444">
        <v>1.0</v>
      </c>
      <c r="I13" s="444" t="s">
        <v>2729</v>
      </c>
      <c r="J13" s="627">
        <v>200000.0</v>
      </c>
      <c r="L13" s="625">
        <f t="shared" si="1"/>
        <v>200000</v>
      </c>
    </row>
    <row r="14" ht="13.5" customHeight="1">
      <c r="A14" s="623">
        <v>3.0</v>
      </c>
      <c r="B14" s="45" t="s">
        <v>2770</v>
      </c>
      <c r="C14" s="229" t="str">
        <f>IFERROR(VLOOKUP(B14,Stock,3,FALSE),"")</f>
        <v>Transport</v>
      </c>
      <c r="H14" s="444">
        <v>1.0</v>
      </c>
      <c r="I14" s="444" t="s">
        <v>109</v>
      </c>
      <c r="J14" s="627">
        <v>75000.0</v>
      </c>
      <c r="L14" s="625">
        <f t="shared" si="1"/>
        <v>75000</v>
      </c>
      <c r="P14" s="17"/>
    </row>
    <row r="15" ht="13.5" customHeight="1">
      <c r="A15" s="444">
        <v>4.0</v>
      </c>
      <c r="B15" s="201"/>
      <c r="C15" s="229" t="str">
        <f>IFERROR(VLOOKUP(B15,Stock,3,FALSE),"")</f>
        <v/>
      </c>
      <c r="H15" s="444"/>
      <c r="I15" s="444"/>
      <c r="J15" s="627"/>
      <c r="L15" s="625">
        <f t="shared" si="1"/>
        <v>0</v>
      </c>
    </row>
    <row r="16" ht="13.5" customHeight="1">
      <c r="A16" s="444">
        <v>5.0</v>
      </c>
      <c r="B16" s="628"/>
      <c r="C16" s="229" t="str">
        <f>IFERROR(VLOOKUP(B16,Stock,3,FALSE),"")</f>
        <v/>
      </c>
      <c r="H16" s="628"/>
      <c r="I16" s="628"/>
      <c r="J16" s="627"/>
      <c r="L16" s="625">
        <f t="shared" si="1"/>
        <v>0</v>
      </c>
    </row>
    <row r="17" ht="13.5" customHeight="1">
      <c r="A17" s="629">
        <v>6.0</v>
      </c>
      <c r="B17" s="630"/>
      <c r="C17" s="229" t="str">
        <f>IFERROR(VLOOKUP(B17,Stock,3,FALSE),"")</f>
        <v/>
      </c>
      <c r="H17" s="628"/>
      <c r="I17" s="628"/>
      <c r="J17" s="631"/>
      <c r="K17" s="617"/>
      <c r="L17" s="625">
        <f t="shared" si="1"/>
        <v>0</v>
      </c>
    </row>
    <row r="18" ht="13.5" customHeight="1">
      <c r="A18" s="632" t="s">
        <v>9785</v>
      </c>
      <c r="B18" s="621"/>
      <c r="C18" s="621"/>
      <c r="D18" s="621"/>
      <c r="E18" s="633"/>
      <c r="F18" s="633"/>
      <c r="G18" s="633"/>
      <c r="H18" s="634"/>
      <c r="I18" s="635"/>
      <c r="J18" s="636"/>
      <c r="K18" s="637" t="s">
        <v>9786</v>
      </c>
      <c r="L18" s="638">
        <f>SUM(L12:L17)</f>
        <v>925000</v>
      </c>
    </row>
    <row r="19" ht="13.5" customHeight="1">
      <c r="A19" s="639"/>
      <c r="D19" s="640"/>
      <c r="E19" s="641"/>
      <c r="G19" s="642"/>
      <c r="H19" s="642"/>
      <c r="I19" s="642"/>
      <c r="J19" s="643"/>
      <c r="K19" s="201" t="s">
        <v>9787</v>
      </c>
      <c r="L19" s="644">
        <v>100000.0</v>
      </c>
    </row>
    <row r="20" ht="13.5" customHeight="1">
      <c r="A20" s="639"/>
      <c r="B20" s="639"/>
      <c r="C20" s="639"/>
      <c r="D20" s="640"/>
      <c r="E20" s="645" t="s">
        <v>9788</v>
      </c>
      <c r="J20" s="643"/>
      <c r="K20" s="201" t="s">
        <v>9789</v>
      </c>
      <c r="L20" s="644">
        <v>0.0</v>
      </c>
    </row>
    <row r="21" ht="13.5" customHeight="1">
      <c r="A21" s="592"/>
      <c r="B21" s="628"/>
      <c r="C21" s="628"/>
      <c r="D21" s="628"/>
      <c r="J21" s="646"/>
      <c r="K21" s="647" t="s">
        <v>9790</v>
      </c>
      <c r="L21" s="648">
        <f>L18-L19-L20</f>
        <v>825000</v>
      </c>
    </row>
    <row r="22" ht="13.5" customHeight="1">
      <c r="A22" s="592"/>
      <c r="B22" s="604"/>
      <c r="C22" s="604"/>
      <c r="D22" s="649"/>
      <c r="J22" s="650"/>
      <c r="K22" s="637"/>
      <c r="L22" s="651"/>
    </row>
    <row r="23" ht="13.5" customHeight="1">
      <c r="A23" s="592"/>
      <c r="B23" s="604"/>
      <c r="C23" s="604"/>
      <c r="D23" s="604"/>
      <c r="J23" s="652" t="s">
        <v>1973</v>
      </c>
      <c r="K23" s="653" t="s">
        <v>9791</v>
      </c>
      <c r="L23" s="653"/>
    </row>
    <row r="24" ht="13.5" customHeight="1">
      <c r="A24" s="654" t="s">
        <v>9792</v>
      </c>
      <c r="B24" s="591"/>
      <c r="C24" s="591"/>
      <c r="D24" s="649"/>
      <c r="J24" s="655"/>
      <c r="K24" s="656"/>
    </row>
    <row r="25" ht="13.5" customHeight="1">
      <c r="B25" s="657"/>
      <c r="F25" s="594" t="s">
        <v>1973</v>
      </c>
      <c r="H25" s="658"/>
      <c r="I25" s="658"/>
      <c r="J25" s="650"/>
      <c r="K25" s="659"/>
      <c r="L25" s="646"/>
    </row>
    <row r="26" ht="13.5" customHeight="1">
      <c r="K26" s="660"/>
      <c r="L26" s="660"/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23">
    <mergeCell ref="J11:K11"/>
    <mergeCell ref="J12:K12"/>
    <mergeCell ref="J6:L6"/>
    <mergeCell ref="D8:F8"/>
    <mergeCell ref="H10:I10"/>
    <mergeCell ref="J10:K10"/>
    <mergeCell ref="C11:G11"/>
    <mergeCell ref="H11:I11"/>
    <mergeCell ref="C12:G12"/>
    <mergeCell ref="C16:G16"/>
    <mergeCell ref="C17:G17"/>
    <mergeCell ref="J17:K17"/>
    <mergeCell ref="A18:D18"/>
    <mergeCell ref="A19:C19"/>
    <mergeCell ref="E20:I24"/>
    <mergeCell ref="K24:L24"/>
    <mergeCell ref="C13:G13"/>
    <mergeCell ref="J13:K13"/>
    <mergeCell ref="C14:G14"/>
    <mergeCell ref="J14:K14"/>
    <mergeCell ref="C15:G15"/>
    <mergeCell ref="J15:K15"/>
    <mergeCell ref="J16:K16"/>
  </mergeCells>
  <printOptions horizontalCentered="1"/>
  <pageMargins bottom="0.75" footer="0.0" header="0.0" left="0.25" right="0.25" top="0.75"/>
  <pageSetup paperSize="11" scale="92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1.71"/>
    <col customWidth="1" min="3" max="3" width="8.71"/>
    <col customWidth="1" min="4" max="4" width="11.43"/>
    <col customWidth="1" min="5" max="5" width="8.71"/>
    <col customWidth="1" min="6" max="6" width="6.71"/>
    <col customWidth="1" min="7" max="7" width="7.29"/>
    <col customWidth="1" min="8" max="8" width="3.57"/>
    <col customWidth="1" min="9" max="9" width="3.43"/>
    <col customWidth="1" min="10" max="10" width="6.43"/>
    <col customWidth="1" min="11" max="11" width="9.71"/>
    <col customWidth="1" min="12" max="12" width="21.0"/>
    <col customWidth="1" min="13" max="16" width="8.71"/>
  </cols>
  <sheetData>
    <row r="1" ht="13.5" customHeight="1">
      <c r="A1" s="590" t="s">
        <v>9772</v>
      </c>
      <c r="B1" s="591"/>
      <c r="C1" s="592"/>
      <c r="D1" s="592"/>
      <c r="E1" s="592"/>
      <c r="F1" s="593"/>
      <c r="G1" s="592"/>
      <c r="H1" s="592"/>
      <c r="I1" s="592"/>
      <c r="J1" s="594" t="s">
        <v>9773</v>
      </c>
      <c r="L1" s="595">
        <v>46118.0</v>
      </c>
    </row>
    <row r="2" ht="13.5" customHeight="1">
      <c r="A2" s="596" t="s">
        <v>9774</v>
      </c>
      <c r="B2" s="597"/>
      <c r="C2" s="598"/>
      <c r="D2" s="598"/>
      <c r="E2" s="598"/>
      <c r="F2" s="592"/>
      <c r="G2" s="592"/>
      <c r="H2" s="592"/>
      <c r="I2" s="592"/>
      <c r="J2" s="594" t="s">
        <v>9775</v>
      </c>
      <c r="L2" s="676"/>
    </row>
    <row r="3" ht="13.5" customHeight="1">
      <c r="A3" s="599" t="s">
        <v>9776</v>
      </c>
      <c r="B3" s="600"/>
      <c r="C3" s="592"/>
      <c r="D3" s="601"/>
      <c r="E3" s="601"/>
      <c r="F3" s="601"/>
      <c r="G3" s="601"/>
      <c r="H3" s="601"/>
      <c r="I3" s="601"/>
      <c r="J3" s="677"/>
    </row>
    <row r="4" ht="13.5" customHeight="1">
      <c r="A4" s="604"/>
      <c r="B4" s="604"/>
      <c r="C4" s="592"/>
      <c r="D4" s="601"/>
      <c r="E4" s="601"/>
      <c r="F4" s="601"/>
      <c r="G4" s="601"/>
      <c r="H4" s="601"/>
      <c r="I4" s="601"/>
    </row>
    <row r="5" ht="13.5" customHeight="1">
      <c r="A5" s="604"/>
      <c r="B5" s="604"/>
      <c r="C5" s="592"/>
      <c r="D5" s="601"/>
      <c r="E5" s="601"/>
      <c r="F5" s="601"/>
      <c r="G5" s="601"/>
      <c r="H5" s="601"/>
      <c r="I5" s="601"/>
      <c r="J5" s="607"/>
      <c r="K5" s="607"/>
      <c r="L5" s="607"/>
    </row>
    <row r="6" ht="13.5" customHeight="1">
      <c r="A6" s="604"/>
      <c r="B6" s="604"/>
      <c r="C6" s="592"/>
      <c r="D6" s="601"/>
      <c r="E6" s="601"/>
      <c r="F6" s="601"/>
      <c r="G6" s="601"/>
      <c r="H6" s="601"/>
      <c r="I6" s="601"/>
      <c r="K6" s="606"/>
      <c r="L6" s="606"/>
    </row>
    <row r="7" ht="13.5" customHeight="1">
      <c r="A7" s="604"/>
      <c r="B7" s="604"/>
      <c r="C7" s="592"/>
      <c r="D7" s="601"/>
      <c r="E7" s="601"/>
      <c r="F7" s="601"/>
      <c r="G7" s="601"/>
      <c r="H7" s="601"/>
      <c r="I7" s="601"/>
      <c r="J7" s="606"/>
      <c r="K7" s="606"/>
      <c r="L7" s="606"/>
    </row>
    <row r="8" ht="13.5" customHeight="1">
      <c r="A8" s="604"/>
      <c r="B8" s="604"/>
      <c r="C8" s="592"/>
      <c r="D8" s="608" t="s">
        <v>9777</v>
      </c>
      <c r="G8" s="601"/>
      <c r="H8" s="601"/>
      <c r="I8" s="601"/>
      <c r="J8" s="609"/>
      <c r="K8" s="609"/>
      <c r="L8" s="678"/>
    </row>
    <row r="9" ht="13.5" customHeight="1">
      <c r="A9" s="17"/>
      <c r="B9" s="600"/>
      <c r="C9" s="17"/>
      <c r="D9" s="611"/>
      <c r="E9" s="611"/>
      <c r="F9" s="611"/>
      <c r="G9" s="17"/>
      <c r="H9" s="17"/>
      <c r="I9" s="17"/>
      <c r="J9" s="612"/>
      <c r="K9" s="612"/>
      <c r="L9" s="45"/>
    </row>
    <row r="10" ht="13.5" customHeight="1">
      <c r="A10" s="613" t="s">
        <v>2727</v>
      </c>
      <c r="B10" s="679" t="s">
        <v>9587</v>
      </c>
      <c r="C10" s="17"/>
      <c r="D10" s="615"/>
      <c r="E10" s="17"/>
      <c r="F10" s="17"/>
      <c r="G10" s="17"/>
      <c r="H10" s="616"/>
      <c r="I10" s="617"/>
      <c r="J10" s="616" t="s">
        <v>9778</v>
      </c>
      <c r="K10" s="617"/>
      <c r="L10" s="172"/>
    </row>
    <row r="11" ht="13.5" customHeight="1">
      <c r="A11" s="618" t="s">
        <v>9779</v>
      </c>
      <c r="B11" s="675" t="s">
        <v>0</v>
      </c>
      <c r="C11" s="620" t="s">
        <v>9780</v>
      </c>
      <c r="D11" s="621"/>
      <c r="E11" s="621"/>
      <c r="F11" s="621"/>
      <c r="G11" s="621"/>
      <c r="H11" s="618" t="s">
        <v>9781</v>
      </c>
      <c r="I11" s="122"/>
      <c r="J11" s="620" t="s">
        <v>9782</v>
      </c>
      <c r="K11" s="621"/>
      <c r="L11" s="680" t="s">
        <v>2740</v>
      </c>
      <c r="M11" s="622"/>
      <c r="N11" s="622"/>
      <c r="O11" s="622"/>
      <c r="P11" s="622"/>
      <c r="Q11" s="622"/>
      <c r="R11" s="622"/>
      <c r="S11" s="622"/>
      <c r="T11" s="622"/>
      <c r="U11" s="622"/>
      <c r="V11" s="622"/>
      <c r="W11" s="622"/>
      <c r="X11" s="622"/>
      <c r="Y11" s="622"/>
      <c r="Z11" s="622"/>
    </row>
    <row r="12" ht="13.5" customHeight="1">
      <c r="A12" s="623">
        <v>1.0</v>
      </c>
      <c r="B12" s="681"/>
      <c r="C12" s="682" t="str">
        <f>IFERROR(VLOOKUP(B12,Stock,3,FALSE),"")</f>
        <v/>
      </c>
      <c r="D12" s="621"/>
      <c r="E12" s="621"/>
      <c r="F12" s="621"/>
      <c r="G12" s="621"/>
      <c r="H12" s="624">
        <v>1.0</v>
      </c>
      <c r="I12" s="624" t="s">
        <v>2729</v>
      </c>
      <c r="J12" s="683"/>
      <c r="K12" s="621"/>
      <c r="L12" s="625">
        <f t="shared" ref="L12:L16" si="1">H12*J12</f>
        <v>0</v>
      </c>
    </row>
    <row r="13" ht="13.5" customHeight="1">
      <c r="A13" s="626">
        <v>2.0</v>
      </c>
      <c r="B13" s="45"/>
      <c r="C13" s="229" t="str">
        <f>IFERROR(VLOOKUP(B13,Stock,3,FALSE),"")</f>
        <v/>
      </c>
      <c r="H13" s="444"/>
      <c r="I13" s="444"/>
      <c r="J13" s="627"/>
      <c r="L13" s="625">
        <f t="shared" si="1"/>
        <v>0</v>
      </c>
    </row>
    <row r="14" ht="13.5" customHeight="1">
      <c r="A14" s="623">
        <v>3.0</v>
      </c>
      <c r="B14" s="264"/>
      <c r="C14" s="229" t="str">
        <f>IFERROR(VLOOKUP(B14,Stock,3,FALSE),"")</f>
        <v/>
      </c>
      <c r="H14" s="444"/>
      <c r="I14" s="444"/>
      <c r="J14" s="627"/>
      <c r="L14" s="625">
        <f t="shared" si="1"/>
        <v>0</v>
      </c>
      <c r="P14" s="17"/>
    </row>
    <row r="15" ht="13.5" customHeight="1">
      <c r="A15" s="444">
        <v>4.0</v>
      </c>
      <c r="B15" s="201"/>
      <c r="C15" s="229" t="str">
        <f>IFERROR(VLOOKUP(B15,Stock,3,FALSE),"")</f>
        <v/>
      </c>
      <c r="H15" s="444"/>
      <c r="I15" s="444"/>
      <c r="J15" s="627"/>
      <c r="L15" s="625">
        <f t="shared" si="1"/>
        <v>0</v>
      </c>
    </row>
    <row r="16" ht="13.5" customHeight="1">
      <c r="A16" s="444">
        <v>5.0</v>
      </c>
      <c r="B16" s="628"/>
      <c r="C16" s="684"/>
      <c r="H16" s="628"/>
      <c r="I16" s="628"/>
      <c r="J16" s="627"/>
      <c r="L16" s="625">
        <f t="shared" si="1"/>
        <v>0</v>
      </c>
    </row>
    <row r="17" ht="13.5" customHeight="1">
      <c r="A17" s="629">
        <v>6.0</v>
      </c>
      <c r="B17" s="630"/>
      <c r="C17" s="617"/>
      <c r="D17" s="617"/>
      <c r="E17" s="617"/>
      <c r="F17" s="617"/>
      <c r="G17" s="617"/>
      <c r="H17" s="628"/>
      <c r="I17" s="628"/>
      <c r="J17" s="631"/>
      <c r="K17" s="617"/>
      <c r="L17" s="625"/>
    </row>
    <row r="18" ht="13.5" customHeight="1">
      <c r="A18" s="685" t="s">
        <v>9785</v>
      </c>
      <c r="B18" s="621"/>
      <c r="C18" s="621"/>
      <c r="D18" s="621"/>
      <c r="E18" s="633"/>
      <c r="F18" s="633"/>
      <c r="G18" s="633"/>
      <c r="H18" s="634"/>
      <c r="I18" s="635"/>
      <c r="J18" s="636"/>
      <c r="K18" s="637" t="s">
        <v>9786</v>
      </c>
      <c r="L18" s="644">
        <f>SUM(L12:L17)</f>
        <v>0</v>
      </c>
    </row>
    <row r="19" ht="13.5" customHeight="1">
      <c r="A19" s="686" t="s">
        <v>9802</v>
      </c>
      <c r="D19" s="686"/>
      <c r="E19" s="641"/>
      <c r="G19" s="642"/>
      <c r="H19" s="642"/>
      <c r="I19" s="642"/>
      <c r="J19" s="643"/>
      <c r="K19" s="201" t="s">
        <v>9787</v>
      </c>
      <c r="L19" s="687">
        <v>0.0</v>
      </c>
      <c r="P19" s="688" t="str">
        <f>'Current Stock'!O1414</f>
        <v/>
      </c>
    </row>
    <row r="20" ht="13.5" customHeight="1">
      <c r="A20" s="639"/>
      <c r="B20" s="639"/>
      <c r="C20" s="639"/>
      <c r="D20" s="689"/>
      <c r="E20" s="645" t="s">
        <v>9788</v>
      </c>
      <c r="J20" s="643"/>
      <c r="K20" s="201" t="s">
        <v>9789</v>
      </c>
      <c r="L20" s="687">
        <v>0.0</v>
      </c>
    </row>
    <row r="21" ht="13.5" customHeight="1">
      <c r="A21" s="592"/>
      <c r="B21" s="628"/>
      <c r="C21" s="628"/>
      <c r="D21" s="689"/>
      <c r="J21" s="646"/>
      <c r="K21" s="647" t="s">
        <v>9790</v>
      </c>
      <c r="L21" s="648">
        <f>L18-L19-L20</f>
        <v>0</v>
      </c>
    </row>
    <row r="22" ht="13.5" customHeight="1">
      <c r="A22" s="592"/>
      <c r="B22" s="604"/>
      <c r="C22" s="604"/>
      <c r="D22" s="690"/>
      <c r="J22" s="650"/>
      <c r="K22" s="637"/>
      <c r="L22" s="651"/>
    </row>
    <row r="23" ht="13.5" customHeight="1">
      <c r="A23" s="592"/>
      <c r="B23" s="604"/>
      <c r="C23" s="604"/>
      <c r="D23" s="691"/>
      <c r="J23" s="652" t="s">
        <v>1973</v>
      </c>
      <c r="K23" s="653" t="s">
        <v>9791</v>
      </c>
      <c r="L23" s="653"/>
    </row>
    <row r="24" ht="13.5" customHeight="1">
      <c r="A24" s="591"/>
      <c r="B24" s="591"/>
      <c r="C24" s="591"/>
      <c r="D24" s="692"/>
      <c r="J24" s="655"/>
      <c r="K24" s="656"/>
    </row>
    <row r="25" ht="13.5" customHeight="1">
      <c r="B25" s="657"/>
      <c r="C25" s="548" t="s">
        <v>1973</v>
      </c>
      <c r="F25" s="594" t="s">
        <v>1973</v>
      </c>
      <c r="H25" s="658"/>
      <c r="I25" s="658"/>
      <c r="J25" s="650"/>
      <c r="K25" s="659"/>
      <c r="L25" s="646"/>
    </row>
    <row r="26" ht="13.5" customHeight="1">
      <c r="B26" s="693" t="s">
        <v>9803</v>
      </c>
      <c r="K26" s="660"/>
      <c r="L26" s="660"/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23">
    <mergeCell ref="J11:K11"/>
    <mergeCell ref="J12:K12"/>
    <mergeCell ref="J3:L3"/>
    <mergeCell ref="D8:F8"/>
    <mergeCell ref="H10:I10"/>
    <mergeCell ref="J10:K10"/>
    <mergeCell ref="C11:G11"/>
    <mergeCell ref="H11:I11"/>
    <mergeCell ref="C12:G12"/>
    <mergeCell ref="C16:G16"/>
    <mergeCell ref="B17:G17"/>
    <mergeCell ref="J17:K17"/>
    <mergeCell ref="A18:D18"/>
    <mergeCell ref="A19:C19"/>
    <mergeCell ref="E20:I24"/>
    <mergeCell ref="K24:L24"/>
    <mergeCell ref="C13:G13"/>
    <mergeCell ref="J13:K13"/>
    <mergeCell ref="C14:G14"/>
    <mergeCell ref="J14:K14"/>
    <mergeCell ref="C15:G15"/>
    <mergeCell ref="J15:K15"/>
    <mergeCell ref="J16:K16"/>
  </mergeCells>
  <printOptions horizontalCentered="1"/>
  <pageMargins bottom="0.19227247756821098" footer="0.0" header="0.0" left="0.25" right="0.25" top="0.12818165171214066"/>
  <pageSetup paperSize="11" scale="92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1.71"/>
    <col customWidth="1" min="3" max="3" width="8.71"/>
    <col customWidth="1" min="4" max="4" width="11.43"/>
    <col customWidth="1" min="5" max="5" width="8.71"/>
    <col customWidth="1" min="6" max="6" width="6.71"/>
    <col customWidth="1" min="7" max="7" width="7.29"/>
    <col customWidth="1" min="8" max="8" width="3.57"/>
    <col customWidth="1" min="9" max="9" width="3.43"/>
    <col customWidth="1" min="10" max="10" width="6.43"/>
    <col customWidth="1" min="11" max="11" width="9.71"/>
    <col customWidth="1" min="12" max="12" width="12.0"/>
    <col customWidth="1" min="13" max="16" width="8.71"/>
  </cols>
  <sheetData>
    <row r="1" ht="13.5" customHeight="1">
      <c r="A1" s="590" t="s">
        <v>9772</v>
      </c>
      <c r="B1" s="591"/>
      <c r="C1" s="592"/>
      <c r="D1" s="592"/>
      <c r="E1" s="592"/>
      <c r="F1" s="593"/>
      <c r="G1" s="592"/>
      <c r="H1" s="592"/>
      <c r="I1" s="592"/>
      <c r="J1" s="594" t="s">
        <v>9773</v>
      </c>
      <c r="L1" s="595">
        <v>46137.0</v>
      </c>
    </row>
    <row r="2" ht="13.5" customHeight="1">
      <c r="A2" s="596" t="s">
        <v>9774</v>
      </c>
      <c r="B2" s="597"/>
      <c r="C2" s="598"/>
      <c r="D2" s="598"/>
      <c r="E2" s="598"/>
      <c r="F2" s="592"/>
      <c r="G2" s="592"/>
      <c r="H2" s="592"/>
      <c r="I2" s="592"/>
      <c r="J2" s="594" t="s">
        <v>9775</v>
      </c>
      <c r="L2" s="676"/>
    </row>
    <row r="3" ht="13.5" customHeight="1">
      <c r="A3" s="599" t="s">
        <v>9776</v>
      </c>
      <c r="B3" s="600"/>
      <c r="C3" s="592"/>
      <c r="D3" s="601"/>
      <c r="E3" s="601"/>
      <c r="F3" s="601"/>
      <c r="G3" s="601"/>
      <c r="H3" s="601"/>
      <c r="I3" s="601"/>
      <c r="J3" s="548" t="s">
        <v>9738</v>
      </c>
      <c r="K3" s="677"/>
      <c r="L3" s="677"/>
    </row>
    <row r="4" ht="13.5" customHeight="1">
      <c r="A4" s="604"/>
      <c r="B4" s="604"/>
      <c r="C4" s="592"/>
      <c r="D4" s="601"/>
      <c r="E4" s="601"/>
      <c r="F4" s="601"/>
      <c r="G4" s="601"/>
      <c r="H4" s="601"/>
      <c r="I4" s="601"/>
      <c r="J4" s="694" t="s">
        <v>9739</v>
      </c>
    </row>
    <row r="5" ht="13.5" customHeight="1">
      <c r="A5" s="604"/>
      <c r="B5" s="604"/>
      <c r="C5" s="592"/>
      <c r="D5" s="601"/>
      <c r="E5" s="601"/>
      <c r="F5" s="601"/>
      <c r="G5" s="601"/>
      <c r="H5" s="601"/>
      <c r="I5" s="601"/>
      <c r="J5" s="677"/>
      <c r="K5" s="607"/>
      <c r="L5" s="607"/>
    </row>
    <row r="6" ht="13.5" customHeight="1">
      <c r="A6" s="604"/>
      <c r="B6" s="604"/>
      <c r="C6" s="592"/>
      <c r="D6" s="601"/>
      <c r="E6" s="601"/>
      <c r="F6" s="601"/>
      <c r="G6" s="601"/>
      <c r="H6" s="601"/>
      <c r="I6" s="601"/>
      <c r="K6" s="606"/>
      <c r="L6" s="606"/>
    </row>
    <row r="7" ht="13.5" customHeight="1">
      <c r="A7" s="604"/>
      <c r="B7" s="604"/>
      <c r="C7" s="592"/>
      <c r="D7" s="601"/>
      <c r="E7" s="601"/>
      <c r="F7" s="601"/>
      <c r="G7" s="601"/>
      <c r="H7" s="601"/>
      <c r="I7" s="601"/>
      <c r="J7" s="606"/>
      <c r="K7" s="606"/>
      <c r="L7" s="606"/>
    </row>
    <row r="8" ht="13.5" customHeight="1">
      <c r="A8" s="604"/>
      <c r="B8" s="604"/>
      <c r="C8" s="592"/>
      <c r="D8" s="608" t="s">
        <v>9777</v>
      </c>
      <c r="G8" s="601"/>
      <c r="H8" s="601"/>
      <c r="I8" s="601"/>
      <c r="J8" s="609"/>
      <c r="K8" s="609"/>
      <c r="L8" s="609"/>
    </row>
    <row r="9" ht="13.5" customHeight="1">
      <c r="A9" s="17"/>
      <c r="B9" s="679"/>
      <c r="C9" s="17"/>
      <c r="D9" s="611"/>
      <c r="E9" s="611"/>
      <c r="F9" s="611"/>
      <c r="G9" s="17"/>
      <c r="H9" s="17"/>
      <c r="I9" s="17"/>
      <c r="J9" s="612"/>
      <c r="K9" s="612"/>
      <c r="L9" s="444"/>
    </row>
    <row r="10" ht="13.5" customHeight="1">
      <c r="A10" s="613" t="s">
        <v>2727</v>
      </c>
      <c r="B10" s="695" t="s">
        <v>9736</v>
      </c>
      <c r="C10" s="17"/>
      <c r="D10" s="615"/>
      <c r="E10" s="17"/>
      <c r="F10" s="17"/>
      <c r="G10" s="17"/>
      <c r="H10" s="616"/>
      <c r="I10" s="617"/>
      <c r="J10" s="616" t="s">
        <v>9778</v>
      </c>
      <c r="K10" s="617"/>
      <c r="L10" s="463"/>
    </row>
    <row r="11" ht="13.5" customHeight="1">
      <c r="A11" s="618" t="s">
        <v>9779</v>
      </c>
      <c r="B11" s="675" t="s">
        <v>0</v>
      </c>
      <c r="C11" s="618" t="s">
        <v>9780</v>
      </c>
      <c r="D11" s="122"/>
      <c r="E11" s="122"/>
      <c r="F11" s="122"/>
      <c r="G11" s="122"/>
      <c r="H11" s="618" t="s">
        <v>9781</v>
      </c>
      <c r="I11" s="122"/>
      <c r="J11" s="620" t="s">
        <v>9782</v>
      </c>
      <c r="K11" s="621"/>
      <c r="L11" s="680" t="s">
        <v>2740</v>
      </c>
      <c r="M11" s="622"/>
      <c r="N11" s="622"/>
      <c r="O11" s="622"/>
      <c r="P11" s="622"/>
      <c r="Q11" s="622"/>
      <c r="R11" s="622"/>
      <c r="S11" s="622"/>
      <c r="T11" s="622"/>
      <c r="U11" s="622"/>
      <c r="V11" s="622"/>
      <c r="W11" s="622"/>
      <c r="X11" s="622"/>
      <c r="Y11" s="622"/>
      <c r="Z11" s="622"/>
    </row>
    <row r="12" ht="13.5" customHeight="1">
      <c r="A12" s="623">
        <v>1.0</v>
      </c>
      <c r="B12" s="681" t="s">
        <v>9737</v>
      </c>
      <c r="C12" s="229" t="s">
        <v>9804</v>
      </c>
      <c r="H12" s="624">
        <v>1.0</v>
      </c>
      <c r="I12" s="624" t="s">
        <v>2729</v>
      </c>
      <c r="J12" s="683">
        <v>985000.0</v>
      </c>
      <c r="K12" s="621"/>
      <c r="L12" s="625">
        <f t="shared" ref="L12:L16" si="1">H12*J12</f>
        <v>985000</v>
      </c>
    </row>
    <row r="13" ht="13.5" customHeight="1">
      <c r="A13" s="626">
        <v>2.0</v>
      </c>
      <c r="B13" s="45"/>
      <c r="C13" s="229" t="str">
        <f>IFERROR(VLOOKUP(B13,Stock,3,FALSE),"")</f>
        <v/>
      </c>
      <c r="H13" s="444"/>
      <c r="I13" s="444"/>
      <c r="J13" s="627"/>
      <c r="L13" s="625">
        <f t="shared" si="1"/>
        <v>0</v>
      </c>
    </row>
    <row r="14" ht="13.5" customHeight="1">
      <c r="A14" s="623">
        <v>3.0</v>
      </c>
      <c r="B14" s="264"/>
      <c r="C14" s="229" t="str">
        <f>IFERROR(VLOOKUP(B14,Stock,3,FALSE),"")</f>
        <v/>
      </c>
      <c r="H14" s="444"/>
      <c r="I14" s="444"/>
      <c r="J14" s="627"/>
      <c r="L14" s="625">
        <f t="shared" si="1"/>
        <v>0</v>
      </c>
      <c r="P14" s="17"/>
    </row>
    <row r="15" ht="13.5" customHeight="1">
      <c r="A15" s="444">
        <v>4.0</v>
      </c>
      <c r="B15" s="201"/>
      <c r="C15" s="229"/>
      <c r="H15" s="444"/>
      <c r="I15" s="444"/>
      <c r="J15" s="627"/>
      <c r="L15" s="625">
        <f t="shared" si="1"/>
        <v>0</v>
      </c>
    </row>
    <row r="16" ht="13.5" customHeight="1">
      <c r="A16" s="444">
        <v>5.0</v>
      </c>
      <c r="B16" s="628"/>
      <c r="C16" s="684"/>
      <c r="H16" s="628"/>
      <c r="I16" s="628"/>
      <c r="J16" s="627"/>
      <c r="L16" s="625">
        <f t="shared" si="1"/>
        <v>0</v>
      </c>
    </row>
    <row r="17" ht="13.5" customHeight="1">
      <c r="A17" s="629">
        <v>6.0</v>
      </c>
      <c r="B17" s="630"/>
      <c r="C17" s="617"/>
      <c r="D17" s="617"/>
      <c r="E17" s="617"/>
      <c r="F17" s="617"/>
      <c r="G17" s="617"/>
      <c r="H17" s="628"/>
      <c r="I17" s="628"/>
      <c r="J17" s="631"/>
      <c r="K17" s="617"/>
      <c r="L17" s="696">
        <v>0.0</v>
      </c>
    </row>
    <row r="18" ht="13.5" customHeight="1">
      <c r="A18" s="685" t="s">
        <v>9785</v>
      </c>
      <c r="B18" s="621"/>
      <c r="C18" s="621"/>
      <c r="D18" s="621"/>
      <c r="E18" s="633"/>
      <c r="F18" s="633"/>
      <c r="G18" s="633"/>
      <c r="H18" s="634"/>
      <c r="I18" s="635"/>
      <c r="J18" s="636"/>
      <c r="K18" s="637" t="s">
        <v>9786</v>
      </c>
      <c r="L18" s="638">
        <f>SUM(L12:L17)</f>
        <v>985000</v>
      </c>
    </row>
    <row r="19" ht="13.5" customHeight="1">
      <c r="A19" s="639"/>
      <c r="D19" s="640"/>
      <c r="E19" s="641"/>
      <c r="G19" s="642"/>
      <c r="H19" s="642"/>
      <c r="I19" s="642"/>
      <c r="J19" s="643"/>
      <c r="K19" s="201" t="s">
        <v>9787</v>
      </c>
      <c r="L19" s="687">
        <v>492500.0</v>
      </c>
    </row>
    <row r="20" ht="13.5" customHeight="1">
      <c r="A20" s="639"/>
      <c r="B20" s="639"/>
      <c r="C20" s="639"/>
      <c r="D20" s="640"/>
      <c r="E20" s="645" t="s">
        <v>9788</v>
      </c>
      <c r="J20" s="643"/>
      <c r="K20" s="201" t="s">
        <v>9789</v>
      </c>
      <c r="L20" s="687">
        <v>0.0</v>
      </c>
    </row>
    <row r="21" ht="13.5" customHeight="1">
      <c r="A21" s="592"/>
      <c r="B21" s="628"/>
      <c r="C21" s="628"/>
      <c r="D21" s="628"/>
      <c r="J21" s="646"/>
      <c r="K21" s="647" t="s">
        <v>9790</v>
      </c>
      <c r="L21" s="648">
        <f>L18-L19-L20</f>
        <v>492500</v>
      </c>
    </row>
    <row r="22" ht="13.5" customHeight="1">
      <c r="A22" s="592"/>
      <c r="B22" s="604"/>
      <c r="C22" s="604"/>
      <c r="D22" s="649"/>
      <c r="J22" s="650"/>
      <c r="K22" s="637"/>
      <c r="L22" s="651"/>
    </row>
    <row r="23" ht="13.5" customHeight="1">
      <c r="A23" s="592"/>
      <c r="B23" s="604"/>
      <c r="C23" s="604"/>
      <c r="D23" s="604"/>
      <c r="J23" s="652" t="s">
        <v>1973</v>
      </c>
      <c r="K23" s="653" t="s">
        <v>9791</v>
      </c>
      <c r="L23" s="653"/>
    </row>
    <row r="24" ht="13.5" customHeight="1">
      <c r="A24" s="654" t="s">
        <v>9792</v>
      </c>
      <c r="B24" s="591"/>
      <c r="C24" s="591"/>
      <c r="D24" s="649"/>
      <c r="J24" s="655"/>
      <c r="K24" s="659" t="s">
        <v>9805</v>
      </c>
    </row>
    <row r="25" ht="13.5" customHeight="1">
      <c r="B25" s="657"/>
      <c r="C25" s="548" t="s">
        <v>1973</v>
      </c>
      <c r="F25" s="594" t="s">
        <v>1973</v>
      </c>
      <c r="H25" s="658"/>
      <c r="I25" s="658"/>
      <c r="J25" s="650"/>
      <c r="L25" s="646"/>
    </row>
    <row r="26" ht="13.5" customHeight="1">
      <c r="K26" s="660"/>
      <c r="L26" s="660"/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22">
    <mergeCell ref="D8:F8"/>
    <mergeCell ref="H10:I10"/>
    <mergeCell ref="J10:K10"/>
    <mergeCell ref="C11:G11"/>
    <mergeCell ref="H11:I11"/>
    <mergeCell ref="J11:K11"/>
    <mergeCell ref="J12:K12"/>
    <mergeCell ref="J15:K15"/>
    <mergeCell ref="J16:K16"/>
    <mergeCell ref="B17:G17"/>
    <mergeCell ref="J17:K17"/>
    <mergeCell ref="A18:D18"/>
    <mergeCell ref="A19:C19"/>
    <mergeCell ref="E20:I24"/>
    <mergeCell ref="K24:L24"/>
    <mergeCell ref="C12:G12"/>
    <mergeCell ref="C13:G13"/>
    <mergeCell ref="J13:K13"/>
    <mergeCell ref="C14:G14"/>
    <mergeCell ref="J14:K14"/>
    <mergeCell ref="C15:G15"/>
    <mergeCell ref="C16:G16"/>
  </mergeCells>
  <printOptions horizontalCentered="1"/>
  <pageMargins bottom="0.75" footer="0.0" header="0.0" left="0.25" right="0.25" top="0.75"/>
  <pageSetup paperSize="11" scale="92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1.71"/>
    <col customWidth="1" min="3" max="3" width="8.71"/>
    <col customWidth="1" min="4" max="4" width="11.43"/>
    <col customWidth="1" min="5" max="5" width="8.71"/>
    <col customWidth="1" min="6" max="6" width="6.71"/>
    <col customWidth="1" min="7" max="7" width="7.29"/>
    <col customWidth="1" min="8" max="8" width="3.57"/>
    <col customWidth="1" min="9" max="9" width="3.43"/>
    <col customWidth="1" min="10" max="10" width="6.43"/>
    <col customWidth="1" min="11" max="11" width="9.71"/>
    <col customWidth="1" min="12" max="12" width="12.0"/>
    <col customWidth="1" min="13" max="16" width="8.71"/>
  </cols>
  <sheetData>
    <row r="1" ht="13.5" customHeight="1">
      <c r="A1" s="590" t="s">
        <v>9772</v>
      </c>
      <c r="B1" s="591"/>
      <c r="C1" s="592"/>
      <c r="D1" s="592"/>
      <c r="E1" s="592"/>
      <c r="F1" s="593"/>
      <c r="G1" s="592"/>
      <c r="H1" s="592"/>
      <c r="I1" s="592"/>
      <c r="J1" s="594" t="s">
        <v>9773</v>
      </c>
      <c r="L1" s="595">
        <v>46134.0</v>
      </c>
    </row>
    <row r="2" ht="13.5" customHeight="1">
      <c r="A2" s="596" t="s">
        <v>9774</v>
      </c>
      <c r="B2" s="597"/>
      <c r="C2" s="598"/>
      <c r="D2" s="598"/>
      <c r="E2" s="598"/>
      <c r="F2" s="592"/>
      <c r="G2" s="592"/>
      <c r="H2" s="592"/>
      <c r="I2" s="592"/>
      <c r="J2" s="594" t="s">
        <v>9775</v>
      </c>
      <c r="L2" s="676"/>
    </row>
    <row r="3" ht="13.5" customHeight="1">
      <c r="A3" s="599" t="s">
        <v>9776</v>
      </c>
      <c r="B3" s="600"/>
      <c r="C3" s="592"/>
      <c r="D3" s="601"/>
      <c r="E3" s="601"/>
      <c r="F3" s="601"/>
      <c r="G3" s="601"/>
      <c r="H3" s="601"/>
      <c r="I3" s="601"/>
      <c r="J3" s="548" t="s">
        <v>9705</v>
      </c>
      <c r="K3" s="677"/>
      <c r="L3" s="677"/>
    </row>
    <row r="4" ht="13.5" customHeight="1">
      <c r="A4" s="604"/>
      <c r="B4" s="604"/>
      <c r="C4" s="592"/>
      <c r="D4" s="601"/>
      <c r="E4" s="601"/>
      <c r="F4" s="601"/>
      <c r="G4" s="601"/>
      <c r="H4" s="601"/>
      <c r="I4" s="601"/>
      <c r="J4" s="694" t="s">
        <v>9706</v>
      </c>
    </row>
    <row r="5" ht="13.5" customHeight="1">
      <c r="A5" s="604"/>
      <c r="B5" s="604"/>
      <c r="C5" s="592"/>
      <c r="D5" s="601"/>
      <c r="E5" s="601"/>
      <c r="F5" s="601"/>
      <c r="G5" s="601"/>
      <c r="H5" s="601"/>
      <c r="I5" s="601"/>
      <c r="J5" s="677"/>
      <c r="K5" s="607"/>
      <c r="L5" s="607"/>
    </row>
    <row r="6" ht="13.5" customHeight="1">
      <c r="A6" s="604"/>
      <c r="B6" s="604"/>
      <c r="C6" s="592"/>
      <c r="D6" s="601"/>
      <c r="E6" s="601"/>
      <c r="F6" s="601"/>
      <c r="G6" s="601"/>
      <c r="H6" s="601"/>
      <c r="I6" s="601"/>
      <c r="K6" s="606"/>
      <c r="L6" s="606"/>
    </row>
    <row r="7" ht="13.5" customHeight="1">
      <c r="A7" s="604"/>
      <c r="B7" s="604"/>
      <c r="C7" s="592"/>
      <c r="D7" s="601"/>
      <c r="E7" s="601"/>
      <c r="F7" s="601"/>
      <c r="G7" s="601"/>
      <c r="H7" s="601"/>
      <c r="I7" s="601"/>
      <c r="J7" s="606"/>
      <c r="K7" s="606"/>
      <c r="L7" s="606"/>
    </row>
    <row r="8" ht="13.5" customHeight="1">
      <c r="A8" s="604"/>
      <c r="B8" s="604"/>
      <c r="C8" s="592"/>
      <c r="D8" s="608" t="s">
        <v>9777</v>
      </c>
      <c r="G8" s="601"/>
      <c r="H8" s="601"/>
      <c r="I8" s="601"/>
      <c r="J8" s="609"/>
      <c r="K8" s="609"/>
      <c r="L8" s="609"/>
    </row>
    <row r="9" ht="13.5" customHeight="1">
      <c r="A9" s="17"/>
      <c r="B9" s="679"/>
      <c r="C9" s="17"/>
      <c r="D9" s="611"/>
      <c r="E9" s="611"/>
      <c r="F9" s="611"/>
      <c r="G9" s="17"/>
      <c r="H9" s="17"/>
      <c r="I9" s="17"/>
      <c r="J9" s="612"/>
      <c r="K9" s="612"/>
      <c r="L9" s="444"/>
    </row>
    <row r="10" ht="13.5" customHeight="1">
      <c r="A10" s="613" t="s">
        <v>2727</v>
      </c>
      <c r="B10" s="695" t="s">
        <v>9704</v>
      </c>
      <c r="C10" s="17"/>
      <c r="D10" s="615"/>
      <c r="E10" s="17"/>
      <c r="F10" s="17"/>
      <c r="G10" s="17"/>
      <c r="H10" s="616"/>
      <c r="I10" s="617"/>
      <c r="J10" s="616" t="s">
        <v>9778</v>
      </c>
      <c r="K10" s="617"/>
      <c r="L10" s="463" t="s">
        <v>9593</v>
      </c>
    </row>
    <row r="11" ht="13.5" customHeight="1">
      <c r="A11" s="618" t="s">
        <v>9779</v>
      </c>
      <c r="B11" s="675" t="s">
        <v>0</v>
      </c>
      <c r="C11" s="618" t="s">
        <v>9780</v>
      </c>
      <c r="D11" s="122"/>
      <c r="E11" s="122"/>
      <c r="F11" s="122"/>
      <c r="G11" s="122"/>
      <c r="H11" s="618" t="s">
        <v>9781</v>
      </c>
      <c r="I11" s="122"/>
      <c r="J11" s="620" t="s">
        <v>9782</v>
      </c>
      <c r="K11" s="621"/>
      <c r="L11" s="680" t="s">
        <v>2740</v>
      </c>
      <c r="M11" s="622"/>
      <c r="N11" s="622"/>
      <c r="O11" s="622"/>
      <c r="P11" s="622"/>
      <c r="Q11" s="622"/>
      <c r="R11" s="622"/>
      <c r="S11" s="622"/>
      <c r="T11" s="622"/>
      <c r="U11" s="622"/>
      <c r="V11" s="622"/>
      <c r="W11" s="622"/>
      <c r="X11" s="622"/>
      <c r="Y11" s="622"/>
      <c r="Z11" s="622"/>
    </row>
    <row r="12" ht="13.5" customHeight="1">
      <c r="A12" s="623">
        <v>1.0</v>
      </c>
      <c r="B12" s="681" t="s">
        <v>4017</v>
      </c>
      <c r="C12" s="229" t="str">
        <f>IFERROR(VLOOKUP(B12,Stock,3,FALSE),"")</f>
        <v>Black Phantom Solar Gard</v>
      </c>
      <c r="H12" s="624">
        <v>1.0</v>
      </c>
      <c r="I12" s="624" t="s">
        <v>2729</v>
      </c>
      <c r="J12" s="683">
        <v>1375000.0</v>
      </c>
      <c r="K12" s="621"/>
      <c r="L12" s="625">
        <f t="shared" ref="L12:L16" si="1">H12*J12</f>
        <v>1375000</v>
      </c>
    </row>
    <row r="13" ht="13.5" customHeight="1">
      <c r="A13" s="626">
        <v>2.0</v>
      </c>
      <c r="B13" s="45"/>
      <c r="C13" s="229" t="str">
        <f>IFERROR(VLOOKUP(B13,Stock,3,FALSE),"")</f>
        <v/>
      </c>
      <c r="H13" s="444"/>
      <c r="I13" s="444"/>
      <c r="J13" s="627"/>
      <c r="L13" s="625">
        <f t="shared" si="1"/>
        <v>0</v>
      </c>
    </row>
    <row r="14" ht="13.5" customHeight="1">
      <c r="A14" s="623">
        <v>3.0</v>
      </c>
      <c r="B14" s="264"/>
      <c r="C14" s="229" t="str">
        <f>IFERROR(VLOOKUP(B14,Stock,3,FALSE),"")</f>
        <v/>
      </c>
      <c r="H14" s="444"/>
      <c r="I14" s="444"/>
      <c r="J14" s="627"/>
      <c r="L14" s="625">
        <f t="shared" si="1"/>
        <v>0</v>
      </c>
      <c r="P14" s="17"/>
    </row>
    <row r="15" ht="13.5" customHeight="1">
      <c r="A15" s="444">
        <v>4.0</v>
      </c>
      <c r="B15" s="201"/>
      <c r="C15" s="229"/>
      <c r="H15" s="444"/>
      <c r="I15" s="444"/>
      <c r="J15" s="627"/>
      <c r="L15" s="625">
        <f t="shared" si="1"/>
        <v>0</v>
      </c>
    </row>
    <row r="16" ht="13.5" customHeight="1">
      <c r="A16" s="444">
        <v>5.0</v>
      </c>
      <c r="B16" s="628"/>
      <c r="C16" s="684"/>
      <c r="H16" s="628"/>
      <c r="I16" s="628"/>
      <c r="J16" s="627"/>
      <c r="L16" s="625">
        <f t="shared" si="1"/>
        <v>0</v>
      </c>
    </row>
    <row r="17" ht="13.5" customHeight="1">
      <c r="A17" s="629">
        <v>6.0</v>
      </c>
      <c r="B17" s="630"/>
      <c r="C17" s="617"/>
      <c r="D17" s="617"/>
      <c r="E17" s="617"/>
      <c r="F17" s="617"/>
      <c r="G17" s="617"/>
      <c r="H17" s="628"/>
      <c r="I17" s="628"/>
      <c r="J17" s="631"/>
      <c r="K17" s="617"/>
      <c r="L17" s="696">
        <v>0.0</v>
      </c>
    </row>
    <row r="18" ht="13.5" customHeight="1">
      <c r="A18" s="685" t="s">
        <v>9785</v>
      </c>
      <c r="B18" s="621"/>
      <c r="C18" s="621"/>
      <c r="D18" s="621"/>
      <c r="E18" s="633"/>
      <c r="F18" s="633"/>
      <c r="G18" s="633"/>
      <c r="H18" s="634"/>
      <c r="I18" s="635"/>
      <c r="J18" s="636"/>
      <c r="K18" s="637" t="s">
        <v>9786</v>
      </c>
      <c r="L18" s="638">
        <f>SUM(L12:L17)</f>
        <v>1375000</v>
      </c>
    </row>
    <row r="19" ht="13.5" customHeight="1">
      <c r="A19" s="639"/>
      <c r="D19" s="640"/>
      <c r="E19" s="641"/>
      <c r="G19" s="642"/>
      <c r="H19" s="642"/>
      <c r="I19" s="642"/>
      <c r="J19" s="643"/>
      <c r="K19" s="201" t="s">
        <v>9787</v>
      </c>
      <c r="L19" s="687">
        <v>100000.0</v>
      </c>
    </row>
    <row r="20" ht="13.5" customHeight="1">
      <c r="A20" s="639"/>
      <c r="B20" s="639"/>
      <c r="C20" s="639"/>
      <c r="D20" s="640"/>
      <c r="E20" s="645" t="s">
        <v>9788</v>
      </c>
      <c r="J20" s="643"/>
      <c r="K20" s="201" t="s">
        <v>9789</v>
      </c>
      <c r="L20" s="687">
        <v>0.0</v>
      </c>
    </row>
    <row r="21" ht="13.5" customHeight="1">
      <c r="A21" s="592"/>
      <c r="B21" s="628"/>
      <c r="C21" s="628"/>
      <c r="D21" s="628"/>
      <c r="J21" s="646"/>
      <c r="K21" s="647" t="s">
        <v>9790</v>
      </c>
      <c r="L21" s="648">
        <f>L18-L19-L20</f>
        <v>1275000</v>
      </c>
    </row>
    <row r="22" ht="13.5" customHeight="1">
      <c r="A22" s="592"/>
      <c r="B22" s="604"/>
      <c r="C22" s="604"/>
      <c r="D22" s="649"/>
      <c r="J22" s="650"/>
      <c r="K22" s="637"/>
      <c r="L22" s="651"/>
    </row>
    <row r="23" ht="13.5" customHeight="1">
      <c r="A23" s="592"/>
      <c r="B23" s="604"/>
      <c r="C23" s="604"/>
      <c r="D23" s="604"/>
      <c r="J23" s="652" t="s">
        <v>1973</v>
      </c>
      <c r="K23" s="653" t="s">
        <v>9791</v>
      </c>
      <c r="L23" s="653"/>
    </row>
    <row r="24" ht="13.5" customHeight="1">
      <c r="A24" s="654" t="s">
        <v>9792</v>
      </c>
      <c r="B24" s="591"/>
      <c r="C24" s="591"/>
      <c r="D24" s="649"/>
      <c r="J24" s="655"/>
      <c r="K24" s="659"/>
    </row>
    <row r="25" ht="13.5" customHeight="1">
      <c r="B25" s="657"/>
      <c r="C25" s="548" t="s">
        <v>1973</v>
      </c>
      <c r="F25" s="594" t="s">
        <v>1973</v>
      </c>
      <c r="H25" s="658"/>
      <c r="I25" s="658"/>
      <c r="J25" s="650"/>
      <c r="L25" s="646"/>
    </row>
    <row r="26" ht="13.5" customHeight="1">
      <c r="K26" s="660"/>
      <c r="L26" s="660"/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22">
    <mergeCell ref="D8:F8"/>
    <mergeCell ref="H10:I10"/>
    <mergeCell ref="J10:K10"/>
    <mergeCell ref="C11:G11"/>
    <mergeCell ref="H11:I11"/>
    <mergeCell ref="J11:K11"/>
    <mergeCell ref="J12:K12"/>
    <mergeCell ref="J15:K15"/>
    <mergeCell ref="J16:K16"/>
    <mergeCell ref="B17:G17"/>
    <mergeCell ref="J17:K17"/>
    <mergeCell ref="A18:D18"/>
    <mergeCell ref="A19:C19"/>
    <mergeCell ref="E20:I24"/>
    <mergeCell ref="K24:L24"/>
    <mergeCell ref="C12:G12"/>
    <mergeCell ref="C13:G13"/>
    <mergeCell ref="J13:K13"/>
    <mergeCell ref="C14:G14"/>
    <mergeCell ref="J14:K14"/>
    <mergeCell ref="C15:G15"/>
    <mergeCell ref="C16:G16"/>
  </mergeCells>
  <printOptions horizontalCentered="1"/>
  <pageMargins bottom="0.75" footer="0.0" header="0.0" left="0.25" right="0.25" top="0.75"/>
  <pageSetup paperSize="11" scale="92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1.71"/>
    <col customWidth="1" min="3" max="3" width="8.71"/>
    <col customWidth="1" min="4" max="4" width="11.43"/>
    <col customWidth="1" min="5" max="5" width="8.71"/>
    <col customWidth="1" min="6" max="6" width="6.71"/>
    <col customWidth="1" min="7" max="7" width="7.29"/>
    <col customWidth="1" min="8" max="8" width="3.57"/>
    <col customWidth="1" min="9" max="9" width="3.43"/>
    <col customWidth="1" min="10" max="10" width="6.43"/>
    <col customWidth="1" min="11" max="11" width="9.71"/>
    <col customWidth="1" min="12" max="12" width="12.0"/>
    <col customWidth="1" min="13" max="16" width="8.71"/>
  </cols>
  <sheetData>
    <row r="1" ht="13.5" customHeight="1">
      <c r="A1" s="590" t="s">
        <v>9772</v>
      </c>
      <c r="B1" s="591"/>
      <c r="C1" s="592"/>
      <c r="D1" s="592"/>
      <c r="E1" s="592"/>
      <c r="F1" s="593"/>
      <c r="G1" s="592"/>
      <c r="H1" s="592"/>
      <c r="I1" s="592"/>
      <c r="J1" s="594" t="s">
        <v>9773</v>
      </c>
      <c r="L1" s="595">
        <v>46133.0</v>
      </c>
    </row>
    <row r="2" ht="13.5" customHeight="1">
      <c r="A2" s="596" t="s">
        <v>9774</v>
      </c>
      <c r="B2" s="597"/>
      <c r="C2" s="598"/>
      <c r="D2" s="598"/>
      <c r="E2" s="598"/>
      <c r="F2" s="592"/>
      <c r="G2" s="592"/>
      <c r="H2" s="592"/>
      <c r="I2" s="592"/>
      <c r="J2" s="594" t="s">
        <v>9775</v>
      </c>
      <c r="L2" s="676"/>
    </row>
    <row r="3" ht="13.5" customHeight="1">
      <c r="A3" s="599" t="s">
        <v>9776</v>
      </c>
      <c r="B3" s="600"/>
      <c r="C3" s="592"/>
      <c r="D3" s="601"/>
      <c r="E3" s="601"/>
      <c r="F3" s="601"/>
      <c r="G3" s="601"/>
      <c r="H3" s="601"/>
      <c r="I3" s="601"/>
      <c r="J3" s="548" t="s">
        <v>9701</v>
      </c>
      <c r="K3" s="677"/>
      <c r="L3" s="677"/>
    </row>
    <row r="4" ht="13.5" customHeight="1">
      <c r="A4" s="604"/>
      <c r="B4" s="604"/>
      <c r="C4" s="592"/>
      <c r="D4" s="601"/>
      <c r="E4" s="601"/>
      <c r="F4" s="601"/>
      <c r="G4" s="601"/>
      <c r="H4" s="601"/>
      <c r="I4" s="601"/>
      <c r="J4" s="697" t="s">
        <v>9702</v>
      </c>
    </row>
    <row r="5" ht="13.5" customHeight="1">
      <c r="A5" s="604"/>
      <c r="B5" s="604"/>
      <c r="C5" s="592"/>
      <c r="D5" s="601"/>
      <c r="E5" s="601"/>
      <c r="F5" s="601"/>
      <c r="G5" s="601"/>
      <c r="H5" s="601"/>
      <c r="I5" s="601"/>
      <c r="J5" s="607"/>
      <c r="K5" s="607"/>
      <c r="L5" s="607"/>
    </row>
    <row r="6" ht="13.5" customHeight="1">
      <c r="A6" s="604"/>
      <c r="B6" s="604"/>
      <c r="C6" s="592"/>
      <c r="D6" s="601"/>
      <c r="E6" s="601"/>
      <c r="F6" s="601"/>
      <c r="G6" s="601"/>
      <c r="H6" s="601"/>
      <c r="I6" s="601"/>
      <c r="K6" s="606"/>
      <c r="L6" s="606"/>
    </row>
    <row r="7" ht="13.5" customHeight="1">
      <c r="A7" s="604"/>
      <c r="B7" s="604"/>
      <c r="C7" s="592"/>
      <c r="D7" s="601"/>
      <c r="E7" s="601"/>
      <c r="F7" s="601"/>
      <c r="G7" s="601"/>
      <c r="H7" s="601"/>
      <c r="I7" s="601"/>
      <c r="J7" s="606"/>
      <c r="K7" s="606"/>
      <c r="L7" s="606"/>
    </row>
    <row r="8" ht="13.5" customHeight="1">
      <c r="A8" s="604"/>
      <c r="B8" s="604"/>
      <c r="C8" s="592"/>
      <c r="D8" s="608" t="s">
        <v>9777</v>
      </c>
      <c r="G8" s="601"/>
      <c r="H8" s="601"/>
      <c r="I8" s="601"/>
      <c r="J8" s="609"/>
      <c r="K8" s="609"/>
      <c r="L8" s="609"/>
    </row>
    <row r="9" ht="13.5" customHeight="1">
      <c r="A9" s="17"/>
      <c r="B9" s="600"/>
      <c r="C9" s="17"/>
      <c r="D9" s="611"/>
      <c r="E9" s="611"/>
      <c r="F9" s="611"/>
      <c r="G9" s="17"/>
      <c r="H9" s="17"/>
      <c r="I9" s="17"/>
      <c r="J9" s="612"/>
      <c r="K9" s="612"/>
    </row>
    <row r="10" ht="13.5" customHeight="1">
      <c r="A10" s="613" t="s">
        <v>2727</v>
      </c>
      <c r="B10" s="679" t="s">
        <v>9700</v>
      </c>
      <c r="C10" s="17"/>
      <c r="D10" s="615"/>
      <c r="E10" s="17"/>
      <c r="F10" s="17"/>
      <c r="G10" s="17"/>
      <c r="H10" s="616"/>
      <c r="I10" s="617"/>
      <c r="J10" s="616" t="s">
        <v>9778</v>
      </c>
      <c r="K10" s="617"/>
      <c r="L10" s="533" t="s">
        <v>9703</v>
      </c>
    </row>
    <row r="11" ht="13.5" customHeight="1">
      <c r="A11" s="618" t="s">
        <v>9779</v>
      </c>
      <c r="B11" s="675" t="s">
        <v>0</v>
      </c>
      <c r="C11" s="618" t="s">
        <v>9780</v>
      </c>
      <c r="D11" s="122"/>
      <c r="E11" s="122"/>
      <c r="F11" s="122"/>
      <c r="G11" s="122"/>
      <c r="H11" s="620" t="s">
        <v>9781</v>
      </c>
      <c r="I11" s="621"/>
      <c r="J11" s="620" t="s">
        <v>9782</v>
      </c>
      <c r="K11" s="621"/>
      <c r="L11" s="618" t="s">
        <v>2740</v>
      </c>
      <c r="M11" s="622"/>
      <c r="N11" s="622"/>
      <c r="O11" s="622"/>
      <c r="P11" s="622"/>
      <c r="Q11" s="622"/>
      <c r="R11" s="622"/>
      <c r="S11" s="622"/>
      <c r="T11" s="622"/>
      <c r="U11" s="622"/>
      <c r="V11" s="622"/>
      <c r="W11" s="622"/>
      <c r="X11" s="622"/>
      <c r="Y11" s="622"/>
      <c r="Z11" s="622"/>
    </row>
    <row r="12" ht="13.5" customHeight="1">
      <c r="A12" s="629">
        <v>1.0</v>
      </c>
      <c r="B12" s="698" t="s">
        <v>9390</v>
      </c>
      <c r="C12" s="229" t="s">
        <v>9806</v>
      </c>
      <c r="H12" s="624">
        <v>1.0</v>
      </c>
      <c r="I12" s="624" t="s">
        <v>2729</v>
      </c>
      <c r="J12" s="683">
        <v>3800000.0</v>
      </c>
      <c r="K12" s="621"/>
      <c r="L12" s="625">
        <f t="shared" ref="L12:L17" si="1">H12*J12</f>
        <v>3800000</v>
      </c>
    </row>
    <row r="13" ht="13.5" customHeight="1">
      <c r="A13" s="444">
        <v>2.0</v>
      </c>
      <c r="B13" s="45" t="s">
        <v>7011</v>
      </c>
      <c r="C13" s="229" t="str">
        <f>IFERROR(VLOOKUP(B13,Stock,3,FALSE),"")</f>
        <v>Automotive Film Standard - Black 40%				</v>
      </c>
      <c r="H13" s="444">
        <v>1.0</v>
      </c>
      <c r="I13" s="444" t="s">
        <v>2729</v>
      </c>
      <c r="J13" s="627">
        <v>450000.0</v>
      </c>
      <c r="L13" s="625">
        <f t="shared" si="1"/>
        <v>450000</v>
      </c>
    </row>
    <row r="14" ht="13.5" customHeight="1">
      <c r="A14" s="629">
        <v>3.0</v>
      </c>
      <c r="B14" s="264"/>
      <c r="C14" s="229" t="str">
        <f>IFERROR(VLOOKUP(B14,Stock,3,FALSE),"")</f>
        <v/>
      </c>
      <c r="H14" s="444"/>
      <c r="I14" s="444"/>
      <c r="J14" s="627"/>
      <c r="L14" s="625">
        <f t="shared" si="1"/>
        <v>0</v>
      </c>
      <c r="P14" s="17"/>
    </row>
    <row r="15" ht="13.5" customHeight="1">
      <c r="A15" s="154">
        <v>4.0</v>
      </c>
      <c r="B15" s="201"/>
      <c r="C15" s="229"/>
      <c r="H15" s="444"/>
      <c r="I15" s="444"/>
      <c r="J15" s="627"/>
      <c r="L15" s="625">
        <f t="shared" si="1"/>
        <v>0</v>
      </c>
    </row>
    <row r="16" ht="13.5" customHeight="1">
      <c r="A16" s="444">
        <v>5.0</v>
      </c>
      <c r="B16" s="628"/>
      <c r="C16" s="684"/>
      <c r="H16" s="628"/>
      <c r="I16" s="628"/>
      <c r="J16" s="627"/>
      <c r="L16" s="625">
        <f t="shared" si="1"/>
        <v>0</v>
      </c>
    </row>
    <row r="17" ht="13.5" customHeight="1">
      <c r="A17" s="629">
        <v>6.0</v>
      </c>
      <c r="B17" s="630"/>
      <c r="C17" s="617"/>
      <c r="D17" s="617"/>
      <c r="E17" s="617"/>
      <c r="F17" s="617"/>
      <c r="G17" s="617"/>
      <c r="H17" s="628"/>
      <c r="I17" s="628"/>
      <c r="J17" s="631"/>
      <c r="K17" s="617"/>
      <c r="L17" s="625">
        <f t="shared" si="1"/>
        <v>0</v>
      </c>
    </row>
    <row r="18" ht="13.5" customHeight="1">
      <c r="A18" s="685" t="s">
        <v>9785</v>
      </c>
      <c r="B18" s="621"/>
      <c r="C18" s="621"/>
      <c r="D18" s="621"/>
      <c r="E18" s="633"/>
      <c r="F18" s="633"/>
      <c r="G18" s="633"/>
      <c r="H18" s="634"/>
      <c r="I18" s="635"/>
      <c r="J18" s="636"/>
      <c r="K18" s="637" t="s">
        <v>9786</v>
      </c>
      <c r="L18" s="638">
        <f>SUM(L12:L17)</f>
        <v>4250000</v>
      </c>
    </row>
    <row r="19" ht="13.5" customHeight="1">
      <c r="A19" s="639"/>
      <c r="D19" s="640"/>
      <c r="E19" s="641"/>
      <c r="G19" s="642"/>
      <c r="H19" s="642"/>
      <c r="I19" s="642"/>
      <c r="J19" s="643"/>
      <c r="K19" s="201" t="s">
        <v>9787</v>
      </c>
      <c r="L19" s="687">
        <v>100000.0</v>
      </c>
    </row>
    <row r="20" ht="13.5" customHeight="1">
      <c r="A20" s="639"/>
      <c r="B20" s="639"/>
      <c r="C20" s="639"/>
      <c r="D20" s="640"/>
      <c r="E20" s="645" t="s">
        <v>9788</v>
      </c>
      <c r="J20" s="643"/>
      <c r="K20" s="201" t="s">
        <v>9789</v>
      </c>
      <c r="L20" s="687">
        <v>0.0</v>
      </c>
    </row>
    <row r="21" ht="13.5" customHeight="1">
      <c r="A21" s="592"/>
      <c r="B21" s="628"/>
      <c r="C21" s="628"/>
      <c r="D21" s="628"/>
      <c r="J21" s="646"/>
      <c r="K21" s="647" t="s">
        <v>9790</v>
      </c>
      <c r="L21" s="699">
        <f>L18-L19-L20</f>
        <v>4150000</v>
      </c>
    </row>
    <row r="22" ht="13.5" customHeight="1">
      <c r="A22" s="592"/>
      <c r="B22" s="604"/>
      <c r="C22" s="604"/>
      <c r="D22" s="649"/>
      <c r="J22" s="650"/>
      <c r="K22" s="637"/>
      <c r="L22" s="651"/>
    </row>
    <row r="23" ht="13.5" customHeight="1">
      <c r="A23" s="592"/>
      <c r="B23" s="604"/>
      <c r="C23" s="604"/>
      <c r="D23" s="604"/>
      <c r="J23" s="652" t="s">
        <v>1973</v>
      </c>
      <c r="K23" s="653" t="s">
        <v>9791</v>
      </c>
      <c r="L23" s="653"/>
    </row>
    <row r="24" ht="13.5" customHeight="1">
      <c r="A24" s="654" t="s">
        <v>9792</v>
      </c>
      <c r="B24" s="591"/>
      <c r="C24" s="591"/>
      <c r="D24" s="649"/>
      <c r="J24" s="655"/>
      <c r="K24" s="656"/>
    </row>
    <row r="25" ht="13.5" customHeight="1">
      <c r="B25" s="657"/>
      <c r="C25" s="548" t="s">
        <v>1973</v>
      </c>
      <c r="F25" s="594" t="s">
        <v>1973</v>
      </c>
      <c r="H25" s="658"/>
      <c r="I25" s="658"/>
      <c r="J25" s="650"/>
      <c r="K25" s="659"/>
      <c r="L25" s="646"/>
    </row>
    <row r="26" ht="13.5" customHeight="1">
      <c r="K26" s="660"/>
      <c r="L26" s="660"/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22">
    <mergeCell ref="D8:F8"/>
    <mergeCell ref="H10:I10"/>
    <mergeCell ref="J10:K10"/>
    <mergeCell ref="C11:G11"/>
    <mergeCell ref="H11:I11"/>
    <mergeCell ref="J11:K11"/>
    <mergeCell ref="J12:K12"/>
    <mergeCell ref="J15:K15"/>
    <mergeCell ref="J16:K16"/>
    <mergeCell ref="B17:G17"/>
    <mergeCell ref="J17:K17"/>
    <mergeCell ref="A18:D18"/>
    <mergeCell ref="A19:C19"/>
    <mergeCell ref="E20:I24"/>
    <mergeCell ref="K24:L24"/>
    <mergeCell ref="C12:G12"/>
    <mergeCell ref="C13:G13"/>
    <mergeCell ref="J13:K13"/>
    <mergeCell ref="C14:G14"/>
    <mergeCell ref="J14:K14"/>
    <mergeCell ref="C15:G15"/>
    <mergeCell ref="C16:G16"/>
  </mergeCells>
  <printOptions horizontalCentered="1"/>
  <pageMargins bottom="0.75" footer="0.0" header="0.0" left="0.25" right="0.25" top="0.75"/>
  <pageSetup paperSize="11" scale="92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3.57"/>
    <col customWidth="1" min="3" max="3" width="8.71"/>
    <col customWidth="1" min="4" max="4" width="11.43"/>
    <col customWidth="1" min="5" max="5" width="8.71"/>
    <col customWidth="1" min="6" max="6" width="6.71"/>
    <col customWidth="1" min="7" max="7" width="7.29"/>
    <col customWidth="1" min="8" max="8" width="3.57"/>
    <col customWidth="1" min="9" max="9" width="3.43"/>
    <col customWidth="1" min="10" max="10" width="6.43"/>
    <col customWidth="1" min="11" max="11" width="9.0"/>
    <col customWidth="1" min="12" max="12" width="14.14"/>
  </cols>
  <sheetData>
    <row r="1" ht="13.5" customHeight="1">
      <c r="A1" s="590"/>
      <c r="B1" s="591"/>
      <c r="C1" s="592"/>
      <c r="D1" s="592"/>
      <c r="E1" s="592"/>
      <c r="F1" s="593"/>
      <c r="G1" s="592"/>
      <c r="H1" s="592"/>
      <c r="I1" s="592"/>
      <c r="J1" s="594" t="s">
        <v>9773</v>
      </c>
      <c r="K1" s="605"/>
      <c r="L1" s="595">
        <v>46078.0</v>
      </c>
    </row>
    <row r="2" ht="13.5" customHeight="1">
      <c r="A2" s="596" t="s">
        <v>9774</v>
      </c>
      <c r="B2" s="597"/>
      <c r="C2" s="598"/>
      <c r="D2" s="598"/>
      <c r="E2" s="598"/>
      <c r="F2" s="592"/>
      <c r="G2" s="592"/>
      <c r="H2" s="592"/>
      <c r="I2" s="592"/>
      <c r="J2" s="594" t="s">
        <v>9775</v>
      </c>
      <c r="K2" s="605"/>
      <c r="L2" s="676"/>
    </row>
    <row r="3" ht="13.5" customHeight="1">
      <c r="A3" s="599" t="s">
        <v>9776</v>
      </c>
      <c r="B3" s="600"/>
      <c r="C3" s="592"/>
      <c r="D3" s="601"/>
      <c r="E3" s="601"/>
      <c r="F3" s="601"/>
      <c r="G3" s="601"/>
      <c r="H3" s="601"/>
      <c r="I3" s="601"/>
      <c r="J3" s="548" t="s">
        <v>9807</v>
      </c>
      <c r="K3" s="109"/>
      <c r="L3" s="109"/>
    </row>
    <row r="4" ht="13.5" customHeight="1">
      <c r="A4" s="604"/>
      <c r="B4" s="604"/>
      <c r="C4" s="592"/>
      <c r="D4" s="601"/>
      <c r="E4" s="601"/>
      <c r="F4" s="601"/>
      <c r="G4" s="601"/>
      <c r="H4" s="601"/>
      <c r="I4" s="601"/>
      <c r="J4" s="700" t="s">
        <v>9808</v>
      </c>
      <c r="K4" s="109"/>
      <c r="L4" s="109"/>
    </row>
    <row r="5" ht="13.5" customHeight="1">
      <c r="A5" s="604"/>
      <c r="B5" s="604"/>
      <c r="C5" s="592"/>
      <c r="D5" s="601"/>
      <c r="E5" s="601"/>
      <c r="F5" s="601"/>
      <c r="G5" s="601"/>
      <c r="H5" s="601"/>
      <c r="I5" s="601"/>
      <c r="J5" s="109"/>
      <c r="K5" s="607"/>
      <c r="L5" s="607"/>
    </row>
    <row r="6" ht="13.5" customHeight="1">
      <c r="A6" s="604"/>
      <c r="B6" s="604"/>
      <c r="C6" s="592"/>
      <c r="D6" s="601"/>
      <c r="E6" s="601"/>
      <c r="F6" s="601"/>
      <c r="G6" s="601"/>
      <c r="H6" s="601"/>
      <c r="I6" s="601"/>
      <c r="J6" s="606"/>
    </row>
    <row r="7" ht="13.5" customHeight="1">
      <c r="A7" s="604"/>
      <c r="B7" s="604"/>
      <c r="C7" s="592"/>
      <c r="D7" s="701" t="s">
        <v>9809</v>
      </c>
      <c r="G7" s="601"/>
      <c r="H7" s="601"/>
      <c r="I7" s="601"/>
      <c r="J7" s="609"/>
      <c r="K7" s="609"/>
      <c r="L7" s="609"/>
    </row>
    <row r="8" ht="13.5" customHeight="1">
      <c r="A8" s="17"/>
      <c r="B8" s="600"/>
      <c r="C8" s="17"/>
      <c r="D8" s="611"/>
      <c r="E8" s="611"/>
      <c r="F8" s="611"/>
      <c r="G8" s="17"/>
      <c r="H8" s="17"/>
      <c r="I8" s="17"/>
      <c r="J8" s="702"/>
      <c r="K8" s="702"/>
      <c r="L8" s="229"/>
    </row>
    <row r="9" ht="13.5" customHeight="1">
      <c r="A9" s="561" t="s">
        <v>2727</v>
      </c>
      <c r="B9" s="614" t="s">
        <v>8249</v>
      </c>
      <c r="C9" s="17"/>
      <c r="D9" s="615"/>
      <c r="E9" s="17"/>
      <c r="F9" s="17"/>
      <c r="G9" s="17"/>
      <c r="H9" s="628"/>
      <c r="J9" s="702" t="s">
        <v>9778</v>
      </c>
      <c r="L9" s="672" t="s">
        <v>8252</v>
      </c>
    </row>
    <row r="10" ht="13.5" customHeight="1">
      <c r="A10" s="618" t="s">
        <v>9779</v>
      </c>
      <c r="B10" s="619" t="s">
        <v>0</v>
      </c>
      <c r="C10" s="618" t="s">
        <v>9780</v>
      </c>
      <c r="D10" s="122"/>
      <c r="E10" s="122"/>
      <c r="F10" s="122"/>
      <c r="G10" s="122"/>
      <c r="H10" s="618" t="s">
        <v>9781</v>
      </c>
      <c r="I10" s="122"/>
      <c r="J10" s="618" t="s">
        <v>9782</v>
      </c>
      <c r="K10" s="122"/>
      <c r="L10" s="703" t="s">
        <v>2740</v>
      </c>
    </row>
    <row r="11" ht="13.5" customHeight="1">
      <c r="A11" s="629">
        <v>1.0</v>
      </c>
      <c r="B11" s="548" t="s">
        <v>6866</v>
      </c>
      <c r="C11" s="17" t="str">
        <f>IFERROR(VLOOKUP(B11,Stock,3,FALSE),"")</f>
        <v>Toyota Alphard 15-17 ANH30 3rd Gen (Hitam)</v>
      </c>
      <c r="H11" s="704">
        <v>1.0</v>
      </c>
      <c r="I11" s="704" t="s">
        <v>2729</v>
      </c>
      <c r="J11" s="419">
        <v>2820000.0</v>
      </c>
      <c r="L11" s="419">
        <f t="shared" ref="L11:L16" si="1">H11*J11</f>
        <v>2820000</v>
      </c>
    </row>
    <row r="12" ht="13.5" customHeight="1">
      <c r="A12" s="629">
        <v>2.0</v>
      </c>
      <c r="B12" s="45" t="s">
        <v>2770</v>
      </c>
      <c r="C12" s="17" t="str">
        <f>IFERROR(VLOOKUP(B12,Stock,3,FALSE),"")</f>
        <v>Transport</v>
      </c>
      <c r="H12" s="444">
        <v>1.0</v>
      </c>
      <c r="I12" s="704" t="s">
        <v>109</v>
      </c>
      <c r="J12" s="419">
        <v>150000.0</v>
      </c>
      <c r="L12" s="419">
        <f t="shared" si="1"/>
        <v>150000</v>
      </c>
    </row>
    <row r="13" ht="13.5" customHeight="1">
      <c r="A13" s="629">
        <v>3.0</v>
      </c>
      <c r="B13" s="45"/>
      <c r="C13" s="17" t="str">
        <f>IFERROR(VLOOKUP(B13,Stock,3,FALSE),"")</f>
        <v/>
      </c>
      <c r="H13" s="444"/>
      <c r="I13" s="704"/>
      <c r="J13" s="419"/>
      <c r="L13" s="419">
        <f t="shared" si="1"/>
        <v>0</v>
      </c>
    </row>
    <row r="14" ht="13.5" customHeight="1">
      <c r="A14" s="629">
        <v>4.0</v>
      </c>
      <c r="B14" s="45"/>
      <c r="C14" s="17" t="str">
        <f>IFERROR(VLOOKUP(B14,Stock,3,FALSE),"")</f>
        <v/>
      </c>
      <c r="H14" s="444"/>
      <c r="I14" s="704"/>
      <c r="J14" s="419"/>
      <c r="L14" s="696">
        <f t="shared" si="1"/>
        <v>0</v>
      </c>
    </row>
    <row r="15" ht="13.5" customHeight="1">
      <c r="A15" s="444">
        <v>5.0</v>
      </c>
      <c r="B15" s="45"/>
      <c r="C15" s="17" t="str">
        <f>IFERROR(VLOOKUP(B15,Stock,3,FALSE),"")</f>
        <v/>
      </c>
      <c r="H15" s="444"/>
      <c r="I15" s="444"/>
      <c r="J15" s="419"/>
      <c r="L15" s="696">
        <f t="shared" si="1"/>
        <v>0</v>
      </c>
    </row>
    <row r="16" ht="13.5" customHeight="1">
      <c r="A16" s="629">
        <v>6.0</v>
      </c>
      <c r="B16" s="630"/>
      <c r="C16" s="17" t="str">
        <f>IFERROR(VLOOKUP(B16,Stock,3,FALSE),"")</f>
        <v/>
      </c>
      <c r="H16" s="628"/>
      <c r="I16" s="628"/>
      <c r="J16" s="631"/>
      <c r="K16" s="617"/>
      <c r="L16" s="696">
        <f t="shared" si="1"/>
        <v>0</v>
      </c>
    </row>
    <row r="17" ht="13.5" customHeight="1">
      <c r="A17" s="685" t="s">
        <v>9785</v>
      </c>
      <c r="B17" s="621"/>
      <c r="C17" s="621"/>
      <c r="D17" s="621"/>
      <c r="E17" s="633"/>
      <c r="F17" s="633"/>
      <c r="G17" s="633"/>
      <c r="H17" s="634"/>
      <c r="I17" s="635"/>
      <c r="J17" s="636"/>
      <c r="K17" s="647" t="s">
        <v>9786</v>
      </c>
      <c r="L17" s="705">
        <f t="shared" ref="L17:L18" si="2">SUM(L11:L16)</f>
        <v>2970000</v>
      </c>
    </row>
    <row r="18" ht="13.5" hidden="1" customHeight="1">
      <c r="A18" s="639"/>
      <c r="D18" s="640"/>
      <c r="E18" s="645" t="s">
        <v>9810</v>
      </c>
      <c r="J18" s="643"/>
      <c r="K18" s="45" t="s">
        <v>9789</v>
      </c>
      <c r="L18" s="705">
        <f t="shared" si="2"/>
        <v>3120000</v>
      </c>
    </row>
    <row r="19" ht="13.5" customHeight="1">
      <c r="A19" s="639"/>
      <c r="B19" s="639"/>
      <c r="C19" s="639"/>
      <c r="D19" s="640"/>
      <c r="J19" s="643"/>
      <c r="K19" s="201" t="s">
        <v>9787</v>
      </c>
      <c r="L19" s="705">
        <v>100000.0</v>
      </c>
    </row>
    <row r="20" ht="13.5" customHeight="1">
      <c r="A20" s="592"/>
      <c r="B20" s="628"/>
      <c r="C20" s="628"/>
      <c r="D20" s="628"/>
      <c r="J20" s="646"/>
      <c r="K20" s="201" t="s">
        <v>9789</v>
      </c>
      <c r="L20" s="705">
        <v>0.0</v>
      </c>
    </row>
    <row r="21" ht="13.5" customHeight="1">
      <c r="A21" s="592"/>
      <c r="B21" s="604"/>
      <c r="C21" s="628"/>
      <c r="D21" s="628"/>
      <c r="J21" s="650"/>
      <c r="K21" s="614" t="s">
        <v>9811</v>
      </c>
      <c r="L21" s="706">
        <f>L17-L19-L20</f>
        <v>2870000</v>
      </c>
    </row>
    <row r="22" ht="13.5" customHeight="1">
      <c r="A22" s="592"/>
      <c r="B22" s="604"/>
      <c r="C22" s="628"/>
      <c r="D22" s="628"/>
      <c r="J22" s="652" t="s">
        <v>1973</v>
      </c>
      <c r="K22" s="653"/>
      <c r="L22" s="653"/>
    </row>
    <row r="23" ht="13.5" customHeight="1">
      <c r="A23" s="654" t="s">
        <v>9792</v>
      </c>
      <c r="B23" s="591"/>
      <c r="C23" s="628"/>
      <c r="D23" s="628"/>
      <c r="E23" s="628"/>
      <c r="F23" s="707"/>
      <c r="G23" s="707"/>
      <c r="H23" s="707"/>
      <c r="I23" s="707"/>
      <c r="J23" s="655"/>
      <c r="K23" s="653" t="s">
        <v>9791</v>
      </c>
      <c r="L23" s="708"/>
    </row>
    <row r="24" ht="13.5" customHeight="1">
      <c r="A24" s="709"/>
      <c r="B24" s="657"/>
      <c r="C24" s="628"/>
      <c r="D24" s="444"/>
      <c r="E24" s="628"/>
      <c r="F24" s="594" t="s">
        <v>1973</v>
      </c>
      <c r="G24" s="709"/>
      <c r="H24" s="658"/>
      <c r="I24" s="658"/>
      <c r="J24" s="650"/>
      <c r="K24" s="708"/>
    </row>
    <row r="25" ht="15.75" customHeight="1">
      <c r="A25" s="709"/>
      <c r="B25" s="709"/>
      <c r="C25" s="628"/>
      <c r="D25" s="628"/>
      <c r="E25" s="628"/>
      <c r="F25" s="709"/>
      <c r="G25" s="709"/>
      <c r="H25" s="709"/>
      <c r="I25" s="709"/>
      <c r="J25" s="709"/>
    </row>
    <row r="26" ht="15.75" customHeight="1">
      <c r="A26" s="709"/>
      <c r="B26" s="709"/>
      <c r="C26" s="709"/>
      <c r="D26" s="709"/>
      <c r="E26" s="709"/>
      <c r="F26" s="709"/>
      <c r="G26" s="709"/>
      <c r="H26" s="709"/>
      <c r="I26" s="709"/>
      <c r="J26" s="709"/>
      <c r="K26" s="709"/>
      <c r="L26" s="709"/>
    </row>
    <row r="27" ht="15.75" customHeight="1">
      <c r="A27" s="709"/>
      <c r="B27" s="709"/>
      <c r="C27" s="709"/>
      <c r="D27" s="709"/>
      <c r="E27" s="709"/>
      <c r="F27" s="709"/>
      <c r="G27" s="709"/>
      <c r="H27" s="709"/>
      <c r="I27" s="709"/>
      <c r="J27" s="709"/>
      <c r="K27" s="709"/>
      <c r="L27" s="709"/>
    </row>
    <row r="28" ht="15.75" customHeight="1">
      <c r="A28" s="709"/>
      <c r="B28" s="710"/>
      <c r="C28" s="709"/>
      <c r="D28" s="709"/>
      <c r="E28" s="709"/>
      <c r="F28" s="709"/>
      <c r="G28" s="709"/>
      <c r="H28" s="709"/>
      <c r="I28" s="709"/>
      <c r="J28" s="709"/>
      <c r="K28" s="709"/>
      <c r="L28" s="709"/>
    </row>
    <row r="29" ht="15.75" customHeight="1">
      <c r="A29" s="709"/>
      <c r="B29" s="709"/>
      <c r="C29" s="709"/>
      <c r="D29" s="709"/>
      <c r="E29" s="709"/>
      <c r="F29" s="709"/>
      <c r="G29" s="709"/>
      <c r="H29" s="709"/>
      <c r="I29" s="709"/>
      <c r="J29" s="709"/>
      <c r="K29" s="709"/>
      <c r="L29" s="709"/>
    </row>
    <row r="30" ht="15.75" customHeight="1">
      <c r="A30" s="709"/>
      <c r="B30" s="709"/>
      <c r="C30" s="709"/>
      <c r="D30" s="709"/>
      <c r="E30" s="709"/>
      <c r="F30" s="709"/>
      <c r="G30" s="709"/>
      <c r="H30" s="709"/>
      <c r="I30" s="709"/>
      <c r="J30" s="709"/>
      <c r="K30" s="709"/>
      <c r="L30" s="709"/>
    </row>
    <row r="31" ht="15.75" customHeight="1">
      <c r="A31" s="709"/>
      <c r="B31" s="709"/>
      <c r="C31" s="709"/>
      <c r="D31" s="709"/>
      <c r="E31" s="709"/>
      <c r="F31" s="709"/>
      <c r="G31" s="709"/>
      <c r="H31" s="709"/>
      <c r="I31" s="709"/>
      <c r="J31" s="709"/>
      <c r="K31" s="709"/>
      <c r="L31" s="709"/>
    </row>
    <row r="32" ht="15.75" customHeight="1">
      <c r="A32" s="709"/>
      <c r="B32" s="709"/>
      <c r="C32" s="709"/>
      <c r="D32" s="709"/>
      <c r="E32" s="709"/>
      <c r="F32" s="709"/>
      <c r="G32" s="709"/>
      <c r="H32" s="709"/>
      <c r="I32" s="709"/>
      <c r="J32" s="709"/>
      <c r="K32" s="709"/>
      <c r="L32" s="709"/>
    </row>
    <row r="33" ht="15.75" customHeight="1">
      <c r="A33" s="709"/>
      <c r="B33" s="709"/>
      <c r="C33" s="709"/>
      <c r="D33" s="709"/>
      <c r="E33" s="709"/>
      <c r="F33" s="709"/>
      <c r="G33" s="709"/>
      <c r="H33" s="709"/>
      <c r="I33" s="709"/>
      <c r="J33" s="709"/>
      <c r="K33" s="709"/>
      <c r="L33" s="709"/>
    </row>
    <row r="34" ht="15.75" customHeight="1">
      <c r="A34" s="709"/>
      <c r="B34" s="709"/>
      <c r="C34" s="709"/>
      <c r="D34" s="709"/>
      <c r="E34" s="709"/>
      <c r="F34" s="709"/>
      <c r="G34" s="709"/>
      <c r="H34" s="709"/>
      <c r="I34" s="709"/>
      <c r="J34" s="709"/>
      <c r="K34" s="709"/>
      <c r="L34" s="709"/>
    </row>
    <row r="35" ht="15.75" customHeight="1">
      <c r="A35" s="709"/>
      <c r="B35" s="709"/>
      <c r="C35" s="709"/>
      <c r="D35" s="709"/>
      <c r="E35" s="709"/>
      <c r="F35" s="709"/>
      <c r="G35" s="709"/>
      <c r="H35" s="709"/>
      <c r="I35" s="709"/>
      <c r="J35" s="709"/>
      <c r="K35" s="709"/>
      <c r="L35" s="709"/>
    </row>
    <row r="36" ht="15.75" customHeight="1">
      <c r="A36" s="709"/>
      <c r="B36" s="709"/>
      <c r="C36" s="709"/>
      <c r="D36" s="709"/>
      <c r="E36" s="709"/>
      <c r="F36" s="709"/>
      <c r="G36" s="709"/>
      <c r="H36" s="709"/>
      <c r="I36" s="709"/>
      <c r="J36" s="709"/>
      <c r="K36" s="709"/>
      <c r="L36" s="709"/>
    </row>
    <row r="37" ht="15.75" customHeight="1">
      <c r="A37" s="709"/>
      <c r="B37" s="709"/>
      <c r="C37" s="709"/>
      <c r="D37" s="709"/>
      <c r="E37" s="709"/>
      <c r="F37" s="709"/>
      <c r="G37" s="709"/>
      <c r="H37" s="709"/>
      <c r="I37" s="709"/>
      <c r="J37" s="709"/>
      <c r="K37" s="709"/>
      <c r="L37" s="709"/>
    </row>
    <row r="38" ht="15.75" customHeight="1">
      <c r="A38" s="709"/>
      <c r="B38" s="709"/>
      <c r="C38" s="709"/>
      <c r="D38" s="709"/>
      <c r="E38" s="709"/>
      <c r="F38" s="709"/>
      <c r="G38" s="709"/>
      <c r="H38" s="709"/>
      <c r="I38" s="709"/>
      <c r="J38" s="709"/>
      <c r="K38" s="709"/>
      <c r="L38" s="709"/>
    </row>
    <row r="39" ht="15.75" customHeight="1">
      <c r="A39" s="709"/>
      <c r="B39" s="709"/>
      <c r="C39" s="709"/>
      <c r="D39" s="709"/>
      <c r="E39" s="709"/>
      <c r="F39" s="709"/>
      <c r="G39" s="709"/>
      <c r="H39" s="709"/>
      <c r="I39" s="709"/>
      <c r="J39" s="709"/>
      <c r="K39" s="709"/>
      <c r="L39" s="709"/>
    </row>
    <row r="40" ht="15.75" customHeight="1">
      <c r="A40" s="709"/>
      <c r="B40" s="709"/>
      <c r="C40" s="709"/>
      <c r="D40" s="709"/>
      <c r="E40" s="709"/>
      <c r="F40" s="709"/>
      <c r="G40" s="709"/>
      <c r="H40" s="709"/>
      <c r="I40" s="709"/>
      <c r="J40" s="709"/>
      <c r="K40" s="709"/>
      <c r="L40" s="709"/>
    </row>
    <row r="41" ht="15.75" customHeight="1">
      <c r="A41" s="709"/>
      <c r="B41" s="709"/>
      <c r="C41" s="709"/>
      <c r="D41" s="709"/>
      <c r="E41" s="709"/>
      <c r="F41" s="709"/>
      <c r="G41" s="709"/>
      <c r="H41" s="709"/>
      <c r="I41" s="709"/>
      <c r="J41" s="709"/>
      <c r="K41" s="709"/>
      <c r="L41" s="709"/>
    </row>
    <row r="42" ht="15.75" customHeight="1">
      <c r="A42" s="709"/>
      <c r="B42" s="709"/>
      <c r="C42" s="709"/>
      <c r="D42" s="709"/>
      <c r="E42" s="709"/>
      <c r="F42" s="709"/>
      <c r="G42" s="709"/>
      <c r="H42" s="709"/>
      <c r="I42" s="709"/>
      <c r="J42" s="709"/>
      <c r="K42" s="709"/>
      <c r="L42" s="709"/>
    </row>
    <row r="43" ht="15.75" customHeight="1">
      <c r="A43" s="709"/>
      <c r="B43" s="709"/>
      <c r="C43" s="709"/>
      <c r="D43" s="709"/>
      <c r="E43" s="709"/>
      <c r="F43" s="709"/>
      <c r="G43" s="709"/>
      <c r="H43" s="709"/>
      <c r="I43" s="709"/>
      <c r="J43" s="709"/>
      <c r="K43" s="709"/>
      <c r="L43" s="709"/>
    </row>
    <row r="44" ht="15.75" customHeight="1">
      <c r="A44" s="709"/>
      <c r="B44" s="709"/>
      <c r="C44" s="709"/>
      <c r="D44" s="709"/>
      <c r="E44" s="709"/>
      <c r="F44" s="709"/>
      <c r="G44" s="709"/>
      <c r="H44" s="709"/>
      <c r="I44" s="709"/>
      <c r="J44" s="709"/>
      <c r="K44" s="709"/>
      <c r="L44" s="709"/>
    </row>
    <row r="45" ht="15.75" customHeight="1">
      <c r="A45" s="709"/>
      <c r="B45" s="709"/>
      <c r="C45" s="709"/>
      <c r="D45" s="709"/>
      <c r="E45" s="709"/>
      <c r="F45" s="709"/>
      <c r="G45" s="709"/>
      <c r="H45" s="709"/>
      <c r="I45" s="709"/>
      <c r="J45" s="709"/>
      <c r="K45" s="709"/>
      <c r="L45" s="709"/>
    </row>
    <row r="46" ht="15.75" customHeight="1">
      <c r="A46" s="709"/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</row>
    <row r="47" ht="15.75" customHeight="1">
      <c r="A47" s="709"/>
      <c r="B47" s="709"/>
      <c r="C47" s="709"/>
      <c r="D47" s="709"/>
      <c r="E47" s="709"/>
      <c r="F47" s="709"/>
      <c r="G47" s="709"/>
      <c r="H47" s="709"/>
      <c r="I47" s="709"/>
      <c r="J47" s="709"/>
      <c r="K47" s="709"/>
      <c r="L47" s="709"/>
    </row>
    <row r="48" ht="15.75" customHeight="1">
      <c r="A48" s="709"/>
      <c r="B48" s="709"/>
      <c r="C48" s="709"/>
      <c r="D48" s="709"/>
      <c r="E48" s="709"/>
      <c r="F48" s="709"/>
      <c r="G48" s="709"/>
      <c r="H48" s="709"/>
      <c r="I48" s="709"/>
      <c r="J48" s="709"/>
      <c r="K48" s="709"/>
      <c r="L48" s="709"/>
    </row>
    <row r="49" ht="15.75" customHeight="1">
      <c r="A49" s="709"/>
      <c r="B49" s="709"/>
      <c r="C49" s="709"/>
      <c r="D49" s="709"/>
      <c r="E49" s="709"/>
      <c r="F49" s="709"/>
      <c r="G49" s="709"/>
      <c r="H49" s="709"/>
      <c r="I49" s="709"/>
      <c r="J49" s="709"/>
      <c r="K49" s="709"/>
      <c r="L49" s="709"/>
    </row>
    <row r="50" ht="15.75" customHeight="1">
      <c r="A50" s="709"/>
      <c r="B50" s="709"/>
      <c r="C50" s="709"/>
      <c r="D50" s="709"/>
      <c r="E50" s="709"/>
      <c r="F50" s="709"/>
      <c r="G50" s="709"/>
      <c r="H50" s="709"/>
      <c r="I50" s="709"/>
      <c r="J50" s="709"/>
      <c r="K50" s="709"/>
      <c r="L50" s="709"/>
    </row>
    <row r="51" ht="15.75" customHeight="1">
      <c r="A51" s="709"/>
      <c r="B51" s="709"/>
      <c r="C51" s="709"/>
      <c r="D51" s="709"/>
      <c r="E51" s="709"/>
      <c r="F51" s="709"/>
      <c r="G51" s="709"/>
      <c r="H51" s="709"/>
      <c r="I51" s="709"/>
      <c r="J51" s="709"/>
      <c r="K51" s="709"/>
      <c r="L51" s="709"/>
    </row>
    <row r="52" ht="15.75" customHeight="1">
      <c r="A52" s="709"/>
      <c r="B52" s="709"/>
      <c r="C52" s="709"/>
      <c r="D52" s="709"/>
      <c r="E52" s="709"/>
      <c r="F52" s="709"/>
      <c r="G52" s="709"/>
      <c r="H52" s="709"/>
      <c r="I52" s="709"/>
      <c r="J52" s="709"/>
      <c r="K52" s="709"/>
      <c r="L52" s="709"/>
    </row>
    <row r="53" ht="15.75" customHeight="1">
      <c r="A53" s="709"/>
      <c r="B53" s="709"/>
      <c r="C53" s="709"/>
      <c r="D53" s="709"/>
      <c r="E53" s="709"/>
      <c r="F53" s="709"/>
      <c r="G53" s="709"/>
      <c r="H53" s="709"/>
      <c r="I53" s="709"/>
      <c r="J53" s="709"/>
      <c r="K53" s="709"/>
      <c r="L53" s="709"/>
    </row>
    <row r="54" ht="15.75" customHeight="1">
      <c r="A54" s="709"/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</row>
    <row r="55" ht="15.75" customHeight="1">
      <c r="A55" s="709"/>
      <c r="B55" s="709"/>
      <c r="C55" s="709"/>
      <c r="D55" s="709"/>
      <c r="E55" s="709"/>
      <c r="F55" s="709"/>
      <c r="G55" s="709"/>
      <c r="H55" s="709"/>
      <c r="I55" s="709"/>
      <c r="J55" s="709"/>
      <c r="K55" s="709"/>
      <c r="L55" s="709"/>
    </row>
    <row r="56" ht="15.75" customHeight="1">
      <c r="A56" s="709"/>
      <c r="B56" s="709"/>
      <c r="C56" s="709"/>
      <c r="D56" s="709"/>
      <c r="E56" s="709"/>
      <c r="F56" s="709"/>
      <c r="G56" s="709"/>
      <c r="H56" s="709"/>
      <c r="I56" s="709"/>
      <c r="J56" s="709"/>
      <c r="K56" s="709"/>
      <c r="L56" s="709"/>
    </row>
    <row r="57" ht="15.75" customHeight="1">
      <c r="A57" s="709"/>
      <c r="B57" s="709"/>
      <c r="C57" s="709"/>
      <c r="D57" s="709"/>
      <c r="E57" s="709"/>
      <c r="F57" s="709"/>
      <c r="G57" s="709"/>
      <c r="H57" s="709"/>
      <c r="I57" s="709"/>
      <c r="J57" s="709"/>
      <c r="K57" s="709"/>
      <c r="L57" s="709"/>
    </row>
    <row r="58" ht="15.75" customHeight="1">
      <c r="A58" s="709"/>
      <c r="B58" s="709"/>
      <c r="C58" s="709"/>
      <c r="D58" s="709"/>
      <c r="E58" s="709"/>
      <c r="F58" s="709"/>
      <c r="G58" s="709"/>
      <c r="H58" s="709"/>
      <c r="I58" s="709"/>
      <c r="J58" s="709"/>
      <c r="K58" s="709"/>
      <c r="L58" s="709"/>
    </row>
    <row r="59" ht="15.75" customHeight="1">
      <c r="A59" s="709"/>
      <c r="B59" s="709"/>
      <c r="C59" s="709"/>
      <c r="D59" s="709"/>
      <c r="E59" s="709"/>
      <c r="F59" s="709"/>
      <c r="G59" s="709"/>
      <c r="H59" s="709"/>
      <c r="I59" s="709"/>
      <c r="J59" s="709"/>
      <c r="K59" s="709"/>
      <c r="L59" s="709"/>
    </row>
    <row r="60" ht="15.75" customHeight="1">
      <c r="A60" s="709"/>
      <c r="B60" s="709"/>
      <c r="C60" s="709"/>
      <c r="D60" s="709"/>
      <c r="E60" s="709"/>
      <c r="F60" s="709"/>
      <c r="G60" s="709"/>
      <c r="H60" s="709"/>
      <c r="I60" s="709"/>
      <c r="J60" s="709"/>
      <c r="K60" s="709"/>
      <c r="L60" s="709"/>
    </row>
    <row r="61" ht="15.75" customHeight="1">
      <c r="A61" s="709"/>
      <c r="B61" s="709"/>
      <c r="C61" s="709"/>
      <c r="D61" s="709"/>
      <c r="E61" s="709"/>
      <c r="F61" s="709"/>
      <c r="G61" s="709"/>
      <c r="H61" s="709"/>
      <c r="I61" s="709"/>
      <c r="J61" s="709"/>
      <c r="K61" s="709"/>
      <c r="L61" s="709"/>
    </row>
    <row r="62" ht="15.75" customHeight="1">
      <c r="A62" s="709"/>
      <c r="B62" s="709"/>
      <c r="C62" s="709"/>
      <c r="D62" s="709"/>
      <c r="E62" s="709"/>
      <c r="F62" s="709"/>
      <c r="G62" s="709"/>
      <c r="H62" s="709"/>
      <c r="I62" s="709"/>
      <c r="J62" s="709"/>
      <c r="K62" s="709"/>
      <c r="L62" s="709"/>
    </row>
    <row r="63" ht="15.75" customHeight="1">
      <c r="A63" s="709"/>
      <c r="B63" s="709"/>
      <c r="C63" s="709"/>
      <c r="D63" s="709"/>
      <c r="E63" s="709"/>
      <c r="F63" s="709"/>
      <c r="G63" s="709"/>
      <c r="H63" s="709"/>
      <c r="I63" s="709"/>
      <c r="J63" s="709"/>
      <c r="K63" s="709"/>
      <c r="L63" s="709"/>
    </row>
    <row r="64" ht="15.75" customHeight="1">
      <c r="A64" s="709"/>
      <c r="B64" s="709"/>
      <c r="C64" s="709"/>
      <c r="D64" s="709"/>
      <c r="E64" s="709"/>
      <c r="F64" s="709"/>
      <c r="G64" s="709"/>
      <c r="H64" s="709"/>
      <c r="I64" s="709"/>
      <c r="J64" s="709"/>
      <c r="K64" s="709"/>
      <c r="L64" s="709"/>
    </row>
    <row r="65" ht="15.75" customHeight="1">
      <c r="A65" s="709"/>
      <c r="B65" s="709"/>
      <c r="C65" s="709"/>
      <c r="D65" s="709"/>
      <c r="E65" s="709"/>
      <c r="F65" s="709"/>
      <c r="G65" s="709"/>
      <c r="H65" s="709"/>
      <c r="I65" s="709"/>
      <c r="J65" s="709"/>
      <c r="K65" s="709"/>
      <c r="L65" s="709"/>
    </row>
    <row r="66" ht="15.75" customHeight="1">
      <c r="A66" s="709"/>
      <c r="B66" s="709"/>
      <c r="C66" s="709"/>
      <c r="D66" s="709"/>
      <c r="E66" s="709"/>
      <c r="F66" s="709"/>
      <c r="G66" s="709"/>
      <c r="H66" s="709"/>
      <c r="I66" s="709"/>
      <c r="J66" s="709"/>
      <c r="K66" s="709"/>
      <c r="L66" s="709"/>
    </row>
    <row r="67" ht="15.75" customHeight="1">
      <c r="A67" s="709"/>
      <c r="B67" s="709"/>
      <c r="C67" s="709"/>
      <c r="D67" s="709"/>
      <c r="E67" s="709"/>
      <c r="F67" s="709"/>
      <c r="G67" s="709"/>
      <c r="H67" s="709"/>
      <c r="I67" s="709"/>
      <c r="J67" s="709"/>
      <c r="K67" s="709"/>
      <c r="L67" s="709"/>
    </row>
    <row r="68" ht="15.75" customHeight="1">
      <c r="A68" s="709"/>
      <c r="B68" s="709"/>
      <c r="C68" s="709"/>
      <c r="D68" s="709"/>
      <c r="E68" s="709"/>
      <c r="F68" s="709"/>
      <c r="G68" s="709"/>
      <c r="H68" s="709"/>
      <c r="I68" s="709"/>
      <c r="J68" s="709"/>
      <c r="K68" s="709"/>
      <c r="L68" s="709"/>
    </row>
    <row r="69" ht="15.75" customHeight="1">
      <c r="A69" s="709"/>
      <c r="B69" s="709"/>
      <c r="C69" s="709"/>
      <c r="D69" s="709"/>
      <c r="E69" s="709"/>
      <c r="F69" s="709"/>
      <c r="G69" s="709"/>
      <c r="H69" s="709"/>
      <c r="I69" s="709"/>
      <c r="J69" s="709"/>
      <c r="K69" s="709"/>
      <c r="L69" s="709"/>
    </row>
    <row r="70" ht="15.75" customHeight="1">
      <c r="A70" s="709"/>
      <c r="B70" s="709"/>
      <c r="C70" s="709"/>
      <c r="D70" s="709"/>
      <c r="E70" s="709"/>
      <c r="F70" s="709"/>
      <c r="G70" s="709"/>
      <c r="H70" s="709"/>
      <c r="I70" s="709"/>
      <c r="J70" s="709"/>
      <c r="K70" s="709"/>
      <c r="L70" s="709"/>
    </row>
    <row r="71" ht="15.75" customHeight="1">
      <c r="A71" s="709"/>
      <c r="B71" s="709"/>
      <c r="C71" s="709"/>
      <c r="D71" s="709"/>
      <c r="E71" s="709"/>
      <c r="F71" s="709"/>
      <c r="G71" s="709"/>
      <c r="H71" s="709"/>
      <c r="I71" s="709"/>
      <c r="J71" s="709"/>
      <c r="K71" s="709"/>
      <c r="L71" s="709"/>
    </row>
    <row r="72" ht="15.75" customHeight="1">
      <c r="A72" s="709"/>
      <c r="B72" s="709"/>
      <c r="C72" s="709"/>
      <c r="D72" s="709"/>
      <c r="E72" s="709"/>
      <c r="F72" s="709"/>
      <c r="G72" s="709"/>
      <c r="H72" s="709"/>
      <c r="I72" s="709"/>
      <c r="J72" s="709"/>
      <c r="K72" s="709"/>
      <c r="L72" s="709"/>
    </row>
    <row r="73" ht="15.75" customHeight="1">
      <c r="A73" s="709"/>
      <c r="B73" s="709"/>
      <c r="C73" s="709"/>
      <c r="D73" s="709"/>
      <c r="E73" s="709"/>
      <c r="F73" s="709"/>
      <c r="G73" s="709"/>
      <c r="H73" s="709"/>
      <c r="I73" s="709"/>
      <c r="J73" s="709"/>
      <c r="K73" s="709"/>
      <c r="L73" s="709"/>
    </row>
    <row r="74" ht="15.75" customHeight="1">
      <c r="A74" s="709"/>
      <c r="B74" s="709"/>
      <c r="C74" s="709"/>
      <c r="D74" s="709"/>
      <c r="E74" s="709"/>
      <c r="F74" s="709"/>
      <c r="G74" s="709"/>
      <c r="H74" s="709"/>
      <c r="I74" s="709"/>
      <c r="J74" s="709"/>
      <c r="K74" s="709"/>
      <c r="L74" s="709"/>
    </row>
    <row r="75" ht="15.75" customHeight="1">
      <c r="A75" s="709"/>
      <c r="B75" s="709"/>
      <c r="C75" s="709"/>
      <c r="D75" s="709"/>
      <c r="E75" s="709"/>
      <c r="F75" s="709"/>
      <c r="G75" s="709"/>
      <c r="H75" s="709"/>
      <c r="I75" s="709"/>
      <c r="J75" s="709"/>
      <c r="K75" s="709"/>
      <c r="L75" s="709"/>
    </row>
    <row r="76" ht="15.75" customHeight="1">
      <c r="A76" s="709"/>
      <c r="B76" s="709"/>
      <c r="C76" s="709"/>
      <c r="D76" s="709"/>
      <c r="E76" s="709"/>
      <c r="F76" s="709"/>
      <c r="G76" s="709"/>
      <c r="H76" s="709"/>
      <c r="I76" s="709"/>
      <c r="J76" s="709"/>
      <c r="K76" s="709"/>
      <c r="L76" s="709"/>
    </row>
    <row r="77" ht="15.75" customHeight="1">
      <c r="A77" s="709"/>
      <c r="B77" s="709"/>
      <c r="C77" s="709"/>
      <c r="D77" s="709"/>
      <c r="E77" s="709"/>
      <c r="F77" s="709"/>
      <c r="G77" s="709"/>
      <c r="H77" s="709"/>
      <c r="I77" s="709"/>
      <c r="J77" s="709"/>
      <c r="K77" s="709"/>
      <c r="L77" s="709"/>
    </row>
    <row r="78" ht="15.75" customHeight="1">
      <c r="A78" s="709"/>
      <c r="B78" s="709"/>
      <c r="C78" s="709"/>
      <c r="D78" s="709"/>
      <c r="E78" s="709"/>
      <c r="F78" s="709"/>
      <c r="G78" s="709"/>
      <c r="H78" s="709"/>
      <c r="I78" s="709"/>
      <c r="J78" s="709"/>
      <c r="K78" s="709"/>
      <c r="L78" s="709"/>
    </row>
    <row r="79" ht="15.75" customHeight="1">
      <c r="A79" s="709"/>
      <c r="B79" s="709"/>
      <c r="C79" s="709"/>
      <c r="D79" s="709"/>
      <c r="E79" s="709"/>
      <c r="F79" s="709"/>
      <c r="G79" s="709"/>
      <c r="H79" s="709"/>
      <c r="I79" s="709"/>
      <c r="J79" s="709"/>
      <c r="K79" s="709"/>
      <c r="L79" s="709"/>
    </row>
    <row r="80" ht="15.75" customHeight="1">
      <c r="A80" s="709"/>
      <c r="B80" s="709"/>
      <c r="C80" s="709"/>
      <c r="D80" s="709"/>
      <c r="E80" s="709"/>
      <c r="F80" s="709"/>
      <c r="G80" s="709"/>
      <c r="H80" s="709"/>
      <c r="I80" s="709"/>
      <c r="J80" s="709"/>
      <c r="K80" s="709"/>
      <c r="L80" s="709"/>
    </row>
    <row r="81" ht="15.75" customHeight="1">
      <c r="A81" s="709"/>
      <c r="B81" s="709"/>
      <c r="C81" s="709"/>
      <c r="D81" s="709"/>
      <c r="E81" s="709"/>
      <c r="F81" s="709"/>
      <c r="G81" s="709"/>
      <c r="H81" s="709"/>
      <c r="I81" s="709"/>
      <c r="J81" s="709"/>
      <c r="K81" s="709"/>
      <c r="L81" s="709"/>
    </row>
    <row r="82" ht="15.75" customHeight="1">
      <c r="A82" s="709"/>
      <c r="B82" s="709"/>
      <c r="C82" s="709"/>
      <c r="D82" s="709"/>
      <c r="E82" s="709"/>
      <c r="F82" s="709"/>
      <c r="G82" s="709"/>
      <c r="H82" s="709"/>
      <c r="I82" s="709"/>
      <c r="J82" s="709"/>
      <c r="K82" s="709"/>
      <c r="L82" s="709"/>
    </row>
    <row r="83" ht="15.75" customHeight="1">
      <c r="A83" s="709"/>
      <c r="B83" s="709"/>
      <c r="C83" s="709"/>
      <c r="D83" s="709"/>
      <c r="E83" s="709"/>
      <c r="F83" s="709"/>
      <c r="G83" s="709"/>
      <c r="H83" s="709"/>
      <c r="I83" s="709"/>
      <c r="J83" s="709"/>
      <c r="K83" s="709"/>
      <c r="L83" s="709"/>
    </row>
    <row r="84" ht="15.75" customHeight="1">
      <c r="A84" s="709"/>
      <c r="B84" s="709"/>
      <c r="C84" s="709"/>
      <c r="D84" s="709"/>
      <c r="E84" s="709"/>
      <c r="F84" s="709"/>
      <c r="G84" s="709"/>
      <c r="H84" s="709"/>
      <c r="I84" s="709"/>
      <c r="J84" s="709"/>
      <c r="K84" s="709"/>
      <c r="L84" s="709"/>
    </row>
    <row r="85" ht="15.75" customHeight="1">
      <c r="A85" s="709"/>
      <c r="B85" s="709"/>
      <c r="C85" s="709"/>
      <c r="D85" s="709"/>
      <c r="E85" s="709"/>
      <c r="F85" s="709"/>
      <c r="G85" s="709"/>
      <c r="H85" s="709"/>
      <c r="I85" s="709"/>
      <c r="J85" s="709"/>
      <c r="K85" s="709"/>
      <c r="L85" s="709"/>
    </row>
    <row r="86" ht="15.75" customHeight="1">
      <c r="A86" s="709"/>
      <c r="B86" s="709"/>
      <c r="C86" s="709"/>
      <c r="D86" s="709"/>
      <c r="E86" s="709"/>
      <c r="F86" s="709"/>
      <c r="G86" s="709"/>
      <c r="H86" s="709"/>
      <c r="I86" s="709"/>
      <c r="J86" s="709"/>
      <c r="K86" s="709"/>
      <c r="L86" s="709"/>
    </row>
    <row r="87" ht="15.75" customHeight="1">
      <c r="A87" s="709"/>
      <c r="B87" s="709"/>
      <c r="C87" s="709"/>
      <c r="D87" s="709"/>
      <c r="E87" s="709"/>
      <c r="F87" s="709"/>
      <c r="G87" s="709"/>
      <c r="H87" s="709"/>
      <c r="I87" s="709"/>
      <c r="J87" s="709"/>
      <c r="K87" s="709"/>
      <c r="L87" s="709"/>
    </row>
    <row r="88" ht="15.75" customHeight="1">
      <c r="A88" s="709"/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</row>
    <row r="89" ht="15.75" customHeight="1">
      <c r="A89" s="709"/>
      <c r="B89" s="709"/>
      <c r="C89" s="709"/>
      <c r="D89" s="709"/>
      <c r="E89" s="709"/>
      <c r="F89" s="709"/>
      <c r="G89" s="709"/>
      <c r="H89" s="709"/>
      <c r="I89" s="709"/>
      <c r="J89" s="709"/>
      <c r="K89" s="709"/>
      <c r="L89" s="709"/>
    </row>
    <row r="90" ht="15.75" customHeight="1">
      <c r="A90" s="709"/>
      <c r="B90" s="709"/>
      <c r="C90" s="709"/>
      <c r="D90" s="709"/>
      <c r="E90" s="709"/>
      <c r="F90" s="709"/>
      <c r="G90" s="709"/>
      <c r="H90" s="709"/>
      <c r="I90" s="709"/>
      <c r="J90" s="709"/>
      <c r="K90" s="709"/>
      <c r="L90" s="709"/>
    </row>
    <row r="91" ht="15.75" customHeight="1">
      <c r="A91" s="709"/>
      <c r="B91" s="709"/>
      <c r="C91" s="709"/>
      <c r="D91" s="709"/>
      <c r="E91" s="709"/>
      <c r="F91" s="709"/>
      <c r="G91" s="709"/>
      <c r="H91" s="709"/>
      <c r="I91" s="709"/>
      <c r="J91" s="709"/>
      <c r="K91" s="709"/>
      <c r="L91" s="709"/>
    </row>
    <row r="92" ht="15.75" customHeight="1">
      <c r="A92" s="709"/>
      <c r="B92" s="709"/>
      <c r="C92" s="709"/>
      <c r="D92" s="709"/>
      <c r="E92" s="709"/>
      <c r="F92" s="709"/>
      <c r="G92" s="709"/>
      <c r="H92" s="709"/>
      <c r="I92" s="709"/>
      <c r="J92" s="709"/>
      <c r="K92" s="709"/>
      <c r="L92" s="709"/>
    </row>
    <row r="93" ht="15.75" customHeight="1">
      <c r="A93" s="709"/>
      <c r="B93" s="709"/>
      <c r="C93" s="709"/>
      <c r="D93" s="709"/>
      <c r="E93" s="709"/>
      <c r="F93" s="709"/>
      <c r="G93" s="709"/>
      <c r="H93" s="709"/>
      <c r="I93" s="709"/>
      <c r="J93" s="709"/>
      <c r="K93" s="709"/>
      <c r="L93" s="709"/>
    </row>
    <row r="94" ht="15.75" customHeight="1">
      <c r="A94" s="709"/>
      <c r="B94" s="709"/>
      <c r="C94" s="709"/>
      <c r="D94" s="709"/>
      <c r="E94" s="709"/>
      <c r="F94" s="709"/>
      <c r="G94" s="709"/>
      <c r="H94" s="709"/>
      <c r="I94" s="709"/>
      <c r="J94" s="709"/>
      <c r="K94" s="709"/>
      <c r="L94" s="709"/>
    </row>
    <row r="95" ht="15.75" customHeight="1">
      <c r="A95" s="709"/>
      <c r="B95" s="709"/>
      <c r="C95" s="709"/>
      <c r="D95" s="709"/>
      <c r="E95" s="709"/>
      <c r="F95" s="709"/>
      <c r="G95" s="709"/>
      <c r="H95" s="709"/>
      <c r="I95" s="709"/>
      <c r="J95" s="709"/>
      <c r="K95" s="709"/>
      <c r="L95" s="709"/>
    </row>
    <row r="96" ht="15.75" customHeight="1">
      <c r="A96" s="709"/>
      <c r="B96" s="709"/>
      <c r="C96" s="709"/>
      <c r="D96" s="709"/>
      <c r="E96" s="709"/>
      <c r="F96" s="709"/>
      <c r="G96" s="709"/>
      <c r="H96" s="709"/>
      <c r="I96" s="709"/>
      <c r="J96" s="709"/>
      <c r="K96" s="709"/>
      <c r="L96" s="709"/>
    </row>
    <row r="97" ht="15.75" customHeight="1">
      <c r="A97" s="709"/>
      <c r="B97" s="709"/>
      <c r="C97" s="709"/>
      <c r="D97" s="709"/>
      <c r="E97" s="709"/>
      <c r="F97" s="709"/>
      <c r="G97" s="709"/>
      <c r="H97" s="709"/>
      <c r="I97" s="709"/>
      <c r="J97" s="709"/>
      <c r="K97" s="709"/>
      <c r="L97" s="709"/>
    </row>
    <row r="98" ht="15.75" customHeight="1">
      <c r="A98" s="709"/>
      <c r="B98" s="709"/>
      <c r="C98" s="709"/>
      <c r="D98" s="709"/>
      <c r="E98" s="709"/>
      <c r="F98" s="709"/>
      <c r="G98" s="709"/>
      <c r="H98" s="709"/>
      <c r="I98" s="709"/>
      <c r="J98" s="709"/>
      <c r="K98" s="709"/>
      <c r="L98" s="709"/>
    </row>
    <row r="99" ht="15.75" customHeight="1">
      <c r="A99" s="709"/>
      <c r="B99" s="709"/>
      <c r="C99" s="709"/>
      <c r="D99" s="709"/>
      <c r="E99" s="709"/>
      <c r="F99" s="709"/>
      <c r="G99" s="709"/>
      <c r="H99" s="709"/>
      <c r="I99" s="709"/>
      <c r="J99" s="709"/>
      <c r="K99" s="709"/>
      <c r="L99" s="709"/>
    </row>
    <row r="100" ht="15.75" customHeight="1">
      <c r="A100" s="709"/>
      <c r="B100" s="709"/>
      <c r="C100" s="709"/>
      <c r="D100" s="709"/>
      <c r="E100" s="709"/>
      <c r="F100" s="709"/>
      <c r="G100" s="709"/>
      <c r="H100" s="709"/>
      <c r="I100" s="709"/>
      <c r="J100" s="709"/>
      <c r="K100" s="709"/>
      <c r="L100" s="709"/>
    </row>
    <row r="101" ht="15.75" customHeight="1">
      <c r="A101" s="709"/>
      <c r="B101" s="709"/>
      <c r="C101" s="709"/>
      <c r="D101" s="709"/>
      <c r="E101" s="709"/>
      <c r="F101" s="709"/>
      <c r="G101" s="709"/>
      <c r="H101" s="709"/>
      <c r="I101" s="709"/>
      <c r="J101" s="709"/>
      <c r="K101" s="709"/>
      <c r="L101" s="709"/>
    </row>
    <row r="102" ht="15.75" customHeight="1">
      <c r="A102" s="709"/>
      <c r="B102" s="709"/>
      <c r="C102" s="709"/>
      <c r="D102" s="709"/>
      <c r="E102" s="709"/>
      <c r="F102" s="709"/>
      <c r="G102" s="709"/>
      <c r="H102" s="709"/>
      <c r="I102" s="709"/>
      <c r="J102" s="709"/>
      <c r="K102" s="709"/>
      <c r="L102" s="709"/>
    </row>
    <row r="103" ht="15.75" customHeight="1">
      <c r="A103" s="709"/>
      <c r="B103" s="709"/>
      <c r="C103" s="709"/>
      <c r="D103" s="709"/>
      <c r="E103" s="709"/>
      <c r="F103" s="709"/>
      <c r="G103" s="709"/>
      <c r="H103" s="709"/>
      <c r="I103" s="709"/>
      <c r="J103" s="709"/>
      <c r="K103" s="709"/>
      <c r="L103" s="709"/>
    </row>
    <row r="104" ht="15.75" customHeight="1">
      <c r="A104" s="709"/>
      <c r="B104" s="709"/>
      <c r="C104" s="709"/>
      <c r="D104" s="709"/>
      <c r="E104" s="709"/>
      <c r="F104" s="709"/>
      <c r="G104" s="709"/>
      <c r="H104" s="709"/>
      <c r="I104" s="709"/>
      <c r="J104" s="709"/>
      <c r="K104" s="709"/>
      <c r="L104" s="709"/>
    </row>
    <row r="105" ht="15.75" customHeight="1">
      <c r="A105" s="709"/>
      <c r="B105" s="709"/>
      <c r="C105" s="709"/>
      <c r="D105" s="709"/>
      <c r="E105" s="709"/>
      <c r="F105" s="709"/>
      <c r="G105" s="709"/>
      <c r="H105" s="709"/>
      <c r="I105" s="709"/>
      <c r="J105" s="709"/>
      <c r="K105" s="709"/>
      <c r="L105" s="709"/>
    </row>
    <row r="106" ht="15.75" customHeight="1">
      <c r="A106" s="709"/>
      <c r="B106" s="709"/>
      <c r="C106" s="709"/>
      <c r="D106" s="709"/>
      <c r="E106" s="709"/>
      <c r="F106" s="709"/>
      <c r="G106" s="709"/>
      <c r="H106" s="709"/>
      <c r="I106" s="709"/>
      <c r="J106" s="709"/>
      <c r="K106" s="709"/>
      <c r="L106" s="709"/>
    </row>
    <row r="107" ht="15.75" customHeight="1">
      <c r="A107" s="709"/>
      <c r="B107" s="709"/>
      <c r="C107" s="709"/>
      <c r="D107" s="709"/>
      <c r="E107" s="709"/>
      <c r="F107" s="709"/>
      <c r="G107" s="709"/>
      <c r="H107" s="709"/>
      <c r="I107" s="709"/>
      <c r="J107" s="709"/>
      <c r="K107" s="709"/>
      <c r="L107" s="709"/>
    </row>
    <row r="108" ht="15.75" customHeight="1">
      <c r="A108" s="709"/>
      <c r="B108" s="709"/>
      <c r="C108" s="709"/>
      <c r="D108" s="709"/>
      <c r="E108" s="709"/>
      <c r="F108" s="709"/>
      <c r="G108" s="709"/>
      <c r="H108" s="709"/>
      <c r="I108" s="709"/>
      <c r="J108" s="709"/>
      <c r="K108" s="709"/>
      <c r="L108" s="709"/>
    </row>
    <row r="109" ht="15.75" customHeight="1">
      <c r="A109" s="709"/>
      <c r="B109" s="709"/>
      <c r="C109" s="709"/>
      <c r="D109" s="709"/>
      <c r="E109" s="709"/>
      <c r="F109" s="709"/>
      <c r="G109" s="709"/>
      <c r="H109" s="709"/>
      <c r="I109" s="709"/>
      <c r="J109" s="709"/>
      <c r="K109" s="709"/>
      <c r="L109" s="709"/>
    </row>
    <row r="110" ht="15.75" customHeight="1">
      <c r="A110" s="709"/>
      <c r="B110" s="709"/>
      <c r="C110" s="709"/>
      <c r="D110" s="709"/>
      <c r="E110" s="709"/>
      <c r="F110" s="709"/>
      <c r="G110" s="709"/>
      <c r="H110" s="709"/>
      <c r="I110" s="709"/>
      <c r="J110" s="709"/>
      <c r="K110" s="709"/>
      <c r="L110" s="709"/>
    </row>
    <row r="111" ht="15.75" customHeight="1">
      <c r="A111" s="709"/>
      <c r="B111" s="709"/>
      <c r="C111" s="709"/>
      <c r="D111" s="709"/>
      <c r="E111" s="709"/>
      <c r="F111" s="709"/>
      <c r="G111" s="709"/>
      <c r="H111" s="709"/>
      <c r="I111" s="709"/>
      <c r="J111" s="709"/>
      <c r="K111" s="709"/>
      <c r="L111" s="709"/>
    </row>
    <row r="112" ht="15.75" customHeight="1">
      <c r="A112" s="709"/>
      <c r="B112" s="709"/>
      <c r="C112" s="709"/>
      <c r="D112" s="709"/>
      <c r="E112" s="709"/>
      <c r="F112" s="709"/>
      <c r="G112" s="709"/>
      <c r="H112" s="709"/>
      <c r="I112" s="709"/>
      <c r="J112" s="709"/>
      <c r="K112" s="709"/>
      <c r="L112" s="709"/>
    </row>
    <row r="113" ht="15.75" customHeight="1">
      <c r="A113" s="709"/>
      <c r="B113" s="709"/>
      <c r="C113" s="709"/>
      <c r="D113" s="709"/>
      <c r="E113" s="709"/>
      <c r="F113" s="709"/>
      <c r="G113" s="709"/>
      <c r="H113" s="709"/>
      <c r="I113" s="709"/>
      <c r="J113" s="709"/>
      <c r="K113" s="709"/>
      <c r="L113" s="709"/>
    </row>
    <row r="114" ht="15.75" customHeight="1">
      <c r="A114" s="709"/>
      <c r="B114" s="709"/>
      <c r="C114" s="709"/>
      <c r="D114" s="709"/>
      <c r="E114" s="709"/>
      <c r="F114" s="709"/>
      <c r="G114" s="709"/>
      <c r="H114" s="709"/>
      <c r="I114" s="709"/>
      <c r="J114" s="709"/>
      <c r="K114" s="709"/>
      <c r="L114" s="709"/>
    </row>
    <row r="115" ht="15.75" customHeight="1">
      <c r="A115" s="709"/>
      <c r="B115" s="709"/>
      <c r="C115" s="709"/>
      <c r="D115" s="709"/>
      <c r="E115" s="709"/>
      <c r="F115" s="709"/>
      <c r="G115" s="709"/>
      <c r="H115" s="709"/>
      <c r="I115" s="709"/>
      <c r="J115" s="709"/>
      <c r="K115" s="709"/>
      <c r="L115" s="709"/>
    </row>
    <row r="116" ht="15.75" customHeight="1">
      <c r="A116" s="709"/>
      <c r="B116" s="709"/>
      <c r="C116" s="709"/>
      <c r="D116" s="709"/>
      <c r="E116" s="709"/>
      <c r="F116" s="709"/>
      <c r="G116" s="709"/>
      <c r="H116" s="709"/>
      <c r="I116" s="709"/>
      <c r="J116" s="709"/>
      <c r="K116" s="709"/>
      <c r="L116" s="709"/>
    </row>
    <row r="117" ht="15.75" customHeight="1">
      <c r="A117" s="709"/>
      <c r="B117" s="709"/>
      <c r="C117" s="709"/>
      <c r="D117" s="709"/>
      <c r="E117" s="709"/>
      <c r="F117" s="709"/>
      <c r="G117" s="709"/>
      <c r="H117" s="709"/>
      <c r="I117" s="709"/>
      <c r="J117" s="709"/>
      <c r="K117" s="709"/>
      <c r="L117" s="709"/>
    </row>
    <row r="118" ht="15.75" customHeight="1">
      <c r="A118" s="709"/>
      <c r="B118" s="709"/>
      <c r="C118" s="709"/>
      <c r="D118" s="709"/>
      <c r="E118" s="709"/>
      <c r="F118" s="709"/>
      <c r="G118" s="709"/>
      <c r="H118" s="709"/>
      <c r="I118" s="709"/>
      <c r="J118" s="709"/>
      <c r="K118" s="709"/>
      <c r="L118" s="709"/>
    </row>
    <row r="119" ht="15.75" customHeight="1">
      <c r="A119" s="709"/>
      <c r="B119" s="709"/>
      <c r="C119" s="709"/>
      <c r="D119" s="709"/>
      <c r="E119" s="709"/>
      <c r="F119" s="709"/>
      <c r="G119" s="709"/>
      <c r="H119" s="709"/>
      <c r="I119" s="709"/>
      <c r="J119" s="709"/>
      <c r="K119" s="709"/>
      <c r="L119" s="709"/>
    </row>
    <row r="120" ht="15.75" customHeight="1">
      <c r="A120" s="709"/>
      <c r="B120" s="709"/>
      <c r="C120" s="709"/>
      <c r="D120" s="709"/>
      <c r="E120" s="709"/>
      <c r="F120" s="709"/>
      <c r="G120" s="709"/>
      <c r="H120" s="709"/>
      <c r="I120" s="709"/>
      <c r="J120" s="709"/>
      <c r="K120" s="709"/>
      <c r="L120" s="709"/>
    </row>
    <row r="121" ht="15.75" customHeight="1">
      <c r="A121" s="709"/>
      <c r="B121" s="709"/>
      <c r="C121" s="709"/>
      <c r="D121" s="709"/>
      <c r="E121" s="709"/>
      <c r="F121" s="709"/>
      <c r="G121" s="709"/>
      <c r="H121" s="709"/>
      <c r="I121" s="709"/>
      <c r="J121" s="709"/>
      <c r="K121" s="709"/>
      <c r="L121" s="709"/>
    </row>
    <row r="122" ht="15.75" customHeight="1">
      <c r="A122" s="709"/>
      <c r="B122" s="709"/>
      <c r="C122" s="709"/>
      <c r="D122" s="709"/>
      <c r="E122" s="709"/>
      <c r="F122" s="709"/>
      <c r="G122" s="709"/>
      <c r="H122" s="709"/>
      <c r="I122" s="709"/>
      <c r="J122" s="709"/>
      <c r="K122" s="709"/>
      <c r="L122" s="709"/>
    </row>
    <row r="123" ht="15.75" customHeight="1">
      <c r="A123" s="709"/>
      <c r="B123" s="709"/>
      <c r="C123" s="709"/>
      <c r="D123" s="709"/>
      <c r="E123" s="709"/>
      <c r="F123" s="709"/>
      <c r="G123" s="709"/>
      <c r="H123" s="709"/>
      <c r="I123" s="709"/>
      <c r="J123" s="709"/>
      <c r="K123" s="709"/>
      <c r="L123" s="709"/>
    </row>
    <row r="124" ht="15.75" customHeight="1">
      <c r="A124" s="709"/>
      <c r="B124" s="709"/>
      <c r="C124" s="709"/>
      <c r="D124" s="709"/>
      <c r="E124" s="709"/>
      <c r="F124" s="709"/>
      <c r="G124" s="709"/>
      <c r="H124" s="709"/>
      <c r="I124" s="709"/>
      <c r="J124" s="709"/>
      <c r="K124" s="709"/>
      <c r="L124" s="709"/>
    </row>
    <row r="125" ht="15.75" customHeight="1">
      <c r="A125" s="709"/>
      <c r="B125" s="709"/>
      <c r="C125" s="709"/>
      <c r="D125" s="709"/>
      <c r="E125" s="709"/>
      <c r="F125" s="709"/>
      <c r="G125" s="709"/>
      <c r="H125" s="709"/>
      <c r="I125" s="709"/>
      <c r="J125" s="709"/>
      <c r="K125" s="709"/>
      <c r="L125" s="709"/>
    </row>
    <row r="126" ht="15.75" customHeight="1">
      <c r="A126" s="709"/>
      <c r="B126" s="709"/>
      <c r="C126" s="709"/>
      <c r="D126" s="709"/>
      <c r="E126" s="709"/>
      <c r="F126" s="709"/>
      <c r="G126" s="709"/>
      <c r="H126" s="709"/>
      <c r="I126" s="709"/>
      <c r="J126" s="709"/>
      <c r="K126" s="709"/>
      <c r="L126" s="709"/>
    </row>
    <row r="127" ht="15.75" customHeight="1">
      <c r="A127" s="709"/>
      <c r="B127" s="709"/>
      <c r="C127" s="709"/>
      <c r="D127" s="709"/>
      <c r="E127" s="709"/>
      <c r="F127" s="709"/>
      <c r="G127" s="709"/>
      <c r="H127" s="709"/>
      <c r="I127" s="709"/>
      <c r="J127" s="709"/>
      <c r="K127" s="709"/>
      <c r="L127" s="709"/>
    </row>
    <row r="128" ht="15.75" customHeight="1">
      <c r="A128" s="709"/>
      <c r="B128" s="709"/>
      <c r="C128" s="709"/>
      <c r="D128" s="709"/>
      <c r="E128" s="709"/>
      <c r="F128" s="709"/>
      <c r="G128" s="709"/>
      <c r="H128" s="709"/>
      <c r="I128" s="709"/>
      <c r="J128" s="709"/>
      <c r="K128" s="709"/>
      <c r="L128" s="709"/>
    </row>
    <row r="129" ht="15.75" customHeight="1">
      <c r="A129" s="709"/>
      <c r="B129" s="709"/>
      <c r="C129" s="709"/>
      <c r="D129" s="709"/>
      <c r="E129" s="709"/>
      <c r="F129" s="709"/>
      <c r="G129" s="709"/>
      <c r="H129" s="709"/>
      <c r="I129" s="709"/>
      <c r="J129" s="709"/>
      <c r="K129" s="709"/>
      <c r="L129" s="709"/>
    </row>
    <row r="130" ht="15.75" customHeight="1">
      <c r="A130" s="709"/>
      <c r="B130" s="709"/>
      <c r="C130" s="709"/>
      <c r="D130" s="709"/>
      <c r="E130" s="709"/>
      <c r="F130" s="709"/>
      <c r="G130" s="709"/>
      <c r="H130" s="709"/>
      <c r="I130" s="709"/>
      <c r="J130" s="709"/>
      <c r="K130" s="709"/>
      <c r="L130" s="709"/>
    </row>
    <row r="131" ht="15.75" customHeight="1">
      <c r="A131" s="709"/>
      <c r="B131" s="709"/>
      <c r="C131" s="709"/>
      <c r="D131" s="709"/>
      <c r="E131" s="709"/>
      <c r="F131" s="709"/>
      <c r="G131" s="709"/>
      <c r="H131" s="709"/>
      <c r="I131" s="709"/>
      <c r="J131" s="709"/>
      <c r="K131" s="709"/>
      <c r="L131" s="709"/>
    </row>
    <row r="132" ht="15.75" customHeight="1">
      <c r="A132" s="709"/>
      <c r="B132" s="709"/>
      <c r="C132" s="709"/>
      <c r="D132" s="709"/>
      <c r="E132" s="709"/>
      <c r="F132" s="709"/>
      <c r="G132" s="709"/>
      <c r="H132" s="709"/>
      <c r="I132" s="709"/>
      <c r="J132" s="709"/>
      <c r="K132" s="709"/>
      <c r="L132" s="709"/>
    </row>
    <row r="133" ht="15.75" customHeight="1">
      <c r="A133" s="709"/>
      <c r="B133" s="709"/>
      <c r="C133" s="709"/>
      <c r="D133" s="709"/>
      <c r="E133" s="709"/>
      <c r="F133" s="709"/>
      <c r="G133" s="709"/>
      <c r="H133" s="709"/>
      <c r="I133" s="709"/>
      <c r="J133" s="709"/>
      <c r="K133" s="709"/>
      <c r="L133" s="709"/>
    </row>
    <row r="134" ht="15.75" customHeight="1">
      <c r="A134" s="709"/>
      <c r="B134" s="709"/>
      <c r="C134" s="709"/>
      <c r="D134" s="709"/>
      <c r="E134" s="709"/>
      <c r="F134" s="709"/>
      <c r="G134" s="709"/>
      <c r="H134" s="709"/>
      <c r="I134" s="709"/>
      <c r="J134" s="709"/>
      <c r="K134" s="709"/>
      <c r="L134" s="709"/>
    </row>
    <row r="135" ht="15.75" customHeight="1">
      <c r="A135" s="709"/>
      <c r="B135" s="709"/>
      <c r="C135" s="709"/>
      <c r="D135" s="709"/>
      <c r="E135" s="709"/>
      <c r="F135" s="709"/>
      <c r="G135" s="709"/>
      <c r="H135" s="709"/>
      <c r="I135" s="709"/>
      <c r="J135" s="709"/>
      <c r="K135" s="709"/>
      <c r="L135" s="709"/>
    </row>
    <row r="136" ht="15.75" customHeight="1">
      <c r="A136" s="709"/>
      <c r="B136" s="709"/>
      <c r="C136" s="709"/>
      <c r="D136" s="709"/>
      <c r="E136" s="709"/>
      <c r="F136" s="709"/>
      <c r="G136" s="709"/>
      <c r="H136" s="709"/>
      <c r="I136" s="709"/>
      <c r="J136" s="709"/>
      <c r="K136" s="709"/>
      <c r="L136" s="709"/>
    </row>
    <row r="137" ht="15.75" customHeight="1">
      <c r="A137" s="709"/>
      <c r="B137" s="709"/>
      <c r="C137" s="709"/>
      <c r="D137" s="709"/>
      <c r="E137" s="709"/>
      <c r="F137" s="709"/>
      <c r="G137" s="709"/>
      <c r="H137" s="709"/>
      <c r="I137" s="709"/>
      <c r="J137" s="709"/>
      <c r="K137" s="709"/>
      <c r="L137" s="709"/>
    </row>
    <row r="138" ht="15.75" customHeight="1">
      <c r="A138" s="709"/>
      <c r="B138" s="709"/>
      <c r="C138" s="709"/>
      <c r="D138" s="709"/>
      <c r="E138" s="709"/>
      <c r="F138" s="709"/>
      <c r="G138" s="709"/>
      <c r="H138" s="709"/>
      <c r="I138" s="709"/>
      <c r="J138" s="709"/>
      <c r="K138" s="709"/>
      <c r="L138" s="709"/>
    </row>
    <row r="139" ht="15.75" customHeight="1">
      <c r="A139" s="709"/>
      <c r="B139" s="709"/>
      <c r="C139" s="709"/>
      <c r="D139" s="709"/>
      <c r="E139" s="709"/>
      <c r="F139" s="709"/>
      <c r="G139" s="709"/>
      <c r="H139" s="709"/>
      <c r="I139" s="709"/>
      <c r="J139" s="709"/>
      <c r="K139" s="709"/>
      <c r="L139" s="709"/>
    </row>
    <row r="140" ht="15.75" customHeight="1">
      <c r="A140" s="709"/>
      <c r="B140" s="709"/>
      <c r="C140" s="709"/>
      <c r="D140" s="709"/>
      <c r="E140" s="709"/>
      <c r="F140" s="709"/>
      <c r="G140" s="709"/>
      <c r="H140" s="709"/>
      <c r="I140" s="709"/>
      <c r="J140" s="709"/>
      <c r="K140" s="709"/>
      <c r="L140" s="709"/>
    </row>
    <row r="141" ht="15.75" customHeight="1">
      <c r="A141" s="709"/>
      <c r="B141" s="709"/>
      <c r="C141" s="709"/>
      <c r="D141" s="709"/>
      <c r="E141" s="709"/>
      <c r="F141" s="709"/>
      <c r="G141" s="709"/>
      <c r="H141" s="709"/>
      <c r="I141" s="709"/>
      <c r="J141" s="709"/>
      <c r="K141" s="709"/>
      <c r="L141" s="709"/>
    </row>
    <row r="142" ht="15.75" customHeight="1">
      <c r="A142" s="709"/>
      <c r="B142" s="709"/>
      <c r="C142" s="709"/>
      <c r="D142" s="709"/>
      <c r="E142" s="709"/>
      <c r="F142" s="709"/>
      <c r="G142" s="709"/>
      <c r="H142" s="709"/>
      <c r="I142" s="709"/>
      <c r="J142" s="709"/>
      <c r="K142" s="709"/>
      <c r="L142" s="709"/>
    </row>
    <row r="143" ht="15.75" customHeight="1">
      <c r="A143" s="709"/>
      <c r="B143" s="709"/>
      <c r="C143" s="709"/>
      <c r="D143" s="709"/>
      <c r="E143" s="709"/>
      <c r="F143" s="709"/>
      <c r="G143" s="709"/>
      <c r="H143" s="709"/>
      <c r="I143" s="709"/>
      <c r="J143" s="709"/>
      <c r="K143" s="709"/>
      <c r="L143" s="709"/>
    </row>
    <row r="144" ht="15.75" customHeight="1">
      <c r="A144" s="709"/>
      <c r="B144" s="709"/>
      <c r="C144" s="709"/>
      <c r="D144" s="709"/>
      <c r="E144" s="709"/>
      <c r="F144" s="709"/>
      <c r="G144" s="709"/>
      <c r="H144" s="709"/>
      <c r="I144" s="709"/>
      <c r="J144" s="709"/>
      <c r="K144" s="709"/>
      <c r="L144" s="709"/>
    </row>
    <row r="145" ht="15.75" customHeight="1">
      <c r="A145" s="709"/>
      <c r="B145" s="709"/>
      <c r="C145" s="709"/>
      <c r="D145" s="709"/>
      <c r="E145" s="709"/>
      <c r="F145" s="709"/>
      <c r="G145" s="709"/>
      <c r="H145" s="709"/>
      <c r="I145" s="709"/>
      <c r="J145" s="709"/>
      <c r="K145" s="709"/>
      <c r="L145" s="709"/>
    </row>
    <row r="146" ht="15.75" customHeight="1">
      <c r="A146" s="709"/>
      <c r="B146" s="709"/>
      <c r="C146" s="709"/>
      <c r="D146" s="709"/>
      <c r="E146" s="709"/>
      <c r="F146" s="709"/>
      <c r="G146" s="709"/>
      <c r="H146" s="709"/>
      <c r="I146" s="709"/>
      <c r="J146" s="709"/>
      <c r="K146" s="709"/>
      <c r="L146" s="709"/>
    </row>
    <row r="147" ht="15.75" customHeight="1">
      <c r="A147" s="709"/>
      <c r="B147" s="709"/>
      <c r="C147" s="709"/>
      <c r="D147" s="709"/>
      <c r="E147" s="709"/>
      <c r="F147" s="709"/>
      <c r="G147" s="709"/>
      <c r="H147" s="709"/>
      <c r="I147" s="709"/>
      <c r="J147" s="709"/>
      <c r="K147" s="709"/>
      <c r="L147" s="709"/>
    </row>
    <row r="148" ht="15.75" customHeight="1">
      <c r="A148" s="709"/>
      <c r="B148" s="709"/>
      <c r="C148" s="709"/>
      <c r="D148" s="709"/>
      <c r="E148" s="709"/>
      <c r="F148" s="709"/>
      <c r="G148" s="709"/>
      <c r="H148" s="709"/>
      <c r="I148" s="709"/>
      <c r="J148" s="709"/>
      <c r="K148" s="709"/>
      <c r="L148" s="709"/>
    </row>
    <row r="149" ht="15.75" customHeight="1">
      <c r="A149" s="709"/>
      <c r="B149" s="709"/>
      <c r="C149" s="709"/>
      <c r="D149" s="709"/>
      <c r="E149" s="709"/>
      <c r="F149" s="709"/>
      <c r="G149" s="709"/>
      <c r="H149" s="709"/>
      <c r="I149" s="709"/>
      <c r="J149" s="709"/>
      <c r="K149" s="709"/>
      <c r="L149" s="709"/>
    </row>
    <row r="150" ht="15.75" customHeight="1">
      <c r="A150" s="709"/>
      <c r="B150" s="709"/>
      <c r="C150" s="709"/>
      <c r="D150" s="709"/>
      <c r="E150" s="709"/>
      <c r="F150" s="709"/>
      <c r="G150" s="709"/>
      <c r="H150" s="709"/>
      <c r="I150" s="709"/>
      <c r="J150" s="709"/>
      <c r="K150" s="709"/>
      <c r="L150" s="709"/>
    </row>
    <row r="151" ht="15.75" customHeight="1">
      <c r="A151" s="709"/>
      <c r="B151" s="709"/>
      <c r="C151" s="709"/>
      <c r="D151" s="709"/>
      <c r="E151" s="709"/>
      <c r="F151" s="709"/>
      <c r="G151" s="709"/>
      <c r="H151" s="709"/>
      <c r="I151" s="709"/>
      <c r="J151" s="709"/>
      <c r="K151" s="709"/>
      <c r="L151" s="709"/>
    </row>
    <row r="152" ht="15.75" customHeight="1">
      <c r="A152" s="709"/>
      <c r="B152" s="709"/>
      <c r="C152" s="709"/>
      <c r="D152" s="709"/>
      <c r="E152" s="709"/>
      <c r="F152" s="709"/>
      <c r="G152" s="709"/>
      <c r="H152" s="709"/>
      <c r="I152" s="709"/>
      <c r="J152" s="709"/>
      <c r="K152" s="709"/>
      <c r="L152" s="709"/>
    </row>
    <row r="153" ht="15.75" customHeight="1">
      <c r="A153" s="709"/>
      <c r="B153" s="709"/>
      <c r="C153" s="709"/>
      <c r="D153" s="709"/>
      <c r="E153" s="709"/>
      <c r="F153" s="709"/>
      <c r="G153" s="709"/>
      <c r="H153" s="709"/>
      <c r="I153" s="709"/>
      <c r="J153" s="709"/>
      <c r="K153" s="709"/>
      <c r="L153" s="709"/>
    </row>
    <row r="154" ht="15.75" customHeight="1">
      <c r="A154" s="709"/>
      <c r="B154" s="709"/>
      <c r="C154" s="709"/>
      <c r="D154" s="709"/>
      <c r="E154" s="709"/>
      <c r="F154" s="709"/>
      <c r="G154" s="709"/>
      <c r="H154" s="709"/>
      <c r="I154" s="709"/>
      <c r="J154" s="709"/>
      <c r="K154" s="709"/>
      <c r="L154" s="709"/>
    </row>
    <row r="155" ht="15.75" customHeight="1">
      <c r="A155" s="709"/>
      <c r="B155" s="709"/>
      <c r="C155" s="709"/>
      <c r="D155" s="709"/>
      <c r="E155" s="709"/>
      <c r="F155" s="709"/>
      <c r="G155" s="709"/>
      <c r="H155" s="709"/>
      <c r="I155" s="709"/>
      <c r="J155" s="709"/>
      <c r="K155" s="709"/>
      <c r="L155" s="709"/>
    </row>
    <row r="156" ht="15.75" customHeight="1">
      <c r="A156" s="709"/>
      <c r="B156" s="709"/>
      <c r="C156" s="709"/>
      <c r="D156" s="709"/>
      <c r="E156" s="709"/>
      <c r="F156" s="709"/>
      <c r="G156" s="709"/>
      <c r="H156" s="709"/>
      <c r="I156" s="709"/>
      <c r="J156" s="709"/>
      <c r="K156" s="709"/>
      <c r="L156" s="709"/>
    </row>
    <row r="157" ht="15.75" customHeight="1">
      <c r="A157" s="709"/>
      <c r="B157" s="709"/>
      <c r="C157" s="709"/>
      <c r="D157" s="709"/>
      <c r="E157" s="709"/>
      <c r="F157" s="709"/>
      <c r="G157" s="709"/>
      <c r="H157" s="709"/>
      <c r="I157" s="709"/>
      <c r="J157" s="709"/>
      <c r="K157" s="709"/>
      <c r="L157" s="709"/>
    </row>
    <row r="158" ht="15.75" customHeight="1">
      <c r="A158" s="709"/>
      <c r="B158" s="709"/>
      <c r="C158" s="709"/>
      <c r="D158" s="709"/>
      <c r="E158" s="709"/>
      <c r="F158" s="709"/>
      <c r="G158" s="709"/>
      <c r="H158" s="709"/>
      <c r="I158" s="709"/>
      <c r="J158" s="709"/>
      <c r="K158" s="709"/>
      <c r="L158" s="709"/>
    </row>
    <row r="159" ht="15.75" customHeight="1">
      <c r="A159" s="709"/>
      <c r="B159" s="709"/>
      <c r="C159" s="709"/>
      <c r="D159" s="709"/>
      <c r="E159" s="709"/>
      <c r="F159" s="709"/>
      <c r="G159" s="709"/>
      <c r="H159" s="709"/>
      <c r="I159" s="709"/>
      <c r="J159" s="709"/>
      <c r="K159" s="709"/>
      <c r="L159" s="709"/>
    </row>
    <row r="160" ht="15.75" customHeight="1">
      <c r="A160" s="709"/>
      <c r="B160" s="709"/>
      <c r="C160" s="709"/>
      <c r="D160" s="709"/>
      <c r="E160" s="709"/>
      <c r="F160" s="709"/>
      <c r="G160" s="709"/>
      <c r="H160" s="709"/>
      <c r="I160" s="709"/>
      <c r="J160" s="709"/>
      <c r="K160" s="709"/>
      <c r="L160" s="709"/>
    </row>
    <row r="161" ht="15.75" customHeight="1">
      <c r="A161" s="709"/>
      <c r="B161" s="709"/>
      <c r="C161" s="709"/>
      <c r="D161" s="709"/>
      <c r="E161" s="709"/>
      <c r="F161" s="709"/>
      <c r="G161" s="709"/>
      <c r="H161" s="709"/>
      <c r="I161" s="709"/>
      <c r="J161" s="709"/>
      <c r="K161" s="709"/>
      <c r="L161" s="709"/>
    </row>
    <row r="162" ht="15.75" customHeight="1">
      <c r="A162" s="709"/>
      <c r="B162" s="709"/>
      <c r="C162" s="709"/>
      <c r="D162" s="709"/>
      <c r="E162" s="709"/>
      <c r="F162" s="709"/>
      <c r="G162" s="709"/>
      <c r="H162" s="709"/>
      <c r="I162" s="709"/>
      <c r="J162" s="709"/>
      <c r="K162" s="709"/>
      <c r="L162" s="709"/>
    </row>
    <row r="163" ht="15.75" customHeight="1">
      <c r="A163" s="709"/>
      <c r="B163" s="709"/>
      <c r="C163" s="709"/>
      <c r="D163" s="709"/>
      <c r="E163" s="709"/>
      <c r="F163" s="709"/>
      <c r="G163" s="709"/>
      <c r="H163" s="709"/>
      <c r="I163" s="709"/>
      <c r="J163" s="709"/>
      <c r="K163" s="709"/>
      <c r="L163" s="709"/>
    </row>
    <row r="164" ht="15.75" customHeight="1">
      <c r="A164" s="709"/>
      <c r="B164" s="709"/>
      <c r="C164" s="709"/>
      <c r="D164" s="709"/>
      <c r="E164" s="709"/>
      <c r="F164" s="709"/>
      <c r="G164" s="709"/>
      <c r="H164" s="709"/>
      <c r="I164" s="709"/>
      <c r="J164" s="709"/>
      <c r="K164" s="709"/>
      <c r="L164" s="709"/>
    </row>
    <row r="165" ht="15.75" customHeight="1">
      <c r="A165" s="709"/>
      <c r="B165" s="709"/>
      <c r="C165" s="709"/>
      <c r="D165" s="709"/>
      <c r="E165" s="709"/>
      <c r="F165" s="709"/>
      <c r="G165" s="709"/>
      <c r="H165" s="709"/>
      <c r="I165" s="709"/>
      <c r="J165" s="709"/>
      <c r="K165" s="709"/>
      <c r="L165" s="709"/>
    </row>
    <row r="166" ht="15.75" customHeight="1">
      <c r="A166" s="709"/>
      <c r="B166" s="709"/>
      <c r="C166" s="709"/>
      <c r="D166" s="709"/>
      <c r="E166" s="709"/>
      <c r="F166" s="709"/>
      <c r="G166" s="709"/>
      <c r="H166" s="709"/>
      <c r="I166" s="709"/>
      <c r="J166" s="709"/>
      <c r="K166" s="709"/>
      <c r="L166" s="709"/>
    </row>
    <row r="167" ht="15.75" customHeight="1">
      <c r="A167" s="709"/>
      <c r="B167" s="709"/>
      <c r="C167" s="709"/>
      <c r="D167" s="709"/>
      <c r="E167" s="709"/>
      <c r="F167" s="709"/>
      <c r="G167" s="709"/>
      <c r="H167" s="709"/>
      <c r="I167" s="709"/>
      <c r="J167" s="709"/>
      <c r="K167" s="709"/>
      <c r="L167" s="709"/>
    </row>
    <row r="168" ht="15.75" customHeight="1">
      <c r="A168" s="709"/>
      <c r="B168" s="709"/>
      <c r="C168" s="709"/>
      <c r="D168" s="709"/>
      <c r="E168" s="709"/>
      <c r="F168" s="709"/>
      <c r="G168" s="709"/>
      <c r="H168" s="709"/>
      <c r="I168" s="709"/>
      <c r="J168" s="709"/>
      <c r="K168" s="709"/>
      <c r="L168" s="709"/>
    </row>
    <row r="169" ht="15.75" customHeight="1">
      <c r="A169" s="709"/>
      <c r="B169" s="709"/>
      <c r="C169" s="709"/>
      <c r="D169" s="709"/>
      <c r="E169" s="709"/>
      <c r="F169" s="709"/>
      <c r="G169" s="709"/>
      <c r="H169" s="709"/>
      <c r="I169" s="709"/>
      <c r="J169" s="709"/>
      <c r="K169" s="709"/>
      <c r="L169" s="709"/>
    </row>
    <row r="170" ht="15.75" customHeight="1">
      <c r="A170" s="709"/>
      <c r="B170" s="709"/>
      <c r="C170" s="709"/>
      <c r="D170" s="709"/>
      <c r="E170" s="709"/>
      <c r="F170" s="709"/>
      <c r="G170" s="709"/>
      <c r="H170" s="709"/>
      <c r="I170" s="709"/>
      <c r="J170" s="709"/>
      <c r="K170" s="709"/>
      <c r="L170" s="709"/>
    </row>
    <row r="171" ht="15.75" customHeight="1">
      <c r="A171" s="709"/>
      <c r="B171" s="709"/>
      <c r="C171" s="709"/>
      <c r="D171" s="709"/>
      <c r="E171" s="709"/>
      <c r="F171" s="709"/>
      <c r="G171" s="709"/>
      <c r="H171" s="709"/>
      <c r="I171" s="709"/>
      <c r="J171" s="709"/>
      <c r="K171" s="709"/>
      <c r="L171" s="709"/>
    </row>
    <row r="172" ht="15.75" customHeight="1">
      <c r="A172" s="709"/>
      <c r="B172" s="709"/>
      <c r="C172" s="709"/>
      <c r="D172" s="709"/>
      <c r="E172" s="709"/>
      <c r="F172" s="709"/>
      <c r="G172" s="709"/>
      <c r="H172" s="709"/>
      <c r="I172" s="709"/>
      <c r="J172" s="709"/>
      <c r="K172" s="709"/>
      <c r="L172" s="709"/>
    </row>
    <row r="173" ht="15.75" customHeight="1">
      <c r="A173" s="709"/>
      <c r="B173" s="709"/>
      <c r="C173" s="709"/>
      <c r="D173" s="709"/>
      <c r="E173" s="709"/>
      <c r="F173" s="709"/>
      <c r="G173" s="709"/>
      <c r="H173" s="709"/>
      <c r="I173" s="709"/>
      <c r="J173" s="709"/>
      <c r="K173" s="709"/>
      <c r="L173" s="709"/>
    </row>
    <row r="174" ht="15.75" customHeight="1">
      <c r="A174" s="709"/>
      <c r="B174" s="709"/>
      <c r="C174" s="709"/>
      <c r="D174" s="709"/>
      <c r="E174" s="709"/>
      <c r="F174" s="709"/>
      <c r="G174" s="709"/>
      <c r="H174" s="709"/>
      <c r="I174" s="709"/>
      <c r="J174" s="709"/>
      <c r="K174" s="709"/>
      <c r="L174" s="709"/>
    </row>
    <row r="175" ht="15.75" customHeight="1">
      <c r="A175" s="709"/>
      <c r="B175" s="709"/>
      <c r="C175" s="709"/>
      <c r="D175" s="709"/>
      <c r="E175" s="709"/>
      <c r="F175" s="709"/>
      <c r="G175" s="709"/>
      <c r="H175" s="709"/>
      <c r="I175" s="709"/>
      <c r="J175" s="709"/>
      <c r="K175" s="709"/>
      <c r="L175" s="709"/>
    </row>
    <row r="176" ht="15.75" customHeight="1">
      <c r="A176" s="709"/>
      <c r="B176" s="709"/>
      <c r="C176" s="709"/>
      <c r="D176" s="709"/>
      <c r="E176" s="709"/>
      <c r="F176" s="709"/>
      <c r="G176" s="709"/>
      <c r="H176" s="709"/>
      <c r="I176" s="709"/>
      <c r="J176" s="709"/>
      <c r="K176" s="709"/>
      <c r="L176" s="709"/>
    </row>
    <row r="177" ht="15.75" customHeight="1">
      <c r="A177" s="709"/>
      <c r="B177" s="709"/>
      <c r="C177" s="709"/>
      <c r="D177" s="709"/>
      <c r="E177" s="709"/>
      <c r="F177" s="709"/>
      <c r="G177" s="709"/>
      <c r="H177" s="709"/>
      <c r="I177" s="709"/>
      <c r="J177" s="709"/>
      <c r="K177" s="709"/>
      <c r="L177" s="709"/>
    </row>
    <row r="178" ht="15.75" customHeight="1">
      <c r="A178" s="709"/>
      <c r="B178" s="709"/>
      <c r="C178" s="709"/>
      <c r="D178" s="709"/>
      <c r="E178" s="709"/>
      <c r="F178" s="709"/>
      <c r="G178" s="709"/>
      <c r="H178" s="709"/>
      <c r="I178" s="709"/>
      <c r="J178" s="709"/>
      <c r="K178" s="709"/>
      <c r="L178" s="709"/>
    </row>
    <row r="179" ht="15.75" customHeight="1">
      <c r="A179" s="709"/>
      <c r="B179" s="709"/>
      <c r="C179" s="709"/>
      <c r="D179" s="709"/>
      <c r="E179" s="709"/>
      <c r="F179" s="709"/>
      <c r="G179" s="709"/>
      <c r="H179" s="709"/>
      <c r="I179" s="709"/>
      <c r="J179" s="709"/>
      <c r="K179" s="709"/>
      <c r="L179" s="709"/>
    </row>
    <row r="180" ht="15.75" customHeight="1">
      <c r="A180" s="709"/>
      <c r="B180" s="709"/>
      <c r="C180" s="709"/>
      <c r="D180" s="709"/>
      <c r="E180" s="709"/>
      <c r="F180" s="709"/>
      <c r="G180" s="709"/>
      <c r="H180" s="709"/>
      <c r="I180" s="709"/>
      <c r="J180" s="709"/>
      <c r="K180" s="709"/>
      <c r="L180" s="709"/>
    </row>
    <row r="181" ht="15.75" customHeight="1">
      <c r="A181" s="709"/>
      <c r="B181" s="709"/>
      <c r="C181" s="709"/>
      <c r="D181" s="709"/>
      <c r="E181" s="709"/>
      <c r="F181" s="709"/>
      <c r="G181" s="709"/>
      <c r="H181" s="709"/>
      <c r="I181" s="709"/>
      <c r="J181" s="709"/>
      <c r="K181" s="709"/>
      <c r="L181" s="709"/>
    </row>
    <row r="182" ht="15.75" customHeight="1">
      <c r="A182" s="709"/>
      <c r="B182" s="709"/>
      <c r="C182" s="709"/>
      <c r="D182" s="709"/>
      <c r="E182" s="709"/>
      <c r="F182" s="709"/>
      <c r="G182" s="709"/>
      <c r="H182" s="709"/>
      <c r="I182" s="709"/>
      <c r="J182" s="709"/>
      <c r="K182" s="709"/>
      <c r="L182" s="709"/>
    </row>
    <row r="183" ht="15.75" customHeight="1">
      <c r="A183" s="709"/>
      <c r="B183" s="709"/>
      <c r="C183" s="709"/>
      <c r="D183" s="709"/>
      <c r="E183" s="709"/>
      <c r="F183" s="709"/>
      <c r="G183" s="709"/>
      <c r="H183" s="709"/>
      <c r="I183" s="709"/>
      <c r="J183" s="709"/>
      <c r="K183" s="709"/>
      <c r="L183" s="709"/>
    </row>
    <row r="184" ht="15.75" customHeight="1">
      <c r="A184" s="709"/>
      <c r="B184" s="709"/>
      <c r="C184" s="709"/>
      <c r="D184" s="709"/>
      <c r="E184" s="709"/>
      <c r="F184" s="709"/>
      <c r="G184" s="709"/>
      <c r="H184" s="709"/>
      <c r="I184" s="709"/>
      <c r="J184" s="709"/>
      <c r="K184" s="709"/>
      <c r="L184" s="709"/>
    </row>
    <row r="185" ht="15.75" customHeight="1">
      <c r="A185" s="709"/>
      <c r="B185" s="709"/>
      <c r="C185" s="709"/>
      <c r="D185" s="709"/>
      <c r="E185" s="709"/>
      <c r="F185" s="709"/>
      <c r="G185" s="709"/>
      <c r="H185" s="709"/>
      <c r="I185" s="709"/>
      <c r="J185" s="709"/>
      <c r="K185" s="709"/>
      <c r="L185" s="709"/>
    </row>
    <row r="186" ht="15.75" customHeight="1">
      <c r="A186" s="709"/>
      <c r="B186" s="709"/>
      <c r="C186" s="709"/>
      <c r="D186" s="709"/>
      <c r="E186" s="709"/>
      <c r="F186" s="709"/>
      <c r="G186" s="709"/>
      <c r="H186" s="709"/>
      <c r="I186" s="709"/>
      <c r="J186" s="709"/>
      <c r="K186" s="709"/>
      <c r="L186" s="709"/>
    </row>
    <row r="187" ht="15.75" customHeight="1">
      <c r="A187" s="709"/>
      <c r="B187" s="709"/>
      <c r="C187" s="709"/>
      <c r="D187" s="709"/>
      <c r="E187" s="709"/>
      <c r="F187" s="709"/>
      <c r="G187" s="709"/>
      <c r="H187" s="709"/>
      <c r="I187" s="709"/>
      <c r="J187" s="709"/>
      <c r="K187" s="709"/>
      <c r="L187" s="709"/>
    </row>
    <row r="188" ht="15.75" customHeight="1">
      <c r="A188" s="709"/>
      <c r="B188" s="709"/>
      <c r="C188" s="709"/>
      <c r="D188" s="709"/>
      <c r="E188" s="709"/>
      <c r="F188" s="709"/>
      <c r="G188" s="709"/>
      <c r="H188" s="709"/>
      <c r="I188" s="709"/>
      <c r="J188" s="709"/>
      <c r="K188" s="709"/>
      <c r="L188" s="709"/>
    </row>
    <row r="189" ht="15.75" customHeight="1">
      <c r="A189" s="709"/>
      <c r="B189" s="709"/>
      <c r="C189" s="709"/>
      <c r="D189" s="709"/>
      <c r="E189" s="709"/>
      <c r="F189" s="709"/>
      <c r="G189" s="709"/>
      <c r="H189" s="709"/>
      <c r="I189" s="709"/>
      <c r="J189" s="709"/>
      <c r="K189" s="709"/>
      <c r="L189" s="709"/>
    </row>
    <row r="190" ht="15.75" customHeight="1">
      <c r="A190" s="709"/>
      <c r="B190" s="709"/>
      <c r="C190" s="709"/>
      <c r="D190" s="709"/>
      <c r="E190" s="709"/>
      <c r="F190" s="709"/>
      <c r="G190" s="709"/>
      <c r="H190" s="709"/>
      <c r="I190" s="709"/>
      <c r="J190" s="709"/>
      <c r="K190" s="709"/>
      <c r="L190" s="709"/>
    </row>
    <row r="191" ht="15.75" customHeight="1">
      <c r="A191" s="709"/>
      <c r="B191" s="709"/>
      <c r="C191" s="709"/>
      <c r="D191" s="709"/>
      <c r="E191" s="709"/>
      <c r="F191" s="709"/>
      <c r="G191" s="709"/>
      <c r="H191" s="709"/>
      <c r="I191" s="709"/>
      <c r="J191" s="709"/>
      <c r="K191" s="709"/>
      <c r="L191" s="709"/>
    </row>
    <row r="192" ht="15.75" customHeight="1">
      <c r="A192" s="709"/>
      <c r="B192" s="709"/>
      <c r="C192" s="709"/>
      <c r="D192" s="709"/>
      <c r="E192" s="709"/>
      <c r="F192" s="709"/>
      <c r="G192" s="709"/>
      <c r="H192" s="709"/>
      <c r="I192" s="709"/>
      <c r="J192" s="709"/>
      <c r="K192" s="709"/>
      <c r="L192" s="709"/>
    </row>
    <row r="193" ht="15.75" customHeight="1">
      <c r="A193" s="709"/>
      <c r="B193" s="709"/>
      <c r="C193" s="709"/>
      <c r="D193" s="709"/>
      <c r="E193" s="709"/>
      <c r="F193" s="709"/>
      <c r="G193" s="709"/>
      <c r="H193" s="709"/>
      <c r="I193" s="709"/>
      <c r="J193" s="709"/>
      <c r="K193" s="709"/>
      <c r="L193" s="709"/>
    </row>
    <row r="194" ht="15.75" customHeight="1">
      <c r="A194" s="709"/>
      <c r="B194" s="709"/>
      <c r="C194" s="709"/>
      <c r="D194" s="709"/>
      <c r="E194" s="709"/>
      <c r="F194" s="709"/>
      <c r="G194" s="709"/>
      <c r="H194" s="709"/>
      <c r="I194" s="709"/>
      <c r="J194" s="709"/>
      <c r="K194" s="709"/>
      <c r="L194" s="709"/>
    </row>
    <row r="195" ht="15.75" customHeight="1">
      <c r="A195" s="709"/>
      <c r="B195" s="709"/>
      <c r="C195" s="709"/>
      <c r="D195" s="709"/>
      <c r="E195" s="709"/>
      <c r="F195" s="709"/>
      <c r="G195" s="709"/>
      <c r="H195" s="709"/>
      <c r="I195" s="709"/>
      <c r="J195" s="709"/>
      <c r="K195" s="709"/>
      <c r="L195" s="709"/>
    </row>
    <row r="196" ht="15.75" customHeight="1">
      <c r="A196" s="709"/>
      <c r="B196" s="709"/>
      <c r="C196" s="709"/>
      <c r="D196" s="709"/>
      <c r="E196" s="709"/>
      <c r="F196" s="709"/>
      <c r="G196" s="709"/>
      <c r="H196" s="709"/>
      <c r="I196" s="709"/>
      <c r="J196" s="709"/>
      <c r="K196" s="709"/>
      <c r="L196" s="709"/>
    </row>
    <row r="197" ht="15.75" customHeight="1">
      <c r="A197" s="709"/>
      <c r="B197" s="709"/>
      <c r="C197" s="709"/>
      <c r="D197" s="709"/>
      <c r="E197" s="709"/>
      <c r="F197" s="709"/>
      <c r="G197" s="709"/>
      <c r="H197" s="709"/>
      <c r="I197" s="709"/>
      <c r="J197" s="709"/>
      <c r="K197" s="709"/>
      <c r="L197" s="709"/>
    </row>
    <row r="198" ht="15.75" customHeight="1">
      <c r="A198" s="709"/>
      <c r="B198" s="709"/>
      <c r="C198" s="709"/>
      <c r="D198" s="709"/>
      <c r="E198" s="709"/>
      <c r="F198" s="709"/>
      <c r="G198" s="709"/>
      <c r="H198" s="709"/>
      <c r="I198" s="709"/>
      <c r="J198" s="709"/>
      <c r="K198" s="709"/>
      <c r="L198" s="709"/>
    </row>
    <row r="199" ht="15.75" customHeight="1">
      <c r="A199" s="709"/>
      <c r="B199" s="709"/>
      <c r="C199" s="709"/>
      <c r="D199" s="709"/>
      <c r="E199" s="709"/>
      <c r="F199" s="709"/>
      <c r="G199" s="709"/>
      <c r="H199" s="709"/>
      <c r="I199" s="709"/>
      <c r="J199" s="709"/>
      <c r="K199" s="709"/>
      <c r="L199" s="709"/>
    </row>
    <row r="200" ht="15.75" customHeight="1">
      <c r="A200" s="709"/>
      <c r="B200" s="709"/>
      <c r="C200" s="709"/>
      <c r="D200" s="709"/>
      <c r="E200" s="709"/>
      <c r="F200" s="709"/>
      <c r="G200" s="709"/>
      <c r="H200" s="709"/>
      <c r="I200" s="709"/>
      <c r="J200" s="709"/>
      <c r="K200" s="709"/>
      <c r="L200" s="709"/>
    </row>
    <row r="201" ht="15.75" customHeight="1">
      <c r="A201" s="709"/>
      <c r="B201" s="709"/>
      <c r="C201" s="709"/>
      <c r="D201" s="709"/>
      <c r="E201" s="709"/>
      <c r="F201" s="709"/>
      <c r="G201" s="709"/>
      <c r="H201" s="709"/>
      <c r="I201" s="709"/>
      <c r="J201" s="709"/>
      <c r="K201" s="709"/>
      <c r="L201" s="709"/>
    </row>
    <row r="202" ht="15.75" customHeight="1">
      <c r="A202" s="709"/>
      <c r="B202" s="709"/>
      <c r="C202" s="709"/>
      <c r="D202" s="709"/>
      <c r="E202" s="709"/>
      <c r="F202" s="709"/>
      <c r="G202" s="709"/>
      <c r="H202" s="709"/>
      <c r="I202" s="709"/>
      <c r="J202" s="709"/>
      <c r="K202" s="709"/>
      <c r="L202" s="709"/>
    </row>
    <row r="203" ht="15.75" customHeight="1">
      <c r="A203" s="709"/>
      <c r="B203" s="709"/>
      <c r="C203" s="709"/>
      <c r="D203" s="709"/>
      <c r="E203" s="709"/>
      <c r="F203" s="709"/>
      <c r="G203" s="709"/>
      <c r="H203" s="709"/>
      <c r="I203" s="709"/>
      <c r="J203" s="709"/>
      <c r="K203" s="709"/>
      <c r="L203" s="709"/>
    </row>
    <row r="204" ht="15.75" customHeight="1">
      <c r="A204" s="709"/>
      <c r="B204" s="709"/>
      <c r="C204" s="709"/>
      <c r="D204" s="709"/>
      <c r="E204" s="709"/>
      <c r="F204" s="709"/>
      <c r="G204" s="709"/>
      <c r="H204" s="709"/>
      <c r="I204" s="709"/>
      <c r="J204" s="709"/>
      <c r="K204" s="709"/>
      <c r="L204" s="709"/>
    </row>
    <row r="205" ht="15.75" customHeight="1">
      <c r="A205" s="709"/>
      <c r="B205" s="709"/>
      <c r="C205" s="709"/>
      <c r="D205" s="709"/>
      <c r="E205" s="709"/>
      <c r="F205" s="709"/>
      <c r="G205" s="709"/>
      <c r="H205" s="709"/>
      <c r="I205" s="709"/>
      <c r="J205" s="709"/>
      <c r="K205" s="709"/>
      <c r="L205" s="709"/>
    </row>
    <row r="206" ht="15.75" customHeight="1">
      <c r="A206" s="709"/>
      <c r="B206" s="709"/>
      <c r="C206" s="709"/>
      <c r="D206" s="709"/>
      <c r="E206" s="709"/>
      <c r="F206" s="709"/>
      <c r="G206" s="709"/>
      <c r="H206" s="709"/>
      <c r="I206" s="709"/>
      <c r="J206" s="709"/>
      <c r="K206" s="709"/>
      <c r="L206" s="709"/>
    </row>
    <row r="207" ht="15.75" customHeight="1">
      <c r="A207" s="709"/>
      <c r="B207" s="709"/>
      <c r="C207" s="709"/>
      <c r="D207" s="709"/>
      <c r="E207" s="709"/>
      <c r="F207" s="709"/>
      <c r="G207" s="709"/>
      <c r="H207" s="709"/>
      <c r="I207" s="709"/>
      <c r="J207" s="709"/>
      <c r="K207" s="709"/>
      <c r="L207" s="709"/>
    </row>
    <row r="208" ht="15.75" customHeight="1">
      <c r="A208" s="709"/>
      <c r="B208" s="709"/>
      <c r="C208" s="709"/>
      <c r="D208" s="709"/>
      <c r="E208" s="709"/>
      <c r="F208" s="709"/>
      <c r="G208" s="709"/>
      <c r="H208" s="709"/>
      <c r="I208" s="709"/>
      <c r="J208" s="709"/>
      <c r="K208" s="709"/>
      <c r="L208" s="709"/>
    </row>
    <row r="209" ht="15.75" customHeight="1">
      <c r="A209" s="709"/>
      <c r="B209" s="709"/>
      <c r="C209" s="709"/>
      <c r="D209" s="709"/>
      <c r="E209" s="709"/>
      <c r="F209" s="709"/>
      <c r="G209" s="709"/>
      <c r="H209" s="709"/>
      <c r="I209" s="709"/>
      <c r="J209" s="709"/>
      <c r="K209" s="709"/>
      <c r="L209" s="709"/>
    </row>
    <row r="210" ht="15.75" customHeight="1">
      <c r="A210" s="709"/>
      <c r="B210" s="709"/>
      <c r="C210" s="709"/>
      <c r="D210" s="709"/>
      <c r="E210" s="709"/>
      <c r="F210" s="709"/>
      <c r="G210" s="709"/>
      <c r="H210" s="709"/>
      <c r="I210" s="709"/>
      <c r="J210" s="709"/>
      <c r="K210" s="709"/>
      <c r="L210" s="709"/>
    </row>
    <row r="211" ht="15.75" customHeight="1">
      <c r="A211" s="709"/>
      <c r="B211" s="709"/>
      <c r="C211" s="709"/>
      <c r="D211" s="709"/>
      <c r="E211" s="709"/>
      <c r="F211" s="709"/>
      <c r="G211" s="709"/>
      <c r="H211" s="709"/>
      <c r="I211" s="709"/>
      <c r="J211" s="709"/>
      <c r="K211" s="709"/>
      <c r="L211" s="709"/>
    </row>
    <row r="212" ht="15.75" customHeight="1">
      <c r="A212" s="709"/>
      <c r="B212" s="709"/>
      <c r="C212" s="709"/>
      <c r="D212" s="709"/>
      <c r="E212" s="709"/>
      <c r="F212" s="709"/>
      <c r="G212" s="709"/>
      <c r="H212" s="709"/>
      <c r="I212" s="709"/>
      <c r="J212" s="709"/>
      <c r="K212" s="709"/>
      <c r="L212" s="709"/>
    </row>
    <row r="213" ht="15.75" customHeight="1">
      <c r="A213" s="709"/>
      <c r="B213" s="709"/>
      <c r="C213" s="709"/>
      <c r="D213" s="709"/>
      <c r="E213" s="709"/>
      <c r="F213" s="709"/>
      <c r="G213" s="709"/>
      <c r="H213" s="709"/>
      <c r="I213" s="709"/>
      <c r="J213" s="709"/>
      <c r="K213" s="709"/>
      <c r="L213" s="709"/>
    </row>
    <row r="214" ht="15.75" customHeight="1">
      <c r="A214" s="709"/>
      <c r="B214" s="709"/>
      <c r="C214" s="709"/>
      <c r="D214" s="709"/>
      <c r="E214" s="709"/>
      <c r="F214" s="709"/>
      <c r="G214" s="709"/>
      <c r="H214" s="709"/>
      <c r="I214" s="709"/>
      <c r="J214" s="709"/>
      <c r="K214" s="709"/>
      <c r="L214" s="709"/>
    </row>
    <row r="215" ht="15.75" customHeight="1">
      <c r="A215" s="709"/>
      <c r="B215" s="709"/>
      <c r="C215" s="709"/>
      <c r="D215" s="709"/>
      <c r="E215" s="709"/>
      <c r="F215" s="709"/>
      <c r="G215" s="709"/>
      <c r="H215" s="709"/>
      <c r="I215" s="709"/>
      <c r="J215" s="709"/>
      <c r="K215" s="709"/>
      <c r="L215" s="709"/>
    </row>
    <row r="216" ht="15.75" customHeight="1">
      <c r="A216" s="709"/>
      <c r="B216" s="709"/>
      <c r="C216" s="709"/>
      <c r="D216" s="709"/>
      <c r="E216" s="709"/>
      <c r="F216" s="709"/>
      <c r="G216" s="709"/>
      <c r="H216" s="709"/>
      <c r="I216" s="709"/>
      <c r="J216" s="709"/>
      <c r="K216" s="709"/>
      <c r="L216" s="709"/>
    </row>
    <row r="217" ht="15.75" customHeight="1">
      <c r="A217" s="709"/>
      <c r="B217" s="709"/>
      <c r="C217" s="709"/>
      <c r="D217" s="709"/>
      <c r="E217" s="709"/>
      <c r="F217" s="709"/>
      <c r="G217" s="709"/>
      <c r="H217" s="709"/>
      <c r="I217" s="709"/>
      <c r="J217" s="709"/>
      <c r="K217" s="709"/>
      <c r="L217" s="709"/>
    </row>
    <row r="218" ht="15.75" customHeight="1">
      <c r="A218" s="709"/>
      <c r="B218" s="709"/>
      <c r="C218" s="709"/>
      <c r="D218" s="709"/>
      <c r="E218" s="709"/>
      <c r="F218" s="709"/>
      <c r="G218" s="709"/>
      <c r="H218" s="709"/>
      <c r="I218" s="709"/>
      <c r="J218" s="709"/>
      <c r="K218" s="709"/>
      <c r="L218" s="709"/>
    </row>
    <row r="219" ht="15.75" customHeight="1">
      <c r="A219" s="709"/>
      <c r="B219" s="709"/>
      <c r="C219" s="709"/>
      <c r="D219" s="709"/>
      <c r="E219" s="709"/>
      <c r="F219" s="709"/>
      <c r="G219" s="709"/>
      <c r="H219" s="709"/>
      <c r="I219" s="709"/>
      <c r="J219" s="709"/>
      <c r="K219" s="709"/>
      <c r="L219" s="709"/>
    </row>
    <row r="220" ht="15.75" customHeight="1">
      <c r="A220" s="709"/>
      <c r="B220" s="709"/>
      <c r="C220" s="709"/>
      <c r="D220" s="709"/>
      <c r="E220" s="709"/>
      <c r="F220" s="709"/>
      <c r="G220" s="709"/>
      <c r="H220" s="709"/>
      <c r="I220" s="709"/>
      <c r="J220" s="709"/>
      <c r="K220" s="709"/>
      <c r="L220" s="709"/>
    </row>
    <row r="221" ht="15.75" customHeight="1">
      <c r="A221" s="709"/>
      <c r="B221" s="709"/>
      <c r="C221" s="709"/>
      <c r="D221" s="709"/>
      <c r="E221" s="709"/>
      <c r="F221" s="709"/>
      <c r="G221" s="709"/>
      <c r="H221" s="709"/>
      <c r="I221" s="709"/>
      <c r="J221" s="709"/>
      <c r="K221" s="709"/>
      <c r="L221" s="709"/>
    </row>
    <row r="222" ht="15.75" customHeight="1">
      <c r="A222" s="709"/>
      <c r="B222" s="709"/>
      <c r="C222" s="709"/>
      <c r="D222" s="709"/>
      <c r="E222" s="709"/>
      <c r="F222" s="709"/>
      <c r="G222" s="709"/>
      <c r="H222" s="709"/>
      <c r="I222" s="709"/>
      <c r="J222" s="709"/>
      <c r="K222" s="709"/>
      <c r="L222" s="709"/>
    </row>
    <row r="223" ht="15.75" customHeight="1">
      <c r="A223" s="709"/>
      <c r="B223" s="709"/>
      <c r="C223" s="709"/>
      <c r="D223" s="709"/>
      <c r="E223" s="709"/>
      <c r="F223" s="709"/>
      <c r="G223" s="709"/>
      <c r="H223" s="709"/>
      <c r="I223" s="709"/>
      <c r="J223" s="709"/>
      <c r="K223" s="709"/>
      <c r="L223" s="709"/>
    </row>
    <row r="224" ht="15.75" customHeight="1">
      <c r="A224" s="709"/>
      <c r="B224" s="709"/>
      <c r="C224" s="709"/>
      <c r="D224" s="709"/>
      <c r="E224" s="709"/>
      <c r="F224" s="709"/>
      <c r="G224" s="709"/>
      <c r="H224" s="709"/>
      <c r="I224" s="709"/>
      <c r="J224" s="709"/>
      <c r="K224" s="709"/>
      <c r="L224" s="709"/>
    </row>
    <row r="225" ht="15.75" customHeight="1">
      <c r="A225" s="709"/>
      <c r="B225" s="709"/>
      <c r="C225" s="709"/>
      <c r="D225" s="709"/>
      <c r="E225" s="709"/>
      <c r="F225" s="709"/>
      <c r="G225" s="709"/>
      <c r="H225" s="709"/>
      <c r="I225" s="709"/>
      <c r="J225" s="709"/>
      <c r="K225" s="709"/>
      <c r="L225" s="709"/>
    </row>
    <row r="226" ht="15.75" customHeight="1">
      <c r="A226" s="709"/>
      <c r="B226" s="709"/>
      <c r="C226" s="709"/>
      <c r="D226" s="709"/>
      <c r="E226" s="709"/>
      <c r="F226" s="709"/>
      <c r="G226" s="709"/>
      <c r="H226" s="709"/>
      <c r="I226" s="709"/>
      <c r="J226" s="709"/>
      <c r="K226" s="709"/>
      <c r="L226" s="709"/>
    </row>
    <row r="227" ht="15.75" customHeight="1">
      <c r="A227" s="709"/>
      <c r="B227" s="709"/>
      <c r="C227" s="709"/>
      <c r="D227" s="709"/>
      <c r="E227" s="709"/>
      <c r="F227" s="709"/>
      <c r="G227" s="709"/>
      <c r="H227" s="709"/>
      <c r="I227" s="709"/>
      <c r="J227" s="709"/>
      <c r="K227" s="709"/>
      <c r="L227" s="709"/>
    </row>
    <row r="228" ht="15.75" customHeight="1">
      <c r="A228" s="709"/>
      <c r="B228" s="709"/>
      <c r="C228" s="709"/>
      <c r="D228" s="709"/>
      <c r="E228" s="709"/>
      <c r="F228" s="709"/>
      <c r="G228" s="709"/>
      <c r="H228" s="709"/>
      <c r="I228" s="709"/>
      <c r="J228" s="709"/>
      <c r="K228" s="709"/>
      <c r="L228" s="709"/>
    </row>
    <row r="229" ht="15.75" customHeight="1">
      <c r="A229" s="709"/>
      <c r="B229" s="709"/>
      <c r="C229" s="709"/>
      <c r="D229" s="709"/>
      <c r="E229" s="709"/>
      <c r="F229" s="709"/>
      <c r="G229" s="709"/>
      <c r="H229" s="709"/>
      <c r="I229" s="709"/>
      <c r="J229" s="709"/>
      <c r="K229" s="709"/>
      <c r="L229" s="709"/>
    </row>
    <row r="230" ht="15.75" customHeight="1">
      <c r="A230" s="709"/>
      <c r="B230" s="709"/>
      <c r="C230" s="709"/>
      <c r="D230" s="709"/>
      <c r="E230" s="709"/>
      <c r="F230" s="709"/>
      <c r="G230" s="709"/>
      <c r="H230" s="709"/>
      <c r="I230" s="709"/>
      <c r="J230" s="709"/>
      <c r="K230" s="709"/>
      <c r="L230" s="709"/>
    </row>
    <row r="231" ht="15.75" customHeight="1">
      <c r="A231" s="709"/>
      <c r="B231" s="709"/>
      <c r="C231" s="709"/>
      <c r="D231" s="709"/>
      <c r="E231" s="709"/>
      <c r="F231" s="709"/>
      <c r="G231" s="709"/>
      <c r="H231" s="709"/>
      <c r="I231" s="709"/>
      <c r="J231" s="709"/>
      <c r="K231" s="709"/>
      <c r="L231" s="709"/>
    </row>
    <row r="232" ht="15.75" customHeight="1">
      <c r="A232" s="709"/>
      <c r="B232" s="709"/>
      <c r="C232" s="709"/>
      <c r="D232" s="709"/>
      <c r="E232" s="709"/>
      <c r="F232" s="709"/>
      <c r="G232" s="709"/>
      <c r="H232" s="709"/>
      <c r="I232" s="709"/>
      <c r="J232" s="709"/>
      <c r="K232" s="709"/>
      <c r="L232" s="709"/>
    </row>
    <row r="233" ht="15.75" customHeight="1">
      <c r="A233" s="709"/>
      <c r="B233" s="709"/>
      <c r="C233" s="709"/>
      <c r="D233" s="709"/>
      <c r="E233" s="709"/>
      <c r="F233" s="709"/>
      <c r="G233" s="709"/>
      <c r="H233" s="709"/>
      <c r="I233" s="709"/>
      <c r="J233" s="709"/>
      <c r="K233" s="709"/>
      <c r="L233" s="709"/>
    </row>
    <row r="234" ht="15.75" customHeight="1">
      <c r="A234" s="709"/>
      <c r="B234" s="709"/>
      <c r="C234" s="709"/>
      <c r="D234" s="709"/>
      <c r="E234" s="709"/>
      <c r="F234" s="709"/>
      <c r="G234" s="709"/>
      <c r="H234" s="709"/>
      <c r="I234" s="709"/>
      <c r="J234" s="709"/>
      <c r="K234" s="709"/>
      <c r="L234" s="709"/>
    </row>
    <row r="235" ht="15.75" customHeight="1">
      <c r="A235" s="709"/>
      <c r="B235" s="709"/>
      <c r="C235" s="709"/>
      <c r="D235" s="709"/>
      <c r="E235" s="709"/>
      <c r="F235" s="709"/>
      <c r="G235" s="709"/>
      <c r="H235" s="709"/>
      <c r="I235" s="709"/>
      <c r="J235" s="709"/>
      <c r="K235" s="709"/>
      <c r="L235" s="709"/>
    </row>
    <row r="236" ht="15.75" customHeight="1">
      <c r="A236" s="709"/>
      <c r="B236" s="709"/>
      <c r="C236" s="709"/>
      <c r="D236" s="709"/>
      <c r="E236" s="709"/>
      <c r="F236" s="709"/>
      <c r="G236" s="709"/>
      <c r="H236" s="709"/>
      <c r="I236" s="709"/>
      <c r="J236" s="709"/>
      <c r="K236" s="709"/>
      <c r="L236" s="709"/>
    </row>
    <row r="237" ht="15.75" customHeight="1">
      <c r="A237" s="709"/>
      <c r="B237" s="709"/>
      <c r="C237" s="709"/>
      <c r="D237" s="709"/>
      <c r="E237" s="709"/>
      <c r="F237" s="709"/>
      <c r="G237" s="709"/>
      <c r="H237" s="709"/>
      <c r="I237" s="709"/>
      <c r="J237" s="709"/>
      <c r="K237" s="709"/>
      <c r="L237" s="709"/>
    </row>
    <row r="238" ht="15.75" customHeight="1">
      <c r="A238" s="709"/>
      <c r="B238" s="709"/>
      <c r="C238" s="709"/>
      <c r="D238" s="709"/>
      <c r="E238" s="709"/>
      <c r="F238" s="709"/>
      <c r="G238" s="709"/>
      <c r="H238" s="709"/>
      <c r="I238" s="709"/>
      <c r="J238" s="709"/>
      <c r="K238" s="709"/>
      <c r="L238" s="709"/>
    </row>
    <row r="239" ht="15.75" customHeight="1">
      <c r="A239" s="709"/>
      <c r="B239" s="709"/>
      <c r="C239" s="709"/>
      <c r="D239" s="709"/>
      <c r="E239" s="709"/>
      <c r="F239" s="709"/>
      <c r="G239" s="709"/>
      <c r="H239" s="709"/>
      <c r="I239" s="709"/>
      <c r="J239" s="709"/>
      <c r="K239" s="709"/>
      <c r="L239" s="709"/>
    </row>
    <row r="240" ht="15.75" customHeight="1">
      <c r="A240" s="709"/>
      <c r="B240" s="709"/>
      <c r="C240" s="709"/>
      <c r="D240" s="709"/>
      <c r="E240" s="709"/>
      <c r="F240" s="709"/>
      <c r="G240" s="709"/>
      <c r="H240" s="709"/>
      <c r="I240" s="709"/>
      <c r="J240" s="709"/>
      <c r="K240" s="709"/>
      <c r="L240" s="709"/>
    </row>
    <row r="241" ht="15.75" customHeight="1">
      <c r="A241" s="709"/>
      <c r="B241" s="709"/>
      <c r="C241" s="709"/>
      <c r="D241" s="709"/>
      <c r="E241" s="709"/>
      <c r="F241" s="709"/>
      <c r="G241" s="709"/>
      <c r="H241" s="709"/>
      <c r="I241" s="709"/>
      <c r="J241" s="709"/>
      <c r="K241" s="709"/>
      <c r="L241" s="709"/>
    </row>
    <row r="242" ht="15.75" customHeight="1">
      <c r="A242" s="709"/>
      <c r="B242" s="709"/>
      <c r="C242" s="709"/>
      <c r="D242" s="709"/>
      <c r="E242" s="709"/>
      <c r="F242" s="709"/>
      <c r="G242" s="709"/>
      <c r="H242" s="709"/>
      <c r="I242" s="709"/>
      <c r="J242" s="709"/>
      <c r="K242" s="709"/>
      <c r="L242" s="709"/>
    </row>
    <row r="243" ht="15.75" customHeight="1">
      <c r="A243" s="709"/>
      <c r="B243" s="709"/>
      <c r="C243" s="709"/>
      <c r="D243" s="709"/>
      <c r="E243" s="709"/>
      <c r="F243" s="709"/>
      <c r="G243" s="709"/>
      <c r="H243" s="709"/>
      <c r="I243" s="709"/>
      <c r="J243" s="709"/>
      <c r="K243" s="709"/>
      <c r="L243" s="709"/>
    </row>
    <row r="244" ht="15.75" customHeight="1">
      <c r="A244" s="709"/>
      <c r="B244" s="709"/>
      <c r="C244" s="709"/>
      <c r="D244" s="709"/>
      <c r="E244" s="709"/>
      <c r="F244" s="709"/>
      <c r="G244" s="709"/>
      <c r="H244" s="709"/>
      <c r="I244" s="709"/>
      <c r="J244" s="709"/>
      <c r="K244" s="709"/>
      <c r="L244" s="709"/>
    </row>
    <row r="245" ht="15.75" customHeight="1">
      <c r="A245" s="709"/>
      <c r="B245" s="709"/>
      <c r="C245" s="709"/>
      <c r="D245" s="709"/>
      <c r="E245" s="709"/>
      <c r="F245" s="709"/>
      <c r="G245" s="709"/>
      <c r="H245" s="709"/>
      <c r="I245" s="709"/>
      <c r="J245" s="709"/>
      <c r="K245" s="709"/>
      <c r="L245" s="709"/>
    </row>
    <row r="246" ht="15.75" customHeight="1">
      <c r="A246" s="709"/>
      <c r="B246" s="709"/>
      <c r="C246" s="709"/>
      <c r="D246" s="709"/>
      <c r="E246" s="709"/>
      <c r="F246" s="709"/>
      <c r="G246" s="709"/>
      <c r="H246" s="709"/>
      <c r="I246" s="709"/>
      <c r="J246" s="709"/>
      <c r="K246" s="709"/>
      <c r="L246" s="709"/>
    </row>
    <row r="247" ht="15.75" customHeight="1">
      <c r="A247" s="709"/>
      <c r="B247" s="709"/>
      <c r="C247" s="709"/>
      <c r="D247" s="709"/>
      <c r="E247" s="709"/>
      <c r="F247" s="709"/>
      <c r="G247" s="709"/>
      <c r="H247" s="709"/>
      <c r="I247" s="709"/>
      <c r="J247" s="709"/>
      <c r="K247" s="709"/>
      <c r="L247" s="709"/>
    </row>
    <row r="248" ht="15.75" customHeight="1">
      <c r="A248" s="709"/>
      <c r="B248" s="709"/>
      <c r="C248" s="709"/>
      <c r="D248" s="709"/>
      <c r="E248" s="709"/>
      <c r="F248" s="709"/>
      <c r="G248" s="709"/>
      <c r="H248" s="709"/>
      <c r="I248" s="709"/>
      <c r="J248" s="709"/>
      <c r="K248" s="709"/>
      <c r="L248" s="709"/>
    </row>
    <row r="249" ht="15.75" customHeight="1">
      <c r="A249" s="709"/>
      <c r="B249" s="709"/>
      <c r="C249" s="709"/>
      <c r="D249" s="709"/>
      <c r="E249" s="709"/>
      <c r="F249" s="709"/>
      <c r="G249" s="709"/>
      <c r="H249" s="709"/>
      <c r="I249" s="709"/>
      <c r="J249" s="709"/>
      <c r="K249" s="709"/>
      <c r="L249" s="709"/>
    </row>
    <row r="250" ht="15.75" customHeight="1">
      <c r="A250" s="709"/>
      <c r="B250" s="709"/>
      <c r="C250" s="709"/>
      <c r="D250" s="709"/>
      <c r="E250" s="709"/>
      <c r="F250" s="709"/>
      <c r="G250" s="709"/>
      <c r="H250" s="709"/>
      <c r="I250" s="709"/>
      <c r="J250" s="709"/>
      <c r="K250" s="709"/>
      <c r="L250" s="709"/>
    </row>
    <row r="251" ht="15.75" customHeight="1">
      <c r="A251" s="709"/>
      <c r="B251" s="709"/>
      <c r="C251" s="709"/>
      <c r="D251" s="709"/>
      <c r="E251" s="709"/>
      <c r="F251" s="709"/>
      <c r="G251" s="709"/>
      <c r="H251" s="709"/>
      <c r="I251" s="709"/>
      <c r="J251" s="709"/>
      <c r="K251" s="709"/>
      <c r="L251" s="709"/>
    </row>
    <row r="252" ht="15.75" customHeight="1">
      <c r="A252" s="709"/>
      <c r="B252" s="709"/>
      <c r="C252" s="709"/>
      <c r="D252" s="709"/>
      <c r="E252" s="709"/>
      <c r="F252" s="709"/>
      <c r="G252" s="709"/>
      <c r="H252" s="709"/>
      <c r="I252" s="709"/>
      <c r="J252" s="709"/>
      <c r="K252" s="709"/>
      <c r="L252" s="709"/>
    </row>
    <row r="253" ht="15.75" customHeight="1">
      <c r="A253" s="709"/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</row>
    <row r="254" ht="15.75" customHeight="1">
      <c r="A254" s="709"/>
      <c r="B254" s="709"/>
      <c r="C254" s="709"/>
      <c r="D254" s="709"/>
      <c r="E254" s="709"/>
      <c r="F254" s="709"/>
      <c r="G254" s="709"/>
      <c r="H254" s="709"/>
      <c r="I254" s="709"/>
      <c r="J254" s="709"/>
      <c r="K254" s="709"/>
      <c r="L254" s="709"/>
    </row>
    <row r="255" ht="15.75" customHeight="1">
      <c r="A255" s="709"/>
      <c r="B255" s="709"/>
      <c r="C255" s="709"/>
      <c r="D255" s="709"/>
      <c r="E255" s="709"/>
      <c r="F255" s="709"/>
      <c r="G255" s="709"/>
      <c r="H255" s="709"/>
      <c r="I255" s="709"/>
      <c r="J255" s="709"/>
      <c r="K255" s="709"/>
      <c r="L255" s="709"/>
    </row>
    <row r="256" ht="15.75" customHeight="1">
      <c r="A256" s="709"/>
      <c r="B256" s="709"/>
      <c r="C256" s="709"/>
      <c r="D256" s="709"/>
      <c r="E256" s="709"/>
      <c r="F256" s="709"/>
      <c r="G256" s="709"/>
      <c r="H256" s="709"/>
      <c r="I256" s="709"/>
      <c r="J256" s="709"/>
      <c r="K256" s="709"/>
      <c r="L256" s="709"/>
    </row>
    <row r="257" ht="15.75" customHeight="1">
      <c r="A257" s="709"/>
      <c r="B257" s="709"/>
      <c r="C257" s="709"/>
      <c r="D257" s="709"/>
      <c r="E257" s="709"/>
      <c r="F257" s="709"/>
      <c r="G257" s="709"/>
      <c r="H257" s="709"/>
      <c r="I257" s="709"/>
      <c r="J257" s="709"/>
      <c r="K257" s="709"/>
      <c r="L257" s="709"/>
    </row>
    <row r="258" ht="15.75" customHeight="1">
      <c r="A258" s="709"/>
      <c r="B258" s="709"/>
      <c r="C258" s="709"/>
      <c r="D258" s="709"/>
      <c r="E258" s="709"/>
      <c r="F258" s="709"/>
      <c r="G258" s="709"/>
      <c r="H258" s="709"/>
      <c r="I258" s="709"/>
      <c r="J258" s="709"/>
      <c r="K258" s="709"/>
      <c r="L258" s="709"/>
    </row>
    <row r="259" ht="15.75" customHeight="1">
      <c r="A259" s="709"/>
      <c r="B259" s="709"/>
      <c r="C259" s="709"/>
      <c r="D259" s="709"/>
      <c r="E259" s="709"/>
      <c r="F259" s="709"/>
      <c r="G259" s="709"/>
      <c r="H259" s="709"/>
      <c r="I259" s="709"/>
      <c r="J259" s="709"/>
      <c r="K259" s="709"/>
      <c r="L259" s="709"/>
    </row>
    <row r="260" ht="15.75" customHeight="1">
      <c r="A260" s="709"/>
      <c r="B260" s="709"/>
      <c r="C260" s="709"/>
      <c r="D260" s="709"/>
      <c r="E260" s="709"/>
      <c r="F260" s="709"/>
      <c r="G260" s="709"/>
      <c r="H260" s="709"/>
      <c r="I260" s="709"/>
      <c r="J260" s="709"/>
      <c r="K260" s="709"/>
      <c r="L260" s="709"/>
    </row>
    <row r="261" ht="15.75" customHeight="1">
      <c r="A261" s="709"/>
      <c r="B261" s="709"/>
      <c r="C261" s="709"/>
      <c r="D261" s="709"/>
      <c r="E261" s="709"/>
      <c r="F261" s="709"/>
      <c r="G261" s="709"/>
      <c r="H261" s="709"/>
      <c r="I261" s="709"/>
      <c r="J261" s="709"/>
      <c r="K261" s="709"/>
      <c r="L261" s="709"/>
    </row>
    <row r="262" ht="15.75" customHeight="1">
      <c r="A262" s="709"/>
      <c r="B262" s="709"/>
      <c r="C262" s="709"/>
      <c r="D262" s="709"/>
      <c r="E262" s="709"/>
      <c r="F262" s="709"/>
      <c r="G262" s="709"/>
      <c r="H262" s="709"/>
      <c r="I262" s="709"/>
      <c r="J262" s="709"/>
      <c r="K262" s="709"/>
      <c r="L262" s="709"/>
    </row>
    <row r="263" ht="15.75" customHeight="1">
      <c r="A263" s="709"/>
      <c r="B263" s="709"/>
      <c r="C263" s="709"/>
      <c r="D263" s="709"/>
      <c r="E263" s="709"/>
      <c r="F263" s="709"/>
      <c r="G263" s="709"/>
      <c r="H263" s="709"/>
      <c r="I263" s="709"/>
      <c r="J263" s="709"/>
      <c r="K263" s="709"/>
      <c r="L263" s="709"/>
    </row>
    <row r="264" ht="15.75" customHeight="1">
      <c r="A264" s="709"/>
      <c r="B264" s="709"/>
      <c r="C264" s="709"/>
      <c r="D264" s="709"/>
      <c r="E264" s="709"/>
      <c r="F264" s="709"/>
      <c r="G264" s="709"/>
      <c r="H264" s="709"/>
      <c r="I264" s="709"/>
      <c r="J264" s="709"/>
      <c r="K264" s="709"/>
      <c r="L264" s="709"/>
    </row>
    <row r="265" ht="15.75" customHeight="1">
      <c r="A265" s="709"/>
      <c r="B265" s="709"/>
      <c r="C265" s="709"/>
      <c r="D265" s="709"/>
      <c r="E265" s="709"/>
      <c r="F265" s="709"/>
      <c r="G265" s="709"/>
      <c r="H265" s="709"/>
      <c r="I265" s="709"/>
      <c r="J265" s="709"/>
      <c r="K265" s="709"/>
      <c r="L265" s="709"/>
    </row>
    <row r="266" ht="15.75" customHeight="1">
      <c r="A266" s="709"/>
      <c r="B266" s="709"/>
      <c r="C266" s="709"/>
      <c r="D266" s="709"/>
      <c r="E266" s="709"/>
      <c r="F266" s="709"/>
      <c r="G266" s="709"/>
      <c r="H266" s="709"/>
      <c r="I266" s="709"/>
      <c r="J266" s="709"/>
      <c r="K266" s="709"/>
      <c r="L266" s="709"/>
    </row>
    <row r="267" ht="15.75" customHeight="1">
      <c r="A267" s="709"/>
      <c r="B267" s="709"/>
      <c r="C267" s="709"/>
      <c r="D267" s="709"/>
      <c r="E267" s="709"/>
      <c r="F267" s="709"/>
      <c r="G267" s="709"/>
      <c r="H267" s="709"/>
      <c r="I267" s="709"/>
      <c r="J267" s="709"/>
      <c r="K267" s="709"/>
      <c r="L267" s="709"/>
    </row>
    <row r="268" ht="15.75" customHeight="1">
      <c r="A268" s="709"/>
      <c r="B268" s="709"/>
      <c r="C268" s="709"/>
      <c r="D268" s="709"/>
      <c r="E268" s="709"/>
      <c r="F268" s="709"/>
      <c r="G268" s="709"/>
      <c r="H268" s="709"/>
      <c r="I268" s="709"/>
      <c r="J268" s="709"/>
      <c r="K268" s="709"/>
      <c r="L268" s="709"/>
    </row>
    <row r="269" ht="15.75" customHeight="1">
      <c r="A269" s="709"/>
      <c r="B269" s="709"/>
      <c r="C269" s="709"/>
      <c r="D269" s="709"/>
      <c r="E269" s="709"/>
      <c r="F269" s="709"/>
      <c r="G269" s="709"/>
      <c r="H269" s="709"/>
      <c r="I269" s="709"/>
      <c r="J269" s="709"/>
      <c r="K269" s="709"/>
      <c r="L269" s="709"/>
    </row>
    <row r="270" ht="15.75" customHeight="1">
      <c r="A270" s="709"/>
      <c r="B270" s="709"/>
      <c r="C270" s="709"/>
      <c r="D270" s="709"/>
      <c r="E270" s="709"/>
      <c r="F270" s="709"/>
      <c r="G270" s="709"/>
      <c r="H270" s="709"/>
      <c r="I270" s="709"/>
      <c r="J270" s="709"/>
      <c r="K270" s="709"/>
      <c r="L270" s="709"/>
    </row>
    <row r="271" ht="15.75" customHeight="1">
      <c r="A271" s="709"/>
      <c r="B271" s="709"/>
      <c r="C271" s="709"/>
      <c r="D271" s="709"/>
      <c r="E271" s="709"/>
      <c r="F271" s="709"/>
      <c r="G271" s="709"/>
      <c r="H271" s="709"/>
      <c r="I271" s="709"/>
      <c r="J271" s="709"/>
      <c r="K271" s="709"/>
      <c r="L271" s="709"/>
    </row>
    <row r="272" ht="15.75" customHeight="1">
      <c r="A272" s="709"/>
      <c r="B272" s="709"/>
      <c r="C272" s="709"/>
      <c r="D272" s="709"/>
      <c r="E272" s="709"/>
      <c r="F272" s="709"/>
      <c r="G272" s="709"/>
      <c r="H272" s="709"/>
      <c r="I272" s="709"/>
      <c r="J272" s="709"/>
      <c r="K272" s="709"/>
      <c r="L272" s="709"/>
    </row>
    <row r="273" ht="15.75" customHeight="1">
      <c r="A273" s="709"/>
      <c r="B273" s="709"/>
      <c r="C273" s="709"/>
      <c r="D273" s="709"/>
      <c r="E273" s="709"/>
      <c r="F273" s="709"/>
      <c r="G273" s="709"/>
      <c r="H273" s="709"/>
      <c r="I273" s="709"/>
      <c r="J273" s="709"/>
      <c r="K273" s="709"/>
      <c r="L273" s="709"/>
    </row>
    <row r="274" ht="15.75" customHeight="1">
      <c r="A274" s="709"/>
      <c r="B274" s="709"/>
      <c r="C274" s="709"/>
      <c r="D274" s="709"/>
      <c r="E274" s="709"/>
      <c r="F274" s="709"/>
      <c r="G274" s="709"/>
      <c r="H274" s="709"/>
      <c r="I274" s="709"/>
      <c r="J274" s="709"/>
      <c r="K274" s="709"/>
      <c r="L274" s="709"/>
    </row>
    <row r="275" ht="15.75" customHeight="1">
      <c r="A275" s="709"/>
      <c r="B275" s="709"/>
      <c r="C275" s="709"/>
      <c r="D275" s="709"/>
      <c r="E275" s="709"/>
      <c r="F275" s="709"/>
      <c r="G275" s="709"/>
      <c r="H275" s="709"/>
      <c r="I275" s="709"/>
      <c r="J275" s="709"/>
      <c r="K275" s="709"/>
      <c r="L275" s="709"/>
    </row>
    <row r="276" ht="15.75" customHeight="1">
      <c r="A276" s="709"/>
      <c r="B276" s="709"/>
      <c r="C276" s="709"/>
      <c r="D276" s="709"/>
      <c r="E276" s="709"/>
      <c r="F276" s="709"/>
      <c r="G276" s="709"/>
      <c r="H276" s="709"/>
      <c r="I276" s="709"/>
      <c r="J276" s="709"/>
      <c r="K276" s="709"/>
      <c r="L276" s="709"/>
    </row>
    <row r="277" ht="15.75" customHeight="1">
      <c r="A277" s="709"/>
      <c r="B277" s="709"/>
      <c r="C277" s="709"/>
      <c r="D277" s="709"/>
      <c r="E277" s="709"/>
      <c r="F277" s="709"/>
      <c r="G277" s="709"/>
      <c r="H277" s="709"/>
      <c r="I277" s="709"/>
      <c r="J277" s="709"/>
      <c r="K277" s="709"/>
      <c r="L277" s="709"/>
    </row>
    <row r="278" ht="15.75" customHeight="1">
      <c r="A278" s="709"/>
      <c r="B278" s="709"/>
      <c r="C278" s="709"/>
      <c r="D278" s="709"/>
      <c r="E278" s="709"/>
      <c r="F278" s="709"/>
      <c r="G278" s="709"/>
      <c r="H278" s="709"/>
      <c r="I278" s="709"/>
      <c r="J278" s="709"/>
      <c r="K278" s="709"/>
      <c r="L278" s="709"/>
    </row>
    <row r="279" ht="15.75" customHeight="1">
      <c r="A279" s="709"/>
      <c r="B279" s="709"/>
      <c r="C279" s="709"/>
      <c r="D279" s="709"/>
      <c r="E279" s="709"/>
      <c r="F279" s="709"/>
      <c r="G279" s="709"/>
      <c r="H279" s="709"/>
      <c r="I279" s="709"/>
      <c r="J279" s="709"/>
      <c r="K279" s="709"/>
      <c r="L279" s="709"/>
    </row>
    <row r="280" ht="15.75" customHeight="1">
      <c r="A280" s="709"/>
      <c r="B280" s="709"/>
      <c r="C280" s="709"/>
      <c r="D280" s="709"/>
      <c r="E280" s="709"/>
      <c r="F280" s="709"/>
      <c r="G280" s="709"/>
      <c r="H280" s="709"/>
      <c r="I280" s="709"/>
      <c r="J280" s="709"/>
      <c r="K280" s="709"/>
      <c r="L280" s="709"/>
    </row>
    <row r="281" ht="15.75" customHeight="1">
      <c r="A281" s="709"/>
      <c r="B281" s="709"/>
      <c r="C281" s="709"/>
      <c r="D281" s="709"/>
      <c r="E281" s="709"/>
      <c r="F281" s="709"/>
      <c r="G281" s="709"/>
      <c r="H281" s="709"/>
      <c r="I281" s="709"/>
      <c r="J281" s="709"/>
      <c r="K281" s="709"/>
      <c r="L281" s="709"/>
    </row>
    <row r="282" ht="15.75" customHeight="1">
      <c r="A282" s="709"/>
      <c r="B282" s="709"/>
      <c r="C282" s="709"/>
      <c r="D282" s="709"/>
      <c r="E282" s="709"/>
      <c r="F282" s="709"/>
      <c r="G282" s="709"/>
      <c r="H282" s="709"/>
      <c r="I282" s="709"/>
      <c r="J282" s="709"/>
      <c r="K282" s="709"/>
      <c r="L282" s="709"/>
    </row>
    <row r="283" ht="15.75" customHeight="1">
      <c r="A283" s="709"/>
      <c r="B283" s="709"/>
      <c r="C283" s="709"/>
      <c r="D283" s="709"/>
      <c r="E283" s="709"/>
      <c r="F283" s="709"/>
      <c r="G283" s="709"/>
      <c r="H283" s="709"/>
      <c r="I283" s="709"/>
      <c r="J283" s="709"/>
      <c r="K283" s="709"/>
      <c r="L283" s="709"/>
    </row>
    <row r="284" ht="15.75" customHeight="1">
      <c r="A284" s="709"/>
      <c r="B284" s="709"/>
      <c r="C284" s="709"/>
      <c r="D284" s="709"/>
      <c r="E284" s="709"/>
      <c r="F284" s="709"/>
      <c r="G284" s="709"/>
      <c r="H284" s="709"/>
      <c r="I284" s="709"/>
      <c r="J284" s="709"/>
      <c r="K284" s="709"/>
      <c r="L284" s="709"/>
    </row>
    <row r="285" ht="15.75" customHeight="1">
      <c r="A285" s="709"/>
      <c r="B285" s="709"/>
      <c r="C285" s="709"/>
      <c r="D285" s="709"/>
      <c r="E285" s="709"/>
      <c r="F285" s="709"/>
      <c r="G285" s="709"/>
      <c r="H285" s="709"/>
      <c r="I285" s="709"/>
      <c r="J285" s="709"/>
      <c r="K285" s="709"/>
      <c r="L285" s="709"/>
    </row>
    <row r="286" ht="15.75" customHeight="1">
      <c r="A286" s="709"/>
      <c r="B286" s="709"/>
      <c r="C286" s="709"/>
      <c r="D286" s="709"/>
      <c r="E286" s="709"/>
      <c r="F286" s="709"/>
      <c r="G286" s="709"/>
      <c r="H286" s="709"/>
      <c r="I286" s="709"/>
      <c r="J286" s="709"/>
      <c r="K286" s="709"/>
      <c r="L286" s="709"/>
    </row>
    <row r="287" ht="15.75" customHeight="1">
      <c r="A287" s="709"/>
      <c r="B287" s="709"/>
      <c r="C287" s="709"/>
      <c r="D287" s="709"/>
      <c r="E287" s="709"/>
      <c r="F287" s="709"/>
      <c r="G287" s="709"/>
      <c r="H287" s="709"/>
      <c r="I287" s="709"/>
      <c r="J287" s="709"/>
      <c r="K287" s="709"/>
      <c r="L287" s="709"/>
    </row>
    <row r="288" ht="15.75" customHeight="1">
      <c r="A288" s="709"/>
      <c r="B288" s="709"/>
      <c r="C288" s="709"/>
      <c r="D288" s="709"/>
      <c r="E288" s="709"/>
      <c r="F288" s="709"/>
      <c r="G288" s="709"/>
      <c r="H288" s="709"/>
      <c r="I288" s="709"/>
      <c r="J288" s="709"/>
      <c r="K288" s="709"/>
      <c r="L288" s="709"/>
    </row>
    <row r="289" ht="15.75" customHeight="1">
      <c r="A289" s="709"/>
      <c r="B289" s="709"/>
      <c r="C289" s="709"/>
      <c r="D289" s="709"/>
      <c r="E289" s="709"/>
      <c r="F289" s="709"/>
      <c r="G289" s="709"/>
      <c r="H289" s="709"/>
      <c r="I289" s="709"/>
      <c r="J289" s="709"/>
      <c r="K289" s="709"/>
      <c r="L289" s="709"/>
    </row>
    <row r="290" ht="15.75" customHeight="1">
      <c r="A290" s="709"/>
      <c r="B290" s="709"/>
      <c r="C290" s="709"/>
      <c r="D290" s="709"/>
      <c r="E290" s="709"/>
      <c r="F290" s="709"/>
      <c r="G290" s="709"/>
      <c r="H290" s="709"/>
      <c r="I290" s="709"/>
      <c r="J290" s="709"/>
      <c r="K290" s="709"/>
      <c r="L290" s="709"/>
    </row>
    <row r="291" ht="15.75" customHeight="1">
      <c r="A291" s="709"/>
      <c r="B291" s="709"/>
      <c r="C291" s="709"/>
      <c r="D291" s="709"/>
      <c r="E291" s="709"/>
      <c r="F291" s="709"/>
      <c r="G291" s="709"/>
      <c r="H291" s="709"/>
      <c r="I291" s="709"/>
      <c r="J291" s="709"/>
      <c r="K291" s="709"/>
      <c r="L291" s="709"/>
    </row>
    <row r="292" ht="15.75" customHeight="1">
      <c r="A292" s="709"/>
      <c r="B292" s="709"/>
      <c r="C292" s="709"/>
      <c r="D292" s="709"/>
      <c r="E292" s="709"/>
      <c r="F292" s="709"/>
      <c r="G292" s="709"/>
      <c r="H292" s="709"/>
      <c r="I292" s="709"/>
      <c r="J292" s="709"/>
      <c r="K292" s="709"/>
      <c r="L292" s="709"/>
    </row>
    <row r="293" ht="15.75" customHeight="1">
      <c r="A293" s="709"/>
      <c r="B293" s="709"/>
      <c r="C293" s="709"/>
      <c r="D293" s="709"/>
      <c r="E293" s="709"/>
      <c r="F293" s="709"/>
      <c r="G293" s="709"/>
      <c r="H293" s="709"/>
      <c r="I293" s="709"/>
      <c r="J293" s="709"/>
      <c r="K293" s="709"/>
      <c r="L293" s="709"/>
    </row>
    <row r="294" ht="15.75" customHeight="1">
      <c r="A294" s="709"/>
      <c r="B294" s="709"/>
      <c r="C294" s="709"/>
      <c r="D294" s="709"/>
      <c r="E294" s="709"/>
      <c r="F294" s="709"/>
      <c r="G294" s="709"/>
      <c r="H294" s="709"/>
      <c r="I294" s="709"/>
      <c r="J294" s="709"/>
      <c r="K294" s="709"/>
      <c r="L294" s="709"/>
    </row>
    <row r="295" ht="15.75" customHeight="1">
      <c r="A295" s="709"/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</row>
    <row r="296" ht="15.75" customHeight="1">
      <c r="A296" s="709"/>
      <c r="B296" s="709"/>
      <c r="C296" s="709"/>
      <c r="D296" s="709"/>
      <c r="E296" s="709"/>
      <c r="F296" s="709"/>
      <c r="G296" s="709"/>
      <c r="H296" s="709"/>
      <c r="I296" s="709"/>
      <c r="J296" s="709"/>
      <c r="K296" s="709"/>
      <c r="L296" s="709"/>
    </row>
    <row r="297" ht="15.75" customHeight="1">
      <c r="A297" s="709"/>
      <c r="B297" s="709"/>
      <c r="C297" s="709"/>
      <c r="D297" s="709"/>
      <c r="E297" s="709"/>
      <c r="F297" s="709"/>
      <c r="G297" s="709"/>
      <c r="H297" s="709"/>
      <c r="I297" s="709"/>
      <c r="J297" s="709"/>
      <c r="K297" s="709"/>
      <c r="L297" s="709"/>
    </row>
    <row r="298" ht="15.75" customHeight="1">
      <c r="A298" s="709"/>
      <c r="B298" s="709"/>
      <c r="C298" s="709"/>
      <c r="D298" s="709"/>
      <c r="E298" s="709"/>
      <c r="F298" s="709"/>
      <c r="G298" s="709"/>
      <c r="H298" s="709"/>
      <c r="I298" s="709"/>
      <c r="J298" s="709"/>
      <c r="K298" s="709"/>
      <c r="L298" s="709"/>
    </row>
    <row r="299" ht="15.75" customHeight="1">
      <c r="A299" s="709"/>
      <c r="B299" s="709"/>
      <c r="C299" s="709"/>
      <c r="D299" s="709"/>
      <c r="E299" s="709"/>
      <c r="F299" s="709"/>
      <c r="G299" s="709"/>
      <c r="H299" s="709"/>
      <c r="I299" s="709"/>
      <c r="J299" s="709"/>
      <c r="K299" s="709"/>
      <c r="L299" s="709"/>
    </row>
    <row r="300" ht="15.75" customHeight="1">
      <c r="A300" s="709"/>
      <c r="B300" s="709"/>
      <c r="C300" s="709"/>
      <c r="D300" s="709"/>
      <c r="E300" s="709"/>
      <c r="F300" s="709"/>
      <c r="G300" s="709"/>
      <c r="H300" s="709"/>
      <c r="I300" s="709"/>
      <c r="J300" s="709"/>
      <c r="K300" s="709"/>
      <c r="L300" s="709"/>
    </row>
    <row r="301" ht="15.75" customHeight="1">
      <c r="A301" s="709"/>
      <c r="B301" s="709"/>
      <c r="C301" s="709"/>
      <c r="D301" s="709"/>
      <c r="E301" s="709"/>
      <c r="F301" s="709"/>
      <c r="G301" s="709"/>
      <c r="H301" s="709"/>
      <c r="I301" s="709"/>
      <c r="J301" s="709"/>
      <c r="K301" s="709"/>
      <c r="L301" s="709"/>
    </row>
    <row r="302" ht="15.75" customHeight="1">
      <c r="A302" s="709"/>
      <c r="B302" s="709"/>
      <c r="C302" s="709"/>
      <c r="D302" s="709"/>
      <c r="E302" s="709"/>
      <c r="F302" s="709"/>
      <c r="G302" s="709"/>
      <c r="H302" s="709"/>
      <c r="I302" s="709"/>
      <c r="J302" s="709"/>
      <c r="K302" s="709"/>
      <c r="L302" s="709"/>
    </row>
    <row r="303" ht="15.75" customHeight="1">
      <c r="A303" s="709"/>
      <c r="B303" s="709"/>
      <c r="C303" s="709"/>
      <c r="D303" s="709"/>
      <c r="E303" s="709"/>
      <c r="F303" s="709"/>
      <c r="G303" s="709"/>
      <c r="H303" s="709"/>
      <c r="I303" s="709"/>
      <c r="J303" s="709"/>
      <c r="K303" s="709"/>
      <c r="L303" s="709"/>
    </row>
    <row r="304" ht="15.75" customHeight="1">
      <c r="A304" s="709"/>
      <c r="B304" s="709"/>
      <c r="C304" s="709"/>
      <c r="D304" s="709"/>
      <c r="E304" s="709"/>
      <c r="F304" s="709"/>
      <c r="G304" s="709"/>
      <c r="H304" s="709"/>
      <c r="I304" s="709"/>
      <c r="J304" s="709"/>
      <c r="K304" s="709"/>
      <c r="L304" s="709"/>
    </row>
    <row r="305" ht="15.75" customHeight="1">
      <c r="A305" s="709"/>
      <c r="B305" s="709"/>
      <c r="C305" s="709"/>
      <c r="D305" s="709"/>
      <c r="E305" s="709"/>
      <c r="F305" s="709"/>
      <c r="G305" s="709"/>
      <c r="H305" s="709"/>
      <c r="I305" s="709"/>
      <c r="J305" s="709"/>
      <c r="K305" s="709"/>
      <c r="L305" s="709"/>
    </row>
    <row r="306" ht="15.75" customHeight="1">
      <c r="A306" s="709"/>
      <c r="B306" s="709"/>
      <c r="C306" s="709"/>
      <c r="D306" s="709"/>
      <c r="E306" s="709"/>
      <c r="F306" s="709"/>
      <c r="G306" s="709"/>
      <c r="H306" s="709"/>
      <c r="I306" s="709"/>
      <c r="J306" s="709"/>
      <c r="K306" s="709"/>
      <c r="L306" s="709"/>
    </row>
    <row r="307" ht="15.75" customHeight="1">
      <c r="A307" s="709"/>
      <c r="B307" s="709"/>
      <c r="C307" s="709"/>
      <c r="D307" s="709"/>
      <c r="E307" s="709"/>
      <c r="F307" s="709"/>
      <c r="G307" s="709"/>
      <c r="H307" s="709"/>
      <c r="I307" s="709"/>
      <c r="J307" s="709"/>
      <c r="K307" s="709"/>
      <c r="L307" s="709"/>
    </row>
    <row r="308" ht="15.75" customHeight="1">
      <c r="A308" s="709"/>
      <c r="B308" s="709"/>
      <c r="C308" s="709"/>
      <c r="D308" s="709"/>
      <c r="E308" s="709"/>
      <c r="F308" s="709"/>
      <c r="G308" s="709"/>
      <c r="H308" s="709"/>
      <c r="I308" s="709"/>
      <c r="J308" s="709"/>
      <c r="K308" s="709"/>
      <c r="L308" s="709"/>
    </row>
    <row r="309" ht="15.75" customHeight="1">
      <c r="A309" s="709"/>
      <c r="B309" s="709"/>
      <c r="C309" s="709"/>
      <c r="D309" s="709"/>
      <c r="E309" s="709"/>
      <c r="F309" s="709"/>
      <c r="G309" s="709"/>
      <c r="H309" s="709"/>
      <c r="I309" s="709"/>
      <c r="J309" s="709"/>
      <c r="K309" s="709"/>
      <c r="L309" s="709"/>
    </row>
    <row r="310" ht="15.75" customHeight="1">
      <c r="A310" s="709"/>
      <c r="B310" s="709"/>
      <c r="C310" s="709"/>
      <c r="D310" s="709"/>
      <c r="E310" s="709"/>
      <c r="F310" s="709"/>
      <c r="G310" s="709"/>
      <c r="H310" s="709"/>
      <c r="I310" s="709"/>
      <c r="J310" s="709"/>
      <c r="K310" s="709"/>
      <c r="L310" s="709"/>
    </row>
    <row r="311" ht="15.75" customHeight="1">
      <c r="A311" s="709"/>
      <c r="B311" s="709"/>
      <c r="C311" s="709"/>
      <c r="D311" s="709"/>
      <c r="E311" s="709"/>
      <c r="F311" s="709"/>
      <c r="G311" s="709"/>
      <c r="H311" s="709"/>
      <c r="I311" s="709"/>
      <c r="J311" s="709"/>
      <c r="K311" s="709"/>
      <c r="L311" s="709"/>
    </row>
    <row r="312" ht="15.75" customHeight="1">
      <c r="A312" s="709"/>
      <c r="B312" s="709"/>
      <c r="C312" s="709"/>
      <c r="D312" s="709"/>
      <c r="E312" s="709"/>
      <c r="F312" s="709"/>
      <c r="G312" s="709"/>
      <c r="H312" s="709"/>
      <c r="I312" s="709"/>
      <c r="J312" s="709"/>
      <c r="K312" s="709"/>
      <c r="L312" s="709"/>
    </row>
    <row r="313" ht="15.75" customHeight="1">
      <c r="A313" s="709"/>
      <c r="B313" s="709"/>
      <c r="C313" s="709"/>
      <c r="D313" s="709"/>
      <c r="E313" s="709"/>
      <c r="F313" s="709"/>
      <c r="G313" s="709"/>
      <c r="H313" s="709"/>
      <c r="I313" s="709"/>
      <c r="J313" s="709"/>
      <c r="K313" s="709"/>
      <c r="L313" s="709"/>
    </row>
    <row r="314" ht="15.75" customHeight="1">
      <c r="A314" s="709"/>
      <c r="B314" s="709"/>
      <c r="C314" s="709"/>
      <c r="D314" s="709"/>
      <c r="E314" s="709"/>
      <c r="F314" s="709"/>
      <c r="G314" s="709"/>
      <c r="H314" s="709"/>
      <c r="I314" s="709"/>
      <c r="J314" s="709"/>
      <c r="K314" s="709"/>
      <c r="L314" s="709"/>
    </row>
    <row r="315" ht="15.75" customHeight="1">
      <c r="A315" s="709"/>
      <c r="B315" s="709"/>
      <c r="C315" s="709"/>
      <c r="D315" s="709"/>
      <c r="E315" s="709"/>
      <c r="F315" s="709"/>
      <c r="G315" s="709"/>
      <c r="H315" s="709"/>
      <c r="I315" s="709"/>
      <c r="J315" s="709"/>
      <c r="K315" s="709"/>
      <c r="L315" s="709"/>
    </row>
    <row r="316" ht="15.75" customHeight="1">
      <c r="A316" s="709"/>
      <c r="B316" s="709"/>
      <c r="C316" s="709"/>
      <c r="D316" s="709"/>
      <c r="E316" s="709"/>
      <c r="F316" s="709"/>
      <c r="G316" s="709"/>
      <c r="H316" s="709"/>
      <c r="I316" s="709"/>
      <c r="J316" s="709"/>
      <c r="K316" s="709"/>
      <c r="L316" s="709"/>
    </row>
    <row r="317" ht="15.75" customHeight="1">
      <c r="A317" s="709"/>
      <c r="B317" s="709"/>
      <c r="C317" s="709"/>
      <c r="D317" s="709"/>
      <c r="E317" s="709"/>
      <c r="F317" s="709"/>
      <c r="G317" s="709"/>
      <c r="H317" s="709"/>
      <c r="I317" s="709"/>
      <c r="J317" s="709"/>
      <c r="K317" s="709"/>
      <c r="L317" s="709"/>
    </row>
    <row r="318" ht="15.75" customHeight="1">
      <c r="A318" s="709"/>
      <c r="B318" s="709"/>
      <c r="C318" s="709"/>
      <c r="D318" s="709"/>
      <c r="E318" s="709"/>
      <c r="F318" s="709"/>
      <c r="G318" s="709"/>
      <c r="H318" s="709"/>
      <c r="I318" s="709"/>
      <c r="J318" s="709"/>
      <c r="K318" s="709"/>
      <c r="L318" s="709"/>
    </row>
    <row r="319" ht="15.75" customHeight="1">
      <c r="A319" s="709"/>
      <c r="B319" s="709"/>
      <c r="C319" s="709"/>
      <c r="D319" s="709"/>
      <c r="E319" s="709"/>
      <c r="F319" s="709"/>
      <c r="G319" s="709"/>
      <c r="H319" s="709"/>
      <c r="I319" s="709"/>
      <c r="J319" s="709"/>
      <c r="K319" s="709"/>
      <c r="L319" s="709"/>
    </row>
    <row r="320" ht="15.75" customHeight="1">
      <c r="A320" s="709"/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</row>
    <row r="321" ht="15.75" customHeight="1">
      <c r="A321" s="709"/>
      <c r="B321" s="709"/>
      <c r="C321" s="709"/>
      <c r="D321" s="709"/>
      <c r="E321" s="709"/>
      <c r="F321" s="709"/>
      <c r="G321" s="709"/>
      <c r="H321" s="709"/>
      <c r="I321" s="709"/>
      <c r="J321" s="709"/>
      <c r="K321" s="709"/>
      <c r="L321" s="709"/>
    </row>
    <row r="322" ht="15.75" customHeight="1">
      <c r="A322" s="709"/>
      <c r="B322" s="709"/>
      <c r="C322" s="709"/>
      <c r="D322" s="709"/>
      <c r="E322" s="709"/>
      <c r="F322" s="709"/>
      <c r="G322" s="709"/>
      <c r="H322" s="709"/>
      <c r="I322" s="709"/>
      <c r="J322" s="709"/>
      <c r="K322" s="709"/>
      <c r="L322" s="709"/>
    </row>
    <row r="323" ht="15.75" customHeight="1">
      <c r="A323" s="709"/>
      <c r="B323" s="709"/>
      <c r="C323" s="709"/>
      <c r="D323" s="709"/>
      <c r="E323" s="709"/>
      <c r="F323" s="709"/>
      <c r="G323" s="709"/>
      <c r="H323" s="709"/>
      <c r="I323" s="709"/>
      <c r="J323" s="709"/>
      <c r="K323" s="709"/>
      <c r="L323" s="709"/>
    </row>
    <row r="324" ht="15.75" customHeight="1">
      <c r="A324" s="709"/>
      <c r="B324" s="709"/>
      <c r="C324" s="709"/>
      <c r="D324" s="709"/>
      <c r="E324" s="709"/>
      <c r="F324" s="709"/>
      <c r="G324" s="709"/>
      <c r="H324" s="709"/>
      <c r="I324" s="709"/>
      <c r="J324" s="709"/>
      <c r="K324" s="709"/>
      <c r="L324" s="709"/>
    </row>
    <row r="325" ht="15.75" customHeight="1">
      <c r="A325" s="709"/>
      <c r="B325" s="709"/>
      <c r="C325" s="709"/>
      <c r="D325" s="709"/>
      <c r="E325" s="709"/>
      <c r="F325" s="709"/>
      <c r="G325" s="709"/>
      <c r="H325" s="709"/>
      <c r="I325" s="709"/>
      <c r="J325" s="709"/>
      <c r="K325" s="709"/>
      <c r="L325" s="709"/>
    </row>
    <row r="326" ht="15.75" customHeight="1">
      <c r="A326" s="709"/>
      <c r="B326" s="709"/>
      <c r="C326" s="709"/>
      <c r="D326" s="709"/>
      <c r="E326" s="709"/>
      <c r="F326" s="709"/>
      <c r="G326" s="709"/>
      <c r="H326" s="709"/>
      <c r="I326" s="709"/>
      <c r="J326" s="709"/>
      <c r="K326" s="709"/>
      <c r="L326" s="709"/>
    </row>
    <row r="327" ht="15.75" customHeight="1">
      <c r="A327" s="709"/>
      <c r="B327" s="709"/>
      <c r="C327" s="709"/>
      <c r="D327" s="709"/>
      <c r="E327" s="709"/>
      <c r="F327" s="709"/>
      <c r="G327" s="709"/>
      <c r="H327" s="709"/>
      <c r="I327" s="709"/>
      <c r="J327" s="709"/>
      <c r="K327" s="709"/>
      <c r="L327" s="709"/>
    </row>
    <row r="328" ht="15.75" customHeight="1">
      <c r="A328" s="709"/>
      <c r="B328" s="709"/>
      <c r="C328" s="709"/>
      <c r="D328" s="709"/>
      <c r="E328" s="709"/>
      <c r="F328" s="709"/>
      <c r="G328" s="709"/>
      <c r="H328" s="709"/>
      <c r="I328" s="709"/>
      <c r="J328" s="709"/>
      <c r="K328" s="709"/>
      <c r="L328" s="709"/>
    </row>
    <row r="329" ht="15.75" customHeight="1">
      <c r="A329" s="709"/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</row>
    <row r="330" ht="15.75" customHeight="1">
      <c r="A330" s="709"/>
      <c r="B330" s="709"/>
      <c r="C330" s="709"/>
      <c r="D330" s="709"/>
      <c r="E330" s="709"/>
      <c r="F330" s="709"/>
      <c r="G330" s="709"/>
      <c r="H330" s="709"/>
      <c r="I330" s="709"/>
      <c r="J330" s="709"/>
      <c r="K330" s="709"/>
      <c r="L330" s="709"/>
    </row>
    <row r="331" ht="15.75" customHeight="1">
      <c r="A331" s="709"/>
      <c r="B331" s="709"/>
      <c r="C331" s="709"/>
      <c r="D331" s="709"/>
      <c r="E331" s="709"/>
      <c r="F331" s="709"/>
      <c r="G331" s="709"/>
      <c r="H331" s="709"/>
      <c r="I331" s="709"/>
      <c r="J331" s="709"/>
      <c r="K331" s="709"/>
      <c r="L331" s="709"/>
    </row>
    <row r="332" ht="15.75" customHeight="1">
      <c r="A332" s="709"/>
      <c r="B332" s="709"/>
      <c r="C332" s="709"/>
      <c r="D332" s="709"/>
      <c r="E332" s="709"/>
      <c r="F332" s="709"/>
      <c r="G332" s="709"/>
      <c r="H332" s="709"/>
      <c r="I332" s="709"/>
      <c r="J332" s="709"/>
      <c r="K332" s="709"/>
      <c r="L332" s="709"/>
    </row>
    <row r="333" ht="15.75" customHeight="1">
      <c r="A333" s="709"/>
      <c r="B333" s="709"/>
      <c r="C333" s="709"/>
      <c r="D333" s="709"/>
      <c r="E333" s="709"/>
      <c r="F333" s="709"/>
      <c r="G333" s="709"/>
      <c r="H333" s="709"/>
      <c r="I333" s="709"/>
      <c r="J333" s="709"/>
      <c r="K333" s="709"/>
      <c r="L333" s="709"/>
    </row>
    <row r="334" ht="15.75" customHeight="1">
      <c r="A334" s="709"/>
      <c r="B334" s="709"/>
      <c r="C334" s="709"/>
      <c r="D334" s="709"/>
      <c r="E334" s="709"/>
      <c r="F334" s="709"/>
      <c r="G334" s="709"/>
      <c r="H334" s="709"/>
      <c r="I334" s="709"/>
      <c r="J334" s="709"/>
      <c r="K334" s="709"/>
      <c r="L334" s="709"/>
    </row>
    <row r="335" ht="15.75" customHeight="1">
      <c r="A335" s="709"/>
      <c r="B335" s="709"/>
      <c r="C335" s="709"/>
      <c r="D335" s="709"/>
      <c r="E335" s="709"/>
      <c r="F335" s="709"/>
      <c r="G335" s="709"/>
      <c r="H335" s="709"/>
      <c r="I335" s="709"/>
      <c r="J335" s="709"/>
      <c r="K335" s="709"/>
      <c r="L335" s="709"/>
    </row>
    <row r="336" ht="15.75" customHeight="1">
      <c r="A336" s="709"/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</row>
    <row r="337" ht="15.75" customHeight="1">
      <c r="A337" s="709"/>
      <c r="B337" s="709"/>
      <c r="C337" s="709"/>
      <c r="D337" s="709"/>
      <c r="E337" s="709"/>
      <c r="F337" s="709"/>
      <c r="G337" s="709"/>
      <c r="H337" s="709"/>
      <c r="I337" s="709"/>
      <c r="J337" s="709"/>
      <c r="K337" s="709"/>
      <c r="L337" s="709"/>
    </row>
    <row r="338" ht="15.75" customHeight="1">
      <c r="A338" s="709"/>
      <c r="B338" s="709"/>
      <c r="C338" s="709"/>
      <c r="D338" s="709"/>
      <c r="E338" s="709"/>
      <c r="F338" s="709"/>
      <c r="G338" s="709"/>
      <c r="H338" s="709"/>
      <c r="I338" s="709"/>
      <c r="J338" s="709"/>
      <c r="K338" s="709"/>
      <c r="L338" s="709"/>
    </row>
    <row r="339" ht="15.75" customHeight="1">
      <c r="A339" s="709"/>
      <c r="B339" s="709"/>
      <c r="C339" s="709"/>
      <c r="D339" s="709"/>
      <c r="E339" s="709"/>
      <c r="F339" s="709"/>
      <c r="G339" s="709"/>
      <c r="H339" s="709"/>
      <c r="I339" s="709"/>
      <c r="J339" s="709"/>
      <c r="K339" s="709"/>
      <c r="L339" s="709"/>
    </row>
    <row r="340" ht="15.75" customHeight="1">
      <c r="A340" s="709"/>
      <c r="B340" s="709"/>
      <c r="C340" s="709"/>
      <c r="D340" s="709"/>
      <c r="E340" s="709"/>
      <c r="F340" s="709"/>
      <c r="G340" s="709"/>
      <c r="H340" s="709"/>
      <c r="I340" s="709"/>
      <c r="J340" s="709"/>
      <c r="K340" s="709"/>
      <c r="L340" s="709"/>
    </row>
    <row r="341" ht="15.75" customHeight="1">
      <c r="A341" s="709"/>
      <c r="B341" s="709"/>
      <c r="C341" s="709"/>
      <c r="D341" s="709"/>
      <c r="E341" s="709"/>
      <c r="F341" s="709"/>
      <c r="G341" s="709"/>
      <c r="H341" s="709"/>
      <c r="I341" s="709"/>
      <c r="J341" s="709"/>
      <c r="K341" s="709"/>
      <c r="L341" s="709"/>
    </row>
    <row r="342" ht="15.75" customHeight="1">
      <c r="A342" s="709"/>
      <c r="B342" s="709"/>
      <c r="C342" s="709"/>
      <c r="D342" s="709"/>
      <c r="E342" s="709"/>
      <c r="F342" s="709"/>
      <c r="G342" s="709"/>
      <c r="H342" s="709"/>
      <c r="I342" s="709"/>
      <c r="J342" s="709"/>
      <c r="K342" s="709"/>
      <c r="L342" s="709"/>
    </row>
    <row r="343" ht="15.75" customHeight="1">
      <c r="A343" s="709"/>
      <c r="B343" s="709"/>
      <c r="C343" s="709"/>
      <c r="D343" s="709"/>
      <c r="E343" s="709"/>
      <c r="F343" s="709"/>
      <c r="G343" s="709"/>
      <c r="H343" s="709"/>
      <c r="I343" s="709"/>
      <c r="J343" s="709"/>
      <c r="K343" s="709"/>
      <c r="L343" s="709"/>
    </row>
    <row r="344" ht="15.75" customHeight="1">
      <c r="A344" s="709"/>
      <c r="B344" s="709"/>
      <c r="C344" s="709"/>
      <c r="D344" s="709"/>
      <c r="E344" s="709"/>
      <c r="F344" s="709"/>
      <c r="G344" s="709"/>
      <c r="H344" s="709"/>
      <c r="I344" s="709"/>
      <c r="J344" s="709"/>
      <c r="K344" s="709"/>
      <c r="L344" s="709"/>
    </row>
    <row r="345" ht="15.75" customHeight="1">
      <c r="A345" s="709"/>
      <c r="B345" s="709"/>
      <c r="C345" s="709"/>
      <c r="D345" s="709"/>
      <c r="E345" s="709"/>
      <c r="F345" s="709"/>
      <c r="G345" s="709"/>
      <c r="H345" s="709"/>
      <c r="I345" s="709"/>
      <c r="J345" s="709"/>
      <c r="K345" s="709"/>
      <c r="L345" s="709"/>
    </row>
    <row r="346" ht="15.75" customHeight="1">
      <c r="A346" s="709"/>
      <c r="B346" s="709"/>
      <c r="C346" s="709"/>
      <c r="D346" s="709"/>
      <c r="E346" s="709"/>
      <c r="F346" s="709"/>
      <c r="G346" s="709"/>
      <c r="H346" s="709"/>
      <c r="I346" s="709"/>
      <c r="J346" s="709"/>
      <c r="K346" s="709"/>
      <c r="L346" s="709"/>
    </row>
    <row r="347" ht="15.75" customHeight="1">
      <c r="A347" s="709"/>
      <c r="B347" s="709"/>
      <c r="C347" s="709"/>
      <c r="D347" s="709"/>
      <c r="E347" s="709"/>
      <c r="F347" s="709"/>
      <c r="G347" s="709"/>
      <c r="H347" s="709"/>
      <c r="I347" s="709"/>
      <c r="J347" s="709"/>
      <c r="K347" s="709"/>
      <c r="L347" s="709"/>
    </row>
    <row r="348" ht="15.75" customHeight="1">
      <c r="A348" s="709"/>
      <c r="B348" s="709"/>
      <c r="C348" s="709"/>
      <c r="D348" s="709"/>
      <c r="E348" s="709"/>
      <c r="F348" s="709"/>
      <c r="G348" s="709"/>
      <c r="H348" s="709"/>
      <c r="I348" s="709"/>
      <c r="J348" s="709"/>
      <c r="K348" s="709"/>
      <c r="L348" s="709"/>
    </row>
    <row r="349" ht="15.75" customHeight="1">
      <c r="A349" s="709"/>
      <c r="B349" s="709"/>
      <c r="C349" s="709"/>
      <c r="D349" s="709"/>
      <c r="E349" s="709"/>
      <c r="F349" s="709"/>
      <c r="G349" s="709"/>
      <c r="H349" s="709"/>
      <c r="I349" s="709"/>
      <c r="J349" s="709"/>
      <c r="K349" s="709"/>
      <c r="L349" s="709"/>
    </row>
    <row r="350" ht="15.75" customHeight="1">
      <c r="A350" s="709"/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</row>
    <row r="351" ht="15.75" customHeight="1">
      <c r="A351" s="709"/>
      <c r="B351" s="709"/>
      <c r="C351" s="709"/>
      <c r="D351" s="709"/>
      <c r="E351" s="709"/>
      <c r="F351" s="709"/>
      <c r="G351" s="709"/>
      <c r="H351" s="709"/>
      <c r="I351" s="709"/>
      <c r="J351" s="709"/>
      <c r="K351" s="709"/>
      <c r="L351" s="709"/>
    </row>
    <row r="352" ht="15.75" customHeight="1">
      <c r="A352" s="709"/>
      <c r="B352" s="709"/>
      <c r="C352" s="709"/>
      <c r="D352" s="709"/>
      <c r="E352" s="709"/>
      <c r="F352" s="709"/>
      <c r="G352" s="709"/>
      <c r="H352" s="709"/>
      <c r="I352" s="709"/>
      <c r="J352" s="709"/>
      <c r="K352" s="709"/>
      <c r="L352" s="709"/>
    </row>
    <row r="353" ht="15.75" customHeight="1">
      <c r="A353" s="709"/>
      <c r="B353" s="709"/>
      <c r="C353" s="709"/>
      <c r="D353" s="709"/>
      <c r="E353" s="709"/>
      <c r="F353" s="709"/>
      <c r="G353" s="709"/>
      <c r="H353" s="709"/>
      <c r="I353" s="709"/>
      <c r="J353" s="709"/>
      <c r="K353" s="709"/>
      <c r="L353" s="709"/>
    </row>
    <row r="354" ht="15.75" customHeight="1">
      <c r="A354" s="709"/>
      <c r="B354" s="709"/>
      <c r="C354" s="709"/>
      <c r="D354" s="709"/>
      <c r="E354" s="709"/>
      <c r="F354" s="709"/>
      <c r="G354" s="709"/>
      <c r="H354" s="709"/>
      <c r="I354" s="709"/>
      <c r="J354" s="709"/>
      <c r="K354" s="709"/>
      <c r="L354" s="709"/>
    </row>
    <row r="355" ht="15.75" customHeight="1">
      <c r="A355" s="709"/>
      <c r="B355" s="709"/>
      <c r="C355" s="709"/>
      <c r="D355" s="709"/>
      <c r="E355" s="709"/>
      <c r="F355" s="709"/>
      <c r="G355" s="709"/>
      <c r="H355" s="709"/>
      <c r="I355" s="709"/>
      <c r="J355" s="709"/>
      <c r="K355" s="709"/>
      <c r="L355" s="709"/>
    </row>
    <row r="356" ht="15.75" customHeight="1">
      <c r="A356" s="709"/>
      <c r="B356" s="709"/>
      <c r="C356" s="709"/>
      <c r="D356" s="709"/>
      <c r="E356" s="709"/>
      <c r="F356" s="709"/>
      <c r="G356" s="709"/>
      <c r="H356" s="709"/>
      <c r="I356" s="709"/>
      <c r="J356" s="709"/>
      <c r="K356" s="709"/>
      <c r="L356" s="709"/>
    </row>
    <row r="357" ht="15.75" customHeight="1">
      <c r="A357" s="709"/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</row>
    <row r="358" ht="15.75" customHeight="1">
      <c r="A358" s="709"/>
      <c r="B358" s="709"/>
      <c r="C358" s="709"/>
      <c r="D358" s="709"/>
      <c r="E358" s="709"/>
      <c r="F358" s="709"/>
      <c r="G358" s="709"/>
      <c r="H358" s="709"/>
      <c r="I358" s="709"/>
      <c r="J358" s="709"/>
      <c r="K358" s="709"/>
      <c r="L358" s="709"/>
    </row>
    <row r="359" ht="15.75" customHeight="1">
      <c r="A359" s="709"/>
      <c r="B359" s="709"/>
      <c r="C359" s="709"/>
      <c r="D359" s="709"/>
      <c r="E359" s="709"/>
      <c r="F359" s="709"/>
      <c r="G359" s="709"/>
      <c r="H359" s="709"/>
      <c r="I359" s="709"/>
      <c r="J359" s="709"/>
      <c r="K359" s="709"/>
      <c r="L359" s="709"/>
    </row>
    <row r="360" ht="15.75" customHeight="1">
      <c r="A360" s="709"/>
      <c r="B360" s="709"/>
      <c r="C360" s="709"/>
      <c r="D360" s="709"/>
      <c r="E360" s="709"/>
      <c r="F360" s="709"/>
      <c r="G360" s="709"/>
      <c r="H360" s="709"/>
      <c r="I360" s="709"/>
      <c r="J360" s="709"/>
      <c r="K360" s="709"/>
      <c r="L360" s="709"/>
    </row>
    <row r="361" ht="15.75" customHeight="1">
      <c r="A361" s="709"/>
      <c r="B361" s="709"/>
      <c r="C361" s="709"/>
      <c r="D361" s="709"/>
      <c r="E361" s="709"/>
      <c r="F361" s="709"/>
      <c r="G361" s="709"/>
      <c r="H361" s="709"/>
      <c r="I361" s="709"/>
      <c r="J361" s="709"/>
      <c r="K361" s="709"/>
      <c r="L361" s="709"/>
    </row>
    <row r="362" ht="15.75" customHeight="1">
      <c r="A362" s="709"/>
      <c r="B362" s="709"/>
      <c r="C362" s="709"/>
      <c r="D362" s="709"/>
      <c r="E362" s="709"/>
      <c r="F362" s="709"/>
      <c r="G362" s="709"/>
      <c r="H362" s="709"/>
      <c r="I362" s="709"/>
      <c r="J362" s="709"/>
      <c r="K362" s="709"/>
      <c r="L362" s="709"/>
    </row>
    <row r="363" ht="15.75" customHeight="1">
      <c r="A363" s="709"/>
      <c r="B363" s="709"/>
      <c r="C363" s="709"/>
      <c r="D363" s="709"/>
      <c r="E363" s="709"/>
      <c r="F363" s="709"/>
      <c r="G363" s="709"/>
      <c r="H363" s="709"/>
      <c r="I363" s="709"/>
      <c r="J363" s="709"/>
      <c r="K363" s="709"/>
      <c r="L363" s="709"/>
    </row>
    <row r="364" ht="15.75" customHeight="1">
      <c r="A364" s="709"/>
      <c r="B364" s="709"/>
      <c r="C364" s="709"/>
      <c r="D364" s="709"/>
      <c r="E364" s="709"/>
      <c r="F364" s="709"/>
      <c r="G364" s="709"/>
      <c r="H364" s="709"/>
      <c r="I364" s="709"/>
      <c r="J364" s="709"/>
      <c r="K364" s="709"/>
      <c r="L364" s="709"/>
    </row>
    <row r="365" ht="15.75" customHeight="1">
      <c r="A365" s="709"/>
      <c r="B365" s="709"/>
      <c r="C365" s="709"/>
      <c r="D365" s="709"/>
      <c r="E365" s="709"/>
      <c r="F365" s="709"/>
      <c r="G365" s="709"/>
      <c r="H365" s="709"/>
      <c r="I365" s="709"/>
      <c r="J365" s="709"/>
      <c r="K365" s="709"/>
      <c r="L365" s="709"/>
    </row>
    <row r="366" ht="15.75" customHeight="1">
      <c r="A366" s="709"/>
      <c r="B366" s="709"/>
      <c r="C366" s="709"/>
      <c r="D366" s="709"/>
      <c r="E366" s="709"/>
      <c r="F366" s="709"/>
      <c r="G366" s="709"/>
      <c r="H366" s="709"/>
      <c r="I366" s="709"/>
      <c r="J366" s="709"/>
      <c r="K366" s="709"/>
      <c r="L366" s="709"/>
    </row>
    <row r="367" ht="15.75" customHeight="1">
      <c r="A367" s="709"/>
      <c r="B367" s="709"/>
      <c r="C367" s="709"/>
      <c r="D367" s="709"/>
      <c r="E367" s="709"/>
      <c r="F367" s="709"/>
      <c r="G367" s="709"/>
      <c r="H367" s="709"/>
      <c r="I367" s="709"/>
      <c r="J367" s="709"/>
      <c r="K367" s="709"/>
      <c r="L367" s="709"/>
    </row>
    <row r="368" ht="15.75" customHeight="1">
      <c r="A368" s="709"/>
      <c r="B368" s="709"/>
      <c r="C368" s="709"/>
      <c r="D368" s="709"/>
      <c r="E368" s="709"/>
      <c r="F368" s="709"/>
      <c r="G368" s="709"/>
      <c r="H368" s="709"/>
      <c r="I368" s="709"/>
      <c r="J368" s="709"/>
      <c r="K368" s="709"/>
      <c r="L368" s="709"/>
    </row>
    <row r="369" ht="15.75" customHeight="1">
      <c r="A369" s="709"/>
      <c r="B369" s="709"/>
      <c r="C369" s="709"/>
      <c r="D369" s="709"/>
      <c r="E369" s="709"/>
      <c r="F369" s="709"/>
      <c r="G369" s="709"/>
      <c r="H369" s="709"/>
      <c r="I369" s="709"/>
      <c r="J369" s="709"/>
      <c r="K369" s="709"/>
      <c r="L369" s="709"/>
    </row>
    <row r="370" ht="15.75" customHeight="1">
      <c r="A370" s="709"/>
      <c r="B370" s="709"/>
      <c r="C370" s="709"/>
      <c r="D370" s="709"/>
      <c r="E370" s="709"/>
      <c r="F370" s="709"/>
      <c r="G370" s="709"/>
      <c r="H370" s="709"/>
      <c r="I370" s="709"/>
      <c r="J370" s="709"/>
      <c r="K370" s="709"/>
      <c r="L370" s="709"/>
    </row>
    <row r="371" ht="15.75" customHeight="1">
      <c r="A371" s="709"/>
      <c r="B371" s="709"/>
      <c r="C371" s="709"/>
      <c r="D371" s="709"/>
      <c r="E371" s="709"/>
      <c r="F371" s="709"/>
      <c r="G371" s="709"/>
      <c r="H371" s="709"/>
      <c r="I371" s="709"/>
      <c r="J371" s="709"/>
      <c r="K371" s="709"/>
      <c r="L371" s="709"/>
    </row>
    <row r="372" ht="15.75" customHeight="1">
      <c r="A372" s="709"/>
      <c r="B372" s="709"/>
      <c r="C372" s="709"/>
      <c r="D372" s="709"/>
      <c r="E372" s="709"/>
      <c r="F372" s="709"/>
      <c r="G372" s="709"/>
      <c r="H372" s="709"/>
      <c r="I372" s="709"/>
      <c r="J372" s="709"/>
      <c r="K372" s="709"/>
      <c r="L372" s="709"/>
    </row>
    <row r="373" ht="15.75" customHeight="1">
      <c r="A373" s="709"/>
      <c r="B373" s="709"/>
      <c r="C373" s="709"/>
      <c r="D373" s="709"/>
      <c r="E373" s="709"/>
      <c r="F373" s="709"/>
      <c r="G373" s="709"/>
      <c r="H373" s="709"/>
      <c r="I373" s="709"/>
      <c r="J373" s="709"/>
      <c r="K373" s="709"/>
      <c r="L373" s="709"/>
    </row>
    <row r="374" ht="15.75" customHeight="1">
      <c r="A374" s="709"/>
      <c r="B374" s="709"/>
      <c r="C374" s="709"/>
      <c r="D374" s="709"/>
      <c r="E374" s="709"/>
      <c r="F374" s="709"/>
      <c r="G374" s="709"/>
      <c r="H374" s="709"/>
      <c r="I374" s="709"/>
      <c r="J374" s="709"/>
      <c r="K374" s="709"/>
      <c r="L374" s="709"/>
    </row>
    <row r="375" ht="15.75" customHeight="1">
      <c r="A375" s="709"/>
      <c r="B375" s="709"/>
      <c r="C375" s="709"/>
      <c r="D375" s="709"/>
      <c r="E375" s="709"/>
      <c r="F375" s="709"/>
      <c r="G375" s="709"/>
      <c r="H375" s="709"/>
      <c r="I375" s="709"/>
      <c r="J375" s="709"/>
      <c r="K375" s="709"/>
      <c r="L375" s="709"/>
    </row>
    <row r="376" ht="15.75" customHeight="1">
      <c r="A376" s="709"/>
      <c r="B376" s="709"/>
      <c r="C376" s="709"/>
      <c r="D376" s="709"/>
      <c r="E376" s="709"/>
      <c r="F376" s="709"/>
      <c r="G376" s="709"/>
      <c r="H376" s="709"/>
      <c r="I376" s="709"/>
      <c r="J376" s="709"/>
      <c r="K376" s="709"/>
      <c r="L376" s="709"/>
    </row>
    <row r="377" ht="15.75" customHeight="1">
      <c r="A377" s="709"/>
      <c r="B377" s="709"/>
      <c r="C377" s="709"/>
      <c r="D377" s="709"/>
      <c r="E377" s="709"/>
      <c r="F377" s="709"/>
      <c r="G377" s="709"/>
      <c r="H377" s="709"/>
      <c r="I377" s="709"/>
      <c r="J377" s="709"/>
      <c r="K377" s="709"/>
      <c r="L377" s="709"/>
    </row>
    <row r="378" ht="15.75" customHeight="1">
      <c r="A378" s="709"/>
      <c r="B378" s="709"/>
      <c r="C378" s="709"/>
      <c r="D378" s="709"/>
      <c r="E378" s="709"/>
      <c r="F378" s="709"/>
      <c r="G378" s="709"/>
      <c r="H378" s="709"/>
      <c r="I378" s="709"/>
      <c r="J378" s="709"/>
      <c r="K378" s="709"/>
      <c r="L378" s="709"/>
    </row>
    <row r="379" ht="15.75" customHeight="1">
      <c r="A379" s="709"/>
      <c r="B379" s="709"/>
      <c r="C379" s="709"/>
      <c r="D379" s="709"/>
      <c r="E379" s="709"/>
      <c r="F379" s="709"/>
      <c r="G379" s="709"/>
      <c r="H379" s="709"/>
      <c r="I379" s="709"/>
      <c r="J379" s="709"/>
      <c r="K379" s="709"/>
      <c r="L379" s="709"/>
    </row>
    <row r="380" ht="15.75" customHeight="1">
      <c r="A380" s="709"/>
      <c r="B380" s="709"/>
      <c r="C380" s="709"/>
      <c r="D380" s="709"/>
      <c r="E380" s="709"/>
      <c r="F380" s="709"/>
      <c r="G380" s="709"/>
      <c r="H380" s="709"/>
      <c r="I380" s="709"/>
      <c r="J380" s="709"/>
      <c r="K380" s="709"/>
      <c r="L380" s="709"/>
    </row>
    <row r="381" ht="15.75" customHeight="1">
      <c r="A381" s="709"/>
      <c r="B381" s="709"/>
      <c r="C381" s="709"/>
      <c r="D381" s="709"/>
      <c r="E381" s="709"/>
      <c r="F381" s="709"/>
      <c r="G381" s="709"/>
      <c r="H381" s="709"/>
      <c r="I381" s="709"/>
      <c r="J381" s="709"/>
      <c r="K381" s="709"/>
      <c r="L381" s="709"/>
    </row>
    <row r="382" ht="15.75" customHeight="1">
      <c r="A382" s="709"/>
      <c r="B382" s="709"/>
      <c r="C382" s="709"/>
      <c r="D382" s="709"/>
      <c r="E382" s="709"/>
      <c r="F382" s="709"/>
      <c r="G382" s="709"/>
      <c r="H382" s="709"/>
      <c r="I382" s="709"/>
      <c r="J382" s="709"/>
      <c r="K382" s="709"/>
      <c r="L382" s="709"/>
    </row>
    <row r="383" ht="15.75" customHeight="1">
      <c r="A383" s="709"/>
      <c r="B383" s="709"/>
      <c r="C383" s="709"/>
      <c r="D383" s="709"/>
      <c r="E383" s="709"/>
      <c r="F383" s="709"/>
      <c r="G383" s="709"/>
      <c r="H383" s="709"/>
      <c r="I383" s="709"/>
      <c r="J383" s="709"/>
      <c r="K383" s="709"/>
      <c r="L383" s="709"/>
    </row>
    <row r="384" ht="15.75" customHeight="1">
      <c r="A384" s="709"/>
      <c r="B384" s="709"/>
      <c r="C384" s="709"/>
      <c r="D384" s="709"/>
      <c r="E384" s="709"/>
      <c r="F384" s="709"/>
      <c r="G384" s="709"/>
      <c r="H384" s="709"/>
      <c r="I384" s="709"/>
      <c r="J384" s="709"/>
      <c r="K384" s="709"/>
      <c r="L384" s="709"/>
    </row>
    <row r="385" ht="15.75" customHeight="1">
      <c r="A385" s="709"/>
      <c r="B385" s="709"/>
      <c r="C385" s="709"/>
      <c r="D385" s="709"/>
      <c r="E385" s="709"/>
      <c r="F385" s="709"/>
      <c r="G385" s="709"/>
      <c r="H385" s="709"/>
      <c r="I385" s="709"/>
      <c r="J385" s="709"/>
      <c r="K385" s="709"/>
      <c r="L385" s="709"/>
    </row>
    <row r="386" ht="15.75" customHeight="1">
      <c r="A386" s="709"/>
      <c r="B386" s="709"/>
      <c r="C386" s="709"/>
      <c r="D386" s="709"/>
      <c r="E386" s="709"/>
      <c r="F386" s="709"/>
      <c r="G386" s="709"/>
      <c r="H386" s="709"/>
      <c r="I386" s="709"/>
      <c r="J386" s="709"/>
      <c r="K386" s="709"/>
      <c r="L386" s="709"/>
    </row>
    <row r="387" ht="15.75" customHeight="1">
      <c r="A387" s="709"/>
      <c r="B387" s="709"/>
      <c r="C387" s="709"/>
      <c r="D387" s="709"/>
      <c r="E387" s="709"/>
      <c r="F387" s="709"/>
      <c r="G387" s="709"/>
      <c r="H387" s="709"/>
      <c r="I387" s="709"/>
      <c r="J387" s="709"/>
      <c r="K387" s="709"/>
      <c r="L387" s="709"/>
    </row>
    <row r="388" ht="15.75" customHeight="1">
      <c r="A388" s="709"/>
      <c r="B388" s="709"/>
      <c r="C388" s="709"/>
      <c r="D388" s="709"/>
      <c r="E388" s="709"/>
      <c r="F388" s="709"/>
      <c r="G388" s="709"/>
      <c r="H388" s="709"/>
      <c r="I388" s="709"/>
      <c r="J388" s="709"/>
      <c r="K388" s="709"/>
      <c r="L388" s="709"/>
    </row>
    <row r="389" ht="15.75" customHeight="1">
      <c r="A389" s="709"/>
      <c r="B389" s="709"/>
      <c r="C389" s="709"/>
      <c r="D389" s="709"/>
      <c r="E389" s="709"/>
      <c r="F389" s="709"/>
      <c r="G389" s="709"/>
      <c r="H389" s="709"/>
      <c r="I389" s="709"/>
      <c r="J389" s="709"/>
      <c r="K389" s="709"/>
      <c r="L389" s="709"/>
    </row>
    <row r="390" ht="15.75" customHeight="1">
      <c r="A390" s="709"/>
      <c r="B390" s="709"/>
      <c r="C390" s="709"/>
      <c r="D390" s="709"/>
      <c r="E390" s="709"/>
      <c r="F390" s="709"/>
      <c r="G390" s="709"/>
      <c r="H390" s="709"/>
      <c r="I390" s="709"/>
      <c r="J390" s="709"/>
      <c r="K390" s="709"/>
      <c r="L390" s="709"/>
    </row>
    <row r="391" ht="15.75" customHeight="1">
      <c r="A391" s="709"/>
      <c r="B391" s="709"/>
      <c r="C391" s="709"/>
      <c r="D391" s="709"/>
      <c r="E391" s="709"/>
      <c r="F391" s="709"/>
      <c r="G391" s="709"/>
      <c r="H391" s="709"/>
      <c r="I391" s="709"/>
      <c r="J391" s="709"/>
      <c r="K391" s="709"/>
      <c r="L391" s="709"/>
    </row>
    <row r="392" ht="15.75" customHeight="1">
      <c r="A392" s="709"/>
      <c r="B392" s="709"/>
      <c r="C392" s="709"/>
      <c r="D392" s="709"/>
      <c r="E392" s="709"/>
      <c r="F392" s="709"/>
      <c r="G392" s="709"/>
      <c r="H392" s="709"/>
      <c r="I392" s="709"/>
      <c r="J392" s="709"/>
      <c r="K392" s="709"/>
      <c r="L392" s="709"/>
    </row>
    <row r="393" ht="15.75" customHeight="1">
      <c r="A393" s="709"/>
      <c r="B393" s="709"/>
      <c r="C393" s="709"/>
      <c r="D393" s="709"/>
      <c r="E393" s="709"/>
      <c r="F393" s="709"/>
      <c r="G393" s="709"/>
      <c r="H393" s="709"/>
      <c r="I393" s="709"/>
      <c r="J393" s="709"/>
      <c r="K393" s="709"/>
      <c r="L393" s="709"/>
    </row>
    <row r="394" ht="15.75" customHeight="1">
      <c r="A394" s="709"/>
      <c r="B394" s="709"/>
      <c r="C394" s="709"/>
      <c r="D394" s="709"/>
      <c r="E394" s="709"/>
      <c r="F394" s="709"/>
      <c r="G394" s="709"/>
      <c r="H394" s="709"/>
      <c r="I394" s="709"/>
      <c r="J394" s="709"/>
      <c r="K394" s="709"/>
      <c r="L394" s="709"/>
    </row>
    <row r="395" ht="15.75" customHeight="1">
      <c r="A395" s="709"/>
      <c r="B395" s="709"/>
      <c r="C395" s="709"/>
      <c r="D395" s="709"/>
      <c r="E395" s="709"/>
      <c r="F395" s="709"/>
      <c r="G395" s="709"/>
      <c r="H395" s="709"/>
      <c r="I395" s="709"/>
      <c r="J395" s="709"/>
      <c r="K395" s="709"/>
      <c r="L395" s="709"/>
    </row>
    <row r="396" ht="15.75" customHeight="1">
      <c r="A396" s="709"/>
      <c r="B396" s="709"/>
      <c r="C396" s="709"/>
      <c r="D396" s="709"/>
      <c r="E396" s="709"/>
      <c r="F396" s="709"/>
      <c r="G396" s="709"/>
      <c r="H396" s="709"/>
      <c r="I396" s="709"/>
      <c r="J396" s="709"/>
      <c r="K396" s="709"/>
      <c r="L396" s="709"/>
    </row>
    <row r="397" ht="15.75" customHeight="1">
      <c r="A397" s="709"/>
      <c r="B397" s="709"/>
      <c r="C397" s="709"/>
      <c r="D397" s="709"/>
      <c r="E397" s="709"/>
      <c r="F397" s="709"/>
      <c r="G397" s="709"/>
      <c r="H397" s="709"/>
      <c r="I397" s="709"/>
      <c r="J397" s="709"/>
      <c r="K397" s="709"/>
      <c r="L397" s="709"/>
    </row>
    <row r="398" ht="15.75" customHeight="1">
      <c r="A398" s="709"/>
      <c r="B398" s="709"/>
      <c r="C398" s="709"/>
      <c r="D398" s="709"/>
      <c r="E398" s="709"/>
      <c r="F398" s="709"/>
      <c r="G398" s="709"/>
      <c r="H398" s="709"/>
      <c r="I398" s="709"/>
      <c r="J398" s="709"/>
      <c r="K398" s="709"/>
      <c r="L398" s="709"/>
    </row>
    <row r="399" ht="15.75" customHeight="1">
      <c r="A399" s="709"/>
      <c r="B399" s="709"/>
      <c r="C399" s="709"/>
      <c r="D399" s="709"/>
      <c r="E399" s="709"/>
      <c r="F399" s="709"/>
      <c r="G399" s="709"/>
      <c r="H399" s="709"/>
      <c r="I399" s="709"/>
      <c r="J399" s="709"/>
      <c r="K399" s="709"/>
      <c r="L399" s="709"/>
    </row>
    <row r="400" ht="15.75" customHeight="1">
      <c r="A400" s="709"/>
      <c r="B400" s="709"/>
      <c r="C400" s="709"/>
      <c r="D400" s="709"/>
      <c r="E400" s="709"/>
      <c r="F400" s="709"/>
      <c r="G400" s="709"/>
      <c r="H400" s="709"/>
      <c r="I400" s="709"/>
      <c r="J400" s="709"/>
      <c r="K400" s="709"/>
      <c r="L400" s="709"/>
    </row>
    <row r="401" ht="15.75" customHeight="1">
      <c r="A401" s="709"/>
      <c r="B401" s="709"/>
      <c r="C401" s="709"/>
      <c r="D401" s="709"/>
      <c r="E401" s="709"/>
      <c r="F401" s="709"/>
      <c r="G401" s="709"/>
      <c r="H401" s="709"/>
      <c r="I401" s="709"/>
      <c r="J401" s="709"/>
      <c r="K401" s="709"/>
      <c r="L401" s="709"/>
    </row>
    <row r="402" ht="15.75" customHeight="1">
      <c r="A402" s="709"/>
      <c r="B402" s="709"/>
      <c r="C402" s="709"/>
      <c r="D402" s="709"/>
      <c r="E402" s="709"/>
      <c r="F402" s="709"/>
      <c r="G402" s="709"/>
      <c r="H402" s="709"/>
      <c r="I402" s="709"/>
      <c r="J402" s="709"/>
      <c r="K402" s="709"/>
      <c r="L402" s="709"/>
    </row>
    <row r="403" ht="15.75" customHeight="1">
      <c r="A403" s="709"/>
      <c r="B403" s="709"/>
      <c r="C403" s="709"/>
      <c r="D403" s="709"/>
      <c r="E403" s="709"/>
      <c r="F403" s="709"/>
      <c r="G403" s="709"/>
      <c r="H403" s="709"/>
      <c r="I403" s="709"/>
      <c r="J403" s="709"/>
      <c r="K403" s="709"/>
      <c r="L403" s="709"/>
    </row>
    <row r="404" ht="15.75" customHeight="1">
      <c r="A404" s="709"/>
      <c r="B404" s="709"/>
      <c r="C404" s="709"/>
      <c r="D404" s="709"/>
      <c r="E404" s="709"/>
      <c r="F404" s="709"/>
      <c r="G404" s="709"/>
      <c r="H404" s="709"/>
      <c r="I404" s="709"/>
      <c r="J404" s="709"/>
      <c r="K404" s="709"/>
      <c r="L404" s="709"/>
    </row>
    <row r="405" ht="15.75" customHeight="1">
      <c r="A405" s="709"/>
      <c r="B405" s="709"/>
      <c r="C405" s="709"/>
      <c r="D405" s="709"/>
      <c r="E405" s="709"/>
      <c r="F405" s="709"/>
      <c r="G405" s="709"/>
      <c r="H405" s="709"/>
      <c r="I405" s="709"/>
      <c r="J405" s="709"/>
      <c r="K405" s="709"/>
      <c r="L405" s="709"/>
    </row>
    <row r="406" ht="15.75" customHeight="1">
      <c r="A406" s="709"/>
      <c r="B406" s="709"/>
      <c r="C406" s="709"/>
      <c r="D406" s="709"/>
      <c r="E406" s="709"/>
      <c r="F406" s="709"/>
      <c r="G406" s="709"/>
      <c r="H406" s="709"/>
      <c r="I406" s="709"/>
      <c r="J406" s="709"/>
      <c r="K406" s="709"/>
      <c r="L406" s="709"/>
    </row>
    <row r="407" ht="15.75" customHeight="1">
      <c r="A407" s="709"/>
      <c r="B407" s="709"/>
      <c r="C407" s="709"/>
      <c r="D407" s="709"/>
      <c r="E407" s="709"/>
      <c r="F407" s="709"/>
      <c r="G407" s="709"/>
      <c r="H407" s="709"/>
      <c r="I407" s="709"/>
      <c r="J407" s="709"/>
      <c r="K407" s="709"/>
      <c r="L407" s="709"/>
    </row>
    <row r="408" ht="15.75" customHeight="1">
      <c r="A408" s="709"/>
      <c r="B408" s="709"/>
      <c r="C408" s="709"/>
      <c r="D408" s="709"/>
      <c r="E408" s="709"/>
      <c r="F408" s="709"/>
      <c r="G408" s="709"/>
      <c r="H408" s="709"/>
      <c r="I408" s="709"/>
      <c r="J408" s="709"/>
      <c r="K408" s="709"/>
      <c r="L408" s="709"/>
    </row>
    <row r="409" ht="15.75" customHeight="1">
      <c r="A409" s="709"/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</row>
    <row r="410" ht="15.75" customHeight="1">
      <c r="A410" s="709"/>
      <c r="B410" s="709"/>
      <c r="C410" s="709"/>
      <c r="D410" s="709"/>
      <c r="E410" s="709"/>
      <c r="F410" s="709"/>
      <c r="G410" s="709"/>
      <c r="H410" s="709"/>
      <c r="I410" s="709"/>
      <c r="J410" s="709"/>
      <c r="K410" s="709"/>
      <c r="L410" s="709"/>
    </row>
    <row r="411" ht="15.75" customHeight="1">
      <c r="A411" s="709"/>
      <c r="B411" s="709"/>
      <c r="C411" s="709"/>
      <c r="D411" s="709"/>
      <c r="E411" s="709"/>
      <c r="F411" s="709"/>
      <c r="G411" s="709"/>
      <c r="H411" s="709"/>
      <c r="I411" s="709"/>
      <c r="J411" s="709"/>
      <c r="K411" s="709"/>
      <c r="L411" s="709"/>
    </row>
    <row r="412" ht="15.75" customHeight="1">
      <c r="A412" s="709"/>
      <c r="B412" s="709"/>
      <c r="C412" s="709"/>
      <c r="D412" s="709"/>
      <c r="E412" s="709"/>
      <c r="F412" s="709"/>
      <c r="G412" s="709"/>
      <c r="H412" s="709"/>
      <c r="I412" s="709"/>
      <c r="J412" s="709"/>
      <c r="K412" s="709"/>
      <c r="L412" s="709"/>
    </row>
    <row r="413" ht="15.75" customHeight="1">
      <c r="A413" s="709"/>
      <c r="B413" s="709"/>
      <c r="C413" s="709"/>
      <c r="D413" s="709"/>
      <c r="E413" s="709"/>
      <c r="F413" s="709"/>
      <c r="G413" s="709"/>
      <c r="H413" s="709"/>
      <c r="I413" s="709"/>
      <c r="J413" s="709"/>
      <c r="K413" s="709"/>
      <c r="L413" s="709"/>
    </row>
    <row r="414" ht="15.75" customHeight="1">
      <c r="A414" s="709"/>
      <c r="B414" s="709"/>
      <c r="C414" s="709"/>
      <c r="D414" s="709"/>
      <c r="E414" s="709"/>
      <c r="F414" s="709"/>
      <c r="G414" s="709"/>
      <c r="H414" s="709"/>
      <c r="I414" s="709"/>
      <c r="J414" s="709"/>
      <c r="K414" s="709"/>
      <c r="L414" s="709"/>
    </row>
    <row r="415" ht="15.75" customHeight="1">
      <c r="A415" s="709"/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</row>
    <row r="416" ht="15.75" customHeight="1">
      <c r="A416" s="709"/>
      <c r="B416" s="709"/>
      <c r="C416" s="709"/>
      <c r="D416" s="709"/>
      <c r="E416" s="709"/>
      <c r="F416" s="709"/>
      <c r="G416" s="709"/>
      <c r="H416" s="709"/>
      <c r="I416" s="709"/>
      <c r="J416" s="709"/>
      <c r="K416" s="709"/>
      <c r="L416" s="709"/>
    </row>
    <row r="417" ht="15.75" customHeight="1">
      <c r="A417" s="709"/>
      <c r="B417" s="709"/>
      <c r="C417" s="709"/>
      <c r="D417" s="709"/>
      <c r="E417" s="709"/>
      <c r="F417" s="709"/>
      <c r="G417" s="709"/>
      <c r="H417" s="709"/>
      <c r="I417" s="709"/>
      <c r="J417" s="709"/>
      <c r="K417" s="709"/>
      <c r="L417" s="709"/>
    </row>
    <row r="418" ht="15.75" customHeight="1">
      <c r="A418" s="709"/>
      <c r="B418" s="709"/>
      <c r="C418" s="709"/>
      <c r="D418" s="709"/>
      <c r="E418" s="709"/>
      <c r="F418" s="709"/>
      <c r="G418" s="709"/>
      <c r="H418" s="709"/>
      <c r="I418" s="709"/>
      <c r="J418" s="709"/>
      <c r="K418" s="709"/>
      <c r="L418" s="709"/>
    </row>
    <row r="419" ht="15.75" customHeight="1">
      <c r="A419" s="709"/>
      <c r="B419" s="709"/>
      <c r="C419" s="709"/>
      <c r="D419" s="709"/>
      <c r="E419" s="709"/>
      <c r="F419" s="709"/>
      <c r="G419" s="709"/>
      <c r="H419" s="709"/>
      <c r="I419" s="709"/>
      <c r="J419" s="709"/>
      <c r="K419" s="709"/>
      <c r="L419" s="709"/>
    </row>
    <row r="420" ht="15.75" customHeight="1">
      <c r="A420" s="709"/>
      <c r="B420" s="709"/>
      <c r="C420" s="709"/>
      <c r="D420" s="709"/>
      <c r="E420" s="709"/>
      <c r="F420" s="709"/>
      <c r="G420" s="709"/>
      <c r="H420" s="709"/>
      <c r="I420" s="709"/>
      <c r="J420" s="709"/>
      <c r="K420" s="709"/>
      <c r="L420" s="709"/>
    </row>
    <row r="421" ht="15.75" customHeight="1">
      <c r="A421" s="709"/>
      <c r="B421" s="709"/>
      <c r="C421" s="709"/>
      <c r="D421" s="709"/>
      <c r="E421" s="709"/>
      <c r="F421" s="709"/>
      <c r="G421" s="709"/>
      <c r="H421" s="709"/>
      <c r="I421" s="709"/>
      <c r="J421" s="709"/>
      <c r="K421" s="709"/>
      <c r="L421" s="709"/>
    </row>
    <row r="422" ht="15.75" customHeight="1">
      <c r="A422" s="709"/>
      <c r="B422" s="709"/>
      <c r="C422" s="709"/>
      <c r="D422" s="709"/>
      <c r="E422" s="709"/>
      <c r="F422" s="709"/>
      <c r="G422" s="709"/>
      <c r="H422" s="709"/>
      <c r="I422" s="709"/>
      <c r="J422" s="709"/>
      <c r="K422" s="709"/>
      <c r="L422" s="709"/>
    </row>
    <row r="423" ht="15.75" customHeight="1">
      <c r="A423" s="709"/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</row>
    <row r="424" ht="15.75" customHeight="1">
      <c r="A424" s="709"/>
      <c r="B424" s="709"/>
      <c r="C424" s="709"/>
      <c r="D424" s="709"/>
      <c r="E424" s="709"/>
      <c r="F424" s="709"/>
      <c r="G424" s="709"/>
      <c r="H424" s="709"/>
      <c r="I424" s="709"/>
      <c r="J424" s="709"/>
      <c r="K424" s="709"/>
      <c r="L424" s="709"/>
    </row>
    <row r="425" ht="15.75" customHeight="1">
      <c r="A425" s="709"/>
      <c r="B425" s="709"/>
      <c r="C425" s="709"/>
      <c r="D425" s="709"/>
      <c r="E425" s="709"/>
      <c r="F425" s="709"/>
      <c r="G425" s="709"/>
      <c r="H425" s="709"/>
      <c r="I425" s="709"/>
      <c r="J425" s="709"/>
      <c r="K425" s="709"/>
      <c r="L425" s="709"/>
    </row>
    <row r="426" ht="15.75" customHeight="1">
      <c r="A426" s="709"/>
      <c r="B426" s="709"/>
      <c r="C426" s="709"/>
      <c r="D426" s="709"/>
      <c r="E426" s="709"/>
      <c r="F426" s="709"/>
      <c r="G426" s="709"/>
      <c r="H426" s="709"/>
      <c r="I426" s="709"/>
      <c r="J426" s="709"/>
      <c r="K426" s="709"/>
      <c r="L426" s="709"/>
    </row>
    <row r="427" ht="15.75" customHeight="1">
      <c r="A427" s="709"/>
      <c r="B427" s="709"/>
      <c r="C427" s="709"/>
      <c r="D427" s="709"/>
      <c r="E427" s="709"/>
      <c r="F427" s="709"/>
      <c r="G427" s="709"/>
      <c r="H427" s="709"/>
      <c r="I427" s="709"/>
      <c r="J427" s="709"/>
      <c r="K427" s="709"/>
      <c r="L427" s="709"/>
    </row>
    <row r="428" ht="15.75" customHeight="1">
      <c r="A428" s="709"/>
      <c r="B428" s="709"/>
      <c r="C428" s="709"/>
      <c r="D428" s="709"/>
      <c r="E428" s="709"/>
      <c r="F428" s="709"/>
      <c r="G428" s="709"/>
      <c r="H428" s="709"/>
      <c r="I428" s="709"/>
      <c r="J428" s="709"/>
      <c r="K428" s="709"/>
      <c r="L428" s="709"/>
    </row>
    <row r="429" ht="15.75" customHeight="1">
      <c r="A429" s="709"/>
      <c r="B429" s="709"/>
      <c r="C429" s="709"/>
      <c r="D429" s="709"/>
      <c r="E429" s="709"/>
      <c r="F429" s="709"/>
      <c r="G429" s="709"/>
      <c r="H429" s="709"/>
      <c r="I429" s="709"/>
      <c r="J429" s="709"/>
      <c r="K429" s="709"/>
      <c r="L429" s="709"/>
    </row>
    <row r="430" ht="15.75" customHeight="1">
      <c r="A430" s="709"/>
      <c r="B430" s="709"/>
      <c r="C430" s="709"/>
      <c r="D430" s="709"/>
      <c r="E430" s="709"/>
      <c r="F430" s="709"/>
      <c r="G430" s="709"/>
      <c r="H430" s="709"/>
      <c r="I430" s="709"/>
      <c r="J430" s="709"/>
      <c r="K430" s="709"/>
      <c r="L430" s="709"/>
    </row>
    <row r="431" ht="15.75" customHeight="1">
      <c r="A431" s="709"/>
      <c r="B431" s="709"/>
      <c r="C431" s="709"/>
      <c r="D431" s="709"/>
      <c r="E431" s="709"/>
      <c r="F431" s="709"/>
      <c r="G431" s="709"/>
      <c r="H431" s="709"/>
      <c r="I431" s="709"/>
      <c r="J431" s="709"/>
      <c r="K431" s="709"/>
      <c r="L431" s="709"/>
    </row>
    <row r="432" ht="15.75" customHeight="1">
      <c r="A432" s="709"/>
      <c r="B432" s="709"/>
      <c r="C432" s="709"/>
      <c r="D432" s="709"/>
      <c r="E432" s="709"/>
      <c r="F432" s="709"/>
      <c r="G432" s="709"/>
      <c r="H432" s="709"/>
      <c r="I432" s="709"/>
      <c r="J432" s="709"/>
      <c r="K432" s="709"/>
      <c r="L432" s="709"/>
    </row>
    <row r="433" ht="15.75" customHeight="1">
      <c r="A433" s="709"/>
      <c r="B433" s="709"/>
      <c r="C433" s="709"/>
      <c r="D433" s="709"/>
      <c r="E433" s="709"/>
      <c r="F433" s="709"/>
      <c r="G433" s="709"/>
      <c r="H433" s="709"/>
      <c r="I433" s="709"/>
      <c r="J433" s="709"/>
      <c r="K433" s="709"/>
      <c r="L433" s="709"/>
    </row>
    <row r="434" ht="15.75" customHeight="1">
      <c r="A434" s="709"/>
      <c r="B434" s="709"/>
      <c r="C434" s="709"/>
      <c r="D434" s="709"/>
      <c r="E434" s="709"/>
      <c r="F434" s="709"/>
      <c r="G434" s="709"/>
      <c r="H434" s="709"/>
      <c r="I434" s="709"/>
      <c r="J434" s="709"/>
      <c r="K434" s="709"/>
      <c r="L434" s="709"/>
    </row>
    <row r="435" ht="15.75" customHeight="1">
      <c r="A435" s="709"/>
      <c r="B435" s="709"/>
      <c r="C435" s="709"/>
      <c r="D435" s="709"/>
      <c r="E435" s="709"/>
      <c r="F435" s="709"/>
      <c r="G435" s="709"/>
      <c r="H435" s="709"/>
      <c r="I435" s="709"/>
      <c r="J435" s="709"/>
      <c r="K435" s="709"/>
      <c r="L435" s="709"/>
    </row>
    <row r="436" ht="15.75" customHeight="1">
      <c r="A436" s="709"/>
      <c r="B436" s="709"/>
      <c r="C436" s="709"/>
      <c r="D436" s="709"/>
      <c r="E436" s="709"/>
      <c r="F436" s="709"/>
      <c r="G436" s="709"/>
      <c r="H436" s="709"/>
      <c r="I436" s="709"/>
      <c r="J436" s="709"/>
      <c r="K436" s="709"/>
      <c r="L436" s="709"/>
    </row>
    <row r="437" ht="15.75" customHeight="1">
      <c r="A437" s="709"/>
      <c r="B437" s="709"/>
      <c r="C437" s="709"/>
      <c r="D437" s="709"/>
      <c r="E437" s="709"/>
      <c r="F437" s="709"/>
      <c r="G437" s="709"/>
      <c r="H437" s="709"/>
      <c r="I437" s="709"/>
      <c r="J437" s="709"/>
      <c r="K437" s="709"/>
      <c r="L437" s="709"/>
    </row>
    <row r="438" ht="15.75" customHeight="1">
      <c r="A438" s="709"/>
      <c r="B438" s="709"/>
      <c r="C438" s="709"/>
      <c r="D438" s="709"/>
      <c r="E438" s="709"/>
      <c r="F438" s="709"/>
      <c r="G438" s="709"/>
      <c r="H438" s="709"/>
      <c r="I438" s="709"/>
      <c r="J438" s="709"/>
      <c r="K438" s="709"/>
      <c r="L438" s="709"/>
    </row>
    <row r="439" ht="15.75" customHeight="1">
      <c r="A439" s="709"/>
      <c r="B439" s="709"/>
      <c r="C439" s="709"/>
      <c r="D439" s="709"/>
      <c r="E439" s="709"/>
      <c r="F439" s="709"/>
      <c r="G439" s="709"/>
      <c r="H439" s="709"/>
      <c r="I439" s="709"/>
      <c r="J439" s="709"/>
      <c r="K439" s="709"/>
      <c r="L439" s="709"/>
    </row>
    <row r="440" ht="15.75" customHeight="1">
      <c r="A440" s="709"/>
      <c r="B440" s="709"/>
      <c r="C440" s="709"/>
      <c r="D440" s="709"/>
      <c r="E440" s="709"/>
      <c r="F440" s="709"/>
      <c r="G440" s="709"/>
      <c r="H440" s="709"/>
      <c r="I440" s="709"/>
      <c r="J440" s="709"/>
      <c r="K440" s="709"/>
      <c r="L440" s="709"/>
    </row>
    <row r="441" ht="15.75" customHeight="1">
      <c r="A441" s="709"/>
      <c r="B441" s="709"/>
      <c r="C441" s="709"/>
      <c r="D441" s="709"/>
      <c r="E441" s="709"/>
      <c r="F441" s="709"/>
      <c r="G441" s="709"/>
      <c r="H441" s="709"/>
      <c r="I441" s="709"/>
      <c r="J441" s="709"/>
      <c r="K441" s="709"/>
      <c r="L441" s="709"/>
    </row>
    <row r="442" ht="15.75" customHeight="1">
      <c r="A442" s="709"/>
      <c r="B442" s="709"/>
      <c r="C442" s="709"/>
      <c r="D442" s="709"/>
      <c r="E442" s="709"/>
      <c r="F442" s="709"/>
      <c r="G442" s="709"/>
      <c r="H442" s="709"/>
      <c r="I442" s="709"/>
      <c r="J442" s="709"/>
      <c r="K442" s="709"/>
      <c r="L442" s="709"/>
    </row>
    <row r="443" ht="15.75" customHeight="1">
      <c r="A443" s="709"/>
      <c r="B443" s="709"/>
      <c r="C443" s="709"/>
      <c r="D443" s="709"/>
      <c r="E443" s="709"/>
      <c r="F443" s="709"/>
      <c r="G443" s="709"/>
      <c r="H443" s="709"/>
      <c r="I443" s="709"/>
      <c r="J443" s="709"/>
      <c r="K443" s="709"/>
      <c r="L443" s="709"/>
    </row>
    <row r="444" ht="15.75" customHeight="1">
      <c r="A444" s="709"/>
      <c r="B444" s="709"/>
      <c r="C444" s="709"/>
      <c r="D444" s="709"/>
      <c r="E444" s="709"/>
      <c r="F444" s="709"/>
      <c r="G444" s="709"/>
      <c r="H444" s="709"/>
      <c r="I444" s="709"/>
      <c r="J444" s="709"/>
      <c r="K444" s="709"/>
      <c r="L444" s="709"/>
    </row>
    <row r="445" ht="15.75" customHeight="1">
      <c r="A445" s="709"/>
      <c r="B445" s="709"/>
      <c r="C445" s="709"/>
      <c r="D445" s="709"/>
      <c r="E445" s="709"/>
      <c r="F445" s="709"/>
      <c r="G445" s="709"/>
      <c r="H445" s="709"/>
      <c r="I445" s="709"/>
      <c r="J445" s="709"/>
      <c r="K445" s="709"/>
      <c r="L445" s="709"/>
    </row>
    <row r="446" ht="15.75" customHeight="1">
      <c r="A446" s="709"/>
      <c r="B446" s="709"/>
      <c r="C446" s="709"/>
      <c r="D446" s="709"/>
      <c r="E446" s="709"/>
      <c r="F446" s="709"/>
      <c r="G446" s="709"/>
      <c r="H446" s="709"/>
      <c r="I446" s="709"/>
      <c r="J446" s="709"/>
      <c r="K446" s="709"/>
      <c r="L446" s="709"/>
    </row>
    <row r="447" ht="15.75" customHeight="1">
      <c r="A447" s="709"/>
      <c r="B447" s="709"/>
      <c r="C447" s="709"/>
      <c r="D447" s="709"/>
      <c r="E447" s="709"/>
      <c r="F447" s="709"/>
      <c r="G447" s="709"/>
      <c r="H447" s="709"/>
      <c r="I447" s="709"/>
      <c r="J447" s="709"/>
      <c r="K447" s="709"/>
      <c r="L447" s="709"/>
    </row>
    <row r="448" ht="15.75" customHeight="1">
      <c r="A448" s="709"/>
      <c r="B448" s="709"/>
      <c r="C448" s="709"/>
      <c r="D448" s="709"/>
      <c r="E448" s="709"/>
      <c r="F448" s="709"/>
      <c r="G448" s="709"/>
      <c r="H448" s="709"/>
      <c r="I448" s="709"/>
      <c r="J448" s="709"/>
      <c r="K448" s="709"/>
      <c r="L448" s="709"/>
    </row>
    <row r="449" ht="15.75" customHeight="1">
      <c r="A449" s="709"/>
      <c r="B449" s="709"/>
      <c r="C449" s="709"/>
      <c r="D449" s="709"/>
      <c r="E449" s="709"/>
      <c r="F449" s="709"/>
      <c r="G449" s="709"/>
      <c r="H449" s="709"/>
      <c r="I449" s="709"/>
      <c r="J449" s="709"/>
      <c r="K449" s="709"/>
      <c r="L449" s="709"/>
    </row>
    <row r="450" ht="15.75" customHeight="1">
      <c r="A450" s="709"/>
      <c r="B450" s="709"/>
      <c r="C450" s="709"/>
      <c r="D450" s="709"/>
      <c r="E450" s="709"/>
      <c r="F450" s="709"/>
      <c r="G450" s="709"/>
      <c r="H450" s="709"/>
      <c r="I450" s="709"/>
      <c r="J450" s="709"/>
      <c r="K450" s="709"/>
      <c r="L450" s="709"/>
    </row>
    <row r="451" ht="15.75" customHeight="1">
      <c r="A451" s="709"/>
      <c r="B451" s="709"/>
      <c r="C451" s="709"/>
      <c r="D451" s="709"/>
      <c r="E451" s="709"/>
      <c r="F451" s="709"/>
      <c r="G451" s="709"/>
      <c r="H451" s="709"/>
      <c r="I451" s="709"/>
      <c r="J451" s="709"/>
      <c r="K451" s="709"/>
      <c r="L451" s="709"/>
    </row>
    <row r="452" ht="15.75" customHeight="1">
      <c r="A452" s="709"/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</row>
    <row r="453" ht="15.75" customHeight="1">
      <c r="A453" s="709"/>
      <c r="B453" s="709"/>
      <c r="C453" s="709"/>
      <c r="D453" s="709"/>
      <c r="E453" s="709"/>
      <c r="F453" s="709"/>
      <c r="G453" s="709"/>
      <c r="H453" s="709"/>
      <c r="I453" s="709"/>
      <c r="J453" s="709"/>
      <c r="K453" s="709"/>
      <c r="L453" s="709"/>
    </row>
    <row r="454" ht="15.75" customHeight="1">
      <c r="A454" s="709"/>
      <c r="B454" s="709"/>
      <c r="C454" s="709"/>
      <c r="D454" s="709"/>
      <c r="E454" s="709"/>
      <c r="F454" s="709"/>
      <c r="G454" s="709"/>
      <c r="H454" s="709"/>
      <c r="I454" s="709"/>
      <c r="J454" s="709"/>
      <c r="K454" s="709"/>
      <c r="L454" s="709"/>
    </row>
    <row r="455" ht="15.75" customHeight="1">
      <c r="A455" s="709"/>
      <c r="B455" s="709"/>
      <c r="C455" s="709"/>
      <c r="D455" s="709"/>
      <c r="E455" s="709"/>
      <c r="F455" s="709"/>
      <c r="G455" s="709"/>
      <c r="H455" s="709"/>
      <c r="I455" s="709"/>
      <c r="J455" s="709"/>
      <c r="K455" s="709"/>
      <c r="L455" s="709"/>
    </row>
    <row r="456" ht="15.75" customHeight="1">
      <c r="A456" s="709"/>
      <c r="B456" s="709"/>
      <c r="C456" s="709"/>
      <c r="D456" s="709"/>
      <c r="E456" s="709"/>
      <c r="F456" s="709"/>
      <c r="G456" s="709"/>
      <c r="H456" s="709"/>
      <c r="I456" s="709"/>
      <c r="J456" s="709"/>
      <c r="K456" s="709"/>
      <c r="L456" s="709"/>
    </row>
    <row r="457" ht="15.75" customHeight="1">
      <c r="A457" s="709"/>
      <c r="B457" s="709"/>
      <c r="C457" s="709"/>
      <c r="D457" s="709"/>
      <c r="E457" s="709"/>
      <c r="F457" s="709"/>
      <c r="G457" s="709"/>
      <c r="H457" s="709"/>
      <c r="I457" s="709"/>
      <c r="J457" s="709"/>
      <c r="K457" s="709"/>
      <c r="L457" s="709"/>
    </row>
    <row r="458" ht="15.75" customHeight="1">
      <c r="A458" s="709"/>
      <c r="B458" s="709"/>
      <c r="C458" s="709"/>
      <c r="D458" s="709"/>
      <c r="E458" s="709"/>
      <c r="F458" s="709"/>
      <c r="G458" s="709"/>
      <c r="H458" s="709"/>
      <c r="I458" s="709"/>
      <c r="J458" s="709"/>
      <c r="K458" s="709"/>
      <c r="L458" s="709"/>
    </row>
    <row r="459" ht="15.75" customHeight="1">
      <c r="A459" s="709"/>
      <c r="B459" s="709"/>
      <c r="C459" s="709"/>
      <c r="D459" s="709"/>
      <c r="E459" s="709"/>
      <c r="F459" s="709"/>
      <c r="G459" s="709"/>
      <c r="H459" s="709"/>
      <c r="I459" s="709"/>
      <c r="J459" s="709"/>
      <c r="K459" s="709"/>
      <c r="L459" s="709"/>
    </row>
    <row r="460" ht="15.75" customHeight="1">
      <c r="A460" s="709"/>
      <c r="B460" s="709"/>
      <c r="C460" s="709"/>
      <c r="D460" s="709"/>
      <c r="E460" s="709"/>
      <c r="F460" s="709"/>
      <c r="G460" s="709"/>
      <c r="H460" s="709"/>
      <c r="I460" s="709"/>
      <c r="J460" s="709"/>
      <c r="K460" s="709"/>
      <c r="L460" s="709"/>
    </row>
    <row r="461" ht="15.75" customHeight="1">
      <c r="A461" s="709"/>
      <c r="B461" s="709"/>
      <c r="C461" s="709"/>
      <c r="D461" s="709"/>
      <c r="E461" s="709"/>
      <c r="F461" s="709"/>
      <c r="G461" s="709"/>
      <c r="H461" s="709"/>
      <c r="I461" s="709"/>
      <c r="J461" s="709"/>
      <c r="K461" s="709"/>
      <c r="L461" s="709"/>
    </row>
    <row r="462" ht="15.75" customHeight="1">
      <c r="A462" s="709"/>
      <c r="B462" s="709"/>
      <c r="C462" s="709"/>
      <c r="D462" s="709"/>
      <c r="E462" s="709"/>
      <c r="F462" s="709"/>
      <c r="G462" s="709"/>
      <c r="H462" s="709"/>
      <c r="I462" s="709"/>
      <c r="J462" s="709"/>
      <c r="K462" s="709"/>
      <c r="L462" s="709"/>
    </row>
    <row r="463" ht="15.75" customHeight="1">
      <c r="A463" s="709"/>
      <c r="B463" s="709"/>
      <c r="C463" s="709"/>
      <c r="D463" s="709"/>
      <c r="E463" s="709"/>
      <c r="F463" s="709"/>
      <c r="G463" s="709"/>
      <c r="H463" s="709"/>
      <c r="I463" s="709"/>
      <c r="J463" s="709"/>
      <c r="K463" s="709"/>
      <c r="L463" s="709"/>
    </row>
    <row r="464" ht="15.75" customHeight="1">
      <c r="A464" s="709"/>
      <c r="B464" s="709"/>
      <c r="C464" s="709"/>
      <c r="D464" s="709"/>
      <c r="E464" s="709"/>
      <c r="F464" s="709"/>
      <c r="G464" s="709"/>
      <c r="H464" s="709"/>
      <c r="I464" s="709"/>
      <c r="J464" s="709"/>
      <c r="K464" s="709"/>
      <c r="L464" s="709"/>
    </row>
    <row r="465" ht="15.75" customHeight="1">
      <c r="A465" s="709"/>
      <c r="B465" s="709"/>
      <c r="C465" s="709"/>
      <c r="D465" s="709"/>
      <c r="E465" s="709"/>
      <c r="F465" s="709"/>
      <c r="G465" s="709"/>
      <c r="H465" s="709"/>
      <c r="I465" s="709"/>
      <c r="J465" s="709"/>
      <c r="K465" s="709"/>
      <c r="L465" s="709"/>
    </row>
    <row r="466" ht="15.75" customHeight="1">
      <c r="A466" s="709"/>
      <c r="B466" s="709"/>
      <c r="C466" s="709"/>
      <c r="D466" s="709"/>
      <c r="E466" s="709"/>
      <c r="F466" s="709"/>
      <c r="G466" s="709"/>
      <c r="H466" s="709"/>
      <c r="I466" s="709"/>
      <c r="J466" s="709"/>
      <c r="K466" s="709"/>
      <c r="L466" s="709"/>
    </row>
    <row r="467" ht="15.75" customHeight="1">
      <c r="A467" s="709"/>
      <c r="B467" s="709"/>
      <c r="C467" s="709"/>
      <c r="D467" s="709"/>
      <c r="E467" s="709"/>
      <c r="F467" s="709"/>
      <c r="G467" s="709"/>
      <c r="H467" s="709"/>
      <c r="I467" s="709"/>
      <c r="J467" s="709"/>
      <c r="K467" s="709"/>
      <c r="L467" s="709"/>
    </row>
    <row r="468" ht="15.75" customHeight="1">
      <c r="A468" s="709"/>
      <c r="B468" s="709"/>
      <c r="C468" s="709"/>
      <c r="D468" s="709"/>
      <c r="E468" s="709"/>
      <c r="F468" s="709"/>
      <c r="G468" s="709"/>
      <c r="H468" s="709"/>
      <c r="I468" s="709"/>
      <c r="J468" s="709"/>
      <c r="K468" s="709"/>
      <c r="L468" s="709"/>
    </row>
    <row r="469" ht="15.75" customHeight="1">
      <c r="A469" s="709"/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</row>
    <row r="470" ht="15.75" customHeight="1">
      <c r="A470" s="709"/>
      <c r="B470" s="709"/>
      <c r="C470" s="709"/>
      <c r="D470" s="709"/>
      <c r="E470" s="709"/>
      <c r="F470" s="709"/>
      <c r="G470" s="709"/>
      <c r="H470" s="709"/>
      <c r="I470" s="709"/>
      <c r="J470" s="709"/>
      <c r="K470" s="709"/>
      <c r="L470" s="709"/>
    </row>
    <row r="471" ht="15.75" customHeight="1">
      <c r="A471" s="709"/>
      <c r="B471" s="709"/>
      <c r="C471" s="709"/>
      <c r="D471" s="709"/>
      <c r="E471" s="709"/>
      <c r="F471" s="709"/>
      <c r="G471" s="709"/>
      <c r="H471" s="709"/>
      <c r="I471" s="709"/>
      <c r="J471" s="709"/>
      <c r="K471" s="709"/>
      <c r="L471" s="709"/>
    </row>
    <row r="472" ht="15.75" customHeight="1">
      <c r="A472" s="709"/>
      <c r="B472" s="709"/>
      <c r="C472" s="709"/>
      <c r="D472" s="709"/>
      <c r="E472" s="709"/>
      <c r="F472" s="709"/>
      <c r="G472" s="709"/>
      <c r="H472" s="709"/>
      <c r="I472" s="709"/>
      <c r="J472" s="709"/>
      <c r="K472" s="709"/>
      <c r="L472" s="709"/>
    </row>
    <row r="473" ht="15.75" customHeight="1">
      <c r="A473" s="709"/>
      <c r="B473" s="709"/>
      <c r="C473" s="709"/>
      <c r="D473" s="709"/>
      <c r="E473" s="709"/>
      <c r="F473" s="709"/>
      <c r="G473" s="709"/>
      <c r="H473" s="709"/>
      <c r="I473" s="709"/>
      <c r="J473" s="709"/>
      <c r="K473" s="709"/>
      <c r="L473" s="709"/>
    </row>
    <row r="474" ht="15.75" customHeight="1">
      <c r="A474" s="709"/>
      <c r="B474" s="709"/>
      <c r="C474" s="709"/>
      <c r="D474" s="709"/>
      <c r="E474" s="709"/>
      <c r="F474" s="709"/>
      <c r="G474" s="709"/>
      <c r="H474" s="709"/>
      <c r="I474" s="709"/>
      <c r="J474" s="709"/>
      <c r="K474" s="709"/>
      <c r="L474" s="709"/>
    </row>
    <row r="475" ht="15.75" customHeight="1">
      <c r="A475" s="709"/>
      <c r="B475" s="709"/>
      <c r="C475" s="709"/>
      <c r="D475" s="709"/>
      <c r="E475" s="709"/>
      <c r="F475" s="709"/>
      <c r="G475" s="709"/>
      <c r="H475" s="709"/>
      <c r="I475" s="709"/>
      <c r="J475" s="709"/>
      <c r="K475" s="709"/>
      <c r="L475" s="709"/>
    </row>
    <row r="476" ht="15.75" customHeight="1">
      <c r="A476" s="709"/>
      <c r="B476" s="709"/>
      <c r="C476" s="709"/>
      <c r="D476" s="709"/>
      <c r="E476" s="709"/>
      <c r="F476" s="709"/>
      <c r="G476" s="709"/>
      <c r="H476" s="709"/>
      <c r="I476" s="709"/>
      <c r="J476" s="709"/>
      <c r="K476" s="709"/>
      <c r="L476" s="709"/>
    </row>
    <row r="477" ht="15.75" customHeight="1">
      <c r="A477" s="709"/>
      <c r="B477" s="709"/>
      <c r="C477" s="709"/>
      <c r="D477" s="709"/>
      <c r="E477" s="709"/>
      <c r="F477" s="709"/>
      <c r="G477" s="709"/>
      <c r="H477" s="709"/>
      <c r="I477" s="709"/>
      <c r="J477" s="709"/>
      <c r="K477" s="709"/>
      <c r="L477" s="709"/>
    </row>
    <row r="478" ht="15.75" customHeight="1">
      <c r="A478" s="709"/>
      <c r="B478" s="709"/>
      <c r="C478" s="709"/>
      <c r="D478" s="709"/>
      <c r="E478" s="709"/>
      <c r="F478" s="709"/>
      <c r="G478" s="709"/>
      <c r="H478" s="709"/>
      <c r="I478" s="709"/>
      <c r="J478" s="709"/>
      <c r="K478" s="709"/>
      <c r="L478" s="709"/>
    </row>
    <row r="479" ht="15.75" customHeight="1">
      <c r="A479" s="709"/>
      <c r="B479" s="709"/>
      <c r="C479" s="709"/>
      <c r="D479" s="709"/>
      <c r="E479" s="709"/>
      <c r="F479" s="709"/>
      <c r="G479" s="709"/>
      <c r="H479" s="709"/>
      <c r="I479" s="709"/>
      <c r="J479" s="709"/>
      <c r="K479" s="709"/>
      <c r="L479" s="709"/>
    </row>
    <row r="480" ht="15.75" customHeight="1">
      <c r="A480" s="709"/>
      <c r="B480" s="709"/>
      <c r="C480" s="709"/>
      <c r="D480" s="709"/>
      <c r="E480" s="709"/>
      <c r="F480" s="709"/>
      <c r="G480" s="709"/>
      <c r="H480" s="709"/>
      <c r="I480" s="709"/>
      <c r="J480" s="709"/>
      <c r="K480" s="709"/>
      <c r="L480" s="709"/>
    </row>
    <row r="481" ht="15.75" customHeight="1">
      <c r="A481" s="709"/>
      <c r="B481" s="709"/>
      <c r="C481" s="709"/>
      <c r="D481" s="709"/>
      <c r="E481" s="709"/>
      <c r="F481" s="709"/>
      <c r="G481" s="709"/>
      <c r="H481" s="709"/>
      <c r="I481" s="709"/>
      <c r="J481" s="709"/>
      <c r="K481" s="709"/>
      <c r="L481" s="709"/>
    </row>
    <row r="482" ht="15.75" customHeight="1">
      <c r="A482" s="709"/>
      <c r="B482" s="709"/>
      <c r="C482" s="709"/>
      <c r="D482" s="709"/>
      <c r="E482" s="709"/>
      <c r="F482" s="709"/>
      <c r="G482" s="709"/>
      <c r="H482" s="709"/>
      <c r="I482" s="709"/>
      <c r="J482" s="709"/>
      <c r="K482" s="709"/>
      <c r="L482" s="709"/>
    </row>
    <row r="483" ht="15.75" customHeight="1">
      <c r="A483" s="709"/>
      <c r="B483" s="709"/>
      <c r="C483" s="709"/>
      <c r="D483" s="709"/>
      <c r="E483" s="709"/>
      <c r="F483" s="709"/>
      <c r="G483" s="709"/>
      <c r="H483" s="709"/>
      <c r="I483" s="709"/>
      <c r="J483" s="709"/>
      <c r="K483" s="709"/>
      <c r="L483" s="709"/>
    </row>
    <row r="484" ht="15.75" customHeight="1">
      <c r="A484" s="709"/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</row>
    <row r="485" ht="15.75" customHeight="1">
      <c r="A485" s="709"/>
      <c r="B485" s="709"/>
      <c r="C485" s="709"/>
      <c r="D485" s="709"/>
      <c r="E485" s="709"/>
      <c r="F485" s="709"/>
      <c r="G485" s="709"/>
      <c r="H485" s="709"/>
      <c r="I485" s="709"/>
      <c r="J485" s="709"/>
      <c r="K485" s="709"/>
      <c r="L485" s="709"/>
    </row>
    <row r="486" ht="15.75" customHeight="1">
      <c r="A486" s="709"/>
      <c r="B486" s="709"/>
      <c r="C486" s="709"/>
      <c r="D486" s="709"/>
      <c r="E486" s="709"/>
      <c r="F486" s="709"/>
      <c r="G486" s="709"/>
      <c r="H486" s="709"/>
      <c r="I486" s="709"/>
      <c r="J486" s="709"/>
      <c r="K486" s="709"/>
      <c r="L486" s="709"/>
    </row>
    <row r="487" ht="15.75" customHeight="1">
      <c r="A487" s="709"/>
      <c r="B487" s="709"/>
      <c r="C487" s="709"/>
      <c r="D487" s="709"/>
      <c r="E487" s="709"/>
      <c r="F487" s="709"/>
      <c r="G487" s="709"/>
      <c r="H487" s="709"/>
      <c r="I487" s="709"/>
      <c r="J487" s="709"/>
      <c r="K487" s="709"/>
      <c r="L487" s="709"/>
    </row>
    <row r="488" ht="15.75" customHeight="1">
      <c r="A488" s="709"/>
      <c r="B488" s="709"/>
      <c r="C488" s="709"/>
      <c r="D488" s="709"/>
      <c r="E488" s="709"/>
      <c r="F488" s="709"/>
      <c r="G488" s="709"/>
      <c r="H488" s="709"/>
      <c r="I488" s="709"/>
      <c r="J488" s="709"/>
      <c r="K488" s="709"/>
      <c r="L488" s="709"/>
    </row>
    <row r="489" ht="15.75" customHeight="1">
      <c r="A489" s="709"/>
      <c r="B489" s="709"/>
      <c r="C489" s="709"/>
      <c r="D489" s="709"/>
      <c r="E489" s="709"/>
      <c r="F489" s="709"/>
      <c r="G489" s="709"/>
      <c r="H489" s="709"/>
      <c r="I489" s="709"/>
      <c r="J489" s="709"/>
      <c r="K489" s="709"/>
      <c r="L489" s="709"/>
    </row>
    <row r="490" ht="15.75" customHeight="1">
      <c r="A490" s="709"/>
      <c r="B490" s="709"/>
      <c r="C490" s="709"/>
      <c r="D490" s="709"/>
      <c r="E490" s="709"/>
      <c r="F490" s="709"/>
      <c r="G490" s="709"/>
      <c r="H490" s="709"/>
      <c r="I490" s="709"/>
      <c r="J490" s="709"/>
      <c r="K490" s="709"/>
      <c r="L490" s="709"/>
    </row>
    <row r="491" ht="15.75" customHeight="1">
      <c r="A491" s="709"/>
      <c r="B491" s="709"/>
      <c r="C491" s="709"/>
      <c r="D491" s="709"/>
      <c r="E491" s="709"/>
      <c r="F491" s="709"/>
      <c r="G491" s="709"/>
      <c r="H491" s="709"/>
      <c r="I491" s="709"/>
      <c r="J491" s="709"/>
      <c r="K491" s="709"/>
      <c r="L491" s="709"/>
    </row>
    <row r="492" ht="15.75" customHeight="1">
      <c r="A492" s="709"/>
      <c r="B492" s="709"/>
      <c r="C492" s="709"/>
      <c r="D492" s="709"/>
      <c r="E492" s="709"/>
      <c r="F492" s="709"/>
      <c r="G492" s="709"/>
      <c r="H492" s="709"/>
      <c r="I492" s="709"/>
      <c r="J492" s="709"/>
      <c r="K492" s="709"/>
      <c r="L492" s="709"/>
    </row>
    <row r="493" ht="15.75" customHeight="1">
      <c r="A493" s="709"/>
      <c r="B493" s="709"/>
      <c r="C493" s="709"/>
      <c r="D493" s="709"/>
      <c r="E493" s="709"/>
      <c r="F493" s="709"/>
      <c r="G493" s="709"/>
      <c r="H493" s="709"/>
      <c r="I493" s="709"/>
      <c r="J493" s="709"/>
      <c r="K493" s="709"/>
      <c r="L493" s="709"/>
    </row>
    <row r="494" ht="15.75" customHeight="1">
      <c r="A494" s="709"/>
      <c r="B494" s="709"/>
      <c r="C494" s="709"/>
      <c r="D494" s="709"/>
      <c r="E494" s="709"/>
      <c r="F494" s="709"/>
      <c r="G494" s="709"/>
      <c r="H494" s="709"/>
      <c r="I494" s="709"/>
      <c r="J494" s="709"/>
      <c r="K494" s="709"/>
      <c r="L494" s="709"/>
    </row>
    <row r="495" ht="15.75" customHeight="1">
      <c r="A495" s="709"/>
      <c r="B495" s="709"/>
      <c r="C495" s="709"/>
      <c r="D495" s="709"/>
      <c r="E495" s="709"/>
      <c r="F495" s="709"/>
      <c r="G495" s="709"/>
      <c r="H495" s="709"/>
      <c r="I495" s="709"/>
      <c r="J495" s="709"/>
      <c r="K495" s="709"/>
      <c r="L495" s="709"/>
    </row>
    <row r="496" ht="15.75" customHeight="1">
      <c r="A496" s="709"/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</row>
    <row r="497" ht="15.75" customHeight="1">
      <c r="A497" s="709"/>
      <c r="B497" s="709"/>
      <c r="C497" s="709"/>
      <c r="D497" s="709"/>
      <c r="E497" s="709"/>
      <c r="F497" s="709"/>
      <c r="G497" s="709"/>
      <c r="H497" s="709"/>
      <c r="I497" s="709"/>
      <c r="J497" s="709"/>
      <c r="K497" s="709"/>
      <c r="L497" s="709"/>
    </row>
    <row r="498" ht="15.75" customHeight="1">
      <c r="A498" s="709"/>
      <c r="B498" s="709"/>
      <c r="C498" s="709"/>
      <c r="D498" s="709"/>
      <c r="E498" s="709"/>
      <c r="F498" s="709"/>
      <c r="G498" s="709"/>
      <c r="H498" s="709"/>
      <c r="I498" s="709"/>
      <c r="J498" s="709"/>
      <c r="K498" s="709"/>
      <c r="L498" s="709"/>
    </row>
    <row r="499" ht="15.75" customHeight="1">
      <c r="A499" s="709"/>
      <c r="B499" s="709"/>
      <c r="C499" s="709"/>
      <c r="D499" s="709"/>
      <c r="E499" s="709"/>
      <c r="F499" s="709"/>
      <c r="G499" s="709"/>
      <c r="H499" s="709"/>
      <c r="I499" s="709"/>
      <c r="J499" s="709"/>
      <c r="K499" s="709"/>
      <c r="L499" s="709"/>
    </row>
    <row r="500" ht="15.75" customHeight="1">
      <c r="A500" s="709"/>
      <c r="B500" s="709"/>
      <c r="C500" s="709"/>
      <c r="D500" s="709"/>
      <c r="E500" s="709"/>
      <c r="F500" s="709"/>
      <c r="G500" s="709"/>
      <c r="H500" s="709"/>
      <c r="I500" s="709"/>
      <c r="J500" s="709"/>
      <c r="K500" s="709"/>
      <c r="L500" s="709"/>
    </row>
    <row r="501" ht="15.75" customHeight="1">
      <c r="A501" s="709"/>
      <c r="B501" s="709"/>
      <c r="C501" s="709"/>
      <c r="D501" s="709"/>
      <c r="E501" s="709"/>
      <c r="F501" s="709"/>
      <c r="G501" s="709"/>
      <c r="H501" s="709"/>
      <c r="I501" s="709"/>
      <c r="J501" s="709"/>
      <c r="K501" s="709"/>
      <c r="L501" s="709"/>
    </row>
    <row r="502" ht="15.75" customHeight="1">
      <c r="A502" s="709"/>
      <c r="B502" s="709"/>
      <c r="C502" s="709"/>
      <c r="D502" s="709"/>
      <c r="E502" s="709"/>
      <c r="F502" s="709"/>
      <c r="G502" s="709"/>
      <c r="H502" s="709"/>
      <c r="I502" s="709"/>
      <c r="J502" s="709"/>
      <c r="K502" s="709"/>
      <c r="L502" s="709"/>
    </row>
    <row r="503" ht="15.75" customHeight="1">
      <c r="A503" s="709"/>
      <c r="B503" s="709"/>
      <c r="C503" s="709"/>
      <c r="D503" s="709"/>
      <c r="E503" s="709"/>
      <c r="F503" s="709"/>
      <c r="G503" s="709"/>
      <c r="H503" s="709"/>
      <c r="I503" s="709"/>
      <c r="J503" s="709"/>
      <c r="K503" s="709"/>
      <c r="L503" s="709"/>
    </row>
    <row r="504" ht="15.75" customHeight="1">
      <c r="A504" s="709"/>
      <c r="B504" s="709"/>
      <c r="C504" s="709"/>
      <c r="D504" s="709"/>
      <c r="E504" s="709"/>
      <c r="F504" s="709"/>
      <c r="G504" s="709"/>
      <c r="H504" s="709"/>
      <c r="I504" s="709"/>
      <c r="J504" s="709"/>
      <c r="K504" s="709"/>
      <c r="L504" s="709"/>
    </row>
    <row r="505" ht="15.75" customHeight="1">
      <c r="A505" s="709"/>
      <c r="B505" s="709"/>
      <c r="C505" s="709"/>
      <c r="D505" s="709"/>
      <c r="E505" s="709"/>
      <c r="F505" s="709"/>
      <c r="G505" s="709"/>
      <c r="H505" s="709"/>
      <c r="I505" s="709"/>
      <c r="J505" s="709"/>
      <c r="K505" s="709"/>
      <c r="L505" s="709"/>
    </row>
    <row r="506" ht="15.75" customHeight="1">
      <c r="A506" s="709"/>
      <c r="B506" s="709"/>
      <c r="C506" s="709"/>
      <c r="D506" s="709"/>
      <c r="E506" s="709"/>
      <c r="F506" s="709"/>
      <c r="G506" s="709"/>
      <c r="H506" s="709"/>
      <c r="I506" s="709"/>
      <c r="J506" s="709"/>
      <c r="K506" s="709"/>
      <c r="L506" s="709"/>
    </row>
    <row r="507" ht="15.75" customHeight="1">
      <c r="A507" s="709"/>
      <c r="B507" s="709"/>
      <c r="C507" s="709"/>
      <c r="D507" s="709"/>
      <c r="E507" s="709"/>
      <c r="F507" s="709"/>
      <c r="G507" s="709"/>
      <c r="H507" s="709"/>
      <c r="I507" s="709"/>
      <c r="J507" s="709"/>
      <c r="K507" s="709"/>
      <c r="L507" s="709"/>
    </row>
    <row r="508" ht="15.75" customHeight="1">
      <c r="A508" s="709"/>
      <c r="B508" s="709"/>
      <c r="C508" s="709"/>
      <c r="D508" s="709"/>
      <c r="E508" s="709"/>
      <c r="F508" s="709"/>
      <c r="G508" s="709"/>
      <c r="H508" s="709"/>
      <c r="I508" s="709"/>
      <c r="J508" s="709"/>
      <c r="K508" s="709"/>
      <c r="L508" s="709"/>
    </row>
    <row r="509" ht="15.75" customHeight="1">
      <c r="A509" s="709"/>
      <c r="B509" s="709"/>
      <c r="C509" s="709"/>
      <c r="D509" s="709"/>
      <c r="E509" s="709"/>
      <c r="F509" s="709"/>
      <c r="G509" s="709"/>
      <c r="H509" s="709"/>
      <c r="I509" s="709"/>
      <c r="J509" s="709"/>
      <c r="K509" s="709"/>
      <c r="L509" s="709"/>
    </row>
    <row r="510" ht="15.75" customHeight="1">
      <c r="A510" s="709"/>
      <c r="B510" s="709"/>
      <c r="C510" s="709"/>
      <c r="D510" s="709"/>
      <c r="E510" s="709"/>
      <c r="F510" s="709"/>
      <c r="G510" s="709"/>
      <c r="H510" s="709"/>
      <c r="I510" s="709"/>
      <c r="J510" s="709"/>
      <c r="K510" s="709"/>
      <c r="L510" s="709"/>
    </row>
    <row r="511" ht="15.75" customHeight="1">
      <c r="A511" s="709"/>
      <c r="B511" s="709"/>
      <c r="C511" s="709"/>
      <c r="D511" s="709"/>
      <c r="E511" s="709"/>
      <c r="F511" s="709"/>
      <c r="G511" s="709"/>
      <c r="H511" s="709"/>
      <c r="I511" s="709"/>
      <c r="J511" s="709"/>
      <c r="K511" s="709"/>
      <c r="L511" s="709"/>
    </row>
    <row r="512" ht="15.75" customHeight="1">
      <c r="A512" s="709"/>
      <c r="B512" s="709"/>
      <c r="C512" s="709"/>
      <c r="D512" s="709"/>
      <c r="E512" s="709"/>
      <c r="F512" s="709"/>
      <c r="G512" s="709"/>
      <c r="H512" s="709"/>
      <c r="I512" s="709"/>
      <c r="J512" s="709"/>
      <c r="K512" s="709"/>
      <c r="L512" s="709"/>
    </row>
    <row r="513" ht="15.75" customHeight="1">
      <c r="A513" s="709"/>
      <c r="B513" s="709"/>
      <c r="C513" s="709"/>
      <c r="D513" s="709"/>
      <c r="E513" s="709"/>
      <c r="F513" s="709"/>
      <c r="G513" s="709"/>
      <c r="H513" s="709"/>
      <c r="I513" s="709"/>
      <c r="J513" s="709"/>
      <c r="K513" s="709"/>
      <c r="L513" s="709"/>
    </row>
    <row r="514" ht="15.75" customHeight="1">
      <c r="A514" s="709"/>
      <c r="B514" s="709"/>
      <c r="C514" s="709"/>
      <c r="D514" s="709"/>
      <c r="E514" s="709"/>
      <c r="F514" s="709"/>
      <c r="G514" s="709"/>
      <c r="H514" s="709"/>
      <c r="I514" s="709"/>
      <c r="J514" s="709"/>
      <c r="K514" s="709"/>
      <c r="L514" s="709"/>
    </row>
    <row r="515" ht="15.75" customHeight="1">
      <c r="A515" s="709"/>
      <c r="B515" s="709"/>
      <c r="C515" s="709"/>
      <c r="D515" s="709"/>
      <c r="E515" s="709"/>
      <c r="F515" s="709"/>
      <c r="G515" s="709"/>
      <c r="H515" s="709"/>
      <c r="I515" s="709"/>
      <c r="J515" s="709"/>
      <c r="K515" s="709"/>
      <c r="L515" s="709"/>
    </row>
    <row r="516" ht="15.75" customHeight="1">
      <c r="A516" s="709"/>
      <c r="B516" s="709"/>
      <c r="C516" s="709"/>
      <c r="D516" s="709"/>
      <c r="E516" s="709"/>
      <c r="F516" s="709"/>
      <c r="G516" s="709"/>
      <c r="H516" s="709"/>
      <c r="I516" s="709"/>
      <c r="J516" s="709"/>
      <c r="K516" s="709"/>
      <c r="L516" s="709"/>
    </row>
    <row r="517" ht="15.75" customHeight="1">
      <c r="A517" s="709"/>
      <c r="B517" s="709"/>
      <c r="C517" s="709"/>
      <c r="D517" s="709"/>
      <c r="E517" s="709"/>
      <c r="F517" s="709"/>
      <c r="G517" s="709"/>
      <c r="H517" s="709"/>
      <c r="I517" s="709"/>
      <c r="J517" s="709"/>
      <c r="K517" s="709"/>
      <c r="L517" s="709"/>
    </row>
    <row r="518" ht="15.75" customHeight="1">
      <c r="A518" s="709"/>
      <c r="B518" s="709"/>
      <c r="C518" s="709"/>
      <c r="D518" s="709"/>
      <c r="E518" s="709"/>
      <c r="F518" s="709"/>
      <c r="G518" s="709"/>
      <c r="H518" s="709"/>
      <c r="I518" s="709"/>
      <c r="J518" s="709"/>
      <c r="K518" s="709"/>
      <c r="L518" s="709"/>
    </row>
    <row r="519" ht="15.75" customHeight="1">
      <c r="A519" s="709"/>
      <c r="B519" s="709"/>
      <c r="C519" s="709"/>
      <c r="D519" s="709"/>
      <c r="E519" s="709"/>
      <c r="F519" s="709"/>
      <c r="G519" s="709"/>
      <c r="H519" s="709"/>
      <c r="I519" s="709"/>
      <c r="J519" s="709"/>
      <c r="K519" s="709"/>
      <c r="L519" s="709"/>
    </row>
    <row r="520" ht="15.75" customHeight="1">
      <c r="A520" s="709"/>
      <c r="B520" s="709"/>
      <c r="C520" s="709"/>
      <c r="D520" s="709"/>
      <c r="E520" s="709"/>
      <c r="F520" s="709"/>
      <c r="G520" s="709"/>
      <c r="H520" s="709"/>
      <c r="I520" s="709"/>
      <c r="J520" s="709"/>
      <c r="K520" s="709"/>
      <c r="L520" s="709"/>
    </row>
    <row r="521" ht="15.75" customHeight="1">
      <c r="A521" s="709"/>
      <c r="B521" s="709"/>
      <c r="C521" s="709"/>
      <c r="D521" s="709"/>
      <c r="E521" s="709"/>
      <c r="F521" s="709"/>
      <c r="G521" s="709"/>
      <c r="H521" s="709"/>
      <c r="I521" s="709"/>
      <c r="J521" s="709"/>
      <c r="K521" s="709"/>
      <c r="L521" s="709"/>
    </row>
    <row r="522" ht="15.75" customHeight="1">
      <c r="A522" s="709"/>
      <c r="B522" s="709"/>
      <c r="C522" s="709"/>
      <c r="D522" s="709"/>
      <c r="E522" s="709"/>
      <c r="F522" s="709"/>
      <c r="G522" s="709"/>
      <c r="H522" s="709"/>
      <c r="I522" s="709"/>
      <c r="J522" s="709"/>
      <c r="K522" s="709"/>
      <c r="L522" s="709"/>
    </row>
    <row r="523" ht="15.75" customHeight="1">
      <c r="A523" s="709"/>
      <c r="B523" s="709"/>
      <c r="C523" s="709"/>
      <c r="D523" s="709"/>
      <c r="E523" s="709"/>
      <c r="F523" s="709"/>
      <c r="G523" s="709"/>
      <c r="H523" s="709"/>
      <c r="I523" s="709"/>
      <c r="J523" s="709"/>
      <c r="K523" s="709"/>
      <c r="L523" s="709"/>
    </row>
    <row r="524" ht="15.75" customHeight="1">
      <c r="A524" s="709"/>
      <c r="B524" s="709"/>
      <c r="C524" s="709"/>
      <c r="D524" s="709"/>
      <c r="E524" s="709"/>
      <c r="F524" s="709"/>
      <c r="G524" s="709"/>
      <c r="H524" s="709"/>
      <c r="I524" s="709"/>
      <c r="J524" s="709"/>
      <c r="K524" s="709"/>
      <c r="L524" s="709"/>
    </row>
    <row r="525" ht="15.75" customHeight="1">
      <c r="A525" s="709"/>
      <c r="B525" s="709"/>
      <c r="C525" s="709"/>
      <c r="D525" s="709"/>
      <c r="E525" s="709"/>
      <c r="F525" s="709"/>
      <c r="G525" s="709"/>
      <c r="H525" s="709"/>
      <c r="I525" s="709"/>
      <c r="J525" s="709"/>
      <c r="K525" s="709"/>
      <c r="L525" s="709"/>
    </row>
    <row r="526" ht="15.75" customHeight="1">
      <c r="A526" s="709"/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</row>
    <row r="527" ht="15.75" customHeight="1">
      <c r="A527" s="709"/>
      <c r="B527" s="709"/>
      <c r="C527" s="709"/>
      <c r="D527" s="709"/>
      <c r="E527" s="709"/>
      <c r="F527" s="709"/>
      <c r="G527" s="709"/>
      <c r="H527" s="709"/>
      <c r="I527" s="709"/>
      <c r="J527" s="709"/>
      <c r="K527" s="709"/>
      <c r="L527" s="709"/>
    </row>
    <row r="528" ht="15.75" customHeight="1">
      <c r="A528" s="709"/>
      <c r="B528" s="709"/>
      <c r="C528" s="709"/>
      <c r="D528" s="709"/>
      <c r="E528" s="709"/>
      <c r="F528" s="709"/>
      <c r="G528" s="709"/>
      <c r="H528" s="709"/>
      <c r="I528" s="709"/>
      <c r="J528" s="709"/>
      <c r="K528" s="709"/>
      <c r="L528" s="709"/>
    </row>
    <row r="529" ht="15.75" customHeight="1">
      <c r="A529" s="709"/>
      <c r="B529" s="709"/>
      <c r="C529" s="709"/>
      <c r="D529" s="709"/>
      <c r="E529" s="709"/>
      <c r="F529" s="709"/>
      <c r="G529" s="709"/>
      <c r="H529" s="709"/>
      <c r="I529" s="709"/>
      <c r="J529" s="709"/>
      <c r="K529" s="709"/>
      <c r="L529" s="709"/>
    </row>
    <row r="530" ht="15.75" customHeight="1">
      <c r="A530" s="709"/>
      <c r="B530" s="709"/>
      <c r="C530" s="709"/>
      <c r="D530" s="709"/>
      <c r="E530" s="709"/>
      <c r="F530" s="709"/>
      <c r="G530" s="709"/>
      <c r="H530" s="709"/>
      <c r="I530" s="709"/>
      <c r="J530" s="709"/>
      <c r="K530" s="709"/>
      <c r="L530" s="709"/>
    </row>
    <row r="531" ht="15.75" customHeight="1">
      <c r="A531" s="709"/>
      <c r="B531" s="709"/>
      <c r="C531" s="709"/>
      <c r="D531" s="709"/>
      <c r="E531" s="709"/>
      <c r="F531" s="709"/>
      <c r="G531" s="709"/>
      <c r="H531" s="709"/>
      <c r="I531" s="709"/>
      <c r="J531" s="709"/>
      <c r="K531" s="709"/>
      <c r="L531" s="709"/>
    </row>
    <row r="532" ht="15.75" customHeight="1">
      <c r="A532" s="709"/>
      <c r="B532" s="709"/>
      <c r="C532" s="709"/>
      <c r="D532" s="709"/>
      <c r="E532" s="709"/>
      <c r="F532" s="709"/>
      <c r="G532" s="709"/>
      <c r="H532" s="709"/>
      <c r="I532" s="709"/>
      <c r="J532" s="709"/>
      <c r="K532" s="709"/>
      <c r="L532" s="709"/>
    </row>
    <row r="533" ht="15.75" customHeight="1">
      <c r="A533" s="709"/>
      <c r="B533" s="709"/>
      <c r="C533" s="709"/>
      <c r="D533" s="709"/>
      <c r="E533" s="709"/>
      <c r="F533" s="709"/>
      <c r="G533" s="709"/>
      <c r="H533" s="709"/>
      <c r="I533" s="709"/>
      <c r="J533" s="709"/>
      <c r="K533" s="709"/>
      <c r="L533" s="709"/>
    </row>
    <row r="534" ht="15.75" customHeight="1">
      <c r="A534" s="709"/>
      <c r="B534" s="709"/>
      <c r="C534" s="709"/>
      <c r="D534" s="709"/>
      <c r="E534" s="709"/>
      <c r="F534" s="709"/>
      <c r="G534" s="709"/>
      <c r="H534" s="709"/>
      <c r="I534" s="709"/>
      <c r="J534" s="709"/>
      <c r="K534" s="709"/>
      <c r="L534" s="709"/>
    </row>
    <row r="535" ht="15.75" customHeight="1">
      <c r="A535" s="709"/>
      <c r="B535" s="709"/>
      <c r="C535" s="709"/>
      <c r="D535" s="709"/>
      <c r="E535" s="709"/>
      <c r="F535" s="709"/>
      <c r="G535" s="709"/>
      <c r="H535" s="709"/>
      <c r="I535" s="709"/>
      <c r="J535" s="709"/>
      <c r="K535" s="709"/>
      <c r="L535" s="709"/>
    </row>
    <row r="536" ht="15.75" customHeight="1">
      <c r="A536" s="709"/>
      <c r="B536" s="709"/>
      <c r="C536" s="709"/>
      <c r="D536" s="709"/>
      <c r="E536" s="709"/>
      <c r="F536" s="709"/>
      <c r="G536" s="709"/>
      <c r="H536" s="709"/>
      <c r="I536" s="709"/>
      <c r="J536" s="709"/>
      <c r="K536" s="709"/>
      <c r="L536" s="709"/>
    </row>
    <row r="537" ht="15.75" customHeight="1">
      <c r="A537" s="709"/>
      <c r="B537" s="709"/>
      <c r="C537" s="709"/>
      <c r="D537" s="709"/>
      <c r="E537" s="709"/>
      <c r="F537" s="709"/>
      <c r="G537" s="709"/>
      <c r="H537" s="709"/>
      <c r="I537" s="709"/>
      <c r="J537" s="709"/>
      <c r="K537" s="709"/>
      <c r="L537" s="709"/>
    </row>
    <row r="538" ht="15.75" customHeight="1">
      <c r="A538" s="709"/>
      <c r="B538" s="709"/>
      <c r="C538" s="709"/>
      <c r="D538" s="709"/>
      <c r="E538" s="709"/>
      <c r="F538" s="709"/>
      <c r="G538" s="709"/>
      <c r="H538" s="709"/>
      <c r="I538" s="709"/>
      <c r="J538" s="709"/>
      <c r="K538" s="709"/>
      <c r="L538" s="709"/>
    </row>
    <row r="539" ht="15.75" customHeight="1">
      <c r="A539" s="709"/>
      <c r="B539" s="709"/>
      <c r="C539" s="709"/>
      <c r="D539" s="709"/>
      <c r="E539" s="709"/>
      <c r="F539" s="709"/>
      <c r="G539" s="709"/>
      <c r="H539" s="709"/>
      <c r="I539" s="709"/>
      <c r="J539" s="709"/>
      <c r="K539" s="709"/>
      <c r="L539" s="709"/>
    </row>
    <row r="540" ht="15.75" customHeight="1">
      <c r="A540" s="709"/>
      <c r="B540" s="709"/>
      <c r="C540" s="709"/>
      <c r="D540" s="709"/>
      <c r="E540" s="709"/>
      <c r="F540" s="709"/>
      <c r="G540" s="709"/>
      <c r="H540" s="709"/>
      <c r="I540" s="709"/>
      <c r="J540" s="709"/>
      <c r="K540" s="709"/>
      <c r="L540" s="709"/>
    </row>
    <row r="541" ht="15.75" customHeight="1">
      <c r="A541" s="709"/>
      <c r="B541" s="709"/>
      <c r="C541" s="709"/>
      <c r="D541" s="709"/>
      <c r="E541" s="709"/>
      <c r="F541" s="709"/>
      <c r="G541" s="709"/>
      <c r="H541" s="709"/>
      <c r="I541" s="709"/>
      <c r="J541" s="709"/>
      <c r="K541" s="709"/>
      <c r="L541" s="709"/>
    </row>
    <row r="542" ht="15.75" customHeight="1">
      <c r="A542" s="709"/>
      <c r="B542" s="709"/>
      <c r="C542" s="709"/>
      <c r="D542" s="709"/>
      <c r="E542" s="709"/>
      <c r="F542" s="709"/>
      <c r="G542" s="709"/>
      <c r="H542" s="709"/>
      <c r="I542" s="709"/>
      <c r="J542" s="709"/>
      <c r="K542" s="709"/>
      <c r="L542" s="709"/>
    </row>
    <row r="543" ht="15.75" customHeight="1">
      <c r="A543" s="709"/>
      <c r="B543" s="709"/>
      <c r="C543" s="709"/>
      <c r="D543" s="709"/>
      <c r="E543" s="709"/>
      <c r="F543" s="709"/>
      <c r="G543" s="709"/>
      <c r="H543" s="709"/>
      <c r="I543" s="709"/>
      <c r="J543" s="709"/>
      <c r="K543" s="709"/>
      <c r="L543" s="709"/>
    </row>
    <row r="544" ht="15.75" customHeight="1">
      <c r="A544" s="709"/>
      <c r="B544" s="709"/>
      <c r="C544" s="709"/>
      <c r="D544" s="709"/>
      <c r="E544" s="709"/>
      <c r="F544" s="709"/>
      <c r="G544" s="709"/>
      <c r="H544" s="709"/>
      <c r="I544" s="709"/>
      <c r="J544" s="709"/>
      <c r="K544" s="709"/>
      <c r="L544" s="709"/>
    </row>
    <row r="545" ht="15.75" customHeight="1">
      <c r="A545" s="709"/>
      <c r="B545" s="709"/>
      <c r="C545" s="709"/>
      <c r="D545" s="709"/>
      <c r="E545" s="709"/>
      <c r="F545" s="709"/>
      <c r="G545" s="709"/>
      <c r="H545" s="709"/>
      <c r="I545" s="709"/>
      <c r="J545" s="709"/>
      <c r="K545" s="709"/>
      <c r="L545" s="709"/>
    </row>
    <row r="546" ht="15.75" customHeight="1">
      <c r="A546" s="709"/>
      <c r="B546" s="709"/>
      <c r="C546" s="709"/>
      <c r="D546" s="709"/>
      <c r="E546" s="709"/>
      <c r="F546" s="709"/>
      <c r="G546" s="709"/>
      <c r="H546" s="709"/>
      <c r="I546" s="709"/>
      <c r="J546" s="709"/>
      <c r="K546" s="709"/>
      <c r="L546" s="709"/>
    </row>
    <row r="547" ht="15.75" customHeight="1">
      <c r="A547" s="709"/>
      <c r="B547" s="709"/>
      <c r="C547" s="709"/>
      <c r="D547" s="709"/>
      <c r="E547" s="709"/>
      <c r="F547" s="709"/>
      <c r="G547" s="709"/>
      <c r="H547" s="709"/>
      <c r="I547" s="709"/>
      <c r="J547" s="709"/>
      <c r="K547" s="709"/>
      <c r="L547" s="709"/>
    </row>
    <row r="548" ht="15.75" customHeight="1">
      <c r="A548" s="709"/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</row>
    <row r="549" ht="15.75" customHeight="1">
      <c r="A549" s="709"/>
      <c r="B549" s="709"/>
      <c r="C549" s="709"/>
      <c r="D549" s="709"/>
      <c r="E549" s="709"/>
      <c r="F549" s="709"/>
      <c r="G549" s="709"/>
      <c r="H549" s="709"/>
      <c r="I549" s="709"/>
      <c r="J549" s="709"/>
      <c r="K549" s="709"/>
      <c r="L549" s="709"/>
    </row>
    <row r="550" ht="15.75" customHeight="1">
      <c r="A550" s="709"/>
      <c r="B550" s="709"/>
      <c r="C550" s="709"/>
      <c r="D550" s="709"/>
      <c r="E550" s="709"/>
      <c r="F550" s="709"/>
      <c r="G550" s="709"/>
      <c r="H550" s="709"/>
      <c r="I550" s="709"/>
      <c r="J550" s="709"/>
      <c r="K550" s="709"/>
      <c r="L550" s="709"/>
    </row>
    <row r="551" ht="15.75" customHeight="1">
      <c r="A551" s="709"/>
      <c r="B551" s="709"/>
      <c r="C551" s="709"/>
      <c r="D551" s="709"/>
      <c r="E551" s="709"/>
      <c r="F551" s="709"/>
      <c r="G551" s="709"/>
      <c r="H551" s="709"/>
      <c r="I551" s="709"/>
      <c r="J551" s="709"/>
      <c r="K551" s="709"/>
      <c r="L551" s="709"/>
    </row>
    <row r="552" ht="15.75" customHeight="1">
      <c r="A552" s="709"/>
      <c r="B552" s="709"/>
      <c r="C552" s="709"/>
      <c r="D552" s="709"/>
      <c r="E552" s="709"/>
      <c r="F552" s="709"/>
      <c r="G552" s="709"/>
      <c r="H552" s="709"/>
      <c r="I552" s="709"/>
      <c r="J552" s="709"/>
      <c r="K552" s="709"/>
      <c r="L552" s="709"/>
    </row>
    <row r="553" ht="15.75" customHeight="1">
      <c r="A553" s="709"/>
      <c r="B553" s="709"/>
      <c r="C553" s="709"/>
      <c r="D553" s="709"/>
      <c r="E553" s="709"/>
      <c r="F553" s="709"/>
      <c r="G553" s="709"/>
      <c r="H553" s="709"/>
      <c r="I553" s="709"/>
      <c r="J553" s="709"/>
      <c r="K553" s="709"/>
      <c r="L553" s="709"/>
    </row>
    <row r="554" ht="15.75" customHeight="1">
      <c r="A554" s="709"/>
      <c r="B554" s="709"/>
      <c r="C554" s="709"/>
      <c r="D554" s="709"/>
      <c r="E554" s="709"/>
      <c r="F554" s="709"/>
      <c r="G554" s="709"/>
      <c r="H554" s="709"/>
      <c r="I554" s="709"/>
      <c r="J554" s="709"/>
      <c r="K554" s="709"/>
      <c r="L554" s="709"/>
    </row>
    <row r="555" ht="15.75" customHeight="1">
      <c r="A555" s="709"/>
      <c r="B555" s="709"/>
      <c r="C555" s="709"/>
      <c r="D555" s="709"/>
      <c r="E555" s="709"/>
      <c r="F555" s="709"/>
      <c r="G555" s="709"/>
      <c r="H555" s="709"/>
      <c r="I555" s="709"/>
      <c r="J555" s="709"/>
      <c r="K555" s="709"/>
      <c r="L555" s="709"/>
    </row>
    <row r="556" ht="15.75" customHeight="1">
      <c r="A556" s="709"/>
      <c r="B556" s="709"/>
      <c r="C556" s="709"/>
      <c r="D556" s="709"/>
      <c r="E556" s="709"/>
      <c r="F556" s="709"/>
      <c r="G556" s="709"/>
      <c r="H556" s="709"/>
      <c r="I556" s="709"/>
      <c r="J556" s="709"/>
      <c r="K556" s="709"/>
      <c r="L556" s="709"/>
    </row>
    <row r="557" ht="15.75" customHeight="1">
      <c r="A557" s="709"/>
      <c r="B557" s="709"/>
      <c r="C557" s="709"/>
      <c r="D557" s="709"/>
      <c r="E557" s="709"/>
      <c r="F557" s="709"/>
      <c r="G557" s="709"/>
      <c r="H557" s="709"/>
      <c r="I557" s="709"/>
      <c r="J557" s="709"/>
      <c r="K557" s="709"/>
      <c r="L557" s="709"/>
    </row>
    <row r="558" ht="15.75" customHeight="1">
      <c r="A558" s="709"/>
      <c r="B558" s="709"/>
      <c r="C558" s="709"/>
      <c r="D558" s="709"/>
      <c r="E558" s="709"/>
      <c r="F558" s="709"/>
      <c r="G558" s="709"/>
      <c r="H558" s="709"/>
      <c r="I558" s="709"/>
      <c r="J558" s="709"/>
      <c r="K558" s="709"/>
      <c r="L558" s="709"/>
    </row>
    <row r="559" ht="15.75" customHeight="1">
      <c r="A559" s="709"/>
      <c r="B559" s="709"/>
      <c r="C559" s="709"/>
      <c r="D559" s="709"/>
      <c r="E559" s="709"/>
      <c r="F559" s="709"/>
      <c r="G559" s="709"/>
      <c r="H559" s="709"/>
      <c r="I559" s="709"/>
      <c r="J559" s="709"/>
      <c r="K559" s="709"/>
      <c r="L559" s="709"/>
    </row>
    <row r="560" ht="15.75" customHeight="1">
      <c r="A560" s="709"/>
      <c r="B560" s="709"/>
      <c r="C560" s="709"/>
      <c r="D560" s="709"/>
      <c r="E560" s="709"/>
      <c r="F560" s="709"/>
      <c r="G560" s="709"/>
      <c r="H560" s="709"/>
      <c r="I560" s="709"/>
      <c r="J560" s="709"/>
      <c r="K560" s="709"/>
      <c r="L560" s="709"/>
    </row>
    <row r="561" ht="15.75" customHeight="1">
      <c r="A561" s="709"/>
      <c r="B561" s="709"/>
      <c r="C561" s="709"/>
      <c r="D561" s="709"/>
      <c r="E561" s="709"/>
      <c r="F561" s="709"/>
      <c r="G561" s="709"/>
      <c r="H561" s="709"/>
      <c r="I561" s="709"/>
      <c r="J561" s="709"/>
      <c r="K561" s="709"/>
      <c r="L561" s="709"/>
    </row>
    <row r="562" ht="15.75" customHeight="1">
      <c r="A562" s="709"/>
      <c r="B562" s="709"/>
      <c r="C562" s="709"/>
      <c r="D562" s="709"/>
      <c r="E562" s="709"/>
      <c r="F562" s="709"/>
      <c r="G562" s="709"/>
      <c r="H562" s="709"/>
      <c r="I562" s="709"/>
      <c r="J562" s="709"/>
      <c r="K562" s="709"/>
      <c r="L562" s="709"/>
    </row>
    <row r="563" ht="15.75" customHeight="1">
      <c r="A563" s="709"/>
      <c r="B563" s="709"/>
      <c r="C563" s="709"/>
      <c r="D563" s="709"/>
      <c r="E563" s="709"/>
      <c r="F563" s="709"/>
      <c r="G563" s="709"/>
      <c r="H563" s="709"/>
      <c r="I563" s="709"/>
      <c r="J563" s="709"/>
      <c r="K563" s="709"/>
      <c r="L563" s="709"/>
    </row>
    <row r="564" ht="15.75" customHeight="1">
      <c r="A564" s="709"/>
      <c r="B564" s="709"/>
      <c r="C564" s="709"/>
      <c r="D564" s="709"/>
      <c r="E564" s="709"/>
      <c r="F564" s="709"/>
      <c r="G564" s="709"/>
      <c r="H564" s="709"/>
      <c r="I564" s="709"/>
      <c r="J564" s="709"/>
      <c r="K564" s="709"/>
      <c r="L564" s="709"/>
    </row>
    <row r="565" ht="15.75" customHeight="1">
      <c r="A565" s="709"/>
      <c r="B565" s="709"/>
      <c r="C565" s="709"/>
      <c r="D565" s="709"/>
      <c r="E565" s="709"/>
      <c r="F565" s="709"/>
      <c r="G565" s="709"/>
      <c r="H565" s="709"/>
      <c r="I565" s="709"/>
      <c r="J565" s="709"/>
      <c r="K565" s="709"/>
      <c r="L565" s="709"/>
    </row>
    <row r="566" ht="15.75" customHeight="1">
      <c r="A566" s="709"/>
      <c r="B566" s="709"/>
      <c r="C566" s="709"/>
      <c r="D566" s="709"/>
      <c r="E566" s="709"/>
      <c r="F566" s="709"/>
      <c r="G566" s="709"/>
      <c r="H566" s="709"/>
      <c r="I566" s="709"/>
      <c r="J566" s="709"/>
      <c r="K566" s="709"/>
      <c r="L566" s="709"/>
    </row>
    <row r="567" ht="15.75" customHeight="1">
      <c r="A567" s="709"/>
      <c r="B567" s="709"/>
      <c r="C567" s="709"/>
      <c r="D567" s="709"/>
      <c r="E567" s="709"/>
      <c r="F567" s="709"/>
      <c r="G567" s="709"/>
      <c r="H567" s="709"/>
      <c r="I567" s="709"/>
      <c r="J567" s="709"/>
      <c r="K567" s="709"/>
      <c r="L567" s="709"/>
    </row>
    <row r="568" ht="15.75" customHeight="1">
      <c r="A568" s="709"/>
      <c r="B568" s="709"/>
      <c r="C568" s="709"/>
      <c r="D568" s="709"/>
      <c r="E568" s="709"/>
      <c r="F568" s="709"/>
      <c r="G568" s="709"/>
      <c r="H568" s="709"/>
      <c r="I568" s="709"/>
      <c r="J568" s="709"/>
      <c r="K568" s="709"/>
      <c r="L568" s="709"/>
    </row>
    <row r="569" ht="15.75" customHeight="1">
      <c r="A569" s="709"/>
      <c r="B569" s="709"/>
      <c r="C569" s="709"/>
      <c r="D569" s="709"/>
      <c r="E569" s="709"/>
      <c r="F569" s="709"/>
      <c r="G569" s="709"/>
      <c r="H569" s="709"/>
      <c r="I569" s="709"/>
      <c r="J569" s="709"/>
      <c r="K569" s="709"/>
      <c r="L569" s="709"/>
    </row>
    <row r="570" ht="15.75" customHeight="1">
      <c r="A570" s="709"/>
      <c r="B570" s="709"/>
      <c r="C570" s="709"/>
      <c r="D570" s="709"/>
      <c r="E570" s="709"/>
      <c r="F570" s="709"/>
      <c r="G570" s="709"/>
      <c r="H570" s="709"/>
      <c r="I570" s="709"/>
      <c r="J570" s="709"/>
      <c r="K570" s="709"/>
      <c r="L570" s="709"/>
    </row>
    <row r="571" ht="15.75" customHeight="1">
      <c r="A571" s="709"/>
      <c r="B571" s="709"/>
      <c r="C571" s="709"/>
      <c r="D571" s="709"/>
      <c r="E571" s="709"/>
      <c r="F571" s="709"/>
      <c r="G571" s="709"/>
      <c r="H571" s="709"/>
      <c r="I571" s="709"/>
      <c r="J571" s="709"/>
      <c r="K571" s="709"/>
      <c r="L571" s="709"/>
    </row>
    <row r="572" ht="15.75" customHeight="1">
      <c r="A572" s="709"/>
      <c r="B572" s="709"/>
      <c r="C572" s="709"/>
      <c r="D572" s="709"/>
      <c r="E572" s="709"/>
      <c r="F572" s="709"/>
      <c r="G572" s="709"/>
      <c r="H572" s="709"/>
      <c r="I572" s="709"/>
      <c r="J572" s="709"/>
      <c r="K572" s="709"/>
      <c r="L572" s="709"/>
    </row>
    <row r="573" ht="15.75" customHeight="1">
      <c r="A573" s="709"/>
      <c r="B573" s="709"/>
      <c r="C573" s="709"/>
      <c r="D573" s="709"/>
      <c r="E573" s="709"/>
      <c r="F573" s="709"/>
      <c r="G573" s="709"/>
      <c r="H573" s="709"/>
      <c r="I573" s="709"/>
      <c r="J573" s="709"/>
      <c r="K573" s="709"/>
      <c r="L573" s="709"/>
    </row>
    <row r="574" ht="15.75" customHeight="1">
      <c r="A574" s="709"/>
      <c r="B574" s="709"/>
      <c r="C574" s="709"/>
      <c r="D574" s="709"/>
      <c r="E574" s="709"/>
      <c r="F574" s="709"/>
      <c r="G574" s="709"/>
      <c r="H574" s="709"/>
      <c r="I574" s="709"/>
      <c r="J574" s="709"/>
      <c r="K574" s="709"/>
      <c r="L574" s="709"/>
    </row>
    <row r="575" ht="15.75" customHeight="1">
      <c r="A575" s="709"/>
      <c r="B575" s="709"/>
      <c r="C575" s="709"/>
      <c r="D575" s="709"/>
      <c r="E575" s="709"/>
      <c r="F575" s="709"/>
      <c r="G575" s="709"/>
      <c r="H575" s="709"/>
      <c r="I575" s="709"/>
      <c r="J575" s="709"/>
      <c r="K575" s="709"/>
      <c r="L575" s="709"/>
    </row>
    <row r="576" ht="15.75" customHeight="1">
      <c r="A576" s="709"/>
      <c r="B576" s="709"/>
      <c r="C576" s="709"/>
      <c r="D576" s="709"/>
      <c r="E576" s="709"/>
      <c r="F576" s="709"/>
      <c r="G576" s="709"/>
      <c r="H576" s="709"/>
      <c r="I576" s="709"/>
      <c r="J576" s="709"/>
      <c r="K576" s="709"/>
      <c r="L576" s="709"/>
    </row>
    <row r="577" ht="15.75" customHeight="1">
      <c r="A577" s="709"/>
      <c r="B577" s="709"/>
      <c r="C577" s="709"/>
      <c r="D577" s="709"/>
      <c r="E577" s="709"/>
      <c r="F577" s="709"/>
      <c r="G577" s="709"/>
      <c r="H577" s="709"/>
      <c r="I577" s="709"/>
      <c r="J577" s="709"/>
      <c r="K577" s="709"/>
      <c r="L577" s="709"/>
    </row>
    <row r="578" ht="15.75" customHeight="1">
      <c r="A578" s="709"/>
      <c r="B578" s="709"/>
      <c r="C578" s="709"/>
      <c r="D578" s="709"/>
      <c r="E578" s="709"/>
      <c r="F578" s="709"/>
      <c r="G578" s="709"/>
      <c r="H578" s="709"/>
      <c r="I578" s="709"/>
      <c r="J578" s="709"/>
      <c r="K578" s="709"/>
      <c r="L578" s="709"/>
    </row>
    <row r="579" ht="15.75" customHeight="1">
      <c r="A579" s="709"/>
      <c r="B579" s="709"/>
      <c r="C579" s="709"/>
      <c r="D579" s="709"/>
      <c r="E579" s="709"/>
      <c r="F579" s="709"/>
      <c r="G579" s="709"/>
      <c r="H579" s="709"/>
      <c r="I579" s="709"/>
      <c r="J579" s="709"/>
      <c r="K579" s="709"/>
      <c r="L579" s="709"/>
    </row>
    <row r="580" ht="15.75" customHeight="1">
      <c r="A580" s="709"/>
      <c r="B580" s="709"/>
      <c r="C580" s="709"/>
      <c r="D580" s="709"/>
      <c r="E580" s="709"/>
      <c r="F580" s="709"/>
      <c r="G580" s="709"/>
      <c r="H580" s="709"/>
      <c r="I580" s="709"/>
      <c r="J580" s="709"/>
      <c r="K580" s="709"/>
      <c r="L580" s="709"/>
    </row>
    <row r="581" ht="15.75" customHeight="1">
      <c r="A581" s="709"/>
      <c r="B581" s="709"/>
      <c r="C581" s="709"/>
      <c r="D581" s="709"/>
      <c r="E581" s="709"/>
      <c r="F581" s="709"/>
      <c r="G581" s="709"/>
      <c r="H581" s="709"/>
      <c r="I581" s="709"/>
      <c r="J581" s="709"/>
      <c r="K581" s="709"/>
      <c r="L581" s="709"/>
    </row>
    <row r="582" ht="15.75" customHeight="1">
      <c r="A582" s="709"/>
      <c r="B582" s="709"/>
      <c r="C582" s="709"/>
      <c r="D582" s="709"/>
      <c r="E582" s="709"/>
      <c r="F582" s="709"/>
      <c r="G582" s="709"/>
      <c r="H582" s="709"/>
      <c r="I582" s="709"/>
      <c r="J582" s="709"/>
      <c r="K582" s="709"/>
      <c r="L582" s="709"/>
    </row>
    <row r="583" ht="15.75" customHeight="1">
      <c r="A583" s="709"/>
      <c r="B583" s="709"/>
      <c r="C583" s="709"/>
      <c r="D583" s="709"/>
      <c r="E583" s="709"/>
      <c r="F583" s="709"/>
      <c r="G583" s="709"/>
      <c r="H583" s="709"/>
      <c r="I583" s="709"/>
      <c r="J583" s="709"/>
      <c r="K583" s="709"/>
      <c r="L583" s="709"/>
    </row>
    <row r="584" ht="15.75" customHeight="1">
      <c r="A584" s="709"/>
      <c r="B584" s="709"/>
      <c r="C584" s="709"/>
      <c r="D584" s="709"/>
      <c r="E584" s="709"/>
      <c r="F584" s="709"/>
      <c r="G584" s="709"/>
      <c r="H584" s="709"/>
      <c r="I584" s="709"/>
      <c r="J584" s="709"/>
      <c r="K584" s="709"/>
      <c r="L584" s="709"/>
    </row>
    <row r="585" ht="15.75" customHeight="1">
      <c r="A585" s="709"/>
      <c r="B585" s="709"/>
      <c r="C585" s="709"/>
      <c r="D585" s="709"/>
      <c r="E585" s="709"/>
      <c r="F585" s="709"/>
      <c r="G585" s="709"/>
      <c r="H585" s="709"/>
      <c r="I585" s="709"/>
      <c r="J585" s="709"/>
      <c r="K585" s="709"/>
      <c r="L585" s="709"/>
    </row>
    <row r="586" ht="15.75" customHeight="1">
      <c r="A586" s="709"/>
      <c r="B586" s="709"/>
      <c r="C586" s="709"/>
      <c r="D586" s="709"/>
      <c r="E586" s="709"/>
      <c r="F586" s="709"/>
      <c r="G586" s="709"/>
      <c r="H586" s="709"/>
      <c r="I586" s="709"/>
      <c r="J586" s="709"/>
      <c r="K586" s="709"/>
      <c r="L586" s="709"/>
    </row>
    <row r="587" ht="15.75" customHeight="1">
      <c r="A587" s="709"/>
      <c r="B587" s="709"/>
      <c r="C587" s="709"/>
      <c r="D587" s="709"/>
      <c r="E587" s="709"/>
      <c r="F587" s="709"/>
      <c r="G587" s="709"/>
      <c r="H587" s="709"/>
      <c r="I587" s="709"/>
      <c r="J587" s="709"/>
      <c r="K587" s="709"/>
      <c r="L587" s="709"/>
    </row>
    <row r="588" ht="15.75" customHeight="1">
      <c r="A588" s="709"/>
      <c r="B588" s="709"/>
      <c r="C588" s="709"/>
      <c r="D588" s="709"/>
      <c r="E588" s="709"/>
      <c r="F588" s="709"/>
      <c r="G588" s="709"/>
      <c r="H588" s="709"/>
      <c r="I588" s="709"/>
      <c r="J588" s="709"/>
      <c r="K588" s="709"/>
      <c r="L588" s="709"/>
    </row>
    <row r="589" ht="15.75" customHeight="1">
      <c r="A589" s="709"/>
      <c r="B589" s="709"/>
      <c r="C589" s="709"/>
      <c r="D589" s="709"/>
      <c r="E589" s="709"/>
      <c r="F589" s="709"/>
      <c r="G589" s="709"/>
      <c r="H589" s="709"/>
      <c r="I589" s="709"/>
      <c r="J589" s="709"/>
      <c r="K589" s="709"/>
      <c r="L589" s="709"/>
    </row>
    <row r="590" ht="15.75" customHeight="1">
      <c r="A590" s="709"/>
      <c r="B590" s="709"/>
      <c r="C590" s="709"/>
      <c r="D590" s="709"/>
      <c r="E590" s="709"/>
      <c r="F590" s="709"/>
      <c r="G590" s="709"/>
      <c r="H590" s="709"/>
      <c r="I590" s="709"/>
      <c r="J590" s="709"/>
      <c r="K590" s="709"/>
      <c r="L590" s="709"/>
    </row>
    <row r="591" ht="15.75" customHeight="1">
      <c r="A591" s="709"/>
      <c r="B591" s="709"/>
      <c r="C591" s="709"/>
      <c r="D591" s="709"/>
      <c r="E591" s="709"/>
      <c r="F591" s="709"/>
      <c r="G591" s="709"/>
      <c r="H591" s="709"/>
      <c r="I591" s="709"/>
      <c r="J591" s="709"/>
      <c r="K591" s="709"/>
      <c r="L591" s="709"/>
    </row>
    <row r="592" ht="15.75" customHeight="1">
      <c r="A592" s="709"/>
      <c r="B592" s="709"/>
      <c r="C592" s="709"/>
      <c r="D592" s="709"/>
      <c r="E592" s="709"/>
      <c r="F592" s="709"/>
      <c r="G592" s="709"/>
      <c r="H592" s="709"/>
      <c r="I592" s="709"/>
      <c r="J592" s="709"/>
      <c r="K592" s="709"/>
      <c r="L592" s="709"/>
    </row>
    <row r="593" ht="15.75" customHeight="1">
      <c r="A593" s="709"/>
      <c r="B593" s="709"/>
      <c r="C593" s="709"/>
      <c r="D593" s="709"/>
      <c r="E593" s="709"/>
      <c r="F593" s="709"/>
      <c r="G593" s="709"/>
      <c r="H593" s="709"/>
      <c r="I593" s="709"/>
      <c r="J593" s="709"/>
      <c r="K593" s="709"/>
      <c r="L593" s="709"/>
    </row>
    <row r="594" ht="15.75" customHeight="1">
      <c r="A594" s="709"/>
      <c r="B594" s="709"/>
      <c r="C594" s="709"/>
      <c r="D594" s="709"/>
      <c r="E594" s="709"/>
      <c r="F594" s="709"/>
      <c r="G594" s="709"/>
      <c r="H594" s="709"/>
      <c r="I594" s="709"/>
      <c r="J594" s="709"/>
      <c r="K594" s="709"/>
      <c r="L594" s="709"/>
    </row>
    <row r="595" ht="15.75" customHeight="1">
      <c r="A595" s="709"/>
      <c r="B595" s="709"/>
      <c r="C595" s="709"/>
      <c r="D595" s="709"/>
      <c r="E595" s="709"/>
      <c r="F595" s="709"/>
      <c r="G595" s="709"/>
      <c r="H595" s="709"/>
      <c r="I595" s="709"/>
      <c r="J595" s="709"/>
      <c r="K595" s="709"/>
      <c r="L595" s="709"/>
    </row>
    <row r="596" ht="15.75" customHeight="1">
      <c r="A596" s="709"/>
      <c r="B596" s="709"/>
      <c r="C596" s="709"/>
      <c r="D596" s="709"/>
      <c r="E596" s="709"/>
      <c r="F596" s="709"/>
      <c r="G596" s="709"/>
      <c r="H596" s="709"/>
      <c r="I596" s="709"/>
      <c r="J596" s="709"/>
      <c r="K596" s="709"/>
      <c r="L596" s="709"/>
    </row>
    <row r="597" ht="15.75" customHeight="1">
      <c r="A597" s="709"/>
      <c r="B597" s="709"/>
      <c r="C597" s="709"/>
      <c r="D597" s="709"/>
      <c r="E597" s="709"/>
      <c r="F597" s="709"/>
      <c r="G597" s="709"/>
      <c r="H597" s="709"/>
      <c r="I597" s="709"/>
      <c r="J597" s="709"/>
      <c r="K597" s="709"/>
      <c r="L597" s="709"/>
    </row>
    <row r="598" ht="15.75" customHeight="1">
      <c r="A598" s="709"/>
      <c r="B598" s="709"/>
      <c r="C598" s="709"/>
      <c r="D598" s="709"/>
      <c r="E598" s="709"/>
      <c r="F598" s="709"/>
      <c r="G598" s="709"/>
      <c r="H598" s="709"/>
      <c r="I598" s="709"/>
      <c r="J598" s="709"/>
      <c r="K598" s="709"/>
      <c r="L598" s="709"/>
    </row>
    <row r="599" ht="15.75" customHeight="1">
      <c r="A599" s="709"/>
      <c r="B599" s="709"/>
      <c r="C599" s="709"/>
      <c r="D599" s="709"/>
      <c r="E599" s="709"/>
      <c r="F599" s="709"/>
      <c r="G599" s="709"/>
      <c r="H599" s="709"/>
      <c r="I599" s="709"/>
      <c r="J599" s="709"/>
      <c r="K599" s="709"/>
      <c r="L599" s="709"/>
    </row>
    <row r="600" ht="15.75" customHeight="1">
      <c r="A600" s="709"/>
      <c r="B600" s="709"/>
      <c r="C600" s="709"/>
      <c r="D600" s="709"/>
      <c r="E600" s="709"/>
      <c r="F600" s="709"/>
      <c r="G600" s="709"/>
      <c r="H600" s="709"/>
      <c r="I600" s="709"/>
      <c r="J600" s="709"/>
      <c r="K600" s="709"/>
      <c r="L600" s="709"/>
    </row>
    <row r="601" ht="15.75" customHeight="1">
      <c r="A601" s="709"/>
      <c r="B601" s="709"/>
      <c r="C601" s="709"/>
      <c r="D601" s="709"/>
      <c r="E601" s="709"/>
      <c r="F601" s="709"/>
      <c r="G601" s="709"/>
      <c r="H601" s="709"/>
      <c r="I601" s="709"/>
      <c r="J601" s="709"/>
      <c r="K601" s="709"/>
      <c r="L601" s="709"/>
    </row>
    <row r="602" ht="15.75" customHeight="1">
      <c r="A602" s="709"/>
      <c r="B602" s="709"/>
      <c r="C602" s="709"/>
      <c r="D602" s="709"/>
      <c r="E602" s="709"/>
      <c r="F602" s="709"/>
      <c r="G602" s="709"/>
      <c r="H602" s="709"/>
      <c r="I602" s="709"/>
      <c r="J602" s="709"/>
      <c r="K602" s="709"/>
      <c r="L602" s="709"/>
    </row>
    <row r="603" ht="15.75" customHeight="1">
      <c r="A603" s="709"/>
      <c r="B603" s="709"/>
      <c r="C603" s="709"/>
      <c r="D603" s="709"/>
      <c r="E603" s="709"/>
      <c r="F603" s="709"/>
      <c r="G603" s="709"/>
      <c r="H603" s="709"/>
      <c r="I603" s="709"/>
      <c r="J603" s="709"/>
      <c r="K603" s="709"/>
      <c r="L603" s="709"/>
    </row>
    <row r="604" ht="15.75" customHeight="1">
      <c r="A604" s="709"/>
      <c r="B604" s="709"/>
      <c r="C604" s="709"/>
      <c r="D604" s="709"/>
      <c r="E604" s="709"/>
      <c r="F604" s="709"/>
      <c r="G604" s="709"/>
      <c r="H604" s="709"/>
      <c r="I604" s="709"/>
      <c r="J604" s="709"/>
      <c r="K604" s="709"/>
      <c r="L604" s="709"/>
    </row>
    <row r="605" ht="15.75" customHeight="1">
      <c r="A605" s="709"/>
      <c r="B605" s="709"/>
      <c r="C605" s="709"/>
      <c r="D605" s="709"/>
      <c r="E605" s="709"/>
      <c r="F605" s="709"/>
      <c r="G605" s="709"/>
      <c r="H605" s="709"/>
      <c r="I605" s="709"/>
      <c r="J605" s="709"/>
      <c r="K605" s="709"/>
      <c r="L605" s="709"/>
    </row>
    <row r="606" ht="15.75" customHeight="1">
      <c r="A606" s="709"/>
      <c r="B606" s="709"/>
      <c r="C606" s="709"/>
      <c r="D606" s="709"/>
      <c r="E606" s="709"/>
      <c r="F606" s="709"/>
      <c r="G606" s="709"/>
      <c r="H606" s="709"/>
      <c r="I606" s="709"/>
      <c r="J606" s="709"/>
      <c r="K606" s="709"/>
      <c r="L606" s="709"/>
    </row>
    <row r="607" ht="15.75" customHeight="1">
      <c r="A607" s="709"/>
      <c r="B607" s="709"/>
      <c r="C607" s="709"/>
      <c r="D607" s="709"/>
      <c r="E607" s="709"/>
      <c r="F607" s="709"/>
      <c r="G607" s="709"/>
      <c r="H607" s="709"/>
      <c r="I607" s="709"/>
      <c r="J607" s="709"/>
      <c r="K607" s="709"/>
      <c r="L607" s="709"/>
    </row>
    <row r="608" ht="15.75" customHeight="1">
      <c r="A608" s="709"/>
      <c r="B608" s="709"/>
      <c r="C608" s="709"/>
      <c r="D608" s="709"/>
      <c r="E608" s="709"/>
      <c r="F608" s="709"/>
      <c r="G608" s="709"/>
      <c r="H608" s="709"/>
      <c r="I608" s="709"/>
      <c r="J608" s="709"/>
      <c r="K608" s="709"/>
      <c r="L608" s="709"/>
    </row>
    <row r="609" ht="15.75" customHeight="1">
      <c r="A609" s="709"/>
      <c r="B609" s="709"/>
      <c r="C609" s="709"/>
      <c r="D609" s="709"/>
      <c r="E609" s="709"/>
      <c r="F609" s="709"/>
      <c r="G609" s="709"/>
      <c r="H609" s="709"/>
      <c r="I609" s="709"/>
      <c r="J609" s="709"/>
      <c r="K609" s="709"/>
      <c r="L609" s="709"/>
    </row>
    <row r="610" ht="15.75" customHeight="1">
      <c r="A610" s="709"/>
      <c r="B610" s="709"/>
      <c r="C610" s="709"/>
      <c r="D610" s="709"/>
      <c r="E610" s="709"/>
      <c r="F610" s="709"/>
      <c r="G610" s="709"/>
      <c r="H610" s="709"/>
      <c r="I610" s="709"/>
      <c r="J610" s="709"/>
      <c r="K610" s="709"/>
      <c r="L610" s="709"/>
    </row>
    <row r="611" ht="15.75" customHeight="1">
      <c r="A611" s="709"/>
      <c r="B611" s="709"/>
      <c r="C611" s="709"/>
      <c r="D611" s="709"/>
      <c r="E611" s="709"/>
      <c r="F611" s="709"/>
      <c r="G611" s="709"/>
      <c r="H611" s="709"/>
      <c r="I611" s="709"/>
      <c r="J611" s="709"/>
      <c r="K611" s="709"/>
      <c r="L611" s="709"/>
    </row>
    <row r="612" ht="15.75" customHeight="1">
      <c r="A612" s="709"/>
      <c r="B612" s="709"/>
      <c r="C612" s="709"/>
      <c r="D612" s="709"/>
      <c r="E612" s="709"/>
      <c r="F612" s="709"/>
      <c r="G612" s="709"/>
      <c r="H612" s="709"/>
      <c r="I612" s="709"/>
      <c r="J612" s="709"/>
      <c r="K612" s="709"/>
      <c r="L612" s="709"/>
    </row>
    <row r="613" ht="15.75" customHeight="1">
      <c r="A613" s="709"/>
      <c r="B613" s="709"/>
      <c r="C613" s="709"/>
      <c r="D613" s="709"/>
      <c r="E613" s="709"/>
      <c r="F613" s="709"/>
      <c r="G613" s="709"/>
      <c r="H613" s="709"/>
      <c r="I613" s="709"/>
      <c r="J613" s="709"/>
      <c r="K613" s="709"/>
      <c r="L613" s="709"/>
    </row>
    <row r="614" ht="15.75" customHeight="1">
      <c r="A614" s="709"/>
      <c r="B614" s="709"/>
      <c r="C614" s="709"/>
      <c r="D614" s="709"/>
      <c r="E614" s="709"/>
      <c r="F614" s="709"/>
      <c r="G614" s="709"/>
      <c r="H614" s="709"/>
      <c r="I614" s="709"/>
      <c r="J614" s="709"/>
      <c r="K614" s="709"/>
      <c r="L614" s="709"/>
    </row>
    <row r="615" ht="15.75" customHeight="1">
      <c r="A615" s="709"/>
      <c r="B615" s="709"/>
      <c r="C615" s="709"/>
      <c r="D615" s="709"/>
      <c r="E615" s="709"/>
      <c r="F615" s="709"/>
      <c r="G615" s="709"/>
      <c r="H615" s="709"/>
      <c r="I615" s="709"/>
      <c r="J615" s="709"/>
      <c r="K615" s="709"/>
      <c r="L615" s="709"/>
    </row>
    <row r="616" ht="15.75" customHeight="1">
      <c r="A616" s="709"/>
      <c r="B616" s="709"/>
      <c r="C616" s="709"/>
      <c r="D616" s="709"/>
      <c r="E616" s="709"/>
      <c r="F616" s="709"/>
      <c r="G616" s="709"/>
      <c r="H616" s="709"/>
      <c r="I616" s="709"/>
      <c r="J616" s="709"/>
      <c r="K616" s="709"/>
      <c r="L616" s="709"/>
    </row>
    <row r="617" ht="15.75" customHeight="1">
      <c r="A617" s="709"/>
      <c r="B617" s="709"/>
      <c r="C617" s="709"/>
      <c r="D617" s="709"/>
      <c r="E617" s="709"/>
      <c r="F617" s="709"/>
      <c r="G617" s="709"/>
      <c r="H617" s="709"/>
      <c r="I617" s="709"/>
      <c r="J617" s="709"/>
      <c r="K617" s="709"/>
      <c r="L617" s="709"/>
    </row>
    <row r="618" ht="15.75" customHeight="1">
      <c r="A618" s="709"/>
      <c r="B618" s="709"/>
      <c r="C618" s="709"/>
      <c r="D618" s="709"/>
      <c r="E618" s="709"/>
      <c r="F618" s="709"/>
      <c r="G618" s="709"/>
      <c r="H618" s="709"/>
      <c r="I618" s="709"/>
      <c r="J618" s="709"/>
      <c r="K618" s="709"/>
      <c r="L618" s="709"/>
    </row>
    <row r="619" ht="15.75" customHeight="1">
      <c r="A619" s="709"/>
      <c r="B619" s="709"/>
      <c r="C619" s="709"/>
      <c r="D619" s="709"/>
      <c r="E619" s="709"/>
      <c r="F619" s="709"/>
      <c r="G619" s="709"/>
      <c r="H619" s="709"/>
      <c r="I619" s="709"/>
      <c r="J619" s="709"/>
      <c r="K619" s="709"/>
      <c r="L619" s="709"/>
    </row>
    <row r="620" ht="15.75" customHeight="1">
      <c r="A620" s="709"/>
      <c r="B620" s="709"/>
      <c r="C620" s="709"/>
      <c r="D620" s="709"/>
      <c r="E620" s="709"/>
      <c r="F620" s="709"/>
      <c r="G620" s="709"/>
      <c r="H620" s="709"/>
      <c r="I620" s="709"/>
      <c r="J620" s="709"/>
      <c r="K620" s="709"/>
      <c r="L620" s="709"/>
    </row>
    <row r="621" ht="15.75" customHeight="1">
      <c r="A621" s="709"/>
      <c r="B621" s="709"/>
      <c r="C621" s="709"/>
      <c r="D621" s="709"/>
      <c r="E621" s="709"/>
      <c r="F621" s="709"/>
      <c r="G621" s="709"/>
      <c r="H621" s="709"/>
      <c r="I621" s="709"/>
      <c r="J621" s="709"/>
      <c r="K621" s="709"/>
      <c r="L621" s="709"/>
    </row>
    <row r="622" ht="15.75" customHeight="1">
      <c r="A622" s="709"/>
      <c r="B622" s="709"/>
      <c r="C622" s="709"/>
      <c r="D622" s="709"/>
      <c r="E622" s="709"/>
      <c r="F622" s="709"/>
      <c r="G622" s="709"/>
      <c r="H622" s="709"/>
      <c r="I622" s="709"/>
      <c r="J622" s="709"/>
      <c r="K622" s="709"/>
      <c r="L622" s="709"/>
    </row>
    <row r="623" ht="15.75" customHeight="1">
      <c r="A623" s="709"/>
      <c r="B623" s="709"/>
      <c r="C623" s="709"/>
      <c r="D623" s="709"/>
      <c r="E623" s="709"/>
      <c r="F623" s="709"/>
      <c r="G623" s="709"/>
      <c r="H623" s="709"/>
      <c r="I623" s="709"/>
      <c r="J623" s="709"/>
      <c r="K623" s="709"/>
      <c r="L623" s="709"/>
    </row>
    <row r="624" ht="15.75" customHeight="1">
      <c r="A624" s="709"/>
      <c r="B624" s="709"/>
      <c r="C624" s="709"/>
      <c r="D624" s="709"/>
      <c r="E624" s="709"/>
      <c r="F624" s="709"/>
      <c r="G624" s="709"/>
      <c r="H624" s="709"/>
      <c r="I624" s="709"/>
      <c r="J624" s="709"/>
      <c r="K624" s="709"/>
      <c r="L624" s="709"/>
    </row>
    <row r="625" ht="15.75" customHeight="1">
      <c r="A625" s="709"/>
      <c r="B625" s="709"/>
      <c r="C625" s="709"/>
      <c r="D625" s="709"/>
      <c r="E625" s="709"/>
      <c r="F625" s="709"/>
      <c r="G625" s="709"/>
      <c r="H625" s="709"/>
      <c r="I625" s="709"/>
      <c r="J625" s="709"/>
      <c r="K625" s="709"/>
      <c r="L625" s="709"/>
    </row>
    <row r="626" ht="15.75" customHeight="1">
      <c r="A626" s="709"/>
      <c r="B626" s="709"/>
      <c r="C626" s="709"/>
      <c r="D626" s="709"/>
      <c r="E626" s="709"/>
      <c r="F626" s="709"/>
      <c r="G626" s="709"/>
      <c r="H626" s="709"/>
      <c r="I626" s="709"/>
      <c r="J626" s="709"/>
      <c r="K626" s="709"/>
      <c r="L626" s="709"/>
    </row>
    <row r="627" ht="15.75" customHeight="1">
      <c r="A627" s="709"/>
      <c r="B627" s="709"/>
      <c r="C627" s="709"/>
      <c r="D627" s="709"/>
      <c r="E627" s="709"/>
      <c r="F627" s="709"/>
      <c r="G627" s="709"/>
      <c r="H627" s="709"/>
      <c r="I627" s="709"/>
      <c r="J627" s="709"/>
      <c r="K627" s="709"/>
      <c r="L627" s="709"/>
    </row>
    <row r="628" ht="15.75" customHeight="1">
      <c r="A628" s="709"/>
      <c r="B628" s="709"/>
      <c r="C628" s="709"/>
      <c r="D628" s="709"/>
      <c r="E628" s="709"/>
      <c r="F628" s="709"/>
      <c r="G628" s="709"/>
      <c r="H628" s="709"/>
      <c r="I628" s="709"/>
      <c r="J628" s="709"/>
      <c r="K628" s="709"/>
      <c r="L628" s="709"/>
    </row>
    <row r="629" ht="15.75" customHeight="1">
      <c r="A629" s="709"/>
      <c r="B629" s="709"/>
      <c r="C629" s="709"/>
      <c r="D629" s="709"/>
      <c r="E629" s="709"/>
      <c r="F629" s="709"/>
      <c r="G629" s="709"/>
      <c r="H629" s="709"/>
      <c r="I629" s="709"/>
      <c r="J629" s="709"/>
      <c r="K629" s="709"/>
      <c r="L629" s="709"/>
    </row>
    <row r="630" ht="15.75" customHeight="1">
      <c r="A630" s="709"/>
      <c r="B630" s="709"/>
      <c r="C630" s="709"/>
      <c r="D630" s="709"/>
      <c r="E630" s="709"/>
      <c r="F630" s="709"/>
      <c r="G630" s="709"/>
      <c r="H630" s="709"/>
      <c r="I630" s="709"/>
      <c r="J630" s="709"/>
      <c r="K630" s="709"/>
      <c r="L630" s="709"/>
    </row>
    <row r="631" ht="15.75" customHeight="1">
      <c r="A631" s="709"/>
      <c r="B631" s="709"/>
      <c r="C631" s="709"/>
      <c r="D631" s="709"/>
      <c r="E631" s="709"/>
      <c r="F631" s="709"/>
      <c r="G631" s="709"/>
      <c r="H631" s="709"/>
      <c r="I631" s="709"/>
      <c r="J631" s="709"/>
      <c r="K631" s="709"/>
      <c r="L631" s="709"/>
    </row>
    <row r="632" ht="15.75" customHeight="1">
      <c r="A632" s="709"/>
      <c r="B632" s="709"/>
      <c r="C632" s="709"/>
      <c r="D632" s="709"/>
      <c r="E632" s="709"/>
      <c r="F632" s="709"/>
      <c r="G632" s="709"/>
      <c r="H632" s="709"/>
      <c r="I632" s="709"/>
      <c r="J632" s="709"/>
      <c r="K632" s="709"/>
      <c r="L632" s="709"/>
    </row>
    <row r="633" ht="15.75" customHeight="1">
      <c r="A633" s="709"/>
      <c r="B633" s="709"/>
      <c r="C633" s="709"/>
      <c r="D633" s="709"/>
      <c r="E633" s="709"/>
      <c r="F633" s="709"/>
      <c r="G633" s="709"/>
      <c r="H633" s="709"/>
      <c r="I633" s="709"/>
      <c r="J633" s="709"/>
      <c r="K633" s="709"/>
      <c r="L633" s="709"/>
    </row>
    <row r="634" ht="15.75" customHeight="1">
      <c r="A634" s="709"/>
      <c r="B634" s="709"/>
      <c r="C634" s="709"/>
      <c r="D634" s="709"/>
      <c r="E634" s="709"/>
      <c r="F634" s="709"/>
      <c r="G634" s="709"/>
      <c r="H634" s="709"/>
      <c r="I634" s="709"/>
      <c r="J634" s="709"/>
      <c r="K634" s="709"/>
      <c r="L634" s="709"/>
    </row>
    <row r="635" ht="15.75" customHeight="1">
      <c r="A635" s="709"/>
      <c r="B635" s="709"/>
      <c r="C635" s="709"/>
      <c r="D635" s="709"/>
      <c r="E635" s="709"/>
      <c r="F635" s="709"/>
      <c r="G635" s="709"/>
      <c r="H635" s="709"/>
      <c r="I635" s="709"/>
      <c r="J635" s="709"/>
      <c r="K635" s="709"/>
      <c r="L635" s="709"/>
    </row>
    <row r="636" ht="15.75" customHeight="1">
      <c r="A636" s="709"/>
      <c r="B636" s="709"/>
      <c r="C636" s="709"/>
      <c r="D636" s="709"/>
      <c r="E636" s="709"/>
      <c r="F636" s="709"/>
      <c r="G636" s="709"/>
      <c r="H636" s="709"/>
      <c r="I636" s="709"/>
      <c r="J636" s="709"/>
      <c r="K636" s="709"/>
      <c r="L636" s="709"/>
    </row>
    <row r="637" ht="15.75" customHeight="1">
      <c r="A637" s="709"/>
      <c r="B637" s="709"/>
      <c r="C637" s="709"/>
      <c r="D637" s="709"/>
      <c r="E637" s="709"/>
      <c r="F637" s="709"/>
      <c r="G637" s="709"/>
      <c r="H637" s="709"/>
      <c r="I637" s="709"/>
      <c r="J637" s="709"/>
      <c r="K637" s="709"/>
      <c r="L637" s="709"/>
    </row>
    <row r="638" ht="15.75" customHeight="1">
      <c r="A638" s="709"/>
      <c r="B638" s="709"/>
      <c r="C638" s="709"/>
      <c r="D638" s="709"/>
      <c r="E638" s="709"/>
      <c r="F638" s="709"/>
      <c r="G638" s="709"/>
      <c r="H638" s="709"/>
      <c r="I638" s="709"/>
      <c r="J638" s="709"/>
      <c r="K638" s="709"/>
      <c r="L638" s="709"/>
    </row>
    <row r="639" ht="15.75" customHeight="1">
      <c r="A639" s="709"/>
      <c r="B639" s="709"/>
      <c r="C639" s="709"/>
      <c r="D639" s="709"/>
      <c r="E639" s="709"/>
      <c r="F639" s="709"/>
      <c r="G639" s="709"/>
      <c r="H639" s="709"/>
      <c r="I639" s="709"/>
      <c r="J639" s="709"/>
      <c r="K639" s="709"/>
      <c r="L639" s="709"/>
    </row>
    <row r="640" ht="15.75" customHeight="1">
      <c r="A640" s="709"/>
      <c r="B640" s="709"/>
      <c r="C640" s="709"/>
      <c r="D640" s="709"/>
      <c r="E640" s="709"/>
      <c r="F640" s="709"/>
      <c r="G640" s="709"/>
      <c r="H640" s="709"/>
      <c r="I640" s="709"/>
      <c r="J640" s="709"/>
      <c r="K640" s="709"/>
      <c r="L640" s="709"/>
    </row>
    <row r="641" ht="15.75" customHeight="1">
      <c r="A641" s="709"/>
      <c r="B641" s="709"/>
      <c r="C641" s="709"/>
      <c r="D641" s="709"/>
      <c r="E641" s="709"/>
      <c r="F641" s="709"/>
      <c r="G641" s="709"/>
      <c r="H641" s="709"/>
      <c r="I641" s="709"/>
      <c r="J641" s="709"/>
      <c r="K641" s="709"/>
      <c r="L641" s="709"/>
    </row>
    <row r="642" ht="15.75" customHeight="1">
      <c r="A642" s="709"/>
      <c r="B642" s="709"/>
      <c r="C642" s="709"/>
      <c r="D642" s="709"/>
      <c r="E642" s="709"/>
      <c r="F642" s="709"/>
      <c r="G642" s="709"/>
      <c r="H642" s="709"/>
      <c r="I642" s="709"/>
      <c r="J642" s="709"/>
      <c r="K642" s="709"/>
      <c r="L642" s="709"/>
    </row>
    <row r="643" ht="15.75" customHeight="1">
      <c r="A643" s="709"/>
      <c r="B643" s="709"/>
      <c r="C643" s="709"/>
      <c r="D643" s="709"/>
      <c r="E643" s="709"/>
      <c r="F643" s="709"/>
      <c r="G643" s="709"/>
      <c r="H643" s="709"/>
      <c r="I643" s="709"/>
      <c r="J643" s="709"/>
      <c r="K643" s="709"/>
      <c r="L643" s="709"/>
    </row>
    <row r="644" ht="15.75" customHeight="1">
      <c r="A644" s="709"/>
      <c r="B644" s="709"/>
      <c r="C644" s="709"/>
      <c r="D644" s="709"/>
      <c r="E644" s="709"/>
      <c r="F644" s="709"/>
      <c r="G644" s="709"/>
      <c r="H644" s="709"/>
      <c r="I644" s="709"/>
      <c r="J644" s="709"/>
      <c r="K644" s="709"/>
      <c r="L644" s="709"/>
    </row>
    <row r="645" ht="15.75" customHeight="1">
      <c r="A645" s="709"/>
      <c r="B645" s="709"/>
      <c r="C645" s="709"/>
      <c r="D645" s="709"/>
      <c r="E645" s="709"/>
      <c r="F645" s="709"/>
      <c r="G645" s="709"/>
      <c r="H645" s="709"/>
      <c r="I645" s="709"/>
      <c r="J645" s="709"/>
      <c r="K645" s="709"/>
      <c r="L645" s="709"/>
    </row>
    <row r="646" ht="15.75" customHeight="1">
      <c r="A646" s="709"/>
      <c r="B646" s="709"/>
      <c r="C646" s="709"/>
      <c r="D646" s="709"/>
      <c r="E646" s="709"/>
      <c r="F646" s="709"/>
      <c r="G646" s="709"/>
      <c r="H646" s="709"/>
      <c r="I646" s="709"/>
      <c r="J646" s="709"/>
      <c r="K646" s="709"/>
      <c r="L646" s="709"/>
    </row>
    <row r="647" ht="15.75" customHeight="1">
      <c r="A647" s="709"/>
      <c r="B647" s="709"/>
      <c r="C647" s="709"/>
      <c r="D647" s="709"/>
      <c r="E647" s="709"/>
      <c r="F647" s="709"/>
      <c r="G647" s="709"/>
      <c r="H647" s="709"/>
      <c r="I647" s="709"/>
      <c r="J647" s="709"/>
      <c r="K647" s="709"/>
      <c r="L647" s="709"/>
    </row>
    <row r="648" ht="15.75" customHeight="1">
      <c r="A648" s="709"/>
      <c r="B648" s="709"/>
      <c r="C648" s="709"/>
      <c r="D648" s="709"/>
      <c r="E648" s="709"/>
      <c r="F648" s="709"/>
      <c r="G648" s="709"/>
      <c r="H648" s="709"/>
      <c r="I648" s="709"/>
      <c r="J648" s="709"/>
      <c r="K648" s="709"/>
      <c r="L648" s="709"/>
    </row>
    <row r="649" ht="15.75" customHeight="1">
      <c r="A649" s="709"/>
      <c r="B649" s="709"/>
      <c r="C649" s="709"/>
      <c r="D649" s="709"/>
      <c r="E649" s="709"/>
      <c r="F649" s="709"/>
      <c r="G649" s="709"/>
      <c r="H649" s="709"/>
      <c r="I649" s="709"/>
      <c r="J649" s="709"/>
      <c r="K649" s="709"/>
      <c r="L649" s="709"/>
    </row>
    <row r="650" ht="15.75" customHeight="1">
      <c r="A650" s="709"/>
      <c r="B650" s="709"/>
      <c r="C650" s="709"/>
      <c r="D650" s="709"/>
      <c r="E650" s="709"/>
      <c r="F650" s="709"/>
      <c r="G650" s="709"/>
      <c r="H650" s="709"/>
      <c r="I650" s="709"/>
      <c r="J650" s="709"/>
      <c r="K650" s="709"/>
      <c r="L650" s="709"/>
    </row>
    <row r="651" ht="15.75" customHeight="1">
      <c r="A651" s="709"/>
      <c r="B651" s="709"/>
      <c r="C651" s="709"/>
      <c r="D651" s="709"/>
      <c r="E651" s="709"/>
      <c r="F651" s="709"/>
      <c r="G651" s="709"/>
      <c r="H651" s="709"/>
      <c r="I651" s="709"/>
      <c r="J651" s="709"/>
      <c r="K651" s="709"/>
      <c r="L651" s="709"/>
    </row>
    <row r="652" ht="15.75" customHeight="1">
      <c r="A652" s="709"/>
      <c r="B652" s="709"/>
      <c r="C652" s="709"/>
      <c r="D652" s="709"/>
      <c r="E652" s="709"/>
      <c r="F652" s="709"/>
      <c r="G652" s="709"/>
      <c r="H652" s="709"/>
      <c r="I652" s="709"/>
      <c r="J652" s="709"/>
      <c r="K652" s="709"/>
      <c r="L652" s="709"/>
    </row>
    <row r="653" ht="15.75" customHeight="1">
      <c r="A653" s="709"/>
      <c r="B653" s="709"/>
      <c r="C653" s="709"/>
      <c r="D653" s="709"/>
      <c r="E653" s="709"/>
      <c r="F653" s="709"/>
      <c r="G653" s="709"/>
      <c r="H653" s="709"/>
      <c r="I653" s="709"/>
      <c r="J653" s="709"/>
      <c r="K653" s="709"/>
      <c r="L653" s="709"/>
    </row>
    <row r="654" ht="15.75" customHeight="1">
      <c r="A654" s="709"/>
      <c r="B654" s="709"/>
      <c r="C654" s="709"/>
      <c r="D654" s="709"/>
      <c r="E654" s="709"/>
      <c r="F654" s="709"/>
      <c r="G654" s="709"/>
      <c r="H654" s="709"/>
      <c r="I654" s="709"/>
      <c r="J654" s="709"/>
      <c r="K654" s="709"/>
      <c r="L654" s="709"/>
    </row>
    <row r="655" ht="15.75" customHeight="1">
      <c r="A655" s="709"/>
      <c r="B655" s="709"/>
      <c r="C655" s="709"/>
      <c r="D655" s="709"/>
      <c r="E655" s="709"/>
      <c r="F655" s="709"/>
      <c r="G655" s="709"/>
      <c r="H655" s="709"/>
      <c r="I655" s="709"/>
      <c r="J655" s="709"/>
      <c r="K655" s="709"/>
      <c r="L655" s="709"/>
    </row>
    <row r="656" ht="15.75" customHeight="1">
      <c r="A656" s="709"/>
      <c r="B656" s="709"/>
      <c r="C656" s="709"/>
      <c r="D656" s="709"/>
      <c r="E656" s="709"/>
      <c r="F656" s="709"/>
      <c r="G656" s="709"/>
      <c r="H656" s="709"/>
      <c r="I656" s="709"/>
      <c r="J656" s="709"/>
      <c r="K656" s="709"/>
      <c r="L656" s="709"/>
    </row>
    <row r="657" ht="15.75" customHeight="1">
      <c r="A657" s="709"/>
      <c r="B657" s="709"/>
      <c r="C657" s="709"/>
      <c r="D657" s="709"/>
      <c r="E657" s="709"/>
      <c r="F657" s="709"/>
      <c r="G657" s="709"/>
      <c r="H657" s="709"/>
      <c r="I657" s="709"/>
      <c r="J657" s="709"/>
      <c r="K657" s="709"/>
      <c r="L657" s="709"/>
    </row>
    <row r="658" ht="15.75" customHeight="1">
      <c r="A658" s="709"/>
      <c r="B658" s="709"/>
      <c r="C658" s="709"/>
      <c r="D658" s="709"/>
      <c r="E658" s="709"/>
      <c r="F658" s="709"/>
      <c r="G658" s="709"/>
      <c r="H658" s="709"/>
      <c r="I658" s="709"/>
      <c r="J658" s="709"/>
      <c r="K658" s="709"/>
      <c r="L658" s="709"/>
    </row>
    <row r="659" ht="15.75" customHeight="1">
      <c r="A659" s="709"/>
      <c r="B659" s="709"/>
      <c r="C659" s="709"/>
      <c r="D659" s="709"/>
      <c r="E659" s="709"/>
      <c r="F659" s="709"/>
      <c r="G659" s="709"/>
      <c r="H659" s="709"/>
      <c r="I659" s="709"/>
      <c r="J659" s="709"/>
      <c r="K659" s="709"/>
      <c r="L659" s="709"/>
    </row>
    <row r="660" ht="15.75" customHeight="1">
      <c r="A660" s="709"/>
      <c r="B660" s="709"/>
      <c r="C660" s="709"/>
      <c r="D660" s="709"/>
      <c r="E660" s="709"/>
      <c r="F660" s="709"/>
      <c r="G660" s="709"/>
      <c r="H660" s="709"/>
      <c r="I660" s="709"/>
      <c r="J660" s="709"/>
      <c r="K660" s="709"/>
      <c r="L660" s="709"/>
    </row>
    <row r="661" ht="15.75" customHeight="1">
      <c r="A661" s="709"/>
      <c r="B661" s="709"/>
      <c r="C661" s="709"/>
      <c r="D661" s="709"/>
      <c r="E661" s="709"/>
      <c r="F661" s="709"/>
      <c r="G661" s="709"/>
      <c r="H661" s="709"/>
      <c r="I661" s="709"/>
      <c r="J661" s="709"/>
      <c r="K661" s="709"/>
      <c r="L661" s="709"/>
    </row>
    <row r="662" ht="15.75" customHeight="1">
      <c r="A662" s="709"/>
      <c r="B662" s="709"/>
      <c r="C662" s="709"/>
      <c r="D662" s="709"/>
      <c r="E662" s="709"/>
      <c r="F662" s="709"/>
      <c r="G662" s="709"/>
      <c r="H662" s="709"/>
      <c r="I662" s="709"/>
      <c r="J662" s="709"/>
      <c r="K662" s="709"/>
      <c r="L662" s="709"/>
    </row>
    <row r="663" ht="15.75" customHeight="1">
      <c r="A663" s="709"/>
      <c r="B663" s="709"/>
      <c r="C663" s="709"/>
      <c r="D663" s="709"/>
      <c r="E663" s="709"/>
      <c r="F663" s="709"/>
      <c r="G663" s="709"/>
      <c r="H663" s="709"/>
      <c r="I663" s="709"/>
      <c r="J663" s="709"/>
      <c r="K663" s="709"/>
      <c r="L663" s="709"/>
    </row>
    <row r="664" ht="15.75" customHeight="1">
      <c r="A664" s="709"/>
      <c r="B664" s="709"/>
      <c r="C664" s="709"/>
      <c r="D664" s="709"/>
      <c r="E664" s="709"/>
      <c r="F664" s="709"/>
      <c r="G664" s="709"/>
      <c r="H664" s="709"/>
      <c r="I664" s="709"/>
      <c r="J664" s="709"/>
      <c r="K664" s="709"/>
      <c r="L664" s="709"/>
    </row>
    <row r="665" ht="15.75" customHeight="1">
      <c r="A665" s="709"/>
      <c r="B665" s="709"/>
      <c r="C665" s="709"/>
      <c r="D665" s="709"/>
      <c r="E665" s="709"/>
      <c r="F665" s="709"/>
      <c r="G665" s="709"/>
      <c r="H665" s="709"/>
      <c r="I665" s="709"/>
      <c r="J665" s="709"/>
      <c r="K665" s="709"/>
      <c r="L665" s="709"/>
    </row>
    <row r="666" ht="15.75" customHeight="1">
      <c r="A666" s="709"/>
      <c r="B666" s="709"/>
      <c r="C666" s="709"/>
      <c r="D666" s="709"/>
      <c r="E666" s="709"/>
      <c r="F666" s="709"/>
      <c r="G666" s="709"/>
      <c r="H666" s="709"/>
      <c r="I666" s="709"/>
      <c r="J666" s="709"/>
      <c r="K666" s="709"/>
      <c r="L666" s="709"/>
    </row>
    <row r="667" ht="15.75" customHeight="1">
      <c r="A667" s="709"/>
      <c r="B667" s="709"/>
      <c r="C667" s="709"/>
      <c r="D667" s="709"/>
      <c r="E667" s="709"/>
      <c r="F667" s="709"/>
      <c r="G667" s="709"/>
      <c r="H667" s="709"/>
      <c r="I667" s="709"/>
      <c r="J667" s="709"/>
      <c r="K667" s="709"/>
      <c r="L667" s="709"/>
    </row>
    <row r="668" ht="15.75" customHeight="1">
      <c r="A668" s="709"/>
      <c r="B668" s="709"/>
      <c r="C668" s="709"/>
      <c r="D668" s="709"/>
      <c r="E668" s="709"/>
      <c r="F668" s="709"/>
      <c r="G668" s="709"/>
      <c r="H668" s="709"/>
      <c r="I668" s="709"/>
      <c r="J668" s="709"/>
      <c r="K668" s="709"/>
      <c r="L668" s="709"/>
    </row>
    <row r="669" ht="15.75" customHeight="1">
      <c r="A669" s="709"/>
      <c r="B669" s="709"/>
      <c r="C669" s="709"/>
      <c r="D669" s="709"/>
      <c r="E669" s="709"/>
      <c r="F669" s="709"/>
      <c r="G669" s="709"/>
      <c r="H669" s="709"/>
      <c r="I669" s="709"/>
      <c r="J669" s="709"/>
      <c r="K669" s="709"/>
      <c r="L669" s="709"/>
    </row>
    <row r="670" ht="15.75" customHeight="1">
      <c r="A670" s="709"/>
      <c r="B670" s="709"/>
      <c r="C670" s="709"/>
      <c r="D670" s="709"/>
      <c r="E670" s="709"/>
      <c r="F670" s="709"/>
      <c r="G670" s="709"/>
      <c r="H670" s="709"/>
      <c r="I670" s="709"/>
      <c r="J670" s="709"/>
      <c r="K670" s="709"/>
      <c r="L670" s="709"/>
    </row>
    <row r="671" ht="15.75" customHeight="1">
      <c r="A671" s="709"/>
      <c r="B671" s="709"/>
      <c r="C671" s="709"/>
      <c r="D671" s="709"/>
      <c r="E671" s="709"/>
      <c r="F671" s="709"/>
      <c r="G671" s="709"/>
      <c r="H671" s="709"/>
      <c r="I671" s="709"/>
      <c r="J671" s="709"/>
      <c r="K671" s="709"/>
      <c r="L671" s="709"/>
    </row>
    <row r="672" ht="15.75" customHeight="1">
      <c r="A672" s="709"/>
      <c r="B672" s="709"/>
      <c r="C672" s="709"/>
      <c r="D672" s="709"/>
      <c r="E672" s="709"/>
      <c r="F672" s="709"/>
      <c r="G672" s="709"/>
      <c r="H672" s="709"/>
      <c r="I672" s="709"/>
      <c r="J672" s="709"/>
      <c r="K672" s="709"/>
      <c r="L672" s="709"/>
    </row>
    <row r="673" ht="15.75" customHeight="1">
      <c r="A673" s="709"/>
      <c r="B673" s="709"/>
      <c r="C673" s="709"/>
      <c r="D673" s="709"/>
      <c r="E673" s="709"/>
      <c r="F673" s="709"/>
      <c r="G673" s="709"/>
      <c r="H673" s="709"/>
      <c r="I673" s="709"/>
      <c r="J673" s="709"/>
      <c r="K673" s="709"/>
      <c r="L673" s="709"/>
    </row>
    <row r="674" ht="15.75" customHeight="1">
      <c r="A674" s="709"/>
      <c r="B674" s="709"/>
      <c r="C674" s="709"/>
      <c r="D674" s="709"/>
      <c r="E674" s="709"/>
      <c r="F674" s="709"/>
      <c r="G674" s="709"/>
      <c r="H674" s="709"/>
      <c r="I674" s="709"/>
      <c r="J674" s="709"/>
      <c r="K674" s="709"/>
      <c r="L674" s="709"/>
    </row>
    <row r="675" ht="15.75" customHeight="1">
      <c r="A675" s="709"/>
      <c r="B675" s="709"/>
      <c r="C675" s="709"/>
      <c r="D675" s="709"/>
      <c r="E675" s="709"/>
      <c r="F675" s="709"/>
      <c r="G675" s="709"/>
      <c r="H675" s="709"/>
      <c r="I675" s="709"/>
      <c r="J675" s="709"/>
      <c r="K675" s="709"/>
      <c r="L675" s="709"/>
    </row>
    <row r="676" ht="15.75" customHeight="1">
      <c r="A676" s="709"/>
      <c r="B676" s="709"/>
      <c r="C676" s="709"/>
      <c r="D676" s="709"/>
      <c r="E676" s="709"/>
      <c r="F676" s="709"/>
      <c r="G676" s="709"/>
      <c r="H676" s="709"/>
      <c r="I676" s="709"/>
      <c r="J676" s="709"/>
      <c r="K676" s="709"/>
      <c r="L676" s="709"/>
    </row>
    <row r="677" ht="15.75" customHeight="1">
      <c r="A677" s="709"/>
      <c r="B677" s="709"/>
      <c r="C677" s="709"/>
      <c r="D677" s="709"/>
      <c r="E677" s="709"/>
      <c r="F677" s="709"/>
      <c r="G677" s="709"/>
      <c r="H677" s="709"/>
      <c r="I677" s="709"/>
      <c r="J677" s="709"/>
      <c r="K677" s="709"/>
      <c r="L677" s="709"/>
    </row>
    <row r="678" ht="15.75" customHeight="1">
      <c r="A678" s="709"/>
      <c r="B678" s="709"/>
      <c r="C678" s="709"/>
      <c r="D678" s="709"/>
      <c r="E678" s="709"/>
      <c r="F678" s="709"/>
      <c r="G678" s="709"/>
      <c r="H678" s="709"/>
      <c r="I678" s="709"/>
      <c r="J678" s="709"/>
      <c r="K678" s="709"/>
      <c r="L678" s="709"/>
    </row>
    <row r="679" ht="15.75" customHeight="1">
      <c r="A679" s="709"/>
      <c r="B679" s="709"/>
      <c r="C679" s="709"/>
      <c r="D679" s="709"/>
      <c r="E679" s="709"/>
      <c r="F679" s="709"/>
      <c r="G679" s="709"/>
      <c r="H679" s="709"/>
      <c r="I679" s="709"/>
      <c r="J679" s="709"/>
      <c r="K679" s="709"/>
      <c r="L679" s="709"/>
    </row>
    <row r="680" ht="15.75" customHeight="1">
      <c r="A680" s="709"/>
      <c r="B680" s="709"/>
      <c r="C680" s="709"/>
      <c r="D680" s="709"/>
      <c r="E680" s="709"/>
      <c r="F680" s="709"/>
      <c r="G680" s="709"/>
      <c r="H680" s="709"/>
      <c r="I680" s="709"/>
      <c r="J680" s="709"/>
      <c r="K680" s="709"/>
      <c r="L680" s="709"/>
    </row>
    <row r="681" ht="15.75" customHeight="1">
      <c r="A681" s="709"/>
      <c r="B681" s="709"/>
      <c r="C681" s="709"/>
      <c r="D681" s="709"/>
      <c r="E681" s="709"/>
      <c r="F681" s="709"/>
      <c r="G681" s="709"/>
      <c r="H681" s="709"/>
      <c r="I681" s="709"/>
      <c r="J681" s="709"/>
      <c r="K681" s="709"/>
      <c r="L681" s="709"/>
    </row>
    <row r="682" ht="15.75" customHeight="1">
      <c r="A682" s="709"/>
      <c r="B682" s="709"/>
      <c r="C682" s="709"/>
      <c r="D682" s="709"/>
      <c r="E682" s="709"/>
      <c r="F682" s="709"/>
      <c r="G682" s="709"/>
      <c r="H682" s="709"/>
      <c r="I682" s="709"/>
      <c r="J682" s="709"/>
      <c r="K682" s="709"/>
      <c r="L682" s="709"/>
    </row>
    <row r="683" ht="15.75" customHeight="1">
      <c r="A683" s="709"/>
      <c r="B683" s="709"/>
      <c r="C683" s="709"/>
      <c r="D683" s="709"/>
      <c r="E683" s="709"/>
      <c r="F683" s="709"/>
      <c r="G683" s="709"/>
      <c r="H683" s="709"/>
      <c r="I683" s="709"/>
      <c r="J683" s="709"/>
      <c r="K683" s="709"/>
      <c r="L683" s="709"/>
    </row>
    <row r="684" ht="15.75" customHeight="1">
      <c r="A684" s="709"/>
      <c r="B684" s="709"/>
      <c r="C684" s="709"/>
      <c r="D684" s="709"/>
      <c r="E684" s="709"/>
      <c r="F684" s="709"/>
      <c r="G684" s="709"/>
      <c r="H684" s="709"/>
      <c r="I684" s="709"/>
      <c r="J684" s="709"/>
      <c r="K684" s="709"/>
      <c r="L684" s="709"/>
    </row>
    <row r="685" ht="15.75" customHeight="1">
      <c r="A685" s="709"/>
      <c r="B685" s="709"/>
      <c r="C685" s="709"/>
      <c r="D685" s="709"/>
      <c r="E685" s="709"/>
      <c r="F685" s="709"/>
      <c r="G685" s="709"/>
      <c r="H685" s="709"/>
      <c r="I685" s="709"/>
      <c r="J685" s="709"/>
      <c r="K685" s="709"/>
      <c r="L685" s="709"/>
    </row>
    <row r="686" ht="15.75" customHeight="1">
      <c r="A686" s="709"/>
      <c r="B686" s="709"/>
      <c r="C686" s="709"/>
      <c r="D686" s="709"/>
      <c r="E686" s="709"/>
      <c r="F686" s="709"/>
      <c r="G686" s="709"/>
      <c r="H686" s="709"/>
      <c r="I686" s="709"/>
      <c r="J686" s="709"/>
      <c r="K686" s="709"/>
      <c r="L686" s="709"/>
    </row>
    <row r="687" ht="15.75" customHeight="1">
      <c r="A687" s="709"/>
      <c r="B687" s="709"/>
      <c r="C687" s="709"/>
      <c r="D687" s="709"/>
      <c r="E687" s="709"/>
      <c r="F687" s="709"/>
      <c r="G687" s="709"/>
      <c r="H687" s="709"/>
      <c r="I687" s="709"/>
      <c r="J687" s="709"/>
      <c r="K687" s="709"/>
      <c r="L687" s="709"/>
    </row>
    <row r="688" ht="15.75" customHeight="1">
      <c r="A688" s="709"/>
      <c r="B688" s="709"/>
      <c r="C688" s="709"/>
      <c r="D688" s="709"/>
      <c r="E688" s="709"/>
      <c r="F688" s="709"/>
      <c r="G688" s="709"/>
      <c r="H688" s="709"/>
      <c r="I688" s="709"/>
      <c r="J688" s="709"/>
      <c r="K688" s="709"/>
      <c r="L688" s="709"/>
    </row>
    <row r="689" ht="15.75" customHeight="1">
      <c r="A689" s="709"/>
      <c r="B689" s="709"/>
      <c r="C689" s="709"/>
      <c r="D689" s="709"/>
      <c r="E689" s="709"/>
      <c r="F689" s="709"/>
      <c r="G689" s="709"/>
      <c r="H689" s="709"/>
      <c r="I689" s="709"/>
      <c r="J689" s="709"/>
      <c r="K689" s="709"/>
      <c r="L689" s="709"/>
    </row>
    <row r="690" ht="15.75" customHeight="1">
      <c r="A690" s="709"/>
      <c r="B690" s="709"/>
      <c r="C690" s="709"/>
      <c r="D690" s="709"/>
      <c r="E690" s="709"/>
      <c r="F690" s="709"/>
      <c r="G690" s="709"/>
      <c r="H690" s="709"/>
      <c r="I690" s="709"/>
      <c r="J690" s="709"/>
      <c r="K690" s="709"/>
      <c r="L690" s="709"/>
    </row>
    <row r="691" ht="15.75" customHeight="1">
      <c r="A691" s="709"/>
      <c r="B691" s="709"/>
      <c r="C691" s="709"/>
      <c r="D691" s="709"/>
      <c r="E691" s="709"/>
      <c r="F691" s="709"/>
      <c r="G691" s="709"/>
      <c r="H691" s="709"/>
      <c r="I691" s="709"/>
      <c r="J691" s="709"/>
      <c r="K691" s="709"/>
      <c r="L691" s="709"/>
    </row>
    <row r="692" ht="15.75" customHeight="1">
      <c r="A692" s="709"/>
      <c r="B692" s="709"/>
      <c r="C692" s="709"/>
      <c r="D692" s="709"/>
      <c r="E692" s="709"/>
      <c r="F692" s="709"/>
      <c r="G692" s="709"/>
      <c r="H692" s="709"/>
      <c r="I692" s="709"/>
      <c r="J692" s="709"/>
      <c r="K692" s="709"/>
      <c r="L692" s="709"/>
    </row>
    <row r="693" ht="15.75" customHeight="1">
      <c r="A693" s="709"/>
      <c r="B693" s="709"/>
      <c r="C693" s="709"/>
      <c r="D693" s="709"/>
      <c r="E693" s="709"/>
      <c r="F693" s="709"/>
      <c r="G693" s="709"/>
      <c r="H693" s="709"/>
      <c r="I693" s="709"/>
      <c r="J693" s="709"/>
      <c r="K693" s="709"/>
      <c r="L693" s="709"/>
    </row>
    <row r="694" ht="15.75" customHeight="1">
      <c r="A694" s="709"/>
      <c r="B694" s="709"/>
      <c r="C694" s="709"/>
      <c r="D694" s="709"/>
      <c r="E694" s="709"/>
      <c r="F694" s="709"/>
      <c r="G694" s="709"/>
      <c r="H694" s="709"/>
      <c r="I694" s="709"/>
      <c r="J694" s="709"/>
      <c r="K694" s="709"/>
      <c r="L694" s="709"/>
    </row>
    <row r="695" ht="15.75" customHeight="1">
      <c r="A695" s="709"/>
      <c r="B695" s="709"/>
      <c r="C695" s="709"/>
      <c r="D695" s="709"/>
      <c r="E695" s="709"/>
      <c r="F695" s="709"/>
      <c r="G695" s="709"/>
      <c r="H695" s="709"/>
      <c r="I695" s="709"/>
      <c r="J695" s="709"/>
      <c r="K695" s="709"/>
      <c r="L695" s="709"/>
    </row>
    <row r="696" ht="15.75" customHeight="1">
      <c r="A696" s="709"/>
      <c r="B696" s="709"/>
      <c r="C696" s="709"/>
      <c r="D696" s="709"/>
      <c r="E696" s="709"/>
      <c r="F696" s="709"/>
      <c r="G696" s="709"/>
      <c r="H696" s="709"/>
      <c r="I696" s="709"/>
      <c r="J696" s="709"/>
      <c r="K696" s="709"/>
      <c r="L696" s="709"/>
    </row>
    <row r="697" ht="15.75" customHeight="1">
      <c r="A697" s="709"/>
      <c r="B697" s="709"/>
      <c r="C697" s="709"/>
      <c r="D697" s="709"/>
      <c r="E697" s="709"/>
      <c r="F697" s="709"/>
      <c r="G697" s="709"/>
      <c r="H697" s="709"/>
      <c r="I697" s="709"/>
      <c r="J697" s="709"/>
      <c r="K697" s="709"/>
      <c r="L697" s="709"/>
    </row>
  </sheetData>
  <mergeCells count="23">
    <mergeCell ref="J10:K10"/>
    <mergeCell ref="J11:K11"/>
    <mergeCell ref="J6:L6"/>
    <mergeCell ref="D7:F7"/>
    <mergeCell ref="H9:I9"/>
    <mergeCell ref="J9:K9"/>
    <mergeCell ref="C10:G10"/>
    <mergeCell ref="H10:I10"/>
    <mergeCell ref="C11:G11"/>
    <mergeCell ref="C15:G15"/>
    <mergeCell ref="C16:G16"/>
    <mergeCell ref="J16:K16"/>
    <mergeCell ref="A17:D17"/>
    <mergeCell ref="A18:C18"/>
    <mergeCell ref="E18:I22"/>
    <mergeCell ref="K24:L25"/>
    <mergeCell ref="C12:G12"/>
    <mergeCell ref="J12:K12"/>
    <mergeCell ref="C13:G13"/>
    <mergeCell ref="J13:K13"/>
    <mergeCell ref="C14:G14"/>
    <mergeCell ref="J14:K14"/>
    <mergeCell ref="J15:K15"/>
  </mergeCells>
  <printOptions horizontalCentered="1"/>
  <pageMargins bottom="0.16719345875496605" footer="0.0" header="0.0" left="0.15564914850759937" right="0.16480498077275227" top="0.39370078740157477"/>
  <pageSetup paperSize="11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1.71"/>
    <col customWidth="1" min="3" max="3" width="8.71"/>
    <col customWidth="1" min="4" max="4" width="11.43"/>
    <col customWidth="1" min="5" max="5" width="8.71"/>
    <col customWidth="1" min="6" max="6" width="6.71"/>
    <col customWidth="1" min="7" max="7" width="7.29"/>
    <col customWidth="1" min="8" max="8" width="3.57"/>
    <col customWidth="1" min="9" max="9" width="3.43"/>
    <col customWidth="1" min="10" max="10" width="6.43"/>
    <col customWidth="1" min="11" max="11" width="9.71"/>
    <col customWidth="1" min="12" max="12" width="12.0"/>
    <col customWidth="1" min="13" max="16" width="8.71"/>
  </cols>
  <sheetData>
    <row r="1" ht="13.5" customHeight="1">
      <c r="A1" s="590" t="s">
        <v>9772</v>
      </c>
      <c r="B1" s="591"/>
      <c r="C1" s="592"/>
      <c r="D1" s="592"/>
      <c r="E1" s="592"/>
      <c r="F1" s="593"/>
      <c r="G1" s="592"/>
      <c r="H1" s="592"/>
      <c r="I1" s="592"/>
      <c r="J1" s="594" t="s">
        <v>9773</v>
      </c>
      <c r="L1" s="595">
        <v>46085.0</v>
      </c>
    </row>
    <row r="2" ht="13.5" customHeight="1">
      <c r="A2" s="596" t="s">
        <v>9774</v>
      </c>
      <c r="B2" s="597"/>
      <c r="C2" s="598"/>
      <c r="D2" s="598"/>
      <c r="E2" s="598"/>
      <c r="F2" s="592"/>
      <c r="G2" s="592"/>
      <c r="H2" s="592"/>
      <c r="I2" s="592"/>
      <c r="J2" s="594" t="s">
        <v>9775</v>
      </c>
      <c r="L2" s="676"/>
    </row>
    <row r="3" ht="13.5" customHeight="1">
      <c r="A3" s="599" t="s">
        <v>9776</v>
      </c>
      <c r="B3" s="600"/>
      <c r="C3" s="592"/>
      <c r="D3" s="601"/>
      <c r="E3" s="601"/>
      <c r="F3" s="601"/>
      <c r="G3" s="601"/>
      <c r="H3" s="601"/>
      <c r="I3" s="601"/>
      <c r="J3" s="548" t="s">
        <v>4394</v>
      </c>
      <c r="K3" s="677"/>
      <c r="L3" s="677"/>
    </row>
    <row r="4" ht="13.5" customHeight="1">
      <c r="A4" s="604"/>
      <c r="B4" s="604"/>
      <c r="C4" s="592"/>
      <c r="D4" s="601"/>
      <c r="E4" s="601"/>
      <c r="F4" s="601"/>
      <c r="G4" s="601"/>
      <c r="H4" s="601"/>
      <c r="I4" s="601"/>
      <c r="J4" s="697" t="s">
        <v>4395</v>
      </c>
    </row>
    <row r="5" ht="13.5" customHeight="1">
      <c r="A5" s="604"/>
      <c r="B5" s="604"/>
      <c r="C5" s="592"/>
      <c r="D5" s="601"/>
      <c r="E5" s="601"/>
      <c r="F5" s="601"/>
      <c r="G5" s="601"/>
      <c r="H5" s="601"/>
      <c r="I5" s="601"/>
      <c r="J5" s="711" t="s">
        <v>9812</v>
      </c>
      <c r="K5" s="607"/>
      <c r="L5" s="607"/>
    </row>
    <row r="6" ht="13.5" customHeight="1">
      <c r="A6" s="604"/>
      <c r="B6" s="604"/>
      <c r="C6" s="592"/>
      <c r="D6" s="601"/>
      <c r="E6" s="601"/>
      <c r="F6" s="601"/>
      <c r="G6" s="601"/>
      <c r="H6" s="601"/>
      <c r="I6" s="601"/>
      <c r="J6" s="606"/>
    </row>
    <row r="7" ht="13.5" customHeight="1">
      <c r="A7" s="604"/>
      <c r="B7" s="604"/>
      <c r="C7" s="592"/>
      <c r="D7" s="601"/>
      <c r="E7" s="601"/>
      <c r="F7" s="601"/>
      <c r="G7" s="601"/>
      <c r="H7" s="601"/>
      <c r="I7" s="601"/>
      <c r="J7" s="606"/>
      <c r="K7" s="606"/>
      <c r="L7" s="606"/>
    </row>
    <row r="8" ht="13.5" customHeight="1">
      <c r="A8" s="604"/>
      <c r="B8" s="604"/>
      <c r="C8" s="592"/>
      <c r="D8" s="608" t="s">
        <v>9777</v>
      </c>
      <c r="G8" s="601"/>
      <c r="H8" s="601"/>
      <c r="I8" s="601"/>
      <c r="J8" s="609"/>
      <c r="K8" s="609"/>
      <c r="L8" s="609"/>
    </row>
    <row r="9" ht="13.5" customHeight="1">
      <c r="A9" s="17"/>
      <c r="B9" s="600"/>
      <c r="C9" s="17"/>
      <c r="D9" s="611"/>
      <c r="E9" s="611"/>
      <c r="F9" s="611"/>
      <c r="G9" s="17"/>
      <c r="H9" s="17"/>
      <c r="I9" s="17"/>
      <c r="J9" s="612"/>
      <c r="K9" s="612"/>
      <c r="L9" s="612"/>
    </row>
    <row r="10" ht="13.5" customHeight="1">
      <c r="A10" s="613" t="s">
        <v>2727</v>
      </c>
      <c r="B10" s="679" t="s">
        <v>8445</v>
      </c>
      <c r="C10" s="17"/>
      <c r="D10" s="615"/>
      <c r="E10" s="17"/>
      <c r="F10" s="17"/>
      <c r="G10" s="17"/>
      <c r="H10" s="616"/>
      <c r="I10" s="617"/>
      <c r="J10" s="616" t="s">
        <v>9778</v>
      </c>
      <c r="K10" s="617"/>
      <c r="L10" s="533" t="s">
        <v>8446</v>
      </c>
    </row>
    <row r="11" ht="13.5" customHeight="1">
      <c r="A11" s="618" t="s">
        <v>9779</v>
      </c>
      <c r="B11" s="675" t="s">
        <v>0</v>
      </c>
      <c r="C11" s="618" t="s">
        <v>9780</v>
      </c>
      <c r="D11" s="122"/>
      <c r="E11" s="122"/>
      <c r="F11" s="122"/>
      <c r="G11" s="122"/>
      <c r="H11" s="620" t="s">
        <v>9781</v>
      </c>
      <c r="I11" s="621"/>
      <c r="J11" s="620" t="s">
        <v>9782</v>
      </c>
      <c r="K11" s="621"/>
      <c r="L11" s="618" t="s">
        <v>2740</v>
      </c>
      <c r="M11" s="622"/>
      <c r="N11" s="622"/>
      <c r="O11" s="622"/>
      <c r="P11" s="622"/>
      <c r="Q11" s="622"/>
      <c r="R11" s="622"/>
      <c r="S11" s="622"/>
      <c r="T11" s="622"/>
      <c r="U11" s="622"/>
      <c r="V11" s="622"/>
      <c r="W11" s="622"/>
      <c r="X11" s="622"/>
      <c r="Y11" s="622"/>
      <c r="Z11" s="622"/>
    </row>
    <row r="12" ht="13.5" customHeight="1">
      <c r="A12" s="623">
        <v>1.0</v>
      </c>
      <c r="B12" s="596" t="s">
        <v>7318</v>
      </c>
      <c r="C12" s="229" t="str">
        <f>IFERROR(VLOOKUP(B12,Stock,3,FALSE),"")</f>
        <v>Toyota Avanza / Xenia 15-21 3rd Gen</v>
      </c>
      <c r="H12" s="624">
        <v>1.0</v>
      </c>
      <c r="I12" s="624" t="s">
        <v>2729</v>
      </c>
      <c r="J12" s="683">
        <v>999000.0</v>
      </c>
      <c r="K12" s="621"/>
      <c r="L12" s="625">
        <f t="shared" ref="L12:L16" si="1">H12*J12</f>
        <v>999000</v>
      </c>
    </row>
    <row r="13" ht="13.5" customHeight="1">
      <c r="A13" s="623">
        <v>2.0</v>
      </c>
      <c r="B13" s="45" t="s">
        <v>7011</v>
      </c>
      <c r="C13" s="229" t="str">
        <f>IFERROR(VLOOKUP(B13,Stock,3,FALSE),"")</f>
        <v>Automotive Film Standard - Black 40%				</v>
      </c>
      <c r="H13" s="444">
        <v>1.0</v>
      </c>
      <c r="I13" s="444" t="s">
        <v>2729</v>
      </c>
      <c r="J13" s="627">
        <v>350000.0</v>
      </c>
      <c r="L13" s="625">
        <f t="shared" si="1"/>
        <v>350000</v>
      </c>
    </row>
    <row r="14" ht="13.5" customHeight="1">
      <c r="A14" s="623"/>
      <c r="B14" s="264"/>
      <c r="C14" s="229" t="str">
        <f>IFERROR(VLOOKUP(B14,Stock,3,FALSE),"")</f>
        <v/>
      </c>
      <c r="H14" s="444"/>
      <c r="I14" s="444"/>
      <c r="J14" s="627"/>
      <c r="L14" s="625">
        <f t="shared" si="1"/>
        <v>0</v>
      </c>
      <c r="P14" s="17"/>
    </row>
    <row r="15" ht="13.5" customHeight="1">
      <c r="A15" s="444"/>
      <c r="B15" s="201"/>
      <c r="C15" s="229" t="str">
        <f>IFERROR(VLOOKUP(B15,Stock,3,FALSE),"")</f>
        <v/>
      </c>
      <c r="H15" s="444"/>
      <c r="I15" s="444"/>
      <c r="J15" s="627"/>
      <c r="L15" s="625">
        <f t="shared" si="1"/>
        <v>0</v>
      </c>
    </row>
    <row r="16" ht="13.5" customHeight="1">
      <c r="A16" s="628"/>
      <c r="B16" s="628"/>
      <c r="C16" s="712"/>
      <c r="H16" s="628"/>
      <c r="I16" s="628"/>
      <c r="J16" s="627"/>
      <c r="L16" s="625">
        <f t="shared" si="1"/>
        <v>0</v>
      </c>
    </row>
    <row r="17" ht="13.5" customHeight="1">
      <c r="A17" s="713"/>
      <c r="B17" s="630"/>
      <c r="C17" s="617"/>
      <c r="D17" s="617"/>
      <c r="E17" s="617"/>
      <c r="F17" s="617"/>
      <c r="G17" s="617"/>
      <c r="H17" s="628"/>
      <c r="I17" s="628"/>
      <c r="J17" s="631"/>
      <c r="K17" s="617"/>
      <c r="L17" s="625"/>
    </row>
    <row r="18" ht="13.5" customHeight="1">
      <c r="A18" s="685" t="s">
        <v>9785</v>
      </c>
      <c r="B18" s="621"/>
      <c r="C18" s="621"/>
      <c r="D18" s="621"/>
      <c r="E18" s="633"/>
      <c r="F18" s="633"/>
      <c r="G18" s="633"/>
      <c r="H18" s="634"/>
      <c r="I18" s="635"/>
      <c r="J18" s="636"/>
      <c r="K18" s="637" t="s">
        <v>9786</v>
      </c>
      <c r="L18" s="638">
        <f>SUM(L12:L17)</f>
        <v>1349000</v>
      </c>
    </row>
    <row r="19" ht="13.5" customHeight="1">
      <c r="A19" s="639"/>
      <c r="D19" s="640"/>
      <c r="E19" s="641"/>
      <c r="G19" s="642"/>
      <c r="H19" s="642"/>
      <c r="I19" s="642"/>
      <c r="J19" s="643"/>
      <c r="K19" s="201" t="s">
        <v>9787</v>
      </c>
      <c r="L19" s="687">
        <v>0.0</v>
      </c>
    </row>
    <row r="20" ht="13.5" customHeight="1">
      <c r="A20" s="639"/>
      <c r="B20" s="639"/>
      <c r="C20" s="639"/>
      <c r="D20" s="640"/>
      <c r="E20" s="641"/>
      <c r="G20" s="642"/>
      <c r="H20" s="642"/>
      <c r="I20" s="642"/>
      <c r="J20" s="643"/>
      <c r="K20" s="201" t="s">
        <v>9789</v>
      </c>
      <c r="L20" s="687">
        <v>0.0</v>
      </c>
    </row>
    <row r="21" ht="13.5" customHeight="1">
      <c r="A21" s="592"/>
      <c r="B21" s="628"/>
      <c r="C21" s="628"/>
      <c r="D21" s="628"/>
      <c r="E21" s="641"/>
      <c r="F21" s="642"/>
      <c r="G21" s="642"/>
      <c r="H21" s="642"/>
      <c r="I21" s="642"/>
      <c r="J21" s="646"/>
      <c r="K21" s="614" t="s">
        <v>9790</v>
      </c>
      <c r="L21" s="648">
        <f>L18-L19-L20</f>
        <v>1349000</v>
      </c>
    </row>
    <row r="22" ht="13.5" customHeight="1">
      <c r="A22" s="592"/>
      <c r="B22" s="604"/>
      <c r="C22" s="604"/>
      <c r="D22" s="649"/>
      <c r="E22" s="641"/>
      <c r="F22" s="642"/>
      <c r="G22" s="642"/>
      <c r="H22" s="642"/>
      <c r="I22" s="642"/>
      <c r="J22" s="650"/>
      <c r="K22" s="637"/>
      <c r="L22" s="651"/>
    </row>
    <row r="23" ht="13.5" customHeight="1">
      <c r="A23" s="592"/>
      <c r="B23" s="604"/>
      <c r="C23" s="604"/>
      <c r="D23" s="604"/>
      <c r="E23" s="604"/>
      <c r="F23" s="642"/>
      <c r="G23" s="642"/>
      <c r="H23" s="642"/>
      <c r="I23" s="642"/>
      <c r="J23" s="652" t="s">
        <v>1973</v>
      </c>
      <c r="K23" s="653" t="s">
        <v>9791</v>
      </c>
      <c r="L23" s="653"/>
    </row>
    <row r="24" ht="13.5" customHeight="1">
      <c r="A24" s="654" t="s">
        <v>9792</v>
      </c>
      <c r="B24" s="591"/>
      <c r="C24" s="591"/>
      <c r="D24" s="649"/>
      <c r="E24" s="604"/>
      <c r="F24" s="707"/>
      <c r="G24" s="707"/>
      <c r="H24" s="707"/>
      <c r="I24" s="707"/>
      <c r="J24" s="655"/>
      <c r="K24" s="656"/>
    </row>
    <row r="25" ht="13.5" customHeight="1">
      <c r="B25" s="657"/>
      <c r="F25" s="594" t="s">
        <v>1973</v>
      </c>
      <c r="H25" s="658"/>
      <c r="I25" s="658"/>
      <c r="J25" s="650"/>
      <c r="K25" s="659"/>
      <c r="L25" s="646"/>
    </row>
    <row r="26" ht="13.5" customHeight="1">
      <c r="K26" s="660"/>
      <c r="L26" s="660"/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22">
    <mergeCell ref="J11:K11"/>
    <mergeCell ref="J12:K12"/>
    <mergeCell ref="K24:L24"/>
    <mergeCell ref="J6:L6"/>
    <mergeCell ref="D8:F8"/>
    <mergeCell ref="H10:I10"/>
    <mergeCell ref="J10:K10"/>
    <mergeCell ref="C11:G11"/>
    <mergeCell ref="H11:I11"/>
    <mergeCell ref="C12:G12"/>
    <mergeCell ref="C16:G16"/>
    <mergeCell ref="B17:G17"/>
    <mergeCell ref="J17:K17"/>
    <mergeCell ref="A18:D18"/>
    <mergeCell ref="A19:C19"/>
    <mergeCell ref="C13:G13"/>
    <mergeCell ref="J13:K13"/>
    <mergeCell ref="C14:G14"/>
    <mergeCell ref="J14:K14"/>
    <mergeCell ref="C15:G15"/>
    <mergeCell ref="J15:K15"/>
    <mergeCell ref="J16:K16"/>
  </mergeCells>
  <printOptions horizontalCentered="1"/>
  <pageMargins bottom="0.75" footer="0.0" header="0.0" left="0.25" right="0.25" top="0.75"/>
  <pageSetup paperSize="11" scale="92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1.71"/>
    <col customWidth="1" min="3" max="3" width="8.71"/>
    <col customWidth="1" min="4" max="4" width="11.43"/>
    <col customWidth="1" min="5" max="5" width="8.71"/>
    <col customWidth="1" min="6" max="6" width="6.71"/>
    <col customWidth="1" min="7" max="7" width="7.29"/>
    <col customWidth="1" min="8" max="8" width="3.57"/>
    <col customWidth="1" min="9" max="9" width="3.43"/>
    <col customWidth="1" min="10" max="10" width="6.43"/>
    <col customWidth="1" min="11" max="11" width="9.71"/>
    <col customWidth="1" min="12" max="12" width="13.14"/>
    <col customWidth="1" min="13" max="16" width="8.71"/>
  </cols>
  <sheetData>
    <row r="1" ht="13.5" customHeight="1">
      <c r="A1" s="590" t="s">
        <v>9772</v>
      </c>
      <c r="B1" s="591"/>
      <c r="C1" s="592"/>
      <c r="D1" s="592"/>
      <c r="E1" s="592"/>
      <c r="F1" s="593"/>
      <c r="G1" s="592"/>
      <c r="H1" s="592"/>
      <c r="I1" s="592"/>
      <c r="J1" s="594" t="s">
        <v>9773</v>
      </c>
      <c r="L1" s="595">
        <v>46080.0</v>
      </c>
    </row>
    <row r="2" ht="13.5" customHeight="1">
      <c r="A2" s="596" t="s">
        <v>9774</v>
      </c>
      <c r="B2" s="597"/>
      <c r="C2" s="598"/>
      <c r="D2" s="598"/>
      <c r="E2" s="598"/>
      <c r="F2" s="592"/>
      <c r="G2" s="592"/>
      <c r="H2" s="592"/>
      <c r="I2" s="592"/>
      <c r="J2" s="109" t="s">
        <v>9775</v>
      </c>
      <c r="L2" s="676"/>
    </row>
    <row r="3" ht="13.5" customHeight="1">
      <c r="A3" s="599" t="s">
        <v>9776</v>
      </c>
      <c r="B3" s="600"/>
      <c r="C3" s="592"/>
      <c r="D3" s="601"/>
      <c r="E3" s="601"/>
      <c r="F3" s="601"/>
      <c r="G3" s="601"/>
      <c r="H3" s="601"/>
      <c r="I3" s="601"/>
      <c r="J3" s="109" t="s">
        <v>8402</v>
      </c>
      <c r="L3" s="676"/>
    </row>
    <row r="4" ht="13.5" customHeight="1">
      <c r="A4" s="604"/>
      <c r="B4" s="604"/>
      <c r="C4" s="592"/>
      <c r="D4" s="601"/>
      <c r="E4" s="601"/>
      <c r="F4" s="601"/>
      <c r="G4" s="601"/>
      <c r="H4" s="601"/>
      <c r="I4" s="601"/>
      <c r="J4" s="548" t="s">
        <v>9813</v>
      </c>
      <c r="K4" s="677"/>
      <c r="L4" s="677"/>
    </row>
    <row r="5" ht="13.5" customHeight="1">
      <c r="A5" s="604"/>
      <c r="B5" s="604"/>
      <c r="C5" s="592"/>
      <c r="D5" s="601"/>
      <c r="E5" s="601"/>
      <c r="F5" s="601"/>
      <c r="G5" s="601"/>
      <c r="H5" s="601"/>
      <c r="I5" s="601"/>
      <c r="J5" s="677" t="s">
        <v>3341</v>
      </c>
    </row>
    <row r="6" ht="13.5" customHeight="1">
      <c r="A6" s="604"/>
      <c r="B6" s="604"/>
      <c r="C6" s="592"/>
      <c r="D6" s="601"/>
      <c r="E6" s="601"/>
      <c r="F6" s="601"/>
      <c r="G6" s="601"/>
      <c r="H6" s="601"/>
      <c r="I6" s="601"/>
      <c r="J6" s="606"/>
    </row>
    <row r="7" ht="13.5" customHeight="1">
      <c r="A7" s="604"/>
      <c r="B7" s="604"/>
      <c r="C7" s="592"/>
      <c r="D7" s="601"/>
      <c r="E7" s="601"/>
      <c r="F7" s="601"/>
      <c r="G7" s="601"/>
      <c r="H7" s="601"/>
      <c r="I7" s="601"/>
      <c r="J7" s="606"/>
      <c r="K7" s="606"/>
      <c r="L7" s="606"/>
    </row>
    <row r="8" ht="13.5" customHeight="1">
      <c r="A8" s="604"/>
      <c r="B8" s="604"/>
      <c r="C8" s="592"/>
      <c r="D8" s="701" t="s">
        <v>9814</v>
      </c>
      <c r="G8" s="601"/>
      <c r="H8" s="601"/>
      <c r="I8" s="601"/>
      <c r="J8" s="609"/>
      <c r="K8" s="609"/>
      <c r="L8" s="609"/>
    </row>
    <row r="9" ht="13.5" customHeight="1">
      <c r="A9" s="17"/>
      <c r="B9" s="600"/>
      <c r="C9" s="17"/>
      <c r="D9" s="611"/>
      <c r="E9" s="611"/>
      <c r="F9" s="611"/>
      <c r="G9" s="17"/>
      <c r="H9" s="17"/>
      <c r="I9" s="17"/>
      <c r="J9" s="612"/>
      <c r="K9" s="612"/>
      <c r="L9" s="612"/>
    </row>
    <row r="10" ht="13.5" customHeight="1">
      <c r="A10" s="714" t="s">
        <v>9815</v>
      </c>
      <c r="B10" s="679" t="s">
        <v>9816</v>
      </c>
      <c r="C10" s="17"/>
      <c r="D10" s="615"/>
      <c r="E10" s="17"/>
      <c r="F10" s="17"/>
      <c r="G10" s="17"/>
      <c r="H10" s="616"/>
      <c r="I10" s="617"/>
      <c r="J10" s="616" t="s">
        <v>9778</v>
      </c>
      <c r="K10" s="617"/>
      <c r="L10" s="533" t="s">
        <v>5154</v>
      </c>
    </row>
    <row r="11" ht="13.5" customHeight="1">
      <c r="A11" s="618" t="s">
        <v>9779</v>
      </c>
      <c r="B11" s="675" t="s">
        <v>0</v>
      </c>
      <c r="C11" s="618" t="s">
        <v>9780</v>
      </c>
      <c r="D11" s="122"/>
      <c r="E11" s="122"/>
      <c r="F11" s="122"/>
      <c r="G11" s="122"/>
      <c r="H11" s="618" t="s">
        <v>9781</v>
      </c>
      <c r="I11" s="122"/>
      <c r="J11" s="620" t="s">
        <v>9782</v>
      </c>
      <c r="K11" s="621"/>
      <c r="L11" s="618" t="s">
        <v>2740</v>
      </c>
      <c r="M11" s="622"/>
      <c r="N11" s="622"/>
      <c r="O11" s="622"/>
      <c r="P11" s="622"/>
      <c r="Q11" s="622"/>
      <c r="R11" s="622"/>
      <c r="S11" s="622"/>
      <c r="T11" s="622"/>
      <c r="U11" s="622"/>
      <c r="V11" s="622"/>
      <c r="W11" s="622"/>
      <c r="X11" s="622"/>
      <c r="Y11" s="622"/>
      <c r="Z11" s="622"/>
    </row>
    <row r="12" ht="13.5" customHeight="1">
      <c r="A12" s="629">
        <v>1.0</v>
      </c>
      <c r="B12" s="715" t="s">
        <v>8401</v>
      </c>
      <c r="C12" s="716" t="str">
        <f>IFERROR(VLOOKUP(B12,Stock,3,FALSE),"")</f>
        <v>Subaru Forester 22- (3 Sensor / /\ [] /\ ) (Subaru)</v>
      </c>
      <c r="H12" s="624">
        <v>1.0</v>
      </c>
      <c r="I12" s="624" t="s">
        <v>2729</v>
      </c>
      <c r="J12" s="683">
        <v>3.25E7</v>
      </c>
      <c r="K12" s="621"/>
      <c r="L12" s="625">
        <f t="shared" ref="L12:L16" si="1">H12*J12</f>
        <v>32500000</v>
      </c>
    </row>
    <row r="13" ht="13.5" customHeight="1">
      <c r="A13" s="623"/>
      <c r="B13" s="717" t="s">
        <v>9817</v>
      </c>
      <c r="H13" s="444"/>
      <c r="I13" s="444"/>
      <c r="J13" s="627"/>
      <c r="L13" s="625">
        <f t="shared" si="1"/>
        <v>0</v>
      </c>
    </row>
    <row r="14" ht="13.5" customHeight="1">
      <c r="A14" s="623"/>
      <c r="H14" s="444"/>
      <c r="I14" s="444"/>
      <c r="J14" s="627"/>
      <c r="L14" s="625">
        <f t="shared" si="1"/>
        <v>0</v>
      </c>
      <c r="P14" s="17"/>
    </row>
    <row r="15" ht="13.5" customHeight="1">
      <c r="A15" s="629"/>
      <c r="H15" s="444"/>
      <c r="I15" s="444"/>
      <c r="J15" s="627"/>
      <c r="L15" s="625">
        <f t="shared" si="1"/>
        <v>0</v>
      </c>
    </row>
    <row r="16" ht="13.5" customHeight="1">
      <c r="A16" s="628"/>
      <c r="B16" s="628"/>
      <c r="C16" s="712"/>
      <c r="H16" s="628"/>
      <c r="I16" s="628"/>
      <c r="J16" s="627"/>
      <c r="L16" s="625">
        <f t="shared" si="1"/>
        <v>0</v>
      </c>
    </row>
    <row r="17" ht="13.5" customHeight="1">
      <c r="A17" s="713"/>
      <c r="B17" s="630"/>
      <c r="C17" s="617"/>
      <c r="D17" s="617"/>
      <c r="E17" s="617"/>
      <c r="F17" s="617"/>
      <c r="G17" s="617"/>
      <c r="H17" s="628"/>
      <c r="I17" s="628"/>
      <c r="J17" s="631"/>
      <c r="K17" s="617"/>
      <c r="L17" s="696">
        <v>0.0</v>
      </c>
    </row>
    <row r="18" ht="13.5" customHeight="1">
      <c r="A18" s="685" t="s">
        <v>9818</v>
      </c>
      <c r="B18" s="621"/>
      <c r="C18" s="621"/>
      <c r="D18" s="621"/>
      <c r="E18" s="633"/>
      <c r="F18" s="633"/>
      <c r="G18" s="633"/>
      <c r="H18" s="634"/>
      <c r="I18" s="635"/>
      <c r="J18" s="636"/>
      <c r="K18" s="637" t="s">
        <v>9786</v>
      </c>
      <c r="L18" s="705">
        <v>3.25E7</v>
      </c>
    </row>
    <row r="19" ht="13.5" customHeight="1">
      <c r="A19" s="201"/>
      <c r="B19" s="639"/>
      <c r="C19" s="639"/>
      <c r="D19" s="201"/>
      <c r="E19" s="641"/>
      <c r="G19" s="642"/>
      <c r="H19" s="642"/>
      <c r="I19" s="642"/>
      <c r="J19" s="643"/>
      <c r="K19" s="201" t="s">
        <v>9789</v>
      </c>
      <c r="L19" s="718">
        <v>550000.0</v>
      </c>
    </row>
    <row r="20" ht="13.5" customHeight="1">
      <c r="A20" s="201" t="s">
        <v>9819</v>
      </c>
      <c r="B20" s="628"/>
      <c r="C20" s="628"/>
      <c r="D20" s="628"/>
      <c r="E20" s="641"/>
      <c r="F20" s="642"/>
      <c r="G20" s="642"/>
      <c r="H20" s="642"/>
      <c r="I20" s="642"/>
      <c r="J20" s="646"/>
      <c r="K20" s="614" t="s">
        <v>9790</v>
      </c>
      <c r="L20" s="648">
        <f>L18-L19</f>
        <v>31950000</v>
      </c>
    </row>
    <row r="21" ht="13.5" customHeight="1">
      <c r="A21" s="719" t="s">
        <v>9820</v>
      </c>
      <c r="H21" s="642"/>
      <c r="I21" s="642"/>
      <c r="J21" s="650"/>
      <c r="K21" s="637"/>
      <c r="L21" s="651"/>
    </row>
    <row r="22" ht="13.5" customHeight="1">
      <c r="H22" s="642"/>
      <c r="I22" s="642"/>
      <c r="J22" s="652" t="s">
        <v>1973</v>
      </c>
      <c r="K22" s="653"/>
      <c r="L22" s="653"/>
    </row>
    <row r="23" ht="13.5" customHeight="1">
      <c r="H23" s="707"/>
      <c r="I23" s="707"/>
      <c r="J23" s="655"/>
      <c r="K23" s="656"/>
    </row>
    <row r="24" ht="13.5" customHeight="1">
      <c r="H24" s="658"/>
      <c r="I24" s="658"/>
      <c r="J24" s="591"/>
      <c r="K24" s="591"/>
      <c r="L24" s="646"/>
    </row>
    <row r="25" ht="13.5" customHeight="1">
      <c r="J25" s="654" t="s">
        <v>9792</v>
      </c>
      <c r="K25" s="591"/>
      <c r="L25" s="660"/>
    </row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21">
    <mergeCell ref="J5:L5"/>
    <mergeCell ref="J6:L6"/>
    <mergeCell ref="D8:F8"/>
    <mergeCell ref="H10:I10"/>
    <mergeCell ref="J10:K10"/>
    <mergeCell ref="H11:I11"/>
    <mergeCell ref="J11:K11"/>
    <mergeCell ref="J15:K15"/>
    <mergeCell ref="J16:K16"/>
    <mergeCell ref="B17:G17"/>
    <mergeCell ref="J17:K17"/>
    <mergeCell ref="A18:D18"/>
    <mergeCell ref="A21:G25"/>
    <mergeCell ref="K23:L23"/>
    <mergeCell ref="C11:G11"/>
    <mergeCell ref="C12:G12"/>
    <mergeCell ref="J12:K12"/>
    <mergeCell ref="B13:G15"/>
    <mergeCell ref="J13:K13"/>
    <mergeCell ref="J14:K14"/>
    <mergeCell ref="C16:G16"/>
  </mergeCells>
  <printOptions horizontalCentered="1"/>
  <pageMargins bottom="0.75" footer="0.0" header="0.0" left="0.25" right="0.25" top="0.75"/>
  <pageSetup paperSize="11" scale="92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41.43"/>
    <col customWidth="1" min="3" max="3" width="38.29"/>
  </cols>
  <sheetData>
    <row r="1">
      <c r="A1" s="695" t="s">
        <v>9821</v>
      </c>
      <c r="D1" s="720"/>
      <c r="E1" s="720"/>
      <c r="F1" s="720"/>
      <c r="G1" s="720"/>
      <c r="H1" s="720"/>
      <c r="I1" s="720"/>
      <c r="J1" s="720"/>
    </row>
    <row r="2">
      <c r="A2" s="721" t="s">
        <v>2743</v>
      </c>
      <c r="B2" s="721" t="s">
        <v>9822</v>
      </c>
      <c r="C2" s="721" t="s">
        <v>9823</v>
      </c>
      <c r="D2" s="722">
        <v>1.0</v>
      </c>
      <c r="E2" s="722">
        <v>2.0</v>
      </c>
      <c r="F2" s="722">
        <v>3.0</v>
      </c>
      <c r="G2" s="722">
        <v>4.0</v>
      </c>
      <c r="H2" s="722">
        <v>5.0</v>
      </c>
      <c r="I2" s="722">
        <v>6.0</v>
      </c>
      <c r="J2" s="722">
        <v>7.0</v>
      </c>
    </row>
    <row r="3">
      <c r="A3" s="723" t="s">
        <v>4221</v>
      </c>
      <c r="B3" s="723" t="s">
        <v>9824</v>
      </c>
      <c r="C3" s="723" t="s">
        <v>9825</v>
      </c>
      <c r="D3" s="724"/>
      <c r="E3" s="724"/>
      <c r="F3" s="724"/>
      <c r="G3" s="724"/>
      <c r="H3" s="724"/>
      <c r="I3" s="725"/>
      <c r="J3" s="725"/>
    </row>
    <row r="4">
      <c r="A4" s="723" t="s">
        <v>9803</v>
      </c>
      <c r="B4" s="723" t="s">
        <v>9826</v>
      </c>
      <c r="C4" s="723" t="s">
        <v>9827</v>
      </c>
      <c r="D4" s="724"/>
      <c r="E4" s="724"/>
      <c r="F4" s="724"/>
      <c r="G4" s="724"/>
      <c r="H4" s="724"/>
      <c r="I4" s="724"/>
      <c r="J4" s="724"/>
    </row>
    <row r="5">
      <c r="A5" s="723" t="s">
        <v>9828</v>
      </c>
      <c r="B5" s="723" t="s">
        <v>9829</v>
      </c>
      <c r="C5" s="723" t="s">
        <v>9830</v>
      </c>
      <c r="D5" s="724"/>
      <c r="E5" s="724"/>
      <c r="F5" s="724"/>
      <c r="G5" s="724"/>
      <c r="H5" s="724"/>
      <c r="I5" s="724"/>
      <c r="J5" s="724"/>
    </row>
    <row r="6">
      <c r="D6" s="720"/>
      <c r="E6" s="720"/>
      <c r="F6" s="720"/>
      <c r="G6" s="720"/>
      <c r="H6" s="720"/>
      <c r="I6" s="720"/>
      <c r="J6" s="720"/>
    </row>
    <row r="7">
      <c r="A7" s="695" t="s">
        <v>9831</v>
      </c>
      <c r="D7" s="720"/>
      <c r="E7" s="720"/>
      <c r="F7" s="720"/>
      <c r="G7" s="720"/>
      <c r="H7" s="720"/>
      <c r="I7" s="720"/>
      <c r="J7" s="720"/>
    </row>
    <row r="8">
      <c r="A8" s="726" t="s">
        <v>2743</v>
      </c>
      <c r="B8" s="726" t="s">
        <v>9822</v>
      </c>
      <c r="C8" s="726" t="s">
        <v>9823</v>
      </c>
      <c r="D8" s="727">
        <v>8.0</v>
      </c>
      <c r="E8" s="727">
        <v>9.0</v>
      </c>
      <c r="F8" s="727">
        <v>10.0</v>
      </c>
      <c r="G8" s="727">
        <v>11.0</v>
      </c>
      <c r="H8" s="727">
        <v>12.0</v>
      </c>
      <c r="I8" s="727">
        <v>13.0</v>
      </c>
      <c r="J8" s="727">
        <v>14.0</v>
      </c>
    </row>
    <row r="9">
      <c r="A9" s="723" t="s">
        <v>4221</v>
      </c>
      <c r="B9" s="723" t="s">
        <v>9829</v>
      </c>
      <c r="C9" s="723" t="s">
        <v>9830</v>
      </c>
      <c r="D9" s="724"/>
      <c r="E9" s="724"/>
      <c r="F9" s="724"/>
      <c r="G9" s="724"/>
      <c r="H9" s="724"/>
      <c r="I9" s="724"/>
      <c r="J9" s="724"/>
    </row>
    <row r="10">
      <c r="A10" s="723" t="s">
        <v>9803</v>
      </c>
      <c r="B10" s="723" t="s">
        <v>9824</v>
      </c>
      <c r="C10" s="723" t="s">
        <v>9825</v>
      </c>
      <c r="D10" s="724"/>
      <c r="E10" s="724"/>
      <c r="F10" s="724"/>
      <c r="G10" s="724"/>
      <c r="H10" s="724"/>
      <c r="I10" s="724"/>
      <c r="J10" s="724"/>
    </row>
    <row r="11">
      <c r="A11" s="723" t="s">
        <v>9828</v>
      </c>
      <c r="B11" s="723" t="s">
        <v>9826</v>
      </c>
      <c r="C11" s="723" t="s">
        <v>9827</v>
      </c>
      <c r="D11" s="724"/>
      <c r="E11" s="724"/>
      <c r="F11" s="724"/>
      <c r="G11" s="724"/>
      <c r="H11" s="724"/>
      <c r="I11" s="724"/>
      <c r="J11" s="724"/>
    </row>
    <row r="12">
      <c r="D12" s="720"/>
      <c r="E12" s="720"/>
      <c r="F12" s="720"/>
      <c r="G12" s="720"/>
      <c r="H12" s="720"/>
      <c r="I12" s="720"/>
      <c r="J12" s="720"/>
    </row>
    <row r="13">
      <c r="A13" s="695" t="s">
        <v>9832</v>
      </c>
      <c r="D13" s="720"/>
      <c r="E13" s="720"/>
      <c r="F13" s="720"/>
      <c r="G13" s="720"/>
      <c r="H13" s="720"/>
      <c r="I13" s="720"/>
      <c r="J13" s="720"/>
    </row>
    <row r="14">
      <c r="A14" s="728" t="s">
        <v>2743</v>
      </c>
      <c r="B14" s="728" t="s">
        <v>9822</v>
      </c>
      <c r="C14" s="728" t="s">
        <v>9823</v>
      </c>
      <c r="D14" s="729">
        <v>15.0</v>
      </c>
      <c r="E14" s="729">
        <v>16.0</v>
      </c>
      <c r="F14" s="729">
        <v>17.0</v>
      </c>
      <c r="G14" s="729">
        <v>18.0</v>
      </c>
      <c r="H14" s="729">
        <v>19.0</v>
      </c>
      <c r="I14" s="729">
        <v>20.0</v>
      </c>
      <c r="J14" s="729">
        <v>21.0</v>
      </c>
    </row>
    <row r="15">
      <c r="A15" s="723" t="s">
        <v>4221</v>
      </c>
      <c r="B15" s="723" t="s">
        <v>9826</v>
      </c>
      <c r="C15" s="723" t="s">
        <v>9827</v>
      </c>
      <c r="D15" s="724"/>
      <c r="E15" s="724"/>
      <c r="F15" s="724"/>
      <c r="G15" s="724"/>
      <c r="H15" s="724"/>
      <c r="I15" s="724"/>
      <c r="J15" s="724"/>
    </row>
    <row r="16">
      <c r="A16" s="723" t="s">
        <v>9803</v>
      </c>
      <c r="B16" s="723" t="s">
        <v>9829</v>
      </c>
      <c r="C16" s="723" t="s">
        <v>9830</v>
      </c>
      <c r="D16" s="724"/>
      <c r="E16" s="724"/>
      <c r="F16" s="724"/>
      <c r="G16" s="724"/>
      <c r="H16" s="724"/>
      <c r="I16" s="724"/>
      <c r="J16" s="724"/>
    </row>
    <row r="17">
      <c r="A17" s="723" t="s">
        <v>9828</v>
      </c>
      <c r="B17" s="723" t="s">
        <v>9824</v>
      </c>
      <c r="C17" s="723" t="s">
        <v>9825</v>
      </c>
      <c r="D17" s="724"/>
      <c r="E17" s="724"/>
      <c r="F17" s="724"/>
      <c r="G17" s="724"/>
      <c r="H17" s="724"/>
      <c r="I17" s="724"/>
      <c r="J17" s="724"/>
    </row>
    <row r="18">
      <c r="A18" s="548"/>
      <c r="B18" s="548"/>
      <c r="C18" s="548"/>
      <c r="D18" s="720"/>
      <c r="E18" s="720"/>
      <c r="F18" s="720"/>
      <c r="G18" s="720"/>
      <c r="H18" s="720"/>
      <c r="I18" s="720"/>
      <c r="J18" s="720"/>
    </row>
    <row r="19">
      <c r="A19" s="730" t="s">
        <v>9833</v>
      </c>
      <c r="B19" s="731"/>
      <c r="C19" s="731"/>
      <c r="D19" s="732"/>
      <c r="E19" s="732"/>
      <c r="F19" s="732"/>
      <c r="G19" s="732"/>
      <c r="H19" s="732"/>
      <c r="I19" s="732"/>
      <c r="J19" s="732"/>
    </row>
    <row r="20">
      <c r="A20" s="733" t="s">
        <v>2743</v>
      </c>
      <c r="B20" s="733" t="s">
        <v>9822</v>
      </c>
      <c r="C20" s="733" t="s">
        <v>9823</v>
      </c>
      <c r="D20" s="734">
        <v>1.0</v>
      </c>
      <c r="E20" s="734">
        <v>2.0</v>
      </c>
      <c r="F20" s="734">
        <v>3.0</v>
      </c>
      <c r="G20" s="734">
        <v>4.0</v>
      </c>
      <c r="H20" s="734">
        <v>5.0</v>
      </c>
      <c r="I20" s="734">
        <v>6.0</v>
      </c>
      <c r="J20" s="734">
        <v>7.0</v>
      </c>
    </row>
    <row r="21">
      <c r="A21" s="735" t="s">
        <v>4221</v>
      </c>
      <c r="B21" s="735" t="s">
        <v>9824</v>
      </c>
      <c r="C21" s="735" t="s">
        <v>9825</v>
      </c>
      <c r="D21" s="736"/>
      <c r="E21" s="736"/>
      <c r="F21" s="736"/>
      <c r="G21" s="736"/>
      <c r="H21" s="736"/>
      <c r="I21" s="736"/>
      <c r="J21" s="736"/>
    </row>
    <row r="22">
      <c r="A22" s="735" t="s">
        <v>9803</v>
      </c>
      <c r="B22" s="735" t="s">
        <v>9826</v>
      </c>
      <c r="C22" s="735" t="s">
        <v>9827</v>
      </c>
      <c r="D22" s="736"/>
      <c r="E22" s="736"/>
      <c r="F22" s="736"/>
      <c r="G22" s="736"/>
      <c r="H22" s="736"/>
      <c r="I22" s="736"/>
      <c r="J22" s="736"/>
    </row>
    <row r="23">
      <c r="A23" s="735" t="s">
        <v>9828</v>
      </c>
      <c r="B23" s="735" t="s">
        <v>9829</v>
      </c>
      <c r="C23" s="735" t="s">
        <v>9830</v>
      </c>
      <c r="D23" s="736"/>
      <c r="E23" s="736"/>
      <c r="F23" s="736"/>
      <c r="G23" s="736"/>
      <c r="H23" s="736"/>
      <c r="I23" s="736"/>
      <c r="J23" s="736"/>
    </row>
    <row r="24">
      <c r="A24" s="548"/>
      <c r="B24" s="548"/>
      <c r="C24" s="548"/>
      <c r="D24" s="720"/>
      <c r="E24" s="720"/>
      <c r="F24" s="720"/>
      <c r="G24" s="720"/>
      <c r="H24" s="720"/>
      <c r="I24" s="720"/>
      <c r="J24" s="720"/>
    </row>
    <row r="25">
      <c r="D25" s="720"/>
      <c r="E25" s="720"/>
      <c r="F25" s="720"/>
      <c r="G25" s="720"/>
      <c r="H25" s="720"/>
      <c r="I25" s="720"/>
      <c r="J25" s="720"/>
    </row>
    <row r="26">
      <c r="D26" s="720"/>
      <c r="E26" s="720"/>
      <c r="F26" s="720"/>
      <c r="G26" s="720"/>
      <c r="H26" s="720"/>
      <c r="I26" s="720"/>
      <c r="J26" s="720"/>
    </row>
    <row r="27">
      <c r="A27" s="737" t="s">
        <v>9834</v>
      </c>
      <c r="B27" s="737" t="s">
        <v>9835</v>
      </c>
      <c r="C27" s="737" t="s">
        <v>9836</v>
      </c>
      <c r="D27" s="738" t="s">
        <v>9837</v>
      </c>
      <c r="E27" s="720"/>
      <c r="F27" s="720"/>
      <c r="G27" s="720"/>
      <c r="H27" s="720"/>
      <c r="I27" s="720"/>
      <c r="J27" s="720"/>
    </row>
    <row r="28">
      <c r="A28" s="739" t="s">
        <v>9838</v>
      </c>
      <c r="B28" s="739" t="s">
        <v>9839</v>
      </c>
      <c r="C28" s="739" t="s">
        <v>9840</v>
      </c>
      <c r="D28" s="740" t="s">
        <v>9841</v>
      </c>
      <c r="E28" s="720"/>
      <c r="F28" s="720"/>
      <c r="G28" s="720"/>
      <c r="H28" s="720"/>
      <c r="I28" s="720"/>
      <c r="J28" s="720"/>
    </row>
    <row r="29">
      <c r="A29" s="739" t="s">
        <v>9829</v>
      </c>
      <c r="B29" s="739" t="s">
        <v>9842</v>
      </c>
      <c r="C29" s="739" t="s">
        <v>9843</v>
      </c>
      <c r="D29" s="741"/>
      <c r="E29" s="720"/>
      <c r="F29" s="720"/>
      <c r="G29" s="720"/>
      <c r="H29" s="720"/>
      <c r="I29" s="720"/>
      <c r="J29" s="720"/>
    </row>
    <row r="30">
      <c r="A30" s="739" t="s">
        <v>9826</v>
      </c>
      <c r="B30" s="739" t="s">
        <v>9844</v>
      </c>
      <c r="C30" s="739" t="s">
        <v>9845</v>
      </c>
      <c r="D30" s="741"/>
      <c r="E30" s="720"/>
      <c r="F30" s="720"/>
      <c r="G30" s="720"/>
      <c r="H30" s="720"/>
      <c r="I30" s="720"/>
      <c r="J30" s="720"/>
    </row>
    <row r="31">
      <c r="D31" s="720"/>
      <c r="E31" s="720"/>
      <c r="F31" s="720"/>
      <c r="G31" s="720"/>
      <c r="H31" s="720"/>
      <c r="I31" s="720"/>
      <c r="J31" s="720"/>
    </row>
    <row r="32">
      <c r="D32" s="720"/>
      <c r="E32" s="720"/>
      <c r="F32" s="720"/>
      <c r="G32" s="720"/>
      <c r="H32" s="720"/>
      <c r="I32" s="720"/>
      <c r="J32" s="720"/>
    </row>
    <row r="33">
      <c r="D33" s="720"/>
      <c r="E33" s="720"/>
      <c r="F33" s="720"/>
      <c r="G33" s="720"/>
      <c r="H33" s="720"/>
      <c r="I33" s="720"/>
      <c r="J33" s="720"/>
    </row>
    <row r="34">
      <c r="D34" s="720"/>
      <c r="E34" s="720"/>
      <c r="F34" s="720"/>
      <c r="G34" s="720"/>
      <c r="H34" s="720"/>
      <c r="I34" s="720"/>
      <c r="J34" s="720"/>
    </row>
    <row r="35">
      <c r="D35" s="720"/>
      <c r="E35" s="720"/>
      <c r="F35" s="720"/>
      <c r="G35" s="720"/>
      <c r="H35" s="720"/>
      <c r="I35" s="720"/>
      <c r="J35" s="720"/>
    </row>
    <row r="36">
      <c r="D36" s="720"/>
      <c r="E36" s="720"/>
      <c r="F36" s="720"/>
      <c r="G36" s="720"/>
      <c r="H36" s="720"/>
      <c r="I36" s="720"/>
      <c r="J36" s="720"/>
    </row>
    <row r="37">
      <c r="D37" s="720"/>
      <c r="E37" s="720"/>
      <c r="F37" s="720"/>
      <c r="G37" s="720"/>
      <c r="H37" s="720"/>
      <c r="I37" s="720"/>
      <c r="J37" s="720"/>
    </row>
    <row r="38">
      <c r="D38" s="720"/>
      <c r="E38" s="720"/>
      <c r="F38" s="720"/>
      <c r="G38" s="720"/>
      <c r="H38" s="720"/>
      <c r="I38" s="720"/>
      <c r="J38" s="720"/>
    </row>
    <row r="39">
      <c r="D39" s="720"/>
      <c r="E39" s="720"/>
      <c r="F39" s="720"/>
      <c r="G39" s="720"/>
      <c r="H39" s="720"/>
      <c r="I39" s="720"/>
      <c r="J39" s="720"/>
    </row>
    <row r="40">
      <c r="D40" s="720"/>
      <c r="E40" s="720"/>
      <c r="F40" s="720"/>
      <c r="G40" s="720"/>
      <c r="H40" s="720"/>
      <c r="I40" s="720"/>
      <c r="J40" s="720"/>
    </row>
    <row r="41">
      <c r="D41" s="720"/>
      <c r="E41" s="720"/>
      <c r="F41" s="720"/>
      <c r="G41" s="720"/>
      <c r="H41" s="720"/>
      <c r="I41" s="720"/>
      <c r="J41" s="720"/>
    </row>
    <row r="42">
      <c r="D42" s="720"/>
      <c r="E42" s="720"/>
      <c r="F42" s="720"/>
      <c r="G42" s="720"/>
      <c r="H42" s="720"/>
      <c r="I42" s="720"/>
      <c r="J42" s="720"/>
    </row>
    <row r="43">
      <c r="D43" s="720"/>
      <c r="E43" s="720"/>
      <c r="F43" s="720"/>
      <c r="G43" s="720"/>
      <c r="H43" s="720"/>
      <c r="I43" s="720"/>
      <c r="J43" s="720"/>
    </row>
    <row r="44">
      <c r="D44" s="720"/>
      <c r="E44" s="720"/>
      <c r="F44" s="720"/>
      <c r="G44" s="720"/>
      <c r="H44" s="720"/>
      <c r="I44" s="720"/>
      <c r="J44" s="720"/>
    </row>
    <row r="45">
      <c r="D45" s="720"/>
      <c r="E45" s="720"/>
      <c r="F45" s="720"/>
      <c r="G45" s="720"/>
      <c r="H45" s="720"/>
      <c r="I45" s="720"/>
      <c r="J45" s="720"/>
    </row>
    <row r="46">
      <c r="D46" s="720"/>
      <c r="E46" s="720"/>
      <c r="F46" s="720"/>
      <c r="G46" s="720"/>
      <c r="H46" s="720"/>
      <c r="I46" s="720"/>
      <c r="J46" s="720"/>
    </row>
    <row r="47">
      <c r="D47" s="720"/>
      <c r="E47" s="720"/>
      <c r="F47" s="720"/>
      <c r="G47" s="720"/>
      <c r="H47" s="720"/>
      <c r="I47" s="720"/>
      <c r="J47" s="720"/>
    </row>
    <row r="48">
      <c r="D48" s="720"/>
      <c r="E48" s="720"/>
      <c r="F48" s="720"/>
      <c r="G48" s="720"/>
      <c r="H48" s="720"/>
      <c r="I48" s="720"/>
      <c r="J48" s="720"/>
    </row>
    <row r="49">
      <c r="D49" s="720"/>
      <c r="E49" s="720"/>
      <c r="F49" s="720"/>
      <c r="G49" s="720"/>
      <c r="H49" s="720"/>
      <c r="I49" s="720"/>
      <c r="J49" s="720"/>
    </row>
    <row r="50">
      <c r="D50" s="720"/>
      <c r="E50" s="720"/>
      <c r="F50" s="720"/>
      <c r="G50" s="720"/>
      <c r="H50" s="720"/>
      <c r="I50" s="720"/>
      <c r="J50" s="720"/>
    </row>
    <row r="51">
      <c r="D51" s="720"/>
      <c r="E51" s="720"/>
      <c r="F51" s="720"/>
      <c r="G51" s="720"/>
      <c r="H51" s="720"/>
      <c r="I51" s="720"/>
      <c r="J51" s="720"/>
    </row>
    <row r="52">
      <c r="D52" s="720"/>
      <c r="E52" s="720"/>
      <c r="F52" s="720"/>
      <c r="G52" s="720"/>
      <c r="H52" s="720"/>
      <c r="I52" s="720"/>
      <c r="J52" s="720"/>
    </row>
    <row r="53">
      <c r="D53" s="720"/>
      <c r="E53" s="720"/>
      <c r="F53" s="720"/>
      <c r="G53" s="720"/>
      <c r="H53" s="720"/>
      <c r="I53" s="720"/>
      <c r="J53" s="720"/>
    </row>
    <row r="54">
      <c r="D54" s="720"/>
      <c r="E54" s="720"/>
      <c r="F54" s="720"/>
      <c r="G54" s="720"/>
      <c r="H54" s="720"/>
      <c r="I54" s="720"/>
      <c r="J54" s="720"/>
    </row>
    <row r="55">
      <c r="D55" s="720"/>
      <c r="E55" s="720"/>
      <c r="F55" s="720"/>
      <c r="G55" s="720"/>
      <c r="H55" s="720"/>
      <c r="I55" s="720"/>
      <c r="J55" s="720"/>
    </row>
    <row r="56">
      <c r="D56" s="720"/>
      <c r="E56" s="720"/>
      <c r="F56" s="720"/>
      <c r="G56" s="720"/>
      <c r="H56" s="720"/>
      <c r="I56" s="720"/>
      <c r="J56" s="720"/>
    </row>
    <row r="57">
      <c r="D57" s="720"/>
      <c r="E57" s="720"/>
      <c r="F57" s="720"/>
      <c r="G57" s="720"/>
      <c r="H57" s="720"/>
      <c r="I57" s="720"/>
      <c r="J57" s="720"/>
    </row>
    <row r="58">
      <c r="D58" s="720"/>
      <c r="E58" s="720"/>
      <c r="F58" s="720"/>
      <c r="G58" s="720"/>
      <c r="H58" s="720"/>
      <c r="I58" s="720"/>
      <c r="J58" s="720"/>
    </row>
    <row r="59">
      <c r="D59" s="720"/>
      <c r="E59" s="720"/>
      <c r="F59" s="720"/>
      <c r="G59" s="720"/>
      <c r="H59" s="720"/>
      <c r="I59" s="720"/>
      <c r="J59" s="720"/>
    </row>
    <row r="60">
      <c r="D60" s="720"/>
      <c r="E60" s="720"/>
      <c r="F60" s="720"/>
      <c r="G60" s="720"/>
      <c r="H60" s="720"/>
      <c r="I60" s="720"/>
      <c r="J60" s="720"/>
    </row>
    <row r="61">
      <c r="D61" s="720"/>
      <c r="E61" s="720"/>
      <c r="F61" s="720"/>
      <c r="G61" s="720"/>
      <c r="H61" s="720"/>
      <c r="I61" s="720"/>
      <c r="J61" s="720"/>
    </row>
    <row r="62">
      <c r="D62" s="720"/>
      <c r="E62" s="720"/>
      <c r="F62" s="720"/>
      <c r="G62" s="720"/>
      <c r="H62" s="720"/>
      <c r="I62" s="720"/>
      <c r="J62" s="720"/>
    </row>
    <row r="63">
      <c r="D63" s="720"/>
      <c r="E63" s="720"/>
      <c r="F63" s="720"/>
      <c r="G63" s="720"/>
      <c r="H63" s="720"/>
      <c r="I63" s="720"/>
      <c r="J63" s="720"/>
    </row>
    <row r="64">
      <c r="D64" s="720"/>
      <c r="E64" s="720"/>
      <c r="F64" s="720"/>
      <c r="G64" s="720"/>
      <c r="H64" s="720"/>
      <c r="I64" s="720"/>
      <c r="J64" s="720"/>
    </row>
    <row r="65">
      <c r="D65" s="720"/>
      <c r="E65" s="720"/>
      <c r="F65" s="720"/>
      <c r="G65" s="720"/>
      <c r="H65" s="720"/>
      <c r="I65" s="720"/>
      <c r="J65" s="720"/>
    </row>
    <row r="66">
      <c r="D66" s="720"/>
      <c r="E66" s="720"/>
      <c r="F66" s="720"/>
      <c r="G66" s="720"/>
      <c r="H66" s="720"/>
      <c r="I66" s="720"/>
      <c r="J66" s="720"/>
    </row>
    <row r="67">
      <c r="D67" s="720"/>
      <c r="E67" s="720"/>
      <c r="F67" s="720"/>
      <c r="G67" s="720"/>
      <c r="H67" s="720"/>
      <c r="I67" s="720"/>
      <c r="J67" s="720"/>
    </row>
    <row r="68">
      <c r="D68" s="720"/>
      <c r="E68" s="720"/>
      <c r="F68" s="720"/>
      <c r="G68" s="720"/>
      <c r="H68" s="720"/>
      <c r="I68" s="720"/>
      <c r="J68" s="720"/>
    </row>
    <row r="69">
      <c r="D69" s="720"/>
      <c r="E69" s="720"/>
      <c r="F69" s="720"/>
      <c r="G69" s="720"/>
      <c r="H69" s="720"/>
      <c r="I69" s="720"/>
      <c r="J69" s="720"/>
    </row>
    <row r="70">
      <c r="D70" s="720"/>
      <c r="E70" s="720"/>
      <c r="F70" s="720"/>
      <c r="G70" s="720"/>
      <c r="H70" s="720"/>
      <c r="I70" s="720"/>
      <c r="J70" s="720"/>
    </row>
    <row r="71">
      <c r="D71" s="720"/>
      <c r="E71" s="720"/>
      <c r="F71" s="720"/>
      <c r="G71" s="720"/>
      <c r="H71" s="720"/>
      <c r="I71" s="720"/>
      <c r="J71" s="720"/>
    </row>
    <row r="72">
      <c r="D72" s="720"/>
      <c r="E72" s="720"/>
      <c r="F72" s="720"/>
      <c r="G72" s="720"/>
      <c r="H72" s="720"/>
      <c r="I72" s="720"/>
      <c r="J72" s="720"/>
    </row>
    <row r="73">
      <c r="D73" s="720"/>
      <c r="E73" s="720"/>
      <c r="F73" s="720"/>
      <c r="G73" s="720"/>
      <c r="H73" s="720"/>
      <c r="I73" s="720"/>
      <c r="J73" s="720"/>
    </row>
    <row r="74">
      <c r="D74" s="720"/>
      <c r="E74" s="720"/>
      <c r="F74" s="720"/>
      <c r="G74" s="720"/>
      <c r="H74" s="720"/>
      <c r="I74" s="720"/>
      <c r="J74" s="720"/>
    </row>
    <row r="75">
      <c r="D75" s="720"/>
      <c r="E75" s="720"/>
      <c r="F75" s="720"/>
      <c r="G75" s="720"/>
      <c r="H75" s="720"/>
      <c r="I75" s="720"/>
      <c r="J75" s="720"/>
    </row>
    <row r="76">
      <c r="D76" s="720"/>
      <c r="E76" s="720"/>
      <c r="F76" s="720"/>
      <c r="G76" s="720"/>
      <c r="H76" s="720"/>
      <c r="I76" s="720"/>
      <c r="J76" s="720"/>
    </row>
    <row r="77">
      <c r="D77" s="720"/>
      <c r="E77" s="720"/>
      <c r="F77" s="720"/>
      <c r="G77" s="720"/>
      <c r="H77" s="720"/>
      <c r="I77" s="720"/>
      <c r="J77" s="720"/>
    </row>
    <row r="78">
      <c r="D78" s="720"/>
      <c r="E78" s="720"/>
      <c r="F78" s="720"/>
      <c r="G78" s="720"/>
      <c r="H78" s="720"/>
      <c r="I78" s="720"/>
      <c r="J78" s="720"/>
    </row>
    <row r="79">
      <c r="D79" s="720"/>
      <c r="E79" s="720"/>
      <c r="F79" s="720"/>
      <c r="G79" s="720"/>
      <c r="H79" s="720"/>
      <c r="I79" s="720"/>
      <c r="J79" s="720"/>
    </row>
    <row r="80">
      <c r="D80" s="720"/>
      <c r="E80" s="720"/>
      <c r="F80" s="720"/>
      <c r="G80" s="720"/>
      <c r="H80" s="720"/>
      <c r="I80" s="720"/>
      <c r="J80" s="720"/>
    </row>
    <row r="81">
      <c r="D81" s="720"/>
      <c r="E81" s="720"/>
      <c r="F81" s="720"/>
      <c r="G81" s="720"/>
      <c r="H81" s="720"/>
      <c r="I81" s="720"/>
      <c r="J81" s="720"/>
    </row>
    <row r="82">
      <c r="D82" s="720"/>
      <c r="E82" s="720"/>
      <c r="F82" s="720"/>
      <c r="G82" s="720"/>
      <c r="H82" s="720"/>
      <c r="I82" s="720"/>
      <c r="J82" s="720"/>
    </row>
    <row r="83">
      <c r="D83" s="720"/>
      <c r="E83" s="720"/>
      <c r="F83" s="720"/>
      <c r="G83" s="720"/>
      <c r="H83" s="720"/>
      <c r="I83" s="720"/>
      <c r="J83" s="720"/>
    </row>
    <row r="84">
      <c r="D84" s="720"/>
      <c r="E84" s="720"/>
      <c r="F84" s="720"/>
      <c r="G84" s="720"/>
      <c r="H84" s="720"/>
      <c r="I84" s="720"/>
      <c r="J84" s="720"/>
    </row>
    <row r="85">
      <c r="D85" s="720"/>
      <c r="E85" s="720"/>
      <c r="F85" s="720"/>
      <c r="G85" s="720"/>
      <c r="H85" s="720"/>
      <c r="I85" s="720"/>
      <c r="J85" s="720"/>
    </row>
    <row r="86">
      <c r="D86" s="720"/>
      <c r="E86" s="720"/>
      <c r="F86" s="720"/>
      <c r="G86" s="720"/>
      <c r="H86" s="720"/>
      <c r="I86" s="720"/>
      <c r="J86" s="720"/>
    </row>
    <row r="87">
      <c r="D87" s="720"/>
      <c r="E87" s="720"/>
      <c r="F87" s="720"/>
      <c r="G87" s="720"/>
      <c r="H87" s="720"/>
      <c r="I87" s="720"/>
      <c r="J87" s="720"/>
    </row>
    <row r="88">
      <c r="D88" s="720"/>
      <c r="E88" s="720"/>
      <c r="F88" s="720"/>
      <c r="G88" s="720"/>
      <c r="H88" s="720"/>
      <c r="I88" s="720"/>
      <c r="J88" s="720"/>
    </row>
    <row r="89">
      <c r="D89" s="720"/>
      <c r="E89" s="720"/>
      <c r="F89" s="720"/>
      <c r="G89" s="720"/>
      <c r="H89" s="720"/>
      <c r="I89" s="720"/>
      <c r="J89" s="720"/>
    </row>
    <row r="90">
      <c r="D90" s="720"/>
      <c r="E90" s="720"/>
      <c r="F90" s="720"/>
      <c r="G90" s="720"/>
      <c r="H90" s="720"/>
      <c r="I90" s="720"/>
      <c r="J90" s="720"/>
    </row>
    <row r="91">
      <c r="D91" s="720"/>
      <c r="E91" s="720"/>
      <c r="F91" s="720"/>
      <c r="G91" s="720"/>
      <c r="H91" s="720"/>
      <c r="I91" s="720"/>
      <c r="J91" s="720"/>
    </row>
    <row r="92">
      <c r="D92" s="720"/>
      <c r="E92" s="720"/>
      <c r="F92" s="720"/>
      <c r="G92" s="720"/>
      <c r="H92" s="720"/>
      <c r="I92" s="720"/>
      <c r="J92" s="720"/>
    </row>
    <row r="93">
      <c r="D93" s="720"/>
      <c r="E93" s="720"/>
      <c r="F93" s="720"/>
      <c r="G93" s="720"/>
      <c r="H93" s="720"/>
      <c r="I93" s="720"/>
      <c r="J93" s="720"/>
    </row>
    <row r="94">
      <c r="D94" s="720"/>
      <c r="E94" s="720"/>
      <c r="F94" s="720"/>
      <c r="G94" s="720"/>
      <c r="H94" s="720"/>
      <c r="I94" s="720"/>
      <c r="J94" s="720"/>
    </row>
    <row r="95">
      <c r="D95" s="720"/>
      <c r="E95" s="720"/>
      <c r="F95" s="720"/>
      <c r="G95" s="720"/>
      <c r="H95" s="720"/>
      <c r="I95" s="720"/>
      <c r="J95" s="720"/>
    </row>
    <row r="96">
      <c r="D96" s="720"/>
      <c r="E96" s="720"/>
      <c r="F96" s="720"/>
      <c r="G96" s="720"/>
      <c r="H96" s="720"/>
      <c r="I96" s="720"/>
      <c r="J96" s="720"/>
    </row>
    <row r="97">
      <c r="D97" s="720"/>
      <c r="E97" s="720"/>
      <c r="F97" s="720"/>
      <c r="G97" s="720"/>
      <c r="H97" s="720"/>
      <c r="I97" s="720"/>
      <c r="J97" s="720"/>
    </row>
    <row r="98">
      <c r="D98" s="720"/>
      <c r="E98" s="720"/>
      <c r="F98" s="720"/>
      <c r="G98" s="720"/>
      <c r="H98" s="720"/>
      <c r="I98" s="720"/>
      <c r="J98" s="720"/>
    </row>
    <row r="99">
      <c r="D99" s="720"/>
      <c r="E99" s="720"/>
      <c r="F99" s="720"/>
      <c r="G99" s="720"/>
      <c r="H99" s="720"/>
      <c r="I99" s="720"/>
      <c r="J99" s="720"/>
    </row>
    <row r="100">
      <c r="D100" s="720"/>
      <c r="E100" s="720"/>
      <c r="F100" s="720"/>
      <c r="G100" s="720"/>
      <c r="H100" s="720"/>
      <c r="I100" s="720"/>
      <c r="J100" s="720"/>
    </row>
    <row r="101">
      <c r="D101" s="720"/>
      <c r="E101" s="720"/>
      <c r="F101" s="720"/>
      <c r="G101" s="720"/>
      <c r="H101" s="720"/>
      <c r="I101" s="720"/>
      <c r="J101" s="720"/>
    </row>
    <row r="102">
      <c r="D102" s="720"/>
      <c r="E102" s="720"/>
      <c r="F102" s="720"/>
      <c r="G102" s="720"/>
      <c r="H102" s="720"/>
      <c r="I102" s="720"/>
      <c r="J102" s="720"/>
    </row>
    <row r="103">
      <c r="D103" s="720"/>
      <c r="E103" s="720"/>
      <c r="F103" s="720"/>
      <c r="G103" s="720"/>
      <c r="H103" s="720"/>
      <c r="I103" s="720"/>
      <c r="J103" s="720"/>
    </row>
    <row r="104">
      <c r="D104" s="720"/>
      <c r="E104" s="720"/>
      <c r="F104" s="720"/>
      <c r="G104" s="720"/>
      <c r="H104" s="720"/>
      <c r="I104" s="720"/>
      <c r="J104" s="720"/>
    </row>
    <row r="105">
      <c r="D105" s="720"/>
      <c r="E105" s="720"/>
      <c r="F105" s="720"/>
      <c r="G105" s="720"/>
      <c r="H105" s="720"/>
      <c r="I105" s="720"/>
      <c r="J105" s="720"/>
    </row>
    <row r="106">
      <c r="D106" s="720"/>
      <c r="E106" s="720"/>
      <c r="F106" s="720"/>
      <c r="G106" s="720"/>
      <c r="H106" s="720"/>
      <c r="I106" s="720"/>
      <c r="J106" s="720"/>
    </row>
    <row r="107">
      <c r="D107" s="720"/>
      <c r="E107" s="720"/>
      <c r="F107" s="720"/>
      <c r="G107" s="720"/>
      <c r="H107" s="720"/>
      <c r="I107" s="720"/>
      <c r="J107" s="720"/>
    </row>
    <row r="108">
      <c r="D108" s="720"/>
      <c r="E108" s="720"/>
      <c r="F108" s="720"/>
      <c r="G108" s="720"/>
      <c r="H108" s="720"/>
      <c r="I108" s="720"/>
      <c r="J108" s="720"/>
    </row>
    <row r="109">
      <c r="D109" s="720"/>
      <c r="E109" s="720"/>
      <c r="F109" s="720"/>
      <c r="G109" s="720"/>
      <c r="H109" s="720"/>
      <c r="I109" s="720"/>
      <c r="J109" s="720"/>
    </row>
    <row r="110">
      <c r="D110" s="720"/>
      <c r="E110" s="720"/>
      <c r="F110" s="720"/>
      <c r="G110" s="720"/>
      <c r="H110" s="720"/>
      <c r="I110" s="720"/>
      <c r="J110" s="720"/>
    </row>
    <row r="111">
      <c r="D111" s="720"/>
      <c r="E111" s="720"/>
      <c r="F111" s="720"/>
      <c r="G111" s="720"/>
      <c r="H111" s="720"/>
      <c r="I111" s="720"/>
      <c r="J111" s="720"/>
    </row>
    <row r="112">
      <c r="D112" s="720"/>
      <c r="E112" s="720"/>
      <c r="F112" s="720"/>
      <c r="G112" s="720"/>
      <c r="H112" s="720"/>
      <c r="I112" s="720"/>
      <c r="J112" s="720"/>
    </row>
    <row r="113">
      <c r="D113" s="720"/>
      <c r="E113" s="720"/>
      <c r="F113" s="720"/>
      <c r="G113" s="720"/>
      <c r="H113" s="720"/>
      <c r="I113" s="720"/>
      <c r="J113" s="720"/>
    </row>
    <row r="114">
      <c r="D114" s="720"/>
      <c r="E114" s="720"/>
      <c r="F114" s="720"/>
      <c r="G114" s="720"/>
      <c r="H114" s="720"/>
      <c r="I114" s="720"/>
      <c r="J114" s="720"/>
    </row>
    <row r="115">
      <c r="D115" s="720"/>
      <c r="E115" s="720"/>
      <c r="F115" s="720"/>
      <c r="G115" s="720"/>
      <c r="H115" s="720"/>
      <c r="I115" s="720"/>
      <c r="J115" s="720"/>
    </row>
    <row r="116">
      <c r="D116" s="720"/>
      <c r="E116" s="720"/>
      <c r="F116" s="720"/>
      <c r="G116" s="720"/>
      <c r="H116" s="720"/>
      <c r="I116" s="720"/>
      <c r="J116" s="720"/>
    </row>
    <row r="117">
      <c r="D117" s="720"/>
      <c r="E117" s="720"/>
      <c r="F117" s="720"/>
      <c r="G117" s="720"/>
      <c r="H117" s="720"/>
      <c r="I117" s="720"/>
      <c r="J117" s="720"/>
    </row>
    <row r="118">
      <c r="D118" s="720"/>
      <c r="E118" s="720"/>
      <c r="F118" s="720"/>
      <c r="G118" s="720"/>
      <c r="H118" s="720"/>
      <c r="I118" s="720"/>
      <c r="J118" s="720"/>
    </row>
    <row r="119">
      <c r="D119" s="720"/>
      <c r="E119" s="720"/>
      <c r="F119" s="720"/>
      <c r="G119" s="720"/>
      <c r="H119" s="720"/>
      <c r="I119" s="720"/>
      <c r="J119" s="720"/>
    </row>
    <row r="120">
      <c r="D120" s="720"/>
      <c r="E120" s="720"/>
      <c r="F120" s="720"/>
      <c r="G120" s="720"/>
      <c r="H120" s="720"/>
      <c r="I120" s="720"/>
      <c r="J120" s="720"/>
    </row>
    <row r="121">
      <c r="D121" s="720"/>
      <c r="E121" s="720"/>
      <c r="F121" s="720"/>
      <c r="G121" s="720"/>
      <c r="H121" s="720"/>
      <c r="I121" s="720"/>
      <c r="J121" s="720"/>
    </row>
    <row r="122">
      <c r="D122" s="720"/>
      <c r="E122" s="720"/>
      <c r="F122" s="720"/>
      <c r="G122" s="720"/>
      <c r="H122" s="720"/>
      <c r="I122" s="720"/>
      <c r="J122" s="720"/>
    </row>
    <row r="123">
      <c r="D123" s="720"/>
      <c r="E123" s="720"/>
      <c r="F123" s="720"/>
      <c r="G123" s="720"/>
      <c r="H123" s="720"/>
      <c r="I123" s="720"/>
      <c r="J123" s="720"/>
    </row>
    <row r="124">
      <c r="D124" s="720"/>
      <c r="E124" s="720"/>
      <c r="F124" s="720"/>
      <c r="G124" s="720"/>
      <c r="H124" s="720"/>
      <c r="I124" s="720"/>
      <c r="J124" s="720"/>
    </row>
    <row r="125">
      <c r="D125" s="720"/>
      <c r="E125" s="720"/>
      <c r="F125" s="720"/>
      <c r="G125" s="720"/>
      <c r="H125" s="720"/>
      <c r="I125" s="720"/>
      <c r="J125" s="720"/>
    </row>
    <row r="126">
      <c r="D126" s="720"/>
      <c r="E126" s="720"/>
      <c r="F126" s="720"/>
      <c r="G126" s="720"/>
      <c r="H126" s="720"/>
      <c r="I126" s="720"/>
      <c r="J126" s="720"/>
    </row>
    <row r="127">
      <c r="D127" s="720"/>
      <c r="E127" s="720"/>
      <c r="F127" s="720"/>
      <c r="G127" s="720"/>
      <c r="H127" s="720"/>
      <c r="I127" s="720"/>
      <c r="J127" s="720"/>
    </row>
    <row r="128">
      <c r="D128" s="720"/>
      <c r="E128" s="720"/>
      <c r="F128" s="720"/>
      <c r="G128" s="720"/>
      <c r="H128" s="720"/>
      <c r="I128" s="720"/>
      <c r="J128" s="720"/>
    </row>
    <row r="129">
      <c r="D129" s="720"/>
      <c r="E129" s="720"/>
      <c r="F129" s="720"/>
      <c r="G129" s="720"/>
      <c r="H129" s="720"/>
      <c r="I129" s="720"/>
      <c r="J129" s="720"/>
    </row>
    <row r="130">
      <c r="D130" s="720"/>
      <c r="E130" s="720"/>
      <c r="F130" s="720"/>
      <c r="G130" s="720"/>
      <c r="H130" s="720"/>
      <c r="I130" s="720"/>
      <c r="J130" s="720"/>
    </row>
    <row r="131">
      <c r="D131" s="720"/>
      <c r="E131" s="720"/>
      <c r="F131" s="720"/>
      <c r="G131" s="720"/>
      <c r="H131" s="720"/>
      <c r="I131" s="720"/>
      <c r="J131" s="720"/>
    </row>
    <row r="132">
      <c r="D132" s="720"/>
      <c r="E132" s="720"/>
      <c r="F132" s="720"/>
      <c r="G132" s="720"/>
      <c r="H132" s="720"/>
      <c r="I132" s="720"/>
      <c r="J132" s="720"/>
    </row>
    <row r="133">
      <c r="D133" s="720"/>
      <c r="E133" s="720"/>
      <c r="F133" s="720"/>
      <c r="G133" s="720"/>
      <c r="H133" s="720"/>
      <c r="I133" s="720"/>
      <c r="J133" s="720"/>
    </row>
    <row r="134">
      <c r="D134" s="720"/>
      <c r="E134" s="720"/>
      <c r="F134" s="720"/>
      <c r="G134" s="720"/>
      <c r="H134" s="720"/>
      <c r="I134" s="720"/>
      <c r="J134" s="720"/>
    </row>
    <row r="135">
      <c r="D135" s="720"/>
      <c r="E135" s="720"/>
      <c r="F135" s="720"/>
      <c r="G135" s="720"/>
      <c r="H135" s="720"/>
      <c r="I135" s="720"/>
      <c r="J135" s="720"/>
    </row>
    <row r="136">
      <c r="D136" s="720"/>
      <c r="E136" s="720"/>
      <c r="F136" s="720"/>
      <c r="G136" s="720"/>
      <c r="H136" s="720"/>
      <c r="I136" s="720"/>
      <c r="J136" s="720"/>
    </row>
    <row r="137">
      <c r="D137" s="720"/>
      <c r="E137" s="720"/>
      <c r="F137" s="720"/>
      <c r="G137" s="720"/>
      <c r="H137" s="720"/>
      <c r="I137" s="720"/>
      <c r="J137" s="720"/>
    </row>
    <row r="138">
      <c r="D138" s="720"/>
      <c r="E138" s="720"/>
      <c r="F138" s="720"/>
      <c r="G138" s="720"/>
      <c r="H138" s="720"/>
      <c r="I138" s="720"/>
      <c r="J138" s="720"/>
    </row>
    <row r="139">
      <c r="D139" s="720"/>
      <c r="E139" s="720"/>
      <c r="F139" s="720"/>
      <c r="G139" s="720"/>
      <c r="H139" s="720"/>
      <c r="I139" s="720"/>
      <c r="J139" s="720"/>
    </row>
    <row r="140">
      <c r="D140" s="720"/>
      <c r="E140" s="720"/>
      <c r="F140" s="720"/>
      <c r="G140" s="720"/>
      <c r="H140" s="720"/>
      <c r="I140" s="720"/>
      <c r="J140" s="720"/>
    </row>
    <row r="141">
      <c r="D141" s="720"/>
      <c r="E141" s="720"/>
      <c r="F141" s="720"/>
      <c r="G141" s="720"/>
      <c r="H141" s="720"/>
      <c r="I141" s="720"/>
      <c r="J141" s="720"/>
    </row>
    <row r="142">
      <c r="D142" s="720"/>
      <c r="E142" s="720"/>
      <c r="F142" s="720"/>
      <c r="G142" s="720"/>
      <c r="H142" s="720"/>
      <c r="I142" s="720"/>
      <c r="J142" s="720"/>
    </row>
    <row r="143">
      <c r="D143" s="720"/>
      <c r="E143" s="720"/>
      <c r="F143" s="720"/>
      <c r="G143" s="720"/>
      <c r="H143" s="720"/>
      <c r="I143" s="720"/>
      <c r="J143" s="720"/>
    </row>
    <row r="144">
      <c r="D144" s="720"/>
      <c r="E144" s="720"/>
      <c r="F144" s="720"/>
      <c r="G144" s="720"/>
      <c r="H144" s="720"/>
      <c r="I144" s="720"/>
      <c r="J144" s="720"/>
    </row>
    <row r="145">
      <c r="D145" s="720"/>
      <c r="E145" s="720"/>
      <c r="F145" s="720"/>
      <c r="G145" s="720"/>
      <c r="H145" s="720"/>
      <c r="I145" s="720"/>
      <c r="J145" s="720"/>
    </row>
    <row r="146">
      <c r="D146" s="720"/>
      <c r="E146" s="720"/>
      <c r="F146" s="720"/>
      <c r="G146" s="720"/>
      <c r="H146" s="720"/>
      <c r="I146" s="720"/>
      <c r="J146" s="720"/>
    </row>
    <row r="147">
      <c r="D147" s="720"/>
      <c r="E147" s="720"/>
      <c r="F147" s="720"/>
      <c r="G147" s="720"/>
      <c r="H147" s="720"/>
      <c r="I147" s="720"/>
      <c r="J147" s="720"/>
    </row>
    <row r="148">
      <c r="D148" s="720"/>
      <c r="E148" s="720"/>
      <c r="F148" s="720"/>
      <c r="G148" s="720"/>
      <c r="H148" s="720"/>
      <c r="I148" s="720"/>
      <c r="J148" s="720"/>
    </row>
    <row r="149">
      <c r="D149" s="720"/>
      <c r="E149" s="720"/>
      <c r="F149" s="720"/>
      <c r="G149" s="720"/>
      <c r="H149" s="720"/>
      <c r="I149" s="720"/>
      <c r="J149" s="720"/>
    </row>
    <row r="150">
      <c r="D150" s="720"/>
      <c r="E150" s="720"/>
      <c r="F150" s="720"/>
      <c r="G150" s="720"/>
      <c r="H150" s="720"/>
      <c r="I150" s="720"/>
      <c r="J150" s="720"/>
    </row>
    <row r="151">
      <c r="D151" s="720"/>
      <c r="E151" s="720"/>
      <c r="F151" s="720"/>
      <c r="G151" s="720"/>
      <c r="H151" s="720"/>
      <c r="I151" s="720"/>
      <c r="J151" s="720"/>
    </row>
    <row r="152">
      <c r="D152" s="720"/>
      <c r="E152" s="720"/>
      <c r="F152" s="720"/>
      <c r="G152" s="720"/>
      <c r="H152" s="720"/>
      <c r="I152" s="720"/>
      <c r="J152" s="720"/>
    </row>
    <row r="153">
      <c r="D153" s="720"/>
      <c r="E153" s="720"/>
      <c r="F153" s="720"/>
      <c r="G153" s="720"/>
      <c r="H153" s="720"/>
      <c r="I153" s="720"/>
      <c r="J153" s="720"/>
    </row>
    <row r="154">
      <c r="D154" s="720"/>
      <c r="E154" s="720"/>
      <c r="F154" s="720"/>
      <c r="G154" s="720"/>
      <c r="H154" s="720"/>
      <c r="I154" s="720"/>
      <c r="J154" s="720"/>
    </row>
    <row r="155">
      <c r="D155" s="720"/>
      <c r="E155" s="720"/>
      <c r="F155" s="720"/>
      <c r="G155" s="720"/>
      <c r="H155" s="720"/>
      <c r="I155" s="720"/>
      <c r="J155" s="720"/>
    </row>
    <row r="156">
      <c r="D156" s="720"/>
      <c r="E156" s="720"/>
      <c r="F156" s="720"/>
      <c r="G156" s="720"/>
      <c r="H156" s="720"/>
      <c r="I156" s="720"/>
      <c r="J156" s="720"/>
    </row>
    <row r="157">
      <c r="D157" s="720"/>
      <c r="E157" s="720"/>
      <c r="F157" s="720"/>
      <c r="G157" s="720"/>
      <c r="H157" s="720"/>
      <c r="I157" s="720"/>
      <c r="J157" s="720"/>
    </row>
    <row r="158">
      <c r="D158" s="720"/>
      <c r="E158" s="720"/>
      <c r="F158" s="720"/>
      <c r="G158" s="720"/>
      <c r="H158" s="720"/>
      <c r="I158" s="720"/>
      <c r="J158" s="720"/>
    </row>
    <row r="159">
      <c r="D159" s="720"/>
      <c r="E159" s="720"/>
      <c r="F159" s="720"/>
      <c r="G159" s="720"/>
      <c r="H159" s="720"/>
      <c r="I159" s="720"/>
      <c r="J159" s="720"/>
    </row>
    <row r="160">
      <c r="D160" s="720"/>
      <c r="E160" s="720"/>
      <c r="F160" s="720"/>
      <c r="G160" s="720"/>
      <c r="H160" s="720"/>
      <c r="I160" s="720"/>
      <c r="J160" s="720"/>
    </row>
    <row r="161">
      <c r="D161" s="720"/>
      <c r="E161" s="720"/>
      <c r="F161" s="720"/>
      <c r="G161" s="720"/>
      <c r="H161" s="720"/>
      <c r="I161" s="720"/>
      <c r="J161" s="720"/>
    </row>
    <row r="162">
      <c r="D162" s="720"/>
      <c r="E162" s="720"/>
      <c r="F162" s="720"/>
      <c r="G162" s="720"/>
      <c r="H162" s="720"/>
      <c r="I162" s="720"/>
      <c r="J162" s="720"/>
    </row>
    <row r="163">
      <c r="D163" s="720"/>
      <c r="E163" s="720"/>
      <c r="F163" s="720"/>
      <c r="G163" s="720"/>
      <c r="H163" s="720"/>
      <c r="I163" s="720"/>
      <c r="J163" s="720"/>
    </row>
    <row r="164">
      <c r="D164" s="720"/>
      <c r="E164" s="720"/>
      <c r="F164" s="720"/>
      <c r="G164" s="720"/>
      <c r="H164" s="720"/>
      <c r="I164" s="720"/>
      <c r="J164" s="720"/>
    </row>
    <row r="165">
      <c r="D165" s="720"/>
      <c r="E165" s="720"/>
      <c r="F165" s="720"/>
      <c r="G165" s="720"/>
      <c r="H165" s="720"/>
      <c r="I165" s="720"/>
      <c r="J165" s="720"/>
    </row>
    <row r="166">
      <c r="D166" s="720"/>
      <c r="E166" s="720"/>
      <c r="F166" s="720"/>
      <c r="G166" s="720"/>
      <c r="H166" s="720"/>
      <c r="I166" s="720"/>
      <c r="J166" s="720"/>
    </row>
    <row r="167">
      <c r="D167" s="720"/>
      <c r="E167" s="720"/>
      <c r="F167" s="720"/>
      <c r="G167" s="720"/>
      <c r="H167" s="720"/>
      <c r="I167" s="720"/>
      <c r="J167" s="720"/>
    </row>
    <row r="168">
      <c r="D168" s="720"/>
      <c r="E168" s="720"/>
      <c r="F168" s="720"/>
      <c r="G168" s="720"/>
      <c r="H168" s="720"/>
      <c r="I168" s="720"/>
      <c r="J168" s="720"/>
    </row>
    <row r="169">
      <c r="D169" s="720"/>
      <c r="E169" s="720"/>
      <c r="F169" s="720"/>
      <c r="G169" s="720"/>
      <c r="H169" s="720"/>
      <c r="I169" s="720"/>
      <c r="J169" s="720"/>
    </row>
    <row r="170">
      <c r="D170" s="720"/>
      <c r="E170" s="720"/>
      <c r="F170" s="720"/>
      <c r="G170" s="720"/>
      <c r="H170" s="720"/>
      <c r="I170" s="720"/>
      <c r="J170" s="720"/>
    </row>
    <row r="171">
      <c r="D171" s="720"/>
      <c r="E171" s="720"/>
      <c r="F171" s="720"/>
      <c r="G171" s="720"/>
      <c r="H171" s="720"/>
      <c r="I171" s="720"/>
      <c r="J171" s="720"/>
    </row>
    <row r="172">
      <c r="D172" s="720"/>
      <c r="E172" s="720"/>
      <c r="F172" s="720"/>
      <c r="G172" s="720"/>
      <c r="H172" s="720"/>
      <c r="I172" s="720"/>
      <c r="J172" s="720"/>
    </row>
    <row r="173">
      <c r="D173" s="720"/>
      <c r="E173" s="720"/>
      <c r="F173" s="720"/>
      <c r="G173" s="720"/>
      <c r="H173" s="720"/>
      <c r="I173" s="720"/>
      <c r="J173" s="720"/>
    </row>
    <row r="174">
      <c r="D174" s="720"/>
      <c r="E174" s="720"/>
      <c r="F174" s="720"/>
      <c r="G174" s="720"/>
      <c r="H174" s="720"/>
      <c r="I174" s="720"/>
      <c r="J174" s="720"/>
    </row>
    <row r="175">
      <c r="D175" s="720"/>
      <c r="E175" s="720"/>
      <c r="F175" s="720"/>
      <c r="G175" s="720"/>
      <c r="H175" s="720"/>
      <c r="I175" s="720"/>
      <c r="J175" s="720"/>
    </row>
    <row r="176">
      <c r="D176" s="720"/>
      <c r="E176" s="720"/>
      <c r="F176" s="720"/>
      <c r="G176" s="720"/>
      <c r="H176" s="720"/>
      <c r="I176" s="720"/>
      <c r="J176" s="720"/>
    </row>
    <row r="177">
      <c r="D177" s="720"/>
      <c r="E177" s="720"/>
      <c r="F177" s="720"/>
      <c r="G177" s="720"/>
      <c r="H177" s="720"/>
      <c r="I177" s="720"/>
      <c r="J177" s="720"/>
    </row>
    <row r="178">
      <c r="D178" s="720"/>
      <c r="E178" s="720"/>
      <c r="F178" s="720"/>
      <c r="G178" s="720"/>
      <c r="H178" s="720"/>
      <c r="I178" s="720"/>
      <c r="J178" s="720"/>
    </row>
    <row r="179">
      <c r="D179" s="720"/>
      <c r="E179" s="720"/>
      <c r="F179" s="720"/>
      <c r="G179" s="720"/>
      <c r="H179" s="720"/>
      <c r="I179" s="720"/>
      <c r="J179" s="720"/>
    </row>
    <row r="180">
      <c r="D180" s="720"/>
      <c r="E180" s="720"/>
      <c r="F180" s="720"/>
      <c r="G180" s="720"/>
      <c r="H180" s="720"/>
      <c r="I180" s="720"/>
      <c r="J180" s="720"/>
    </row>
    <row r="181">
      <c r="D181" s="720"/>
      <c r="E181" s="720"/>
      <c r="F181" s="720"/>
      <c r="G181" s="720"/>
      <c r="H181" s="720"/>
      <c r="I181" s="720"/>
      <c r="J181" s="720"/>
    </row>
    <row r="182">
      <c r="D182" s="720"/>
      <c r="E182" s="720"/>
      <c r="F182" s="720"/>
      <c r="G182" s="720"/>
      <c r="H182" s="720"/>
      <c r="I182" s="720"/>
      <c r="J182" s="720"/>
    </row>
    <row r="183">
      <c r="D183" s="720"/>
      <c r="E183" s="720"/>
      <c r="F183" s="720"/>
      <c r="G183" s="720"/>
      <c r="H183" s="720"/>
      <c r="I183" s="720"/>
      <c r="J183" s="720"/>
    </row>
    <row r="184">
      <c r="D184" s="720"/>
      <c r="E184" s="720"/>
      <c r="F184" s="720"/>
      <c r="G184" s="720"/>
      <c r="H184" s="720"/>
      <c r="I184" s="720"/>
      <c r="J184" s="720"/>
    </row>
    <row r="185">
      <c r="D185" s="720"/>
      <c r="E185" s="720"/>
      <c r="F185" s="720"/>
      <c r="G185" s="720"/>
      <c r="H185" s="720"/>
      <c r="I185" s="720"/>
      <c r="J185" s="720"/>
    </row>
    <row r="186">
      <c r="D186" s="720"/>
      <c r="E186" s="720"/>
      <c r="F186" s="720"/>
      <c r="G186" s="720"/>
      <c r="H186" s="720"/>
      <c r="I186" s="720"/>
      <c r="J186" s="720"/>
    </row>
    <row r="187">
      <c r="D187" s="720"/>
      <c r="E187" s="720"/>
      <c r="F187" s="720"/>
      <c r="G187" s="720"/>
      <c r="H187" s="720"/>
      <c r="I187" s="720"/>
      <c r="J187" s="720"/>
    </row>
    <row r="188">
      <c r="D188" s="720"/>
      <c r="E188" s="720"/>
      <c r="F188" s="720"/>
      <c r="G188" s="720"/>
      <c r="H188" s="720"/>
      <c r="I188" s="720"/>
      <c r="J188" s="720"/>
    </row>
    <row r="189">
      <c r="D189" s="720"/>
      <c r="E189" s="720"/>
      <c r="F189" s="720"/>
      <c r="G189" s="720"/>
      <c r="H189" s="720"/>
      <c r="I189" s="720"/>
      <c r="J189" s="720"/>
    </row>
    <row r="190">
      <c r="D190" s="720"/>
      <c r="E190" s="720"/>
      <c r="F190" s="720"/>
      <c r="G190" s="720"/>
      <c r="H190" s="720"/>
      <c r="I190" s="720"/>
      <c r="J190" s="720"/>
    </row>
    <row r="191">
      <c r="D191" s="720"/>
      <c r="E191" s="720"/>
      <c r="F191" s="720"/>
      <c r="G191" s="720"/>
      <c r="H191" s="720"/>
      <c r="I191" s="720"/>
      <c r="J191" s="720"/>
    </row>
    <row r="192">
      <c r="D192" s="720"/>
      <c r="E192" s="720"/>
      <c r="F192" s="720"/>
      <c r="G192" s="720"/>
      <c r="H192" s="720"/>
      <c r="I192" s="720"/>
      <c r="J192" s="720"/>
    </row>
    <row r="193">
      <c r="D193" s="720"/>
      <c r="E193" s="720"/>
      <c r="F193" s="720"/>
      <c r="G193" s="720"/>
      <c r="H193" s="720"/>
      <c r="I193" s="720"/>
      <c r="J193" s="720"/>
    </row>
    <row r="194">
      <c r="D194" s="720"/>
      <c r="E194" s="720"/>
      <c r="F194" s="720"/>
      <c r="G194" s="720"/>
      <c r="H194" s="720"/>
      <c r="I194" s="720"/>
      <c r="J194" s="720"/>
    </row>
    <row r="195">
      <c r="D195" s="720"/>
      <c r="E195" s="720"/>
      <c r="F195" s="720"/>
      <c r="G195" s="720"/>
      <c r="H195" s="720"/>
      <c r="I195" s="720"/>
      <c r="J195" s="720"/>
    </row>
    <row r="196">
      <c r="D196" s="720"/>
      <c r="E196" s="720"/>
      <c r="F196" s="720"/>
      <c r="G196" s="720"/>
      <c r="H196" s="720"/>
      <c r="I196" s="720"/>
      <c r="J196" s="720"/>
    </row>
    <row r="197">
      <c r="D197" s="720"/>
      <c r="E197" s="720"/>
      <c r="F197" s="720"/>
      <c r="G197" s="720"/>
      <c r="H197" s="720"/>
      <c r="I197" s="720"/>
      <c r="J197" s="720"/>
    </row>
    <row r="198">
      <c r="D198" s="720"/>
      <c r="E198" s="720"/>
      <c r="F198" s="720"/>
      <c r="G198" s="720"/>
      <c r="H198" s="720"/>
      <c r="I198" s="720"/>
      <c r="J198" s="720"/>
    </row>
    <row r="199">
      <c r="D199" s="720"/>
      <c r="E199" s="720"/>
      <c r="F199" s="720"/>
      <c r="G199" s="720"/>
      <c r="H199" s="720"/>
      <c r="I199" s="720"/>
      <c r="J199" s="720"/>
    </row>
    <row r="200">
      <c r="D200" s="720"/>
      <c r="E200" s="720"/>
      <c r="F200" s="720"/>
      <c r="G200" s="720"/>
      <c r="H200" s="720"/>
      <c r="I200" s="720"/>
      <c r="J200" s="720"/>
    </row>
    <row r="201">
      <c r="D201" s="720"/>
      <c r="E201" s="720"/>
      <c r="F201" s="720"/>
      <c r="G201" s="720"/>
      <c r="H201" s="720"/>
      <c r="I201" s="720"/>
      <c r="J201" s="720"/>
    </row>
    <row r="202">
      <c r="D202" s="720"/>
      <c r="E202" s="720"/>
      <c r="F202" s="720"/>
      <c r="G202" s="720"/>
      <c r="H202" s="720"/>
      <c r="I202" s="720"/>
      <c r="J202" s="720"/>
    </row>
    <row r="203">
      <c r="D203" s="720"/>
      <c r="E203" s="720"/>
      <c r="F203" s="720"/>
      <c r="G203" s="720"/>
      <c r="H203" s="720"/>
      <c r="I203" s="720"/>
      <c r="J203" s="720"/>
    </row>
    <row r="204">
      <c r="D204" s="720"/>
      <c r="E204" s="720"/>
      <c r="F204" s="720"/>
      <c r="G204" s="720"/>
      <c r="H204" s="720"/>
      <c r="I204" s="720"/>
      <c r="J204" s="720"/>
    </row>
    <row r="205">
      <c r="D205" s="720"/>
      <c r="E205" s="720"/>
      <c r="F205" s="720"/>
      <c r="G205" s="720"/>
      <c r="H205" s="720"/>
      <c r="I205" s="720"/>
      <c r="J205" s="720"/>
    </row>
    <row r="206">
      <c r="D206" s="720"/>
      <c r="E206" s="720"/>
      <c r="F206" s="720"/>
      <c r="G206" s="720"/>
      <c r="H206" s="720"/>
      <c r="I206" s="720"/>
      <c r="J206" s="720"/>
    </row>
    <row r="207">
      <c r="D207" s="720"/>
      <c r="E207" s="720"/>
      <c r="F207" s="720"/>
      <c r="G207" s="720"/>
      <c r="H207" s="720"/>
      <c r="I207" s="720"/>
      <c r="J207" s="720"/>
    </row>
    <row r="208">
      <c r="D208" s="720"/>
      <c r="E208" s="720"/>
      <c r="F208" s="720"/>
      <c r="G208" s="720"/>
      <c r="H208" s="720"/>
      <c r="I208" s="720"/>
      <c r="J208" s="720"/>
    </row>
    <row r="209">
      <c r="D209" s="720"/>
      <c r="E209" s="720"/>
      <c r="F209" s="720"/>
      <c r="G209" s="720"/>
      <c r="H209" s="720"/>
      <c r="I209" s="720"/>
      <c r="J209" s="720"/>
    </row>
    <row r="210">
      <c r="D210" s="720"/>
      <c r="E210" s="720"/>
      <c r="F210" s="720"/>
      <c r="G210" s="720"/>
      <c r="H210" s="720"/>
      <c r="I210" s="720"/>
      <c r="J210" s="720"/>
    </row>
    <row r="211">
      <c r="D211" s="720"/>
      <c r="E211" s="720"/>
      <c r="F211" s="720"/>
      <c r="G211" s="720"/>
      <c r="H211" s="720"/>
      <c r="I211" s="720"/>
      <c r="J211" s="720"/>
    </row>
    <row r="212">
      <c r="D212" s="720"/>
      <c r="E212" s="720"/>
      <c r="F212" s="720"/>
      <c r="G212" s="720"/>
      <c r="H212" s="720"/>
      <c r="I212" s="720"/>
      <c r="J212" s="720"/>
    </row>
    <row r="213">
      <c r="D213" s="720"/>
      <c r="E213" s="720"/>
      <c r="F213" s="720"/>
      <c r="G213" s="720"/>
      <c r="H213" s="720"/>
      <c r="I213" s="720"/>
      <c r="J213" s="720"/>
    </row>
    <row r="214">
      <c r="D214" s="720"/>
      <c r="E214" s="720"/>
      <c r="F214" s="720"/>
      <c r="G214" s="720"/>
      <c r="H214" s="720"/>
      <c r="I214" s="720"/>
      <c r="J214" s="720"/>
    </row>
    <row r="215">
      <c r="D215" s="720"/>
      <c r="E215" s="720"/>
      <c r="F215" s="720"/>
      <c r="G215" s="720"/>
      <c r="H215" s="720"/>
      <c r="I215" s="720"/>
      <c r="J215" s="720"/>
    </row>
    <row r="216">
      <c r="D216" s="720"/>
      <c r="E216" s="720"/>
      <c r="F216" s="720"/>
      <c r="G216" s="720"/>
      <c r="H216" s="720"/>
      <c r="I216" s="720"/>
      <c r="J216" s="720"/>
    </row>
    <row r="217">
      <c r="D217" s="720"/>
      <c r="E217" s="720"/>
      <c r="F217" s="720"/>
      <c r="G217" s="720"/>
      <c r="H217" s="720"/>
      <c r="I217" s="720"/>
      <c r="J217" s="720"/>
    </row>
    <row r="218">
      <c r="D218" s="720"/>
      <c r="E218" s="720"/>
      <c r="F218" s="720"/>
      <c r="G218" s="720"/>
      <c r="H218" s="720"/>
      <c r="I218" s="720"/>
      <c r="J218" s="720"/>
    </row>
    <row r="219">
      <c r="D219" s="720"/>
      <c r="E219" s="720"/>
      <c r="F219" s="720"/>
      <c r="G219" s="720"/>
      <c r="H219" s="720"/>
      <c r="I219" s="720"/>
      <c r="J219" s="720"/>
    </row>
    <row r="220">
      <c r="D220" s="720"/>
      <c r="E220" s="720"/>
      <c r="F220" s="720"/>
      <c r="G220" s="720"/>
      <c r="H220" s="720"/>
      <c r="I220" s="720"/>
      <c r="J220" s="720"/>
    </row>
    <row r="221">
      <c r="D221" s="720"/>
      <c r="E221" s="720"/>
      <c r="F221" s="720"/>
      <c r="G221" s="720"/>
      <c r="H221" s="720"/>
      <c r="I221" s="720"/>
      <c r="J221" s="720"/>
    </row>
    <row r="222">
      <c r="D222" s="720"/>
      <c r="E222" s="720"/>
      <c r="F222" s="720"/>
      <c r="G222" s="720"/>
      <c r="H222" s="720"/>
      <c r="I222" s="720"/>
      <c r="J222" s="720"/>
    </row>
    <row r="223">
      <c r="D223" s="720"/>
      <c r="E223" s="720"/>
      <c r="F223" s="720"/>
      <c r="G223" s="720"/>
      <c r="H223" s="720"/>
      <c r="I223" s="720"/>
      <c r="J223" s="720"/>
    </row>
    <row r="224">
      <c r="D224" s="720"/>
      <c r="E224" s="720"/>
      <c r="F224" s="720"/>
      <c r="G224" s="720"/>
      <c r="H224" s="720"/>
      <c r="I224" s="720"/>
      <c r="J224" s="720"/>
    </row>
    <row r="225">
      <c r="D225" s="720"/>
      <c r="E225" s="720"/>
      <c r="F225" s="720"/>
      <c r="G225" s="720"/>
      <c r="H225" s="720"/>
      <c r="I225" s="720"/>
      <c r="J225" s="720"/>
    </row>
    <row r="226">
      <c r="D226" s="720"/>
      <c r="E226" s="720"/>
      <c r="F226" s="720"/>
      <c r="G226" s="720"/>
      <c r="H226" s="720"/>
      <c r="I226" s="720"/>
      <c r="J226" s="720"/>
    </row>
    <row r="227">
      <c r="D227" s="720"/>
      <c r="E227" s="720"/>
      <c r="F227" s="720"/>
      <c r="G227" s="720"/>
      <c r="H227" s="720"/>
      <c r="I227" s="720"/>
      <c r="J227" s="720"/>
    </row>
    <row r="228">
      <c r="D228" s="720"/>
      <c r="E228" s="720"/>
      <c r="F228" s="720"/>
      <c r="G228" s="720"/>
      <c r="H228" s="720"/>
      <c r="I228" s="720"/>
      <c r="J228" s="720"/>
    </row>
    <row r="229">
      <c r="D229" s="720"/>
      <c r="E229" s="720"/>
      <c r="F229" s="720"/>
      <c r="G229" s="720"/>
      <c r="H229" s="720"/>
      <c r="I229" s="720"/>
      <c r="J229" s="720"/>
    </row>
    <row r="230">
      <c r="D230" s="720"/>
      <c r="E230" s="720"/>
      <c r="F230" s="720"/>
      <c r="G230" s="720"/>
      <c r="H230" s="720"/>
      <c r="I230" s="720"/>
      <c r="J230" s="720"/>
    </row>
    <row r="231">
      <c r="D231" s="720"/>
      <c r="E231" s="720"/>
      <c r="F231" s="720"/>
      <c r="G231" s="720"/>
      <c r="H231" s="720"/>
      <c r="I231" s="720"/>
      <c r="J231" s="720"/>
    </row>
    <row r="232">
      <c r="D232" s="720"/>
      <c r="E232" s="720"/>
      <c r="F232" s="720"/>
      <c r="G232" s="720"/>
      <c r="H232" s="720"/>
      <c r="I232" s="720"/>
      <c r="J232" s="720"/>
    </row>
    <row r="233">
      <c r="D233" s="720"/>
      <c r="E233" s="720"/>
      <c r="F233" s="720"/>
      <c r="G233" s="720"/>
      <c r="H233" s="720"/>
      <c r="I233" s="720"/>
      <c r="J233" s="720"/>
    </row>
    <row r="234">
      <c r="D234" s="720"/>
      <c r="E234" s="720"/>
      <c r="F234" s="720"/>
      <c r="G234" s="720"/>
      <c r="H234" s="720"/>
      <c r="I234" s="720"/>
      <c r="J234" s="720"/>
    </row>
    <row r="235">
      <c r="D235" s="720"/>
      <c r="E235" s="720"/>
      <c r="F235" s="720"/>
      <c r="G235" s="720"/>
      <c r="H235" s="720"/>
      <c r="I235" s="720"/>
      <c r="J235" s="720"/>
    </row>
    <row r="236">
      <c r="D236" s="720"/>
      <c r="E236" s="720"/>
      <c r="F236" s="720"/>
      <c r="G236" s="720"/>
      <c r="H236" s="720"/>
      <c r="I236" s="720"/>
      <c r="J236" s="720"/>
    </row>
    <row r="237">
      <c r="D237" s="720"/>
      <c r="E237" s="720"/>
      <c r="F237" s="720"/>
      <c r="G237" s="720"/>
      <c r="H237" s="720"/>
      <c r="I237" s="720"/>
      <c r="J237" s="720"/>
    </row>
    <row r="238">
      <c r="D238" s="720"/>
      <c r="E238" s="720"/>
      <c r="F238" s="720"/>
      <c r="G238" s="720"/>
      <c r="H238" s="720"/>
      <c r="I238" s="720"/>
      <c r="J238" s="720"/>
    </row>
    <row r="239">
      <c r="D239" s="720"/>
      <c r="E239" s="720"/>
      <c r="F239" s="720"/>
      <c r="G239" s="720"/>
      <c r="H239" s="720"/>
      <c r="I239" s="720"/>
      <c r="J239" s="720"/>
    </row>
    <row r="240">
      <c r="D240" s="720"/>
      <c r="E240" s="720"/>
      <c r="F240" s="720"/>
      <c r="G240" s="720"/>
      <c r="H240" s="720"/>
      <c r="I240" s="720"/>
      <c r="J240" s="720"/>
    </row>
    <row r="241">
      <c r="D241" s="720"/>
      <c r="E241" s="720"/>
      <c r="F241" s="720"/>
      <c r="G241" s="720"/>
      <c r="H241" s="720"/>
      <c r="I241" s="720"/>
      <c r="J241" s="720"/>
    </row>
    <row r="242">
      <c r="D242" s="720"/>
      <c r="E242" s="720"/>
      <c r="F242" s="720"/>
      <c r="G242" s="720"/>
      <c r="H242" s="720"/>
      <c r="I242" s="720"/>
      <c r="J242" s="720"/>
    </row>
    <row r="243">
      <c r="D243" s="720"/>
      <c r="E243" s="720"/>
      <c r="F243" s="720"/>
      <c r="G243" s="720"/>
      <c r="H243" s="720"/>
      <c r="I243" s="720"/>
      <c r="J243" s="720"/>
    </row>
    <row r="244">
      <c r="D244" s="720"/>
      <c r="E244" s="720"/>
      <c r="F244" s="720"/>
      <c r="G244" s="720"/>
      <c r="H244" s="720"/>
      <c r="I244" s="720"/>
      <c r="J244" s="720"/>
    </row>
    <row r="245">
      <c r="D245" s="720"/>
      <c r="E245" s="720"/>
      <c r="F245" s="720"/>
      <c r="G245" s="720"/>
      <c r="H245" s="720"/>
      <c r="I245" s="720"/>
      <c r="J245" s="720"/>
    </row>
    <row r="246">
      <c r="D246" s="720"/>
      <c r="E246" s="720"/>
      <c r="F246" s="720"/>
      <c r="G246" s="720"/>
      <c r="H246" s="720"/>
      <c r="I246" s="720"/>
      <c r="J246" s="720"/>
    </row>
    <row r="247">
      <c r="D247" s="720"/>
      <c r="E247" s="720"/>
      <c r="F247" s="720"/>
      <c r="G247" s="720"/>
      <c r="H247" s="720"/>
      <c r="I247" s="720"/>
      <c r="J247" s="720"/>
    </row>
    <row r="248">
      <c r="D248" s="720"/>
      <c r="E248" s="720"/>
      <c r="F248" s="720"/>
      <c r="G248" s="720"/>
      <c r="H248" s="720"/>
      <c r="I248" s="720"/>
      <c r="J248" s="720"/>
    </row>
    <row r="249">
      <c r="D249" s="720"/>
      <c r="E249" s="720"/>
      <c r="F249" s="720"/>
      <c r="G249" s="720"/>
      <c r="H249" s="720"/>
      <c r="I249" s="720"/>
      <c r="J249" s="720"/>
    </row>
    <row r="250">
      <c r="D250" s="720"/>
      <c r="E250" s="720"/>
      <c r="F250" s="720"/>
      <c r="G250" s="720"/>
      <c r="H250" s="720"/>
      <c r="I250" s="720"/>
      <c r="J250" s="720"/>
    </row>
    <row r="251">
      <c r="D251" s="720"/>
      <c r="E251" s="720"/>
      <c r="F251" s="720"/>
      <c r="G251" s="720"/>
      <c r="H251" s="720"/>
      <c r="I251" s="720"/>
      <c r="J251" s="720"/>
    </row>
    <row r="252">
      <c r="D252" s="720"/>
      <c r="E252" s="720"/>
      <c r="F252" s="720"/>
      <c r="G252" s="720"/>
      <c r="H252" s="720"/>
      <c r="I252" s="720"/>
      <c r="J252" s="720"/>
    </row>
    <row r="253">
      <c r="D253" s="720"/>
      <c r="E253" s="720"/>
      <c r="F253" s="720"/>
      <c r="G253" s="720"/>
      <c r="H253" s="720"/>
      <c r="I253" s="720"/>
      <c r="J253" s="720"/>
    </row>
    <row r="254">
      <c r="D254" s="720"/>
      <c r="E254" s="720"/>
      <c r="F254" s="720"/>
      <c r="G254" s="720"/>
      <c r="H254" s="720"/>
      <c r="I254" s="720"/>
      <c r="J254" s="720"/>
    </row>
    <row r="255">
      <c r="D255" s="720"/>
      <c r="E255" s="720"/>
      <c r="F255" s="720"/>
      <c r="G255" s="720"/>
      <c r="H255" s="720"/>
      <c r="I255" s="720"/>
      <c r="J255" s="720"/>
    </row>
    <row r="256">
      <c r="D256" s="720"/>
      <c r="E256" s="720"/>
      <c r="F256" s="720"/>
      <c r="G256" s="720"/>
      <c r="H256" s="720"/>
      <c r="I256" s="720"/>
      <c r="J256" s="720"/>
    </row>
    <row r="257">
      <c r="D257" s="720"/>
      <c r="E257" s="720"/>
      <c r="F257" s="720"/>
      <c r="G257" s="720"/>
      <c r="H257" s="720"/>
      <c r="I257" s="720"/>
      <c r="J257" s="720"/>
    </row>
    <row r="258">
      <c r="D258" s="720"/>
      <c r="E258" s="720"/>
      <c r="F258" s="720"/>
      <c r="G258" s="720"/>
      <c r="H258" s="720"/>
      <c r="I258" s="720"/>
      <c r="J258" s="720"/>
    </row>
    <row r="259">
      <c r="D259" s="720"/>
      <c r="E259" s="720"/>
      <c r="F259" s="720"/>
      <c r="G259" s="720"/>
      <c r="H259" s="720"/>
      <c r="I259" s="720"/>
      <c r="J259" s="720"/>
    </row>
    <row r="260">
      <c r="D260" s="720"/>
      <c r="E260" s="720"/>
      <c r="F260" s="720"/>
      <c r="G260" s="720"/>
      <c r="H260" s="720"/>
      <c r="I260" s="720"/>
      <c r="J260" s="720"/>
    </row>
    <row r="261">
      <c r="D261" s="720"/>
      <c r="E261" s="720"/>
      <c r="F261" s="720"/>
      <c r="G261" s="720"/>
      <c r="H261" s="720"/>
      <c r="I261" s="720"/>
      <c r="J261" s="720"/>
    </row>
    <row r="262">
      <c r="D262" s="720"/>
      <c r="E262" s="720"/>
      <c r="F262" s="720"/>
      <c r="G262" s="720"/>
      <c r="H262" s="720"/>
      <c r="I262" s="720"/>
      <c r="J262" s="720"/>
    </row>
    <row r="263">
      <c r="D263" s="720"/>
      <c r="E263" s="720"/>
      <c r="F263" s="720"/>
      <c r="G263" s="720"/>
      <c r="H263" s="720"/>
      <c r="I263" s="720"/>
      <c r="J263" s="720"/>
    </row>
    <row r="264">
      <c r="D264" s="720"/>
      <c r="E264" s="720"/>
      <c r="F264" s="720"/>
      <c r="G264" s="720"/>
      <c r="H264" s="720"/>
      <c r="I264" s="720"/>
      <c r="J264" s="720"/>
    </row>
    <row r="265">
      <c r="D265" s="720"/>
      <c r="E265" s="720"/>
      <c r="F265" s="720"/>
      <c r="G265" s="720"/>
      <c r="H265" s="720"/>
      <c r="I265" s="720"/>
      <c r="J265" s="720"/>
    </row>
    <row r="266">
      <c r="D266" s="720"/>
      <c r="E266" s="720"/>
      <c r="F266" s="720"/>
      <c r="G266" s="720"/>
      <c r="H266" s="720"/>
      <c r="I266" s="720"/>
      <c r="J266" s="720"/>
    </row>
    <row r="267">
      <c r="D267" s="720"/>
      <c r="E267" s="720"/>
      <c r="F267" s="720"/>
      <c r="G267" s="720"/>
      <c r="H267" s="720"/>
      <c r="I267" s="720"/>
      <c r="J267" s="720"/>
    </row>
    <row r="268">
      <c r="D268" s="720"/>
      <c r="E268" s="720"/>
      <c r="F268" s="720"/>
      <c r="G268" s="720"/>
      <c r="H268" s="720"/>
      <c r="I268" s="720"/>
      <c r="J268" s="720"/>
    </row>
    <row r="269">
      <c r="D269" s="720"/>
      <c r="E269" s="720"/>
      <c r="F269" s="720"/>
      <c r="G269" s="720"/>
      <c r="H269" s="720"/>
      <c r="I269" s="720"/>
      <c r="J269" s="720"/>
    </row>
    <row r="270">
      <c r="D270" s="720"/>
      <c r="E270" s="720"/>
      <c r="F270" s="720"/>
      <c r="G270" s="720"/>
      <c r="H270" s="720"/>
      <c r="I270" s="720"/>
      <c r="J270" s="720"/>
    </row>
    <row r="271">
      <c r="D271" s="720"/>
      <c r="E271" s="720"/>
      <c r="F271" s="720"/>
      <c r="G271" s="720"/>
      <c r="H271" s="720"/>
      <c r="I271" s="720"/>
      <c r="J271" s="720"/>
    </row>
    <row r="272">
      <c r="D272" s="720"/>
      <c r="E272" s="720"/>
      <c r="F272" s="720"/>
      <c r="G272" s="720"/>
      <c r="H272" s="720"/>
      <c r="I272" s="720"/>
      <c r="J272" s="720"/>
    </row>
    <row r="273">
      <c r="D273" s="720"/>
      <c r="E273" s="720"/>
      <c r="F273" s="720"/>
      <c r="G273" s="720"/>
      <c r="H273" s="720"/>
      <c r="I273" s="720"/>
      <c r="J273" s="720"/>
    </row>
    <row r="274">
      <c r="D274" s="720"/>
      <c r="E274" s="720"/>
      <c r="F274" s="720"/>
      <c r="G274" s="720"/>
      <c r="H274" s="720"/>
      <c r="I274" s="720"/>
      <c r="J274" s="720"/>
    </row>
    <row r="275">
      <c r="D275" s="720"/>
      <c r="E275" s="720"/>
      <c r="F275" s="720"/>
      <c r="G275" s="720"/>
      <c r="H275" s="720"/>
      <c r="I275" s="720"/>
      <c r="J275" s="720"/>
    </row>
    <row r="276">
      <c r="D276" s="720"/>
      <c r="E276" s="720"/>
      <c r="F276" s="720"/>
      <c r="G276" s="720"/>
      <c r="H276" s="720"/>
      <c r="I276" s="720"/>
      <c r="J276" s="720"/>
    </row>
    <row r="277">
      <c r="D277" s="720"/>
      <c r="E277" s="720"/>
      <c r="F277" s="720"/>
      <c r="G277" s="720"/>
      <c r="H277" s="720"/>
      <c r="I277" s="720"/>
      <c r="J277" s="720"/>
    </row>
    <row r="278">
      <c r="D278" s="720"/>
      <c r="E278" s="720"/>
      <c r="F278" s="720"/>
      <c r="G278" s="720"/>
      <c r="H278" s="720"/>
      <c r="I278" s="720"/>
      <c r="J278" s="720"/>
    </row>
    <row r="279">
      <c r="D279" s="720"/>
      <c r="E279" s="720"/>
      <c r="F279" s="720"/>
      <c r="G279" s="720"/>
      <c r="H279" s="720"/>
      <c r="I279" s="720"/>
      <c r="J279" s="720"/>
    </row>
    <row r="280">
      <c r="D280" s="720"/>
      <c r="E280" s="720"/>
      <c r="F280" s="720"/>
      <c r="G280" s="720"/>
      <c r="H280" s="720"/>
      <c r="I280" s="720"/>
      <c r="J280" s="720"/>
    </row>
    <row r="281">
      <c r="D281" s="720"/>
      <c r="E281" s="720"/>
      <c r="F281" s="720"/>
      <c r="G281" s="720"/>
      <c r="H281" s="720"/>
      <c r="I281" s="720"/>
      <c r="J281" s="720"/>
    </row>
    <row r="282">
      <c r="D282" s="720"/>
      <c r="E282" s="720"/>
      <c r="F282" s="720"/>
      <c r="G282" s="720"/>
      <c r="H282" s="720"/>
      <c r="I282" s="720"/>
      <c r="J282" s="720"/>
    </row>
    <row r="283">
      <c r="D283" s="720"/>
      <c r="E283" s="720"/>
      <c r="F283" s="720"/>
      <c r="G283" s="720"/>
      <c r="H283" s="720"/>
      <c r="I283" s="720"/>
      <c r="J283" s="720"/>
    </row>
    <row r="284">
      <c r="D284" s="720"/>
      <c r="E284" s="720"/>
      <c r="F284" s="720"/>
      <c r="G284" s="720"/>
      <c r="H284" s="720"/>
      <c r="I284" s="720"/>
      <c r="J284" s="720"/>
    </row>
    <row r="285">
      <c r="D285" s="720"/>
      <c r="E285" s="720"/>
      <c r="F285" s="720"/>
      <c r="G285" s="720"/>
      <c r="H285" s="720"/>
      <c r="I285" s="720"/>
      <c r="J285" s="720"/>
    </row>
    <row r="286">
      <c r="D286" s="720"/>
      <c r="E286" s="720"/>
      <c r="F286" s="720"/>
      <c r="G286" s="720"/>
      <c r="H286" s="720"/>
      <c r="I286" s="720"/>
      <c r="J286" s="720"/>
    </row>
    <row r="287">
      <c r="D287" s="720"/>
      <c r="E287" s="720"/>
      <c r="F287" s="720"/>
      <c r="G287" s="720"/>
      <c r="H287" s="720"/>
      <c r="I287" s="720"/>
      <c r="J287" s="720"/>
    </row>
    <row r="288">
      <c r="D288" s="720"/>
      <c r="E288" s="720"/>
      <c r="F288" s="720"/>
      <c r="G288" s="720"/>
      <c r="H288" s="720"/>
      <c r="I288" s="720"/>
      <c r="J288" s="720"/>
    </row>
    <row r="289">
      <c r="D289" s="720"/>
      <c r="E289" s="720"/>
      <c r="F289" s="720"/>
      <c r="G289" s="720"/>
      <c r="H289" s="720"/>
      <c r="I289" s="720"/>
      <c r="J289" s="720"/>
    </row>
    <row r="290">
      <c r="D290" s="720"/>
      <c r="E290" s="720"/>
      <c r="F290" s="720"/>
      <c r="G290" s="720"/>
      <c r="H290" s="720"/>
      <c r="I290" s="720"/>
      <c r="J290" s="720"/>
    </row>
    <row r="291">
      <c r="D291" s="720"/>
      <c r="E291" s="720"/>
      <c r="F291" s="720"/>
      <c r="G291" s="720"/>
      <c r="H291" s="720"/>
      <c r="I291" s="720"/>
      <c r="J291" s="720"/>
    </row>
    <row r="292">
      <c r="D292" s="720"/>
      <c r="E292" s="720"/>
      <c r="F292" s="720"/>
      <c r="G292" s="720"/>
      <c r="H292" s="720"/>
      <c r="I292" s="720"/>
      <c r="J292" s="720"/>
    </row>
    <row r="293">
      <c r="D293" s="720"/>
      <c r="E293" s="720"/>
      <c r="F293" s="720"/>
      <c r="G293" s="720"/>
      <c r="H293" s="720"/>
      <c r="I293" s="720"/>
      <c r="J293" s="720"/>
    </row>
    <row r="294">
      <c r="D294" s="720"/>
      <c r="E294" s="720"/>
      <c r="F294" s="720"/>
      <c r="G294" s="720"/>
      <c r="H294" s="720"/>
      <c r="I294" s="720"/>
      <c r="J294" s="720"/>
    </row>
    <row r="295">
      <c r="D295" s="720"/>
      <c r="E295" s="720"/>
      <c r="F295" s="720"/>
      <c r="G295" s="720"/>
      <c r="H295" s="720"/>
      <c r="I295" s="720"/>
      <c r="J295" s="720"/>
    </row>
    <row r="296">
      <c r="D296" s="720"/>
      <c r="E296" s="720"/>
      <c r="F296" s="720"/>
      <c r="G296" s="720"/>
      <c r="H296" s="720"/>
      <c r="I296" s="720"/>
      <c r="J296" s="720"/>
    </row>
    <row r="297">
      <c r="D297" s="720"/>
      <c r="E297" s="720"/>
      <c r="F297" s="720"/>
      <c r="G297" s="720"/>
      <c r="H297" s="720"/>
      <c r="I297" s="720"/>
      <c r="J297" s="720"/>
    </row>
    <row r="298">
      <c r="D298" s="720"/>
      <c r="E298" s="720"/>
      <c r="F298" s="720"/>
      <c r="G298" s="720"/>
      <c r="H298" s="720"/>
      <c r="I298" s="720"/>
      <c r="J298" s="720"/>
    </row>
    <row r="299">
      <c r="D299" s="720"/>
      <c r="E299" s="720"/>
      <c r="F299" s="720"/>
      <c r="G299" s="720"/>
      <c r="H299" s="720"/>
      <c r="I299" s="720"/>
      <c r="J299" s="720"/>
    </row>
    <row r="300">
      <c r="D300" s="720"/>
      <c r="E300" s="720"/>
      <c r="F300" s="720"/>
      <c r="G300" s="720"/>
      <c r="H300" s="720"/>
      <c r="I300" s="720"/>
      <c r="J300" s="720"/>
    </row>
    <row r="301">
      <c r="D301" s="720"/>
      <c r="E301" s="720"/>
      <c r="F301" s="720"/>
      <c r="G301" s="720"/>
      <c r="H301" s="720"/>
      <c r="I301" s="720"/>
      <c r="J301" s="720"/>
    </row>
    <row r="302">
      <c r="D302" s="720"/>
      <c r="E302" s="720"/>
      <c r="F302" s="720"/>
      <c r="G302" s="720"/>
      <c r="H302" s="720"/>
      <c r="I302" s="720"/>
      <c r="J302" s="720"/>
    </row>
    <row r="303">
      <c r="D303" s="720"/>
      <c r="E303" s="720"/>
      <c r="F303" s="720"/>
      <c r="G303" s="720"/>
      <c r="H303" s="720"/>
      <c r="I303" s="720"/>
      <c r="J303" s="720"/>
    </row>
    <row r="304">
      <c r="D304" s="720"/>
      <c r="E304" s="720"/>
      <c r="F304" s="720"/>
      <c r="G304" s="720"/>
      <c r="H304" s="720"/>
      <c r="I304" s="720"/>
      <c r="J304" s="720"/>
    </row>
    <row r="305">
      <c r="D305" s="720"/>
      <c r="E305" s="720"/>
      <c r="F305" s="720"/>
      <c r="G305" s="720"/>
      <c r="H305" s="720"/>
      <c r="I305" s="720"/>
      <c r="J305" s="720"/>
    </row>
    <row r="306">
      <c r="D306" s="720"/>
      <c r="E306" s="720"/>
      <c r="F306" s="720"/>
      <c r="G306" s="720"/>
      <c r="H306" s="720"/>
      <c r="I306" s="720"/>
      <c r="J306" s="720"/>
    </row>
    <row r="307">
      <c r="D307" s="720"/>
      <c r="E307" s="720"/>
      <c r="F307" s="720"/>
      <c r="G307" s="720"/>
      <c r="H307" s="720"/>
      <c r="I307" s="720"/>
      <c r="J307" s="720"/>
    </row>
    <row r="308">
      <c r="D308" s="720"/>
      <c r="E308" s="720"/>
      <c r="F308" s="720"/>
      <c r="G308" s="720"/>
      <c r="H308" s="720"/>
      <c r="I308" s="720"/>
      <c r="J308" s="720"/>
    </row>
    <row r="309">
      <c r="D309" s="720"/>
      <c r="E309" s="720"/>
      <c r="F309" s="720"/>
      <c r="G309" s="720"/>
      <c r="H309" s="720"/>
      <c r="I309" s="720"/>
      <c r="J309" s="720"/>
    </row>
    <row r="310">
      <c r="D310" s="720"/>
      <c r="E310" s="720"/>
      <c r="F310" s="720"/>
      <c r="G310" s="720"/>
      <c r="H310" s="720"/>
      <c r="I310" s="720"/>
      <c r="J310" s="720"/>
    </row>
    <row r="311">
      <c r="D311" s="720"/>
      <c r="E311" s="720"/>
      <c r="F311" s="720"/>
      <c r="G311" s="720"/>
      <c r="H311" s="720"/>
      <c r="I311" s="720"/>
      <c r="J311" s="720"/>
    </row>
    <row r="312">
      <c r="D312" s="720"/>
      <c r="E312" s="720"/>
      <c r="F312" s="720"/>
      <c r="G312" s="720"/>
      <c r="H312" s="720"/>
      <c r="I312" s="720"/>
      <c r="J312" s="720"/>
    </row>
    <row r="313">
      <c r="D313" s="720"/>
      <c r="E313" s="720"/>
      <c r="F313" s="720"/>
      <c r="G313" s="720"/>
      <c r="H313" s="720"/>
      <c r="I313" s="720"/>
      <c r="J313" s="720"/>
    </row>
    <row r="314">
      <c r="D314" s="720"/>
      <c r="E314" s="720"/>
      <c r="F314" s="720"/>
      <c r="G314" s="720"/>
      <c r="H314" s="720"/>
      <c r="I314" s="720"/>
      <c r="J314" s="720"/>
    </row>
    <row r="315">
      <c r="D315" s="720"/>
      <c r="E315" s="720"/>
      <c r="F315" s="720"/>
      <c r="G315" s="720"/>
      <c r="H315" s="720"/>
      <c r="I315" s="720"/>
      <c r="J315" s="720"/>
    </row>
    <row r="316">
      <c r="D316" s="720"/>
      <c r="E316" s="720"/>
      <c r="F316" s="720"/>
      <c r="G316" s="720"/>
      <c r="H316" s="720"/>
      <c r="I316" s="720"/>
      <c r="J316" s="720"/>
    </row>
    <row r="317">
      <c r="D317" s="720"/>
      <c r="E317" s="720"/>
      <c r="F317" s="720"/>
      <c r="G317" s="720"/>
      <c r="H317" s="720"/>
      <c r="I317" s="720"/>
      <c r="J317" s="720"/>
    </row>
    <row r="318">
      <c r="D318" s="720"/>
      <c r="E318" s="720"/>
      <c r="F318" s="720"/>
      <c r="G318" s="720"/>
      <c r="H318" s="720"/>
      <c r="I318" s="720"/>
      <c r="J318" s="720"/>
    </row>
    <row r="319">
      <c r="D319" s="720"/>
      <c r="E319" s="720"/>
      <c r="F319" s="720"/>
      <c r="G319" s="720"/>
      <c r="H319" s="720"/>
      <c r="I319" s="720"/>
      <c r="J319" s="720"/>
    </row>
    <row r="320">
      <c r="D320" s="720"/>
      <c r="E320" s="720"/>
      <c r="F320" s="720"/>
      <c r="G320" s="720"/>
      <c r="H320" s="720"/>
      <c r="I320" s="720"/>
      <c r="J320" s="720"/>
    </row>
    <row r="321">
      <c r="D321" s="720"/>
      <c r="E321" s="720"/>
      <c r="F321" s="720"/>
      <c r="G321" s="720"/>
      <c r="H321" s="720"/>
      <c r="I321" s="720"/>
      <c r="J321" s="720"/>
    </row>
    <row r="322">
      <c r="D322" s="720"/>
      <c r="E322" s="720"/>
      <c r="F322" s="720"/>
      <c r="G322" s="720"/>
      <c r="H322" s="720"/>
      <c r="I322" s="720"/>
      <c r="J322" s="720"/>
    </row>
    <row r="323">
      <c r="D323" s="720"/>
      <c r="E323" s="720"/>
      <c r="F323" s="720"/>
      <c r="G323" s="720"/>
      <c r="H323" s="720"/>
      <c r="I323" s="720"/>
      <c r="J323" s="720"/>
    </row>
    <row r="324">
      <c r="D324" s="720"/>
      <c r="E324" s="720"/>
      <c r="F324" s="720"/>
      <c r="G324" s="720"/>
      <c r="H324" s="720"/>
      <c r="I324" s="720"/>
      <c r="J324" s="720"/>
    </row>
    <row r="325">
      <c r="D325" s="720"/>
      <c r="E325" s="720"/>
      <c r="F325" s="720"/>
      <c r="G325" s="720"/>
      <c r="H325" s="720"/>
      <c r="I325" s="720"/>
      <c r="J325" s="720"/>
    </row>
    <row r="326">
      <c r="D326" s="720"/>
      <c r="E326" s="720"/>
      <c r="F326" s="720"/>
      <c r="G326" s="720"/>
      <c r="H326" s="720"/>
      <c r="I326" s="720"/>
      <c r="J326" s="720"/>
    </row>
    <row r="327">
      <c r="D327" s="720"/>
      <c r="E327" s="720"/>
      <c r="F327" s="720"/>
      <c r="G327" s="720"/>
      <c r="H327" s="720"/>
      <c r="I327" s="720"/>
      <c r="J327" s="720"/>
    </row>
    <row r="328">
      <c r="D328" s="720"/>
      <c r="E328" s="720"/>
      <c r="F328" s="720"/>
      <c r="G328" s="720"/>
      <c r="H328" s="720"/>
      <c r="I328" s="720"/>
      <c r="J328" s="720"/>
    </row>
    <row r="329">
      <c r="D329" s="720"/>
      <c r="E329" s="720"/>
      <c r="F329" s="720"/>
      <c r="G329" s="720"/>
      <c r="H329" s="720"/>
      <c r="I329" s="720"/>
      <c r="J329" s="720"/>
    </row>
    <row r="330">
      <c r="D330" s="720"/>
      <c r="E330" s="720"/>
      <c r="F330" s="720"/>
      <c r="G330" s="720"/>
      <c r="H330" s="720"/>
      <c r="I330" s="720"/>
      <c r="J330" s="720"/>
    </row>
    <row r="331">
      <c r="D331" s="720"/>
      <c r="E331" s="720"/>
      <c r="F331" s="720"/>
      <c r="G331" s="720"/>
      <c r="H331" s="720"/>
      <c r="I331" s="720"/>
      <c r="J331" s="720"/>
    </row>
    <row r="332">
      <c r="D332" s="720"/>
      <c r="E332" s="720"/>
      <c r="F332" s="720"/>
      <c r="G332" s="720"/>
      <c r="H332" s="720"/>
      <c r="I332" s="720"/>
      <c r="J332" s="720"/>
    </row>
    <row r="333">
      <c r="D333" s="720"/>
      <c r="E333" s="720"/>
      <c r="F333" s="720"/>
      <c r="G333" s="720"/>
      <c r="H333" s="720"/>
      <c r="I333" s="720"/>
      <c r="J333" s="720"/>
    </row>
    <row r="334">
      <c r="D334" s="720"/>
      <c r="E334" s="720"/>
      <c r="F334" s="720"/>
      <c r="G334" s="720"/>
      <c r="H334" s="720"/>
      <c r="I334" s="720"/>
      <c r="J334" s="720"/>
    </row>
    <row r="335">
      <c r="D335" s="720"/>
      <c r="E335" s="720"/>
      <c r="F335" s="720"/>
      <c r="G335" s="720"/>
      <c r="H335" s="720"/>
      <c r="I335" s="720"/>
      <c r="J335" s="720"/>
    </row>
    <row r="336">
      <c r="D336" s="720"/>
      <c r="E336" s="720"/>
      <c r="F336" s="720"/>
      <c r="G336" s="720"/>
      <c r="H336" s="720"/>
      <c r="I336" s="720"/>
      <c r="J336" s="720"/>
    </row>
    <row r="337">
      <c r="D337" s="720"/>
      <c r="E337" s="720"/>
      <c r="F337" s="720"/>
      <c r="G337" s="720"/>
      <c r="H337" s="720"/>
      <c r="I337" s="720"/>
      <c r="J337" s="720"/>
    </row>
    <row r="338">
      <c r="D338" s="720"/>
      <c r="E338" s="720"/>
      <c r="F338" s="720"/>
      <c r="G338" s="720"/>
      <c r="H338" s="720"/>
      <c r="I338" s="720"/>
      <c r="J338" s="720"/>
    </row>
    <row r="339">
      <c r="D339" s="720"/>
      <c r="E339" s="720"/>
      <c r="F339" s="720"/>
      <c r="G339" s="720"/>
      <c r="H339" s="720"/>
      <c r="I339" s="720"/>
      <c r="J339" s="720"/>
    </row>
    <row r="340">
      <c r="D340" s="720"/>
      <c r="E340" s="720"/>
      <c r="F340" s="720"/>
      <c r="G340" s="720"/>
      <c r="H340" s="720"/>
      <c r="I340" s="720"/>
      <c r="J340" s="720"/>
    </row>
    <row r="341">
      <c r="D341" s="720"/>
      <c r="E341" s="720"/>
      <c r="F341" s="720"/>
      <c r="G341" s="720"/>
      <c r="H341" s="720"/>
      <c r="I341" s="720"/>
      <c r="J341" s="720"/>
    </row>
    <row r="342">
      <c r="D342" s="720"/>
      <c r="E342" s="720"/>
      <c r="F342" s="720"/>
      <c r="G342" s="720"/>
      <c r="H342" s="720"/>
      <c r="I342" s="720"/>
      <c r="J342" s="720"/>
    </row>
    <row r="343">
      <c r="D343" s="720"/>
      <c r="E343" s="720"/>
      <c r="F343" s="720"/>
      <c r="G343" s="720"/>
      <c r="H343" s="720"/>
      <c r="I343" s="720"/>
      <c r="J343" s="720"/>
    </row>
    <row r="344">
      <c r="D344" s="720"/>
      <c r="E344" s="720"/>
      <c r="F344" s="720"/>
      <c r="G344" s="720"/>
      <c r="H344" s="720"/>
      <c r="I344" s="720"/>
      <c r="J344" s="720"/>
    </row>
    <row r="345">
      <c r="D345" s="720"/>
      <c r="E345" s="720"/>
      <c r="F345" s="720"/>
      <c r="G345" s="720"/>
      <c r="H345" s="720"/>
      <c r="I345" s="720"/>
      <c r="J345" s="720"/>
    </row>
    <row r="346">
      <c r="D346" s="720"/>
      <c r="E346" s="720"/>
      <c r="F346" s="720"/>
      <c r="G346" s="720"/>
      <c r="H346" s="720"/>
      <c r="I346" s="720"/>
      <c r="J346" s="720"/>
    </row>
    <row r="347">
      <c r="D347" s="720"/>
      <c r="E347" s="720"/>
      <c r="F347" s="720"/>
      <c r="G347" s="720"/>
      <c r="H347" s="720"/>
      <c r="I347" s="720"/>
      <c r="J347" s="720"/>
    </row>
    <row r="348">
      <c r="D348" s="720"/>
      <c r="E348" s="720"/>
      <c r="F348" s="720"/>
      <c r="G348" s="720"/>
      <c r="H348" s="720"/>
      <c r="I348" s="720"/>
      <c r="J348" s="720"/>
    </row>
    <row r="349">
      <c r="D349" s="720"/>
      <c r="E349" s="720"/>
      <c r="F349" s="720"/>
      <c r="G349" s="720"/>
      <c r="H349" s="720"/>
      <c r="I349" s="720"/>
      <c r="J349" s="720"/>
    </row>
    <row r="350">
      <c r="D350" s="720"/>
      <c r="E350" s="720"/>
      <c r="F350" s="720"/>
      <c r="G350" s="720"/>
      <c r="H350" s="720"/>
      <c r="I350" s="720"/>
      <c r="J350" s="720"/>
    </row>
    <row r="351">
      <c r="D351" s="720"/>
      <c r="E351" s="720"/>
      <c r="F351" s="720"/>
      <c r="G351" s="720"/>
      <c r="H351" s="720"/>
      <c r="I351" s="720"/>
      <c r="J351" s="720"/>
    </row>
    <row r="352">
      <c r="D352" s="720"/>
      <c r="E352" s="720"/>
      <c r="F352" s="720"/>
      <c r="G352" s="720"/>
      <c r="H352" s="720"/>
      <c r="I352" s="720"/>
      <c r="J352" s="720"/>
    </row>
    <row r="353">
      <c r="D353" s="720"/>
      <c r="E353" s="720"/>
      <c r="F353" s="720"/>
      <c r="G353" s="720"/>
      <c r="H353" s="720"/>
      <c r="I353" s="720"/>
      <c r="J353" s="720"/>
    </row>
    <row r="354">
      <c r="D354" s="720"/>
      <c r="E354" s="720"/>
      <c r="F354" s="720"/>
      <c r="G354" s="720"/>
      <c r="H354" s="720"/>
      <c r="I354" s="720"/>
      <c r="J354" s="720"/>
    </row>
    <row r="355">
      <c r="D355" s="720"/>
      <c r="E355" s="720"/>
      <c r="F355" s="720"/>
      <c r="G355" s="720"/>
      <c r="H355" s="720"/>
      <c r="I355" s="720"/>
      <c r="J355" s="720"/>
    </row>
    <row r="356">
      <c r="D356" s="720"/>
      <c r="E356" s="720"/>
      <c r="F356" s="720"/>
      <c r="G356" s="720"/>
      <c r="H356" s="720"/>
      <c r="I356" s="720"/>
      <c r="J356" s="720"/>
    </row>
    <row r="357">
      <c r="D357" s="720"/>
      <c r="E357" s="720"/>
      <c r="F357" s="720"/>
      <c r="G357" s="720"/>
      <c r="H357" s="720"/>
      <c r="I357" s="720"/>
      <c r="J357" s="720"/>
    </row>
    <row r="358">
      <c r="D358" s="720"/>
      <c r="E358" s="720"/>
      <c r="F358" s="720"/>
      <c r="G358" s="720"/>
      <c r="H358" s="720"/>
      <c r="I358" s="720"/>
      <c r="J358" s="720"/>
    </row>
    <row r="359">
      <c r="D359" s="720"/>
      <c r="E359" s="720"/>
      <c r="F359" s="720"/>
      <c r="G359" s="720"/>
      <c r="H359" s="720"/>
      <c r="I359" s="720"/>
      <c r="J359" s="720"/>
    </row>
    <row r="360">
      <c r="D360" s="720"/>
      <c r="E360" s="720"/>
      <c r="F360" s="720"/>
      <c r="G360" s="720"/>
      <c r="H360" s="720"/>
      <c r="I360" s="720"/>
      <c r="J360" s="720"/>
    </row>
    <row r="361">
      <c r="D361" s="720"/>
      <c r="E361" s="720"/>
      <c r="F361" s="720"/>
      <c r="G361" s="720"/>
      <c r="H361" s="720"/>
      <c r="I361" s="720"/>
      <c r="J361" s="720"/>
    </row>
    <row r="362">
      <c r="D362" s="720"/>
      <c r="E362" s="720"/>
      <c r="F362" s="720"/>
      <c r="G362" s="720"/>
      <c r="H362" s="720"/>
      <c r="I362" s="720"/>
      <c r="J362" s="720"/>
    </row>
    <row r="363">
      <c r="D363" s="720"/>
      <c r="E363" s="720"/>
      <c r="F363" s="720"/>
      <c r="G363" s="720"/>
      <c r="H363" s="720"/>
      <c r="I363" s="720"/>
      <c r="J363" s="720"/>
    </row>
    <row r="364">
      <c r="D364" s="720"/>
      <c r="E364" s="720"/>
      <c r="F364" s="720"/>
      <c r="G364" s="720"/>
      <c r="H364" s="720"/>
      <c r="I364" s="720"/>
      <c r="J364" s="720"/>
    </row>
    <row r="365">
      <c r="D365" s="720"/>
      <c r="E365" s="720"/>
      <c r="F365" s="720"/>
      <c r="G365" s="720"/>
      <c r="H365" s="720"/>
      <c r="I365" s="720"/>
      <c r="J365" s="720"/>
    </row>
    <row r="366">
      <c r="D366" s="720"/>
      <c r="E366" s="720"/>
      <c r="F366" s="720"/>
      <c r="G366" s="720"/>
      <c r="H366" s="720"/>
      <c r="I366" s="720"/>
      <c r="J366" s="720"/>
    </row>
    <row r="367">
      <c r="D367" s="720"/>
      <c r="E367" s="720"/>
      <c r="F367" s="720"/>
      <c r="G367" s="720"/>
      <c r="H367" s="720"/>
      <c r="I367" s="720"/>
      <c r="J367" s="720"/>
    </row>
    <row r="368">
      <c r="D368" s="720"/>
      <c r="E368" s="720"/>
      <c r="F368" s="720"/>
      <c r="G368" s="720"/>
      <c r="H368" s="720"/>
      <c r="I368" s="720"/>
      <c r="J368" s="720"/>
    </row>
    <row r="369">
      <c r="D369" s="720"/>
      <c r="E369" s="720"/>
      <c r="F369" s="720"/>
      <c r="G369" s="720"/>
      <c r="H369" s="720"/>
      <c r="I369" s="720"/>
      <c r="J369" s="720"/>
    </row>
    <row r="370">
      <c r="D370" s="720"/>
      <c r="E370" s="720"/>
      <c r="F370" s="720"/>
      <c r="G370" s="720"/>
      <c r="H370" s="720"/>
      <c r="I370" s="720"/>
      <c r="J370" s="720"/>
    </row>
    <row r="371">
      <c r="D371" s="720"/>
      <c r="E371" s="720"/>
      <c r="F371" s="720"/>
      <c r="G371" s="720"/>
      <c r="H371" s="720"/>
      <c r="I371" s="720"/>
      <c r="J371" s="720"/>
    </row>
    <row r="372">
      <c r="D372" s="720"/>
      <c r="E372" s="720"/>
      <c r="F372" s="720"/>
      <c r="G372" s="720"/>
      <c r="H372" s="720"/>
      <c r="I372" s="720"/>
      <c r="J372" s="720"/>
    </row>
    <row r="373">
      <c r="D373" s="720"/>
      <c r="E373" s="720"/>
      <c r="F373" s="720"/>
      <c r="G373" s="720"/>
      <c r="H373" s="720"/>
      <c r="I373" s="720"/>
      <c r="J373" s="720"/>
    </row>
    <row r="374">
      <c r="D374" s="720"/>
      <c r="E374" s="720"/>
      <c r="F374" s="720"/>
      <c r="G374" s="720"/>
      <c r="H374" s="720"/>
      <c r="I374" s="720"/>
      <c r="J374" s="720"/>
    </row>
    <row r="375">
      <c r="D375" s="720"/>
      <c r="E375" s="720"/>
      <c r="F375" s="720"/>
      <c r="G375" s="720"/>
      <c r="H375" s="720"/>
      <c r="I375" s="720"/>
      <c r="J375" s="720"/>
    </row>
    <row r="376">
      <c r="D376" s="720"/>
      <c r="E376" s="720"/>
      <c r="F376" s="720"/>
      <c r="G376" s="720"/>
      <c r="H376" s="720"/>
      <c r="I376" s="720"/>
      <c r="J376" s="720"/>
    </row>
    <row r="377">
      <c r="D377" s="720"/>
      <c r="E377" s="720"/>
      <c r="F377" s="720"/>
      <c r="G377" s="720"/>
      <c r="H377" s="720"/>
      <c r="I377" s="720"/>
      <c r="J377" s="720"/>
    </row>
    <row r="378">
      <c r="D378" s="720"/>
      <c r="E378" s="720"/>
      <c r="F378" s="720"/>
      <c r="G378" s="720"/>
      <c r="H378" s="720"/>
      <c r="I378" s="720"/>
      <c r="J378" s="720"/>
    </row>
    <row r="379">
      <c r="D379" s="720"/>
      <c r="E379" s="720"/>
      <c r="F379" s="720"/>
      <c r="G379" s="720"/>
      <c r="H379" s="720"/>
      <c r="I379" s="720"/>
      <c r="J379" s="720"/>
    </row>
    <row r="380">
      <c r="D380" s="720"/>
      <c r="E380" s="720"/>
      <c r="F380" s="720"/>
      <c r="G380" s="720"/>
      <c r="H380" s="720"/>
      <c r="I380" s="720"/>
      <c r="J380" s="720"/>
    </row>
    <row r="381">
      <c r="D381" s="720"/>
      <c r="E381" s="720"/>
      <c r="F381" s="720"/>
      <c r="G381" s="720"/>
      <c r="H381" s="720"/>
      <c r="I381" s="720"/>
      <c r="J381" s="720"/>
    </row>
    <row r="382">
      <c r="D382" s="720"/>
      <c r="E382" s="720"/>
      <c r="F382" s="720"/>
      <c r="G382" s="720"/>
      <c r="H382" s="720"/>
      <c r="I382" s="720"/>
      <c r="J382" s="720"/>
    </row>
    <row r="383">
      <c r="D383" s="720"/>
      <c r="E383" s="720"/>
      <c r="F383" s="720"/>
      <c r="G383" s="720"/>
      <c r="H383" s="720"/>
      <c r="I383" s="720"/>
      <c r="J383" s="720"/>
    </row>
    <row r="384">
      <c r="D384" s="720"/>
      <c r="E384" s="720"/>
      <c r="F384" s="720"/>
      <c r="G384" s="720"/>
      <c r="H384" s="720"/>
      <c r="I384" s="720"/>
      <c r="J384" s="720"/>
    </row>
    <row r="385">
      <c r="D385" s="720"/>
      <c r="E385" s="720"/>
      <c r="F385" s="720"/>
      <c r="G385" s="720"/>
      <c r="H385" s="720"/>
      <c r="I385" s="720"/>
      <c r="J385" s="720"/>
    </row>
    <row r="386">
      <c r="D386" s="720"/>
      <c r="E386" s="720"/>
      <c r="F386" s="720"/>
      <c r="G386" s="720"/>
      <c r="H386" s="720"/>
      <c r="I386" s="720"/>
      <c r="J386" s="720"/>
    </row>
    <row r="387">
      <c r="D387" s="720"/>
      <c r="E387" s="720"/>
      <c r="F387" s="720"/>
      <c r="G387" s="720"/>
      <c r="H387" s="720"/>
      <c r="I387" s="720"/>
      <c r="J387" s="720"/>
    </row>
    <row r="388">
      <c r="D388" s="720"/>
      <c r="E388" s="720"/>
      <c r="F388" s="720"/>
      <c r="G388" s="720"/>
      <c r="H388" s="720"/>
      <c r="I388" s="720"/>
      <c r="J388" s="720"/>
    </row>
    <row r="389">
      <c r="D389" s="720"/>
      <c r="E389" s="720"/>
      <c r="F389" s="720"/>
      <c r="G389" s="720"/>
      <c r="H389" s="720"/>
      <c r="I389" s="720"/>
      <c r="J389" s="720"/>
    </row>
    <row r="390">
      <c r="D390" s="720"/>
      <c r="E390" s="720"/>
      <c r="F390" s="720"/>
      <c r="G390" s="720"/>
      <c r="H390" s="720"/>
      <c r="I390" s="720"/>
      <c r="J390" s="720"/>
    </row>
    <row r="391">
      <c r="D391" s="720"/>
      <c r="E391" s="720"/>
      <c r="F391" s="720"/>
      <c r="G391" s="720"/>
      <c r="H391" s="720"/>
      <c r="I391" s="720"/>
      <c r="J391" s="720"/>
    </row>
    <row r="392">
      <c r="D392" s="720"/>
      <c r="E392" s="720"/>
      <c r="F392" s="720"/>
      <c r="G392" s="720"/>
      <c r="H392" s="720"/>
      <c r="I392" s="720"/>
      <c r="J392" s="720"/>
    </row>
    <row r="393">
      <c r="D393" s="720"/>
      <c r="E393" s="720"/>
      <c r="F393" s="720"/>
      <c r="G393" s="720"/>
      <c r="H393" s="720"/>
      <c r="I393" s="720"/>
      <c r="J393" s="720"/>
    </row>
    <row r="394">
      <c r="D394" s="720"/>
      <c r="E394" s="720"/>
      <c r="F394" s="720"/>
      <c r="G394" s="720"/>
      <c r="H394" s="720"/>
      <c r="I394" s="720"/>
      <c r="J394" s="720"/>
    </row>
    <row r="395">
      <c r="D395" s="720"/>
      <c r="E395" s="720"/>
      <c r="F395" s="720"/>
      <c r="G395" s="720"/>
      <c r="H395" s="720"/>
      <c r="I395" s="720"/>
      <c r="J395" s="720"/>
    </row>
    <row r="396">
      <c r="D396" s="720"/>
      <c r="E396" s="720"/>
      <c r="F396" s="720"/>
      <c r="G396" s="720"/>
      <c r="H396" s="720"/>
      <c r="I396" s="720"/>
      <c r="J396" s="720"/>
    </row>
    <row r="397">
      <c r="D397" s="720"/>
      <c r="E397" s="720"/>
      <c r="F397" s="720"/>
      <c r="G397" s="720"/>
      <c r="H397" s="720"/>
      <c r="I397" s="720"/>
      <c r="J397" s="720"/>
    </row>
    <row r="398">
      <c r="D398" s="720"/>
      <c r="E398" s="720"/>
      <c r="F398" s="720"/>
      <c r="G398" s="720"/>
      <c r="H398" s="720"/>
      <c r="I398" s="720"/>
      <c r="J398" s="720"/>
    </row>
    <row r="399">
      <c r="D399" s="720"/>
      <c r="E399" s="720"/>
      <c r="F399" s="720"/>
      <c r="G399" s="720"/>
      <c r="H399" s="720"/>
      <c r="I399" s="720"/>
      <c r="J399" s="720"/>
    </row>
    <row r="400">
      <c r="D400" s="720"/>
      <c r="E400" s="720"/>
      <c r="F400" s="720"/>
      <c r="G400" s="720"/>
      <c r="H400" s="720"/>
      <c r="I400" s="720"/>
      <c r="J400" s="720"/>
    </row>
    <row r="401">
      <c r="D401" s="720"/>
      <c r="E401" s="720"/>
      <c r="F401" s="720"/>
      <c r="G401" s="720"/>
      <c r="H401" s="720"/>
      <c r="I401" s="720"/>
      <c r="J401" s="720"/>
    </row>
    <row r="402">
      <c r="D402" s="720"/>
      <c r="E402" s="720"/>
      <c r="F402" s="720"/>
      <c r="G402" s="720"/>
      <c r="H402" s="720"/>
      <c r="I402" s="720"/>
      <c r="J402" s="720"/>
    </row>
    <row r="403">
      <c r="D403" s="720"/>
      <c r="E403" s="720"/>
      <c r="F403" s="720"/>
      <c r="G403" s="720"/>
      <c r="H403" s="720"/>
      <c r="I403" s="720"/>
      <c r="J403" s="720"/>
    </row>
    <row r="404">
      <c r="D404" s="720"/>
      <c r="E404" s="720"/>
      <c r="F404" s="720"/>
      <c r="G404" s="720"/>
      <c r="H404" s="720"/>
      <c r="I404" s="720"/>
      <c r="J404" s="720"/>
    </row>
    <row r="405">
      <c r="D405" s="720"/>
      <c r="E405" s="720"/>
      <c r="F405" s="720"/>
      <c r="G405" s="720"/>
      <c r="H405" s="720"/>
      <c r="I405" s="720"/>
      <c r="J405" s="720"/>
    </row>
    <row r="406">
      <c r="D406" s="720"/>
      <c r="E406" s="720"/>
      <c r="F406" s="720"/>
      <c r="G406" s="720"/>
      <c r="H406" s="720"/>
      <c r="I406" s="720"/>
      <c r="J406" s="720"/>
    </row>
    <row r="407">
      <c r="D407" s="720"/>
      <c r="E407" s="720"/>
      <c r="F407" s="720"/>
      <c r="G407" s="720"/>
      <c r="H407" s="720"/>
      <c r="I407" s="720"/>
      <c r="J407" s="720"/>
    </row>
    <row r="408">
      <c r="D408" s="720"/>
      <c r="E408" s="720"/>
      <c r="F408" s="720"/>
      <c r="G408" s="720"/>
      <c r="H408" s="720"/>
      <c r="I408" s="720"/>
      <c r="J408" s="720"/>
    </row>
    <row r="409">
      <c r="D409" s="720"/>
      <c r="E409" s="720"/>
      <c r="F409" s="720"/>
      <c r="G409" s="720"/>
      <c r="H409" s="720"/>
      <c r="I409" s="720"/>
      <c r="J409" s="720"/>
    </row>
    <row r="410">
      <c r="D410" s="720"/>
      <c r="E410" s="720"/>
      <c r="F410" s="720"/>
      <c r="G410" s="720"/>
      <c r="H410" s="720"/>
      <c r="I410" s="720"/>
      <c r="J410" s="720"/>
    </row>
    <row r="411">
      <c r="D411" s="720"/>
      <c r="E411" s="720"/>
      <c r="F411" s="720"/>
      <c r="G411" s="720"/>
      <c r="H411" s="720"/>
      <c r="I411" s="720"/>
      <c r="J411" s="720"/>
    </row>
    <row r="412">
      <c r="D412" s="720"/>
      <c r="E412" s="720"/>
      <c r="F412" s="720"/>
      <c r="G412" s="720"/>
      <c r="H412" s="720"/>
      <c r="I412" s="720"/>
      <c r="J412" s="720"/>
    </row>
    <row r="413">
      <c r="D413" s="720"/>
      <c r="E413" s="720"/>
      <c r="F413" s="720"/>
      <c r="G413" s="720"/>
      <c r="H413" s="720"/>
      <c r="I413" s="720"/>
      <c r="J413" s="720"/>
    </row>
    <row r="414">
      <c r="D414" s="720"/>
      <c r="E414" s="720"/>
      <c r="F414" s="720"/>
      <c r="G414" s="720"/>
      <c r="H414" s="720"/>
      <c r="I414" s="720"/>
      <c r="J414" s="720"/>
    </row>
    <row r="415">
      <c r="D415" s="720"/>
      <c r="E415" s="720"/>
      <c r="F415" s="720"/>
      <c r="G415" s="720"/>
      <c r="H415" s="720"/>
      <c r="I415" s="720"/>
      <c r="J415" s="720"/>
    </row>
    <row r="416">
      <c r="D416" s="720"/>
      <c r="E416" s="720"/>
      <c r="F416" s="720"/>
      <c r="G416" s="720"/>
      <c r="H416" s="720"/>
      <c r="I416" s="720"/>
      <c r="J416" s="720"/>
    </row>
    <row r="417">
      <c r="D417" s="720"/>
      <c r="E417" s="720"/>
      <c r="F417" s="720"/>
      <c r="G417" s="720"/>
      <c r="H417" s="720"/>
      <c r="I417" s="720"/>
      <c r="J417" s="720"/>
    </row>
    <row r="418">
      <c r="D418" s="720"/>
      <c r="E418" s="720"/>
      <c r="F418" s="720"/>
      <c r="G418" s="720"/>
      <c r="H418" s="720"/>
      <c r="I418" s="720"/>
      <c r="J418" s="720"/>
    </row>
    <row r="419">
      <c r="D419" s="720"/>
      <c r="E419" s="720"/>
      <c r="F419" s="720"/>
      <c r="G419" s="720"/>
      <c r="H419" s="720"/>
      <c r="I419" s="720"/>
      <c r="J419" s="720"/>
    </row>
    <row r="420">
      <c r="D420" s="720"/>
      <c r="E420" s="720"/>
      <c r="F420" s="720"/>
      <c r="G420" s="720"/>
      <c r="H420" s="720"/>
      <c r="I420" s="720"/>
      <c r="J420" s="720"/>
    </row>
    <row r="421">
      <c r="D421" s="720"/>
      <c r="E421" s="720"/>
      <c r="F421" s="720"/>
      <c r="G421" s="720"/>
      <c r="H421" s="720"/>
      <c r="I421" s="720"/>
      <c r="J421" s="720"/>
    </row>
    <row r="422">
      <c r="D422" s="720"/>
      <c r="E422" s="720"/>
      <c r="F422" s="720"/>
      <c r="G422" s="720"/>
      <c r="H422" s="720"/>
      <c r="I422" s="720"/>
      <c r="J422" s="720"/>
    </row>
    <row r="423">
      <c r="D423" s="720"/>
      <c r="E423" s="720"/>
      <c r="F423" s="720"/>
      <c r="G423" s="720"/>
      <c r="H423" s="720"/>
      <c r="I423" s="720"/>
      <c r="J423" s="720"/>
    </row>
    <row r="424">
      <c r="D424" s="720"/>
      <c r="E424" s="720"/>
      <c r="F424" s="720"/>
      <c r="G424" s="720"/>
      <c r="H424" s="720"/>
      <c r="I424" s="720"/>
      <c r="J424" s="720"/>
    </row>
    <row r="425">
      <c r="D425" s="720"/>
      <c r="E425" s="720"/>
      <c r="F425" s="720"/>
      <c r="G425" s="720"/>
      <c r="H425" s="720"/>
      <c r="I425" s="720"/>
      <c r="J425" s="720"/>
    </row>
    <row r="426">
      <c r="D426" s="720"/>
      <c r="E426" s="720"/>
      <c r="F426" s="720"/>
      <c r="G426" s="720"/>
      <c r="H426" s="720"/>
      <c r="I426" s="720"/>
      <c r="J426" s="720"/>
    </row>
    <row r="427">
      <c r="D427" s="720"/>
      <c r="E427" s="720"/>
      <c r="F427" s="720"/>
      <c r="G427" s="720"/>
      <c r="H427" s="720"/>
      <c r="I427" s="720"/>
      <c r="J427" s="720"/>
    </row>
    <row r="428">
      <c r="D428" s="720"/>
      <c r="E428" s="720"/>
      <c r="F428" s="720"/>
      <c r="G428" s="720"/>
      <c r="H428" s="720"/>
      <c r="I428" s="720"/>
      <c r="J428" s="720"/>
    </row>
    <row r="429">
      <c r="D429" s="720"/>
      <c r="E429" s="720"/>
      <c r="F429" s="720"/>
      <c r="G429" s="720"/>
      <c r="H429" s="720"/>
      <c r="I429" s="720"/>
      <c r="J429" s="720"/>
    </row>
    <row r="430">
      <c r="D430" s="720"/>
      <c r="E430" s="720"/>
      <c r="F430" s="720"/>
      <c r="G430" s="720"/>
      <c r="H430" s="720"/>
      <c r="I430" s="720"/>
      <c r="J430" s="720"/>
    </row>
    <row r="431">
      <c r="D431" s="720"/>
      <c r="E431" s="720"/>
      <c r="F431" s="720"/>
      <c r="G431" s="720"/>
      <c r="H431" s="720"/>
      <c r="I431" s="720"/>
      <c r="J431" s="720"/>
    </row>
    <row r="432">
      <c r="D432" s="720"/>
      <c r="E432" s="720"/>
      <c r="F432" s="720"/>
      <c r="G432" s="720"/>
      <c r="H432" s="720"/>
      <c r="I432" s="720"/>
      <c r="J432" s="720"/>
    </row>
    <row r="433">
      <c r="D433" s="720"/>
      <c r="E433" s="720"/>
      <c r="F433" s="720"/>
      <c r="G433" s="720"/>
      <c r="H433" s="720"/>
      <c r="I433" s="720"/>
      <c r="J433" s="720"/>
    </row>
    <row r="434">
      <c r="D434" s="720"/>
      <c r="E434" s="720"/>
      <c r="F434" s="720"/>
      <c r="G434" s="720"/>
      <c r="H434" s="720"/>
      <c r="I434" s="720"/>
      <c r="J434" s="720"/>
    </row>
    <row r="435">
      <c r="D435" s="720"/>
      <c r="E435" s="720"/>
      <c r="F435" s="720"/>
      <c r="G435" s="720"/>
      <c r="H435" s="720"/>
      <c r="I435" s="720"/>
      <c r="J435" s="720"/>
    </row>
    <row r="436">
      <c r="D436" s="720"/>
      <c r="E436" s="720"/>
      <c r="F436" s="720"/>
      <c r="G436" s="720"/>
      <c r="H436" s="720"/>
      <c r="I436" s="720"/>
      <c r="J436" s="720"/>
    </row>
    <row r="437">
      <c r="D437" s="720"/>
      <c r="E437" s="720"/>
      <c r="F437" s="720"/>
      <c r="G437" s="720"/>
      <c r="H437" s="720"/>
      <c r="I437" s="720"/>
      <c r="J437" s="720"/>
    </row>
    <row r="438">
      <c r="D438" s="720"/>
      <c r="E438" s="720"/>
      <c r="F438" s="720"/>
      <c r="G438" s="720"/>
      <c r="H438" s="720"/>
      <c r="I438" s="720"/>
      <c r="J438" s="720"/>
    </row>
    <row r="439">
      <c r="D439" s="720"/>
      <c r="E439" s="720"/>
      <c r="F439" s="720"/>
      <c r="G439" s="720"/>
      <c r="H439" s="720"/>
      <c r="I439" s="720"/>
      <c r="J439" s="720"/>
    </row>
    <row r="440">
      <c r="D440" s="720"/>
      <c r="E440" s="720"/>
      <c r="F440" s="720"/>
      <c r="G440" s="720"/>
      <c r="H440" s="720"/>
      <c r="I440" s="720"/>
      <c r="J440" s="720"/>
    </row>
    <row r="441">
      <c r="D441" s="720"/>
      <c r="E441" s="720"/>
      <c r="F441" s="720"/>
      <c r="G441" s="720"/>
      <c r="H441" s="720"/>
      <c r="I441" s="720"/>
      <c r="J441" s="720"/>
    </row>
    <row r="442">
      <c r="D442" s="720"/>
      <c r="E442" s="720"/>
      <c r="F442" s="720"/>
      <c r="G442" s="720"/>
      <c r="H442" s="720"/>
      <c r="I442" s="720"/>
      <c r="J442" s="720"/>
    </row>
    <row r="443">
      <c r="D443" s="720"/>
      <c r="E443" s="720"/>
      <c r="F443" s="720"/>
      <c r="G443" s="720"/>
      <c r="H443" s="720"/>
      <c r="I443" s="720"/>
      <c r="J443" s="720"/>
    </row>
    <row r="444">
      <c r="D444" s="720"/>
      <c r="E444" s="720"/>
      <c r="F444" s="720"/>
      <c r="G444" s="720"/>
      <c r="H444" s="720"/>
      <c r="I444" s="720"/>
      <c r="J444" s="720"/>
    </row>
    <row r="445">
      <c r="D445" s="720"/>
      <c r="E445" s="720"/>
      <c r="F445" s="720"/>
      <c r="G445" s="720"/>
      <c r="H445" s="720"/>
      <c r="I445" s="720"/>
      <c r="J445" s="720"/>
    </row>
    <row r="446">
      <c r="D446" s="720"/>
      <c r="E446" s="720"/>
      <c r="F446" s="720"/>
      <c r="G446" s="720"/>
      <c r="H446" s="720"/>
      <c r="I446" s="720"/>
      <c r="J446" s="720"/>
    </row>
    <row r="447">
      <c r="D447" s="720"/>
      <c r="E447" s="720"/>
      <c r="F447" s="720"/>
      <c r="G447" s="720"/>
      <c r="H447" s="720"/>
      <c r="I447" s="720"/>
      <c r="J447" s="720"/>
    </row>
    <row r="448">
      <c r="D448" s="720"/>
      <c r="E448" s="720"/>
      <c r="F448" s="720"/>
      <c r="G448" s="720"/>
      <c r="H448" s="720"/>
      <c r="I448" s="720"/>
      <c r="J448" s="720"/>
    </row>
    <row r="449">
      <c r="D449" s="720"/>
      <c r="E449" s="720"/>
      <c r="F449" s="720"/>
      <c r="G449" s="720"/>
      <c r="H449" s="720"/>
      <c r="I449" s="720"/>
      <c r="J449" s="720"/>
    </row>
    <row r="450">
      <c r="D450" s="720"/>
      <c r="E450" s="720"/>
      <c r="F450" s="720"/>
      <c r="G450" s="720"/>
      <c r="H450" s="720"/>
      <c r="I450" s="720"/>
      <c r="J450" s="720"/>
    </row>
    <row r="451">
      <c r="D451" s="720"/>
      <c r="E451" s="720"/>
      <c r="F451" s="720"/>
      <c r="G451" s="720"/>
      <c r="H451" s="720"/>
      <c r="I451" s="720"/>
      <c r="J451" s="720"/>
    </row>
    <row r="452">
      <c r="D452" s="720"/>
      <c r="E452" s="720"/>
      <c r="F452" s="720"/>
      <c r="G452" s="720"/>
      <c r="H452" s="720"/>
      <c r="I452" s="720"/>
      <c r="J452" s="720"/>
    </row>
    <row r="453">
      <c r="D453" s="720"/>
      <c r="E453" s="720"/>
      <c r="F453" s="720"/>
      <c r="G453" s="720"/>
      <c r="H453" s="720"/>
      <c r="I453" s="720"/>
      <c r="J453" s="720"/>
    </row>
    <row r="454">
      <c r="D454" s="720"/>
      <c r="E454" s="720"/>
      <c r="F454" s="720"/>
      <c r="G454" s="720"/>
      <c r="H454" s="720"/>
      <c r="I454" s="720"/>
      <c r="J454" s="720"/>
    </row>
    <row r="455">
      <c r="D455" s="720"/>
      <c r="E455" s="720"/>
      <c r="F455" s="720"/>
      <c r="G455" s="720"/>
      <c r="H455" s="720"/>
      <c r="I455" s="720"/>
      <c r="J455" s="720"/>
    </row>
    <row r="456">
      <c r="D456" s="720"/>
      <c r="E456" s="720"/>
      <c r="F456" s="720"/>
      <c r="G456" s="720"/>
      <c r="H456" s="720"/>
      <c r="I456" s="720"/>
      <c r="J456" s="720"/>
    </row>
    <row r="457">
      <c r="D457" s="720"/>
      <c r="E457" s="720"/>
      <c r="F457" s="720"/>
      <c r="G457" s="720"/>
      <c r="H457" s="720"/>
      <c r="I457" s="720"/>
      <c r="J457" s="720"/>
    </row>
    <row r="458">
      <c r="D458" s="720"/>
      <c r="E458" s="720"/>
      <c r="F458" s="720"/>
      <c r="G458" s="720"/>
      <c r="H458" s="720"/>
      <c r="I458" s="720"/>
      <c r="J458" s="720"/>
    </row>
    <row r="459">
      <c r="D459" s="720"/>
      <c r="E459" s="720"/>
      <c r="F459" s="720"/>
      <c r="G459" s="720"/>
      <c r="H459" s="720"/>
      <c r="I459" s="720"/>
      <c r="J459" s="720"/>
    </row>
    <row r="460">
      <c r="D460" s="720"/>
      <c r="E460" s="720"/>
      <c r="F460" s="720"/>
      <c r="G460" s="720"/>
      <c r="H460" s="720"/>
      <c r="I460" s="720"/>
      <c r="J460" s="720"/>
    </row>
    <row r="461">
      <c r="D461" s="720"/>
      <c r="E461" s="720"/>
      <c r="F461" s="720"/>
      <c r="G461" s="720"/>
      <c r="H461" s="720"/>
      <c r="I461" s="720"/>
      <c r="J461" s="720"/>
    </row>
    <row r="462">
      <c r="D462" s="720"/>
      <c r="E462" s="720"/>
      <c r="F462" s="720"/>
      <c r="G462" s="720"/>
      <c r="H462" s="720"/>
      <c r="I462" s="720"/>
      <c r="J462" s="720"/>
    </row>
    <row r="463">
      <c r="D463" s="720"/>
      <c r="E463" s="720"/>
      <c r="F463" s="720"/>
      <c r="G463" s="720"/>
      <c r="H463" s="720"/>
      <c r="I463" s="720"/>
      <c r="J463" s="720"/>
    </row>
    <row r="464">
      <c r="D464" s="720"/>
      <c r="E464" s="720"/>
      <c r="F464" s="720"/>
      <c r="G464" s="720"/>
      <c r="H464" s="720"/>
      <c r="I464" s="720"/>
      <c r="J464" s="720"/>
    </row>
    <row r="465">
      <c r="D465" s="720"/>
      <c r="E465" s="720"/>
      <c r="F465" s="720"/>
      <c r="G465" s="720"/>
      <c r="H465" s="720"/>
      <c r="I465" s="720"/>
      <c r="J465" s="720"/>
    </row>
    <row r="466">
      <c r="D466" s="720"/>
      <c r="E466" s="720"/>
      <c r="F466" s="720"/>
      <c r="G466" s="720"/>
      <c r="H466" s="720"/>
      <c r="I466" s="720"/>
      <c r="J466" s="720"/>
    </row>
    <row r="467">
      <c r="D467" s="720"/>
      <c r="E467" s="720"/>
      <c r="F467" s="720"/>
      <c r="G467" s="720"/>
      <c r="H467" s="720"/>
      <c r="I467" s="720"/>
      <c r="J467" s="720"/>
    </row>
    <row r="468">
      <c r="D468" s="720"/>
      <c r="E468" s="720"/>
      <c r="F468" s="720"/>
      <c r="G468" s="720"/>
      <c r="H468" s="720"/>
      <c r="I468" s="720"/>
      <c r="J468" s="720"/>
    </row>
    <row r="469">
      <c r="D469" s="720"/>
      <c r="E469" s="720"/>
      <c r="F469" s="720"/>
      <c r="G469" s="720"/>
      <c r="H469" s="720"/>
      <c r="I469" s="720"/>
      <c r="J469" s="720"/>
    </row>
    <row r="470">
      <c r="D470" s="720"/>
      <c r="E470" s="720"/>
      <c r="F470" s="720"/>
      <c r="G470" s="720"/>
      <c r="H470" s="720"/>
      <c r="I470" s="720"/>
      <c r="J470" s="720"/>
    </row>
    <row r="471">
      <c r="D471" s="720"/>
      <c r="E471" s="720"/>
      <c r="F471" s="720"/>
      <c r="G471" s="720"/>
      <c r="H471" s="720"/>
      <c r="I471" s="720"/>
      <c r="J471" s="720"/>
    </row>
    <row r="472">
      <c r="D472" s="720"/>
      <c r="E472" s="720"/>
      <c r="F472" s="720"/>
      <c r="G472" s="720"/>
      <c r="H472" s="720"/>
      <c r="I472" s="720"/>
      <c r="J472" s="720"/>
    </row>
    <row r="473">
      <c r="D473" s="720"/>
      <c r="E473" s="720"/>
      <c r="F473" s="720"/>
      <c r="G473" s="720"/>
      <c r="H473" s="720"/>
      <c r="I473" s="720"/>
      <c r="J473" s="720"/>
    </row>
    <row r="474">
      <c r="D474" s="720"/>
      <c r="E474" s="720"/>
      <c r="F474" s="720"/>
      <c r="G474" s="720"/>
      <c r="H474" s="720"/>
      <c r="I474" s="720"/>
      <c r="J474" s="720"/>
    </row>
    <row r="475">
      <c r="D475" s="720"/>
      <c r="E475" s="720"/>
      <c r="F475" s="720"/>
      <c r="G475" s="720"/>
      <c r="H475" s="720"/>
      <c r="I475" s="720"/>
      <c r="J475" s="720"/>
    </row>
    <row r="476">
      <c r="D476" s="720"/>
      <c r="E476" s="720"/>
      <c r="F476" s="720"/>
      <c r="G476" s="720"/>
      <c r="H476" s="720"/>
      <c r="I476" s="720"/>
      <c r="J476" s="720"/>
    </row>
    <row r="477">
      <c r="D477" s="720"/>
      <c r="E477" s="720"/>
      <c r="F477" s="720"/>
      <c r="G477" s="720"/>
      <c r="H477" s="720"/>
      <c r="I477" s="720"/>
      <c r="J477" s="720"/>
    </row>
    <row r="478">
      <c r="D478" s="720"/>
      <c r="E478" s="720"/>
      <c r="F478" s="720"/>
      <c r="G478" s="720"/>
      <c r="H478" s="720"/>
      <c r="I478" s="720"/>
      <c r="J478" s="720"/>
    </row>
    <row r="479">
      <c r="D479" s="720"/>
      <c r="E479" s="720"/>
      <c r="F479" s="720"/>
      <c r="G479" s="720"/>
      <c r="H479" s="720"/>
      <c r="I479" s="720"/>
      <c r="J479" s="720"/>
    </row>
    <row r="480">
      <c r="D480" s="720"/>
      <c r="E480" s="720"/>
      <c r="F480" s="720"/>
      <c r="G480" s="720"/>
      <c r="H480" s="720"/>
      <c r="I480" s="720"/>
      <c r="J480" s="720"/>
    </row>
    <row r="481">
      <c r="D481" s="720"/>
      <c r="E481" s="720"/>
      <c r="F481" s="720"/>
      <c r="G481" s="720"/>
      <c r="H481" s="720"/>
      <c r="I481" s="720"/>
      <c r="J481" s="720"/>
    </row>
    <row r="482">
      <c r="D482" s="720"/>
      <c r="E482" s="720"/>
      <c r="F482" s="720"/>
      <c r="G482" s="720"/>
      <c r="H482" s="720"/>
      <c r="I482" s="720"/>
      <c r="J482" s="720"/>
    </row>
    <row r="483">
      <c r="D483" s="720"/>
      <c r="E483" s="720"/>
      <c r="F483" s="720"/>
      <c r="G483" s="720"/>
      <c r="H483" s="720"/>
      <c r="I483" s="720"/>
      <c r="J483" s="720"/>
    </row>
    <row r="484">
      <c r="D484" s="720"/>
      <c r="E484" s="720"/>
      <c r="F484" s="720"/>
      <c r="G484" s="720"/>
      <c r="H484" s="720"/>
      <c r="I484" s="720"/>
      <c r="J484" s="720"/>
    </row>
    <row r="485">
      <c r="D485" s="720"/>
      <c r="E485" s="720"/>
      <c r="F485" s="720"/>
      <c r="G485" s="720"/>
      <c r="H485" s="720"/>
      <c r="I485" s="720"/>
      <c r="J485" s="720"/>
    </row>
    <row r="486">
      <c r="D486" s="720"/>
      <c r="E486" s="720"/>
      <c r="F486" s="720"/>
      <c r="G486" s="720"/>
      <c r="H486" s="720"/>
      <c r="I486" s="720"/>
      <c r="J486" s="720"/>
    </row>
    <row r="487">
      <c r="D487" s="720"/>
      <c r="E487" s="720"/>
      <c r="F487" s="720"/>
      <c r="G487" s="720"/>
      <c r="H487" s="720"/>
      <c r="I487" s="720"/>
      <c r="J487" s="720"/>
    </row>
    <row r="488">
      <c r="D488" s="720"/>
      <c r="E488" s="720"/>
      <c r="F488" s="720"/>
      <c r="G488" s="720"/>
      <c r="H488" s="720"/>
      <c r="I488" s="720"/>
      <c r="J488" s="720"/>
    </row>
    <row r="489">
      <c r="D489" s="720"/>
      <c r="E489" s="720"/>
      <c r="F489" s="720"/>
      <c r="G489" s="720"/>
      <c r="H489" s="720"/>
      <c r="I489" s="720"/>
      <c r="J489" s="720"/>
    </row>
    <row r="490">
      <c r="D490" s="720"/>
      <c r="E490" s="720"/>
      <c r="F490" s="720"/>
      <c r="G490" s="720"/>
      <c r="H490" s="720"/>
      <c r="I490" s="720"/>
      <c r="J490" s="720"/>
    </row>
    <row r="491">
      <c r="D491" s="720"/>
      <c r="E491" s="720"/>
      <c r="F491" s="720"/>
      <c r="G491" s="720"/>
      <c r="H491" s="720"/>
      <c r="I491" s="720"/>
      <c r="J491" s="720"/>
    </row>
    <row r="492">
      <c r="D492" s="720"/>
      <c r="E492" s="720"/>
      <c r="F492" s="720"/>
      <c r="G492" s="720"/>
      <c r="H492" s="720"/>
      <c r="I492" s="720"/>
      <c r="J492" s="720"/>
    </row>
    <row r="493">
      <c r="D493" s="720"/>
      <c r="E493" s="720"/>
      <c r="F493" s="720"/>
      <c r="G493" s="720"/>
      <c r="H493" s="720"/>
      <c r="I493" s="720"/>
      <c r="J493" s="720"/>
    </row>
    <row r="494">
      <c r="D494" s="720"/>
      <c r="E494" s="720"/>
      <c r="F494" s="720"/>
      <c r="G494" s="720"/>
      <c r="H494" s="720"/>
      <c r="I494" s="720"/>
      <c r="J494" s="720"/>
    </row>
    <row r="495">
      <c r="D495" s="720"/>
      <c r="E495" s="720"/>
      <c r="F495" s="720"/>
      <c r="G495" s="720"/>
      <c r="H495" s="720"/>
      <c r="I495" s="720"/>
      <c r="J495" s="720"/>
    </row>
    <row r="496">
      <c r="D496" s="720"/>
      <c r="E496" s="720"/>
      <c r="F496" s="720"/>
      <c r="G496" s="720"/>
      <c r="H496" s="720"/>
      <c r="I496" s="720"/>
      <c r="J496" s="720"/>
    </row>
    <row r="497">
      <c r="D497" s="720"/>
      <c r="E497" s="720"/>
      <c r="F497" s="720"/>
      <c r="G497" s="720"/>
      <c r="H497" s="720"/>
      <c r="I497" s="720"/>
      <c r="J497" s="720"/>
    </row>
    <row r="498">
      <c r="D498" s="720"/>
      <c r="E498" s="720"/>
      <c r="F498" s="720"/>
      <c r="G498" s="720"/>
      <c r="H498" s="720"/>
      <c r="I498" s="720"/>
      <c r="J498" s="720"/>
    </row>
    <row r="499">
      <c r="D499" s="720"/>
      <c r="E499" s="720"/>
      <c r="F499" s="720"/>
      <c r="G499" s="720"/>
      <c r="H499" s="720"/>
      <c r="I499" s="720"/>
      <c r="J499" s="720"/>
    </row>
    <row r="500">
      <c r="D500" s="720"/>
      <c r="E500" s="720"/>
      <c r="F500" s="720"/>
      <c r="G500" s="720"/>
      <c r="H500" s="720"/>
      <c r="I500" s="720"/>
      <c r="J500" s="720"/>
    </row>
    <row r="501">
      <c r="D501" s="720"/>
      <c r="E501" s="720"/>
      <c r="F501" s="720"/>
      <c r="G501" s="720"/>
      <c r="H501" s="720"/>
      <c r="I501" s="720"/>
      <c r="J501" s="720"/>
    </row>
    <row r="502">
      <c r="D502" s="720"/>
      <c r="E502" s="720"/>
      <c r="F502" s="720"/>
      <c r="G502" s="720"/>
      <c r="H502" s="720"/>
      <c r="I502" s="720"/>
      <c r="J502" s="720"/>
    </row>
    <row r="503">
      <c r="D503" s="720"/>
      <c r="E503" s="720"/>
      <c r="F503" s="720"/>
      <c r="G503" s="720"/>
      <c r="H503" s="720"/>
      <c r="I503" s="720"/>
      <c r="J503" s="720"/>
    </row>
    <row r="504">
      <c r="D504" s="720"/>
      <c r="E504" s="720"/>
      <c r="F504" s="720"/>
      <c r="G504" s="720"/>
      <c r="H504" s="720"/>
      <c r="I504" s="720"/>
      <c r="J504" s="720"/>
    </row>
    <row r="505">
      <c r="D505" s="720"/>
      <c r="E505" s="720"/>
      <c r="F505" s="720"/>
      <c r="G505" s="720"/>
      <c r="H505" s="720"/>
      <c r="I505" s="720"/>
      <c r="J505" s="720"/>
    </row>
    <row r="506">
      <c r="D506" s="720"/>
      <c r="E506" s="720"/>
      <c r="F506" s="720"/>
      <c r="G506" s="720"/>
      <c r="H506" s="720"/>
      <c r="I506" s="720"/>
      <c r="J506" s="720"/>
    </row>
    <row r="507">
      <c r="D507" s="720"/>
      <c r="E507" s="720"/>
      <c r="F507" s="720"/>
      <c r="G507" s="720"/>
      <c r="H507" s="720"/>
      <c r="I507" s="720"/>
      <c r="J507" s="720"/>
    </row>
    <row r="508">
      <c r="D508" s="720"/>
      <c r="E508" s="720"/>
      <c r="F508" s="720"/>
      <c r="G508" s="720"/>
      <c r="H508" s="720"/>
      <c r="I508" s="720"/>
      <c r="J508" s="720"/>
    </row>
    <row r="509">
      <c r="D509" s="720"/>
      <c r="E509" s="720"/>
      <c r="F509" s="720"/>
      <c r="G509" s="720"/>
      <c r="H509" s="720"/>
      <c r="I509" s="720"/>
      <c r="J509" s="720"/>
    </row>
    <row r="510">
      <c r="D510" s="720"/>
      <c r="E510" s="720"/>
      <c r="F510" s="720"/>
      <c r="G510" s="720"/>
      <c r="H510" s="720"/>
      <c r="I510" s="720"/>
      <c r="J510" s="720"/>
    </row>
    <row r="511">
      <c r="D511" s="720"/>
      <c r="E511" s="720"/>
      <c r="F511" s="720"/>
      <c r="G511" s="720"/>
      <c r="H511" s="720"/>
      <c r="I511" s="720"/>
      <c r="J511" s="720"/>
    </row>
    <row r="512">
      <c r="D512" s="720"/>
      <c r="E512" s="720"/>
      <c r="F512" s="720"/>
      <c r="G512" s="720"/>
      <c r="H512" s="720"/>
      <c r="I512" s="720"/>
      <c r="J512" s="720"/>
    </row>
    <row r="513">
      <c r="D513" s="720"/>
      <c r="E513" s="720"/>
      <c r="F513" s="720"/>
      <c r="G513" s="720"/>
      <c r="H513" s="720"/>
      <c r="I513" s="720"/>
      <c r="J513" s="720"/>
    </row>
    <row r="514">
      <c r="D514" s="720"/>
      <c r="E514" s="720"/>
      <c r="F514" s="720"/>
      <c r="G514" s="720"/>
      <c r="H514" s="720"/>
      <c r="I514" s="720"/>
      <c r="J514" s="720"/>
    </row>
    <row r="515">
      <c r="D515" s="720"/>
      <c r="E515" s="720"/>
      <c r="F515" s="720"/>
      <c r="G515" s="720"/>
      <c r="H515" s="720"/>
      <c r="I515" s="720"/>
      <c r="J515" s="720"/>
    </row>
    <row r="516">
      <c r="D516" s="720"/>
      <c r="E516" s="720"/>
      <c r="F516" s="720"/>
      <c r="G516" s="720"/>
      <c r="H516" s="720"/>
      <c r="I516" s="720"/>
      <c r="J516" s="720"/>
    </row>
    <row r="517">
      <c r="D517" s="720"/>
      <c r="E517" s="720"/>
      <c r="F517" s="720"/>
      <c r="G517" s="720"/>
      <c r="H517" s="720"/>
      <c r="I517" s="720"/>
      <c r="J517" s="720"/>
    </row>
    <row r="518">
      <c r="D518" s="720"/>
      <c r="E518" s="720"/>
      <c r="F518" s="720"/>
      <c r="G518" s="720"/>
      <c r="H518" s="720"/>
      <c r="I518" s="720"/>
      <c r="J518" s="720"/>
    </row>
    <row r="519">
      <c r="D519" s="720"/>
      <c r="E519" s="720"/>
      <c r="F519" s="720"/>
      <c r="G519" s="720"/>
      <c r="H519" s="720"/>
      <c r="I519" s="720"/>
      <c r="J519" s="720"/>
    </row>
    <row r="520">
      <c r="D520" s="720"/>
      <c r="E520" s="720"/>
      <c r="F520" s="720"/>
      <c r="G520" s="720"/>
      <c r="H520" s="720"/>
      <c r="I520" s="720"/>
      <c r="J520" s="720"/>
    </row>
    <row r="521">
      <c r="D521" s="720"/>
      <c r="E521" s="720"/>
      <c r="F521" s="720"/>
      <c r="G521" s="720"/>
      <c r="H521" s="720"/>
      <c r="I521" s="720"/>
      <c r="J521" s="720"/>
    </row>
    <row r="522">
      <c r="D522" s="720"/>
      <c r="E522" s="720"/>
      <c r="F522" s="720"/>
      <c r="G522" s="720"/>
      <c r="H522" s="720"/>
      <c r="I522" s="720"/>
      <c r="J522" s="720"/>
    </row>
    <row r="523">
      <c r="D523" s="720"/>
      <c r="E523" s="720"/>
      <c r="F523" s="720"/>
      <c r="G523" s="720"/>
      <c r="H523" s="720"/>
      <c r="I523" s="720"/>
      <c r="J523" s="720"/>
    </row>
    <row r="524">
      <c r="D524" s="720"/>
      <c r="E524" s="720"/>
      <c r="F524" s="720"/>
      <c r="G524" s="720"/>
      <c r="H524" s="720"/>
      <c r="I524" s="720"/>
      <c r="J524" s="720"/>
    </row>
    <row r="525">
      <c r="D525" s="720"/>
      <c r="E525" s="720"/>
      <c r="F525" s="720"/>
      <c r="G525" s="720"/>
      <c r="H525" s="720"/>
      <c r="I525" s="720"/>
      <c r="J525" s="720"/>
    </row>
    <row r="526">
      <c r="D526" s="720"/>
      <c r="E526" s="720"/>
      <c r="F526" s="720"/>
      <c r="G526" s="720"/>
      <c r="H526" s="720"/>
      <c r="I526" s="720"/>
      <c r="J526" s="720"/>
    </row>
    <row r="527">
      <c r="D527" s="720"/>
      <c r="E527" s="720"/>
      <c r="F527" s="720"/>
      <c r="G527" s="720"/>
      <c r="H527" s="720"/>
      <c r="I527" s="720"/>
      <c r="J527" s="720"/>
    </row>
    <row r="528">
      <c r="D528" s="720"/>
      <c r="E528" s="720"/>
      <c r="F528" s="720"/>
      <c r="G528" s="720"/>
      <c r="H528" s="720"/>
      <c r="I528" s="720"/>
      <c r="J528" s="720"/>
    </row>
    <row r="529">
      <c r="D529" s="720"/>
      <c r="E529" s="720"/>
      <c r="F529" s="720"/>
      <c r="G529" s="720"/>
      <c r="H529" s="720"/>
      <c r="I529" s="720"/>
      <c r="J529" s="720"/>
    </row>
    <row r="530">
      <c r="D530" s="720"/>
      <c r="E530" s="720"/>
      <c r="F530" s="720"/>
      <c r="G530" s="720"/>
      <c r="H530" s="720"/>
      <c r="I530" s="720"/>
      <c r="J530" s="720"/>
    </row>
    <row r="531">
      <c r="D531" s="720"/>
      <c r="E531" s="720"/>
      <c r="F531" s="720"/>
      <c r="G531" s="720"/>
      <c r="H531" s="720"/>
      <c r="I531" s="720"/>
      <c r="J531" s="720"/>
    </row>
    <row r="532">
      <c r="D532" s="720"/>
      <c r="E532" s="720"/>
      <c r="F532" s="720"/>
      <c r="G532" s="720"/>
      <c r="H532" s="720"/>
      <c r="I532" s="720"/>
      <c r="J532" s="720"/>
    </row>
    <row r="533">
      <c r="D533" s="720"/>
      <c r="E533" s="720"/>
      <c r="F533" s="720"/>
      <c r="G533" s="720"/>
      <c r="H533" s="720"/>
      <c r="I533" s="720"/>
      <c r="J533" s="720"/>
    </row>
    <row r="534">
      <c r="D534" s="720"/>
      <c r="E534" s="720"/>
      <c r="F534" s="720"/>
      <c r="G534" s="720"/>
      <c r="H534" s="720"/>
      <c r="I534" s="720"/>
      <c r="J534" s="720"/>
    </row>
    <row r="535">
      <c r="D535" s="720"/>
      <c r="E535" s="720"/>
      <c r="F535" s="720"/>
      <c r="G535" s="720"/>
      <c r="H535" s="720"/>
      <c r="I535" s="720"/>
      <c r="J535" s="720"/>
    </row>
    <row r="536">
      <c r="D536" s="720"/>
      <c r="E536" s="720"/>
      <c r="F536" s="720"/>
      <c r="G536" s="720"/>
      <c r="H536" s="720"/>
      <c r="I536" s="720"/>
      <c r="J536" s="720"/>
    </row>
    <row r="537">
      <c r="D537" s="720"/>
      <c r="E537" s="720"/>
      <c r="F537" s="720"/>
      <c r="G537" s="720"/>
      <c r="H537" s="720"/>
      <c r="I537" s="720"/>
      <c r="J537" s="720"/>
    </row>
    <row r="538">
      <c r="D538" s="720"/>
      <c r="E538" s="720"/>
      <c r="F538" s="720"/>
      <c r="G538" s="720"/>
      <c r="H538" s="720"/>
      <c r="I538" s="720"/>
      <c r="J538" s="720"/>
    </row>
    <row r="539">
      <c r="D539" s="720"/>
      <c r="E539" s="720"/>
      <c r="F539" s="720"/>
      <c r="G539" s="720"/>
      <c r="H539" s="720"/>
      <c r="I539" s="720"/>
      <c r="J539" s="720"/>
    </row>
    <row r="540">
      <c r="D540" s="720"/>
      <c r="E540" s="720"/>
      <c r="F540" s="720"/>
      <c r="G540" s="720"/>
      <c r="H540" s="720"/>
      <c r="I540" s="720"/>
      <c r="J540" s="720"/>
    </row>
    <row r="541">
      <c r="D541" s="720"/>
      <c r="E541" s="720"/>
      <c r="F541" s="720"/>
      <c r="G541" s="720"/>
      <c r="H541" s="720"/>
      <c r="I541" s="720"/>
      <c r="J541" s="720"/>
    </row>
    <row r="542">
      <c r="D542" s="720"/>
      <c r="E542" s="720"/>
      <c r="F542" s="720"/>
      <c r="G542" s="720"/>
      <c r="H542" s="720"/>
      <c r="I542" s="720"/>
      <c r="J542" s="720"/>
    </row>
    <row r="543">
      <c r="D543" s="720"/>
      <c r="E543" s="720"/>
      <c r="F543" s="720"/>
      <c r="G543" s="720"/>
      <c r="H543" s="720"/>
      <c r="I543" s="720"/>
      <c r="J543" s="720"/>
    </row>
    <row r="544">
      <c r="D544" s="720"/>
      <c r="E544" s="720"/>
      <c r="F544" s="720"/>
      <c r="G544" s="720"/>
      <c r="H544" s="720"/>
      <c r="I544" s="720"/>
      <c r="J544" s="720"/>
    </row>
    <row r="545">
      <c r="D545" s="720"/>
      <c r="E545" s="720"/>
      <c r="F545" s="720"/>
      <c r="G545" s="720"/>
      <c r="H545" s="720"/>
      <c r="I545" s="720"/>
      <c r="J545" s="720"/>
    </row>
    <row r="546">
      <c r="D546" s="720"/>
      <c r="E546" s="720"/>
      <c r="F546" s="720"/>
      <c r="G546" s="720"/>
      <c r="H546" s="720"/>
      <c r="I546" s="720"/>
      <c r="J546" s="720"/>
    </row>
    <row r="547">
      <c r="D547" s="720"/>
      <c r="E547" s="720"/>
      <c r="F547" s="720"/>
      <c r="G547" s="720"/>
      <c r="H547" s="720"/>
      <c r="I547" s="720"/>
      <c r="J547" s="720"/>
    </row>
    <row r="548">
      <c r="D548" s="720"/>
      <c r="E548" s="720"/>
      <c r="F548" s="720"/>
      <c r="G548" s="720"/>
      <c r="H548" s="720"/>
      <c r="I548" s="720"/>
      <c r="J548" s="720"/>
    </row>
    <row r="549">
      <c r="D549" s="720"/>
      <c r="E549" s="720"/>
      <c r="F549" s="720"/>
      <c r="G549" s="720"/>
      <c r="H549" s="720"/>
      <c r="I549" s="720"/>
      <c r="J549" s="720"/>
    </row>
    <row r="550">
      <c r="D550" s="720"/>
      <c r="E550" s="720"/>
      <c r="F550" s="720"/>
      <c r="G550" s="720"/>
      <c r="H550" s="720"/>
      <c r="I550" s="720"/>
      <c r="J550" s="720"/>
    </row>
    <row r="551">
      <c r="D551" s="720"/>
      <c r="E551" s="720"/>
      <c r="F551" s="720"/>
      <c r="G551" s="720"/>
      <c r="H551" s="720"/>
      <c r="I551" s="720"/>
      <c r="J551" s="720"/>
    </row>
    <row r="552">
      <c r="D552" s="720"/>
      <c r="E552" s="720"/>
      <c r="F552" s="720"/>
      <c r="G552" s="720"/>
      <c r="H552" s="720"/>
      <c r="I552" s="720"/>
      <c r="J552" s="720"/>
    </row>
    <row r="553">
      <c r="D553" s="720"/>
      <c r="E553" s="720"/>
      <c r="F553" s="720"/>
      <c r="G553" s="720"/>
      <c r="H553" s="720"/>
      <c r="I553" s="720"/>
      <c r="J553" s="720"/>
    </row>
    <row r="554">
      <c r="D554" s="720"/>
      <c r="E554" s="720"/>
      <c r="F554" s="720"/>
      <c r="G554" s="720"/>
      <c r="H554" s="720"/>
      <c r="I554" s="720"/>
      <c r="J554" s="720"/>
    </row>
    <row r="555">
      <c r="D555" s="720"/>
      <c r="E555" s="720"/>
      <c r="F555" s="720"/>
      <c r="G555" s="720"/>
      <c r="H555" s="720"/>
      <c r="I555" s="720"/>
      <c r="J555" s="720"/>
    </row>
    <row r="556">
      <c r="D556" s="720"/>
      <c r="E556" s="720"/>
      <c r="F556" s="720"/>
      <c r="G556" s="720"/>
      <c r="H556" s="720"/>
      <c r="I556" s="720"/>
      <c r="J556" s="720"/>
    </row>
    <row r="557">
      <c r="D557" s="720"/>
      <c r="E557" s="720"/>
      <c r="F557" s="720"/>
      <c r="G557" s="720"/>
      <c r="H557" s="720"/>
      <c r="I557" s="720"/>
      <c r="J557" s="720"/>
    </row>
    <row r="558">
      <c r="D558" s="720"/>
      <c r="E558" s="720"/>
      <c r="F558" s="720"/>
      <c r="G558" s="720"/>
      <c r="H558" s="720"/>
      <c r="I558" s="720"/>
      <c r="J558" s="720"/>
    </row>
    <row r="559">
      <c r="D559" s="720"/>
      <c r="E559" s="720"/>
      <c r="F559" s="720"/>
      <c r="G559" s="720"/>
      <c r="H559" s="720"/>
      <c r="I559" s="720"/>
      <c r="J559" s="720"/>
    </row>
    <row r="560">
      <c r="D560" s="720"/>
      <c r="E560" s="720"/>
      <c r="F560" s="720"/>
      <c r="G560" s="720"/>
      <c r="H560" s="720"/>
      <c r="I560" s="720"/>
      <c r="J560" s="720"/>
    </row>
    <row r="561">
      <c r="D561" s="720"/>
      <c r="E561" s="720"/>
      <c r="F561" s="720"/>
      <c r="G561" s="720"/>
      <c r="H561" s="720"/>
      <c r="I561" s="720"/>
      <c r="J561" s="720"/>
    </row>
    <row r="562">
      <c r="D562" s="720"/>
      <c r="E562" s="720"/>
      <c r="F562" s="720"/>
      <c r="G562" s="720"/>
      <c r="H562" s="720"/>
      <c r="I562" s="720"/>
      <c r="J562" s="720"/>
    </row>
    <row r="563">
      <c r="D563" s="720"/>
      <c r="E563" s="720"/>
      <c r="F563" s="720"/>
      <c r="G563" s="720"/>
      <c r="H563" s="720"/>
      <c r="I563" s="720"/>
      <c r="J563" s="720"/>
    </row>
    <row r="564">
      <c r="D564" s="720"/>
      <c r="E564" s="720"/>
      <c r="F564" s="720"/>
      <c r="G564" s="720"/>
      <c r="H564" s="720"/>
      <c r="I564" s="720"/>
      <c r="J564" s="720"/>
    </row>
    <row r="565">
      <c r="D565" s="720"/>
      <c r="E565" s="720"/>
      <c r="F565" s="720"/>
      <c r="G565" s="720"/>
      <c r="H565" s="720"/>
      <c r="I565" s="720"/>
      <c r="J565" s="720"/>
    </row>
    <row r="566">
      <c r="D566" s="720"/>
      <c r="E566" s="720"/>
      <c r="F566" s="720"/>
      <c r="G566" s="720"/>
      <c r="H566" s="720"/>
      <c r="I566" s="720"/>
      <c r="J566" s="720"/>
    </row>
    <row r="567">
      <c r="D567" s="720"/>
      <c r="E567" s="720"/>
      <c r="F567" s="720"/>
      <c r="G567" s="720"/>
      <c r="H567" s="720"/>
      <c r="I567" s="720"/>
      <c r="J567" s="720"/>
    </row>
    <row r="568">
      <c r="D568" s="720"/>
      <c r="E568" s="720"/>
      <c r="F568" s="720"/>
      <c r="G568" s="720"/>
      <c r="H568" s="720"/>
      <c r="I568" s="720"/>
      <c r="J568" s="720"/>
    </row>
    <row r="569">
      <c r="D569" s="720"/>
      <c r="E569" s="720"/>
      <c r="F569" s="720"/>
      <c r="G569" s="720"/>
      <c r="H569" s="720"/>
      <c r="I569" s="720"/>
      <c r="J569" s="720"/>
    </row>
    <row r="570">
      <c r="D570" s="720"/>
      <c r="E570" s="720"/>
      <c r="F570" s="720"/>
      <c r="G570" s="720"/>
      <c r="H570" s="720"/>
      <c r="I570" s="720"/>
      <c r="J570" s="720"/>
    </row>
    <row r="571">
      <c r="D571" s="720"/>
      <c r="E571" s="720"/>
      <c r="F571" s="720"/>
      <c r="G571" s="720"/>
      <c r="H571" s="720"/>
      <c r="I571" s="720"/>
      <c r="J571" s="720"/>
    </row>
    <row r="572">
      <c r="D572" s="720"/>
      <c r="E572" s="720"/>
      <c r="F572" s="720"/>
      <c r="G572" s="720"/>
      <c r="H572" s="720"/>
      <c r="I572" s="720"/>
      <c r="J572" s="720"/>
    </row>
    <row r="573">
      <c r="D573" s="720"/>
      <c r="E573" s="720"/>
      <c r="F573" s="720"/>
      <c r="G573" s="720"/>
      <c r="H573" s="720"/>
      <c r="I573" s="720"/>
      <c r="J573" s="720"/>
    </row>
    <row r="574">
      <c r="D574" s="720"/>
      <c r="E574" s="720"/>
      <c r="F574" s="720"/>
      <c r="G574" s="720"/>
      <c r="H574" s="720"/>
      <c r="I574" s="720"/>
      <c r="J574" s="720"/>
    </row>
    <row r="575">
      <c r="D575" s="720"/>
      <c r="E575" s="720"/>
      <c r="F575" s="720"/>
      <c r="G575" s="720"/>
      <c r="H575" s="720"/>
      <c r="I575" s="720"/>
      <c r="J575" s="720"/>
    </row>
    <row r="576">
      <c r="D576" s="720"/>
      <c r="E576" s="720"/>
      <c r="F576" s="720"/>
      <c r="G576" s="720"/>
      <c r="H576" s="720"/>
      <c r="I576" s="720"/>
      <c r="J576" s="720"/>
    </row>
    <row r="577">
      <c r="D577" s="720"/>
      <c r="E577" s="720"/>
      <c r="F577" s="720"/>
      <c r="G577" s="720"/>
      <c r="H577" s="720"/>
      <c r="I577" s="720"/>
      <c r="J577" s="720"/>
    </row>
    <row r="578">
      <c r="D578" s="720"/>
      <c r="E578" s="720"/>
      <c r="F578" s="720"/>
      <c r="G578" s="720"/>
      <c r="H578" s="720"/>
      <c r="I578" s="720"/>
      <c r="J578" s="720"/>
    </row>
    <row r="579">
      <c r="D579" s="720"/>
      <c r="E579" s="720"/>
      <c r="F579" s="720"/>
      <c r="G579" s="720"/>
      <c r="H579" s="720"/>
      <c r="I579" s="720"/>
      <c r="J579" s="720"/>
    </row>
    <row r="580">
      <c r="D580" s="720"/>
      <c r="E580" s="720"/>
      <c r="F580" s="720"/>
      <c r="G580" s="720"/>
      <c r="H580" s="720"/>
      <c r="I580" s="720"/>
      <c r="J580" s="720"/>
    </row>
    <row r="581">
      <c r="D581" s="720"/>
      <c r="E581" s="720"/>
      <c r="F581" s="720"/>
      <c r="G581" s="720"/>
      <c r="H581" s="720"/>
      <c r="I581" s="720"/>
      <c r="J581" s="720"/>
    </row>
    <row r="582">
      <c r="D582" s="720"/>
      <c r="E582" s="720"/>
      <c r="F582" s="720"/>
      <c r="G582" s="720"/>
      <c r="H582" s="720"/>
      <c r="I582" s="720"/>
      <c r="J582" s="720"/>
    </row>
    <row r="583">
      <c r="D583" s="720"/>
      <c r="E583" s="720"/>
      <c r="F583" s="720"/>
      <c r="G583" s="720"/>
      <c r="H583" s="720"/>
      <c r="I583" s="720"/>
      <c r="J583" s="720"/>
    </row>
    <row r="584">
      <c r="D584" s="720"/>
      <c r="E584" s="720"/>
      <c r="F584" s="720"/>
      <c r="G584" s="720"/>
      <c r="H584" s="720"/>
      <c r="I584" s="720"/>
      <c r="J584" s="720"/>
    </row>
    <row r="585">
      <c r="D585" s="720"/>
      <c r="E585" s="720"/>
      <c r="F585" s="720"/>
      <c r="G585" s="720"/>
      <c r="H585" s="720"/>
      <c r="I585" s="720"/>
      <c r="J585" s="720"/>
    </row>
    <row r="586">
      <c r="D586" s="720"/>
      <c r="E586" s="720"/>
      <c r="F586" s="720"/>
      <c r="G586" s="720"/>
      <c r="H586" s="720"/>
      <c r="I586" s="720"/>
      <c r="J586" s="720"/>
    </row>
    <row r="587">
      <c r="D587" s="720"/>
      <c r="E587" s="720"/>
      <c r="F587" s="720"/>
      <c r="G587" s="720"/>
      <c r="H587" s="720"/>
      <c r="I587" s="720"/>
      <c r="J587" s="720"/>
    </row>
    <row r="588">
      <c r="D588" s="720"/>
      <c r="E588" s="720"/>
      <c r="F588" s="720"/>
      <c r="G588" s="720"/>
      <c r="H588" s="720"/>
      <c r="I588" s="720"/>
      <c r="J588" s="720"/>
    </row>
    <row r="589">
      <c r="D589" s="720"/>
      <c r="E589" s="720"/>
      <c r="F589" s="720"/>
      <c r="G589" s="720"/>
      <c r="H589" s="720"/>
      <c r="I589" s="720"/>
      <c r="J589" s="720"/>
    </row>
    <row r="590">
      <c r="D590" s="720"/>
      <c r="E590" s="720"/>
      <c r="F590" s="720"/>
      <c r="G590" s="720"/>
      <c r="H590" s="720"/>
      <c r="I590" s="720"/>
      <c r="J590" s="720"/>
    </row>
    <row r="591">
      <c r="D591" s="720"/>
      <c r="E591" s="720"/>
      <c r="F591" s="720"/>
      <c r="G591" s="720"/>
      <c r="H591" s="720"/>
      <c r="I591" s="720"/>
      <c r="J591" s="720"/>
    </row>
    <row r="592">
      <c r="D592" s="720"/>
      <c r="E592" s="720"/>
      <c r="F592" s="720"/>
      <c r="G592" s="720"/>
      <c r="H592" s="720"/>
      <c r="I592" s="720"/>
      <c r="J592" s="720"/>
    </row>
    <row r="593">
      <c r="D593" s="720"/>
      <c r="E593" s="720"/>
      <c r="F593" s="720"/>
      <c r="G593" s="720"/>
      <c r="H593" s="720"/>
      <c r="I593" s="720"/>
      <c r="J593" s="720"/>
    </row>
    <row r="594">
      <c r="D594" s="720"/>
      <c r="E594" s="720"/>
      <c r="F594" s="720"/>
      <c r="G594" s="720"/>
      <c r="H594" s="720"/>
      <c r="I594" s="720"/>
      <c r="J594" s="720"/>
    </row>
    <row r="595">
      <c r="D595" s="720"/>
      <c r="E595" s="720"/>
      <c r="F595" s="720"/>
      <c r="G595" s="720"/>
      <c r="H595" s="720"/>
      <c r="I595" s="720"/>
      <c r="J595" s="720"/>
    </row>
    <row r="596">
      <c r="D596" s="720"/>
      <c r="E596" s="720"/>
      <c r="F596" s="720"/>
      <c r="G596" s="720"/>
      <c r="H596" s="720"/>
      <c r="I596" s="720"/>
      <c r="J596" s="720"/>
    </row>
    <row r="597">
      <c r="D597" s="720"/>
      <c r="E597" s="720"/>
      <c r="F597" s="720"/>
      <c r="G597" s="720"/>
      <c r="H597" s="720"/>
      <c r="I597" s="720"/>
      <c r="J597" s="720"/>
    </row>
    <row r="598">
      <c r="D598" s="720"/>
      <c r="E598" s="720"/>
      <c r="F598" s="720"/>
      <c r="G598" s="720"/>
      <c r="H598" s="720"/>
      <c r="I598" s="720"/>
      <c r="J598" s="720"/>
    </row>
    <row r="599">
      <c r="D599" s="720"/>
      <c r="E599" s="720"/>
      <c r="F599" s="720"/>
      <c r="G599" s="720"/>
      <c r="H599" s="720"/>
      <c r="I599" s="720"/>
      <c r="J599" s="720"/>
    </row>
    <row r="600">
      <c r="D600" s="720"/>
      <c r="E600" s="720"/>
      <c r="F600" s="720"/>
      <c r="G600" s="720"/>
      <c r="H600" s="720"/>
      <c r="I600" s="720"/>
      <c r="J600" s="720"/>
    </row>
    <row r="601">
      <c r="D601" s="720"/>
      <c r="E601" s="720"/>
      <c r="F601" s="720"/>
      <c r="G601" s="720"/>
      <c r="H601" s="720"/>
      <c r="I601" s="720"/>
      <c r="J601" s="720"/>
    </row>
    <row r="602">
      <c r="D602" s="720"/>
      <c r="E602" s="720"/>
      <c r="F602" s="720"/>
      <c r="G602" s="720"/>
      <c r="H602" s="720"/>
      <c r="I602" s="720"/>
      <c r="J602" s="720"/>
    </row>
    <row r="603">
      <c r="D603" s="720"/>
      <c r="E603" s="720"/>
      <c r="F603" s="720"/>
      <c r="G603" s="720"/>
      <c r="H603" s="720"/>
      <c r="I603" s="720"/>
      <c r="J603" s="720"/>
    </row>
    <row r="604">
      <c r="D604" s="720"/>
      <c r="E604" s="720"/>
      <c r="F604" s="720"/>
      <c r="G604" s="720"/>
      <c r="H604" s="720"/>
      <c r="I604" s="720"/>
      <c r="J604" s="720"/>
    </row>
    <row r="605">
      <c r="D605" s="720"/>
      <c r="E605" s="720"/>
      <c r="F605" s="720"/>
      <c r="G605" s="720"/>
      <c r="H605" s="720"/>
      <c r="I605" s="720"/>
      <c r="J605" s="720"/>
    </row>
    <row r="606">
      <c r="D606" s="720"/>
      <c r="E606" s="720"/>
      <c r="F606" s="720"/>
      <c r="G606" s="720"/>
      <c r="H606" s="720"/>
      <c r="I606" s="720"/>
      <c r="J606" s="720"/>
    </row>
    <row r="607">
      <c r="D607" s="720"/>
      <c r="E607" s="720"/>
      <c r="F607" s="720"/>
      <c r="G607" s="720"/>
      <c r="H607" s="720"/>
      <c r="I607" s="720"/>
      <c r="J607" s="720"/>
    </row>
    <row r="608">
      <c r="D608" s="720"/>
      <c r="E608" s="720"/>
      <c r="F608" s="720"/>
      <c r="G608" s="720"/>
      <c r="H608" s="720"/>
      <c r="I608" s="720"/>
      <c r="J608" s="720"/>
    </row>
    <row r="609">
      <c r="D609" s="720"/>
      <c r="E609" s="720"/>
      <c r="F609" s="720"/>
      <c r="G609" s="720"/>
      <c r="H609" s="720"/>
      <c r="I609" s="720"/>
      <c r="J609" s="720"/>
    </row>
    <row r="610">
      <c r="D610" s="720"/>
      <c r="E610" s="720"/>
      <c r="F610" s="720"/>
      <c r="G610" s="720"/>
      <c r="H610" s="720"/>
      <c r="I610" s="720"/>
      <c r="J610" s="720"/>
    </row>
    <row r="611">
      <c r="D611" s="720"/>
      <c r="E611" s="720"/>
      <c r="F611" s="720"/>
      <c r="G611" s="720"/>
      <c r="H611" s="720"/>
      <c r="I611" s="720"/>
      <c r="J611" s="720"/>
    </row>
    <row r="612">
      <c r="D612" s="720"/>
      <c r="E612" s="720"/>
      <c r="F612" s="720"/>
      <c r="G612" s="720"/>
      <c r="H612" s="720"/>
      <c r="I612" s="720"/>
      <c r="J612" s="720"/>
    </row>
    <row r="613">
      <c r="D613" s="720"/>
      <c r="E613" s="720"/>
      <c r="F613" s="720"/>
      <c r="G613" s="720"/>
      <c r="H613" s="720"/>
      <c r="I613" s="720"/>
      <c r="J613" s="720"/>
    </row>
    <row r="614">
      <c r="D614" s="720"/>
      <c r="E614" s="720"/>
      <c r="F614" s="720"/>
      <c r="G614" s="720"/>
      <c r="H614" s="720"/>
      <c r="I614" s="720"/>
      <c r="J614" s="720"/>
    </row>
    <row r="615">
      <c r="D615" s="720"/>
      <c r="E615" s="720"/>
      <c r="F615" s="720"/>
      <c r="G615" s="720"/>
      <c r="H615" s="720"/>
      <c r="I615" s="720"/>
      <c r="J615" s="720"/>
    </row>
    <row r="616">
      <c r="D616" s="720"/>
      <c r="E616" s="720"/>
      <c r="F616" s="720"/>
      <c r="G616" s="720"/>
      <c r="H616" s="720"/>
      <c r="I616" s="720"/>
      <c r="J616" s="720"/>
    </row>
    <row r="617">
      <c r="D617" s="720"/>
      <c r="E617" s="720"/>
      <c r="F617" s="720"/>
      <c r="G617" s="720"/>
      <c r="H617" s="720"/>
      <c r="I617" s="720"/>
      <c r="J617" s="720"/>
    </row>
    <row r="618">
      <c r="D618" s="720"/>
      <c r="E618" s="720"/>
      <c r="F618" s="720"/>
      <c r="G618" s="720"/>
      <c r="H618" s="720"/>
      <c r="I618" s="720"/>
      <c r="J618" s="720"/>
    </row>
    <row r="619">
      <c r="D619" s="720"/>
      <c r="E619" s="720"/>
      <c r="F619" s="720"/>
      <c r="G619" s="720"/>
      <c r="H619" s="720"/>
      <c r="I619" s="720"/>
      <c r="J619" s="720"/>
    </row>
    <row r="620">
      <c r="D620" s="720"/>
      <c r="E620" s="720"/>
      <c r="F620" s="720"/>
      <c r="G620" s="720"/>
      <c r="H620" s="720"/>
      <c r="I620" s="720"/>
      <c r="J620" s="720"/>
    </row>
    <row r="621">
      <c r="D621" s="720"/>
      <c r="E621" s="720"/>
      <c r="F621" s="720"/>
      <c r="G621" s="720"/>
      <c r="H621" s="720"/>
      <c r="I621" s="720"/>
      <c r="J621" s="720"/>
    </row>
    <row r="622">
      <c r="D622" s="720"/>
      <c r="E622" s="720"/>
      <c r="F622" s="720"/>
      <c r="G622" s="720"/>
      <c r="H622" s="720"/>
      <c r="I622" s="720"/>
      <c r="J622" s="720"/>
    </row>
    <row r="623">
      <c r="D623" s="720"/>
      <c r="E623" s="720"/>
      <c r="F623" s="720"/>
      <c r="G623" s="720"/>
      <c r="H623" s="720"/>
      <c r="I623" s="720"/>
      <c r="J623" s="720"/>
    </row>
    <row r="624">
      <c r="D624" s="720"/>
      <c r="E624" s="720"/>
      <c r="F624" s="720"/>
      <c r="G624" s="720"/>
      <c r="H624" s="720"/>
      <c r="I624" s="720"/>
      <c r="J624" s="720"/>
    </row>
    <row r="625">
      <c r="D625" s="720"/>
      <c r="E625" s="720"/>
      <c r="F625" s="720"/>
      <c r="G625" s="720"/>
      <c r="H625" s="720"/>
      <c r="I625" s="720"/>
      <c r="J625" s="720"/>
    </row>
    <row r="626">
      <c r="D626" s="720"/>
      <c r="E626" s="720"/>
      <c r="F626" s="720"/>
      <c r="G626" s="720"/>
      <c r="H626" s="720"/>
      <c r="I626" s="720"/>
      <c r="J626" s="720"/>
    </row>
    <row r="627">
      <c r="D627" s="720"/>
      <c r="E627" s="720"/>
      <c r="F627" s="720"/>
      <c r="G627" s="720"/>
      <c r="H627" s="720"/>
      <c r="I627" s="720"/>
      <c r="J627" s="720"/>
    </row>
    <row r="628">
      <c r="D628" s="720"/>
      <c r="E628" s="720"/>
      <c r="F628" s="720"/>
      <c r="G628" s="720"/>
      <c r="H628" s="720"/>
      <c r="I628" s="720"/>
      <c r="J628" s="720"/>
    </row>
    <row r="629">
      <c r="D629" s="720"/>
      <c r="E629" s="720"/>
      <c r="F629" s="720"/>
      <c r="G629" s="720"/>
      <c r="H629" s="720"/>
      <c r="I629" s="720"/>
      <c r="J629" s="720"/>
    </row>
    <row r="630">
      <c r="D630" s="720"/>
      <c r="E630" s="720"/>
      <c r="F630" s="720"/>
      <c r="G630" s="720"/>
      <c r="H630" s="720"/>
      <c r="I630" s="720"/>
      <c r="J630" s="720"/>
    </row>
    <row r="631">
      <c r="D631" s="720"/>
      <c r="E631" s="720"/>
      <c r="F631" s="720"/>
      <c r="G631" s="720"/>
      <c r="H631" s="720"/>
      <c r="I631" s="720"/>
      <c r="J631" s="720"/>
    </row>
    <row r="632">
      <c r="D632" s="720"/>
      <c r="E632" s="720"/>
      <c r="F632" s="720"/>
      <c r="G632" s="720"/>
      <c r="H632" s="720"/>
      <c r="I632" s="720"/>
      <c r="J632" s="720"/>
    </row>
    <row r="633">
      <c r="D633" s="720"/>
      <c r="E633" s="720"/>
      <c r="F633" s="720"/>
      <c r="G633" s="720"/>
      <c r="H633" s="720"/>
      <c r="I633" s="720"/>
      <c r="J633" s="720"/>
    </row>
    <row r="634">
      <c r="D634" s="720"/>
      <c r="E634" s="720"/>
      <c r="F634" s="720"/>
      <c r="G634" s="720"/>
      <c r="H634" s="720"/>
      <c r="I634" s="720"/>
      <c r="J634" s="720"/>
    </row>
    <row r="635">
      <c r="D635" s="720"/>
      <c r="E635" s="720"/>
      <c r="F635" s="720"/>
      <c r="G635" s="720"/>
      <c r="H635" s="720"/>
      <c r="I635" s="720"/>
      <c r="J635" s="720"/>
    </row>
    <row r="636">
      <c r="D636" s="720"/>
      <c r="E636" s="720"/>
      <c r="F636" s="720"/>
      <c r="G636" s="720"/>
      <c r="H636" s="720"/>
      <c r="I636" s="720"/>
      <c r="J636" s="720"/>
    </row>
    <row r="637">
      <c r="D637" s="720"/>
      <c r="E637" s="720"/>
      <c r="F637" s="720"/>
      <c r="G637" s="720"/>
      <c r="H637" s="720"/>
      <c r="I637" s="720"/>
      <c r="J637" s="720"/>
    </row>
    <row r="638">
      <c r="D638" s="720"/>
      <c r="E638" s="720"/>
      <c r="F638" s="720"/>
      <c r="G638" s="720"/>
      <c r="H638" s="720"/>
      <c r="I638" s="720"/>
      <c r="J638" s="720"/>
    </row>
    <row r="639">
      <c r="D639" s="720"/>
      <c r="E639" s="720"/>
      <c r="F639" s="720"/>
      <c r="G639" s="720"/>
      <c r="H639" s="720"/>
      <c r="I639" s="720"/>
      <c r="J639" s="720"/>
    </row>
    <row r="640">
      <c r="D640" s="720"/>
      <c r="E640" s="720"/>
      <c r="F640" s="720"/>
      <c r="G640" s="720"/>
      <c r="H640" s="720"/>
      <c r="I640" s="720"/>
      <c r="J640" s="720"/>
    </row>
    <row r="641">
      <c r="D641" s="720"/>
      <c r="E641" s="720"/>
      <c r="F641" s="720"/>
      <c r="G641" s="720"/>
      <c r="H641" s="720"/>
      <c r="I641" s="720"/>
      <c r="J641" s="720"/>
    </row>
    <row r="642">
      <c r="D642" s="720"/>
      <c r="E642" s="720"/>
      <c r="F642" s="720"/>
      <c r="G642" s="720"/>
      <c r="H642" s="720"/>
      <c r="I642" s="720"/>
      <c r="J642" s="720"/>
    </row>
    <row r="643">
      <c r="D643" s="720"/>
      <c r="E643" s="720"/>
      <c r="F643" s="720"/>
      <c r="G643" s="720"/>
      <c r="H643" s="720"/>
      <c r="I643" s="720"/>
      <c r="J643" s="720"/>
    </row>
    <row r="644">
      <c r="D644" s="720"/>
      <c r="E644" s="720"/>
      <c r="F644" s="720"/>
      <c r="G644" s="720"/>
      <c r="H644" s="720"/>
      <c r="I644" s="720"/>
      <c r="J644" s="720"/>
    </row>
    <row r="645">
      <c r="D645" s="720"/>
      <c r="E645" s="720"/>
      <c r="F645" s="720"/>
      <c r="G645" s="720"/>
      <c r="H645" s="720"/>
      <c r="I645" s="720"/>
      <c r="J645" s="720"/>
    </row>
    <row r="646">
      <c r="D646" s="720"/>
      <c r="E646" s="720"/>
      <c r="F646" s="720"/>
      <c r="G646" s="720"/>
      <c r="H646" s="720"/>
      <c r="I646" s="720"/>
      <c r="J646" s="720"/>
    </row>
    <row r="647">
      <c r="D647" s="720"/>
      <c r="E647" s="720"/>
      <c r="F647" s="720"/>
      <c r="G647" s="720"/>
      <c r="H647" s="720"/>
      <c r="I647" s="720"/>
      <c r="J647" s="720"/>
    </row>
    <row r="648">
      <c r="D648" s="720"/>
      <c r="E648" s="720"/>
      <c r="F648" s="720"/>
      <c r="G648" s="720"/>
      <c r="H648" s="720"/>
      <c r="I648" s="720"/>
      <c r="J648" s="720"/>
    </row>
    <row r="649">
      <c r="D649" s="720"/>
      <c r="E649" s="720"/>
      <c r="F649" s="720"/>
      <c r="G649" s="720"/>
      <c r="H649" s="720"/>
      <c r="I649" s="720"/>
      <c r="J649" s="720"/>
    </row>
    <row r="650">
      <c r="D650" s="720"/>
      <c r="E650" s="720"/>
      <c r="F650" s="720"/>
      <c r="G650" s="720"/>
      <c r="H650" s="720"/>
      <c r="I650" s="720"/>
      <c r="J650" s="720"/>
    </row>
    <row r="651">
      <c r="D651" s="720"/>
      <c r="E651" s="720"/>
      <c r="F651" s="720"/>
      <c r="G651" s="720"/>
      <c r="H651" s="720"/>
      <c r="I651" s="720"/>
      <c r="J651" s="720"/>
    </row>
    <row r="652">
      <c r="D652" s="720"/>
      <c r="E652" s="720"/>
      <c r="F652" s="720"/>
      <c r="G652" s="720"/>
      <c r="H652" s="720"/>
      <c r="I652" s="720"/>
      <c r="J652" s="720"/>
    </row>
    <row r="653">
      <c r="D653" s="720"/>
      <c r="E653" s="720"/>
      <c r="F653" s="720"/>
      <c r="G653" s="720"/>
      <c r="H653" s="720"/>
      <c r="I653" s="720"/>
      <c r="J653" s="720"/>
    </row>
    <row r="654">
      <c r="D654" s="720"/>
      <c r="E654" s="720"/>
      <c r="F654" s="720"/>
      <c r="G654" s="720"/>
      <c r="H654" s="720"/>
      <c r="I654" s="720"/>
      <c r="J654" s="720"/>
    </row>
    <row r="655">
      <c r="D655" s="720"/>
      <c r="E655" s="720"/>
      <c r="F655" s="720"/>
      <c r="G655" s="720"/>
      <c r="H655" s="720"/>
      <c r="I655" s="720"/>
      <c r="J655" s="720"/>
    </row>
    <row r="656">
      <c r="D656" s="720"/>
      <c r="E656" s="720"/>
      <c r="F656" s="720"/>
      <c r="G656" s="720"/>
      <c r="H656" s="720"/>
      <c r="I656" s="720"/>
      <c r="J656" s="720"/>
    </row>
    <row r="657">
      <c r="D657" s="720"/>
      <c r="E657" s="720"/>
      <c r="F657" s="720"/>
      <c r="G657" s="720"/>
      <c r="H657" s="720"/>
      <c r="I657" s="720"/>
      <c r="J657" s="720"/>
    </row>
    <row r="658">
      <c r="D658" s="720"/>
      <c r="E658" s="720"/>
      <c r="F658" s="720"/>
      <c r="G658" s="720"/>
      <c r="H658" s="720"/>
      <c r="I658" s="720"/>
      <c r="J658" s="720"/>
    </row>
    <row r="659">
      <c r="D659" s="720"/>
      <c r="E659" s="720"/>
      <c r="F659" s="720"/>
      <c r="G659" s="720"/>
      <c r="H659" s="720"/>
      <c r="I659" s="720"/>
      <c r="J659" s="720"/>
    </row>
    <row r="660">
      <c r="D660" s="720"/>
      <c r="E660" s="720"/>
      <c r="F660" s="720"/>
      <c r="G660" s="720"/>
      <c r="H660" s="720"/>
      <c r="I660" s="720"/>
      <c r="J660" s="720"/>
    </row>
    <row r="661">
      <c r="D661" s="720"/>
      <c r="E661" s="720"/>
      <c r="F661" s="720"/>
      <c r="G661" s="720"/>
      <c r="H661" s="720"/>
      <c r="I661" s="720"/>
      <c r="J661" s="720"/>
    </row>
    <row r="662">
      <c r="D662" s="720"/>
      <c r="E662" s="720"/>
      <c r="F662" s="720"/>
      <c r="G662" s="720"/>
      <c r="H662" s="720"/>
      <c r="I662" s="720"/>
      <c r="J662" s="720"/>
    </row>
    <row r="663">
      <c r="D663" s="720"/>
      <c r="E663" s="720"/>
      <c r="F663" s="720"/>
      <c r="G663" s="720"/>
      <c r="H663" s="720"/>
      <c r="I663" s="720"/>
      <c r="J663" s="720"/>
    </row>
    <row r="664">
      <c r="D664" s="720"/>
      <c r="E664" s="720"/>
      <c r="F664" s="720"/>
      <c r="G664" s="720"/>
      <c r="H664" s="720"/>
      <c r="I664" s="720"/>
      <c r="J664" s="720"/>
    </row>
    <row r="665">
      <c r="D665" s="720"/>
      <c r="E665" s="720"/>
      <c r="F665" s="720"/>
      <c r="G665" s="720"/>
      <c r="H665" s="720"/>
      <c r="I665" s="720"/>
      <c r="J665" s="720"/>
    </row>
    <row r="666">
      <c r="D666" s="720"/>
      <c r="E666" s="720"/>
      <c r="F666" s="720"/>
      <c r="G666" s="720"/>
      <c r="H666" s="720"/>
      <c r="I666" s="720"/>
      <c r="J666" s="720"/>
    </row>
    <row r="667">
      <c r="D667" s="720"/>
      <c r="E667" s="720"/>
      <c r="F667" s="720"/>
      <c r="G667" s="720"/>
      <c r="H667" s="720"/>
      <c r="I667" s="720"/>
      <c r="J667" s="720"/>
    </row>
    <row r="668">
      <c r="D668" s="720"/>
      <c r="E668" s="720"/>
      <c r="F668" s="720"/>
      <c r="G668" s="720"/>
      <c r="H668" s="720"/>
      <c r="I668" s="720"/>
      <c r="J668" s="720"/>
    </row>
    <row r="669">
      <c r="D669" s="720"/>
      <c r="E669" s="720"/>
      <c r="F669" s="720"/>
      <c r="G669" s="720"/>
      <c r="H669" s="720"/>
      <c r="I669" s="720"/>
      <c r="J669" s="720"/>
    </row>
    <row r="670">
      <c r="D670" s="720"/>
      <c r="E670" s="720"/>
      <c r="F670" s="720"/>
      <c r="G670" s="720"/>
      <c r="H670" s="720"/>
      <c r="I670" s="720"/>
      <c r="J670" s="720"/>
    </row>
    <row r="671">
      <c r="D671" s="720"/>
      <c r="E671" s="720"/>
      <c r="F671" s="720"/>
      <c r="G671" s="720"/>
      <c r="H671" s="720"/>
      <c r="I671" s="720"/>
      <c r="J671" s="720"/>
    </row>
    <row r="672">
      <c r="D672" s="720"/>
      <c r="E672" s="720"/>
      <c r="F672" s="720"/>
      <c r="G672" s="720"/>
      <c r="H672" s="720"/>
      <c r="I672" s="720"/>
      <c r="J672" s="720"/>
    </row>
    <row r="673">
      <c r="D673" s="720"/>
      <c r="E673" s="720"/>
      <c r="F673" s="720"/>
      <c r="G673" s="720"/>
      <c r="H673" s="720"/>
      <c r="I673" s="720"/>
      <c r="J673" s="720"/>
    </row>
    <row r="674">
      <c r="D674" s="720"/>
      <c r="E674" s="720"/>
      <c r="F674" s="720"/>
      <c r="G674" s="720"/>
      <c r="H674" s="720"/>
      <c r="I674" s="720"/>
      <c r="J674" s="720"/>
    </row>
    <row r="675">
      <c r="D675" s="720"/>
      <c r="E675" s="720"/>
      <c r="F675" s="720"/>
      <c r="G675" s="720"/>
      <c r="H675" s="720"/>
      <c r="I675" s="720"/>
      <c r="J675" s="720"/>
    </row>
    <row r="676">
      <c r="D676" s="720"/>
      <c r="E676" s="720"/>
      <c r="F676" s="720"/>
      <c r="G676" s="720"/>
      <c r="H676" s="720"/>
      <c r="I676" s="720"/>
      <c r="J676" s="720"/>
    </row>
    <row r="677">
      <c r="D677" s="720"/>
      <c r="E677" s="720"/>
      <c r="F677" s="720"/>
      <c r="G677" s="720"/>
      <c r="H677" s="720"/>
      <c r="I677" s="720"/>
      <c r="J677" s="720"/>
    </row>
    <row r="678">
      <c r="D678" s="720"/>
      <c r="E678" s="720"/>
      <c r="F678" s="720"/>
      <c r="G678" s="720"/>
      <c r="H678" s="720"/>
      <c r="I678" s="720"/>
      <c r="J678" s="720"/>
    </row>
    <row r="679">
      <c r="D679" s="720"/>
      <c r="E679" s="720"/>
      <c r="F679" s="720"/>
      <c r="G679" s="720"/>
      <c r="H679" s="720"/>
      <c r="I679" s="720"/>
      <c r="J679" s="720"/>
    </row>
    <row r="680">
      <c r="D680" s="720"/>
      <c r="E680" s="720"/>
      <c r="F680" s="720"/>
      <c r="G680" s="720"/>
      <c r="H680" s="720"/>
      <c r="I680" s="720"/>
      <c r="J680" s="720"/>
    </row>
    <row r="681">
      <c r="D681" s="720"/>
      <c r="E681" s="720"/>
      <c r="F681" s="720"/>
      <c r="G681" s="720"/>
      <c r="H681" s="720"/>
      <c r="I681" s="720"/>
      <c r="J681" s="720"/>
    </row>
    <row r="682">
      <c r="D682" s="720"/>
      <c r="E682" s="720"/>
      <c r="F682" s="720"/>
      <c r="G682" s="720"/>
      <c r="H682" s="720"/>
      <c r="I682" s="720"/>
      <c r="J682" s="720"/>
    </row>
    <row r="683">
      <c r="D683" s="720"/>
      <c r="E683" s="720"/>
      <c r="F683" s="720"/>
      <c r="G683" s="720"/>
      <c r="H683" s="720"/>
      <c r="I683" s="720"/>
      <c r="J683" s="720"/>
    </row>
    <row r="684">
      <c r="D684" s="720"/>
      <c r="E684" s="720"/>
      <c r="F684" s="720"/>
      <c r="G684" s="720"/>
      <c r="H684" s="720"/>
      <c r="I684" s="720"/>
      <c r="J684" s="720"/>
    </row>
    <row r="685">
      <c r="D685" s="720"/>
      <c r="E685" s="720"/>
      <c r="F685" s="720"/>
      <c r="G685" s="720"/>
      <c r="H685" s="720"/>
      <c r="I685" s="720"/>
      <c r="J685" s="720"/>
    </row>
    <row r="686">
      <c r="D686" s="720"/>
      <c r="E686" s="720"/>
      <c r="F686" s="720"/>
      <c r="G686" s="720"/>
      <c r="H686" s="720"/>
      <c r="I686" s="720"/>
      <c r="J686" s="720"/>
    </row>
    <row r="687">
      <c r="D687" s="720"/>
      <c r="E687" s="720"/>
      <c r="F687" s="720"/>
      <c r="G687" s="720"/>
      <c r="H687" s="720"/>
      <c r="I687" s="720"/>
      <c r="J687" s="720"/>
    </row>
    <row r="688">
      <c r="D688" s="720"/>
      <c r="E688" s="720"/>
      <c r="F688" s="720"/>
      <c r="G688" s="720"/>
      <c r="H688" s="720"/>
      <c r="I688" s="720"/>
      <c r="J688" s="720"/>
    </row>
    <row r="689">
      <c r="D689" s="720"/>
      <c r="E689" s="720"/>
      <c r="F689" s="720"/>
      <c r="G689" s="720"/>
      <c r="H689" s="720"/>
      <c r="I689" s="720"/>
      <c r="J689" s="720"/>
    </row>
    <row r="690">
      <c r="D690" s="720"/>
      <c r="E690" s="720"/>
      <c r="F690" s="720"/>
      <c r="G690" s="720"/>
      <c r="H690" s="720"/>
      <c r="I690" s="720"/>
      <c r="J690" s="720"/>
    </row>
    <row r="691">
      <c r="D691" s="720"/>
      <c r="E691" s="720"/>
      <c r="F691" s="720"/>
      <c r="G691" s="720"/>
      <c r="H691" s="720"/>
      <c r="I691" s="720"/>
      <c r="J691" s="720"/>
    </row>
    <row r="692">
      <c r="D692" s="720"/>
      <c r="E692" s="720"/>
      <c r="F692" s="720"/>
      <c r="G692" s="720"/>
      <c r="H692" s="720"/>
      <c r="I692" s="720"/>
      <c r="J692" s="720"/>
    </row>
    <row r="693">
      <c r="D693" s="720"/>
      <c r="E693" s="720"/>
      <c r="F693" s="720"/>
      <c r="G693" s="720"/>
      <c r="H693" s="720"/>
      <c r="I693" s="720"/>
      <c r="J693" s="720"/>
    </row>
    <row r="694">
      <c r="D694" s="720"/>
      <c r="E694" s="720"/>
      <c r="F694" s="720"/>
      <c r="G694" s="720"/>
      <c r="H694" s="720"/>
      <c r="I694" s="720"/>
      <c r="J694" s="720"/>
    </row>
    <row r="695">
      <c r="D695" s="720"/>
      <c r="E695" s="720"/>
      <c r="F695" s="720"/>
      <c r="G695" s="720"/>
      <c r="H695" s="720"/>
      <c r="I695" s="720"/>
      <c r="J695" s="720"/>
    </row>
    <row r="696">
      <c r="D696" s="720"/>
      <c r="E696" s="720"/>
      <c r="F696" s="720"/>
      <c r="G696" s="720"/>
      <c r="H696" s="720"/>
      <c r="I696" s="720"/>
      <c r="J696" s="720"/>
    </row>
    <row r="697">
      <c r="D697" s="720"/>
      <c r="E697" s="720"/>
      <c r="F697" s="720"/>
      <c r="G697" s="720"/>
      <c r="H697" s="720"/>
      <c r="I697" s="720"/>
      <c r="J697" s="720"/>
    </row>
    <row r="698">
      <c r="D698" s="720"/>
      <c r="E698" s="720"/>
      <c r="F698" s="720"/>
      <c r="G698" s="720"/>
      <c r="H698" s="720"/>
      <c r="I698" s="720"/>
      <c r="J698" s="720"/>
    </row>
    <row r="699">
      <c r="D699" s="720"/>
      <c r="E699" s="720"/>
      <c r="F699" s="720"/>
      <c r="G699" s="720"/>
      <c r="H699" s="720"/>
      <c r="I699" s="720"/>
      <c r="J699" s="720"/>
    </row>
    <row r="700">
      <c r="D700" s="720"/>
      <c r="E700" s="720"/>
      <c r="F700" s="720"/>
      <c r="G700" s="720"/>
      <c r="H700" s="720"/>
      <c r="I700" s="720"/>
      <c r="J700" s="720"/>
    </row>
    <row r="701">
      <c r="D701" s="720"/>
      <c r="E701" s="720"/>
      <c r="F701" s="720"/>
      <c r="G701" s="720"/>
      <c r="H701" s="720"/>
      <c r="I701" s="720"/>
      <c r="J701" s="720"/>
    </row>
    <row r="702">
      <c r="D702" s="720"/>
      <c r="E702" s="720"/>
      <c r="F702" s="720"/>
      <c r="G702" s="720"/>
      <c r="H702" s="720"/>
      <c r="I702" s="720"/>
      <c r="J702" s="720"/>
    </row>
    <row r="703">
      <c r="D703" s="720"/>
      <c r="E703" s="720"/>
      <c r="F703" s="720"/>
      <c r="G703" s="720"/>
      <c r="H703" s="720"/>
      <c r="I703" s="720"/>
      <c r="J703" s="720"/>
    </row>
    <row r="704">
      <c r="D704" s="720"/>
      <c r="E704" s="720"/>
      <c r="F704" s="720"/>
      <c r="G704" s="720"/>
      <c r="H704" s="720"/>
      <c r="I704" s="720"/>
      <c r="J704" s="720"/>
    </row>
    <row r="705">
      <c r="D705" s="720"/>
      <c r="E705" s="720"/>
      <c r="F705" s="720"/>
      <c r="G705" s="720"/>
      <c r="H705" s="720"/>
      <c r="I705" s="720"/>
      <c r="J705" s="720"/>
    </row>
    <row r="706">
      <c r="D706" s="720"/>
      <c r="E706" s="720"/>
      <c r="F706" s="720"/>
      <c r="G706" s="720"/>
      <c r="H706" s="720"/>
      <c r="I706" s="720"/>
      <c r="J706" s="720"/>
    </row>
    <row r="707">
      <c r="D707" s="720"/>
      <c r="E707" s="720"/>
      <c r="F707" s="720"/>
      <c r="G707" s="720"/>
      <c r="H707" s="720"/>
      <c r="I707" s="720"/>
      <c r="J707" s="720"/>
    </row>
    <row r="708">
      <c r="D708" s="720"/>
      <c r="E708" s="720"/>
      <c r="F708" s="720"/>
      <c r="G708" s="720"/>
      <c r="H708" s="720"/>
      <c r="I708" s="720"/>
      <c r="J708" s="720"/>
    </row>
    <row r="709">
      <c r="D709" s="720"/>
      <c r="E709" s="720"/>
      <c r="F709" s="720"/>
      <c r="G709" s="720"/>
      <c r="H709" s="720"/>
      <c r="I709" s="720"/>
      <c r="J709" s="720"/>
    </row>
    <row r="710">
      <c r="D710" s="720"/>
      <c r="E710" s="720"/>
      <c r="F710" s="720"/>
      <c r="G710" s="720"/>
      <c r="H710" s="720"/>
      <c r="I710" s="720"/>
      <c r="J710" s="720"/>
    </row>
    <row r="711">
      <c r="D711" s="720"/>
      <c r="E711" s="720"/>
      <c r="F711" s="720"/>
      <c r="G711" s="720"/>
      <c r="H711" s="720"/>
      <c r="I711" s="720"/>
      <c r="J711" s="720"/>
    </row>
    <row r="712">
      <c r="D712" s="720"/>
      <c r="E712" s="720"/>
      <c r="F712" s="720"/>
      <c r="G712" s="720"/>
      <c r="H712" s="720"/>
      <c r="I712" s="720"/>
      <c r="J712" s="720"/>
    </row>
    <row r="713">
      <c r="D713" s="720"/>
      <c r="E713" s="720"/>
      <c r="F713" s="720"/>
      <c r="G713" s="720"/>
      <c r="H713" s="720"/>
      <c r="I713" s="720"/>
      <c r="J713" s="720"/>
    </row>
    <row r="714">
      <c r="D714" s="720"/>
      <c r="E714" s="720"/>
      <c r="F714" s="720"/>
      <c r="G714" s="720"/>
      <c r="H714" s="720"/>
      <c r="I714" s="720"/>
      <c r="J714" s="720"/>
    </row>
    <row r="715">
      <c r="D715" s="720"/>
      <c r="E715" s="720"/>
      <c r="F715" s="720"/>
      <c r="G715" s="720"/>
      <c r="H715" s="720"/>
      <c r="I715" s="720"/>
      <c r="J715" s="720"/>
    </row>
    <row r="716">
      <c r="D716" s="720"/>
      <c r="E716" s="720"/>
      <c r="F716" s="720"/>
      <c r="G716" s="720"/>
      <c r="H716" s="720"/>
      <c r="I716" s="720"/>
      <c r="J716" s="720"/>
    </row>
    <row r="717">
      <c r="D717" s="720"/>
      <c r="E717" s="720"/>
      <c r="F717" s="720"/>
      <c r="G717" s="720"/>
      <c r="H717" s="720"/>
      <c r="I717" s="720"/>
      <c r="J717" s="720"/>
    </row>
    <row r="718">
      <c r="D718" s="720"/>
      <c r="E718" s="720"/>
      <c r="F718" s="720"/>
      <c r="G718" s="720"/>
      <c r="H718" s="720"/>
      <c r="I718" s="720"/>
      <c r="J718" s="720"/>
    </row>
    <row r="719">
      <c r="D719" s="720"/>
      <c r="E719" s="720"/>
      <c r="F719" s="720"/>
      <c r="G719" s="720"/>
      <c r="H719" s="720"/>
      <c r="I719" s="720"/>
      <c r="J719" s="720"/>
    </row>
    <row r="720">
      <c r="D720" s="720"/>
      <c r="E720" s="720"/>
      <c r="F720" s="720"/>
      <c r="G720" s="720"/>
      <c r="H720" s="720"/>
      <c r="I720" s="720"/>
      <c r="J720" s="720"/>
    </row>
    <row r="721">
      <c r="D721" s="720"/>
      <c r="E721" s="720"/>
      <c r="F721" s="720"/>
      <c r="G721" s="720"/>
      <c r="H721" s="720"/>
      <c r="I721" s="720"/>
      <c r="J721" s="720"/>
    </row>
    <row r="722">
      <c r="D722" s="720"/>
      <c r="E722" s="720"/>
      <c r="F722" s="720"/>
      <c r="G722" s="720"/>
      <c r="H722" s="720"/>
      <c r="I722" s="720"/>
      <c r="J722" s="720"/>
    </row>
    <row r="723">
      <c r="D723" s="720"/>
      <c r="E723" s="720"/>
      <c r="F723" s="720"/>
      <c r="G723" s="720"/>
      <c r="H723" s="720"/>
      <c r="I723" s="720"/>
      <c r="J723" s="720"/>
    </row>
    <row r="724">
      <c r="D724" s="720"/>
      <c r="E724" s="720"/>
      <c r="F724" s="720"/>
      <c r="G724" s="720"/>
      <c r="H724" s="720"/>
      <c r="I724" s="720"/>
      <c r="J724" s="720"/>
    </row>
    <row r="725">
      <c r="D725" s="720"/>
      <c r="E725" s="720"/>
      <c r="F725" s="720"/>
      <c r="G725" s="720"/>
      <c r="H725" s="720"/>
      <c r="I725" s="720"/>
      <c r="J725" s="720"/>
    </row>
    <row r="726">
      <c r="D726" s="720"/>
      <c r="E726" s="720"/>
      <c r="F726" s="720"/>
      <c r="G726" s="720"/>
      <c r="H726" s="720"/>
      <c r="I726" s="720"/>
      <c r="J726" s="720"/>
    </row>
    <row r="727">
      <c r="D727" s="720"/>
      <c r="E727" s="720"/>
      <c r="F727" s="720"/>
      <c r="G727" s="720"/>
      <c r="H727" s="720"/>
      <c r="I727" s="720"/>
      <c r="J727" s="720"/>
    </row>
    <row r="728">
      <c r="D728" s="720"/>
      <c r="E728" s="720"/>
      <c r="F728" s="720"/>
      <c r="G728" s="720"/>
      <c r="H728" s="720"/>
      <c r="I728" s="720"/>
      <c r="J728" s="720"/>
    </row>
    <row r="729">
      <c r="D729" s="720"/>
      <c r="E729" s="720"/>
      <c r="F729" s="720"/>
      <c r="G729" s="720"/>
      <c r="H729" s="720"/>
      <c r="I729" s="720"/>
      <c r="J729" s="720"/>
    </row>
    <row r="730">
      <c r="D730" s="720"/>
      <c r="E730" s="720"/>
      <c r="F730" s="720"/>
      <c r="G730" s="720"/>
      <c r="H730" s="720"/>
      <c r="I730" s="720"/>
      <c r="J730" s="720"/>
    </row>
    <row r="731">
      <c r="D731" s="720"/>
      <c r="E731" s="720"/>
      <c r="F731" s="720"/>
      <c r="G731" s="720"/>
      <c r="H731" s="720"/>
      <c r="I731" s="720"/>
      <c r="J731" s="720"/>
    </row>
    <row r="732">
      <c r="D732" s="720"/>
      <c r="E732" s="720"/>
      <c r="F732" s="720"/>
      <c r="G732" s="720"/>
      <c r="H732" s="720"/>
      <c r="I732" s="720"/>
      <c r="J732" s="720"/>
    </row>
    <row r="733">
      <c r="D733" s="720"/>
      <c r="E733" s="720"/>
      <c r="F733" s="720"/>
      <c r="G733" s="720"/>
      <c r="H733" s="720"/>
      <c r="I733" s="720"/>
      <c r="J733" s="720"/>
    </row>
    <row r="734">
      <c r="D734" s="720"/>
      <c r="E734" s="720"/>
      <c r="F734" s="720"/>
      <c r="G734" s="720"/>
      <c r="H734" s="720"/>
      <c r="I734" s="720"/>
      <c r="J734" s="720"/>
    </row>
    <row r="735">
      <c r="D735" s="720"/>
      <c r="E735" s="720"/>
      <c r="F735" s="720"/>
      <c r="G735" s="720"/>
      <c r="H735" s="720"/>
      <c r="I735" s="720"/>
      <c r="J735" s="720"/>
    </row>
    <row r="736">
      <c r="D736" s="720"/>
      <c r="E736" s="720"/>
      <c r="F736" s="720"/>
      <c r="G736" s="720"/>
      <c r="H736" s="720"/>
      <c r="I736" s="720"/>
      <c r="J736" s="720"/>
    </row>
    <row r="737">
      <c r="D737" s="720"/>
      <c r="E737" s="720"/>
      <c r="F737" s="720"/>
      <c r="G737" s="720"/>
      <c r="H737" s="720"/>
      <c r="I737" s="720"/>
      <c r="J737" s="720"/>
    </row>
    <row r="738">
      <c r="D738" s="720"/>
      <c r="E738" s="720"/>
      <c r="F738" s="720"/>
      <c r="G738" s="720"/>
      <c r="H738" s="720"/>
      <c r="I738" s="720"/>
      <c r="J738" s="720"/>
    </row>
    <row r="739">
      <c r="D739" s="720"/>
      <c r="E739" s="720"/>
      <c r="F739" s="720"/>
      <c r="G739" s="720"/>
      <c r="H739" s="720"/>
      <c r="I739" s="720"/>
      <c r="J739" s="720"/>
    </row>
    <row r="740">
      <c r="D740" s="720"/>
      <c r="E740" s="720"/>
      <c r="F740" s="720"/>
      <c r="G740" s="720"/>
      <c r="H740" s="720"/>
      <c r="I740" s="720"/>
      <c r="J740" s="720"/>
    </row>
    <row r="741">
      <c r="D741" s="720"/>
      <c r="E741" s="720"/>
      <c r="F741" s="720"/>
      <c r="G741" s="720"/>
      <c r="H741" s="720"/>
      <c r="I741" s="720"/>
      <c r="J741" s="720"/>
    </row>
    <row r="742">
      <c r="D742" s="720"/>
      <c r="E742" s="720"/>
      <c r="F742" s="720"/>
      <c r="G742" s="720"/>
      <c r="H742" s="720"/>
      <c r="I742" s="720"/>
      <c r="J742" s="720"/>
    </row>
    <row r="743">
      <c r="D743" s="720"/>
      <c r="E743" s="720"/>
      <c r="F743" s="720"/>
      <c r="G743" s="720"/>
      <c r="H743" s="720"/>
      <c r="I743" s="720"/>
      <c r="J743" s="720"/>
    </row>
    <row r="744">
      <c r="D744" s="720"/>
      <c r="E744" s="720"/>
      <c r="F744" s="720"/>
      <c r="G744" s="720"/>
      <c r="H744" s="720"/>
      <c r="I744" s="720"/>
      <c r="J744" s="720"/>
    </row>
    <row r="745">
      <c r="D745" s="720"/>
      <c r="E745" s="720"/>
      <c r="F745" s="720"/>
      <c r="G745" s="720"/>
      <c r="H745" s="720"/>
      <c r="I745" s="720"/>
      <c r="J745" s="720"/>
    </row>
    <row r="746">
      <c r="D746" s="720"/>
      <c r="E746" s="720"/>
      <c r="F746" s="720"/>
      <c r="G746" s="720"/>
      <c r="H746" s="720"/>
      <c r="I746" s="720"/>
      <c r="J746" s="720"/>
    </row>
    <row r="747">
      <c r="D747" s="720"/>
      <c r="E747" s="720"/>
      <c r="F747" s="720"/>
      <c r="G747" s="720"/>
      <c r="H747" s="720"/>
      <c r="I747" s="720"/>
      <c r="J747" s="720"/>
    </row>
    <row r="748">
      <c r="D748" s="720"/>
      <c r="E748" s="720"/>
      <c r="F748" s="720"/>
      <c r="G748" s="720"/>
      <c r="H748" s="720"/>
      <c r="I748" s="720"/>
      <c r="J748" s="720"/>
    </row>
    <row r="749">
      <c r="D749" s="720"/>
      <c r="E749" s="720"/>
      <c r="F749" s="720"/>
      <c r="G749" s="720"/>
      <c r="H749" s="720"/>
      <c r="I749" s="720"/>
      <c r="J749" s="720"/>
    </row>
    <row r="750">
      <c r="D750" s="720"/>
      <c r="E750" s="720"/>
      <c r="F750" s="720"/>
      <c r="G750" s="720"/>
      <c r="H750" s="720"/>
      <c r="I750" s="720"/>
      <c r="J750" s="720"/>
    </row>
    <row r="751">
      <c r="D751" s="720"/>
      <c r="E751" s="720"/>
      <c r="F751" s="720"/>
      <c r="G751" s="720"/>
      <c r="H751" s="720"/>
      <c r="I751" s="720"/>
      <c r="J751" s="720"/>
    </row>
    <row r="752">
      <c r="D752" s="720"/>
      <c r="E752" s="720"/>
      <c r="F752" s="720"/>
      <c r="G752" s="720"/>
      <c r="H752" s="720"/>
      <c r="I752" s="720"/>
      <c r="J752" s="720"/>
    </row>
    <row r="753">
      <c r="D753" s="720"/>
      <c r="E753" s="720"/>
      <c r="F753" s="720"/>
      <c r="G753" s="720"/>
      <c r="H753" s="720"/>
      <c r="I753" s="720"/>
      <c r="J753" s="720"/>
    </row>
    <row r="754">
      <c r="D754" s="720"/>
      <c r="E754" s="720"/>
      <c r="F754" s="720"/>
      <c r="G754" s="720"/>
      <c r="H754" s="720"/>
      <c r="I754" s="720"/>
      <c r="J754" s="720"/>
    </row>
    <row r="755">
      <c r="D755" s="720"/>
      <c r="E755" s="720"/>
      <c r="F755" s="720"/>
      <c r="G755" s="720"/>
      <c r="H755" s="720"/>
      <c r="I755" s="720"/>
      <c r="J755" s="720"/>
    </row>
    <row r="756">
      <c r="D756" s="720"/>
      <c r="E756" s="720"/>
      <c r="F756" s="720"/>
      <c r="G756" s="720"/>
      <c r="H756" s="720"/>
      <c r="I756" s="720"/>
      <c r="J756" s="720"/>
    </row>
    <row r="757">
      <c r="D757" s="720"/>
      <c r="E757" s="720"/>
      <c r="F757" s="720"/>
      <c r="G757" s="720"/>
      <c r="H757" s="720"/>
      <c r="I757" s="720"/>
      <c r="J757" s="720"/>
    </row>
    <row r="758">
      <c r="D758" s="720"/>
      <c r="E758" s="720"/>
      <c r="F758" s="720"/>
      <c r="G758" s="720"/>
      <c r="H758" s="720"/>
      <c r="I758" s="720"/>
      <c r="J758" s="720"/>
    </row>
    <row r="759">
      <c r="D759" s="720"/>
      <c r="E759" s="720"/>
      <c r="F759" s="720"/>
      <c r="G759" s="720"/>
      <c r="H759" s="720"/>
      <c r="I759" s="720"/>
      <c r="J759" s="720"/>
    </row>
    <row r="760">
      <c r="D760" s="720"/>
      <c r="E760" s="720"/>
      <c r="F760" s="720"/>
      <c r="G760" s="720"/>
      <c r="H760" s="720"/>
      <c r="I760" s="720"/>
      <c r="J760" s="720"/>
    </row>
    <row r="761">
      <c r="D761" s="720"/>
      <c r="E761" s="720"/>
      <c r="F761" s="720"/>
      <c r="G761" s="720"/>
      <c r="H761" s="720"/>
      <c r="I761" s="720"/>
      <c r="J761" s="720"/>
    </row>
    <row r="762">
      <c r="D762" s="720"/>
      <c r="E762" s="720"/>
      <c r="F762" s="720"/>
      <c r="G762" s="720"/>
      <c r="H762" s="720"/>
      <c r="I762" s="720"/>
      <c r="J762" s="720"/>
    </row>
    <row r="763">
      <c r="D763" s="720"/>
      <c r="E763" s="720"/>
      <c r="F763" s="720"/>
      <c r="G763" s="720"/>
      <c r="H763" s="720"/>
      <c r="I763" s="720"/>
      <c r="J763" s="720"/>
    </row>
    <row r="764">
      <c r="D764" s="720"/>
      <c r="E764" s="720"/>
      <c r="F764" s="720"/>
      <c r="G764" s="720"/>
      <c r="H764" s="720"/>
      <c r="I764" s="720"/>
      <c r="J764" s="720"/>
    </row>
    <row r="765">
      <c r="D765" s="720"/>
      <c r="E765" s="720"/>
      <c r="F765" s="720"/>
      <c r="G765" s="720"/>
      <c r="H765" s="720"/>
      <c r="I765" s="720"/>
      <c r="J765" s="720"/>
    </row>
    <row r="766">
      <c r="D766" s="720"/>
      <c r="E766" s="720"/>
      <c r="F766" s="720"/>
      <c r="G766" s="720"/>
      <c r="H766" s="720"/>
      <c r="I766" s="720"/>
      <c r="J766" s="720"/>
    </row>
    <row r="767">
      <c r="D767" s="720"/>
      <c r="E767" s="720"/>
      <c r="F767" s="720"/>
      <c r="G767" s="720"/>
      <c r="H767" s="720"/>
      <c r="I767" s="720"/>
      <c r="J767" s="720"/>
    </row>
    <row r="768">
      <c r="D768" s="720"/>
      <c r="E768" s="720"/>
      <c r="F768" s="720"/>
      <c r="G768" s="720"/>
      <c r="H768" s="720"/>
      <c r="I768" s="720"/>
      <c r="J768" s="720"/>
    </row>
    <row r="769">
      <c r="D769" s="720"/>
      <c r="E769" s="720"/>
      <c r="F769" s="720"/>
      <c r="G769" s="720"/>
      <c r="H769" s="720"/>
      <c r="I769" s="720"/>
      <c r="J769" s="720"/>
    </row>
    <row r="770">
      <c r="D770" s="720"/>
      <c r="E770" s="720"/>
      <c r="F770" s="720"/>
      <c r="G770" s="720"/>
      <c r="H770" s="720"/>
      <c r="I770" s="720"/>
      <c r="J770" s="720"/>
    </row>
    <row r="771">
      <c r="D771" s="720"/>
      <c r="E771" s="720"/>
      <c r="F771" s="720"/>
      <c r="G771" s="720"/>
      <c r="H771" s="720"/>
      <c r="I771" s="720"/>
      <c r="J771" s="720"/>
    </row>
    <row r="772">
      <c r="D772" s="720"/>
      <c r="E772" s="720"/>
      <c r="F772" s="720"/>
      <c r="G772" s="720"/>
      <c r="H772" s="720"/>
      <c r="I772" s="720"/>
      <c r="J772" s="720"/>
    </row>
    <row r="773">
      <c r="D773" s="720"/>
      <c r="E773" s="720"/>
      <c r="F773" s="720"/>
      <c r="G773" s="720"/>
      <c r="H773" s="720"/>
      <c r="I773" s="720"/>
      <c r="J773" s="720"/>
    </row>
    <row r="774">
      <c r="D774" s="720"/>
      <c r="E774" s="720"/>
      <c r="F774" s="720"/>
      <c r="G774" s="720"/>
      <c r="H774" s="720"/>
      <c r="I774" s="720"/>
      <c r="J774" s="720"/>
    </row>
    <row r="775">
      <c r="D775" s="720"/>
      <c r="E775" s="720"/>
      <c r="F775" s="720"/>
      <c r="G775" s="720"/>
      <c r="H775" s="720"/>
      <c r="I775" s="720"/>
      <c r="J775" s="720"/>
    </row>
    <row r="776">
      <c r="D776" s="720"/>
      <c r="E776" s="720"/>
      <c r="F776" s="720"/>
      <c r="G776" s="720"/>
      <c r="H776" s="720"/>
      <c r="I776" s="720"/>
      <c r="J776" s="720"/>
    </row>
    <row r="777">
      <c r="D777" s="720"/>
      <c r="E777" s="720"/>
      <c r="F777" s="720"/>
      <c r="G777" s="720"/>
      <c r="H777" s="720"/>
      <c r="I777" s="720"/>
      <c r="J777" s="720"/>
    </row>
    <row r="778">
      <c r="D778" s="720"/>
      <c r="E778" s="720"/>
      <c r="F778" s="720"/>
      <c r="G778" s="720"/>
      <c r="H778" s="720"/>
      <c r="I778" s="720"/>
      <c r="J778" s="720"/>
    </row>
    <row r="779">
      <c r="D779" s="720"/>
      <c r="E779" s="720"/>
      <c r="F779" s="720"/>
      <c r="G779" s="720"/>
      <c r="H779" s="720"/>
      <c r="I779" s="720"/>
      <c r="J779" s="720"/>
    </row>
    <row r="780">
      <c r="D780" s="720"/>
      <c r="E780" s="720"/>
      <c r="F780" s="720"/>
      <c r="G780" s="720"/>
      <c r="H780" s="720"/>
      <c r="I780" s="720"/>
      <c r="J780" s="720"/>
    </row>
    <row r="781">
      <c r="D781" s="720"/>
      <c r="E781" s="720"/>
      <c r="F781" s="720"/>
      <c r="G781" s="720"/>
      <c r="H781" s="720"/>
      <c r="I781" s="720"/>
      <c r="J781" s="720"/>
    </row>
    <row r="782">
      <c r="D782" s="720"/>
      <c r="E782" s="720"/>
      <c r="F782" s="720"/>
      <c r="G782" s="720"/>
      <c r="H782" s="720"/>
      <c r="I782" s="720"/>
      <c r="J782" s="720"/>
    </row>
    <row r="783">
      <c r="D783" s="720"/>
      <c r="E783" s="720"/>
      <c r="F783" s="720"/>
      <c r="G783" s="720"/>
      <c r="H783" s="720"/>
      <c r="I783" s="720"/>
      <c r="J783" s="720"/>
    </row>
    <row r="784">
      <c r="D784" s="720"/>
      <c r="E784" s="720"/>
      <c r="F784" s="720"/>
      <c r="G784" s="720"/>
      <c r="H784" s="720"/>
      <c r="I784" s="720"/>
      <c r="J784" s="720"/>
    </row>
    <row r="785">
      <c r="D785" s="720"/>
      <c r="E785" s="720"/>
      <c r="F785" s="720"/>
      <c r="G785" s="720"/>
      <c r="H785" s="720"/>
      <c r="I785" s="720"/>
      <c r="J785" s="720"/>
    </row>
    <row r="786">
      <c r="D786" s="720"/>
      <c r="E786" s="720"/>
      <c r="F786" s="720"/>
      <c r="G786" s="720"/>
      <c r="H786" s="720"/>
      <c r="I786" s="720"/>
      <c r="J786" s="720"/>
    </row>
    <row r="787">
      <c r="D787" s="720"/>
      <c r="E787" s="720"/>
      <c r="F787" s="720"/>
      <c r="G787" s="720"/>
      <c r="H787" s="720"/>
      <c r="I787" s="720"/>
      <c r="J787" s="720"/>
    </row>
    <row r="788">
      <c r="D788" s="720"/>
      <c r="E788" s="720"/>
      <c r="F788" s="720"/>
      <c r="G788" s="720"/>
      <c r="H788" s="720"/>
      <c r="I788" s="720"/>
      <c r="J788" s="720"/>
    </row>
    <row r="789">
      <c r="D789" s="720"/>
      <c r="E789" s="720"/>
      <c r="F789" s="720"/>
      <c r="G789" s="720"/>
      <c r="H789" s="720"/>
      <c r="I789" s="720"/>
      <c r="J789" s="720"/>
    </row>
    <row r="790">
      <c r="D790" s="720"/>
      <c r="E790" s="720"/>
      <c r="F790" s="720"/>
      <c r="G790" s="720"/>
      <c r="H790" s="720"/>
      <c r="I790" s="720"/>
      <c r="J790" s="720"/>
    </row>
    <row r="791">
      <c r="D791" s="720"/>
      <c r="E791" s="720"/>
      <c r="F791" s="720"/>
      <c r="G791" s="720"/>
      <c r="H791" s="720"/>
      <c r="I791" s="720"/>
      <c r="J791" s="720"/>
    </row>
    <row r="792">
      <c r="D792" s="720"/>
      <c r="E792" s="720"/>
      <c r="F792" s="720"/>
      <c r="G792" s="720"/>
      <c r="H792" s="720"/>
      <c r="I792" s="720"/>
      <c r="J792" s="720"/>
    </row>
    <row r="793">
      <c r="D793" s="720"/>
      <c r="E793" s="720"/>
      <c r="F793" s="720"/>
      <c r="G793" s="720"/>
      <c r="H793" s="720"/>
      <c r="I793" s="720"/>
      <c r="J793" s="720"/>
    </row>
    <row r="794">
      <c r="D794" s="720"/>
      <c r="E794" s="720"/>
      <c r="F794" s="720"/>
      <c r="G794" s="720"/>
      <c r="H794" s="720"/>
      <c r="I794" s="720"/>
      <c r="J794" s="720"/>
    </row>
    <row r="795">
      <c r="D795" s="720"/>
      <c r="E795" s="720"/>
      <c r="F795" s="720"/>
      <c r="G795" s="720"/>
      <c r="H795" s="720"/>
      <c r="I795" s="720"/>
      <c r="J795" s="720"/>
    </row>
    <row r="796">
      <c r="D796" s="720"/>
      <c r="E796" s="720"/>
      <c r="F796" s="720"/>
      <c r="G796" s="720"/>
      <c r="H796" s="720"/>
      <c r="I796" s="720"/>
      <c r="J796" s="720"/>
    </row>
    <row r="797">
      <c r="D797" s="720"/>
      <c r="E797" s="720"/>
      <c r="F797" s="720"/>
      <c r="G797" s="720"/>
      <c r="H797" s="720"/>
      <c r="I797" s="720"/>
      <c r="J797" s="720"/>
    </row>
    <row r="798">
      <c r="D798" s="720"/>
      <c r="E798" s="720"/>
      <c r="F798" s="720"/>
      <c r="G798" s="720"/>
      <c r="H798" s="720"/>
      <c r="I798" s="720"/>
      <c r="J798" s="720"/>
    </row>
    <row r="799">
      <c r="D799" s="720"/>
      <c r="E799" s="720"/>
      <c r="F799" s="720"/>
      <c r="G799" s="720"/>
      <c r="H799" s="720"/>
      <c r="I799" s="720"/>
      <c r="J799" s="720"/>
    </row>
    <row r="800">
      <c r="D800" s="720"/>
      <c r="E800" s="720"/>
      <c r="F800" s="720"/>
      <c r="G800" s="720"/>
      <c r="H800" s="720"/>
      <c r="I800" s="720"/>
      <c r="J800" s="720"/>
    </row>
    <row r="801">
      <c r="D801" s="720"/>
      <c r="E801" s="720"/>
      <c r="F801" s="720"/>
      <c r="G801" s="720"/>
      <c r="H801" s="720"/>
      <c r="I801" s="720"/>
      <c r="J801" s="720"/>
    </row>
    <row r="802">
      <c r="D802" s="720"/>
      <c r="E802" s="720"/>
      <c r="F802" s="720"/>
      <c r="G802" s="720"/>
      <c r="H802" s="720"/>
      <c r="I802" s="720"/>
      <c r="J802" s="720"/>
    </row>
    <row r="803">
      <c r="D803" s="720"/>
      <c r="E803" s="720"/>
      <c r="F803" s="720"/>
      <c r="G803" s="720"/>
      <c r="H803" s="720"/>
      <c r="I803" s="720"/>
      <c r="J803" s="720"/>
    </row>
    <row r="804">
      <c r="D804" s="720"/>
      <c r="E804" s="720"/>
      <c r="F804" s="720"/>
      <c r="G804" s="720"/>
      <c r="H804" s="720"/>
      <c r="I804" s="720"/>
      <c r="J804" s="720"/>
    </row>
    <row r="805">
      <c r="D805" s="720"/>
      <c r="E805" s="720"/>
      <c r="F805" s="720"/>
      <c r="G805" s="720"/>
      <c r="H805" s="720"/>
      <c r="I805" s="720"/>
      <c r="J805" s="720"/>
    </row>
    <row r="806">
      <c r="D806" s="720"/>
      <c r="E806" s="720"/>
      <c r="F806" s="720"/>
      <c r="G806" s="720"/>
      <c r="H806" s="720"/>
      <c r="I806" s="720"/>
      <c r="J806" s="720"/>
    </row>
    <row r="807">
      <c r="D807" s="720"/>
      <c r="E807" s="720"/>
      <c r="F807" s="720"/>
      <c r="G807" s="720"/>
      <c r="H807" s="720"/>
      <c r="I807" s="720"/>
      <c r="J807" s="720"/>
    </row>
    <row r="808">
      <c r="D808" s="720"/>
      <c r="E808" s="720"/>
      <c r="F808" s="720"/>
      <c r="G808" s="720"/>
      <c r="H808" s="720"/>
      <c r="I808" s="720"/>
      <c r="J808" s="720"/>
    </row>
    <row r="809">
      <c r="D809" s="720"/>
      <c r="E809" s="720"/>
      <c r="F809" s="720"/>
      <c r="G809" s="720"/>
      <c r="H809" s="720"/>
      <c r="I809" s="720"/>
      <c r="J809" s="720"/>
    </row>
    <row r="810">
      <c r="D810" s="720"/>
      <c r="E810" s="720"/>
      <c r="F810" s="720"/>
      <c r="G810" s="720"/>
      <c r="H810" s="720"/>
      <c r="I810" s="720"/>
      <c r="J810" s="720"/>
    </row>
    <row r="811">
      <c r="D811" s="720"/>
      <c r="E811" s="720"/>
      <c r="F811" s="720"/>
      <c r="G811" s="720"/>
      <c r="H811" s="720"/>
      <c r="I811" s="720"/>
      <c r="J811" s="720"/>
    </row>
    <row r="812">
      <c r="D812" s="720"/>
      <c r="E812" s="720"/>
      <c r="F812" s="720"/>
      <c r="G812" s="720"/>
      <c r="H812" s="720"/>
      <c r="I812" s="720"/>
      <c r="J812" s="720"/>
    </row>
    <row r="813">
      <c r="D813" s="720"/>
      <c r="E813" s="720"/>
      <c r="F813" s="720"/>
      <c r="G813" s="720"/>
      <c r="H813" s="720"/>
      <c r="I813" s="720"/>
      <c r="J813" s="720"/>
    </row>
    <row r="814">
      <c r="D814" s="720"/>
      <c r="E814" s="720"/>
      <c r="F814" s="720"/>
      <c r="G814" s="720"/>
      <c r="H814" s="720"/>
      <c r="I814" s="720"/>
      <c r="J814" s="720"/>
    </row>
    <row r="815">
      <c r="D815" s="720"/>
      <c r="E815" s="720"/>
      <c r="F815" s="720"/>
      <c r="G815" s="720"/>
      <c r="H815" s="720"/>
      <c r="I815" s="720"/>
      <c r="J815" s="720"/>
    </row>
    <row r="816">
      <c r="D816" s="720"/>
      <c r="E816" s="720"/>
      <c r="F816" s="720"/>
      <c r="G816" s="720"/>
      <c r="H816" s="720"/>
      <c r="I816" s="720"/>
      <c r="J816" s="720"/>
    </row>
    <row r="817">
      <c r="D817" s="720"/>
      <c r="E817" s="720"/>
      <c r="F817" s="720"/>
      <c r="G817" s="720"/>
      <c r="H817" s="720"/>
      <c r="I817" s="720"/>
      <c r="J817" s="720"/>
    </row>
    <row r="818">
      <c r="D818" s="720"/>
      <c r="E818" s="720"/>
      <c r="F818" s="720"/>
      <c r="G818" s="720"/>
      <c r="H818" s="720"/>
      <c r="I818" s="720"/>
      <c r="J818" s="720"/>
    </row>
    <row r="819">
      <c r="D819" s="720"/>
      <c r="E819" s="720"/>
      <c r="F819" s="720"/>
      <c r="G819" s="720"/>
      <c r="H819" s="720"/>
      <c r="I819" s="720"/>
      <c r="J819" s="720"/>
    </row>
    <row r="820">
      <c r="D820" s="720"/>
      <c r="E820" s="720"/>
      <c r="F820" s="720"/>
      <c r="G820" s="720"/>
      <c r="H820" s="720"/>
      <c r="I820" s="720"/>
      <c r="J820" s="720"/>
    </row>
    <row r="821">
      <c r="D821" s="720"/>
      <c r="E821" s="720"/>
      <c r="F821" s="720"/>
      <c r="G821" s="720"/>
      <c r="H821" s="720"/>
      <c r="I821" s="720"/>
      <c r="J821" s="720"/>
    </row>
    <row r="822">
      <c r="D822" s="720"/>
      <c r="E822" s="720"/>
      <c r="F822" s="720"/>
      <c r="G822" s="720"/>
      <c r="H822" s="720"/>
      <c r="I822" s="720"/>
      <c r="J822" s="720"/>
    </row>
    <row r="823">
      <c r="D823" s="720"/>
      <c r="E823" s="720"/>
      <c r="F823" s="720"/>
      <c r="G823" s="720"/>
      <c r="H823" s="720"/>
      <c r="I823" s="720"/>
      <c r="J823" s="720"/>
    </row>
    <row r="824">
      <c r="D824" s="720"/>
      <c r="E824" s="720"/>
      <c r="F824" s="720"/>
      <c r="G824" s="720"/>
      <c r="H824" s="720"/>
      <c r="I824" s="720"/>
      <c r="J824" s="720"/>
    </row>
    <row r="825">
      <c r="D825" s="720"/>
      <c r="E825" s="720"/>
      <c r="F825" s="720"/>
      <c r="G825" s="720"/>
      <c r="H825" s="720"/>
      <c r="I825" s="720"/>
      <c r="J825" s="720"/>
    </row>
    <row r="826">
      <c r="D826" s="720"/>
      <c r="E826" s="720"/>
      <c r="F826" s="720"/>
      <c r="G826" s="720"/>
      <c r="H826" s="720"/>
      <c r="I826" s="720"/>
      <c r="J826" s="720"/>
    </row>
    <row r="827">
      <c r="D827" s="720"/>
      <c r="E827" s="720"/>
      <c r="F827" s="720"/>
      <c r="G827" s="720"/>
      <c r="H827" s="720"/>
      <c r="I827" s="720"/>
      <c r="J827" s="720"/>
    </row>
    <row r="828">
      <c r="D828" s="720"/>
      <c r="E828" s="720"/>
      <c r="F828" s="720"/>
      <c r="G828" s="720"/>
      <c r="H828" s="720"/>
      <c r="I828" s="720"/>
      <c r="J828" s="720"/>
    </row>
    <row r="829">
      <c r="D829" s="720"/>
      <c r="E829" s="720"/>
      <c r="F829" s="720"/>
      <c r="G829" s="720"/>
      <c r="H829" s="720"/>
      <c r="I829" s="720"/>
      <c r="J829" s="720"/>
    </row>
    <row r="830">
      <c r="D830" s="720"/>
      <c r="E830" s="720"/>
      <c r="F830" s="720"/>
      <c r="G830" s="720"/>
      <c r="H830" s="720"/>
      <c r="I830" s="720"/>
      <c r="J830" s="720"/>
    </row>
    <row r="831">
      <c r="D831" s="720"/>
      <c r="E831" s="720"/>
      <c r="F831" s="720"/>
      <c r="G831" s="720"/>
      <c r="H831" s="720"/>
      <c r="I831" s="720"/>
      <c r="J831" s="720"/>
    </row>
    <row r="832">
      <c r="D832" s="720"/>
      <c r="E832" s="720"/>
      <c r="F832" s="720"/>
      <c r="G832" s="720"/>
      <c r="H832" s="720"/>
      <c r="I832" s="720"/>
      <c r="J832" s="720"/>
    </row>
    <row r="833">
      <c r="D833" s="720"/>
      <c r="E833" s="720"/>
      <c r="F833" s="720"/>
      <c r="G833" s="720"/>
      <c r="H833" s="720"/>
      <c r="I833" s="720"/>
      <c r="J833" s="720"/>
    </row>
    <row r="834">
      <c r="D834" s="720"/>
      <c r="E834" s="720"/>
      <c r="F834" s="720"/>
      <c r="G834" s="720"/>
      <c r="H834" s="720"/>
      <c r="I834" s="720"/>
      <c r="J834" s="720"/>
    </row>
    <row r="835">
      <c r="D835" s="720"/>
      <c r="E835" s="720"/>
      <c r="F835" s="720"/>
      <c r="G835" s="720"/>
      <c r="H835" s="720"/>
      <c r="I835" s="720"/>
      <c r="J835" s="720"/>
    </row>
    <row r="836">
      <c r="D836" s="720"/>
      <c r="E836" s="720"/>
      <c r="F836" s="720"/>
      <c r="G836" s="720"/>
      <c r="H836" s="720"/>
      <c r="I836" s="720"/>
      <c r="J836" s="720"/>
    </row>
    <row r="837">
      <c r="D837" s="720"/>
      <c r="E837" s="720"/>
      <c r="F837" s="720"/>
      <c r="G837" s="720"/>
      <c r="H837" s="720"/>
      <c r="I837" s="720"/>
      <c r="J837" s="720"/>
    </row>
    <row r="838">
      <c r="D838" s="720"/>
      <c r="E838" s="720"/>
      <c r="F838" s="720"/>
      <c r="G838" s="720"/>
      <c r="H838" s="720"/>
      <c r="I838" s="720"/>
      <c r="J838" s="720"/>
    </row>
    <row r="839">
      <c r="D839" s="720"/>
      <c r="E839" s="720"/>
      <c r="F839" s="720"/>
      <c r="G839" s="720"/>
      <c r="H839" s="720"/>
      <c r="I839" s="720"/>
      <c r="J839" s="720"/>
    </row>
    <row r="840">
      <c r="D840" s="720"/>
      <c r="E840" s="720"/>
      <c r="F840" s="720"/>
      <c r="G840" s="720"/>
      <c r="H840" s="720"/>
      <c r="I840" s="720"/>
      <c r="J840" s="720"/>
    </row>
    <row r="841">
      <c r="D841" s="720"/>
      <c r="E841" s="720"/>
      <c r="F841" s="720"/>
      <c r="G841" s="720"/>
      <c r="H841" s="720"/>
      <c r="I841" s="720"/>
      <c r="J841" s="720"/>
    </row>
    <row r="842">
      <c r="D842" s="720"/>
      <c r="E842" s="720"/>
      <c r="F842" s="720"/>
      <c r="G842" s="720"/>
      <c r="H842" s="720"/>
      <c r="I842" s="720"/>
      <c r="J842" s="720"/>
    </row>
    <row r="843">
      <c r="D843" s="720"/>
      <c r="E843" s="720"/>
      <c r="F843" s="720"/>
      <c r="G843" s="720"/>
      <c r="H843" s="720"/>
      <c r="I843" s="720"/>
      <c r="J843" s="720"/>
    </row>
    <row r="844">
      <c r="D844" s="720"/>
      <c r="E844" s="720"/>
      <c r="F844" s="720"/>
      <c r="G844" s="720"/>
      <c r="H844" s="720"/>
      <c r="I844" s="720"/>
      <c r="J844" s="720"/>
    </row>
    <row r="845">
      <c r="D845" s="720"/>
      <c r="E845" s="720"/>
      <c r="F845" s="720"/>
      <c r="G845" s="720"/>
      <c r="H845" s="720"/>
      <c r="I845" s="720"/>
      <c r="J845" s="720"/>
    </row>
    <row r="846">
      <c r="D846" s="720"/>
      <c r="E846" s="720"/>
      <c r="F846" s="720"/>
      <c r="G846" s="720"/>
      <c r="H846" s="720"/>
      <c r="I846" s="720"/>
      <c r="J846" s="720"/>
    </row>
    <row r="847">
      <c r="D847" s="720"/>
      <c r="E847" s="720"/>
      <c r="F847" s="720"/>
      <c r="G847" s="720"/>
      <c r="H847" s="720"/>
      <c r="I847" s="720"/>
      <c r="J847" s="720"/>
    </row>
    <row r="848">
      <c r="D848" s="720"/>
      <c r="E848" s="720"/>
      <c r="F848" s="720"/>
      <c r="G848" s="720"/>
      <c r="H848" s="720"/>
      <c r="I848" s="720"/>
      <c r="J848" s="720"/>
    </row>
    <row r="849">
      <c r="D849" s="720"/>
      <c r="E849" s="720"/>
      <c r="F849" s="720"/>
      <c r="G849" s="720"/>
      <c r="H849" s="720"/>
      <c r="I849" s="720"/>
      <c r="J849" s="720"/>
    </row>
    <row r="850">
      <c r="D850" s="720"/>
      <c r="E850" s="720"/>
      <c r="F850" s="720"/>
      <c r="G850" s="720"/>
      <c r="H850" s="720"/>
      <c r="I850" s="720"/>
      <c r="J850" s="720"/>
    </row>
    <row r="851">
      <c r="D851" s="720"/>
      <c r="E851" s="720"/>
      <c r="F851" s="720"/>
      <c r="G851" s="720"/>
      <c r="H851" s="720"/>
      <c r="I851" s="720"/>
      <c r="J851" s="720"/>
    </row>
    <row r="852">
      <c r="D852" s="720"/>
      <c r="E852" s="720"/>
      <c r="F852" s="720"/>
      <c r="G852" s="720"/>
      <c r="H852" s="720"/>
      <c r="I852" s="720"/>
      <c r="J852" s="720"/>
    </row>
    <row r="853">
      <c r="D853" s="720"/>
      <c r="E853" s="720"/>
      <c r="F853" s="720"/>
      <c r="G853" s="720"/>
      <c r="H853" s="720"/>
      <c r="I853" s="720"/>
      <c r="J853" s="720"/>
    </row>
    <row r="854">
      <c r="D854" s="720"/>
      <c r="E854" s="720"/>
      <c r="F854" s="720"/>
      <c r="G854" s="720"/>
      <c r="H854" s="720"/>
      <c r="I854" s="720"/>
      <c r="J854" s="720"/>
    </row>
    <row r="855">
      <c r="D855" s="720"/>
      <c r="E855" s="720"/>
      <c r="F855" s="720"/>
      <c r="G855" s="720"/>
      <c r="H855" s="720"/>
      <c r="I855" s="720"/>
      <c r="J855" s="720"/>
    </row>
    <row r="856">
      <c r="D856" s="720"/>
      <c r="E856" s="720"/>
      <c r="F856" s="720"/>
      <c r="G856" s="720"/>
      <c r="H856" s="720"/>
      <c r="I856" s="720"/>
      <c r="J856" s="720"/>
    </row>
    <row r="857">
      <c r="D857" s="720"/>
      <c r="E857" s="720"/>
      <c r="F857" s="720"/>
      <c r="G857" s="720"/>
      <c r="H857" s="720"/>
      <c r="I857" s="720"/>
      <c r="J857" s="720"/>
    </row>
    <row r="858">
      <c r="D858" s="720"/>
      <c r="E858" s="720"/>
      <c r="F858" s="720"/>
      <c r="G858" s="720"/>
      <c r="H858" s="720"/>
      <c r="I858" s="720"/>
      <c r="J858" s="720"/>
    </row>
    <row r="859">
      <c r="D859" s="720"/>
      <c r="E859" s="720"/>
      <c r="F859" s="720"/>
      <c r="G859" s="720"/>
      <c r="H859" s="720"/>
      <c r="I859" s="720"/>
      <c r="J859" s="720"/>
    </row>
    <row r="860">
      <c r="D860" s="720"/>
      <c r="E860" s="720"/>
      <c r="F860" s="720"/>
      <c r="G860" s="720"/>
      <c r="H860" s="720"/>
      <c r="I860" s="720"/>
      <c r="J860" s="720"/>
    </row>
    <row r="861">
      <c r="D861" s="720"/>
      <c r="E861" s="720"/>
      <c r="F861" s="720"/>
      <c r="G861" s="720"/>
      <c r="H861" s="720"/>
      <c r="I861" s="720"/>
      <c r="J861" s="720"/>
    </row>
    <row r="862">
      <c r="D862" s="720"/>
      <c r="E862" s="720"/>
      <c r="F862" s="720"/>
      <c r="G862" s="720"/>
      <c r="H862" s="720"/>
      <c r="I862" s="720"/>
      <c r="J862" s="720"/>
    </row>
    <row r="863">
      <c r="D863" s="720"/>
      <c r="E863" s="720"/>
      <c r="F863" s="720"/>
      <c r="G863" s="720"/>
      <c r="H863" s="720"/>
      <c r="I863" s="720"/>
      <c r="J863" s="720"/>
    </row>
    <row r="864">
      <c r="D864" s="720"/>
      <c r="E864" s="720"/>
      <c r="F864" s="720"/>
      <c r="G864" s="720"/>
      <c r="H864" s="720"/>
      <c r="I864" s="720"/>
      <c r="J864" s="720"/>
    </row>
    <row r="865">
      <c r="D865" s="720"/>
      <c r="E865" s="720"/>
      <c r="F865" s="720"/>
      <c r="G865" s="720"/>
      <c r="H865" s="720"/>
      <c r="I865" s="720"/>
      <c r="J865" s="720"/>
    </row>
    <row r="866">
      <c r="D866" s="720"/>
      <c r="E866" s="720"/>
      <c r="F866" s="720"/>
      <c r="G866" s="720"/>
      <c r="H866" s="720"/>
      <c r="I866" s="720"/>
      <c r="J866" s="720"/>
    </row>
    <row r="867">
      <c r="D867" s="720"/>
      <c r="E867" s="720"/>
      <c r="F867" s="720"/>
      <c r="G867" s="720"/>
      <c r="H867" s="720"/>
      <c r="I867" s="720"/>
      <c r="J867" s="720"/>
    </row>
    <row r="868">
      <c r="D868" s="720"/>
      <c r="E868" s="720"/>
      <c r="F868" s="720"/>
      <c r="G868" s="720"/>
      <c r="H868" s="720"/>
      <c r="I868" s="720"/>
      <c r="J868" s="720"/>
    </row>
    <row r="869">
      <c r="D869" s="720"/>
      <c r="E869" s="720"/>
      <c r="F869" s="720"/>
      <c r="G869" s="720"/>
      <c r="H869" s="720"/>
      <c r="I869" s="720"/>
      <c r="J869" s="720"/>
    </row>
    <row r="870">
      <c r="D870" s="720"/>
      <c r="E870" s="720"/>
      <c r="F870" s="720"/>
      <c r="G870" s="720"/>
      <c r="H870" s="720"/>
      <c r="I870" s="720"/>
      <c r="J870" s="720"/>
    </row>
    <row r="871">
      <c r="D871" s="720"/>
      <c r="E871" s="720"/>
      <c r="F871" s="720"/>
      <c r="G871" s="720"/>
      <c r="H871" s="720"/>
      <c r="I871" s="720"/>
      <c r="J871" s="720"/>
    </row>
    <row r="872">
      <c r="D872" s="720"/>
      <c r="E872" s="720"/>
      <c r="F872" s="720"/>
      <c r="G872" s="720"/>
      <c r="H872" s="720"/>
      <c r="I872" s="720"/>
      <c r="J872" s="720"/>
    </row>
    <row r="873">
      <c r="D873" s="720"/>
      <c r="E873" s="720"/>
      <c r="F873" s="720"/>
      <c r="G873" s="720"/>
      <c r="H873" s="720"/>
      <c r="I873" s="720"/>
      <c r="J873" s="720"/>
    </row>
    <row r="874">
      <c r="D874" s="720"/>
      <c r="E874" s="720"/>
      <c r="F874" s="720"/>
      <c r="G874" s="720"/>
      <c r="H874" s="720"/>
      <c r="I874" s="720"/>
      <c r="J874" s="720"/>
    </row>
    <row r="875">
      <c r="D875" s="720"/>
      <c r="E875" s="720"/>
      <c r="F875" s="720"/>
      <c r="G875" s="720"/>
      <c r="H875" s="720"/>
      <c r="I875" s="720"/>
      <c r="J875" s="720"/>
    </row>
    <row r="876">
      <c r="D876" s="720"/>
      <c r="E876" s="720"/>
      <c r="F876" s="720"/>
      <c r="G876" s="720"/>
      <c r="H876" s="720"/>
      <c r="I876" s="720"/>
      <c r="J876" s="720"/>
    </row>
    <row r="877">
      <c r="D877" s="720"/>
      <c r="E877" s="720"/>
      <c r="F877" s="720"/>
      <c r="G877" s="720"/>
      <c r="H877" s="720"/>
      <c r="I877" s="720"/>
      <c r="J877" s="720"/>
    </row>
    <row r="878">
      <c r="D878" s="720"/>
      <c r="E878" s="720"/>
      <c r="F878" s="720"/>
      <c r="G878" s="720"/>
      <c r="H878" s="720"/>
      <c r="I878" s="720"/>
      <c r="J878" s="720"/>
    </row>
    <row r="879">
      <c r="D879" s="720"/>
      <c r="E879" s="720"/>
      <c r="F879" s="720"/>
      <c r="G879" s="720"/>
      <c r="H879" s="720"/>
      <c r="I879" s="720"/>
      <c r="J879" s="720"/>
    </row>
    <row r="880">
      <c r="D880" s="720"/>
      <c r="E880" s="720"/>
      <c r="F880" s="720"/>
      <c r="G880" s="720"/>
      <c r="H880" s="720"/>
      <c r="I880" s="720"/>
      <c r="J880" s="720"/>
    </row>
    <row r="881">
      <c r="D881" s="720"/>
      <c r="E881" s="720"/>
      <c r="F881" s="720"/>
      <c r="G881" s="720"/>
      <c r="H881" s="720"/>
      <c r="I881" s="720"/>
      <c r="J881" s="720"/>
    </row>
    <row r="882">
      <c r="D882" s="720"/>
      <c r="E882" s="720"/>
      <c r="F882" s="720"/>
      <c r="G882" s="720"/>
      <c r="H882" s="720"/>
      <c r="I882" s="720"/>
      <c r="J882" s="720"/>
    </row>
    <row r="883">
      <c r="D883" s="720"/>
      <c r="E883" s="720"/>
      <c r="F883" s="720"/>
      <c r="G883" s="720"/>
      <c r="H883" s="720"/>
      <c r="I883" s="720"/>
      <c r="J883" s="720"/>
    </row>
    <row r="884">
      <c r="D884" s="720"/>
      <c r="E884" s="720"/>
      <c r="F884" s="720"/>
      <c r="G884" s="720"/>
      <c r="H884" s="720"/>
      <c r="I884" s="720"/>
      <c r="J884" s="720"/>
    </row>
    <row r="885">
      <c r="D885" s="720"/>
      <c r="E885" s="720"/>
      <c r="F885" s="720"/>
      <c r="G885" s="720"/>
      <c r="H885" s="720"/>
      <c r="I885" s="720"/>
      <c r="J885" s="720"/>
    </row>
    <row r="886">
      <c r="D886" s="720"/>
      <c r="E886" s="720"/>
      <c r="F886" s="720"/>
      <c r="G886" s="720"/>
      <c r="H886" s="720"/>
      <c r="I886" s="720"/>
      <c r="J886" s="720"/>
    </row>
    <row r="887">
      <c r="D887" s="720"/>
      <c r="E887" s="720"/>
      <c r="F887" s="720"/>
      <c r="G887" s="720"/>
      <c r="H887" s="720"/>
      <c r="I887" s="720"/>
      <c r="J887" s="720"/>
    </row>
    <row r="888">
      <c r="D888" s="720"/>
      <c r="E888" s="720"/>
      <c r="F888" s="720"/>
      <c r="G888" s="720"/>
      <c r="H888" s="720"/>
      <c r="I888" s="720"/>
      <c r="J888" s="720"/>
    </row>
    <row r="889">
      <c r="D889" s="720"/>
      <c r="E889" s="720"/>
      <c r="F889" s="720"/>
      <c r="G889" s="720"/>
      <c r="H889" s="720"/>
      <c r="I889" s="720"/>
      <c r="J889" s="720"/>
    </row>
    <row r="890">
      <c r="D890" s="720"/>
      <c r="E890" s="720"/>
      <c r="F890" s="720"/>
      <c r="G890" s="720"/>
      <c r="H890" s="720"/>
      <c r="I890" s="720"/>
      <c r="J890" s="720"/>
    </row>
    <row r="891">
      <c r="D891" s="720"/>
      <c r="E891" s="720"/>
      <c r="F891" s="720"/>
      <c r="G891" s="720"/>
      <c r="H891" s="720"/>
      <c r="I891" s="720"/>
      <c r="J891" s="720"/>
    </row>
    <row r="892">
      <c r="D892" s="720"/>
      <c r="E892" s="720"/>
      <c r="F892" s="720"/>
      <c r="G892" s="720"/>
      <c r="H892" s="720"/>
      <c r="I892" s="720"/>
      <c r="J892" s="720"/>
    </row>
    <row r="893">
      <c r="D893" s="720"/>
      <c r="E893" s="720"/>
      <c r="F893" s="720"/>
      <c r="G893" s="720"/>
      <c r="H893" s="720"/>
      <c r="I893" s="720"/>
      <c r="J893" s="720"/>
    </row>
    <row r="894">
      <c r="D894" s="720"/>
      <c r="E894" s="720"/>
      <c r="F894" s="720"/>
      <c r="G894" s="720"/>
      <c r="H894" s="720"/>
      <c r="I894" s="720"/>
      <c r="J894" s="720"/>
    </row>
    <row r="895">
      <c r="D895" s="720"/>
      <c r="E895" s="720"/>
      <c r="F895" s="720"/>
      <c r="G895" s="720"/>
      <c r="H895" s="720"/>
      <c r="I895" s="720"/>
      <c r="J895" s="720"/>
    </row>
    <row r="896">
      <c r="D896" s="720"/>
      <c r="E896" s="720"/>
      <c r="F896" s="720"/>
      <c r="G896" s="720"/>
      <c r="H896" s="720"/>
      <c r="I896" s="720"/>
      <c r="J896" s="720"/>
    </row>
    <row r="897">
      <c r="D897" s="720"/>
      <c r="E897" s="720"/>
      <c r="F897" s="720"/>
      <c r="G897" s="720"/>
      <c r="H897" s="720"/>
      <c r="I897" s="720"/>
      <c r="J897" s="720"/>
    </row>
    <row r="898">
      <c r="D898" s="720"/>
      <c r="E898" s="720"/>
      <c r="F898" s="720"/>
      <c r="G898" s="720"/>
      <c r="H898" s="720"/>
      <c r="I898" s="720"/>
      <c r="J898" s="720"/>
    </row>
    <row r="899">
      <c r="D899" s="720"/>
      <c r="E899" s="720"/>
      <c r="F899" s="720"/>
      <c r="G899" s="720"/>
      <c r="H899" s="720"/>
      <c r="I899" s="720"/>
      <c r="J899" s="720"/>
    </row>
    <row r="900">
      <c r="D900" s="720"/>
      <c r="E900" s="720"/>
      <c r="F900" s="720"/>
      <c r="G900" s="720"/>
      <c r="H900" s="720"/>
      <c r="I900" s="720"/>
      <c r="J900" s="720"/>
    </row>
    <row r="901">
      <c r="D901" s="720"/>
      <c r="E901" s="720"/>
      <c r="F901" s="720"/>
      <c r="G901" s="720"/>
      <c r="H901" s="720"/>
      <c r="I901" s="720"/>
      <c r="J901" s="720"/>
    </row>
    <row r="902">
      <c r="D902" s="720"/>
      <c r="E902" s="720"/>
      <c r="F902" s="720"/>
      <c r="G902" s="720"/>
      <c r="H902" s="720"/>
      <c r="I902" s="720"/>
      <c r="J902" s="720"/>
    </row>
    <row r="903">
      <c r="D903" s="720"/>
      <c r="E903" s="720"/>
      <c r="F903" s="720"/>
      <c r="G903" s="720"/>
      <c r="H903" s="720"/>
      <c r="I903" s="720"/>
      <c r="J903" s="720"/>
    </row>
    <row r="904">
      <c r="D904" s="720"/>
      <c r="E904" s="720"/>
      <c r="F904" s="720"/>
      <c r="G904" s="720"/>
      <c r="H904" s="720"/>
      <c r="I904" s="720"/>
      <c r="J904" s="720"/>
    </row>
    <row r="905">
      <c r="D905" s="720"/>
      <c r="E905" s="720"/>
      <c r="F905" s="720"/>
      <c r="G905" s="720"/>
      <c r="H905" s="720"/>
      <c r="I905" s="720"/>
      <c r="J905" s="720"/>
    </row>
    <row r="906">
      <c r="D906" s="720"/>
      <c r="E906" s="720"/>
      <c r="F906" s="720"/>
      <c r="G906" s="720"/>
      <c r="H906" s="720"/>
      <c r="I906" s="720"/>
      <c r="J906" s="720"/>
    </row>
    <row r="907">
      <c r="D907" s="720"/>
      <c r="E907" s="720"/>
      <c r="F907" s="720"/>
      <c r="G907" s="720"/>
      <c r="H907" s="720"/>
      <c r="I907" s="720"/>
      <c r="J907" s="720"/>
    </row>
    <row r="908">
      <c r="D908" s="720"/>
      <c r="E908" s="720"/>
      <c r="F908" s="720"/>
      <c r="G908" s="720"/>
      <c r="H908" s="720"/>
      <c r="I908" s="720"/>
      <c r="J908" s="720"/>
    </row>
    <row r="909">
      <c r="D909" s="720"/>
      <c r="E909" s="720"/>
      <c r="F909" s="720"/>
      <c r="G909" s="720"/>
      <c r="H909" s="720"/>
      <c r="I909" s="720"/>
      <c r="J909" s="720"/>
    </row>
    <row r="910">
      <c r="D910" s="720"/>
      <c r="E910" s="720"/>
      <c r="F910" s="720"/>
      <c r="G910" s="720"/>
      <c r="H910" s="720"/>
      <c r="I910" s="720"/>
      <c r="J910" s="720"/>
    </row>
    <row r="911">
      <c r="D911" s="720"/>
      <c r="E911" s="720"/>
      <c r="F911" s="720"/>
      <c r="G911" s="720"/>
      <c r="H911" s="720"/>
      <c r="I911" s="720"/>
      <c r="J911" s="720"/>
    </row>
    <row r="912">
      <c r="D912" s="720"/>
      <c r="E912" s="720"/>
      <c r="F912" s="720"/>
      <c r="G912" s="720"/>
      <c r="H912" s="720"/>
      <c r="I912" s="720"/>
      <c r="J912" s="720"/>
    </row>
    <row r="913">
      <c r="D913" s="720"/>
      <c r="E913" s="720"/>
      <c r="F913" s="720"/>
      <c r="G913" s="720"/>
      <c r="H913" s="720"/>
      <c r="I913" s="720"/>
      <c r="J913" s="720"/>
    </row>
    <row r="914">
      <c r="D914" s="720"/>
      <c r="E914" s="720"/>
      <c r="F914" s="720"/>
      <c r="G914" s="720"/>
      <c r="H914" s="720"/>
      <c r="I914" s="720"/>
      <c r="J914" s="720"/>
    </row>
    <row r="915">
      <c r="D915" s="720"/>
      <c r="E915" s="720"/>
      <c r="F915" s="720"/>
      <c r="G915" s="720"/>
      <c r="H915" s="720"/>
      <c r="I915" s="720"/>
      <c r="J915" s="720"/>
    </row>
    <row r="916">
      <c r="D916" s="720"/>
      <c r="E916" s="720"/>
      <c r="F916" s="720"/>
      <c r="G916" s="720"/>
      <c r="H916" s="720"/>
      <c r="I916" s="720"/>
      <c r="J916" s="720"/>
    </row>
    <row r="917">
      <c r="D917" s="720"/>
      <c r="E917" s="720"/>
      <c r="F917" s="720"/>
      <c r="G917" s="720"/>
      <c r="H917" s="720"/>
      <c r="I917" s="720"/>
      <c r="J917" s="720"/>
    </row>
    <row r="918">
      <c r="D918" s="720"/>
      <c r="E918" s="720"/>
      <c r="F918" s="720"/>
      <c r="G918" s="720"/>
      <c r="H918" s="720"/>
      <c r="I918" s="720"/>
      <c r="J918" s="720"/>
    </row>
    <row r="919">
      <c r="D919" s="720"/>
      <c r="E919" s="720"/>
      <c r="F919" s="720"/>
      <c r="G919" s="720"/>
      <c r="H919" s="720"/>
      <c r="I919" s="720"/>
      <c r="J919" s="720"/>
    </row>
    <row r="920">
      <c r="D920" s="720"/>
      <c r="E920" s="720"/>
      <c r="F920" s="720"/>
      <c r="G920" s="720"/>
      <c r="H920" s="720"/>
      <c r="I920" s="720"/>
      <c r="J920" s="720"/>
    </row>
    <row r="921">
      <c r="D921" s="720"/>
      <c r="E921" s="720"/>
      <c r="F921" s="720"/>
      <c r="G921" s="720"/>
      <c r="H921" s="720"/>
      <c r="I921" s="720"/>
      <c r="J921" s="720"/>
    </row>
    <row r="922">
      <c r="D922" s="720"/>
      <c r="E922" s="720"/>
      <c r="F922" s="720"/>
      <c r="G922" s="720"/>
      <c r="H922" s="720"/>
      <c r="I922" s="720"/>
      <c r="J922" s="720"/>
    </row>
    <row r="923">
      <c r="D923" s="720"/>
      <c r="E923" s="720"/>
      <c r="F923" s="720"/>
      <c r="G923" s="720"/>
      <c r="H923" s="720"/>
      <c r="I923" s="720"/>
      <c r="J923" s="720"/>
    </row>
    <row r="924">
      <c r="D924" s="720"/>
      <c r="E924" s="720"/>
      <c r="F924" s="720"/>
      <c r="G924" s="720"/>
      <c r="H924" s="720"/>
      <c r="I924" s="720"/>
      <c r="J924" s="720"/>
    </row>
    <row r="925">
      <c r="D925" s="720"/>
      <c r="E925" s="720"/>
      <c r="F925" s="720"/>
      <c r="G925" s="720"/>
      <c r="H925" s="720"/>
      <c r="I925" s="720"/>
      <c r="J925" s="720"/>
    </row>
    <row r="926">
      <c r="D926" s="720"/>
      <c r="E926" s="720"/>
      <c r="F926" s="720"/>
      <c r="G926" s="720"/>
      <c r="H926" s="720"/>
      <c r="I926" s="720"/>
      <c r="J926" s="720"/>
    </row>
    <row r="927">
      <c r="D927" s="720"/>
      <c r="E927" s="720"/>
      <c r="F927" s="720"/>
      <c r="G927" s="720"/>
      <c r="H927" s="720"/>
      <c r="I927" s="720"/>
      <c r="J927" s="720"/>
    </row>
    <row r="928">
      <c r="D928" s="720"/>
      <c r="E928" s="720"/>
      <c r="F928" s="720"/>
      <c r="G928" s="720"/>
      <c r="H928" s="720"/>
      <c r="I928" s="720"/>
      <c r="J928" s="720"/>
    </row>
    <row r="929">
      <c r="D929" s="720"/>
      <c r="E929" s="720"/>
      <c r="F929" s="720"/>
      <c r="G929" s="720"/>
      <c r="H929" s="720"/>
      <c r="I929" s="720"/>
      <c r="J929" s="720"/>
    </row>
    <row r="930">
      <c r="D930" s="720"/>
      <c r="E930" s="720"/>
      <c r="F930" s="720"/>
      <c r="G930" s="720"/>
      <c r="H930" s="720"/>
      <c r="I930" s="720"/>
      <c r="J930" s="720"/>
    </row>
    <row r="931">
      <c r="D931" s="720"/>
      <c r="E931" s="720"/>
      <c r="F931" s="720"/>
      <c r="G931" s="720"/>
      <c r="H931" s="720"/>
      <c r="I931" s="720"/>
      <c r="J931" s="720"/>
    </row>
    <row r="932">
      <c r="D932" s="720"/>
      <c r="E932" s="720"/>
      <c r="F932" s="720"/>
      <c r="G932" s="720"/>
      <c r="H932" s="720"/>
      <c r="I932" s="720"/>
      <c r="J932" s="720"/>
    </row>
    <row r="933">
      <c r="D933" s="720"/>
      <c r="E933" s="720"/>
      <c r="F933" s="720"/>
      <c r="G933" s="720"/>
      <c r="H933" s="720"/>
      <c r="I933" s="720"/>
      <c r="J933" s="720"/>
    </row>
    <row r="934">
      <c r="D934" s="720"/>
      <c r="E934" s="720"/>
      <c r="F934" s="720"/>
      <c r="G934" s="720"/>
      <c r="H934" s="720"/>
      <c r="I934" s="720"/>
      <c r="J934" s="720"/>
    </row>
    <row r="935">
      <c r="D935" s="720"/>
      <c r="E935" s="720"/>
      <c r="F935" s="720"/>
      <c r="G935" s="720"/>
      <c r="H935" s="720"/>
      <c r="I935" s="720"/>
      <c r="J935" s="720"/>
    </row>
    <row r="936">
      <c r="D936" s="720"/>
      <c r="E936" s="720"/>
      <c r="F936" s="720"/>
      <c r="G936" s="720"/>
      <c r="H936" s="720"/>
      <c r="I936" s="720"/>
      <c r="J936" s="720"/>
    </row>
    <row r="937">
      <c r="D937" s="720"/>
      <c r="E937" s="720"/>
      <c r="F937" s="720"/>
      <c r="G937" s="720"/>
      <c r="H937" s="720"/>
      <c r="I937" s="720"/>
      <c r="J937" s="720"/>
    </row>
    <row r="938">
      <c r="D938" s="720"/>
      <c r="E938" s="720"/>
      <c r="F938" s="720"/>
      <c r="G938" s="720"/>
      <c r="H938" s="720"/>
      <c r="I938" s="720"/>
      <c r="J938" s="720"/>
    </row>
    <row r="939">
      <c r="D939" s="720"/>
      <c r="E939" s="720"/>
      <c r="F939" s="720"/>
      <c r="G939" s="720"/>
      <c r="H939" s="720"/>
      <c r="I939" s="720"/>
      <c r="J939" s="720"/>
    </row>
    <row r="940">
      <c r="D940" s="720"/>
      <c r="E940" s="720"/>
      <c r="F940" s="720"/>
      <c r="G940" s="720"/>
      <c r="H940" s="720"/>
      <c r="I940" s="720"/>
      <c r="J940" s="720"/>
    </row>
    <row r="941">
      <c r="D941" s="720"/>
      <c r="E941" s="720"/>
      <c r="F941" s="720"/>
      <c r="G941" s="720"/>
      <c r="H941" s="720"/>
      <c r="I941" s="720"/>
      <c r="J941" s="720"/>
    </row>
    <row r="942">
      <c r="D942" s="720"/>
      <c r="E942" s="720"/>
      <c r="F942" s="720"/>
      <c r="G942" s="720"/>
      <c r="H942" s="720"/>
      <c r="I942" s="720"/>
      <c r="J942" s="720"/>
    </row>
    <row r="943">
      <c r="D943" s="720"/>
      <c r="E943" s="720"/>
      <c r="F943" s="720"/>
      <c r="G943" s="720"/>
      <c r="H943" s="720"/>
      <c r="I943" s="720"/>
      <c r="J943" s="720"/>
    </row>
    <row r="944">
      <c r="D944" s="720"/>
      <c r="E944" s="720"/>
      <c r="F944" s="720"/>
      <c r="G944" s="720"/>
      <c r="H944" s="720"/>
      <c r="I944" s="720"/>
      <c r="J944" s="720"/>
    </row>
    <row r="945">
      <c r="D945" s="720"/>
      <c r="E945" s="720"/>
      <c r="F945" s="720"/>
      <c r="G945" s="720"/>
      <c r="H945" s="720"/>
      <c r="I945" s="720"/>
      <c r="J945" s="720"/>
    </row>
    <row r="946">
      <c r="D946" s="720"/>
      <c r="E946" s="720"/>
      <c r="F946" s="720"/>
      <c r="G946" s="720"/>
      <c r="H946" s="720"/>
      <c r="I946" s="720"/>
      <c r="J946" s="720"/>
    </row>
    <row r="947">
      <c r="D947" s="720"/>
      <c r="E947" s="720"/>
      <c r="F947" s="720"/>
      <c r="G947" s="720"/>
      <c r="H947" s="720"/>
      <c r="I947" s="720"/>
      <c r="J947" s="720"/>
    </row>
    <row r="948">
      <c r="D948" s="720"/>
      <c r="E948" s="720"/>
      <c r="F948" s="720"/>
      <c r="G948" s="720"/>
      <c r="H948" s="720"/>
      <c r="I948" s="720"/>
      <c r="J948" s="720"/>
    </row>
    <row r="949">
      <c r="D949" s="720"/>
      <c r="E949" s="720"/>
      <c r="F949" s="720"/>
      <c r="G949" s="720"/>
      <c r="H949" s="720"/>
      <c r="I949" s="720"/>
      <c r="J949" s="720"/>
    </row>
    <row r="950">
      <c r="D950" s="720"/>
      <c r="E950" s="720"/>
      <c r="F950" s="720"/>
      <c r="G950" s="720"/>
      <c r="H950" s="720"/>
      <c r="I950" s="720"/>
      <c r="J950" s="720"/>
    </row>
    <row r="951">
      <c r="D951" s="720"/>
      <c r="E951" s="720"/>
      <c r="F951" s="720"/>
      <c r="G951" s="720"/>
      <c r="H951" s="720"/>
      <c r="I951" s="720"/>
      <c r="J951" s="720"/>
    </row>
    <row r="952">
      <c r="D952" s="720"/>
      <c r="E952" s="720"/>
      <c r="F952" s="720"/>
      <c r="G952" s="720"/>
      <c r="H952" s="720"/>
      <c r="I952" s="720"/>
      <c r="J952" s="720"/>
    </row>
    <row r="953">
      <c r="D953" s="720"/>
      <c r="E953" s="720"/>
      <c r="F953" s="720"/>
      <c r="G953" s="720"/>
      <c r="H953" s="720"/>
      <c r="I953" s="720"/>
      <c r="J953" s="720"/>
    </row>
    <row r="954">
      <c r="D954" s="720"/>
      <c r="E954" s="720"/>
      <c r="F954" s="720"/>
      <c r="G954" s="720"/>
      <c r="H954" s="720"/>
      <c r="I954" s="720"/>
      <c r="J954" s="720"/>
    </row>
    <row r="955">
      <c r="D955" s="720"/>
      <c r="E955" s="720"/>
      <c r="F955" s="720"/>
      <c r="G955" s="720"/>
      <c r="H955" s="720"/>
      <c r="I955" s="720"/>
      <c r="J955" s="720"/>
    </row>
    <row r="956">
      <c r="D956" s="720"/>
      <c r="E956" s="720"/>
      <c r="F956" s="720"/>
      <c r="G956" s="720"/>
      <c r="H956" s="720"/>
      <c r="I956" s="720"/>
      <c r="J956" s="720"/>
    </row>
    <row r="957">
      <c r="D957" s="720"/>
      <c r="E957" s="720"/>
      <c r="F957" s="720"/>
      <c r="G957" s="720"/>
      <c r="H957" s="720"/>
      <c r="I957" s="720"/>
      <c r="J957" s="720"/>
    </row>
    <row r="958">
      <c r="D958" s="720"/>
      <c r="E958" s="720"/>
      <c r="F958" s="720"/>
      <c r="G958" s="720"/>
      <c r="H958" s="720"/>
      <c r="I958" s="720"/>
      <c r="J958" s="720"/>
    </row>
    <row r="959">
      <c r="D959" s="720"/>
      <c r="E959" s="720"/>
      <c r="F959" s="720"/>
      <c r="G959" s="720"/>
      <c r="H959" s="720"/>
      <c r="I959" s="720"/>
      <c r="J959" s="720"/>
    </row>
    <row r="960">
      <c r="D960" s="720"/>
      <c r="E960" s="720"/>
      <c r="F960" s="720"/>
      <c r="G960" s="720"/>
      <c r="H960" s="720"/>
      <c r="I960" s="720"/>
      <c r="J960" s="720"/>
    </row>
    <row r="961">
      <c r="D961" s="720"/>
      <c r="E961" s="720"/>
      <c r="F961" s="720"/>
      <c r="G961" s="720"/>
      <c r="H961" s="720"/>
      <c r="I961" s="720"/>
      <c r="J961" s="720"/>
    </row>
    <row r="962">
      <c r="D962" s="720"/>
      <c r="E962" s="720"/>
      <c r="F962" s="720"/>
      <c r="G962" s="720"/>
      <c r="H962" s="720"/>
      <c r="I962" s="720"/>
      <c r="J962" s="720"/>
    </row>
    <row r="963">
      <c r="D963" s="720"/>
      <c r="E963" s="720"/>
      <c r="F963" s="720"/>
      <c r="G963" s="720"/>
      <c r="H963" s="720"/>
      <c r="I963" s="720"/>
      <c r="J963" s="720"/>
    </row>
    <row r="964">
      <c r="D964" s="720"/>
      <c r="E964" s="720"/>
      <c r="F964" s="720"/>
      <c r="G964" s="720"/>
      <c r="H964" s="720"/>
      <c r="I964" s="720"/>
      <c r="J964" s="720"/>
    </row>
    <row r="965">
      <c r="D965" s="720"/>
      <c r="E965" s="720"/>
      <c r="F965" s="720"/>
      <c r="G965" s="720"/>
      <c r="H965" s="720"/>
      <c r="I965" s="720"/>
      <c r="J965" s="720"/>
    </row>
    <row r="966">
      <c r="D966" s="720"/>
      <c r="E966" s="720"/>
      <c r="F966" s="720"/>
      <c r="G966" s="720"/>
      <c r="H966" s="720"/>
      <c r="I966" s="720"/>
      <c r="J966" s="720"/>
    </row>
    <row r="967">
      <c r="D967" s="720"/>
      <c r="E967" s="720"/>
      <c r="F967" s="720"/>
      <c r="G967" s="720"/>
      <c r="H967" s="720"/>
      <c r="I967" s="720"/>
      <c r="J967" s="720"/>
    </row>
    <row r="968">
      <c r="D968" s="720"/>
      <c r="E968" s="720"/>
      <c r="F968" s="720"/>
      <c r="G968" s="720"/>
      <c r="H968" s="720"/>
      <c r="I968" s="720"/>
      <c r="J968" s="720"/>
    </row>
    <row r="969">
      <c r="D969" s="720"/>
      <c r="E969" s="720"/>
      <c r="F969" s="720"/>
      <c r="G969" s="720"/>
      <c r="H969" s="720"/>
      <c r="I969" s="720"/>
      <c r="J969" s="720"/>
    </row>
    <row r="970">
      <c r="D970" s="720"/>
      <c r="E970" s="720"/>
      <c r="F970" s="720"/>
      <c r="G970" s="720"/>
      <c r="H970" s="720"/>
      <c r="I970" s="720"/>
      <c r="J970" s="720"/>
    </row>
    <row r="971">
      <c r="D971" s="720"/>
      <c r="E971" s="720"/>
      <c r="F971" s="720"/>
      <c r="G971" s="720"/>
      <c r="H971" s="720"/>
      <c r="I971" s="720"/>
      <c r="J971" s="720"/>
    </row>
    <row r="972">
      <c r="D972" s="720"/>
      <c r="E972" s="720"/>
      <c r="F972" s="720"/>
      <c r="G972" s="720"/>
      <c r="H972" s="720"/>
      <c r="I972" s="720"/>
      <c r="J972" s="720"/>
    </row>
    <row r="973">
      <c r="D973" s="720"/>
      <c r="E973" s="720"/>
      <c r="F973" s="720"/>
      <c r="G973" s="720"/>
      <c r="H973" s="720"/>
      <c r="I973" s="720"/>
      <c r="J973" s="720"/>
    </row>
    <row r="974">
      <c r="D974" s="720"/>
      <c r="E974" s="720"/>
      <c r="F974" s="720"/>
      <c r="G974" s="720"/>
      <c r="H974" s="720"/>
      <c r="I974" s="720"/>
      <c r="J974" s="720"/>
    </row>
    <row r="975">
      <c r="D975" s="720"/>
      <c r="E975" s="720"/>
      <c r="F975" s="720"/>
      <c r="G975" s="720"/>
      <c r="H975" s="720"/>
      <c r="I975" s="720"/>
      <c r="J975" s="720"/>
    </row>
    <row r="976">
      <c r="D976" s="720"/>
      <c r="E976" s="720"/>
      <c r="F976" s="720"/>
      <c r="G976" s="720"/>
      <c r="H976" s="720"/>
      <c r="I976" s="720"/>
      <c r="J976" s="720"/>
    </row>
    <row r="977">
      <c r="D977" s="720"/>
      <c r="E977" s="720"/>
      <c r="F977" s="720"/>
      <c r="G977" s="720"/>
      <c r="H977" s="720"/>
      <c r="I977" s="720"/>
      <c r="J977" s="720"/>
    </row>
    <row r="978">
      <c r="D978" s="720"/>
      <c r="E978" s="720"/>
      <c r="F978" s="720"/>
      <c r="G978" s="720"/>
      <c r="H978" s="720"/>
      <c r="I978" s="720"/>
      <c r="J978" s="720"/>
    </row>
    <row r="979">
      <c r="D979" s="720"/>
      <c r="E979" s="720"/>
      <c r="F979" s="720"/>
      <c r="G979" s="720"/>
      <c r="H979" s="720"/>
      <c r="I979" s="720"/>
      <c r="J979" s="720"/>
    </row>
    <row r="980">
      <c r="D980" s="720"/>
      <c r="E980" s="720"/>
      <c r="F980" s="720"/>
      <c r="G980" s="720"/>
      <c r="H980" s="720"/>
      <c r="I980" s="720"/>
      <c r="J980" s="720"/>
    </row>
    <row r="981">
      <c r="D981" s="720"/>
      <c r="E981" s="720"/>
      <c r="F981" s="720"/>
      <c r="G981" s="720"/>
      <c r="H981" s="720"/>
      <c r="I981" s="720"/>
      <c r="J981" s="720"/>
    </row>
    <row r="982">
      <c r="D982" s="720"/>
      <c r="E982" s="720"/>
      <c r="F982" s="720"/>
      <c r="G982" s="720"/>
      <c r="H982" s="720"/>
      <c r="I982" s="720"/>
      <c r="J982" s="720"/>
    </row>
    <row r="983">
      <c r="D983" s="720"/>
      <c r="E983" s="720"/>
      <c r="F983" s="720"/>
      <c r="G983" s="720"/>
      <c r="H983" s="720"/>
      <c r="I983" s="720"/>
      <c r="J983" s="720"/>
    </row>
    <row r="984">
      <c r="D984" s="720"/>
      <c r="E984" s="720"/>
      <c r="F984" s="720"/>
      <c r="G984" s="720"/>
      <c r="H984" s="720"/>
      <c r="I984" s="720"/>
      <c r="J984" s="720"/>
    </row>
    <row r="985">
      <c r="D985" s="720"/>
      <c r="E985" s="720"/>
      <c r="F985" s="720"/>
      <c r="G985" s="720"/>
      <c r="H985" s="720"/>
      <c r="I985" s="720"/>
      <c r="J985" s="720"/>
    </row>
    <row r="986">
      <c r="D986" s="720"/>
      <c r="E986" s="720"/>
      <c r="F986" s="720"/>
      <c r="G986" s="720"/>
      <c r="H986" s="720"/>
      <c r="I986" s="720"/>
      <c r="J986" s="72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hidden="1" min="1" max="1" width="5.71"/>
    <col customWidth="1" min="3" max="3" width="38.57"/>
    <col customWidth="1" min="4" max="4" width="29.71"/>
  </cols>
  <sheetData>
    <row r="1">
      <c r="A1" s="742">
        <v>1.0</v>
      </c>
      <c r="I1" s="743"/>
      <c r="J1" s="744"/>
      <c r="K1" s="745" t="s">
        <v>9846</v>
      </c>
    </row>
    <row r="2">
      <c r="A2" s="746" t="s">
        <v>9794</v>
      </c>
      <c r="B2" s="747" t="s">
        <v>9773</v>
      </c>
      <c r="C2" s="747" t="s">
        <v>2743</v>
      </c>
      <c r="D2" s="747" t="s">
        <v>9791</v>
      </c>
      <c r="E2" s="748" t="s">
        <v>9847</v>
      </c>
      <c r="F2" s="749" t="s">
        <v>9848</v>
      </c>
      <c r="G2" s="750" t="s">
        <v>9849</v>
      </c>
      <c r="H2" s="751" t="s">
        <v>9850</v>
      </c>
      <c r="I2" s="751" t="s">
        <v>9851</v>
      </c>
      <c r="J2" s="752" t="s">
        <v>9852</v>
      </c>
      <c r="K2" s="753" t="s">
        <v>9853</v>
      </c>
      <c r="L2" s="753" t="s">
        <v>9854</v>
      </c>
      <c r="M2" s="754" t="s">
        <v>9855</v>
      </c>
      <c r="N2" s="753" t="s">
        <v>9856</v>
      </c>
      <c r="O2" s="753" t="s">
        <v>9857</v>
      </c>
      <c r="P2" s="753" t="s">
        <v>9858</v>
      </c>
    </row>
    <row r="3" hidden="1">
      <c r="A3" s="548">
        <v>1.0</v>
      </c>
      <c r="B3" s="755">
        <v>45913.0</v>
      </c>
      <c r="C3" s="548" t="s">
        <v>9859</v>
      </c>
      <c r="E3" s="756">
        <v>500000.0</v>
      </c>
      <c r="F3" s="757"/>
      <c r="G3" s="757">
        <f>E3-F3</f>
        <v>500000</v>
      </c>
      <c r="H3" s="548" t="s">
        <v>3191</v>
      </c>
      <c r="I3" s="548" t="s">
        <v>9860</v>
      </c>
      <c r="J3" s="548" t="s">
        <v>3191</v>
      </c>
      <c r="K3" s="757"/>
      <c r="L3" s="757"/>
      <c r="M3" s="757"/>
      <c r="N3" s="757"/>
      <c r="O3" s="757"/>
      <c r="P3" s="757"/>
    </row>
    <row r="4" hidden="1">
      <c r="A4" s="548">
        <v>2.0</v>
      </c>
      <c r="B4" s="755">
        <v>45913.0</v>
      </c>
      <c r="C4" s="548" t="s">
        <v>9861</v>
      </c>
      <c r="D4" s="548" t="s">
        <v>9862</v>
      </c>
      <c r="E4" s="757"/>
      <c r="F4" s="756">
        <v>48000.0</v>
      </c>
      <c r="G4" s="757">
        <f t="shared" ref="G4:G178" si="1">G3+E4-F4</f>
        <v>452000</v>
      </c>
      <c r="H4" s="548" t="s">
        <v>9863</v>
      </c>
      <c r="I4" s="548" t="s">
        <v>9864</v>
      </c>
      <c r="K4" s="757"/>
      <c r="L4" s="756">
        <v>48000.0</v>
      </c>
      <c r="M4" s="757"/>
      <c r="N4" s="757"/>
      <c r="O4" s="757"/>
      <c r="P4" s="757"/>
    </row>
    <row r="5" hidden="1">
      <c r="A5" s="548">
        <v>3.0</v>
      </c>
      <c r="B5" s="755">
        <v>45918.0</v>
      </c>
      <c r="C5" s="548" t="s">
        <v>9865</v>
      </c>
      <c r="D5" s="548" t="s">
        <v>9866</v>
      </c>
      <c r="E5" s="757"/>
      <c r="F5" s="756">
        <v>6000.0</v>
      </c>
      <c r="G5" s="757">
        <f t="shared" si="1"/>
        <v>446000</v>
      </c>
      <c r="H5" s="548" t="s">
        <v>9863</v>
      </c>
      <c r="I5" s="548" t="s">
        <v>9867</v>
      </c>
      <c r="K5" s="757"/>
      <c r="L5" s="757"/>
      <c r="M5" s="757"/>
      <c r="N5" s="756">
        <v>6000.0</v>
      </c>
      <c r="O5" s="757"/>
      <c r="P5" s="757"/>
    </row>
    <row r="6" hidden="1">
      <c r="A6" s="548">
        <v>4.0</v>
      </c>
      <c r="B6" s="755">
        <v>45918.0</v>
      </c>
      <c r="C6" s="548" t="s">
        <v>9868</v>
      </c>
      <c r="D6" s="548" t="s">
        <v>9869</v>
      </c>
      <c r="E6" s="757"/>
      <c r="F6" s="756">
        <v>20000.0</v>
      </c>
      <c r="G6" s="757">
        <f t="shared" si="1"/>
        <v>426000</v>
      </c>
      <c r="H6" s="548" t="s">
        <v>9863</v>
      </c>
      <c r="I6" s="548" t="s">
        <v>9867</v>
      </c>
      <c r="K6" s="757"/>
      <c r="L6" s="757"/>
      <c r="M6" s="757"/>
      <c r="N6" s="756">
        <v>20000.0</v>
      </c>
      <c r="O6" s="757"/>
      <c r="P6" s="757"/>
    </row>
    <row r="7" hidden="1">
      <c r="A7" s="548">
        <v>5.0</v>
      </c>
      <c r="B7" s="755">
        <v>45923.0</v>
      </c>
      <c r="C7" s="548" t="s">
        <v>9870</v>
      </c>
      <c r="D7" s="548" t="s">
        <v>9871</v>
      </c>
      <c r="E7" s="757"/>
      <c r="F7" s="756">
        <v>9000.0</v>
      </c>
      <c r="G7" s="757">
        <f t="shared" si="1"/>
        <v>417000</v>
      </c>
      <c r="H7" s="548" t="s">
        <v>9863</v>
      </c>
      <c r="I7" s="548" t="s">
        <v>9872</v>
      </c>
      <c r="K7" s="756">
        <v>9000.0</v>
      </c>
      <c r="L7" s="757"/>
      <c r="M7" s="757"/>
      <c r="N7" s="757"/>
      <c r="O7" s="757"/>
      <c r="P7" s="757"/>
    </row>
    <row r="8" hidden="1">
      <c r="A8" s="548">
        <v>6.0</v>
      </c>
      <c r="B8" s="755">
        <v>45923.0</v>
      </c>
      <c r="C8" s="548" t="s">
        <v>9873</v>
      </c>
      <c r="D8" s="548" t="s">
        <v>9874</v>
      </c>
      <c r="E8" s="757"/>
      <c r="F8" s="756">
        <v>17900.0</v>
      </c>
      <c r="G8" s="757">
        <f t="shared" si="1"/>
        <v>399100</v>
      </c>
      <c r="H8" s="548" t="s">
        <v>9863</v>
      </c>
      <c r="I8" s="548" t="s">
        <v>9872</v>
      </c>
      <c r="K8" s="757"/>
      <c r="L8" s="757"/>
      <c r="M8" s="757"/>
      <c r="N8" s="757"/>
      <c r="O8" s="756">
        <v>17900.0</v>
      </c>
      <c r="P8" s="757"/>
    </row>
    <row r="9" hidden="1">
      <c r="A9" s="548">
        <v>7.0</v>
      </c>
      <c r="B9" s="755">
        <v>45923.0</v>
      </c>
      <c r="C9" s="548" t="s">
        <v>9873</v>
      </c>
      <c r="D9" s="548" t="s">
        <v>9875</v>
      </c>
      <c r="E9" s="757"/>
      <c r="F9" s="756">
        <v>19000.0</v>
      </c>
      <c r="G9" s="757">
        <f t="shared" si="1"/>
        <v>380100</v>
      </c>
      <c r="H9" s="548" t="s">
        <v>9863</v>
      </c>
      <c r="I9" s="548" t="s">
        <v>9872</v>
      </c>
      <c r="K9" s="757"/>
      <c r="L9" s="757"/>
      <c r="M9" s="757"/>
      <c r="N9" s="757"/>
      <c r="O9" s="756">
        <v>19000.0</v>
      </c>
      <c r="P9" s="757"/>
    </row>
    <row r="10" hidden="1">
      <c r="A10" s="548">
        <v>8.0</v>
      </c>
      <c r="B10" s="755">
        <v>45924.0</v>
      </c>
      <c r="C10" s="548" t="s">
        <v>9876</v>
      </c>
      <c r="D10" s="548" t="s">
        <v>9877</v>
      </c>
      <c r="E10" s="757"/>
      <c r="F10" s="756">
        <v>300000.0</v>
      </c>
      <c r="G10" s="757">
        <f t="shared" si="1"/>
        <v>80100</v>
      </c>
      <c r="H10" s="548" t="s">
        <v>9863</v>
      </c>
      <c r="I10" s="548" t="s">
        <v>9867</v>
      </c>
      <c r="K10" s="756">
        <v>300000.0</v>
      </c>
      <c r="L10" s="757"/>
      <c r="M10" s="757"/>
      <c r="N10" s="757"/>
      <c r="O10" s="757"/>
      <c r="P10" s="757"/>
    </row>
    <row r="11" hidden="1">
      <c r="A11" s="548">
        <v>9.0</v>
      </c>
      <c r="B11" s="755">
        <v>45924.0</v>
      </c>
      <c r="C11" s="548" t="s">
        <v>9878</v>
      </c>
      <c r="E11" s="756">
        <v>500000.0</v>
      </c>
      <c r="F11" s="757"/>
      <c r="G11" s="757">
        <f t="shared" si="1"/>
        <v>580100</v>
      </c>
      <c r="H11" s="548" t="s">
        <v>9863</v>
      </c>
      <c r="I11" s="548" t="s">
        <v>9863</v>
      </c>
      <c r="K11" s="757"/>
      <c r="L11" s="757"/>
      <c r="M11" s="757"/>
      <c r="N11" s="757"/>
      <c r="O11" s="757"/>
      <c r="P11" s="757"/>
    </row>
    <row r="12" hidden="1">
      <c r="A12" s="548">
        <v>10.0</v>
      </c>
      <c r="B12" s="755">
        <v>45924.0</v>
      </c>
      <c r="C12" s="548" t="s">
        <v>9879</v>
      </c>
      <c r="D12" s="548" t="s">
        <v>9880</v>
      </c>
      <c r="E12" s="757"/>
      <c r="F12" s="756">
        <v>30000.0</v>
      </c>
      <c r="G12" s="757">
        <f t="shared" si="1"/>
        <v>550100</v>
      </c>
      <c r="H12" s="548" t="s">
        <v>9863</v>
      </c>
      <c r="I12" s="548" t="s">
        <v>9881</v>
      </c>
      <c r="K12" s="756">
        <v>30000.0</v>
      </c>
      <c r="L12" s="757"/>
      <c r="M12" s="757"/>
      <c r="N12" s="757"/>
      <c r="O12" s="757"/>
      <c r="P12" s="757"/>
    </row>
    <row r="13" hidden="1">
      <c r="A13" s="548">
        <v>11.0</v>
      </c>
      <c r="B13" s="755">
        <v>45924.0</v>
      </c>
      <c r="C13" s="548" t="s">
        <v>9882</v>
      </c>
      <c r="D13" s="548" t="s">
        <v>9883</v>
      </c>
      <c r="E13" s="757"/>
      <c r="F13" s="756">
        <v>32000.0</v>
      </c>
      <c r="G13" s="757">
        <f t="shared" si="1"/>
        <v>518100</v>
      </c>
      <c r="H13" s="548" t="s">
        <v>9863</v>
      </c>
      <c r="I13" s="548" t="s">
        <v>9884</v>
      </c>
      <c r="K13" s="756">
        <v>32000.0</v>
      </c>
      <c r="L13" s="757"/>
      <c r="M13" s="757"/>
      <c r="N13" s="757"/>
      <c r="O13" s="757"/>
      <c r="P13" s="757"/>
    </row>
    <row r="14" hidden="1">
      <c r="A14" s="548">
        <v>12.0</v>
      </c>
      <c r="B14" s="755">
        <v>45924.0</v>
      </c>
      <c r="C14" s="548" t="s">
        <v>9885</v>
      </c>
      <c r="D14" s="548" t="s">
        <v>9886</v>
      </c>
      <c r="E14" s="757"/>
      <c r="F14" s="756">
        <v>52000.0</v>
      </c>
      <c r="G14" s="757">
        <f t="shared" si="1"/>
        <v>466100</v>
      </c>
      <c r="H14" s="548" t="s">
        <v>9863</v>
      </c>
      <c r="I14" s="548" t="s">
        <v>9887</v>
      </c>
      <c r="K14" s="757"/>
      <c r="L14" s="757"/>
      <c r="M14" s="756">
        <v>52000.0</v>
      </c>
      <c r="N14" s="757"/>
      <c r="O14" s="757"/>
      <c r="P14" s="757"/>
    </row>
    <row r="15" hidden="1">
      <c r="A15" s="548">
        <v>13.0</v>
      </c>
      <c r="B15" s="755">
        <v>45925.0</v>
      </c>
      <c r="C15" s="548" t="s">
        <v>9888</v>
      </c>
      <c r="D15" s="548" t="s">
        <v>9877</v>
      </c>
      <c r="E15" s="757"/>
      <c r="F15" s="756">
        <v>70000.0</v>
      </c>
      <c r="G15" s="757">
        <f t="shared" si="1"/>
        <v>396100</v>
      </c>
      <c r="H15" s="548" t="s">
        <v>9863</v>
      </c>
      <c r="I15" s="548" t="s">
        <v>9887</v>
      </c>
      <c r="K15" s="756">
        <v>70000.0</v>
      </c>
      <c r="L15" s="757"/>
      <c r="M15" s="757"/>
      <c r="N15" s="757"/>
      <c r="O15" s="757"/>
      <c r="P15" s="757"/>
    </row>
    <row r="16" hidden="1">
      <c r="A16" s="548">
        <v>14.0</v>
      </c>
      <c r="B16" s="755">
        <v>45925.0</v>
      </c>
      <c r="C16" s="548" t="s">
        <v>9865</v>
      </c>
      <c r="D16" s="548" t="s">
        <v>9869</v>
      </c>
      <c r="E16" s="757"/>
      <c r="F16" s="756">
        <v>6000.0</v>
      </c>
      <c r="G16" s="757">
        <f t="shared" si="1"/>
        <v>390100</v>
      </c>
      <c r="H16" s="548" t="s">
        <v>9863</v>
      </c>
      <c r="I16" s="548" t="s">
        <v>9867</v>
      </c>
      <c r="K16" s="757"/>
      <c r="L16" s="757"/>
      <c r="M16" s="757"/>
      <c r="N16" s="756">
        <v>6000.0</v>
      </c>
      <c r="O16" s="757"/>
      <c r="P16" s="757"/>
    </row>
    <row r="17" hidden="1">
      <c r="A17" s="548">
        <v>15.0</v>
      </c>
      <c r="B17" s="755">
        <v>45925.0</v>
      </c>
      <c r="C17" s="548" t="s">
        <v>9876</v>
      </c>
      <c r="D17" s="548" t="s">
        <v>9880</v>
      </c>
      <c r="E17" s="757"/>
      <c r="F17" s="756">
        <v>51000.0</v>
      </c>
      <c r="G17" s="757">
        <f t="shared" si="1"/>
        <v>339100</v>
      </c>
      <c r="H17" s="548" t="s">
        <v>9863</v>
      </c>
      <c r="I17" s="548" t="s">
        <v>9884</v>
      </c>
      <c r="K17" s="756">
        <v>51000.0</v>
      </c>
      <c r="L17" s="757"/>
      <c r="M17" s="757"/>
      <c r="N17" s="757"/>
      <c r="O17" s="757"/>
      <c r="P17" s="757"/>
    </row>
    <row r="18" hidden="1">
      <c r="A18" s="548">
        <v>16.0</v>
      </c>
      <c r="B18" s="755">
        <v>45926.0</v>
      </c>
      <c r="C18" s="548" t="s">
        <v>9888</v>
      </c>
      <c r="D18" s="548" t="s">
        <v>9889</v>
      </c>
      <c r="E18" s="757"/>
      <c r="F18" s="756">
        <v>10000.0</v>
      </c>
      <c r="G18" s="757">
        <f t="shared" si="1"/>
        <v>329100</v>
      </c>
      <c r="H18" s="548" t="s">
        <v>9863</v>
      </c>
      <c r="I18" s="548" t="s">
        <v>5379</v>
      </c>
      <c r="K18" s="757"/>
      <c r="L18" s="757"/>
      <c r="M18" s="757"/>
      <c r="N18" s="757"/>
      <c r="O18" s="757"/>
      <c r="P18" s="756">
        <v>10000.0</v>
      </c>
    </row>
    <row r="19" hidden="1">
      <c r="A19" s="548">
        <v>17.0</v>
      </c>
      <c r="B19" s="755">
        <v>45926.0</v>
      </c>
      <c r="C19" s="548" t="s">
        <v>9882</v>
      </c>
      <c r="D19" s="548" t="s">
        <v>9883</v>
      </c>
      <c r="E19" s="757"/>
      <c r="F19" s="756">
        <v>35000.0</v>
      </c>
      <c r="G19" s="757">
        <f t="shared" si="1"/>
        <v>294100</v>
      </c>
      <c r="H19" s="548" t="s">
        <v>9863</v>
      </c>
      <c r="I19" s="548" t="s">
        <v>9884</v>
      </c>
      <c r="K19" s="756">
        <v>35000.0</v>
      </c>
      <c r="L19" s="757"/>
      <c r="M19" s="757"/>
      <c r="N19" s="757"/>
      <c r="O19" s="757"/>
      <c r="P19" s="757"/>
    </row>
    <row r="20" hidden="1">
      <c r="A20" s="548">
        <v>18.0</v>
      </c>
      <c r="B20" s="755">
        <v>45927.0</v>
      </c>
      <c r="C20" s="548" t="s">
        <v>9876</v>
      </c>
      <c r="D20" s="548" t="s">
        <v>9877</v>
      </c>
      <c r="E20" s="757"/>
      <c r="F20" s="756">
        <v>290000.0</v>
      </c>
      <c r="G20" s="757">
        <f t="shared" si="1"/>
        <v>4100</v>
      </c>
      <c r="H20" s="548" t="s">
        <v>9863</v>
      </c>
      <c r="I20" s="548" t="s">
        <v>9884</v>
      </c>
      <c r="K20" s="756">
        <v>290000.0</v>
      </c>
      <c r="L20" s="757"/>
      <c r="M20" s="757"/>
      <c r="N20" s="757"/>
      <c r="O20" s="757"/>
      <c r="P20" s="757"/>
    </row>
    <row r="21" hidden="1">
      <c r="A21" s="548">
        <v>19.0</v>
      </c>
      <c r="B21" s="755">
        <v>45929.0</v>
      </c>
      <c r="C21" s="548" t="s">
        <v>9878</v>
      </c>
      <c r="E21" s="756">
        <v>500000.0</v>
      </c>
      <c r="F21" s="757"/>
      <c r="G21" s="757">
        <f t="shared" si="1"/>
        <v>504100</v>
      </c>
      <c r="H21" s="548" t="s">
        <v>9863</v>
      </c>
      <c r="I21" s="548" t="s">
        <v>9863</v>
      </c>
      <c r="K21" s="757"/>
      <c r="L21" s="757"/>
      <c r="M21" s="757"/>
      <c r="N21" s="757"/>
      <c r="O21" s="757"/>
      <c r="P21" s="757"/>
    </row>
    <row r="22" hidden="1">
      <c r="A22" s="548">
        <v>20.0</v>
      </c>
      <c r="B22" s="755">
        <v>45929.0</v>
      </c>
      <c r="C22" s="548" t="s">
        <v>9890</v>
      </c>
      <c r="D22" s="548" t="s">
        <v>9891</v>
      </c>
      <c r="E22" s="757"/>
      <c r="F22" s="756">
        <v>19400.0</v>
      </c>
      <c r="G22" s="757">
        <f t="shared" si="1"/>
        <v>484700</v>
      </c>
      <c r="H22" s="548" t="s">
        <v>9863</v>
      </c>
      <c r="I22" s="548" t="s">
        <v>9872</v>
      </c>
      <c r="K22" s="757"/>
      <c r="L22" s="756"/>
      <c r="M22" s="757"/>
      <c r="N22" s="757"/>
      <c r="O22" s="756">
        <v>19400.0</v>
      </c>
      <c r="P22" s="757"/>
    </row>
    <row r="23" hidden="1">
      <c r="A23" s="548">
        <v>21.0</v>
      </c>
      <c r="B23" s="755">
        <v>45931.0</v>
      </c>
      <c r="C23" s="548" t="s">
        <v>9879</v>
      </c>
      <c r="D23" s="548" t="s">
        <v>9892</v>
      </c>
      <c r="E23" s="757"/>
      <c r="F23" s="756">
        <v>68000.0</v>
      </c>
      <c r="G23" s="757">
        <f t="shared" si="1"/>
        <v>416700</v>
      </c>
      <c r="H23" s="548" t="s">
        <v>9863</v>
      </c>
      <c r="I23" s="548" t="s">
        <v>9864</v>
      </c>
      <c r="K23" s="756">
        <v>68000.0</v>
      </c>
      <c r="L23" s="757"/>
      <c r="M23" s="757"/>
      <c r="N23" s="757"/>
      <c r="O23" s="757"/>
      <c r="P23" s="757"/>
    </row>
    <row r="24" hidden="1">
      <c r="A24" s="548">
        <v>22.0</v>
      </c>
      <c r="B24" s="755">
        <v>45931.0</v>
      </c>
      <c r="C24" s="548" t="s">
        <v>9879</v>
      </c>
      <c r="D24" s="548" t="s">
        <v>9880</v>
      </c>
      <c r="E24" s="757"/>
      <c r="F24" s="756">
        <v>32500.0</v>
      </c>
      <c r="G24" s="757">
        <f t="shared" si="1"/>
        <v>384200</v>
      </c>
      <c r="H24" s="548" t="s">
        <v>9863</v>
      </c>
      <c r="I24" s="548" t="s">
        <v>9881</v>
      </c>
      <c r="K24" s="756">
        <v>32500.0</v>
      </c>
      <c r="L24" s="757"/>
      <c r="M24" s="757"/>
      <c r="N24" s="757"/>
      <c r="O24" s="757"/>
      <c r="P24" s="757"/>
    </row>
    <row r="25" hidden="1">
      <c r="A25" s="548">
        <v>23.0</v>
      </c>
      <c r="B25" s="755">
        <v>45931.0</v>
      </c>
      <c r="C25" s="548" t="s">
        <v>9882</v>
      </c>
      <c r="D25" s="548" t="s">
        <v>9880</v>
      </c>
      <c r="E25" s="757"/>
      <c r="F25" s="756">
        <v>52000.0</v>
      </c>
      <c r="G25" s="757">
        <f t="shared" si="1"/>
        <v>332200</v>
      </c>
      <c r="H25" s="548" t="s">
        <v>9863</v>
      </c>
      <c r="I25" s="548" t="s">
        <v>9884</v>
      </c>
      <c r="K25" s="756">
        <v>52000.0</v>
      </c>
      <c r="L25" s="757"/>
      <c r="M25" s="757"/>
      <c r="N25" s="757"/>
      <c r="O25" s="757"/>
      <c r="P25" s="757"/>
    </row>
    <row r="26" hidden="1">
      <c r="A26" s="548">
        <v>24.0</v>
      </c>
      <c r="B26" s="755">
        <v>45932.0</v>
      </c>
      <c r="C26" s="548" t="s">
        <v>9873</v>
      </c>
      <c r="D26" s="548" t="s">
        <v>9893</v>
      </c>
      <c r="E26" s="757"/>
      <c r="F26" s="756">
        <v>42000.0</v>
      </c>
      <c r="G26" s="757">
        <f t="shared" si="1"/>
        <v>290200</v>
      </c>
      <c r="H26" s="548" t="s">
        <v>9863</v>
      </c>
      <c r="I26" s="548" t="s">
        <v>9864</v>
      </c>
      <c r="K26" s="757"/>
      <c r="L26" s="757"/>
      <c r="M26" s="757"/>
      <c r="N26" s="756">
        <v>42000.0</v>
      </c>
      <c r="O26" s="757"/>
      <c r="P26" s="757"/>
    </row>
    <row r="27" hidden="1">
      <c r="A27" s="548">
        <v>25.0</v>
      </c>
      <c r="B27" s="755">
        <v>45933.0</v>
      </c>
      <c r="C27" s="548" t="s">
        <v>9879</v>
      </c>
      <c r="D27" s="548" t="s">
        <v>9894</v>
      </c>
      <c r="E27" s="757"/>
      <c r="F27" s="756">
        <v>120000.0</v>
      </c>
      <c r="G27" s="757">
        <f t="shared" si="1"/>
        <v>170200</v>
      </c>
      <c r="H27" s="548" t="s">
        <v>9863</v>
      </c>
      <c r="I27" s="548" t="s">
        <v>3481</v>
      </c>
      <c r="K27" s="756">
        <v>120000.0</v>
      </c>
      <c r="L27" s="757"/>
      <c r="M27" s="757"/>
      <c r="N27" s="757"/>
      <c r="O27" s="757"/>
      <c r="P27" s="757"/>
    </row>
    <row r="28" hidden="1">
      <c r="A28" s="548">
        <v>26.0</v>
      </c>
      <c r="B28" s="755">
        <v>45933.0</v>
      </c>
      <c r="C28" s="548" t="s">
        <v>9888</v>
      </c>
      <c r="D28" s="548" t="s">
        <v>9877</v>
      </c>
      <c r="E28" s="757"/>
      <c r="F28" s="756">
        <v>100000.0</v>
      </c>
      <c r="G28" s="757">
        <f t="shared" si="1"/>
        <v>70200</v>
      </c>
      <c r="H28" s="548" t="s">
        <v>9863</v>
      </c>
      <c r="I28" s="548" t="s">
        <v>3481</v>
      </c>
      <c r="K28" s="756">
        <v>100000.0</v>
      </c>
      <c r="L28" s="757"/>
      <c r="M28" s="757"/>
      <c r="N28" s="757"/>
      <c r="O28" s="757"/>
      <c r="P28" s="757"/>
    </row>
    <row r="29" hidden="1">
      <c r="A29" s="548">
        <v>27.0</v>
      </c>
      <c r="B29" s="755">
        <v>45933.0</v>
      </c>
      <c r="C29" s="548" t="s">
        <v>9879</v>
      </c>
      <c r="D29" s="548" t="s">
        <v>9880</v>
      </c>
      <c r="E29" s="756"/>
      <c r="F29" s="756">
        <v>33000.0</v>
      </c>
      <c r="G29" s="757">
        <f t="shared" si="1"/>
        <v>37200</v>
      </c>
      <c r="H29" s="548" t="s">
        <v>9863</v>
      </c>
      <c r="I29" s="548" t="s">
        <v>3481</v>
      </c>
      <c r="K29" s="756">
        <v>33000.0</v>
      </c>
      <c r="L29" s="757"/>
      <c r="M29" s="757"/>
      <c r="N29" s="757"/>
      <c r="O29" s="757"/>
      <c r="P29" s="757"/>
    </row>
    <row r="30" hidden="1">
      <c r="A30" s="548">
        <v>28.0</v>
      </c>
      <c r="B30" s="755">
        <v>45934.0</v>
      </c>
      <c r="C30" s="548" t="s">
        <v>9878</v>
      </c>
      <c r="E30" s="756">
        <v>800000.0</v>
      </c>
      <c r="F30" s="757"/>
      <c r="G30" s="757">
        <f t="shared" si="1"/>
        <v>837200</v>
      </c>
      <c r="H30" s="548" t="s">
        <v>9863</v>
      </c>
      <c r="I30" s="548" t="s">
        <v>9863</v>
      </c>
      <c r="J30" s="548" t="s">
        <v>3191</v>
      </c>
      <c r="K30" s="757"/>
      <c r="L30" s="757"/>
      <c r="M30" s="757"/>
      <c r="N30" s="757"/>
      <c r="O30" s="757"/>
      <c r="P30" s="757"/>
    </row>
    <row r="31" hidden="1">
      <c r="A31" s="548">
        <v>29.0</v>
      </c>
      <c r="B31" s="755">
        <v>45934.0</v>
      </c>
      <c r="C31" s="548" t="s">
        <v>9895</v>
      </c>
      <c r="D31" s="548" t="s">
        <v>9896</v>
      </c>
      <c r="E31" s="757"/>
      <c r="F31" s="756">
        <v>20000.0</v>
      </c>
      <c r="G31" s="757">
        <f t="shared" si="1"/>
        <v>817200</v>
      </c>
      <c r="H31" s="548" t="s">
        <v>9863</v>
      </c>
      <c r="I31" s="548" t="s">
        <v>5379</v>
      </c>
      <c r="K31" s="756"/>
      <c r="L31" s="756">
        <v>20000.0</v>
      </c>
      <c r="M31" s="757"/>
      <c r="N31" s="757"/>
      <c r="O31" s="757"/>
      <c r="P31" s="757"/>
    </row>
    <row r="32" hidden="1">
      <c r="A32" s="548">
        <v>30.0</v>
      </c>
      <c r="B32" s="755">
        <v>45934.0</v>
      </c>
      <c r="C32" s="548" t="s">
        <v>9876</v>
      </c>
      <c r="D32" s="548" t="s">
        <v>9877</v>
      </c>
      <c r="E32" s="757"/>
      <c r="F32" s="756">
        <v>300000.0</v>
      </c>
      <c r="G32" s="757">
        <f t="shared" si="1"/>
        <v>517200</v>
      </c>
      <c r="H32" s="548" t="s">
        <v>9863</v>
      </c>
      <c r="I32" s="548" t="s">
        <v>3481</v>
      </c>
      <c r="K32" s="756">
        <v>300000.0</v>
      </c>
      <c r="L32" s="757"/>
      <c r="M32" s="757"/>
      <c r="N32" s="757"/>
      <c r="O32" s="757"/>
      <c r="P32" s="757"/>
    </row>
    <row r="33" hidden="1">
      <c r="A33" s="548">
        <v>31.0</v>
      </c>
      <c r="B33" s="755">
        <v>45934.0</v>
      </c>
      <c r="C33" s="548" t="s">
        <v>9865</v>
      </c>
      <c r="D33" s="548" t="s">
        <v>9869</v>
      </c>
      <c r="E33" s="757"/>
      <c r="F33" s="756">
        <v>7000.0</v>
      </c>
      <c r="G33" s="757">
        <f t="shared" si="1"/>
        <v>510200</v>
      </c>
      <c r="H33" s="548" t="s">
        <v>9863</v>
      </c>
      <c r="I33" s="548" t="s">
        <v>9867</v>
      </c>
      <c r="K33" s="757"/>
      <c r="L33" s="756"/>
      <c r="M33" s="757"/>
      <c r="N33" s="756">
        <v>7000.0</v>
      </c>
      <c r="O33" s="757"/>
      <c r="P33" s="757"/>
    </row>
    <row r="34" hidden="1">
      <c r="A34" s="548">
        <v>32.0</v>
      </c>
      <c r="B34" s="755">
        <v>45936.0</v>
      </c>
      <c r="C34" s="548" t="s">
        <v>9876</v>
      </c>
      <c r="D34" s="548" t="s">
        <v>9877</v>
      </c>
      <c r="E34" s="757"/>
      <c r="F34" s="756">
        <v>300000.0</v>
      </c>
      <c r="G34" s="757">
        <f t="shared" si="1"/>
        <v>210200</v>
      </c>
      <c r="H34" s="548" t="s">
        <v>3481</v>
      </c>
      <c r="I34" s="548" t="s">
        <v>9867</v>
      </c>
      <c r="K34" s="756">
        <v>300000.0</v>
      </c>
      <c r="L34" s="757"/>
      <c r="M34" s="757"/>
      <c r="N34" s="757"/>
      <c r="O34" s="757"/>
      <c r="P34" s="757"/>
    </row>
    <row r="35" hidden="1">
      <c r="A35" s="548">
        <v>33.0</v>
      </c>
      <c r="B35" s="758">
        <v>45936.0</v>
      </c>
      <c r="C35" s="548" t="s">
        <v>9897</v>
      </c>
      <c r="D35" s="548" t="s">
        <v>9892</v>
      </c>
      <c r="E35" s="757"/>
      <c r="F35" s="756">
        <v>125000.0</v>
      </c>
      <c r="G35" s="757">
        <f t="shared" si="1"/>
        <v>85200</v>
      </c>
      <c r="H35" s="548" t="s">
        <v>3481</v>
      </c>
      <c r="I35" s="548" t="s">
        <v>9867</v>
      </c>
      <c r="K35" s="756">
        <v>125000.0</v>
      </c>
      <c r="L35" s="757"/>
      <c r="M35" s="757"/>
      <c r="N35" s="757"/>
      <c r="O35" s="757"/>
      <c r="P35" s="757"/>
    </row>
    <row r="36" hidden="1">
      <c r="A36" s="548">
        <v>34.0</v>
      </c>
      <c r="B36" s="758">
        <v>45939.0</v>
      </c>
      <c r="C36" s="548" t="s">
        <v>9898</v>
      </c>
      <c r="E36" s="756">
        <v>500000.0</v>
      </c>
      <c r="F36" s="757"/>
      <c r="G36" s="757">
        <f t="shared" si="1"/>
        <v>585200</v>
      </c>
      <c r="H36" s="548" t="s">
        <v>4772</v>
      </c>
      <c r="I36" s="548" t="s">
        <v>3481</v>
      </c>
      <c r="K36" s="757"/>
      <c r="L36" s="757"/>
      <c r="M36" s="757"/>
      <c r="N36" s="757"/>
      <c r="O36" s="757"/>
      <c r="P36" s="757"/>
    </row>
    <row r="37" hidden="1">
      <c r="A37" s="548">
        <v>35.0</v>
      </c>
      <c r="B37" s="758">
        <v>45939.0</v>
      </c>
      <c r="C37" s="548" t="s">
        <v>9876</v>
      </c>
      <c r="D37" s="548" t="s">
        <v>9899</v>
      </c>
      <c r="E37" s="756"/>
      <c r="F37" s="756">
        <v>200000.0</v>
      </c>
      <c r="G37" s="757">
        <f t="shared" si="1"/>
        <v>385200</v>
      </c>
      <c r="H37" s="548" t="s">
        <v>3481</v>
      </c>
      <c r="I37" s="548" t="s">
        <v>3481</v>
      </c>
      <c r="K37" s="756">
        <v>300000.0</v>
      </c>
      <c r="L37" s="757"/>
      <c r="M37" s="757"/>
      <c r="N37" s="757"/>
      <c r="O37" s="757"/>
      <c r="P37" s="757"/>
    </row>
    <row r="38" hidden="1">
      <c r="A38" s="548">
        <v>36.0</v>
      </c>
      <c r="B38" s="758">
        <v>45939.0</v>
      </c>
      <c r="C38" s="548" t="s">
        <v>9876</v>
      </c>
      <c r="D38" s="548" t="s">
        <v>9877</v>
      </c>
      <c r="E38" s="756"/>
      <c r="F38" s="756">
        <v>300000.0</v>
      </c>
      <c r="G38" s="757">
        <f t="shared" si="1"/>
        <v>85200</v>
      </c>
      <c r="H38" s="548" t="s">
        <v>3481</v>
      </c>
      <c r="I38" s="548" t="s">
        <v>3481</v>
      </c>
      <c r="K38" s="756">
        <v>200000.0</v>
      </c>
      <c r="L38" s="757"/>
      <c r="M38" s="757"/>
      <c r="N38" s="757"/>
      <c r="O38" s="757"/>
      <c r="P38" s="757"/>
    </row>
    <row r="39" hidden="1">
      <c r="A39" s="548">
        <v>37.0</v>
      </c>
      <c r="B39" s="758">
        <v>45940.0</v>
      </c>
      <c r="C39" s="548" t="s">
        <v>9865</v>
      </c>
      <c r="D39" s="548" t="s">
        <v>9866</v>
      </c>
      <c r="E39" s="757"/>
      <c r="F39" s="756">
        <v>20000.0</v>
      </c>
      <c r="G39" s="757">
        <f t="shared" si="1"/>
        <v>65200</v>
      </c>
      <c r="H39" s="548" t="s">
        <v>3481</v>
      </c>
      <c r="I39" s="548" t="s">
        <v>9867</v>
      </c>
      <c r="K39" s="756"/>
      <c r="L39" s="756"/>
      <c r="M39" s="757"/>
      <c r="N39" s="756">
        <v>20000.0</v>
      </c>
      <c r="O39" s="757"/>
      <c r="P39" s="757"/>
    </row>
    <row r="40" hidden="1">
      <c r="A40" s="548">
        <v>38.0</v>
      </c>
      <c r="B40" s="758">
        <v>45941.0</v>
      </c>
      <c r="C40" s="548" t="s">
        <v>9898</v>
      </c>
      <c r="E40" s="756">
        <v>1000000.0</v>
      </c>
      <c r="F40" s="757"/>
      <c r="G40" s="757">
        <f t="shared" si="1"/>
        <v>1065200</v>
      </c>
      <c r="H40" s="548" t="s">
        <v>9900</v>
      </c>
      <c r="I40" s="548" t="s">
        <v>9901</v>
      </c>
      <c r="K40" s="757"/>
      <c r="L40" s="757"/>
      <c r="M40" s="757"/>
      <c r="N40" s="757"/>
      <c r="O40" s="757"/>
      <c r="P40" s="757"/>
    </row>
    <row r="41" hidden="1">
      <c r="A41" s="548">
        <v>39.0</v>
      </c>
      <c r="B41" s="758">
        <v>45941.0</v>
      </c>
      <c r="C41" s="548" t="s">
        <v>9876</v>
      </c>
      <c r="D41" s="548" t="s">
        <v>9899</v>
      </c>
      <c r="E41" s="757"/>
      <c r="F41" s="756">
        <v>200000.0</v>
      </c>
      <c r="G41" s="757">
        <f t="shared" si="1"/>
        <v>865200</v>
      </c>
      <c r="H41" s="548" t="s">
        <v>9900</v>
      </c>
      <c r="I41" s="548" t="s">
        <v>9901</v>
      </c>
      <c r="K41" s="756">
        <v>200000.0</v>
      </c>
      <c r="L41" s="757"/>
      <c r="M41" s="757"/>
      <c r="N41" s="757"/>
      <c r="O41" s="757"/>
      <c r="P41" s="757"/>
    </row>
    <row r="42" hidden="1">
      <c r="A42" s="548">
        <v>40.0</v>
      </c>
      <c r="B42" s="758">
        <v>45943.0</v>
      </c>
      <c r="C42" s="548" t="s">
        <v>9888</v>
      </c>
      <c r="D42" s="548" t="s">
        <v>9877</v>
      </c>
      <c r="E42" s="757"/>
      <c r="F42" s="756">
        <v>100000.0</v>
      </c>
      <c r="G42" s="757">
        <f t="shared" si="1"/>
        <v>765200</v>
      </c>
      <c r="H42" s="548" t="s">
        <v>9900</v>
      </c>
      <c r="I42" s="548" t="s">
        <v>5379</v>
      </c>
      <c r="K42" s="756">
        <v>100000.0</v>
      </c>
      <c r="L42" s="757"/>
      <c r="M42" s="757"/>
      <c r="N42" s="757"/>
      <c r="O42" s="757"/>
      <c r="P42" s="757"/>
    </row>
    <row r="43" hidden="1">
      <c r="A43" s="548">
        <v>41.0</v>
      </c>
      <c r="B43" s="758">
        <v>45943.0</v>
      </c>
      <c r="C43" s="548" t="s">
        <v>9888</v>
      </c>
      <c r="D43" s="548" t="s">
        <v>9881</v>
      </c>
      <c r="E43" s="757"/>
      <c r="F43" s="756">
        <v>65000.0</v>
      </c>
      <c r="G43" s="757">
        <f t="shared" si="1"/>
        <v>700200</v>
      </c>
      <c r="H43" s="548" t="s">
        <v>9863</v>
      </c>
      <c r="I43" s="548" t="s">
        <v>9881</v>
      </c>
      <c r="K43" s="756">
        <v>65000.0</v>
      </c>
      <c r="L43" s="757"/>
      <c r="M43" s="757"/>
      <c r="N43" s="757"/>
      <c r="O43" s="757"/>
      <c r="P43" s="757"/>
    </row>
    <row r="44" hidden="1">
      <c r="A44" s="548">
        <v>42.0</v>
      </c>
      <c r="B44" s="758">
        <v>45943.0</v>
      </c>
      <c r="C44" s="548" t="s">
        <v>65</v>
      </c>
      <c r="D44" s="548" t="s">
        <v>9902</v>
      </c>
      <c r="E44" s="757"/>
      <c r="F44" s="756">
        <v>275000.0</v>
      </c>
      <c r="G44" s="757">
        <f t="shared" si="1"/>
        <v>425200</v>
      </c>
      <c r="H44" s="548" t="s">
        <v>9863</v>
      </c>
      <c r="I44" s="548" t="s">
        <v>9903</v>
      </c>
      <c r="K44" s="757"/>
      <c r="L44" s="757"/>
      <c r="M44" s="757"/>
      <c r="N44" s="757"/>
      <c r="O44" s="757"/>
      <c r="P44" s="757"/>
    </row>
    <row r="45" hidden="1">
      <c r="A45" s="548">
        <v>43.0</v>
      </c>
      <c r="B45" s="758">
        <v>45943.0</v>
      </c>
      <c r="C45" s="548" t="s">
        <v>9865</v>
      </c>
      <c r="D45" s="548" t="s">
        <v>9893</v>
      </c>
      <c r="E45" s="757"/>
      <c r="F45" s="756">
        <v>6000.0</v>
      </c>
      <c r="G45" s="757">
        <f t="shared" si="1"/>
        <v>419200</v>
      </c>
      <c r="H45" s="548" t="s">
        <v>9863</v>
      </c>
      <c r="I45" s="548" t="s">
        <v>9867</v>
      </c>
      <c r="K45" s="757"/>
      <c r="L45" s="756"/>
      <c r="M45" s="757"/>
      <c r="N45" s="756">
        <v>6000.0</v>
      </c>
      <c r="O45" s="757"/>
      <c r="P45" s="757"/>
    </row>
    <row r="46" hidden="1">
      <c r="A46" s="548">
        <v>44.0</v>
      </c>
      <c r="B46" s="758">
        <v>45944.0</v>
      </c>
      <c r="C46" s="548" t="s">
        <v>9904</v>
      </c>
      <c r="D46" s="548" t="s">
        <v>9905</v>
      </c>
      <c r="E46" s="757"/>
      <c r="F46" s="756">
        <v>7900.0</v>
      </c>
      <c r="G46" s="757">
        <f t="shared" si="1"/>
        <v>411300</v>
      </c>
      <c r="H46" s="548" t="s">
        <v>9900</v>
      </c>
      <c r="I46" s="548" t="s">
        <v>9887</v>
      </c>
      <c r="K46" s="757"/>
      <c r="L46" s="756"/>
      <c r="M46" s="757"/>
      <c r="N46" s="757"/>
      <c r="O46" s="756">
        <v>7900.0</v>
      </c>
      <c r="P46" s="757"/>
    </row>
    <row r="47" hidden="1">
      <c r="A47" s="548">
        <v>45.0</v>
      </c>
      <c r="B47" s="758">
        <v>45944.0</v>
      </c>
      <c r="C47" s="548" t="s">
        <v>9906</v>
      </c>
      <c r="D47" s="548" t="s">
        <v>9907</v>
      </c>
      <c r="E47" s="757"/>
      <c r="F47" s="756">
        <v>91000.0</v>
      </c>
      <c r="G47" s="757">
        <f t="shared" si="1"/>
        <v>320300</v>
      </c>
      <c r="H47" s="548" t="s">
        <v>9900</v>
      </c>
      <c r="I47" s="548" t="s">
        <v>9887</v>
      </c>
      <c r="K47" s="757"/>
      <c r="L47" s="756">
        <v>91000.0</v>
      </c>
      <c r="M47" s="757"/>
      <c r="N47" s="757"/>
      <c r="O47" s="757"/>
      <c r="P47" s="757"/>
    </row>
    <row r="48" hidden="1">
      <c r="A48" s="548">
        <v>46.0</v>
      </c>
      <c r="B48" s="758">
        <v>45945.0</v>
      </c>
      <c r="C48" s="548" t="s">
        <v>9876</v>
      </c>
      <c r="D48" s="548" t="s">
        <v>9899</v>
      </c>
      <c r="E48" s="757"/>
      <c r="F48" s="756">
        <v>200000.0</v>
      </c>
      <c r="G48" s="757">
        <f t="shared" si="1"/>
        <v>120300</v>
      </c>
      <c r="H48" s="548" t="s">
        <v>9900</v>
      </c>
      <c r="I48" s="548" t="s">
        <v>9901</v>
      </c>
      <c r="K48" s="756">
        <v>200000.0</v>
      </c>
      <c r="L48" s="757"/>
      <c r="M48" s="757"/>
      <c r="N48" s="757"/>
      <c r="O48" s="757"/>
      <c r="P48" s="757"/>
    </row>
    <row r="49" hidden="1">
      <c r="A49" s="548">
        <v>47.0</v>
      </c>
      <c r="B49" s="758">
        <v>45945.0</v>
      </c>
      <c r="C49" s="548" t="s">
        <v>9908</v>
      </c>
      <c r="D49" s="548" t="s">
        <v>9887</v>
      </c>
      <c r="E49" s="757"/>
      <c r="F49" s="756">
        <v>45000.0</v>
      </c>
      <c r="G49" s="757">
        <f t="shared" si="1"/>
        <v>75300</v>
      </c>
      <c r="H49" s="548" t="s">
        <v>9900</v>
      </c>
      <c r="I49" s="548" t="s">
        <v>9887</v>
      </c>
      <c r="K49" s="757"/>
      <c r="L49" s="757"/>
      <c r="M49" s="757"/>
      <c r="N49" s="757"/>
      <c r="O49" s="757"/>
      <c r="P49" s="756" t="s">
        <v>9909</v>
      </c>
    </row>
    <row r="50" hidden="1">
      <c r="A50" s="548">
        <v>48.0</v>
      </c>
      <c r="B50" s="758">
        <v>45946.0</v>
      </c>
      <c r="C50" s="548" t="s">
        <v>9910</v>
      </c>
      <c r="D50" s="548" t="s">
        <v>9911</v>
      </c>
      <c r="E50" s="757"/>
      <c r="F50" s="756">
        <v>50000.0</v>
      </c>
      <c r="G50" s="757">
        <f t="shared" si="1"/>
        <v>25300</v>
      </c>
      <c r="H50" s="548" t="s">
        <v>9900</v>
      </c>
      <c r="I50" s="548" t="s">
        <v>9912</v>
      </c>
      <c r="K50" s="757"/>
      <c r="L50" s="757"/>
      <c r="M50" s="757"/>
      <c r="N50" s="757"/>
      <c r="O50" s="757"/>
      <c r="P50" s="756" t="s">
        <v>9913</v>
      </c>
    </row>
    <row r="51" hidden="1">
      <c r="A51" s="548">
        <v>50.0</v>
      </c>
      <c r="B51" s="758">
        <v>45947.0</v>
      </c>
      <c r="C51" s="548" t="s">
        <v>9879</v>
      </c>
      <c r="D51" s="548" t="s">
        <v>9914</v>
      </c>
      <c r="E51" s="757"/>
      <c r="F51" s="756">
        <v>9500.0</v>
      </c>
      <c r="G51" s="757">
        <f t="shared" si="1"/>
        <v>15800</v>
      </c>
      <c r="H51" s="548" t="s">
        <v>9900</v>
      </c>
      <c r="I51" s="548" t="s">
        <v>9901</v>
      </c>
      <c r="K51" s="756">
        <v>9500.0</v>
      </c>
      <c r="L51" s="757"/>
      <c r="M51" s="757"/>
      <c r="N51" s="757"/>
      <c r="O51" s="757"/>
      <c r="P51" s="757"/>
    </row>
    <row r="52" hidden="1">
      <c r="A52" s="548">
        <v>51.0</v>
      </c>
      <c r="B52" s="758">
        <v>45950.0</v>
      </c>
      <c r="C52" s="548" t="s">
        <v>9915</v>
      </c>
      <c r="E52" s="756">
        <v>500000.0</v>
      </c>
      <c r="F52" s="757"/>
      <c r="G52" s="757">
        <f t="shared" si="1"/>
        <v>515800</v>
      </c>
      <c r="H52" s="548" t="s">
        <v>9916</v>
      </c>
      <c r="I52" s="548" t="s">
        <v>9901</v>
      </c>
      <c r="K52" s="757"/>
      <c r="L52" s="757"/>
      <c r="M52" s="757"/>
      <c r="N52" s="757"/>
      <c r="O52" s="757"/>
      <c r="P52" s="757"/>
    </row>
    <row r="53" hidden="1">
      <c r="A53" s="548">
        <v>52.0</v>
      </c>
      <c r="B53" s="758">
        <v>45950.0</v>
      </c>
      <c r="C53" s="548" t="s">
        <v>9917</v>
      </c>
      <c r="D53" s="548" t="s">
        <v>9918</v>
      </c>
      <c r="E53" s="757"/>
      <c r="F53" s="756">
        <v>100000.0</v>
      </c>
      <c r="G53" s="757">
        <f t="shared" si="1"/>
        <v>415800</v>
      </c>
      <c r="H53" s="548" t="s">
        <v>9916</v>
      </c>
      <c r="I53" s="548" t="s">
        <v>9901</v>
      </c>
      <c r="K53" s="757"/>
      <c r="L53" s="757"/>
      <c r="M53" s="757"/>
      <c r="N53" s="757"/>
      <c r="O53" s="757"/>
      <c r="P53" s="756">
        <v>100000.0</v>
      </c>
    </row>
    <row r="54" hidden="1">
      <c r="A54" s="548">
        <v>53.0</v>
      </c>
      <c r="B54" s="758">
        <v>45950.0</v>
      </c>
      <c r="C54" s="548" t="s">
        <v>9865</v>
      </c>
      <c r="D54" s="548" t="s">
        <v>9866</v>
      </c>
      <c r="E54" s="757"/>
      <c r="F54" s="756">
        <v>40000.0</v>
      </c>
      <c r="G54" s="757">
        <f t="shared" si="1"/>
        <v>375800</v>
      </c>
      <c r="H54" s="548" t="s">
        <v>9916</v>
      </c>
      <c r="I54" s="548" t="s">
        <v>9867</v>
      </c>
      <c r="K54" s="757"/>
      <c r="L54" s="757"/>
      <c r="M54" s="757"/>
      <c r="N54" s="756">
        <v>40000.0</v>
      </c>
      <c r="O54" s="757"/>
      <c r="P54" s="757"/>
    </row>
    <row r="55" hidden="1">
      <c r="A55" s="548">
        <v>54.0</v>
      </c>
      <c r="B55" s="758">
        <v>45950.0</v>
      </c>
      <c r="C55" s="548" t="s">
        <v>9919</v>
      </c>
      <c r="D55" s="548" t="s">
        <v>9869</v>
      </c>
      <c r="E55" s="757"/>
      <c r="F55" s="756">
        <v>9000.0</v>
      </c>
      <c r="G55" s="757">
        <f t="shared" si="1"/>
        <v>366800</v>
      </c>
      <c r="H55" s="548" t="s">
        <v>9916</v>
      </c>
      <c r="I55" s="548" t="s">
        <v>9867</v>
      </c>
      <c r="K55" s="757"/>
      <c r="L55" s="757"/>
      <c r="M55" s="757"/>
      <c r="N55" s="756">
        <v>9000.0</v>
      </c>
      <c r="O55" s="757"/>
      <c r="P55" s="757"/>
    </row>
    <row r="56" hidden="1">
      <c r="A56" s="548">
        <v>55.0</v>
      </c>
      <c r="B56" s="758">
        <v>45952.0</v>
      </c>
      <c r="C56" s="548" t="s">
        <v>9876</v>
      </c>
      <c r="D56" s="548" t="s">
        <v>9877</v>
      </c>
      <c r="E56" s="757"/>
      <c r="F56" s="756">
        <v>300000.0</v>
      </c>
      <c r="G56" s="757">
        <f t="shared" si="1"/>
        <v>66800</v>
      </c>
      <c r="H56" s="548" t="s">
        <v>9900</v>
      </c>
      <c r="I56" s="548" t="s">
        <v>9920</v>
      </c>
      <c r="K56" s="756">
        <v>300000.0</v>
      </c>
      <c r="L56" s="757"/>
      <c r="M56" s="757"/>
      <c r="N56" s="757"/>
      <c r="O56" s="757"/>
      <c r="P56" s="757"/>
    </row>
    <row r="57" hidden="1">
      <c r="A57" s="548">
        <v>56.0</v>
      </c>
      <c r="B57" s="758">
        <v>45953.0</v>
      </c>
      <c r="C57" s="548" t="s">
        <v>9879</v>
      </c>
      <c r="D57" s="548" t="s">
        <v>9921</v>
      </c>
      <c r="E57" s="757"/>
      <c r="F57" s="756">
        <v>56500.0</v>
      </c>
      <c r="G57" s="757">
        <f t="shared" si="1"/>
        <v>10300</v>
      </c>
      <c r="H57" s="548" t="s">
        <v>9900</v>
      </c>
      <c r="I57" s="548" t="s">
        <v>9900</v>
      </c>
      <c r="K57" s="756">
        <v>56500.0</v>
      </c>
      <c r="L57" s="757"/>
      <c r="M57" s="757"/>
      <c r="N57" s="757"/>
      <c r="O57" s="757"/>
      <c r="P57" s="757"/>
    </row>
    <row r="58" hidden="1">
      <c r="A58" s="548">
        <v>57.0</v>
      </c>
      <c r="B58" s="758">
        <v>45954.0</v>
      </c>
      <c r="C58" s="548" t="s">
        <v>9878</v>
      </c>
      <c r="E58" s="756">
        <v>1000000.0</v>
      </c>
      <c r="F58" s="757"/>
      <c r="G58" s="757">
        <f t="shared" si="1"/>
        <v>1010300</v>
      </c>
      <c r="H58" s="548" t="s">
        <v>9900</v>
      </c>
      <c r="I58" s="548" t="s">
        <v>9900</v>
      </c>
      <c r="K58" s="757"/>
      <c r="L58" s="757"/>
      <c r="M58" s="757"/>
      <c r="N58" s="757"/>
      <c r="O58" s="757"/>
      <c r="P58" s="757"/>
    </row>
    <row r="59" hidden="1">
      <c r="A59" s="548">
        <v>58.0</v>
      </c>
      <c r="B59" s="758">
        <v>45954.0</v>
      </c>
      <c r="C59" s="548" t="s">
        <v>9922</v>
      </c>
      <c r="D59" s="759" t="s">
        <v>9923</v>
      </c>
      <c r="E59" s="756"/>
      <c r="F59" s="756">
        <v>1007000.0</v>
      </c>
      <c r="G59" s="757">
        <f t="shared" si="1"/>
        <v>3300</v>
      </c>
      <c r="H59" s="548" t="s">
        <v>9900</v>
      </c>
      <c r="I59" s="548" t="s">
        <v>5379</v>
      </c>
      <c r="K59" s="756"/>
      <c r="L59" s="757"/>
      <c r="M59" s="757"/>
      <c r="N59" s="757"/>
      <c r="O59" s="757"/>
      <c r="P59" s="756">
        <v>1007000.0</v>
      </c>
    </row>
    <row r="60" hidden="1">
      <c r="A60" s="548">
        <v>59.0</v>
      </c>
      <c r="B60" s="758">
        <v>45957.0</v>
      </c>
      <c r="C60" s="548" t="s">
        <v>9919</v>
      </c>
      <c r="D60" s="548" t="s">
        <v>9869</v>
      </c>
      <c r="E60" s="757"/>
      <c r="F60" s="756">
        <v>6000.0</v>
      </c>
      <c r="G60" s="757">
        <f t="shared" si="1"/>
        <v>-2700</v>
      </c>
      <c r="H60" s="548" t="s">
        <v>9916</v>
      </c>
      <c r="I60" s="548" t="s">
        <v>9887</v>
      </c>
      <c r="K60" s="757"/>
      <c r="L60" s="757"/>
      <c r="M60" s="757"/>
      <c r="N60" s="756">
        <v>6000.0</v>
      </c>
      <c r="O60" s="757"/>
      <c r="P60" s="757"/>
    </row>
    <row r="61" hidden="1">
      <c r="A61" s="548">
        <v>60.0</v>
      </c>
      <c r="B61" s="758">
        <v>45957.0</v>
      </c>
      <c r="C61" s="548" t="s">
        <v>9876</v>
      </c>
      <c r="D61" s="548" t="s">
        <v>9877</v>
      </c>
      <c r="E61" s="757"/>
      <c r="F61" s="756">
        <v>300000.0</v>
      </c>
      <c r="G61" s="757">
        <f t="shared" si="1"/>
        <v>-302700</v>
      </c>
      <c r="H61" s="548" t="s">
        <v>9916</v>
      </c>
      <c r="I61" s="548" t="s">
        <v>9867</v>
      </c>
      <c r="K61" s="756">
        <v>300000.0</v>
      </c>
      <c r="L61" s="757"/>
      <c r="M61" s="757"/>
      <c r="N61" s="757"/>
      <c r="O61" s="757"/>
      <c r="P61" s="757"/>
    </row>
    <row r="62" hidden="1">
      <c r="A62" s="548">
        <v>61.0</v>
      </c>
      <c r="B62" s="758">
        <v>45960.0</v>
      </c>
      <c r="C62" s="548" t="s">
        <v>9878</v>
      </c>
      <c r="E62" s="756">
        <v>500000.0</v>
      </c>
      <c r="F62" s="757"/>
      <c r="G62" s="757">
        <f t="shared" si="1"/>
        <v>197300</v>
      </c>
      <c r="H62" s="548" t="s">
        <v>9863</v>
      </c>
      <c r="I62" s="548" t="s">
        <v>9863</v>
      </c>
      <c r="K62" s="757"/>
      <c r="L62" s="757"/>
      <c r="M62" s="757"/>
      <c r="N62" s="757"/>
      <c r="O62" s="757"/>
      <c r="P62" s="757"/>
    </row>
    <row r="63" hidden="1">
      <c r="A63" s="548">
        <v>62.0</v>
      </c>
      <c r="B63" s="758">
        <v>45960.0</v>
      </c>
      <c r="C63" s="548" t="s">
        <v>9876</v>
      </c>
      <c r="D63" s="548" t="s">
        <v>9924</v>
      </c>
      <c r="E63" s="757"/>
      <c r="F63" s="756">
        <v>40000.0</v>
      </c>
      <c r="G63" s="757">
        <f t="shared" si="1"/>
        <v>157300</v>
      </c>
      <c r="H63" s="548" t="s">
        <v>9863</v>
      </c>
      <c r="I63" s="548" t="s">
        <v>9884</v>
      </c>
      <c r="K63" s="756">
        <v>40000.0</v>
      </c>
      <c r="L63" s="757"/>
      <c r="M63" s="757"/>
      <c r="N63" s="757"/>
      <c r="O63" s="757"/>
      <c r="P63" s="757"/>
    </row>
    <row r="64" hidden="1">
      <c r="A64" s="548">
        <v>63.0</v>
      </c>
      <c r="B64" s="758">
        <v>45961.0</v>
      </c>
      <c r="C64" s="548" t="s">
        <v>9876</v>
      </c>
      <c r="D64" s="548" t="s">
        <v>9877</v>
      </c>
      <c r="E64" s="757"/>
      <c r="F64" s="756">
        <v>300000.0</v>
      </c>
      <c r="G64" s="757">
        <f t="shared" si="1"/>
        <v>-142700</v>
      </c>
      <c r="H64" s="548" t="s">
        <v>9863</v>
      </c>
      <c r="I64" s="548" t="s">
        <v>9872</v>
      </c>
      <c r="K64" s="756">
        <v>300000.0</v>
      </c>
      <c r="L64" s="757"/>
      <c r="M64" s="757"/>
      <c r="N64" s="757"/>
      <c r="O64" s="757"/>
      <c r="P64" s="757"/>
    </row>
    <row r="65" hidden="1">
      <c r="A65" s="548">
        <v>64.0</v>
      </c>
      <c r="B65" s="758">
        <v>45962.0</v>
      </c>
      <c r="C65" s="548" t="s">
        <v>9878</v>
      </c>
      <c r="E65" s="756">
        <v>500000.0</v>
      </c>
      <c r="F65" s="756"/>
      <c r="G65" s="757">
        <f t="shared" si="1"/>
        <v>357300</v>
      </c>
      <c r="H65" s="548" t="s">
        <v>9863</v>
      </c>
      <c r="I65" s="548" t="s">
        <v>9863</v>
      </c>
      <c r="K65" s="757"/>
      <c r="L65" s="757"/>
      <c r="M65" s="757"/>
      <c r="N65" s="757"/>
      <c r="O65" s="757"/>
      <c r="P65" s="757"/>
    </row>
    <row r="66" hidden="1">
      <c r="A66" s="548">
        <v>65.0</v>
      </c>
      <c r="B66" s="758">
        <v>45962.0</v>
      </c>
      <c r="C66" s="548" t="s">
        <v>65</v>
      </c>
      <c r="D66" s="548" t="s">
        <v>9925</v>
      </c>
      <c r="E66" s="757"/>
      <c r="F66" s="756">
        <v>150000.0</v>
      </c>
      <c r="G66" s="757">
        <f t="shared" si="1"/>
        <v>207300</v>
      </c>
      <c r="H66" s="548" t="s">
        <v>9863</v>
      </c>
      <c r="I66" s="548" t="s">
        <v>5379</v>
      </c>
      <c r="K66" s="757"/>
      <c r="L66" s="757"/>
      <c r="M66" s="757"/>
      <c r="N66" s="757"/>
      <c r="O66" s="757"/>
      <c r="P66" s="756">
        <v>150000.0</v>
      </c>
    </row>
    <row r="67" hidden="1">
      <c r="A67" s="548">
        <v>66.0</v>
      </c>
      <c r="B67" s="758">
        <v>45962.0</v>
      </c>
      <c r="C67" s="548" t="s">
        <v>9865</v>
      </c>
      <c r="D67" s="548" t="s">
        <v>9926</v>
      </c>
      <c r="E67" s="757"/>
      <c r="F67" s="756">
        <v>40000.0</v>
      </c>
      <c r="G67" s="757">
        <f t="shared" si="1"/>
        <v>167300</v>
      </c>
      <c r="H67" s="548" t="s">
        <v>9863</v>
      </c>
      <c r="I67" s="548" t="s">
        <v>9867</v>
      </c>
      <c r="K67" s="757"/>
      <c r="L67" s="757"/>
      <c r="M67" s="757"/>
      <c r="N67" s="756">
        <v>40000.0</v>
      </c>
      <c r="O67" s="757"/>
      <c r="P67" s="757"/>
    </row>
    <row r="68" hidden="1">
      <c r="A68" s="548">
        <v>67.0</v>
      </c>
      <c r="B68" s="758">
        <v>45962.0</v>
      </c>
      <c r="C68" s="548" t="s">
        <v>9888</v>
      </c>
      <c r="D68" s="548" t="s">
        <v>9927</v>
      </c>
      <c r="E68" s="757"/>
      <c r="F68" s="756">
        <v>35000.0</v>
      </c>
      <c r="G68" s="757">
        <f t="shared" si="1"/>
        <v>132300</v>
      </c>
      <c r="H68" s="548" t="s">
        <v>9863</v>
      </c>
      <c r="I68" s="548" t="s">
        <v>9863</v>
      </c>
      <c r="K68" s="756">
        <v>35000.0</v>
      </c>
      <c r="L68" s="757"/>
      <c r="M68" s="757"/>
      <c r="N68" s="757"/>
      <c r="O68" s="757"/>
      <c r="P68" s="757"/>
    </row>
    <row r="69" hidden="1">
      <c r="A69" s="548">
        <v>68.0</v>
      </c>
      <c r="B69" s="758">
        <v>45962.0</v>
      </c>
      <c r="C69" s="548" t="s">
        <v>9888</v>
      </c>
      <c r="D69" s="548" t="s">
        <v>9928</v>
      </c>
      <c r="E69" s="757"/>
      <c r="F69" s="756">
        <v>28000.0</v>
      </c>
      <c r="G69" s="757">
        <f t="shared" si="1"/>
        <v>104300</v>
      </c>
      <c r="H69" s="548" t="s">
        <v>9863</v>
      </c>
      <c r="I69" s="548" t="s">
        <v>9863</v>
      </c>
      <c r="K69" s="756">
        <v>28000.0</v>
      </c>
      <c r="L69" s="757"/>
      <c r="M69" s="757"/>
      <c r="N69" s="757"/>
      <c r="O69" s="757"/>
      <c r="P69" s="757"/>
    </row>
    <row r="70" hidden="1">
      <c r="A70" s="548">
        <v>69.0</v>
      </c>
      <c r="B70" s="758">
        <v>45964.0</v>
      </c>
      <c r="C70" s="548" t="s">
        <v>9876</v>
      </c>
      <c r="D70" s="548" t="s">
        <v>9899</v>
      </c>
      <c r="E70" s="757"/>
      <c r="F70" s="756">
        <v>100000.0</v>
      </c>
      <c r="G70" s="757">
        <f t="shared" si="1"/>
        <v>4300</v>
      </c>
      <c r="H70" s="548" t="s">
        <v>9863</v>
      </c>
      <c r="I70" s="548" t="s">
        <v>9867</v>
      </c>
      <c r="K70" s="756">
        <v>100000.0</v>
      </c>
      <c r="L70" s="757"/>
      <c r="M70" s="757"/>
      <c r="N70" s="757"/>
      <c r="O70" s="757"/>
      <c r="P70" s="757"/>
    </row>
    <row r="71" hidden="1">
      <c r="A71" s="548">
        <v>70.0</v>
      </c>
      <c r="B71" s="758">
        <v>45965.0</v>
      </c>
      <c r="C71" s="759" t="s">
        <v>9929</v>
      </c>
      <c r="E71" s="756">
        <v>300000.0</v>
      </c>
      <c r="F71" s="757"/>
      <c r="G71" s="757">
        <f t="shared" si="1"/>
        <v>304300</v>
      </c>
      <c r="K71" s="757"/>
      <c r="L71" s="757"/>
      <c r="M71" s="757"/>
      <c r="N71" s="757"/>
      <c r="O71" s="757"/>
      <c r="P71" s="757"/>
    </row>
    <row r="72" hidden="1">
      <c r="A72" s="548">
        <v>71.0</v>
      </c>
      <c r="B72" s="758">
        <v>45965.0</v>
      </c>
      <c r="C72" s="548" t="s">
        <v>9882</v>
      </c>
      <c r="D72" s="548" t="s">
        <v>9930</v>
      </c>
      <c r="E72" s="756"/>
      <c r="F72" s="756">
        <v>255000.0</v>
      </c>
      <c r="G72" s="757">
        <f t="shared" si="1"/>
        <v>49300</v>
      </c>
      <c r="H72" s="548" t="s">
        <v>9863</v>
      </c>
      <c r="I72" s="548" t="s">
        <v>9900</v>
      </c>
      <c r="K72" s="756">
        <v>225000.0</v>
      </c>
      <c r="L72" s="757"/>
      <c r="M72" s="757"/>
      <c r="N72" s="757"/>
      <c r="O72" s="757"/>
      <c r="P72" s="757"/>
    </row>
    <row r="73" hidden="1">
      <c r="A73" s="548">
        <v>72.0</v>
      </c>
      <c r="B73" s="758">
        <v>45965.0</v>
      </c>
      <c r="C73" s="548" t="s">
        <v>9882</v>
      </c>
      <c r="D73" s="548" t="s">
        <v>9930</v>
      </c>
      <c r="E73" s="756"/>
      <c r="F73" s="756">
        <v>40000.0</v>
      </c>
      <c r="G73" s="757">
        <f t="shared" si="1"/>
        <v>9300</v>
      </c>
      <c r="H73" s="548" t="s">
        <v>9863</v>
      </c>
      <c r="I73" s="548" t="s">
        <v>9900</v>
      </c>
      <c r="K73" s="756">
        <v>40000.0</v>
      </c>
      <c r="L73" s="757"/>
      <c r="M73" s="757"/>
      <c r="N73" s="757"/>
      <c r="O73" s="757"/>
      <c r="P73" s="757"/>
    </row>
    <row r="74" hidden="1">
      <c r="A74" s="548">
        <v>73.0</v>
      </c>
      <c r="B74" s="758">
        <v>45966.0</v>
      </c>
      <c r="C74" s="548" t="s">
        <v>9878</v>
      </c>
      <c r="E74" s="756">
        <v>1000000.0</v>
      </c>
      <c r="F74" s="756"/>
      <c r="G74" s="757">
        <f t="shared" si="1"/>
        <v>1009300</v>
      </c>
      <c r="H74" s="548" t="s">
        <v>9863</v>
      </c>
      <c r="I74" s="548" t="s">
        <v>9900</v>
      </c>
      <c r="K74" s="757"/>
      <c r="L74" s="757"/>
      <c r="M74" s="757"/>
      <c r="N74" s="757"/>
      <c r="O74" s="757"/>
      <c r="P74" s="757"/>
    </row>
    <row r="75" hidden="1">
      <c r="A75" s="548">
        <v>74.0</v>
      </c>
      <c r="B75" s="758">
        <v>45966.0</v>
      </c>
      <c r="C75" s="548" t="s">
        <v>9876</v>
      </c>
      <c r="D75" s="548" t="s">
        <v>9930</v>
      </c>
      <c r="E75" s="756"/>
      <c r="F75" s="756">
        <v>37500.0</v>
      </c>
      <c r="G75" s="757">
        <f t="shared" si="1"/>
        <v>971800</v>
      </c>
      <c r="H75" s="548" t="s">
        <v>9863</v>
      </c>
      <c r="I75" s="548" t="s">
        <v>9931</v>
      </c>
      <c r="K75" s="757"/>
      <c r="L75" s="757"/>
      <c r="M75" s="757"/>
      <c r="N75" s="757"/>
      <c r="O75" s="757"/>
      <c r="P75" s="757"/>
    </row>
    <row r="76" hidden="1">
      <c r="A76" s="548">
        <v>75.0</v>
      </c>
      <c r="B76" s="758">
        <v>45966.0</v>
      </c>
      <c r="C76" s="548" t="s">
        <v>9876</v>
      </c>
      <c r="D76" s="548" t="s">
        <v>9932</v>
      </c>
      <c r="E76" s="756"/>
      <c r="F76" s="756">
        <v>300000.0</v>
      </c>
      <c r="G76" s="757">
        <f t="shared" si="1"/>
        <v>671800</v>
      </c>
      <c r="H76" s="548" t="s">
        <v>9863</v>
      </c>
      <c r="I76" s="548" t="s">
        <v>9900</v>
      </c>
      <c r="K76" s="756">
        <v>300000.0</v>
      </c>
      <c r="L76" s="757"/>
      <c r="M76" s="757"/>
      <c r="N76" s="757"/>
      <c r="O76" s="757"/>
      <c r="P76" s="757"/>
    </row>
    <row r="77" hidden="1">
      <c r="A77" s="548">
        <v>76.0</v>
      </c>
      <c r="B77" s="758">
        <v>45967.0</v>
      </c>
      <c r="C77" s="548" t="s">
        <v>9876</v>
      </c>
      <c r="D77" s="548" t="s">
        <v>9933</v>
      </c>
      <c r="E77" s="756"/>
      <c r="F77" s="756">
        <v>250000.0</v>
      </c>
      <c r="G77" s="757">
        <f t="shared" si="1"/>
        <v>421800</v>
      </c>
      <c r="H77" s="548" t="s">
        <v>9863</v>
      </c>
      <c r="I77" s="548" t="s">
        <v>9900</v>
      </c>
      <c r="K77" s="757"/>
      <c r="L77" s="757"/>
      <c r="M77" s="757"/>
      <c r="N77" s="757"/>
      <c r="O77" s="757"/>
      <c r="P77" s="757"/>
    </row>
    <row r="78" hidden="1">
      <c r="A78" s="548">
        <v>77.0</v>
      </c>
      <c r="B78" s="758">
        <v>45967.0</v>
      </c>
      <c r="C78" s="548" t="s">
        <v>9934</v>
      </c>
      <c r="E78" s="756"/>
      <c r="F78" s="756">
        <v>244000.0</v>
      </c>
      <c r="G78" s="757">
        <f t="shared" si="1"/>
        <v>177800</v>
      </c>
      <c r="H78" s="548" t="s">
        <v>9863</v>
      </c>
      <c r="I78" s="548" t="s">
        <v>9900</v>
      </c>
      <c r="K78" s="757"/>
      <c r="L78" s="757"/>
      <c r="M78" s="757"/>
      <c r="N78" s="757"/>
      <c r="O78" s="757"/>
      <c r="P78" s="757"/>
    </row>
    <row r="79" hidden="1">
      <c r="A79" s="548">
        <v>78.0</v>
      </c>
      <c r="B79" s="758">
        <v>45967.0</v>
      </c>
      <c r="C79" s="548" t="s">
        <v>9919</v>
      </c>
      <c r="D79" s="548" t="s">
        <v>9869</v>
      </c>
      <c r="E79" s="756"/>
      <c r="F79" s="756">
        <v>9000.0</v>
      </c>
      <c r="G79" s="757">
        <f t="shared" si="1"/>
        <v>168800</v>
      </c>
      <c r="H79" s="548" t="s">
        <v>9863</v>
      </c>
      <c r="I79" s="548" t="s">
        <v>9935</v>
      </c>
      <c r="K79" s="757"/>
      <c r="L79" s="757"/>
      <c r="M79" s="757"/>
      <c r="N79" s="756">
        <v>10000.0</v>
      </c>
      <c r="O79" s="757"/>
      <c r="P79" s="757"/>
    </row>
    <row r="80" hidden="1">
      <c r="A80" s="548">
        <v>79.0</v>
      </c>
      <c r="B80" s="758">
        <v>45969.0</v>
      </c>
      <c r="C80" s="548" t="s">
        <v>9876</v>
      </c>
      <c r="D80" s="548" t="s">
        <v>9933</v>
      </c>
      <c r="E80" s="756"/>
      <c r="F80" s="756">
        <v>150000.0</v>
      </c>
      <c r="G80" s="757">
        <f t="shared" si="1"/>
        <v>18800</v>
      </c>
      <c r="H80" s="548" t="s">
        <v>9863</v>
      </c>
      <c r="I80" s="548" t="s">
        <v>9935</v>
      </c>
      <c r="K80" s="756">
        <v>150000.0</v>
      </c>
      <c r="L80" s="757"/>
      <c r="M80" s="757"/>
      <c r="N80" s="757"/>
      <c r="O80" s="757"/>
      <c r="P80" s="757"/>
    </row>
    <row r="81" hidden="1">
      <c r="A81" s="548">
        <v>80.0</v>
      </c>
      <c r="B81" s="758">
        <v>45969.0</v>
      </c>
      <c r="C81" s="548" t="s">
        <v>9876</v>
      </c>
      <c r="D81" s="548" t="s">
        <v>9936</v>
      </c>
      <c r="E81" s="756"/>
      <c r="F81" s="756">
        <v>9500.0</v>
      </c>
      <c r="G81" s="757">
        <f t="shared" si="1"/>
        <v>9300</v>
      </c>
      <c r="H81" s="548" t="s">
        <v>9900</v>
      </c>
      <c r="I81" s="548" t="s">
        <v>9867</v>
      </c>
      <c r="K81" s="757"/>
      <c r="L81" s="757"/>
      <c r="M81" s="757"/>
      <c r="N81" s="757"/>
      <c r="O81" s="756">
        <v>9500.0</v>
      </c>
      <c r="P81" s="757"/>
    </row>
    <row r="82" hidden="1">
      <c r="A82" s="548">
        <v>81.0</v>
      </c>
      <c r="B82" s="758">
        <v>45971.0</v>
      </c>
      <c r="C82" s="548" t="s">
        <v>9888</v>
      </c>
      <c r="D82" s="548" t="s">
        <v>9937</v>
      </c>
      <c r="E82" s="756"/>
      <c r="F82" s="756">
        <v>100000.0</v>
      </c>
      <c r="G82" s="757">
        <f t="shared" si="1"/>
        <v>-90700</v>
      </c>
      <c r="H82" s="548" t="s">
        <v>9900</v>
      </c>
      <c r="I82" s="548" t="s">
        <v>9867</v>
      </c>
      <c r="K82" s="756">
        <v>100000.0</v>
      </c>
      <c r="L82" s="757"/>
      <c r="M82" s="757"/>
      <c r="N82" s="757"/>
      <c r="O82" s="757"/>
      <c r="P82" s="757"/>
    </row>
    <row r="83" hidden="1">
      <c r="A83" s="548">
        <v>82.0</v>
      </c>
      <c r="B83" s="758">
        <v>45971.0</v>
      </c>
      <c r="C83" s="548" t="s">
        <v>9878</v>
      </c>
      <c r="E83" s="756">
        <v>500000.0</v>
      </c>
      <c r="F83" s="756"/>
      <c r="G83" s="757">
        <f t="shared" si="1"/>
        <v>409300</v>
      </c>
      <c r="H83" s="548" t="s">
        <v>9863</v>
      </c>
      <c r="I83" s="548" t="s">
        <v>9863</v>
      </c>
      <c r="K83" s="757"/>
      <c r="L83" s="757"/>
      <c r="M83" s="757"/>
      <c r="N83" s="757"/>
      <c r="O83" s="757"/>
      <c r="P83" s="757"/>
    </row>
    <row r="84" hidden="1">
      <c r="A84" s="548">
        <v>83.0</v>
      </c>
      <c r="B84" s="758">
        <v>45972.0</v>
      </c>
      <c r="C84" s="548" t="s">
        <v>9876</v>
      </c>
      <c r="D84" s="548" t="s">
        <v>9933</v>
      </c>
      <c r="E84" s="756"/>
      <c r="F84" s="756">
        <v>300000.0</v>
      </c>
      <c r="G84" s="757">
        <f t="shared" si="1"/>
        <v>109300</v>
      </c>
      <c r="H84" s="548" t="s">
        <v>9863</v>
      </c>
      <c r="I84" s="548" t="s">
        <v>9867</v>
      </c>
      <c r="K84" s="756">
        <v>300000.0</v>
      </c>
      <c r="L84" s="757"/>
      <c r="M84" s="757"/>
      <c r="N84" s="757"/>
      <c r="O84" s="757"/>
      <c r="P84" s="757"/>
    </row>
    <row r="85" hidden="1">
      <c r="A85" s="548">
        <v>84.0</v>
      </c>
      <c r="B85" s="758">
        <v>45972.0</v>
      </c>
      <c r="C85" s="548" t="s">
        <v>9876</v>
      </c>
      <c r="D85" s="548" t="s">
        <v>9930</v>
      </c>
      <c r="E85" s="756"/>
      <c r="F85" s="756">
        <v>71000.0</v>
      </c>
      <c r="G85" s="757">
        <f t="shared" si="1"/>
        <v>38300</v>
      </c>
      <c r="H85" s="548" t="s">
        <v>9863</v>
      </c>
      <c r="I85" s="548" t="s">
        <v>9884</v>
      </c>
      <c r="K85" s="756">
        <v>71000.0</v>
      </c>
      <c r="L85" s="757"/>
      <c r="M85" s="757"/>
      <c r="N85" s="757"/>
      <c r="O85" s="757"/>
      <c r="P85" s="757"/>
    </row>
    <row r="86" hidden="1">
      <c r="A86" s="548">
        <v>85.0</v>
      </c>
      <c r="B86" s="758">
        <v>45973.0</v>
      </c>
      <c r="C86" s="548" t="s">
        <v>9878</v>
      </c>
      <c r="E86" s="756">
        <v>500000.0</v>
      </c>
      <c r="F86" s="756"/>
      <c r="G86" s="757">
        <f t="shared" si="1"/>
        <v>538300</v>
      </c>
      <c r="H86" s="548" t="s">
        <v>9863</v>
      </c>
      <c r="I86" s="548" t="s">
        <v>9863</v>
      </c>
      <c r="K86" s="757"/>
      <c r="L86" s="757"/>
      <c r="M86" s="757"/>
      <c r="N86" s="757"/>
      <c r="O86" s="757"/>
      <c r="P86" s="757"/>
    </row>
    <row r="87" hidden="1">
      <c r="A87" s="548">
        <v>86.0</v>
      </c>
      <c r="B87" s="758">
        <v>45973.0</v>
      </c>
      <c r="C87" s="548" t="s">
        <v>9876</v>
      </c>
      <c r="D87" s="548" t="s">
        <v>9933</v>
      </c>
      <c r="E87" s="756"/>
      <c r="F87" s="756">
        <v>300000.0</v>
      </c>
      <c r="G87" s="757">
        <f t="shared" si="1"/>
        <v>238300</v>
      </c>
      <c r="H87" s="548" t="s">
        <v>9863</v>
      </c>
      <c r="I87" s="548" t="s">
        <v>9900</v>
      </c>
      <c r="K87" s="757"/>
      <c r="L87" s="757"/>
      <c r="M87" s="757"/>
      <c r="N87" s="757"/>
      <c r="O87" s="757"/>
      <c r="P87" s="757"/>
    </row>
    <row r="88" hidden="1">
      <c r="A88" s="548">
        <v>87.0</v>
      </c>
      <c r="B88" s="758">
        <v>45975.0</v>
      </c>
      <c r="C88" s="548" t="s">
        <v>9876</v>
      </c>
      <c r="D88" s="548" t="s">
        <v>9938</v>
      </c>
      <c r="E88" s="756"/>
      <c r="F88" s="756">
        <v>200000.0</v>
      </c>
      <c r="G88" s="757">
        <f t="shared" si="1"/>
        <v>38300</v>
      </c>
      <c r="H88" s="548" t="s">
        <v>9900</v>
      </c>
      <c r="I88" s="548" t="s">
        <v>9900</v>
      </c>
      <c r="K88" s="756">
        <v>200000.0</v>
      </c>
      <c r="L88" s="757"/>
      <c r="M88" s="757"/>
      <c r="N88" s="757"/>
      <c r="O88" s="757"/>
      <c r="P88" s="757"/>
    </row>
    <row r="89" hidden="1">
      <c r="A89" s="548">
        <v>88.0</v>
      </c>
      <c r="B89" s="758">
        <v>45975.0</v>
      </c>
      <c r="C89" s="548" t="s">
        <v>9878</v>
      </c>
      <c r="E89" s="756">
        <v>500000.0</v>
      </c>
      <c r="F89" s="757"/>
      <c r="G89" s="757">
        <f t="shared" si="1"/>
        <v>538300</v>
      </c>
      <c r="H89" s="548" t="s">
        <v>9863</v>
      </c>
      <c r="I89" s="548" t="s">
        <v>9863</v>
      </c>
      <c r="K89" s="757"/>
      <c r="L89" s="757"/>
      <c r="M89" s="757"/>
      <c r="N89" s="757"/>
      <c r="O89" s="757"/>
      <c r="P89" s="757"/>
    </row>
    <row r="90" hidden="1">
      <c r="A90" s="548">
        <v>89.0</v>
      </c>
      <c r="B90" s="758">
        <v>45975.0</v>
      </c>
      <c r="C90" s="548" t="s">
        <v>9939</v>
      </c>
      <c r="D90" s="548" t="s">
        <v>9940</v>
      </c>
      <c r="E90" s="756"/>
      <c r="F90" s="756">
        <v>10000.0</v>
      </c>
      <c r="G90" s="757">
        <f t="shared" si="1"/>
        <v>528300</v>
      </c>
      <c r="H90" s="548" t="s">
        <v>9863</v>
      </c>
      <c r="I90" s="548" t="s">
        <v>9941</v>
      </c>
      <c r="K90" s="757"/>
      <c r="L90" s="757"/>
      <c r="M90" s="757"/>
      <c r="N90" s="757"/>
      <c r="O90" s="757"/>
      <c r="P90" s="756">
        <v>10000.0</v>
      </c>
    </row>
    <row r="91" hidden="1">
      <c r="A91" s="548">
        <v>90.0</v>
      </c>
      <c r="B91" s="758">
        <v>45973.0</v>
      </c>
      <c r="C91" s="548" t="s">
        <v>9876</v>
      </c>
      <c r="D91" s="548" t="s">
        <v>9938</v>
      </c>
      <c r="E91" s="756"/>
      <c r="F91" s="756">
        <v>200000.0</v>
      </c>
      <c r="G91" s="757">
        <f t="shared" si="1"/>
        <v>328300</v>
      </c>
      <c r="H91" s="548" t="s">
        <v>9900</v>
      </c>
      <c r="I91" s="548" t="s">
        <v>9900</v>
      </c>
      <c r="K91" s="756">
        <v>200000.0</v>
      </c>
      <c r="L91" s="757"/>
      <c r="M91" s="757"/>
      <c r="N91" s="757"/>
      <c r="O91" s="757"/>
      <c r="P91" s="757"/>
    </row>
    <row r="92" hidden="1">
      <c r="A92" s="548">
        <v>91.0</v>
      </c>
      <c r="B92" s="758">
        <v>45975.0</v>
      </c>
      <c r="C92" s="548" t="s">
        <v>9942</v>
      </c>
      <c r="D92" s="548" t="s">
        <v>9943</v>
      </c>
      <c r="E92" s="756"/>
      <c r="F92" s="756">
        <v>150000.0</v>
      </c>
      <c r="G92" s="757">
        <f t="shared" si="1"/>
        <v>178300</v>
      </c>
      <c r="H92" s="548" t="s">
        <v>9900</v>
      </c>
      <c r="I92" s="548" t="s">
        <v>9872</v>
      </c>
      <c r="K92" s="757"/>
      <c r="L92" s="757"/>
      <c r="M92" s="757"/>
      <c r="N92" s="757"/>
      <c r="O92" s="757"/>
      <c r="P92" s="756">
        <v>150000.0</v>
      </c>
    </row>
    <row r="93" hidden="1">
      <c r="A93" s="548">
        <v>92.0</v>
      </c>
      <c r="B93" s="758">
        <v>45976.0</v>
      </c>
      <c r="C93" s="548" t="s">
        <v>9898</v>
      </c>
      <c r="E93" s="756">
        <v>500000.0</v>
      </c>
      <c r="F93" s="757"/>
      <c r="G93" s="757">
        <f t="shared" si="1"/>
        <v>678300</v>
      </c>
      <c r="H93" s="548" t="s">
        <v>9900</v>
      </c>
      <c r="I93" s="548" t="s">
        <v>9900</v>
      </c>
      <c r="K93" s="757"/>
      <c r="L93" s="757"/>
      <c r="M93" s="757"/>
      <c r="N93" s="757"/>
      <c r="O93" s="757"/>
      <c r="P93" s="757"/>
    </row>
    <row r="94" hidden="1">
      <c r="A94" s="548">
        <v>93.0</v>
      </c>
      <c r="B94" s="758">
        <v>45976.0</v>
      </c>
      <c r="C94" s="548" t="s">
        <v>9944</v>
      </c>
      <c r="D94" s="548" t="s">
        <v>9945</v>
      </c>
      <c r="E94" s="756"/>
      <c r="F94" s="756">
        <v>19500.0</v>
      </c>
      <c r="G94" s="757">
        <f t="shared" si="1"/>
        <v>658800</v>
      </c>
      <c r="H94" s="548" t="s">
        <v>9863</v>
      </c>
      <c r="I94" s="548" t="s">
        <v>9867</v>
      </c>
      <c r="K94" s="756">
        <v>19500.0</v>
      </c>
      <c r="L94" s="757"/>
      <c r="M94" s="757"/>
      <c r="N94" s="757"/>
      <c r="O94" s="757"/>
      <c r="P94" s="757"/>
    </row>
    <row r="95" hidden="1">
      <c r="A95" s="548">
        <v>94.0</v>
      </c>
      <c r="B95" s="758">
        <v>45977.0</v>
      </c>
      <c r="C95" s="548" t="s">
        <v>9946</v>
      </c>
      <c r="D95" s="548" t="s">
        <v>9937</v>
      </c>
      <c r="E95" s="756"/>
      <c r="F95" s="756">
        <v>50000.0</v>
      </c>
      <c r="G95" s="757">
        <f t="shared" si="1"/>
        <v>608800</v>
      </c>
      <c r="H95" s="548" t="s">
        <v>9900</v>
      </c>
      <c r="I95" s="548" t="s">
        <v>5379</v>
      </c>
      <c r="K95" s="756">
        <v>50000.0</v>
      </c>
      <c r="L95" s="757"/>
      <c r="M95" s="757"/>
      <c r="N95" s="757"/>
      <c r="O95" s="757"/>
      <c r="P95" s="757"/>
    </row>
    <row r="96" hidden="1">
      <c r="A96" s="548">
        <v>95.0</v>
      </c>
      <c r="B96" s="758">
        <v>45978.0</v>
      </c>
      <c r="C96" s="548" t="s">
        <v>9947</v>
      </c>
      <c r="D96" s="548" t="s">
        <v>9948</v>
      </c>
      <c r="E96" s="756"/>
      <c r="F96" s="756">
        <v>200000.0</v>
      </c>
      <c r="G96" s="757">
        <f t="shared" si="1"/>
        <v>408800</v>
      </c>
      <c r="H96" s="548" t="s">
        <v>3481</v>
      </c>
      <c r="I96" s="548" t="s">
        <v>3481</v>
      </c>
      <c r="K96" s="756">
        <v>200000.0</v>
      </c>
      <c r="L96" s="757"/>
      <c r="M96" s="757"/>
      <c r="N96" s="757"/>
      <c r="O96" s="757"/>
      <c r="P96" s="757"/>
    </row>
    <row r="97" hidden="1">
      <c r="A97" s="548">
        <v>96.0</v>
      </c>
      <c r="B97" s="758">
        <v>45978.0</v>
      </c>
      <c r="C97" s="548" t="s">
        <v>9919</v>
      </c>
      <c r="D97" s="548" t="s">
        <v>9869</v>
      </c>
      <c r="E97" s="756"/>
      <c r="F97" s="756">
        <v>9000.0</v>
      </c>
      <c r="G97" s="757">
        <f t="shared" si="1"/>
        <v>399800</v>
      </c>
      <c r="H97" s="548" t="s">
        <v>9863</v>
      </c>
      <c r="I97" s="548" t="s">
        <v>9867</v>
      </c>
      <c r="K97" s="757"/>
      <c r="L97" s="757"/>
      <c r="M97" s="757"/>
      <c r="N97" s="756">
        <v>9000.0</v>
      </c>
      <c r="O97" s="757"/>
      <c r="P97" s="757"/>
    </row>
    <row r="98" hidden="1">
      <c r="A98" s="548">
        <v>97.0</v>
      </c>
      <c r="B98" s="758">
        <v>45978.0</v>
      </c>
      <c r="C98" s="548" t="s">
        <v>9946</v>
      </c>
      <c r="D98" s="548" t="s">
        <v>9949</v>
      </c>
      <c r="E98" s="756"/>
      <c r="F98" s="756">
        <v>40000.0</v>
      </c>
      <c r="G98" s="757">
        <f t="shared" si="1"/>
        <v>359800</v>
      </c>
      <c r="H98" s="548" t="s">
        <v>9863</v>
      </c>
      <c r="I98" s="548" t="s">
        <v>9950</v>
      </c>
      <c r="K98" s="757"/>
      <c r="L98" s="757"/>
      <c r="M98" s="757"/>
      <c r="N98" s="757"/>
      <c r="O98" s="757"/>
      <c r="P98" s="757"/>
    </row>
    <row r="99" hidden="1">
      <c r="A99" s="548">
        <v>98.0</v>
      </c>
      <c r="B99" s="758">
        <v>45979.0</v>
      </c>
      <c r="C99" s="548" t="s">
        <v>9951</v>
      </c>
      <c r="E99" s="756"/>
      <c r="F99" s="756">
        <v>18000.0</v>
      </c>
      <c r="G99" s="757">
        <f t="shared" si="1"/>
        <v>341800</v>
      </c>
      <c r="H99" s="548" t="s">
        <v>9863</v>
      </c>
      <c r="I99" s="548" t="s">
        <v>9950</v>
      </c>
      <c r="K99" s="757"/>
      <c r="L99" s="757"/>
      <c r="M99" s="757"/>
      <c r="N99" s="757"/>
      <c r="O99" s="757"/>
      <c r="P99" s="757"/>
    </row>
    <row r="100" hidden="1">
      <c r="A100" s="548">
        <v>99.0</v>
      </c>
      <c r="B100" s="758">
        <v>45979.0</v>
      </c>
      <c r="C100" s="548" t="s">
        <v>9952</v>
      </c>
      <c r="D100" s="548" t="s">
        <v>9953</v>
      </c>
      <c r="E100" s="756"/>
      <c r="F100" s="756">
        <v>65000.0</v>
      </c>
      <c r="G100" s="757">
        <f t="shared" si="1"/>
        <v>276800</v>
      </c>
      <c r="H100" s="548" t="s">
        <v>9863</v>
      </c>
      <c r="I100" s="548" t="s">
        <v>9954</v>
      </c>
      <c r="K100" s="756">
        <v>65000.0</v>
      </c>
      <c r="L100" s="757"/>
      <c r="M100" s="757"/>
      <c r="N100" s="757"/>
      <c r="O100" s="757"/>
      <c r="P100" s="757"/>
    </row>
    <row r="101" hidden="1">
      <c r="A101" s="548">
        <v>100.0</v>
      </c>
      <c r="B101" s="758">
        <v>45980.0</v>
      </c>
      <c r="C101" s="548" t="s">
        <v>9865</v>
      </c>
      <c r="D101" s="548" t="s">
        <v>9955</v>
      </c>
      <c r="E101" s="756"/>
      <c r="F101" s="756">
        <v>40000.0</v>
      </c>
      <c r="G101" s="757">
        <f t="shared" si="1"/>
        <v>236800</v>
      </c>
      <c r="H101" s="548" t="s">
        <v>9863</v>
      </c>
      <c r="I101" s="548" t="s">
        <v>9935</v>
      </c>
      <c r="K101" s="757"/>
      <c r="L101" s="757"/>
      <c r="M101" s="757"/>
      <c r="N101" s="756">
        <v>40000.0</v>
      </c>
      <c r="O101" s="757"/>
      <c r="P101" s="757"/>
    </row>
    <row r="102" hidden="1">
      <c r="A102" s="548">
        <v>101.0</v>
      </c>
      <c r="B102" s="758">
        <v>45981.0</v>
      </c>
      <c r="C102" s="548" t="s">
        <v>9947</v>
      </c>
      <c r="D102" s="548" t="s">
        <v>9956</v>
      </c>
      <c r="E102" s="756"/>
      <c r="F102" s="756">
        <v>200000.0</v>
      </c>
      <c r="G102" s="757">
        <f t="shared" si="1"/>
        <v>36800</v>
      </c>
      <c r="H102" s="548" t="s">
        <v>9863</v>
      </c>
      <c r="I102" s="548" t="s">
        <v>9935</v>
      </c>
      <c r="K102" s="756">
        <v>200000.0</v>
      </c>
      <c r="L102" s="757"/>
      <c r="M102" s="757"/>
      <c r="N102" s="757"/>
      <c r="O102" s="757"/>
      <c r="P102" s="757"/>
    </row>
    <row r="103" hidden="1">
      <c r="A103" s="548">
        <v>102.0</v>
      </c>
      <c r="B103" s="758">
        <v>45981.0</v>
      </c>
      <c r="C103" s="548" t="s">
        <v>9898</v>
      </c>
      <c r="E103" s="756">
        <v>500000.0</v>
      </c>
      <c r="F103" s="757"/>
      <c r="G103" s="757">
        <f t="shared" si="1"/>
        <v>536800</v>
      </c>
      <c r="H103" s="548" t="s">
        <v>9863</v>
      </c>
      <c r="I103" s="548" t="s">
        <v>9950</v>
      </c>
      <c r="K103" s="757"/>
      <c r="L103" s="757"/>
      <c r="M103" s="757"/>
      <c r="N103" s="757"/>
      <c r="O103" s="757"/>
      <c r="P103" s="757"/>
    </row>
    <row r="104" hidden="1">
      <c r="A104" s="548">
        <v>103.0</v>
      </c>
      <c r="B104" s="758">
        <v>45981.0</v>
      </c>
      <c r="C104" s="548" t="s">
        <v>9951</v>
      </c>
      <c r="E104" s="756"/>
      <c r="F104" s="756">
        <v>41000.0</v>
      </c>
      <c r="G104" s="757">
        <f t="shared" si="1"/>
        <v>495800</v>
      </c>
      <c r="H104" s="548" t="s">
        <v>9863</v>
      </c>
      <c r="I104" s="548" t="s">
        <v>9950</v>
      </c>
      <c r="K104" s="757"/>
      <c r="L104" s="757"/>
      <c r="M104" s="757"/>
      <c r="N104" s="757"/>
      <c r="O104" s="757"/>
      <c r="P104" s="757"/>
    </row>
    <row r="105" hidden="1">
      <c r="A105" s="548">
        <v>104.0</v>
      </c>
      <c r="B105" s="758">
        <v>45981.0</v>
      </c>
      <c r="C105" s="548" t="s">
        <v>9957</v>
      </c>
      <c r="D105" s="548" t="s">
        <v>9958</v>
      </c>
      <c r="E105" s="756"/>
      <c r="F105" s="756">
        <v>18000.0</v>
      </c>
      <c r="G105" s="757">
        <f t="shared" si="1"/>
        <v>477800</v>
      </c>
      <c r="H105" s="548" t="s">
        <v>9863</v>
      </c>
      <c r="I105" s="548" t="s">
        <v>9959</v>
      </c>
      <c r="K105" s="757"/>
      <c r="L105" s="757"/>
      <c r="M105" s="756">
        <v>18000.0</v>
      </c>
      <c r="N105" s="757"/>
      <c r="O105" s="757"/>
      <c r="P105" s="757"/>
    </row>
    <row r="106" hidden="1">
      <c r="A106" s="548">
        <v>105.0</v>
      </c>
      <c r="B106" s="758">
        <v>45982.0</v>
      </c>
      <c r="C106" s="548" t="s">
        <v>9947</v>
      </c>
      <c r="D106" s="548" t="s">
        <v>9899</v>
      </c>
      <c r="E106" s="756"/>
      <c r="F106" s="756">
        <v>200000.0</v>
      </c>
      <c r="G106" s="757">
        <f t="shared" si="1"/>
        <v>277800</v>
      </c>
      <c r="H106" s="548" t="s">
        <v>9863</v>
      </c>
      <c r="I106" s="548" t="s">
        <v>9901</v>
      </c>
      <c r="K106" s="756">
        <v>200000.0</v>
      </c>
      <c r="L106" s="757"/>
      <c r="M106" s="757"/>
      <c r="N106" s="757"/>
      <c r="O106" s="757"/>
      <c r="P106" s="757"/>
    </row>
    <row r="107" hidden="1">
      <c r="A107" s="548">
        <v>106.0</v>
      </c>
      <c r="B107" s="758">
        <v>45982.0</v>
      </c>
      <c r="C107" s="548" t="s">
        <v>9947</v>
      </c>
      <c r="D107" s="548" t="s">
        <v>9960</v>
      </c>
      <c r="E107" s="756"/>
      <c r="F107" s="756">
        <v>127500.0</v>
      </c>
      <c r="G107" s="757">
        <f t="shared" si="1"/>
        <v>150300</v>
      </c>
      <c r="H107" s="548" t="s">
        <v>9863</v>
      </c>
      <c r="I107" s="548" t="s">
        <v>9954</v>
      </c>
      <c r="K107" s="756">
        <v>127500.0</v>
      </c>
      <c r="L107" s="757"/>
      <c r="M107" s="757"/>
      <c r="N107" s="757"/>
      <c r="O107" s="757"/>
      <c r="P107" s="757"/>
    </row>
    <row r="108" hidden="1">
      <c r="A108" s="548">
        <v>107.0</v>
      </c>
      <c r="B108" s="758">
        <v>45983.0</v>
      </c>
      <c r="C108" s="548" t="s">
        <v>9961</v>
      </c>
      <c r="D108" s="548" t="s">
        <v>9937</v>
      </c>
      <c r="E108" s="756"/>
      <c r="F108" s="756">
        <v>100000.0</v>
      </c>
      <c r="G108" s="757">
        <f t="shared" si="1"/>
        <v>50300</v>
      </c>
      <c r="H108" s="548" t="s">
        <v>3481</v>
      </c>
      <c r="I108" s="548" t="s">
        <v>9867</v>
      </c>
      <c r="K108" s="756">
        <v>100000.0</v>
      </c>
      <c r="L108" s="757"/>
      <c r="M108" s="757"/>
      <c r="N108" s="757"/>
      <c r="O108" s="757"/>
      <c r="P108" s="757"/>
    </row>
    <row r="109" hidden="1">
      <c r="A109" s="548">
        <v>108.0</v>
      </c>
      <c r="B109" s="758">
        <v>45983.0</v>
      </c>
      <c r="C109" s="548" t="s">
        <v>9962</v>
      </c>
      <c r="E109" s="756">
        <v>500000.0</v>
      </c>
      <c r="F109" s="757"/>
      <c r="G109" s="757">
        <f t="shared" si="1"/>
        <v>550300</v>
      </c>
      <c r="H109" s="548" t="s">
        <v>3481</v>
      </c>
      <c r="I109" s="548" t="s">
        <v>9950</v>
      </c>
      <c r="K109" s="757"/>
      <c r="L109" s="757"/>
      <c r="M109" s="757"/>
      <c r="N109" s="757"/>
      <c r="O109" s="757"/>
      <c r="P109" s="757"/>
    </row>
    <row r="110" hidden="1">
      <c r="A110" s="548">
        <v>109.0</v>
      </c>
      <c r="B110" s="758">
        <v>45983.0</v>
      </c>
      <c r="C110" s="548" t="s">
        <v>9947</v>
      </c>
      <c r="D110" s="548" t="s">
        <v>9933</v>
      </c>
      <c r="E110" s="756"/>
      <c r="F110" s="756">
        <v>300000.0</v>
      </c>
      <c r="G110" s="757">
        <f t="shared" si="1"/>
        <v>250300</v>
      </c>
      <c r="H110" s="548" t="s">
        <v>3481</v>
      </c>
      <c r="I110" s="548" t="s">
        <v>9872</v>
      </c>
      <c r="K110" s="756">
        <v>300000.0</v>
      </c>
      <c r="L110" s="757"/>
      <c r="M110" s="757"/>
      <c r="N110" s="757"/>
      <c r="O110" s="757"/>
      <c r="P110" s="757"/>
    </row>
    <row r="111" hidden="1">
      <c r="A111" s="548">
        <v>110.0</v>
      </c>
      <c r="B111" s="758">
        <v>45985.0</v>
      </c>
      <c r="C111" s="548" t="s">
        <v>9962</v>
      </c>
      <c r="E111" s="756">
        <v>800000.0</v>
      </c>
      <c r="F111" s="757"/>
      <c r="G111" s="757">
        <f t="shared" si="1"/>
        <v>1050300</v>
      </c>
      <c r="H111" s="548" t="s">
        <v>9863</v>
      </c>
      <c r="I111" s="548" t="s">
        <v>9950</v>
      </c>
      <c r="K111" s="757"/>
      <c r="L111" s="757"/>
      <c r="M111" s="757"/>
      <c r="N111" s="757"/>
      <c r="O111" s="757"/>
      <c r="P111" s="757"/>
    </row>
    <row r="112" hidden="1">
      <c r="A112" s="548">
        <v>111.0</v>
      </c>
      <c r="B112" s="758">
        <v>45985.0</v>
      </c>
      <c r="C112" s="548" t="s">
        <v>9947</v>
      </c>
      <c r="D112" s="548" t="s">
        <v>9963</v>
      </c>
      <c r="E112" s="756"/>
      <c r="F112" s="756">
        <v>300000.0</v>
      </c>
      <c r="G112" s="757">
        <f t="shared" si="1"/>
        <v>750300</v>
      </c>
      <c r="H112" s="548" t="s">
        <v>9863</v>
      </c>
      <c r="I112" s="548" t="s">
        <v>9901</v>
      </c>
      <c r="K112" s="756">
        <v>300000.0</v>
      </c>
      <c r="L112" s="757"/>
      <c r="M112" s="757"/>
      <c r="N112" s="757"/>
      <c r="O112" s="757"/>
      <c r="P112" s="757"/>
    </row>
    <row r="113" hidden="1">
      <c r="A113" s="548">
        <v>112.0</v>
      </c>
      <c r="B113" s="758">
        <v>45986.0</v>
      </c>
      <c r="C113" s="548" t="s">
        <v>9947</v>
      </c>
      <c r="D113" s="548" t="s">
        <v>9933</v>
      </c>
      <c r="E113" s="756"/>
      <c r="F113" s="756">
        <v>300000.0</v>
      </c>
      <c r="G113" s="757">
        <f t="shared" si="1"/>
        <v>450300</v>
      </c>
      <c r="H113" s="548" t="s">
        <v>9863</v>
      </c>
      <c r="I113" s="548" t="s">
        <v>9901</v>
      </c>
      <c r="K113" s="756">
        <v>300000.0</v>
      </c>
      <c r="L113" s="757"/>
      <c r="M113" s="757"/>
      <c r="N113" s="757"/>
      <c r="O113" s="757"/>
      <c r="P113" s="757"/>
    </row>
    <row r="114" hidden="1">
      <c r="A114" s="548">
        <v>113.0</v>
      </c>
      <c r="B114" s="758">
        <v>45987.0</v>
      </c>
      <c r="C114" s="548" t="s">
        <v>9961</v>
      </c>
      <c r="D114" s="548" t="s">
        <v>9949</v>
      </c>
      <c r="E114" s="756"/>
      <c r="F114" s="756">
        <v>40000.0</v>
      </c>
      <c r="G114" s="757">
        <f t="shared" si="1"/>
        <v>410300</v>
      </c>
      <c r="H114" s="548" t="s">
        <v>9863</v>
      </c>
      <c r="I114" s="548" t="s">
        <v>9901</v>
      </c>
      <c r="K114" s="756">
        <v>40000.0</v>
      </c>
      <c r="L114" s="757"/>
      <c r="M114" s="757"/>
      <c r="N114" s="757"/>
      <c r="O114" s="757"/>
      <c r="P114" s="757"/>
    </row>
    <row r="115" hidden="1">
      <c r="A115" s="548">
        <v>114.0</v>
      </c>
      <c r="B115" s="758">
        <v>45987.0</v>
      </c>
      <c r="C115" s="548" t="s">
        <v>9854</v>
      </c>
      <c r="D115" s="548" t="s">
        <v>9964</v>
      </c>
      <c r="E115" s="756"/>
      <c r="F115" s="756"/>
      <c r="G115" s="757">
        <f t="shared" si="1"/>
        <v>410300</v>
      </c>
      <c r="H115" s="548" t="s">
        <v>9863</v>
      </c>
      <c r="I115" s="548" t="s">
        <v>5379</v>
      </c>
      <c r="K115" s="757"/>
      <c r="L115" s="756">
        <v>7500.0</v>
      </c>
      <c r="M115" s="757"/>
      <c r="N115" s="757"/>
      <c r="O115" s="757"/>
      <c r="P115" s="757"/>
    </row>
    <row r="116" hidden="1">
      <c r="A116" s="548">
        <v>115.0</v>
      </c>
      <c r="B116" s="758">
        <v>45987.0</v>
      </c>
      <c r="C116" s="548" t="s">
        <v>9854</v>
      </c>
      <c r="D116" s="548" t="s">
        <v>9965</v>
      </c>
      <c r="E116" s="756"/>
      <c r="F116" s="756">
        <v>50000.0</v>
      </c>
      <c r="G116" s="757">
        <f t="shared" si="1"/>
        <v>360300</v>
      </c>
      <c r="H116" s="548" t="s">
        <v>9863</v>
      </c>
      <c r="I116" s="548" t="s">
        <v>9966</v>
      </c>
      <c r="K116" s="757"/>
      <c r="L116" s="756">
        <v>50000.0</v>
      </c>
      <c r="M116" s="757"/>
      <c r="N116" s="757"/>
      <c r="O116" s="757"/>
      <c r="P116" s="757"/>
    </row>
    <row r="117" hidden="1">
      <c r="A117" s="548">
        <v>116.0</v>
      </c>
      <c r="B117" s="758">
        <v>45989.0</v>
      </c>
      <c r="C117" s="548" t="s">
        <v>9865</v>
      </c>
      <c r="D117" s="548" t="s">
        <v>9955</v>
      </c>
      <c r="E117" s="756"/>
      <c r="F117" s="756">
        <v>40000.0</v>
      </c>
      <c r="G117" s="757">
        <f t="shared" si="1"/>
        <v>320300</v>
      </c>
      <c r="H117" s="548" t="s">
        <v>9863</v>
      </c>
      <c r="I117" s="548" t="s">
        <v>9935</v>
      </c>
      <c r="K117" s="757"/>
      <c r="L117" s="757"/>
      <c r="M117" s="757"/>
      <c r="N117" s="756">
        <v>40000.0</v>
      </c>
      <c r="O117" s="757"/>
      <c r="P117" s="757"/>
    </row>
    <row r="118" hidden="1">
      <c r="A118" s="548">
        <v>117.0</v>
      </c>
      <c r="B118" s="758">
        <v>45989.0</v>
      </c>
      <c r="C118" s="548" t="s">
        <v>9947</v>
      </c>
      <c r="D118" s="548" t="s">
        <v>9899</v>
      </c>
      <c r="E118" s="756"/>
      <c r="F118" s="756">
        <v>200000.0</v>
      </c>
      <c r="G118" s="757">
        <f t="shared" si="1"/>
        <v>120300</v>
      </c>
      <c r="H118" s="548" t="s">
        <v>9863</v>
      </c>
      <c r="I118" s="548" t="s">
        <v>9938</v>
      </c>
      <c r="K118" s="756">
        <v>200000.0</v>
      </c>
      <c r="L118" s="757"/>
      <c r="M118" s="757"/>
      <c r="N118" s="757"/>
      <c r="O118" s="757"/>
      <c r="P118" s="757"/>
    </row>
    <row r="119" hidden="1">
      <c r="A119" s="548">
        <v>118.0</v>
      </c>
      <c r="B119" s="758">
        <v>45990.0</v>
      </c>
      <c r="C119" s="548" t="s">
        <v>9865</v>
      </c>
      <c r="D119" s="548" t="s">
        <v>9967</v>
      </c>
      <c r="E119" s="756"/>
      <c r="F119" s="756">
        <v>20000.0</v>
      </c>
      <c r="G119" s="757">
        <f t="shared" si="1"/>
        <v>100300</v>
      </c>
      <c r="H119" s="548" t="s">
        <v>9863</v>
      </c>
      <c r="I119" s="548" t="s">
        <v>9935</v>
      </c>
      <c r="K119" s="757"/>
      <c r="L119" s="757"/>
      <c r="M119" s="757"/>
      <c r="N119" s="756">
        <v>20000.0</v>
      </c>
      <c r="O119" s="757"/>
      <c r="P119" s="757"/>
    </row>
    <row r="120" hidden="1">
      <c r="A120" s="548">
        <v>119.0</v>
      </c>
      <c r="B120" s="758">
        <v>45992.0</v>
      </c>
      <c r="C120" s="548" t="s">
        <v>9952</v>
      </c>
      <c r="D120" s="548" t="s">
        <v>9953</v>
      </c>
      <c r="E120" s="756"/>
      <c r="F120" s="756">
        <v>65000.0</v>
      </c>
      <c r="G120" s="757">
        <f t="shared" si="1"/>
        <v>35300</v>
      </c>
      <c r="H120" s="548" t="s">
        <v>9863</v>
      </c>
      <c r="I120" s="548" t="s">
        <v>9954</v>
      </c>
      <c r="K120" s="756">
        <v>65000.0</v>
      </c>
      <c r="L120" s="757"/>
      <c r="M120" s="757"/>
      <c r="N120" s="757"/>
      <c r="O120" s="757"/>
      <c r="P120" s="757"/>
    </row>
    <row r="121" hidden="1">
      <c r="A121" s="548">
        <v>120.0</v>
      </c>
      <c r="B121" s="758">
        <v>45993.0</v>
      </c>
      <c r="C121" s="548" t="s">
        <v>9968</v>
      </c>
      <c r="E121" s="756">
        <v>500000.0</v>
      </c>
      <c r="F121" s="756"/>
      <c r="G121" s="757">
        <f t="shared" si="1"/>
        <v>535300</v>
      </c>
      <c r="H121" s="548" t="s">
        <v>9863</v>
      </c>
      <c r="I121" s="548" t="s">
        <v>9950</v>
      </c>
      <c r="K121" s="757"/>
      <c r="L121" s="757"/>
      <c r="M121" s="757"/>
      <c r="N121" s="757"/>
      <c r="O121" s="757"/>
      <c r="P121" s="757"/>
    </row>
    <row r="122" hidden="1">
      <c r="A122" s="548">
        <v>121.0</v>
      </c>
      <c r="B122" s="758">
        <v>45994.0</v>
      </c>
      <c r="C122" s="548" t="s">
        <v>9854</v>
      </c>
      <c r="D122" s="548" t="s">
        <v>9969</v>
      </c>
      <c r="E122" s="756"/>
      <c r="F122" s="756">
        <v>26000.0</v>
      </c>
      <c r="G122" s="757">
        <f t="shared" si="1"/>
        <v>509300</v>
      </c>
      <c r="H122" s="548" t="s">
        <v>9863</v>
      </c>
      <c r="I122" s="548" t="s">
        <v>9959</v>
      </c>
      <c r="K122" s="757"/>
      <c r="L122" s="756">
        <v>26000.0</v>
      </c>
      <c r="M122" s="757"/>
      <c r="N122" s="757"/>
      <c r="O122" s="757"/>
      <c r="P122" s="757"/>
    </row>
    <row r="123" hidden="1">
      <c r="A123" s="548">
        <v>122.0</v>
      </c>
      <c r="B123" s="758">
        <v>45994.0</v>
      </c>
      <c r="C123" s="548" t="s">
        <v>9854</v>
      </c>
      <c r="D123" s="548" t="s">
        <v>9970</v>
      </c>
      <c r="E123" s="756"/>
      <c r="F123" s="756">
        <v>50000.0</v>
      </c>
      <c r="G123" s="757">
        <f t="shared" si="1"/>
        <v>459300</v>
      </c>
      <c r="H123" s="548" t="s">
        <v>9863</v>
      </c>
      <c r="I123" s="548" t="s">
        <v>9950</v>
      </c>
      <c r="K123" s="757"/>
      <c r="L123" s="757"/>
      <c r="M123" s="756">
        <v>50000.0</v>
      </c>
      <c r="N123" s="757"/>
      <c r="O123" s="757"/>
      <c r="P123" s="757"/>
    </row>
    <row r="124" hidden="1">
      <c r="A124" s="548">
        <v>123.0</v>
      </c>
      <c r="B124" s="758">
        <v>45994.0</v>
      </c>
      <c r="C124" s="548" t="s">
        <v>9971</v>
      </c>
      <c r="D124" s="548" t="s">
        <v>9956</v>
      </c>
      <c r="E124" s="756"/>
      <c r="F124" s="756">
        <v>300000.0</v>
      </c>
      <c r="G124" s="757">
        <f t="shared" si="1"/>
        <v>159300</v>
      </c>
      <c r="H124" s="548" t="s">
        <v>9863</v>
      </c>
      <c r="I124" s="548" t="s">
        <v>9935</v>
      </c>
      <c r="K124" s="756">
        <v>300000.0</v>
      </c>
      <c r="L124" s="757"/>
      <c r="M124" s="757"/>
      <c r="N124" s="757"/>
      <c r="O124" s="757"/>
      <c r="P124" s="757"/>
    </row>
    <row r="125" hidden="1">
      <c r="A125" s="548">
        <v>124.0</v>
      </c>
      <c r="B125" s="758">
        <v>45994.0</v>
      </c>
      <c r="C125" s="548" t="s">
        <v>9972</v>
      </c>
      <c r="D125" s="548" t="s">
        <v>9956</v>
      </c>
      <c r="E125" s="756"/>
      <c r="F125" s="756">
        <v>100000.0</v>
      </c>
      <c r="G125" s="757">
        <f t="shared" si="1"/>
        <v>59300</v>
      </c>
      <c r="H125" s="548" t="s">
        <v>9863</v>
      </c>
      <c r="I125" s="548" t="s">
        <v>9935</v>
      </c>
      <c r="K125" s="756">
        <v>100000.0</v>
      </c>
      <c r="L125" s="757"/>
      <c r="M125" s="757"/>
      <c r="N125" s="757"/>
      <c r="O125" s="757"/>
      <c r="P125" s="757"/>
    </row>
    <row r="126" hidden="1">
      <c r="A126" s="548">
        <v>125.0</v>
      </c>
      <c r="B126" s="758">
        <v>45994.0</v>
      </c>
      <c r="C126" s="548" t="s">
        <v>9968</v>
      </c>
      <c r="E126" s="756">
        <v>500000.0</v>
      </c>
      <c r="F126" s="757"/>
      <c r="G126" s="757">
        <f t="shared" si="1"/>
        <v>559300</v>
      </c>
      <c r="H126" s="548" t="s">
        <v>9863</v>
      </c>
      <c r="I126" s="548" t="s">
        <v>9950</v>
      </c>
      <c r="K126" s="757"/>
      <c r="L126" s="757"/>
      <c r="M126" s="757"/>
      <c r="N126" s="757"/>
      <c r="O126" s="757"/>
      <c r="P126" s="757"/>
    </row>
    <row r="127" hidden="1">
      <c r="A127" s="548">
        <v>126.0</v>
      </c>
      <c r="B127" s="758">
        <v>45994.0</v>
      </c>
      <c r="C127" s="548" t="s">
        <v>9854</v>
      </c>
      <c r="D127" s="548" t="s">
        <v>9973</v>
      </c>
      <c r="E127" s="756"/>
      <c r="F127" s="756">
        <v>10000.0</v>
      </c>
      <c r="G127" s="757">
        <f t="shared" si="1"/>
        <v>549300</v>
      </c>
      <c r="H127" s="548" t="s">
        <v>9863</v>
      </c>
      <c r="I127" s="548" t="s">
        <v>9959</v>
      </c>
      <c r="K127" s="757"/>
      <c r="L127" s="756">
        <v>10000.0</v>
      </c>
      <c r="M127" s="757"/>
      <c r="N127" s="757"/>
      <c r="O127" s="757"/>
      <c r="P127" s="757"/>
    </row>
    <row r="128" hidden="1">
      <c r="A128" s="548">
        <v>127.0</v>
      </c>
      <c r="B128" s="758">
        <v>45994.0</v>
      </c>
      <c r="C128" s="548" t="s">
        <v>9971</v>
      </c>
      <c r="D128" s="548" t="s">
        <v>9899</v>
      </c>
      <c r="E128" s="756"/>
      <c r="F128" s="756">
        <v>200000.0</v>
      </c>
      <c r="G128" s="757">
        <f t="shared" si="1"/>
        <v>349300</v>
      </c>
      <c r="H128" s="548" t="s">
        <v>9863</v>
      </c>
      <c r="I128" s="548" t="s">
        <v>9938</v>
      </c>
      <c r="K128" s="756">
        <v>200000.0</v>
      </c>
      <c r="L128" s="757"/>
      <c r="M128" s="757"/>
      <c r="N128" s="757"/>
      <c r="O128" s="757"/>
      <c r="P128" s="757"/>
    </row>
    <row r="129" hidden="1">
      <c r="A129" s="548">
        <v>128.0</v>
      </c>
      <c r="B129" s="758">
        <v>45996.0</v>
      </c>
      <c r="C129" s="548" t="s">
        <v>9865</v>
      </c>
      <c r="D129" s="548" t="s">
        <v>9955</v>
      </c>
      <c r="E129" s="756"/>
      <c r="F129" s="756">
        <v>40000.0</v>
      </c>
      <c r="G129" s="757">
        <f t="shared" si="1"/>
        <v>309300</v>
      </c>
      <c r="H129" s="548" t="s">
        <v>9863</v>
      </c>
      <c r="I129" s="548" t="s">
        <v>9935</v>
      </c>
      <c r="K129" s="757"/>
      <c r="L129" s="757"/>
      <c r="M129" s="757"/>
      <c r="N129" s="756">
        <v>40000.0</v>
      </c>
      <c r="O129" s="757"/>
      <c r="P129" s="757"/>
    </row>
    <row r="130" hidden="1">
      <c r="A130" s="548">
        <v>129.0</v>
      </c>
      <c r="B130" s="758">
        <v>45996.0</v>
      </c>
      <c r="C130" s="548" t="s">
        <v>9974</v>
      </c>
      <c r="D130" s="548" t="s">
        <v>9975</v>
      </c>
      <c r="E130" s="756"/>
      <c r="F130" s="756">
        <v>65000.0</v>
      </c>
      <c r="G130" s="757">
        <f t="shared" si="1"/>
        <v>244300</v>
      </c>
      <c r="H130" s="548" t="s">
        <v>9863</v>
      </c>
      <c r="I130" s="548" t="s">
        <v>9959</v>
      </c>
      <c r="K130" s="757"/>
      <c r="L130" s="757"/>
      <c r="M130" s="756">
        <v>65000.0</v>
      </c>
      <c r="N130" s="757"/>
      <c r="O130" s="757"/>
      <c r="P130" s="757"/>
    </row>
    <row r="131" hidden="1">
      <c r="A131" s="548">
        <v>130.0</v>
      </c>
      <c r="B131" s="758">
        <v>45996.0</v>
      </c>
      <c r="C131" s="548" t="s">
        <v>9854</v>
      </c>
      <c r="D131" s="548" t="s">
        <v>9976</v>
      </c>
      <c r="E131" s="756"/>
      <c r="F131" s="756">
        <v>94000.0</v>
      </c>
      <c r="G131" s="757">
        <f t="shared" si="1"/>
        <v>150300</v>
      </c>
      <c r="H131" s="548" t="s">
        <v>9863</v>
      </c>
      <c r="I131" s="548" t="s">
        <v>9941</v>
      </c>
      <c r="K131" s="757"/>
      <c r="L131" s="757"/>
      <c r="M131" s="756">
        <v>94000.0</v>
      </c>
      <c r="N131" s="757"/>
      <c r="O131" s="757"/>
      <c r="P131" s="757"/>
    </row>
    <row r="132" hidden="1">
      <c r="A132" s="548">
        <v>131.0</v>
      </c>
      <c r="B132" s="758">
        <v>45997.0</v>
      </c>
      <c r="C132" s="548" t="s">
        <v>9968</v>
      </c>
      <c r="E132" s="756">
        <v>800000.0</v>
      </c>
      <c r="F132" s="757"/>
      <c r="G132" s="757">
        <f t="shared" si="1"/>
        <v>950300</v>
      </c>
      <c r="H132" s="548" t="s">
        <v>9863</v>
      </c>
      <c r="I132" s="548" t="s">
        <v>9950</v>
      </c>
      <c r="K132" s="757"/>
      <c r="L132" s="757"/>
      <c r="M132" s="757"/>
      <c r="N132" s="757"/>
      <c r="O132" s="757"/>
      <c r="P132" s="757"/>
    </row>
    <row r="133" hidden="1">
      <c r="A133" s="548">
        <v>132.0</v>
      </c>
      <c r="B133" s="758">
        <v>45997.0</v>
      </c>
      <c r="C133" s="548" t="s">
        <v>9971</v>
      </c>
      <c r="D133" s="548" t="s">
        <v>9956</v>
      </c>
      <c r="E133" s="756"/>
      <c r="F133" s="756">
        <v>300000.0</v>
      </c>
      <c r="G133" s="757">
        <f t="shared" si="1"/>
        <v>650300</v>
      </c>
      <c r="H133" s="548" t="s">
        <v>9863</v>
      </c>
      <c r="I133" s="548" t="s">
        <v>9935</v>
      </c>
      <c r="K133" s="756">
        <v>300000.0</v>
      </c>
      <c r="L133" s="757"/>
      <c r="M133" s="757"/>
      <c r="N133" s="757"/>
      <c r="O133" s="757"/>
      <c r="P133" s="757"/>
    </row>
    <row r="134" hidden="1">
      <c r="A134" s="548">
        <v>133.0</v>
      </c>
      <c r="B134" s="758">
        <v>45999.0</v>
      </c>
      <c r="C134" s="548" t="s">
        <v>9977</v>
      </c>
      <c r="D134" s="548" t="s">
        <v>9978</v>
      </c>
      <c r="E134" s="756"/>
      <c r="F134" s="756">
        <v>15000.0</v>
      </c>
      <c r="G134" s="757">
        <f t="shared" si="1"/>
        <v>635300</v>
      </c>
      <c r="H134" s="548" t="s">
        <v>9863</v>
      </c>
      <c r="I134" s="548" t="s">
        <v>9979</v>
      </c>
      <c r="K134" s="756">
        <v>15000.0</v>
      </c>
      <c r="L134" s="757"/>
      <c r="M134" s="757"/>
      <c r="N134" s="757"/>
      <c r="O134" s="757"/>
      <c r="P134" s="757"/>
    </row>
    <row r="135" hidden="1">
      <c r="A135" s="548">
        <v>134.0</v>
      </c>
      <c r="B135" s="758">
        <v>45999.0</v>
      </c>
      <c r="C135" s="548" t="s">
        <v>9865</v>
      </c>
      <c r="D135" s="548" t="s">
        <v>9967</v>
      </c>
      <c r="E135" s="757"/>
      <c r="F135" s="756">
        <v>9000.0</v>
      </c>
      <c r="G135" s="757">
        <f t="shared" si="1"/>
        <v>626300</v>
      </c>
      <c r="H135" s="548" t="s">
        <v>9863</v>
      </c>
      <c r="I135" s="548" t="s">
        <v>9935</v>
      </c>
      <c r="K135" s="757"/>
      <c r="L135" s="757"/>
      <c r="M135" s="757"/>
      <c r="N135" s="756">
        <v>9000.0</v>
      </c>
      <c r="O135" s="757"/>
      <c r="P135" s="757"/>
    </row>
    <row r="136" hidden="1">
      <c r="A136" s="548">
        <v>135.0</v>
      </c>
      <c r="B136" s="758">
        <v>45997.0</v>
      </c>
      <c r="C136" s="548" t="s">
        <v>9977</v>
      </c>
      <c r="D136" s="548" t="s">
        <v>9953</v>
      </c>
      <c r="E136" s="757"/>
      <c r="F136" s="756">
        <v>72000.0</v>
      </c>
      <c r="G136" s="757">
        <f t="shared" si="1"/>
        <v>554300</v>
      </c>
      <c r="H136" s="548" t="s">
        <v>9863</v>
      </c>
      <c r="I136" s="548" t="s">
        <v>9954</v>
      </c>
      <c r="K136" s="756">
        <v>72000.0</v>
      </c>
      <c r="L136" s="757"/>
      <c r="M136" s="757"/>
      <c r="N136" s="757"/>
      <c r="O136" s="757"/>
      <c r="P136" s="757"/>
    </row>
    <row r="137" hidden="1">
      <c r="A137" s="548">
        <v>136.0</v>
      </c>
      <c r="B137" s="758">
        <v>45999.0</v>
      </c>
      <c r="C137" s="548" t="s">
        <v>9952</v>
      </c>
      <c r="D137" s="548" t="s">
        <v>9980</v>
      </c>
      <c r="E137" s="757"/>
      <c r="F137" s="756">
        <v>30000.0</v>
      </c>
      <c r="G137" s="757">
        <f t="shared" si="1"/>
        <v>524300</v>
      </c>
      <c r="H137" s="548" t="s">
        <v>9863</v>
      </c>
      <c r="I137" s="548" t="s">
        <v>9954</v>
      </c>
      <c r="K137" s="756">
        <v>30000.0</v>
      </c>
      <c r="L137" s="757"/>
      <c r="M137" s="757"/>
      <c r="N137" s="757"/>
      <c r="O137" s="757"/>
      <c r="P137" s="757"/>
    </row>
    <row r="138" hidden="1">
      <c r="A138" s="548">
        <v>137.0</v>
      </c>
      <c r="B138" s="758">
        <v>46002.0</v>
      </c>
      <c r="C138" s="548" t="s">
        <v>9865</v>
      </c>
      <c r="D138" s="548" t="s">
        <v>9955</v>
      </c>
      <c r="E138" s="757"/>
      <c r="F138" s="756">
        <v>40000.0</v>
      </c>
      <c r="G138" s="757">
        <f t="shared" si="1"/>
        <v>484300</v>
      </c>
      <c r="H138" s="548" t="s">
        <v>9863</v>
      </c>
      <c r="I138" s="548" t="s">
        <v>9935</v>
      </c>
      <c r="K138" s="757"/>
      <c r="L138" s="757"/>
      <c r="M138" s="757"/>
      <c r="N138" s="756">
        <v>40000.0</v>
      </c>
      <c r="O138" s="757"/>
      <c r="P138" s="757"/>
    </row>
    <row r="139" hidden="1">
      <c r="A139" s="548">
        <v>138.0</v>
      </c>
      <c r="B139" s="758">
        <v>46002.0</v>
      </c>
      <c r="C139" s="548" t="s">
        <v>9971</v>
      </c>
      <c r="D139" s="548" t="s">
        <v>9956</v>
      </c>
      <c r="E139" s="757"/>
      <c r="F139" s="756">
        <v>300000.0</v>
      </c>
      <c r="G139" s="757">
        <f t="shared" si="1"/>
        <v>184300</v>
      </c>
      <c r="H139" s="548" t="s">
        <v>9863</v>
      </c>
      <c r="I139" s="548" t="s">
        <v>9935</v>
      </c>
      <c r="K139" s="756">
        <v>300000.0</v>
      </c>
      <c r="L139" s="757"/>
      <c r="M139" s="757"/>
      <c r="N139" s="757"/>
      <c r="O139" s="757"/>
      <c r="P139" s="757"/>
    </row>
    <row r="140" hidden="1">
      <c r="A140" s="548">
        <v>139.0</v>
      </c>
      <c r="B140" s="758">
        <v>46003.0</v>
      </c>
      <c r="C140" s="548" t="s">
        <v>9854</v>
      </c>
      <c r="D140" s="548" t="s">
        <v>9981</v>
      </c>
      <c r="E140" s="757"/>
      <c r="F140" s="756">
        <v>150000.0</v>
      </c>
      <c r="G140" s="757">
        <f t="shared" si="1"/>
        <v>34300</v>
      </c>
      <c r="H140" s="548" t="s">
        <v>9863</v>
      </c>
      <c r="I140" s="548" t="s">
        <v>2976</v>
      </c>
      <c r="K140" s="757"/>
      <c r="L140" s="756">
        <v>150000.0</v>
      </c>
      <c r="M140" s="757"/>
      <c r="N140" s="757"/>
      <c r="O140" s="757"/>
      <c r="P140" s="757"/>
    </row>
    <row r="141" hidden="1">
      <c r="A141" s="548">
        <v>140.0</v>
      </c>
      <c r="B141" s="758">
        <v>46004.0</v>
      </c>
      <c r="C141" s="548" t="s">
        <v>9968</v>
      </c>
      <c r="E141" s="756">
        <v>500000.0</v>
      </c>
      <c r="F141" s="757"/>
      <c r="G141" s="757">
        <f t="shared" si="1"/>
        <v>534300</v>
      </c>
      <c r="H141" s="548" t="s">
        <v>9863</v>
      </c>
      <c r="I141" s="548" t="s">
        <v>9950</v>
      </c>
      <c r="K141" s="757"/>
      <c r="L141" s="757"/>
      <c r="M141" s="757"/>
      <c r="N141" s="757"/>
      <c r="O141" s="757"/>
      <c r="P141" s="757"/>
    </row>
    <row r="142" hidden="1">
      <c r="A142" s="548">
        <v>141.0</v>
      </c>
      <c r="B142" s="758">
        <v>46006.0</v>
      </c>
      <c r="C142" s="548" t="s">
        <v>9972</v>
      </c>
      <c r="D142" s="548" t="s">
        <v>9982</v>
      </c>
      <c r="E142" s="757"/>
      <c r="F142" s="756">
        <v>100000.0</v>
      </c>
      <c r="G142" s="757">
        <f t="shared" si="1"/>
        <v>434300</v>
      </c>
      <c r="H142" s="548" t="s">
        <v>9863</v>
      </c>
      <c r="I142" s="548" t="s">
        <v>9935</v>
      </c>
      <c r="K142" s="756">
        <v>100000.0</v>
      </c>
      <c r="L142" s="757"/>
      <c r="M142" s="757"/>
      <c r="N142" s="757"/>
      <c r="O142" s="757"/>
      <c r="P142" s="757"/>
    </row>
    <row r="143" hidden="1">
      <c r="A143" s="548">
        <v>142.0</v>
      </c>
      <c r="B143" s="758">
        <v>46006.0</v>
      </c>
      <c r="C143" s="548" t="s">
        <v>9919</v>
      </c>
      <c r="D143" s="548" t="s">
        <v>9967</v>
      </c>
      <c r="E143" s="757"/>
      <c r="F143" s="756">
        <v>9000.0</v>
      </c>
      <c r="G143" s="757">
        <f t="shared" si="1"/>
        <v>425300</v>
      </c>
      <c r="H143" s="548" t="s">
        <v>9863</v>
      </c>
      <c r="I143" s="548" t="s">
        <v>9935</v>
      </c>
      <c r="K143" s="757"/>
      <c r="L143" s="757"/>
      <c r="M143" s="757"/>
      <c r="N143" s="756">
        <v>9000.0</v>
      </c>
      <c r="O143" s="757"/>
      <c r="P143" s="757"/>
    </row>
    <row r="144" hidden="1">
      <c r="A144" s="548">
        <v>143.0</v>
      </c>
      <c r="B144" s="758">
        <v>46007.0</v>
      </c>
      <c r="C144" s="548" t="s">
        <v>9971</v>
      </c>
      <c r="D144" s="548" t="s">
        <v>9983</v>
      </c>
      <c r="E144" s="757"/>
      <c r="F144" s="756">
        <v>300000.0</v>
      </c>
      <c r="G144" s="757">
        <f t="shared" si="1"/>
        <v>125300</v>
      </c>
      <c r="H144" s="548" t="s">
        <v>9863</v>
      </c>
      <c r="I144" s="548" t="s">
        <v>9935</v>
      </c>
      <c r="K144" s="756">
        <v>300000.0</v>
      </c>
      <c r="L144" s="757"/>
      <c r="M144" s="757"/>
      <c r="N144" s="757"/>
      <c r="O144" s="757"/>
      <c r="P144" s="757"/>
    </row>
    <row r="145" hidden="1">
      <c r="A145" s="548">
        <v>144.0</v>
      </c>
      <c r="B145" s="758">
        <v>46008.0</v>
      </c>
      <c r="C145" s="548" t="s">
        <v>9984</v>
      </c>
      <c r="D145" s="548" t="s">
        <v>9985</v>
      </c>
      <c r="E145" s="757"/>
      <c r="F145" s="756">
        <v>75000.0</v>
      </c>
      <c r="G145" s="757">
        <f t="shared" si="1"/>
        <v>50300</v>
      </c>
      <c r="H145" s="548" t="s">
        <v>9863</v>
      </c>
      <c r="I145" s="548" t="s">
        <v>9931</v>
      </c>
      <c r="K145" s="757"/>
      <c r="L145" s="756">
        <v>75000.0</v>
      </c>
      <c r="M145" s="757"/>
      <c r="N145" s="757"/>
      <c r="O145" s="757"/>
      <c r="P145" s="757"/>
    </row>
    <row r="146" hidden="1">
      <c r="A146" s="548">
        <v>145.0</v>
      </c>
      <c r="B146" s="758">
        <v>46008.0</v>
      </c>
      <c r="C146" s="548" t="s">
        <v>9971</v>
      </c>
      <c r="D146" s="548" t="s">
        <v>9986</v>
      </c>
      <c r="E146" s="756"/>
      <c r="F146" s="756">
        <v>20000.0</v>
      </c>
      <c r="G146" s="757">
        <f t="shared" si="1"/>
        <v>30300</v>
      </c>
      <c r="H146" s="548" t="s">
        <v>9863</v>
      </c>
      <c r="I146" s="548" t="s">
        <v>8592</v>
      </c>
      <c r="K146" s="756">
        <v>20000.0</v>
      </c>
      <c r="L146" s="757"/>
      <c r="M146" s="757"/>
      <c r="N146" s="757"/>
      <c r="O146" s="757"/>
      <c r="P146" s="757"/>
    </row>
    <row r="147" hidden="1">
      <c r="A147" s="548">
        <v>146.0</v>
      </c>
      <c r="B147" s="758">
        <v>46008.0</v>
      </c>
      <c r="C147" s="548" t="s">
        <v>9878</v>
      </c>
      <c r="E147" s="756">
        <v>300000.0</v>
      </c>
      <c r="F147" s="757"/>
      <c r="G147" s="757">
        <f t="shared" si="1"/>
        <v>330300</v>
      </c>
      <c r="H147" s="548" t="s">
        <v>9863</v>
      </c>
      <c r="I147" s="548" t="s">
        <v>9950</v>
      </c>
      <c r="K147" s="757"/>
      <c r="L147" s="757"/>
      <c r="M147" s="757"/>
      <c r="N147" s="757"/>
      <c r="O147" s="757"/>
      <c r="P147" s="757"/>
    </row>
    <row r="148" hidden="1">
      <c r="A148" s="548">
        <v>147.0</v>
      </c>
      <c r="B148" s="758">
        <v>46008.0</v>
      </c>
      <c r="C148" s="548" t="s">
        <v>9972</v>
      </c>
      <c r="D148" s="548" t="s">
        <v>9987</v>
      </c>
      <c r="E148" s="757"/>
      <c r="F148" s="756">
        <v>30000.0</v>
      </c>
      <c r="G148" s="757">
        <f t="shared" si="1"/>
        <v>300300</v>
      </c>
      <c r="H148" s="548" t="s">
        <v>9863</v>
      </c>
      <c r="I148" s="548" t="s">
        <v>9935</v>
      </c>
      <c r="K148" s="756">
        <v>30000.0</v>
      </c>
      <c r="L148" s="757"/>
      <c r="M148" s="757"/>
      <c r="N148" s="757"/>
      <c r="O148" s="757"/>
      <c r="P148" s="757"/>
    </row>
    <row r="149" hidden="1">
      <c r="A149" s="548">
        <v>148.0</v>
      </c>
      <c r="B149" s="758">
        <v>46009.0</v>
      </c>
      <c r="C149" s="548" t="s">
        <v>9974</v>
      </c>
      <c r="D149" s="548" t="s">
        <v>9988</v>
      </c>
      <c r="E149" s="756"/>
      <c r="F149" s="756">
        <v>7000.0</v>
      </c>
      <c r="G149" s="757">
        <f t="shared" si="1"/>
        <v>293300</v>
      </c>
      <c r="H149" s="548" t="s">
        <v>6553</v>
      </c>
      <c r="I149" s="548" t="s">
        <v>9931</v>
      </c>
      <c r="K149" s="757"/>
      <c r="L149" s="757"/>
      <c r="M149" s="756">
        <v>7000.0</v>
      </c>
      <c r="N149" s="757"/>
      <c r="O149" s="757"/>
      <c r="P149" s="757"/>
    </row>
    <row r="150" hidden="1">
      <c r="A150" s="548">
        <v>149.0</v>
      </c>
      <c r="B150" s="758">
        <v>46009.0</v>
      </c>
      <c r="C150" s="548" t="s">
        <v>9974</v>
      </c>
      <c r="D150" s="548" t="s">
        <v>9989</v>
      </c>
      <c r="E150" s="757"/>
      <c r="F150" s="756">
        <v>35000.0</v>
      </c>
      <c r="G150" s="757">
        <f t="shared" si="1"/>
        <v>258300</v>
      </c>
      <c r="H150" s="548" t="s">
        <v>9990</v>
      </c>
      <c r="I150" s="548" t="s">
        <v>9931</v>
      </c>
      <c r="K150" s="757"/>
      <c r="L150" s="757"/>
      <c r="M150" s="756">
        <v>35000.0</v>
      </c>
      <c r="N150" s="757"/>
      <c r="O150" s="757"/>
      <c r="P150" s="757"/>
    </row>
    <row r="151" hidden="1">
      <c r="A151" s="548">
        <v>150.0</v>
      </c>
      <c r="B151" s="758">
        <v>46009.0</v>
      </c>
      <c r="C151" s="548" t="s">
        <v>9865</v>
      </c>
      <c r="D151" s="548" t="s">
        <v>9991</v>
      </c>
      <c r="E151" s="757"/>
      <c r="F151" s="756">
        <v>40000.0</v>
      </c>
      <c r="G151" s="757">
        <f t="shared" si="1"/>
        <v>218300</v>
      </c>
      <c r="H151" s="548" t="s">
        <v>9990</v>
      </c>
      <c r="I151" s="548" t="s">
        <v>9931</v>
      </c>
      <c r="K151" s="757"/>
      <c r="L151" s="757"/>
      <c r="M151" s="757"/>
      <c r="N151" s="756">
        <v>40000.0</v>
      </c>
      <c r="O151" s="757"/>
      <c r="P151" s="757"/>
    </row>
    <row r="152" hidden="1">
      <c r="A152" s="548">
        <v>151.0</v>
      </c>
      <c r="B152" s="758">
        <v>46010.0</v>
      </c>
      <c r="C152" s="548" t="s">
        <v>9971</v>
      </c>
      <c r="D152" s="548" t="s">
        <v>9992</v>
      </c>
      <c r="E152" s="757"/>
      <c r="F152" s="756">
        <v>200000.0</v>
      </c>
      <c r="G152" s="757">
        <f t="shared" si="1"/>
        <v>18300</v>
      </c>
      <c r="H152" s="677" t="s">
        <v>9993</v>
      </c>
      <c r="I152" s="548" t="s">
        <v>9935</v>
      </c>
      <c r="K152" s="756">
        <v>200000.0</v>
      </c>
      <c r="L152" s="757"/>
      <c r="M152" s="757"/>
      <c r="N152" s="757"/>
      <c r="O152" s="757"/>
      <c r="P152" s="757"/>
    </row>
    <row r="153" hidden="1">
      <c r="A153" s="548">
        <v>152.0</v>
      </c>
      <c r="B153" s="758">
        <v>46011.0</v>
      </c>
      <c r="C153" s="548" t="s">
        <v>9971</v>
      </c>
      <c r="D153" s="548" t="s">
        <v>9992</v>
      </c>
      <c r="E153" s="757"/>
      <c r="F153" s="757"/>
      <c r="G153" s="757">
        <f t="shared" si="1"/>
        <v>18300</v>
      </c>
      <c r="H153" s="548" t="s">
        <v>9950</v>
      </c>
      <c r="I153" s="548" t="s">
        <v>9935</v>
      </c>
      <c r="K153" s="756">
        <v>300000.0</v>
      </c>
      <c r="L153" s="757"/>
      <c r="M153" s="757"/>
      <c r="N153" s="757"/>
      <c r="O153" s="757"/>
      <c r="P153" s="757"/>
    </row>
    <row r="154" hidden="1">
      <c r="A154" s="548">
        <v>153.0</v>
      </c>
      <c r="B154" s="758">
        <v>46014.0</v>
      </c>
      <c r="C154" s="548" t="s">
        <v>9865</v>
      </c>
      <c r="D154" s="548" t="s">
        <v>9967</v>
      </c>
      <c r="E154" s="757"/>
      <c r="F154" s="756">
        <v>10000.0</v>
      </c>
      <c r="G154" s="757">
        <f t="shared" si="1"/>
        <v>8300</v>
      </c>
      <c r="H154" s="548" t="s">
        <v>9950</v>
      </c>
      <c r="I154" s="548" t="s">
        <v>9959</v>
      </c>
      <c r="K154" s="757"/>
      <c r="L154" s="757"/>
      <c r="M154" s="757"/>
      <c r="N154" s="756">
        <v>10000.0</v>
      </c>
      <c r="O154" s="757"/>
      <c r="P154" s="757"/>
    </row>
    <row r="155" hidden="1">
      <c r="A155" s="548">
        <v>154.0</v>
      </c>
      <c r="B155" s="758">
        <v>46015.0</v>
      </c>
      <c r="C155" s="548" t="s">
        <v>9878</v>
      </c>
      <c r="E155" s="756">
        <v>500000.0</v>
      </c>
      <c r="F155" s="757"/>
      <c r="G155" s="757">
        <f t="shared" si="1"/>
        <v>508300</v>
      </c>
      <c r="H155" s="548" t="s">
        <v>9950</v>
      </c>
      <c r="I155" s="548" t="s">
        <v>9950</v>
      </c>
      <c r="K155" s="757"/>
      <c r="L155" s="757"/>
      <c r="M155" s="757"/>
      <c r="N155" s="757"/>
      <c r="O155" s="757"/>
      <c r="P155" s="757"/>
    </row>
    <row r="156" hidden="1">
      <c r="A156" s="548">
        <v>155.0</v>
      </c>
      <c r="B156" s="758">
        <v>46015.0</v>
      </c>
      <c r="C156" s="548" t="s">
        <v>9972</v>
      </c>
      <c r="D156" s="548" t="s">
        <v>9994</v>
      </c>
      <c r="E156" s="757"/>
      <c r="F156" s="756">
        <v>100000.0</v>
      </c>
      <c r="G156" s="757">
        <f t="shared" si="1"/>
        <v>408300</v>
      </c>
      <c r="H156" s="548" t="s">
        <v>9950</v>
      </c>
      <c r="I156" s="548" t="s">
        <v>9966</v>
      </c>
      <c r="K156" s="756">
        <v>100000.0</v>
      </c>
      <c r="L156" s="757"/>
      <c r="M156" s="757"/>
      <c r="N156" s="757"/>
      <c r="O156" s="757"/>
      <c r="P156" s="757"/>
    </row>
    <row r="157" hidden="1">
      <c r="A157" s="548">
        <v>156.0</v>
      </c>
      <c r="B157" s="758">
        <v>46018.0</v>
      </c>
      <c r="C157" s="548" t="s">
        <v>9971</v>
      </c>
      <c r="D157" s="548" t="s">
        <v>9992</v>
      </c>
      <c r="E157" s="757"/>
      <c r="F157" s="756">
        <v>300000.0</v>
      </c>
      <c r="G157" s="757">
        <f t="shared" si="1"/>
        <v>108300</v>
      </c>
      <c r="H157" s="548" t="s">
        <v>9950</v>
      </c>
      <c r="I157" s="548" t="s">
        <v>9931</v>
      </c>
      <c r="K157" s="756">
        <v>300000.0</v>
      </c>
      <c r="L157" s="757"/>
      <c r="M157" s="757"/>
      <c r="N157" s="757"/>
      <c r="O157" s="757"/>
      <c r="P157" s="757"/>
    </row>
    <row r="158" hidden="1">
      <c r="A158" s="548">
        <v>157.0</v>
      </c>
      <c r="B158" s="758">
        <v>46020.0</v>
      </c>
      <c r="C158" s="548" t="s">
        <v>9878</v>
      </c>
      <c r="E158" s="756">
        <v>300000.0</v>
      </c>
      <c r="F158" s="757"/>
      <c r="G158" s="757">
        <f t="shared" si="1"/>
        <v>408300</v>
      </c>
      <c r="H158" s="548" t="s">
        <v>9990</v>
      </c>
      <c r="I158" s="548" t="s">
        <v>9950</v>
      </c>
      <c r="K158" s="757"/>
      <c r="L158" s="757"/>
      <c r="M158" s="757"/>
      <c r="N158" s="757"/>
      <c r="O158" s="757"/>
      <c r="P158" s="757"/>
    </row>
    <row r="159" hidden="1">
      <c r="A159" s="548">
        <v>158.0</v>
      </c>
      <c r="B159" s="758">
        <v>46020.0</v>
      </c>
      <c r="C159" s="548" t="s">
        <v>9995</v>
      </c>
      <c r="D159" s="548" t="s">
        <v>9996</v>
      </c>
      <c r="E159" s="757"/>
      <c r="F159" s="756">
        <v>217000.0</v>
      </c>
      <c r="G159" s="757">
        <f t="shared" si="1"/>
        <v>191300</v>
      </c>
      <c r="H159" s="548" t="s">
        <v>9990</v>
      </c>
      <c r="I159" s="548" t="s">
        <v>9950</v>
      </c>
      <c r="K159" s="757"/>
      <c r="L159" s="757"/>
      <c r="M159" s="757"/>
      <c r="N159" s="757"/>
      <c r="O159" s="757"/>
      <c r="P159" s="757"/>
    </row>
    <row r="160" hidden="1">
      <c r="A160" s="548">
        <v>159.0</v>
      </c>
      <c r="B160" s="758">
        <v>46020.0</v>
      </c>
      <c r="C160" s="548" t="s">
        <v>9972</v>
      </c>
      <c r="D160" s="548" t="s">
        <v>9927</v>
      </c>
      <c r="E160" s="757"/>
      <c r="F160" s="756">
        <v>20000.0</v>
      </c>
      <c r="G160" s="757">
        <f t="shared" si="1"/>
        <v>171300</v>
      </c>
      <c r="H160" s="548" t="s">
        <v>9950</v>
      </c>
      <c r="I160" s="548" t="s">
        <v>9950</v>
      </c>
      <c r="K160" s="757"/>
      <c r="L160" s="757"/>
      <c r="M160" s="757"/>
      <c r="N160" s="757"/>
      <c r="O160" s="757"/>
      <c r="P160" s="757"/>
    </row>
    <row r="161" hidden="1">
      <c r="A161" s="548">
        <v>160.0</v>
      </c>
      <c r="B161" s="758">
        <v>46020.0</v>
      </c>
      <c r="C161" s="548" t="s">
        <v>9997</v>
      </c>
      <c r="D161" s="548" t="s">
        <v>9955</v>
      </c>
      <c r="E161" s="757"/>
      <c r="F161" s="756">
        <v>40000.0</v>
      </c>
      <c r="G161" s="757">
        <f t="shared" si="1"/>
        <v>131300</v>
      </c>
      <c r="H161" s="548" t="s">
        <v>9950</v>
      </c>
      <c r="I161" s="548" t="s">
        <v>9935</v>
      </c>
      <c r="K161" s="757"/>
      <c r="L161" s="757"/>
      <c r="M161" s="757"/>
      <c r="N161" s="757"/>
      <c r="O161" s="757"/>
      <c r="P161" s="757"/>
    </row>
    <row r="162" hidden="1">
      <c r="A162" s="548">
        <v>161.0</v>
      </c>
      <c r="B162" s="758">
        <v>46020.0</v>
      </c>
      <c r="C162" s="548" t="s">
        <v>9997</v>
      </c>
      <c r="D162" s="548" t="s">
        <v>9967</v>
      </c>
      <c r="E162" s="757"/>
      <c r="F162" s="756">
        <v>10000.0</v>
      </c>
      <c r="G162" s="757">
        <f t="shared" si="1"/>
        <v>121300</v>
      </c>
      <c r="H162" s="548" t="s">
        <v>9950</v>
      </c>
      <c r="I162" s="548" t="s">
        <v>9935</v>
      </c>
      <c r="K162" s="757"/>
      <c r="L162" s="757"/>
      <c r="M162" s="757"/>
      <c r="N162" s="757"/>
      <c r="O162" s="757"/>
      <c r="P162" s="757"/>
    </row>
    <row r="163" hidden="1">
      <c r="A163" s="548">
        <v>162.0</v>
      </c>
      <c r="B163" s="758">
        <v>46021.0</v>
      </c>
      <c r="C163" s="548" t="s">
        <v>9998</v>
      </c>
      <c r="D163" s="548" t="s">
        <v>9999</v>
      </c>
      <c r="E163" s="757"/>
      <c r="F163" s="756">
        <v>80000.0</v>
      </c>
      <c r="G163" s="757">
        <f t="shared" si="1"/>
        <v>41300</v>
      </c>
      <c r="H163" s="548" t="s">
        <v>9950</v>
      </c>
      <c r="I163" s="548" t="s">
        <v>9950</v>
      </c>
      <c r="K163" s="757"/>
      <c r="L163" s="757"/>
      <c r="M163" s="757"/>
      <c r="N163" s="757"/>
      <c r="O163" s="757"/>
      <c r="P163" s="757"/>
    </row>
    <row r="164" hidden="1">
      <c r="A164" s="548">
        <v>163.0</v>
      </c>
      <c r="B164" s="758">
        <v>46021.0</v>
      </c>
      <c r="C164" s="548" t="s">
        <v>9968</v>
      </c>
      <c r="E164" s="756">
        <v>300000.0</v>
      </c>
      <c r="F164" s="757"/>
      <c r="G164" s="757">
        <f t="shared" si="1"/>
        <v>341300</v>
      </c>
      <c r="H164" s="548" t="s">
        <v>9950</v>
      </c>
      <c r="I164" s="548" t="s">
        <v>9950</v>
      </c>
      <c r="K164" s="757"/>
      <c r="L164" s="757"/>
      <c r="M164" s="757"/>
      <c r="N164" s="757"/>
      <c r="O164" s="757"/>
      <c r="P164" s="757"/>
    </row>
    <row r="165" hidden="1">
      <c r="A165" s="548">
        <v>164.0</v>
      </c>
      <c r="B165" s="758">
        <v>46021.0</v>
      </c>
      <c r="C165" s="548" t="s">
        <v>10000</v>
      </c>
      <c r="D165" s="548" t="s">
        <v>10001</v>
      </c>
      <c r="E165" s="757"/>
      <c r="F165" s="756">
        <v>26600.0</v>
      </c>
      <c r="G165" s="757">
        <f t="shared" si="1"/>
        <v>314700</v>
      </c>
      <c r="H165" s="548" t="s">
        <v>9950</v>
      </c>
      <c r="I165" s="548" t="s">
        <v>9935</v>
      </c>
      <c r="K165" s="757"/>
      <c r="L165" s="757"/>
      <c r="M165" s="757"/>
      <c r="N165" s="757"/>
      <c r="O165" s="757"/>
      <c r="P165" s="757"/>
    </row>
    <row r="166" hidden="1">
      <c r="A166" s="548">
        <v>165.0</v>
      </c>
      <c r="B166" s="758">
        <v>46021.0</v>
      </c>
      <c r="C166" s="548" t="s">
        <v>10000</v>
      </c>
      <c r="D166" s="548" t="s">
        <v>10002</v>
      </c>
      <c r="E166" s="757"/>
      <c r="F166" s="756">
        <v>55500.0</v>
      </c>
      <c r="G166" s="757">
        <f t="shared" si="1"/>
        <v>259200</v>
      </c>
      <c r="H166" s="548" t="s">
        <v>9950</v>
      </c>
      <c r="I166" s="548" t="s">
        <v>9950</v>
      </c>
      <c r="K166" s="757"/>
      <c r="L166" s="757"/>
      <c r="M166" s="757"/>
      <c r="N166" s="757"/>
      <c r="O166" s="757"/>
      <c r="P166" s="757"/>
    </row>
    <row r="167" hidden="1">
      <c r="A167" s="548">
        <v>166.0</v>
      </c>
      <c r="B167" s="758">
        <v>46021.0</v>
      </c>
      <c r="C167" s="548" t="s">
        <v>10003</v>
      </c>
      <c r="D167" s="548" t="s">
        <v>10004</v>
      </c>
      <c r="E167" s="757"/>
      <c r="F167" s="756">
        <v>19000.0</v>
      </c>
      <c r="G167" s="757">
        <f t="shared" si="1"/>
        <v>240200</v>
      </c>
      <c r="H167" s="548" t="s">
        <v>9950</v>
      </c>
      <c r="I167" s="548" t="s">
        <v>9950</v>
      </c>
      <c r="K167" s="757"/>
      <c r="L167" s="757"/>
      <c r="M167" s="757"/>
      <c r="N167" s="757"/>
      <c r="O167" s="757"/>
      <c r="P167" s="757"/>
    </row>
    <row r="168" hidden="1">
      <c r="A168" s="548">
        <v>167.0</v>
      </c>
      <c r="B168" s="758">
        <v>46021.0</v>
      </c>
      <c r="C168" s="548" t="s">
        <v>10005</v>
      </c>
      <c r="D168" s="548" t="s">
        <v>10006</v>
      </c>
      <c r="E168" s="757"/>
      <c r="F168" s="756">
        <v>60000.0</v>
      </c>
      <c r="G168" s="757">
        <f t="shared" si="1"/>
        <v>180200</v>
      </c>
      <c r="H168" s="548" t="s">
        <v>9950</v>
      </c>
      <c r="I168" s="548" t="s">
        <v>9935</v>
      </c>
      <c r="K168" s="757"/>
      <c r="L168" s="757"/>
      <c r="M168" s="757"/>
      <c r="N168" s="757"/>
      <c r="O168" s="757"/>
      <c r="P168" s="757"/>
    </row>
    <row r="169" hidden="1">
      <c r="A169" s="548">
        <v>168.0</v>
      </c>
      <c r="B169" s="758">
        <v>46024.0</v>
      </c>
      <c r="C169" s="548" t="s">
        <v>10007</v>
      </c>
      <c r="D169" s="548" t="s">
        <v>10008</v>
      </c>
      <c r="E169" s="757"/>
      <c r="F169" s="756">
        <v>30000.0</v>
      </c>
      <c r="G169" s="757">
        <f t="shared" si="1"/>
        <v>150200</v>
      </c>
      <c r="H169" s="548" t="s">
        <v>2976</v>
      </c>
      <c r="I169" s="548" t="s">
        <v>9966</v>
      </c>
      <c r="K169" s="757"/>
      <c r="L169" s="757"/>
      <c r="M169" s="757"/>
      <c r="N169" s="757"/>
      <c r="O169" s="757"/>
      <c r="P169" s="757"/>
    </row>
    <row r="170" hidden="1">
      <c r="A170" s="548">
        <v>169.0</v>
      </c>
      <c r="B170" s="758">
        <v>46026.0</v>
      </c>
      <c r="C170" s="548" t="s">
        <v>10009</v>
      </c>
      <c r="D170" s="548" t="s">
        <v>9967</v>
      </c>
      <c r="E170" s="757"/>
      <c r="F170" s="756">
        <v>9000.0</v>
      </c>
      <c r="G170" s="757">
        <f t="shared" si="1"/>
        <v>141200</v>
      </c>
      <c r="H170" s="548" t="s">
        <v>2976</v>
      </c>
      <c r="K170" s="757"/>
      <c r="L170" s="757"/>
      <c r="M170" s="757"/>
      <c r="N170" s="757"/>
      <c r="O170" s="757"/>
      <c r="P170" s="757"/>
    </row>
    <row r="171" hidden="1">
      <c r="A171" s="548">
        <v>170.0</v>
      </c>
      <c r="B171" s="758">
        <v>46028.0</v>
      </c>
      <c r="C171" s="548" t="s">
        <v>10009</v>
      </c>
      <c r="D171" s="548" t="s">
        <v>10010</v>
      </c>
      <c r="E171" s="757"/>
      <c r="F171" s="756">
        <v>16000.0</v>
      </c>
      <c r="G171" s="757">
        <f t="shared" si="1"/>
        <v>125200</v>
      </c>
      <c r="H171" s="548" t="s">
        <v>2976</v>
      </c>
      <c r="I171" s="548" t="s">
        <v>9931</v>
      </c>
      <c r="K171" s="757"/>
      <c r="L171" s="757"/>
      <c r="M171" s="757"/>
      <c r="N171" s="757"/>
      <c r="O171" s="757"/>
      <c r="P171" s="757"/>
    </row>
    <row r="172" hidden="1">
      <c r="A172" s="548">
        <v>171.0</v>
      </c>
      <c r="B172" s="755">
        <v>46036.0</v>
      </c>
      <c r="C172" s="548" t="s">
        <v>9968</v>
      </c>
      <c r="E172" s="756">
        <v>79000.0</v>
      </c>
      <c r="F172" s="757"/>
      <c r="G172" s="757">
        <f t="shared" si="1"/>
        <v>204200</v>
      </c>
      <c r="K172" s="757"/>
      <c r="L172" s="757"/>
      <c r="M172" s="757"/>
      <c r="N172" s="757"/>
      <c r="O172" s="757"/>
      <c r="P172" s="757"/>
    </row>
    <row r="173" hidden="1">
      <c r="A173" s="548">
        <v>172.0</v>
      </c>
      <c r="B173" s="755">
        <v>46036.0</v>
      </c>
      <c r="C173" s="548" t="s">
        <v>9956</v>
      </c>
      <c r="E173" s="756"/>
      <c r="F173" s="756">
        <v>70000.0</v>
      </c>
      <c r="G173" s="757">
        <f t="shared" si="1"/>
        <v>134200</v>
      </c>
      <c r="K173" s="757"/>
      <c r="L173" s="757"/>
      <c r="M173" s="757"/>
      <c r="N173" s="757"/>
      <c r="O173" s="757"/>
      <c r="P173" s="757"/>
    </row>
    <row r="174" hidden="1">
      <c r="A174" s="548">
        <v>173.0</v>
      </c>
      <c r="B174" s="755">
        <v>46036.0</v>
      </c>
      <c r="C174" s="548" t="s">
        <v>10011</v>
      </c>
      <c r="E174" s="757"/>
      <c r="F174" s="756">
        <v>9000.0</v>
      </c>
      <c r="G174" s="757">
        <f t="shared" si="1"/>
        <v>125200</v>
      </c>
      <c r="K174" s="757"/>
      <c r="L174" s="757"/>
      <c r="M174" s="757"/>
      <c r="N174" s="757"/>
      <c r="O174" s="757"/>
      <c r="P174" s="757"/>
    </row>
    <row r="175" hidden="1">
      <c r="A175" s="548">
        <v>174.0</v>
      </c>
      <c r="B175" s="755">
        <v>46037.0</v>
      </c>
      <c r="C175" s="548" t="s">
        <v>10012</v>
      </c>
      <c r="E175" s="757"/>
      <c r="F175" s="756">
        <v>40000.0</v>
      </c>
      <c r="G175" s="757">
        <f t="shared" si="1"/>
        <v>85200</v>
      </c>
      <c r="I175" s="548" t="s">
        <v>9966</v>
      </c>
      <c r="K175" s="757"/>
      <c r="L175" s="757"/>
      <c r="M175" s="757"/>
      <c r="N175" s="757"/>
      <c r="O175" s="757"/>
      <c r="P175" s="757"/>
    </row>
    <row r="176" hidden="1">
      <c r="A176" s="548">
        <v>175.0</v>
      </c>
      <c r="B176" s="755">
        <v>46041.0</v>
      </c>
      <c r="C176" s="548" t="s">
        <v>10013</v>
      </c>
      <c r="E176" s="757"/>
      <c r="F176" s="756">
        <v>10000.0</v>
      </c>
      <c r="G176" s="757">
        <f t="shared" si="1"/>
        <v>75200</v>
      </c>
      <c r="I176" s="548" t="s">
        <v>9931</v>
      </c>
      <c r="K176" s="757"/>
      <c r="L176" s="757"/>
      <c r="M176" s="757"/>
      <c r="N176" s="757"/>
      <c r="O176" s="757"/>
      <c r="P176" s="757"/>
    </row>
    <row r="177" hidden="1">
      <c r="A177" s="548">
        <v>176.0</v>
      </c>
      <c r="B177" s="755">
        <v>46045.0</v>
      </c>
      <c r="C177" s="548" t="s">
        <v>10011</v>
      </c>
      <c r="E177" s="756"/>
      <c r="F177" s="756">
        <v>9000.0</v>
      </c>
      <c r="G177" s="757">
        <f t="shared" si="1"/>
        <v>66200</v>
      </c>
      <c r="I177" s="548" t="s">
        <v>9966</v>
      </c>
      <c r="K177" s="757"/>
      <c r="L177" s="757"/>
      <c r="M177" s="757"/>
      <c r="N177" s="757"/>
      <c r="O177" s="757"/>
      <c r="P177" s="757"/>
    </row>
    <row r="178" hidden="1">
      <c r="A178" s="548">
        <v>177.0</v>
      </c>
      <c r="B178" s="758">
        <v>46049.0</v>
      </c>
      <c r="C178" s="548" t="s">
        <v>9937</v>
      </c>
      <c r="E178" s="757"/>
      <c r="F178" s="756">
        <v>50000.0</v>
      </c>
      <c r="G178" s="757">
        <f t="shared" si="1"/>
        <v>16200</v>
      </c>
      <c r="H178" s="548" t="s">
        <v>3481</v>
      </c>
      <c r="I178" s="548" t="s">
        <v>10014</v>
      </c>
      <c r="K178" s="756">
        <v>50000.0</v>
      </c>
      <c r="L178" s="757"/>
      <c r="M178" s="757"/>
      <c r="N178" s="757"/>
      <c r="O178" s="757"/>
      <c r="P178" s="757"/>
    </row>
    <row r="179">
      <c r="A179" s="548"/>
      <c r="B179" s="760" t="s">
        <v>10015</v>
      </c>
      <c r="K179" s="757"/>
      <c r="L179" s="757"/>
      <c r="M179" s="757"/>
      <c r="N179" s="757"/>
      <c r="O179" s="757"/>
      <c r="P179" s="757"/>
    </row>
    <row r="180">
      <c r="A180" s="548">
        <v>178.0</v>
      </c>
      <c r="B180" s="755">
        <v>46079.0</v>
      </c>
      <c r="C180" s="548" t="s">
        <v>10016</v>
      </c>
      <c r="E180" s="757"/>
      <c r="F180" s="756">
        <v>16200.0</v>
      </c>
      <c r="G180" s="757">
        <f>G178+E180-F180</f>
        <v>0</v>
      </c>
      <c r="K180" s="757"/>
      <c r="L180" s="757"/>
      <c r="M180" s="757"/>
      <c r="N180" s="757"/>
      <c r="O180" s="757"/>
      <c r="P180" s="757"/>
    </row>
    <row r="181">
      <c r="A181" s="548">
        <v>179.0</v>
      </c>
      <c r="B181" s="755">
        <v>46079.0</v>
      </c>
      <c r="C181" s="548" t="s">
        <v>9878</v>
      </c>
      <c r="E181" s="756">
        <v>500000.0</v>
      </c>
      <c r="F181" s="757"/>
      <c r="G181" s="757">
        <f t="shared" ref="G181:G311" si="2">G180+E181-F181</f>
        <v>500000</v>
      </c>
      <c r="H181" s="548" t="s">
        <v>2976</v>
      </c>
      <c r="I181" s="548" t="s">
        <v>10017</v>
      </c>
      <c r="J181" s="548" t="s">
        <v>10018</v>
      </c>
      <c r="K181" s="757"/>
      <c r="L181" s="757"/>
      <c r="M181" s="757"/>
      <c r="N181" s="757"/>
      <c r="O181" s="757"/>
      <c r="P181" s="757"/>
    </row>
    <row r="182">
      <c r="A182" s="548">
        <v>180.0</v>
      </c>
      <c r="B182" s="755">
        <v>46080.0</v>
      </c>
      <c r="C182" s="548" t="s">
        <v>9853</v>
      </c>
      <c r="D182" s="548" t="s">
        <v>10019</v>
      </c>
      <c r="E182" s="756"/>
      <c r="F182" s="756">
        <v>9000.0</v>
      </c>
      <c r="G182" s="757">
        <f t="shared" si="2"/>
        <v>491000</v>
      </c>
      <c r="K182" s="757"/>
      <c r="L182" s="757"/>
      <c r="M182" s="757"/>
      <c r="N182" s="756"/>
      <c r="O182" s="757"/>
      <c r="P182" s="757"/>
    </row>
    <row r="183">
      <c r="A183" s="548">
        <v>181.0</v>
      </c>
      <c r="B183" s="755">
        <v>46080.0</v>
      </c>
      <c r="C183" s="548" t="s">
        <v>10020</v>
      </c>
      <c r="D183" s="548" t="s">
        <v>10021</v>
      </c>
      <c r="E183" s="756"/>
      <c r="F183" s="756">
        <v>36500.0</v>
      </c>
      <c r="G183" s="757">
        <f t="shared" si="2"/>
        <v>454500</v>
      </c>
      <c r="K183" s="757"/>
      <c r="L183" s="757"/>
      <c r="M183" s="757"/>
      <c r="N183" s="757"/>
      <c r="O183" s="757"/>
      <c r="P183" s="757"/>
    </row>
    <row r="184">
      <c r="B184" s="755">
        <v>46080.0</v>
      </c>
      <c r="C184" s="548" t="s">
        <v>9853</v>
      </c>
      <c r="D184" s="548" t="s">
        <v>10022</v>
      </c>
      <c r="E184" s="757"/>
      <c r="F184" s="756">
        <v>68000.0</v>
      </c>
      <c r="G184" s="757">
        <f t="shared" si="2"/>
        <v>386500</v>
      </c>
      <c r="K184" s="757"/>
      <c r="L184" s="757"/>
      <c r="M184" s="757"/>
      <c r="N184" s="757"/>
      <c r="O184" s="757"/>
      <c r="P184" s="757"/>
    </row>
    <row r="185">
      <c r="B185" s="755">
        <v>46080.0</v>
      </c>
      <c r="C185" s="548" t="s">
        <v>9853</v>
      </c>
      <c r="D185" s="548" t="s">
        <v>10023</v>
      </c>
      <c r="E185" s="756"/>
      <c r="F185" s="756">
        <v>300000.0</v>
      </c>
      <c r="G185" s="757">
        <f t="shared" si="2"/>
        <v>86500</v>
      </c>
      <c r="K185" s="757"/>
      <c r="L185" s="757"/>
      <c r="M185" s="757"/>
      <c r="N185" s="757"/>
      <c r="O185" s="757"/>
      <c r="P185" s="757"/>
    </row>
    <row r="186">
      <c r="B186" s="755">
        <v>46080.0</v>
      </c>
      <c r="C186" s="548" t="s">
        <v>10024</v>
      </c>
      <c r="D186" s="548" t="s">
        <v>10025</v>
      </c>
      <c r="E186" s="757"/>
      <c r="F186" s="756">
        <v>52500.0</v>
      </c>
      <c r="G186" s="757">
        <f t="shared" si="2"/>
        <v>34000</v>
      </c>
      <c r="K186" s="757"/>
      <c r="L186" s="757"/>
      <c r="M186" s="757"/>
      <c r="N186" s="757"/>
      <c r="O186" s="757"/>
      <c r="P186" s="757"/>
    </row>
    <row r="187">
      <c r="B187" s="755">
        <v>46080.0</v>
      </c>
      <c r="C187" s="548" t="s">
        <v>9878</v>
      </c>
      <c r="E187" s="756">
        <v>500000.0</v>
      </c>
      <c r="F187" s="757"/>
      <c r="G187" s="757">
        <f t="shared" si="2"/>
        <v>534000</v>
      </c>
      <c r="H187" s="548" t="s">
        <v>2976</v>
      </c>
      <c r="I187" s="548" t="s">
        <v>10017</v>
      </c>
      <c r="J187" s="548" t="s">
        <v>10018</v>
      </c>
      <c r="K187" s="757"/>
      <c r="L187" s="757"/>
      <c r="M187" s="757"/>
      <c r="N187" s="757"/>
      <c r="O187" s="757"/>
      <c r="P187" s="757"/>
    </row>
    <row r="188">
      <c r="B188" s="761">
        <v>46056.0</v>
      </c>
      <c r="C188" s="548" t="s">
        <v>10026</v>
      </c>
      <c r="D188" s="548" t="s">
        <v>10027</v>
      </c>
      <c r="E188" s="757"/>
      <c r="F188" s="756">
        <v>11500.0</v>
      </c>
      <c r="G188" s="757">
        <f t="shared" si="2"/>
        <v>522500</v>
      </c>
      <c r="H188" s="548" t="s">
        <v>10017</v>
      </c>
      <c r="I188" s="548" t="s">
        <v>10017</v>
      </c>
      <c r="K188" s="757"/>
      <c r="L188" s="757"/>
      <c r="M188" s="757"/>
      <c r="N188" s="757"/>
      <c r="O188" s="757"/>
      <c r="P188" s="757"/>
    </row>
    <row r="189">
      <c r="B189" s="761">
        <v>46056.0</v>
      </c>
      <c r="C189" s="548" t="s">
        <v>10026</v>
      </c>
      <c r="D189" s="548" t="s">
        <v>10028</v>
      </c>
      <c r="E189" s="757"/>
      <c r="F189" s="756">
        <v>24000.0</v>
      </c>
      <c r="G189" s="757">
        <f t="shared" si="2"/>
        <v>498500</v>
      </c>
      <c r="H189" s="548" t="s">
        <v>10017</v>
      </c>
      <c r="I189" s="548" t="s">
        <v>10017</v>
      </c>
      <c r="K189" s="757"/>
      <c r="L189" s="757"/>
      <c r="M189" s="757"/>
      <c r="N189" s="757"/>
      <c r="O189" s="757"/>
      <c r="P189" s="757"/>
    </row>
    <row r="190">
      <c r="B190" s="761">
        <v>46085.0</v>
      </c>
      <c r="C190" s="548" t="s">
        <v>10029</v>
      </c>
      <c r="D190" s="548" t="s">
        <v>9877</v>
      </c>
      <c r="E190" s="757"/>
      <c r="F190" s="756">
        <v>300000.0</v>
      </c>
      <c r="G190" s="757">
        <f t="shared" si="2"/>
        <v>198500</v>
      </c>
      <c r="H190" s="548" t="s">
        <v>10017</v>
      </c>
      <c r="I190" s="548" t="s">
        <v>10017</v>
      </c>
      <c r="K190" s="757"/>
      <c r="L190" s="757"/>
      <c r="M190" s="757"/>
      <c r="N190" s="757"/>
      <c r="O190" s="757"/>
      <c r="P190" s="757"/>
    </row>
    <row r="191">
      <c r="B191" s="761">
        <v>46085.0</v>
      </c>
      <c r="C191" s="548" t="s">
        <v>10030</v>
      </c>
      <c r="D191" s="548" t="s">
        <v>10031</v>
      </c>
      <c r="E191" s="757"/>
      <c r="F191" s="756">
        <v>8000.0</v>
      </c>
      <c r="G191" s="757">
        <f t="shared" si="2"/>
        <v>190500</v>
      </c>
      <c r="H191" s="548" t="s">
        <v>10017</v>
      </c>
      <c r="I191" s="548" t="s">
        <v>10017</v>
      </c>
      <c r="K191" s="757"/>
      <c r="L191" s="757"/>
      <c r="M191" s="757"/>
      <c r="N191" s="757"/>
      <c r="O191" s="757"/>
      <c r="P191" s="757"/>
    </row>
    <row r="192">
      <c r="B192" s="761">
        <v>46085.0</v>
      </c>
      <c r="C192" s="548" t="s">
        <v>10029</v>
      </c>
      <c r="D192" s="548" t="s">
        <v>10032</v>
      </c>
      <c r="E192" s="757"/>
      <c r="F192" s="756">
        <v>5000.0</v>
      </c>
      <c r="G192" s="757">
        <f t="shared" si="2"/>
        <v>185500</v>
      </c>
      <c r="H192" s="548" t="s">
        <v>10017</v>
      </c>
      <c r="I192" s="548" t="s">
        <v>9920</v>
      </c>
      <c r="K192" s="757"/>
      <c r="L192" s="757"/>
      <c r="M192" s="757"/>
      <c r="N192" s="757"/>
      <c r="O192" s="757"/>
      <c r="P192" s="757"/>
    </row>
    <row r="193">
      <c r="B193" s="761">
        <v>46085.0</v>
      </c>
      <c r="C193" s="548" t="s">
        <v>10033</v>
      </c>
      <c r="D193" s="548" t="s">
        <v>10034</v>
      </c>
      <c r="E193" s="757"/>
      <c r="F193" s="756">
        <v>150000.0</v>
      </c>
      <c r="G193" s="757">
        <f t="shared" si="2"/>
        <v>35500</v>
      </c>
      <c r="H193" s="548" t="s">
        <v>10017</v>
      </c>
      <c r="I193" s="548" t="s">
        <v>10035</v>
      </c>
      <c r="K193" s="757"/>
      <c r="L193" s="757"/>
      <c r="M193" s="757"/>
      <c r="N193" s="757"/>
      <c r="O193" s="757"/>
      <c r="P193" s="757"/>
    </row>
    <row r="194">
      <c r="B194" s="761">
        <v>46086.0</v>
      </c>
      <c r="C194" s="548" t="s">
        <v>9878</v>
      </c>
      <c r="D194" s="548"/>
      <c r="E194" s="756">
        <v>500000.0</v>
      </c>
      <c r="F194" s="756"/>
      <c r="G194" s="757">
        <f t="shared" si="2"/>
        <v>535500</v>
      </c>
      <c r="H194" s="548" t="s">
        <v>2976</v>
      </c>
      <c r="I194" s="548" t="s">
        <v>10017</v>
      </c>
      <c r="K194" s="757"/>
      <c r="L194" s="757"/>
      <c r="M194" s="757"/>
      <c r="N194" s="757"/>
      <c r="O194" s="757"/>
      <c r="P194" s="757"/>
    </row>
    <row r="195">
      <c r="B195" s="761">
        <v>46086.0</v>
      </c>
      <c r="C195" s="548" t="s">
        <v>10029</v>
      </c>
      <c r="D195" s="548" t="s">
        <v>10036</v>
      </c>
      <c r="E195" s="757"/>
      <c r="F195" s="756">
        <v>12000.0</v>
      </c>
      <c r="G195" s="757">
        <f t="shared" si="2"/>
        <v>523500</v>
      </c>
      <c r="H195" s="548" t="s">
        <v>10017</v>
      </c>
      <c r="I195" s="548" t="s">
        <v>9941</v>
      </c>
      <c r="K195" s="757"/>
      <c r="L195" s="757"/>
      <c r="M195" s="757"/>
      <c r="N195" s="757"/>
      <c r="O195" s="757"/>
      <c r="P195" s="757"/>
    </row>
    <row r="196">
      <c r="B196" s="761">
        <v>46086.0</v>
      </c>
      <c r="C196" s="548" t="s">
        <v>9853</v>
      </c>
      <c r="D196" s="548" t="s">
        <v>10037</v>
      </c>
      <c r="E196" s="757"/>
      <c r="F196" s="756">
        <v>10000.0</v>
      </c>
      <c r="G196" s="757">
        <f t="shared" si="2"/>
        <v>513500</v>
      </c>
      <c r="H196" s="548" t="s">
        <v>10017</v>
      </c>
      <c r="I196" s="548" t="s">
        <v>8388</v>
      </c>
      <c r="K196" s="757"/>
      <c r="L196" s="757"/>
      <c r="M196" s="757"/>
      <c r="N196" s="757"/>
      <c r="O196" s="757"/>
      <c r="P196" s="757"/>
    </row>
    <row r="197">
      <c r="B197" s="761">
        <v>46086.0</v>
      </c>
      <c r="C197" s="548" t="s">
        <v>9853</v>
      </c>
      <c r="D197" s="548" t="s">
        <v>10038</v>
      </c>
      <c r="E197" s="757"/>
      <c r="F197" s="756">
        <v>70000.0</v>
      </c>
      <c r="G197" s="757">
        <f t="shared" si="2"/>
        <v>443500</v>
      </c>
      <c r="H197" s="548" t="s">
        <v>10017</v>
      </c>
      <c r="I197" s="548" t="s">
        <v>9935</v>
      </c>
      <c r="K197" s="757"/>
      <c r="L197" s="757"/>
      <c r="M197" s="757"/>
      <c r="N197" s="757"/>
      <c r="O197" s="757"/>
      <c r="P197" s="757"/>
    </row>
    <row r="198">
      <c r="B198" s="761">
        <v>46087.0</v>
      </c>
      <c r="C198" s="548" t="s">
        <v>9853</v>
      </c>
      <c r="D198" s="548" t="s">
        <v>9877</v>
      </c>
      <c r="E198" s="757"/>
      <c r="F198" s="756">
        <v>300000.0</v>
      </c>
      <c r="G198" s="757">
        <f t="shared" si="2"/>
        <v>143500</v>
      </c>
      <c r="H198" s="548" t="s">
        <v>10017</v>
      </c>
      <c r="I198" s="548" t="s">
        <v>9966</v>
      </c>
      <c r="K198" s="757"/>
      <c r="L198" s="757"/>
      <c r="M198" s="757"/>
      <c r="N198" s="757"/>
      <c r="O198" s="757"/>
      <c r="P198" s="757"/>
    </row>
    <row r="199">
      <c r="B199" s="761">
        <v>46090.0</v>
      </c>
      <c r="C199" s="548" t="s">
        <v>9968</v>
      </c>
      <c r="E199" s="756">
        <v>500000.0</v>
      </c>
      <c r="F199" s="757"/>
      <c r="G199" s="757">
        <f t="shared" si="2"/>
        <v>643500</v>
      </c>
      <c r="H199" s="548" t="s">
        <v>2976</v>
      </c>
      <c r="I199" s="548" t="s">
        <v>10017</v>
      </c>
      <c r="K199" s="757"/>
      <c r="L199" s="757"/>
      <c r="M199" s="757"/>
      <c r="N199" s="757"/>
      <c r="O199" s="757"/>
      <c r="P199" s="757"/>
    </row>
    <row r="200">
      <c r="B200" s="761">
        <v>46090.0</v>
      </c>
      <c r="C200" s="548" t="s">
        <v>9853</v>
      </c>
      <c r="D200" s="548" t="s">
        <v>9933</v>
      </c>
      <c r="E200" s="757"/>
      <c r="F200" s="756">
        <v>300000.0</v>
      </c>
      <c r="G200" s="757">
        <f t="shared" si="2"/>
        <v>343500</v>
      </c>
      <c r="H200" s="548" t="s">
        <v>10017</v>
      </c>
      <c r="I200" s="548" t="s">
        <v>9920</v>
      </c>
      <c r="K200" s="757"/>
      <c r="L200" s="757"/>
      <c r="M200" s="757"/>
      <c r="N200" s="757"/>
      <c r="O200" s="757"/>
      <c r="P200" s="757"/>
    </row>
    <row r="201">
      <c r="B201" s="761">
        <v>46090.0</v>
      </c>
      <c r="C201" s="548" t="s">
        <v>10039</v>
      </c>
      <c r="D201" s="548" t="s">
        <v>10012</v>
      </c>
      <c r="E201" s="757"/>
      <c r="F201" s="756">
        <v>9000.0</v>
      </c>
      <c r="G201" s="757">
        <f t="shared" si="2"/>
        <v>334500</v>
      </c>
      <c r="H201" s="548" t="s">
        <v>10017</v>
      </c>
      <c r="I201" s="548" t="s">
        <v>9920</v>
      </c>
      <c r="K201" s="757"/>
      <c r="L201" s="757"/>
      <c r="M201" s="757"/>
      <c r="N201" s="757"/>
      <c r="O201" s="757"/>
      <c r="P201" s="757"/>
    </row>
    <row r="202">
      <c r="B202" s="761">
        <v>46091.0</v>
      </c>
      <c r="C202" s="548" t="s">
        <v>10040</v>
      </c>
      <c r="D202" s="548" t="s">
        <v>10041</v>
      </c>
      <c r="E202" s="757"/>
      <c r="F202" s="756">
        <v>10000.0</v>
      </c>
      <c r="G202" s="757">
        <f t="shared" si="2"/>
        <v>324500</v>
      </c>
      <c r="H202" s="548" t="s">
        <v>9368</v>
      </c>
      <c r="I202" s="548" t="s">
        <v>10042</v>
      </c>
      <c r="K202" s="757"/>
      <c r="L202" s="757"/>
      <c r="M202" s="757"/>
      <c r="N202" s="757"/>
      <c r="O202" s="757"/>
      <c r="P202" s="757"/>
    </row>
    <row r="203">
      <c r="B203" s="761">
        <v>46091.0</v>
      </c>
      <c r="C203" s="548" t="s">
        <v>10040</v>
      </c>
      <c r="D203" s="548" t="s">
        <v>10043</v>
      </c>
      <c r="E203" s="757"/>
      <c r="F203" s="756">
        <v>26000.0</v>
      </c>
      <c r="G203" s="757">
        <f t="shared" si="2"/>
        <v>298500</v>
      </c>
      <c r="H203" s="548" t="s">
        <v>9368</v>
      </c>
      <c r="I203" s="548" t="s">
        <v>10044</v>
      </c>
      <c r="K203" s="757"/>
      <c r="L203" s="757"/>
      <c r="M203" s="757"/>
      <c r="N203" s="757"/>
      <c r="O203" s="757"/>
      <c r="P203" s="757"/>
    </row>
    <row r="204">
      <c r="B204" s="761">
        <v>46092.0</v>
      </c>
      <c r="C204" s="548" t="s">
        <v>10045</v>
      </c>
      <c r="D204" s="548" t="s">
        <v>10046</v>
      </c>
      <c r="E204" s="757"/>
      <c r="F204" s="756">
        <v>65000.0</v>
      </c>
      <c r="G204" s="757">
        <f t="shared" si="2"/>
        <v>233500</v>
      </c>
      <c r="H204" s="548" t="s">
        <v>9368</v>
      </c>
      <c r="I204" s="548" t="s">
        <v>10047</v>
      </c>
      <c r="K204" s="757"/>
      <c r="L204" s="757"/>
      <c r="M204" s="757"/>
      <c r="N204" s="757"/>
      <c r="O204" s="757"/>
      <c r="P204" s="757"/>
    </row>
    <row r="205">
      <c r="B205" s="761">
        <v>46092.0</v>
      </c>
      <c r="C205" s="548" t="s">
        <v>10045</v>
      </c>
      <c r="D205" s="548" t="s">
        <v>10048</v>
      </c>
      <c r="E205" s="757"/>
      <c r="F205" s="756">
        <v>150000.0</v>
      </c>
      <c r="G205" s="757">
        <f t="shared" si="2"/>
        <v>83500</v>
      </c>
      <c r="H205" s="548" t="s">
        <v>9368</v>
      </c>
      <c r="I205" s="548" t="s">
        <v>10049</v>
      </c>
      <c r="K205" s="757"/>
      <c r="L205" s="757"/>
      <c r="M205" s="757"/>
      <c r="N205" s="757"/>
      <c r="O205" s="757"/>
      <c r="P205" s="757"/>
    </row>
    <row r="206">
      <c r="B206" s="761">
        <v>46092.0</v>
      </c>
      <c r="C206" s="548" t="s">
        <v>10050</v>
      </c>
      <c r="D206" s="548" t="s">
        <v>10051</v>
      </c>
      <c r="E206" s="757"/>
      <c r="F206" s="756">
        <v>50000.0</v>
      </c>
      <c r="G206" s="757">
        <f t="shared" si="2"/>
        <v>33500</v>
      </c>
      <c r="H206" s="548" t="s">
        <v>9368</v>
      </c>
      <c r="I206" s="548" t="s">
        <v>10052</v>
      </c>
      <c r="K206" s="757"/>
      <c r="L206" s="757"/>
      <c r="M206" s="757"/>
      <c r="N206" s="757"/>
      <c r="O206" s="757"/>
      <c r="P206" s="757"/>
    </row>
    <row r="207">
      <c r="B207" s="761">
        <v>46092.0</v>
      </c>
      <c r="C207" s="548" t="s">
        <v>9968</v>
      </c>
      <c r="E207" s="756">
        <v>1000000.0</v>
      </c>
      <c r="F207" s="757"/>
      <c r="G207" s="757">
        <f t="shared" si="2"/>
        <v>1033500</v>
      </c>
      <c r="K207" s="757"/>
      <c r="L207" s="757"/>
      <c r="M207" s="757"/>
      <c r="N207" s="757"/>
      <c r="O207" s="757"/>
      <c r="P207" s="757"/>
    </row>
    <row r="208">
      <c r="B208" s="761">
        <v>46092.0</v>
      </c>
      <c r="C208" s="548" t="s">
        <v>10045</v>
      </c>
      <c r="D208" s="548" t="s">
        <v>9982</v>
      </c>
      <c r="E208" s="756"/>
      <c r="F208" s="756">
        <v>100000.0</v>
      </c>
      <c r="G208" s="757">
        <f t="shared" si="2"/>
        <v>933500</v>
      </c>
      <c r="H208" s="548" t="s">
        <v>9368</v>
      </c>
      <c r="I208" s="548" t="s">
        <v>10053</v>
      </c>
      <c r="K208" s="757"/>
      <c r="L208" s="757"/>
      <c r="M208" s="757"/>
      <c r="N208" s="757"/>
      <c r="O208" s="757"/>
      <c r="P208" s="757"/>
    </row>
    <row r="209">
      <c r="B209" s="761">
        <v>46092.0</v>
      </c>
      <c r="C209" s="548" t="s">
        <v>10054</v>
      </c>
      <c r="D209" s="548" t="s">
        <v>10055</v>
      </c>
      <c r="E209" s="756"/>
      <c r="F209" s="756">
        <v>7000.0</v>
      </c>
      <c r="G209" s="757">
        <f t="shared" si="2"/>
        <v>926500</v>
      </c>
      <c r="H209" s="548" t="s">
        <v>9368</v>
      </c>
      <c r="I209" s="548" t="s">
        <v>10053</v>
      </c>
      <c r="K209" s="757"/>
      <c r="L209" s="757"/>
      <c r="M209" s="757"/>
      <c r="N209" s="757"/>
      <c r="O209" s="757"/>
      <c r="P209" s="757"/>
    </row>
    <row r="210">
      <c r="B210" s="761">
        <v>46093.0</v>
      </c>
      <c r="C210" s="548" t="s">
        <v>10045</v>
      </c>
      <c r="D210" s="548" t="s">
        <v>9983</v>
      </c>
      <c r="E210" s="757"/>
      <c r="F210" s="756">
        <v>250000.0</v>
      </c>
      <c r="G210" s="757">
        <f t="shared" si="2"/>
        <v>676500</v>
      </c>
      <c r="H210" s="548" t="s">
        <v>9368</v>
      </c>
      <c r="I210" s="548" t="s">
        <v>10056</v>
      </c>
      <c r="K210" s="757"/>
      <c r="L210" s="757"/>
      <c r="M210" s="757"/>
      <c r="N210" s="757"/>
      <c r="O210" s="757"/>
      <c r="P210" s="757"/>
    </row>
    <row r="211">
      <c r="B211" s="761">
        <v>46093.0</v>
      </c>
      <c r="C211" s="548" t="s">
        <v>9954</v>
      </c>
      <c r="D211" s="548" t="s">
        <v>10057</v>
      </c>
      <c r="E211" s="757"/>
      <c r="F211" s="756">
        <v>69500.0</v>
      </c>
      <c r="G211" s="757">
        <f t="shared" si="2"/>
        <v>607000</v>
      </c>
      <c r="H211" s="548" t="s">
        <v>9368</v>
      </c>
      <c r="I211" s="548" t="s">
        <v>10058</v>
      </c>
      <c r="K211" s="757"/>
      <c r="L211" s="757"/>
      <c r="M211" s="757"/>
      <c r="N211" s="757"/>
      <c r="O211" s="757"/>
      <c r="P211" s="757"/>
    </row>
    <row r="212">
      <c r="B212" s="761">
        <v>46095.0</v>
      </c>
      <c r="C212" s="548" t="s">
        <v>10030</v>
      </c>
      <c r="D212" s="548" t="s">
        <v>10059</v>
      </c>
      <c r="E212" s="757"/>
      <c r="F212" s="756">
        <v>45000.0</v>
      </c>
      <c r="G212" s="757">
        <f t="shared" si="2"/>
        <v>562000</v>
      </c>
      <c r="H212" s="548" t="s">
        <v>9368</v>
      </c>
      <c r="I212" s="548" t="s">
        <v>10056</v>
      </c>
      <c r="K212" s="757"/>
      <c r="L212" s="757"/>
      <c r="M212" s="757"/>
      <c r="N212" s="757"/>
      <c r="O212" s="757"/>
      <c r="P212" s="757"/>
    </row>
    <row r="213">
      <c r="B213" s="761">
        <v>46097.0</v>
      </c>
      <c r="C213" s="548" t="s">
        <v>10045</v>
      </c>
      <c r="D213" s="548" t="s">
        <v>10048</v>
      </c>
      <c r="E213" s="757"/>
      <c r="F213" s="756">
        <v>300000.0</v>
      </c>
      <c r="G213" s="757">
        <f t="shared" si="2"/>
        <v>262000</v>
      </c>
      <c r="I213" s="548" t="s">
        <v>10053</v>
      </c>
      <c r="K213" s="757"/>
      <c r="L213" s="757"/>
      <c r="M213" s="757"/>
      <c r="N213" s="757"/>
      <c r="O213" s="757"/>
      <c r="P213" s="757"/>
    </row>
    <row r="214">
      <c r="B214" s="761">
        <v>46097.0</v>
      </c>
      <c r="C214" s="548" t="s">
        <v>10045</v>
      </c>
      <c r="D214" s="548" t="s">
        <v>10060</v>
      </c>
      <c r="E214" s="757"/>
      <c r="F214" s="756">
        <v>5000.0</v>
      </c>
      <c r="G214" s="757">
        <f t="shared" si="2"/>
        <v>257000</v>
      </c>
      <c r="I214" s="548" t="s">
        <v>10053</v>
      </c>
      <c r="K214" s="757"/>
      <c r="L214" s="757"/>
      <c r="M214" s="757"/>
      <c r="N214" s="757"/>
      <c r="O214" s="757"/>
      <c r="P214" s="757"/>
    </row>
    <row r="215">
      <c r="B215" s="761">
        <v>46098.0</v>
      </c>
      <c r="D215" s="548" t="s">
        <v>10061</v>
      </c>
      <c r="E215" s="757"/>
      <c r="F215" s="756">
        <v>11000.0</v>
      </c>
      <c r="G215" s="757">
        <f t="shared" si="2"/>
        <v>246000</v>
      </c>
      <c r="K215" s="757"/>
      <c r="L215" s="757"/>
      <c r="M215" s="757"/>
      <c r="N215" s="757"/>
      <c r="O215" s="757"/>
      <c r="P215" s="757"/>
    </row>
    <row r="216">
      <c r="B216" s="761">
        <v>46098.0</v>
      </c>
      <c r="D216" s="548" t="s">
        <v>10061</v>
      </c>
      <c r="E216" s="757"/>
      <c r="F216" s="756">
        <v>10000.0</v>
      </c>
      <c r="G216" s="757">
        <f t="shared" si="2"/>
        <v>236000</v>
      </c>
      <c r="K216" s="757"/>
      <c r="L216" s="757"/>
      <c r="M216" s="757"/>
      <c r="N216" s="757"/>
      <c r="O216" s="757"/>
      <c r="P216" s="757"/>
    </row>
    <row r="217">
      <c r="B217" s="761">
        <v>46099.0</v>
      </c>
      <c r="C217" s="548" t="s">
        <v>10045</v>
      </c>
      <c r="D217" s="548" t="s">
        <v>9983</v>
      </c>
      <c r="E217" s="757"/>
      <c r="F217" s="756">
        <v>200000.0</v>
      </c>
      <c r="G217" s="757">
        <f t="shared" si="2"/>
        <v>36000</v>
      </c>
      <c r="K217" s="757"/>
      <c r="L217" s="757"/>
      <c r="M217" s="757"/>
      <c r="N217" s="757"/>
      <c r="O217" s="757"/>
      <c r="P217" s="757"/>
    </row>
    <row r="218">
      <c r="B218" s="761">
        <v>46099.0</v>
      </c>
      <c r="C218" s="548" t="s">
        <v>10045</v>
      </c>
      <c r="D218" s="548" t="s">
        <v>10062</v>
      </c>
      <c r="E218" s="757"/>
      <c r="F218" s="756">
        <v>20000.0</v>
      </c>
      <c r="G218" s="757">
        <f t="shared" si="2"/>
        <v>16000</v>
      </c>
      <c r="K218" s="757"/>
      <c r="L218" s="757"/>
      <c r="M218" s="757"/>
      <c r="N218" s="757"/>
      <c r="O218" s="757"/>
      <c r="P218" s="757"/>
    </row>
    <row r="219">
      <c r="B219" s="761">
        <v>46107.0</v>
      </c>
      <c r="C219" s="548" t="s">
        <v>9878</v>
      </c>
      <c r="D219" s="548" t="s">
        <v>10063</v>
      </c>
      <c r="E219" s="756">
        <v>1100000.0</v>
      </c>
      <c r="F219" s="757"/>
      <c r="G219" s="757">
        <f t="shared" si="2"/>
        <v>1116000</v>
      </c>
      <c r="H219" s="548" t="s">
        <v>10017</v>
      </c>
      <c r="K219" s="757"/>
      <c r="L219" s="757"/>
      <c r="M219" s="757"/>
      <c r="N219" s="757"/>
      <c r="O219" s="757"/>
      <c r="P219" s="757"/>
    </row>
    <row r="220">
      <c r="B220" s="761">
        <v>46107.0</v>
      </c>
      <c r="C220" s="548" t="s">
        <v>10045</v>
      </c>
      <c r="D220" s="548" t="s">
        <v>10064</v>
      </c>
      <c r="E220" s="757"/>
      <c r="F220" s="756">
        <v>35000.0</v>
      </c>
      <c r="G220" s="757">
        <f t="shared" si="2"/>
        <v>1081000</v>
      </c>
      <c r="H220" s="548" t="s">
        <v>10017</v>
      </c>
      <c r="K220" s="757"/>
      <c r="L220" s="757"/>
      <c r="M220" s="757"/>
      <c r="N220" s="757"/>
      <c r="O220" s="757"/>
      <c r="P220" s="757"/>
    </row>
    <row r="221">
      <c r="B221" s="761">
        <v>46111.0</v>
      </c>
      <c r="C221" s="548" t="s">
        <v>10045</v>
      </c>
      <c r="D221" s="548" t="s">
        <v>10048</v>
      </c>
      <c r="E221" s="757"/>
      <c r="F221" s="756">
        <v>300000.0</v>
      </c>
      <c r="G221" s="757">
        <f t="shared" si="2"/>
        <v>781000</v>
      </c>
      <c r="H221" s="548" t="s">
        <v>10065</v>
      </c>
      <c r="I221" s="548" t="s">
        <v>10066</v>
      </c>
      <c r="K221" s="757"/>
      <c r="L221" s="757"/>
      <c r="M221" s="757"/>
      <c r="N221" s="757"/>
      <c r="O221" s="757"/>
      <c r="P221" s="757"/>
    </row>
    <row r="222">
      <c r="B222" s="761">
        <v>46111.0</v>
      </c>
      <c r="C222" s="548" t="s">
        <v>10039</v>
      </c>
      <c r="D222" s="548" t="s">
        <v>10067</v>
      </c>
      <c r="E222" s="757"/>
      <c r="F222" s="756">
        <v>9000.0</v>
      </c>
      <c r="G222" s="757">
        <f t="shared" si="2"/>
        <v>772000</v>
      </c>
      <c r="H222" s="548" t="s">
        <v>10065</v>
      </c>
      <c r="I222" s="548" t="s">
        <v>10047</v>
      </c>
      <c r="K222" s="757"/>
      <c r="L222" s="757"/>
      <c r="M222" s="757"/>
      <c r="N222" s="757"/>
      <c r="O222" s="757"/>
      <c r="P222" s="757"/>
    </row>
    <row r="223">
      <c r="B223" s="761">
        <v>46111.0</v>
      </c>
      <c r="C223" s="548" t="s">
        <v>10039</v>
      </c>
      <c r="D223" s="548" t="s">
        <v>10067</v>
      </c>
      <c r="E223" s="757"/>
      <c r="F223" s="756">
        <v>42000.0</v>
      </c>
      <c r="G223" s="757">
        <f t="shared" si="2"/>
        <v>730000</v>
      </c>
      <c r="H223" s="548" t="s">
        <v>10068</v>
      </c>
      <c r="I223" s="548" t="s">
        <v>10068</v>
      </c>
      <c r="K223" s="757"/>
      <c r="L223" s="757"/>
      <c r="M223" s="757"/>
      <c r="N223" s="757"/>
      <c r="O223" s="757"/>
      <c r="P223" s="757"/>
    </row>
    <row r="224">
      <c r="B224" s="761">
        <v>46113.0</v>
      </c>
      <c r="C224" s="548" t="s">
        <v>10040</v>
      </c>
      <c r="D224" s="548" t="s">
        <v>10069</v>
      </c>
      <c r="E224" s="757"/>
      <c r="F224" s="756">
        <v>20000.0</v>
      </c>
      <c r="G224" s="757">
        <f t="shared" si="2"/>
        <v>710000</v>
      </c>
      <c r="H224" s="548" t="s">
        <v>10065</v>
      </c>
      <c r="I224" s="548" t="s">
        <v>10066</v>
      </c>
      <c r="K224" s="757"/>
      <c r="L224" s="757"/>
      <c r="M224" s="757"/>
      <c r="N224" s="757"/>
      <c r="O224" s="757"/>
      <c r="P224" s="757"/>
    </row>
    <row r="225">
      <c r="B225" s="761">
        <v>46113.0</v>
      </c>
      <c r="C225" s="548" t="s">
        <v>10045</v>
      </c>
      <c r="D225" s="548" t="s">
        <v>10070</v>
      </c>
      <c r="E225" s="757"/>
      <c r="F225" s="756">
        <v>100000.0</v>
      </c>
      <c r="G225" s="757">
        <f t="shared" si="2"/>
        <v>610000</v>
      </c>
      <c r="H225" s="548" t="s">
        <v>10065</v>
      </c>
      <c r="K225" s="757"/>
      <c r="L225" s="757"/>
      <c r="M225" s="757"/>
      <c r="N225" s="757"/>
      <c r="O225" s="757"/>
      <c r="P225" s="757"/>
    </row>
    <row r="226">
      <c r="B226" s="761">
        <v>46114.0</v>
      </c>
      <c r="C226" s="548" t="s">
        <v>10039</v>
      </c>
      <c r="D226" s="548" t="s">
        <v>10071</v>
      </c>
      <c r="E226" s="757"/>
      <c r="F226" s="756">
        <v>21000.0</v>
      </c>
      <c r="G226" s="757">
        <f t="shared" si="2"/>
        <v>589000</v>
      </c>
      <c r="H226" s="548" t="s">
        <v>10065</v>
      </c>
      <c r="I226" s="548" t="s">
        <v>8388</v>
      </c>
      <c r="K226" s="757"/>
      <c r="L226" s="757"/>
      <c r="M226" s="757"/>
      <c r="N226" s="757"/>
      <c r="O226" s="757"/>
      <c r="P226" s="757"/>
    </row>
    <row r="227">
      <c r="B227" s="761">
        <v>46114.0</v>
      </c>
      <c r="C227" s="548" t="s">
        <v>10072</v>
      </c>
      <c r="D227" s="548" t="s">
        <v>10073</v>
      </c>
      <c r="E227" s="757"/>
      <c r="F227" s="756">
        <v>58000.0</v>
      </c>
      <c r="G227" s="757">
        <f t="shared" si="2"/>
        <v>531000</v>
      </c>
      <c r="H227" s="548" t="s">
        <v>10065</v>
      </c>
      <c r="I227" s="548" t="s">
        <v>9954</v>
      </c>
      <c r="K227" s="757"/>
      <c r="L227" s="757"/>
      <c r="M227" s="757"/>
      <c r="N227" s="757"/>
      <c r="O227" s="757"/>
      <c r="P227" s="757"/>
    </row>
    <row r="228">
      <c r="B228" s="761">
        <v>46118.0</v>
      </c>
      <c r="C228" s="548" t="s">
        <v>10045</v>
      </c>
      <c r="D228" s="548" t="s">
        <v>10048</v>
      </c>
      <c r="E228" s="757"/>
      <c r="F228" s="756">
        <v>300000.0</v>
      </c>
      <c r="G228" s="757">
        <f t="shared" si="2"/>
        <v>231000</v>
      </c>
      <c r="H228" s="548" t="s">
        <v>10065</v>
      </c>
      <c r="I228" s="548" t="s">
        <v>10074</v>
      </c>
      <c r="K228" s="757"/>
      <c r="L228" s="757"/>
      <c r="M228" s="757"/>
      <c r="N228" s="757"/>
      <c r="O228" s="757"/>
      <c r="P228" s="757"/>
    </row>
    <row r="229">
      <c r="B229" s="761">
        <v>46119.0</v>
      </c>
      <c r="C229" s="548" t="s">
        <v>10075</v>
      </c>
      <c r="D229" s="548" t="s">
        <v>10076</v>
      </c>
      <c r="E229" s="757"/>
      <c r="F229" s="756">
        <v>6000.0</v>
      </c>
      <c r="G229" s="757">
        <f t="shared" si="2"/>
        <v>225000</v>
      </c>
      <c r="H229" s="548" t="s">
        <v>8388</v>
      </c>
      <c r="I229" s="548" t="s">
        <v>10077</v>
      </c>
      <c r="K229" s="757"/>
      <c r="L229" s="757"/>
      <c r="M229" s="757"/>
      <c r="N229" s="757"/>
      <c r="O229" s="757"/>
      <c r="P229" s="757"/>
    </row>
    <row r="230">
      <c r="B230" s="761">
        <v>46119.0</v>
      </c>
      <c r="C230" s="548" t="s">
        <v>10040</v>
      </c>
      <c r="D230" s="548" t="s">
        <v>10078</v>
      </c>
      <c r="E230" s="757"/>
      <c r="F230" s="756">
        <v>140000.0</v>
      </c>
      <c r="G230" s="757">
        <f t="shared" si="2"/>
        <v>85000</v>
      </c>
      <c r="H230" s="548" t="s">
        <v>9257</v>
      </c>
      <c r="K230" s="757"/>
      <c r="L230" s="757"/>
      <c r="M230" s="757"/>
      <c r="N230" s="757"/>
      <c r="O230" s="757"/>
      <c r="P230" s="757"/>
    </row>
    <row r="231">
      <c r="B231" s="761">
        <v>46120.0</v>
      </c>
      <c r="C231" s="548" t="s">
        <v>10072</v>
      </c>
      <c r="D231" s="548" t="s">
        <v>10079</v>
      </c>
      <c r="E231" s="757"/>
      <c r="F231" s="756">
        <v>49500.0</v>
      </c>
      <c r="G231" s="757">
        <f t="shared" si="2"/>
        <v>35500</v>
      </c>
      <c r="H231" s="548" t="s">
        <v>9368</v>
      </c>
      <c r="I231" s="548" t="s">
        <v>9954</v>
      </c>
      <c r="K231" s="757"/>
      <c r="L231" s="757"/>
      <c r="M231" s="757"/>
      <c r="N231" s="757"/>
      <c r="O231" s="757"/>
      <c r="P231" s="757"/>
    </row>
    <row r="232">
      <c r="B232" s="761">
        <v>46120.0</v>
      </c>
      <c r="C232" s="548" t="s">
        <v>9968</v>
      </c>
      <c r="D232" s="548" t="s">
        <v>10063</v>
      </c>
      <c r="E232" s="756">
        <v>1100000.0</v>
      </c>
      <c r="F232" s="757"/>
      <c r="G232" s="757">
        <f t="shared" si="2"/>
        <v>1135500</v>
      </c>
      <c r="H232" s="548" t="s">
        <v>9368</v>
      </c>
      <c r="K232" s="757"/>
      <c r="L232" s="757"/>
      <c r="M232" s="757"/>
      <c r="N232" s="757"/>
      <c r="O232" s="757"/>
      <c r="P232" s="757"/>
    </row>
    <row r="233">
      <c r="B233" s="761">
        <v>46121.0</v>
      </c>
      <c r="C233" s="548" t="s">
        <v>10045</v>
      </c>
      <c r="D233" s="548" t="s">
        <v>9956</v>
      </c>
      <c r="E233" s="757"/>
      <c r="F233" s="756">
        <v>300000.0</v>
      </c>
      <c r="G233" s="757">
        <f t="shared" si="2"/>
        <v>835500</v>
      </c>
      <c r="H233" s="548" t="s">
        <v>8388</v>
      </c>
      <c r="K233" s="757"/>
      <c r="L233" s="757"/>
      <c r="M233" s="757"/>
      <c r="N233" s="757"/>
      <c r="O233" s="757"/>
      <c r="P233" s="757"/>
    </row>
    <row r="234">
      <c r="B234" s="761">
        <v>46122.0</v>
      </c>
      <c r="C234" s="548" t="s">
        <v>10075</v>
      </c>
      <c r="D234" s="548" t="s">
        <v>10080</v>
      </c>
      <c r="E234" s="757"/>
      <c r="F234" s="756">
        <v>20000.0</v>
      </c>
      <c r="G234" s="757">
        <f t="shared" si="2"/>
        <v>815500</v>
      </c>
      <c r="H234" s="548" t="s">
        <v>9257</v>
      </c>
      <c r="K234" s="757"/>
      <c r="L234" s="757"/>
      <c r="M234" s="757"/>
      <c r="N234" s="757"/>
      <c r="O234" s="757"/>
      <c r="P234" s="757"/>
    </row>
    <row r="235">
      <c r="B235" s="761">
        <v>46121.0</v>
      </c>
      <c r="C235" s="548" t="s">
        <v>10040</v>
      </c>
      <c r="D235" s="548" t="s">
        <v>10071</v>
      </c>
      <c r="E235" s="757"/>
      <c r="F235" s="756">
        <v>42000.0</v>
      </c>
      <c r="G235" s="757">
        <f t="shared" si="2"/>
        <v>773500</v>
      </c>
      <c r="H235" s="548" t="s">
        <v>9901</v>
      </c>
      <c r="K235" s="757"/>
      <c r="L235" s="757"/>
      <c r="M235" s="757"/>
      <c r="N235" s="757"/>
      <c r="O235" s="757"/>
      <c r="P235" s="757"/>
    </row>
    <row r="236">
      <c r="B236" s="761">
        <v>46123.0</v>
      </c>
      <c r="C236" s="548" t="s">
        <v>10040</v>
      </c>
      <c r="D236" s="548" t="s">
        <v>10071</v>
      </c>
      <c r="E236" s="757"/>
      <c r="F236" s="756">
        <v>9000.0</v>
      </c>
      <c r="G236" s="757">
        <f t="shared" si="2"/>
        <v>764500</v>
      </c>
      <c r="K236" s="757"/>
      <c r="L236" s="757"/>
      <c r="M236" s="757"/>
      <c r="N236" s="757"/>
      <c r="O236" s="757"/>
      <c r="P236" s="757"/>
    </row>
    <row r="237">
      <c r="B237" s="761">
        <v>46123.0</v>
      </c>
      <c r="C237" s="548" t="s">
        <v>10045</v>
      </c>
      <c r="D237" s="548" t="s">
        <v>9956</v>
      </c>
      <c r="E237" s="757"/>
      <c r="F237" s="756">
        <v>300000.0</v>
      </c>
      <c r="G237" s="757">
        <f t="shared" si="2"/>
        <v>464500</v>
      </c>
      <c r="K237" s="757"/>
      <c r="L237" s="757"/>
      <c r="M237" s="757"/>
      <c r="N237" s="757"/>
      <c r="O237" s="757"/>
      <c r="P237" s="757"/>
    </row>
    <row r="238">
      <c r="B238" s="761">
        <v>46125.0</v>
      </c>
      <c r="C238" s="548" t="s">
        <v>10081</v>
      </c>
      <c r="D238" s="548" t="s">
        <v>10082</v>
      </c>
      <c r="E238" s="757"/>
      <c r="F238" s="756">
        <v>73000.0</v>
      </c>
      <c r="G238" s="757">
        <f t="shared" si="2"/>
        <v>391500</v>
      </c>
      <c r="H238" s="548" t="s">
        <v>9368</v>
      </c>
      <c r="I238" s="548" t="s">
        <v>10066</v>
      </c>
      <c r="K238" s="757"/>
      <c r="L238" s="757"/>
      <c r="M238" s="757"/>
      <c r="N238" s="757"/>
      <c r="O238" s="757"/>
      <c r="P238" s="757"/>
    </row>
    <row r="239">
      <c r="B239" s="761">
        <v>46127.0</v>
      </c>
      <c r="C239" s="548" t="s">
        <v>10045</v>
      </c>
      <c r="D239" s="548" t="s">
        <v>10048</v>
      </c>
      <c r="E239" s="757"/>
      <c r="F239" s="756">
        <v>300000.0</v>
      </c>
      <c r="G239" s="757">
        <f t="shared" si="2"/>
        <v>91500</v>
      </c>
      <c r="H239" s="548" t="s">
        <v>9368</v>
      </c>
      <c r="I239" s="548" t="s">
        <v>10074</v>
      </c>
      <c r="K239" s="757"/>
      <c r="L239" s="757"/>
      <c r="M239" s="757"/>
      <c r="N239" s="757"/>
      <c r="O239" s="757"/>
      <c r="P239" s="757"/>
    </row>
    <row r="240">
      <c r="B240" s="761">
        <v>46128.0</v>
      </c>
      <c r="C240" s="548" t="s">
        <v>10040</v>
      </c>
      <c r="D240" s="548" t="s">
        <v>10083</v>
      </c>
      <c r="E240" s="757"/>
      <c r="F240" s="756">
        <v>48500.0</v>
      </c>
      <c r="G240" s="757">
        <f t="shared" si="2"/>
        <v>43000</v>
      </c>
      <c r="H240" s="548" t="s">
        <v>9368</v>
      </c>
      <c r="I240" s="548" t="s">
        <v>8388</v>
      </c>
      <c r="K240" s="757"/>
      <c r="L240" s="757"/>
      <c r="M240" s="757"/>
      <c r="N240" s="757"/>
      <c r="O240" s="757"/>
      <c r="P240" s="757"/>
    </row>
    <row r="241">
      <c r="B241" s="761">
        <v>46128.0</v>
      </c>
      <c r="C241" s="548" t="s">
        <v>10084</v>
      </c>
      <c r="D241" s="548" t="s">
        <v>10085</v>
      </c>
      <c r="E241" s="757"/>
      <c r="F241" s="756">
        <v>30000.0</v>
      </c>
      <c r="G241" s="757">
        <f t="shared" si="2"/>
        <v>13000</v>
      </c>
      <c r="H241" s="548" t="s">
        <v>9368</v>
      </c>
      <c r="I241" s="548" t="s">
        <v>10086</v>
      </c>
      <c r="K241" s="757"/>
      <c r="L241" s="757"/>
      <c r="M241" s="757"/>
      <c r="N241" s="757"/>
      <c r="O241" s="757"/>
      <c r="P241" s="757"/>
    </row>
    <row r="242">
      <c r="B242" s="761">
        <v>46128.0</v>
      </c>
      <c r="C242" s="548" t="s">
        <v>10045</v>
      </c>
      <c r="D242" s="548" t="s">
        <v>10087</v>
      </c>
      <c r="E242" s="757"/>
      <c r="F242" s="756">
        <v>2000.0</v>
      </c>
      <c r="G242" s="757">
        <f t="shared" si="2"/>
        <v>11000</v>
      </c>
      <c r="H242" s="548" t="s">
        <v>9368</v>
      </c>
      <c r="I242" s="548" t="s">
        <v>10086</v>
      </c>
      <c r="K242" s="757"/>
      <c r="L242" s="757"/>
      <c r="M242" s="757"/>
      <c r="N242" s="757"/>
      <c r="O242" s="757"/>
      <c r="P242" s="757"/>
    </row>
    <row r="243">
      <c r="B243" s="761">
        <v>46130.0</v>
      </c>
      <c r="C243" s="548" t="s">
        <v>10084</v>
      </c>
      <c r="D243" s="548" t="s">
        <v>10071</v>
      </c>
      <c r="E243" s="757"/>
      <c r="F243" s="756">
        <v>42000.0</v>
      </c>
      <c r="G243" s="757">
        <f t="shared" si="2"/>
        <v>-31000</v>
      </c>
      <c r="H243" s="548" t="s">
        <v>8388</v>
      </c>
      <c r="I243" s="548" t="s">
        <v>9935</v>
      </c>
      <c r="K243" s="757"/>
      <c r="L243" s="757"/>
      <c r="M243" s="757"/>
      <c r="N243" s="757"/>
      <c r="O243" s="757"/>
      <c r="P243" s="757"/>
    </row>
    <row r="244">
      <c r="B244" s="761">
        <v>46130.0</v>
      </c>
      <c r="C244" s="548" t="s">
        <v>9968</v>
      </c>
      <c r="D244" s="548" t="s">
        <v>10088</v>
      </c>
      <c r="E244" s="756">
        <v>500000.0</v>
      </c>
      <c r="F244" s="757"/>
      <c r="G244" s="757">
        <f t="shared" si="2"/>
        <v>469000</v>
      </c>
      <c r="H244" s="548" t="s">
        <v>9368</v>
      </c>
      <c r="K244" s="757"/>
      <c r="L244" s="757"/>
      <c r="M244" s="757"/>
      <c r="N244" s="757"/>
      <c r="O244" s="757"/>
      <c r="P244" s="757"/>
    </row>
    <row r="245">
      <c r="C245" s="548" t="s">
        <v>10089</v>
      </c>
      <c r="D245" s="548" t="s">
        <v>10048</v>
      </c>
      <c r="E245" s="757"/>
      <c r="F245" s="756">
        <v>300000.0</v>
      </c>
      <c r="G245" s="757">
        <f t="shared" si="2"/>
        <v>169000</v>
      </c>
      <c r="H245" s="548" t="s">
        <v>9368</v>
      </c>
      <c r="I245" s="548" t="s">
        <v>10074</v>
      </c>
      <c r="K245" s="757"/>
      <c r="L245" s="757"/>
      <c r="M245" s="757"/>
      <c r="N245" s="757"/>
      <c r="O245" s="757"/>
      <c r="P245" s="757"/>
    </row>
    <row r="246">
      <c r="C246" s="548" t="s">
        <v>10040</v>
      </c>
      <c r="D246" s="548" t="s">
        <v>10090</v>
      </c>
      <c r="E246" s="757"/>
      <c r="F246" s="756">
        <v>21000.0</v>
      </c>
      <c r="G246" s="757">
        <f t="shared" si="2"/>
        <v>148000</v>
      </c>
      <c r="H246" s="548" t="s">
        <v>9368</v>
      </c>
      <c r="I246" s="548" t="s">
        <v>10047</v>
      </c>
      <c r="K246" s="757"/>
      <c r="L246" s="757"/>
      <c r="M246" s="757"/>
      <c r="N246" s="757"/>
      <c r="O246" s="757"/>
      <c r="P246" s="757"/>
    </row>
    <row r="247">
      <c r="C247" s="548" t="s">
        <v>9968</v>
      </c>
      <c r="D247" s="548" t="s">
        <v>10091</v>
      </c>
      <c r="E247" s="756">
        <v>10000.0</v>
      </c>
      <c r="F247" s="757"/>
      <c r="G247" s="757">
        <f t="shared" si="2"/>
        <v>158000</v>
      </c>
      <c r="K247" s="757"/>
      <c r="L247" s="757"/>
      <c r="M247" s="757"/>
      <c r="N247" s="757"/>
      <c r="O247" s="757"/>
      <c r="P247" s="757"/>
    </row>
    <row r="248">
      <c r="B248" s="762">
        <v>46132.0</v>
      </c>
      <c r="C248" s="548" t="s">
        <v>10040</v>
      </c>
      <c r="D248" s="548" t="s">
        <v>10092</v>
      </c>
      <c r="E248" s="757"/>
      <c r="F248" s="756">
        <v>45000.0</v>
      </c>
      <c r="G248" s="757">
        <f t="shared" si="2"/>
        <v>113000</v>
      </c>
      <c r="K248" s="757"/>
      <c r="L248" s="757"/>
      <c r="M248" s="757"/>
      <c r="N248" s="757"/>
      <c r="O248" s="757"/>
      <c r="P248" s="757"/>
    </row>
    <row r="249">
      <c r="B249" s="762">
        <v>46132.0</v>
      </c>
      <c r="C249" s="548" t="s">
        <v>10093</v>
      </c>
      <c r="D249" s="548" t="s">
        <v>10094</v>
      </c>
      <c r="E249" s="757"/>
      <c r="F249" s="756">
        <v>6000.0</v>
      </c>
      <c r="G249" s="757">
        <f t="shared" si="2"/>
        <v>107000</v>
      </c>
      <c r="K249" s="757"/>
      <c r="L249" s="757"/>
      <c r="M249" s="757"/>
      <c r="N249" s="757"/>
      <c r="O249" s="757"/>
      <c r="P249" s="757"/>
    </row>
    <row r="250">
      <c r="B250" s="762">
        <v>46132.0</v>
      </c>
      <c r="C250" s="548" t="s">
        <v>10095</v>
      </c>
      <c r="E250" s="756">
        <v>1200000.0</v>
      </c>
      <c r="F250" s="757"/>
      <c r="G250" s="757">
        <f t="shared" si="2"/>
        <v>1307000</v>
      </c>
      <c r="K250" s="757"/>
      <c r="L250" s="757"/>
      <c r="M250" s="757"/>
      <c r="N250" s="757"/>
      <c r="O250" s="757"/>
      <c r="P250" s="757"/>
    </row>
    <row r="251">
      <c r="B251" s="761">
        <v>46133.0</v>
      </c>
      <c r="C251" s="548" t="s">
        <v>10096</v>
      </c>
      <c r="D251" s="548" t="s">
        <v>10097</v>
      </c>
      <c r="E251" s="757"/>
      <c r="F251" s="756">
        <v>46000.0</v>
      </c>
      <c r="G251" s="757">
        <f t="shared" si="2"/>
        <v>1261000</v>
      </c>
      <c r="K251" s="757"/>
      <c r="L251" s="757"/>
      <c r="M251" s="757"/>
      <c r="N251" s="757"/>
      <c r="O251" s="757"/>
      <c r="P251" s="757"/>
    </row>
    <row r="252">
      <c r="B252" s="761">
        <v>46134.0</v>
      </c>
      <c r="C252" s="548" t="s">
        <v>10089</v>
      </c>
      <c r="D252" s="548" t="s">
        <v>10098</v>
      </c>
      <c r="E252" s="757"/>
      <c r="F252" s="756">
        <v>4000.0</v>
      </c>
      <c r="G252" s="757">
        <f t="shared" si="2"/>
        <v>1257000</v>
      </c>
      <c r="H252" s="548" t="s">
        <v>10056</v>
      </c>
      <c r="I252" s="548" t="s">
        <v>10099</v>
      </c>
      <c r="K252" s="757"/>
      <c r="L252" s="757"/>
      <c r="M252" s="757"/>
      <c r="N252" s="757"/>
      <c r="O252" s="757"/>
      <c r="P252" s="757"/>
    </row>
    <row r="253">
      <c r="B253" s="761">
        <v>46134.0</v>
      </c>
      <c r="C253" s="548" t="s">
        <v>10084</v>
      </c>
      <c r="D253" s="548" t="s">
        <v>10100</v>
      </c>
      <c r="E253" s="757"/>
      <c r="F253" s="756">
        <v>46700.0</v>
      </c>
      <c r="G253" s="757">
        <f t="shared" si="2"/>
        <v>1210300</v>
      </c>
      <c r="H253" s="548" t="s">
        <v>9368</v>
      </c>
      <c r="I253" s="548" t="s">
        <v>9368</v>
      </c>
      <c r="K253" s="757"/>
      <c r="L253" s="757"/>
      <c r="M253" s="757"/>
      <c r="N253" s="757"/>
      <c r="O253" s="757"/>
      <c r="P253" s="757"/>
    </row>
    <row r="254">
      <c r="B254" s="761">
        <v>46134.0</v>
      </c>
      <c r="C254" s="548" t="s">
        <v>10045</v>
      </c>
      <c r="D254" s="548" t="s">
        <v>10101</v>
      </c>
      <c r="E254" s="757"/>
      <c r="F254" s="756">
        <v>10000.0</v>
      </c>
      <c r="G254" s="757">
        <f t="shared" si="2"/>
        <v>1200300</v>
      </c>
      <c r="H254" s="548" t="s">
        <v>10065</v>
      </c>
      <c r="I254" s="548" t="s">
        <v>10099</v>
      </c>
      <c r="K254" s="757"/>
      <c r="L254" s="757"/>
      <c r="M254" s="757"/>
      <c r="N254" s="757"/>
      <c r="O254" s="757"/>
      <c r="P254" s="757"/>
    </row>
    <row r="255">
      <c r="B255" s="762">
        <v>46135.0</v>
      </c>
      <c r="C255" s="548" t="s">
        <v>9857</v>
      </c>
      <c r="D255" s="548" t="s">
        <v>10102</v>
      </c>
      <c r="E255" s="757"/>
      <c r="F255" s="756">
        <v>200000.0</v>
      </c>
      <c r="G255" s="757">
        <f t="shared" si="2"/>
        <v>1000300</v>
      </c>
      <c r="H255" s="548" t="s">
        <v>10103</v>
      </c>
      <c r="I255" s="548" t="s">
        <v>10104</v>
      </c>
      <c r="K255" s="757"/>
      <c r="L255" s="757"/>
      <c r="M255" s="757"/>
      <c r="N255" s="757"/>
      <c r="O255" s="757"/>
      <c r="P255" s="757"/>
    </row>
    <row r="256">
      <c r="B256" s="762">
        <v>46135.0</v>
      </c>
      <c r="C256" s="548" t="s">
        <v>9857</v>
      </c>
      <c r="D256" s="548" t="s">
        <v>10105</v>
      </c>
      <c r="E256" s="757"/>
      <c r="F256" s="756">
        <v>40000.0</v>
      </c>
      <c r="G256" s="757">
        <f t="shared" si="2"/>
        <v>960300</v>
      </c>
      <c r="H256" s="548" t="s">
        <v>10103</v>
      </c>
      <c r="I256" s="548" t="s">
        <v>10104</v>
      </c>
      <c r="K256" s="757"/>
      <c r="L256" s="757"/>
      <c r="M256" s="757"/>
      <c r="N256" s="757"/>
      <c r="O256" s="757"/>
      <c r="P256" s="757"/>
    </row>
    <row r="257">
      <c r="B257" s="761">
        <v>46135.0</v>
      </c>
      <c r="C257" s="548" t="s">
        <v>10061</v>
      </c>
      <c r="D257" s="548" t="s">
        <v>10106</v>
      </c>
      <c r="E257" s="757"/>
      <c r="F257" s="756">
        <v>30000.0</v>
      </c>
      <c r="G257" s="757">
        <f t="shared" si="2"/>
        <v>930300</v>
      </c>
      <c r="H257" s="548" t="s">
        <v>10107</v>
      </c>
      <c r="I257" s="548" t="s">
        <v>9368</v>
      </c>
      <c r="K257" s="757"/>
      <c r="L257" s="757"/>
      <c r="M257" s="757"/>
      <c r="N257" s="757"/>
      <c r="O257" s="757"/>
      <c r="P257" s="757"/>
    </row>
    <row r="258">
      <c r="B258" s="761">
        <v>46135.0</v>
      </c>
      <c r="C258" s="548" t="s">
        <v>10040</v>
      </c>
      <c r="D258" s="548" t="s">
        <v>10092</v>
      </c>
      <c r="E258" s="757"/>
      <c r="F258" s="756">
        <v>20000.0</v>
      </c>
      <c r="G258" s="757">
        <f t="shared" si="2"/>
        <v>910300</v>
      </c>
      <c r="H258" s="548" t="s">
        <v>9368</v>
      </c>
      <c r="I258" s="548" t="s">
        <v>10066</v>
      </c>
      <c r="K258" s="757"/>
      <c r="L258" s="757"/>
      <c r="M258" s="757"/>
      <c r="N258" s="757"/>
      <c r="O258" s="757"/>
      <c r="P258" s="757"/>
    </row>
    <row r="259">
      <c r="B259" s="761">
        <v>46135.0</v>
      </c>
      <c r="C259" s="548" t="s">
        <v>10108</v>
      </c>
      <c r="E259" s="757"/>
      <c r="F259" s="756">
        <v>10000.0</v>
      </c>
      <c r="G259" s="757">
        <f t="shared" si="2"/>
        <v>900300</v>
      </c>
      <c r="K259" s="757"/>
      <c r="L259" s="757"/>
      <c r="M259" s="757"/>
      <c r="N259" s="757"/>
      <c r="O259" s="757"/>
      <c r="P259" s="757"/>
    </row>
    <row r="260">
      <c r="B260" s="762">
        <v>46135.0</v>
      </c>
      <c r="C260" s="548" t="s">
        <v>10109</v>
      </c>
      <c r="E260" s="757"/>
      <c r="F260" s="756">
        <v>74000.0</v>
      </c>
      <c r="G260" s="757">
        <f t="shared" si="2"/>
        <v>826300</v>
      </c>
      <c r="K260" s="757"/>
      <c r="L260" s="757"/>
      <c r="M260" s="757"/>
      <c r="N260" s="757"/>
      <c r="O260" s="757"/>
      <c r="P260" s="757"/>
    </row>
    <row r="261">
      <c r="B261" s="761">
        <v>46136.0</v>
      </c>
      <c r="C261" s="548" t="s">
        <v>10040</v>
      </c>
      <c r="D261" s="548" t="s">
        <v>10110</v>
      </c>
      <c r="E261" s="757"/>
      <c r="F261" s="756">
        <v>35000.0</v>
      </c>
      <c r="G261" s="757">
        <f t="shared" si="2"/>
        <v>791300</v>
      </c>
      <c r="H261" s="548" t="s">
        <v>9368</v>
      </c>
      <c r="I261" s="548" t="s">
        <v>10099</v>
      </c>
      <c r="K261" s="757"/>
      <c r="L261" s="757"/>
      <c r="M261" s="757"/>
      <c r="N261" s="757"/>
      <c r="O261" s="757"/>
      <c r="P261" s="757"/>
    </row>
    <row r="262">
      <c r="B262" s="761">
        <v>46136.0</v>
      </c>
      <c r="C262" s="548" t="s">
        <v>10111</v>
      </c>
      <c r="D262" s="548" t="s">
        <v>10048</v>
      </c>
      <c r="E262" s="757"/>
      <c r="F262" s="756">
        <v>300000.0</v>
      </c>
      <c r="G262" s="757">
        <f t="shared" si="2"/>
        <v>491300</v>
      </c>
      <c r="H262" s="548" t="s">
        <v>9368</v>
      </c>
      <c r="I262" s="548" t="s">
        <v>10066</v>
      </c>
      <c r="K262" s="757"/>
      <c r="L262" s="757"/>
      <c r="M262" s="757"/>
      <c r="N262" s="757"/>
      <c r="O262" s="757"/>
      <c r="P262" s="757"/>
    </row>
    <row r="263">
      <c r="B263" s="761">
        <v>46136.0</v>
      </c>
      <c r="C263" s="548" t="s">
        <v>10040</v>
      </c>
      <c r="D263" s="548" t="s">
        <v>10012</v>
      </c>
      <c r="E263" s="757"/>
      <c r="F263" s="756">
        <v>21000.0</v>
      </c>
      <c r="G263" s="757">
        <f t="shared" si="2"/>
        <v>470300</v>
      </c>
      <c r="H263" s="548" t="s">
        <v>9368</v>
      </c>
      <c r="I263" s="548" t="s">
        <v>10112</v>
      </c>
      <c r="K263" s="757"/>
      <c r="L263" s="757"/>
      <c r="M263" s="757"/>
      <c r="N263" s="757"/>
      <c r="O263" s="757"/>
      <c r="P263" s="757"/>
    </row>
    <row r="264">
      <c r="B264" s="761">
        <v>46077.0</v>
      </c>
      <c r="C264" s="548" t="s">
        <v>10113</v>
      </c>
      <c r="D264" s="548" t="s">
        <v>10012</v>
      </c>
      <c r="E264" s="757"/>
      <c r="F264" s="756">
        <v>9000.0</v>
      </c>
      <c r="G264" s="757">
        <f t="shared" si="2"/>
        <v>461300</v>
      </c>
      <c r="H264" s="548" t="s">
        <v>9368</v>
      </c>
      <c r="I264" s="548" t="s">
        <v>10112</v>
      </c>
      <c r="K264" s="757"/>
      <c r="L264" s="757"/>
      <c r="M264" s="757"/>
      <c r="N264" s="757"/>
      <c r="O264" s="757"/>
      <c r="P264" s="757"/>
    </row>
    <row r="265">
      <c r="B265" s="762">
        <v>46137.0</v>
      </c>
      <c r="C265" s="548" t="s">
        <v>10072</v>
      </c>
      <c r="D265" s="548" t="s">
        <v>10114</v>
      </c>
      <c r="E265" s="757"/>
      <c r="F265" s="756">
        <v>15500.0</v>
      </c>
      <c r="G265" s="757">
        <f t="shared" si="2"/>
        <v>445800</v>
      </c>
      <c r="H265" s="548" t="s">
        <v>9368</v>
      </c>
      <c r="I265" s="548" t="s">
        <v>9901</v>
      </c>
      <c r="K265" s="757"/>
      <c r="L265" s="757"/>
      <c r="M265" s="757"/>
      <c r="N265" s="757"/>
      <c r="O265" s="757"/>
      <c r="P265" s="757"/>
    </row>
    <row r="266">
      <c r="B266" s="762">
        <v>46137.0</v>
      </c>
      <c r="D266" s="548" t="s">
        <v>9937</v>
      </c>
      <c r="E266" s="757"/>
      <c r="F266" s="756">
        <v>100000.0</v>
      </c>
      <c r="G266" s="757">
        <f t="shared" si="2"/>
        <v>345800</v>
      </c>
      <c r="K266" s="757"/>
      <c r="L266" s="757"/>
      <c r="M266" s="757"/>
      <c r="N266" s="757"/>
      <c r="O266" s="757"/>
      <c r="P266" s="757"/>
    </row>
    <row r="267">
      <c r="E267" s="757"/>
      <c r="F267" s="757"/>
      <c r="G267" s="757">
        <f t="shared" si="2"/>
        <v>345800</v>
      </c>
      <c r="K267" s="757"/>
      <c r="L267" s="757"/>
      <c r="M267" s="757"/>
      <c r="N267" s="757"/>
      <c r="O267" s="757"/>
      <c r="P267" s="757"/>
    </row>
    <row r="268">
      <c r="E268" s="757"/>
      <c r="F268" s="757"/>
      <c r="G268" s="757">
        <f t="shared" si="2"/>
        <v>345800</v>
      </c>
      <c r="K268" s="757"/>
      <c r="L268" s="757"/>
      <c r="M268" s="757"/>
      <c r="N268" s="757"/>
      <c r="O268" s="757"/>
      <c r="P268" s="757"/>
    </row>
    <row r="269">
      <c r="E269" s="757"/>
      <c r="F269" s="757"/>
      <c r="G269" s="757">
        <f t="shared" si="2"/>
        <v>345800</v>
      </c>
      <c r="K269" s="757"/>
      <c r="L269" s="757"/>
      <c r="M269" s="757"/>
      <c r="N269" s="757"/>
      <c r="O269" s="757"/>
      <c r="P269" s="757"/>
    </row>
    <row r="270">
      <c r="E270" s="757"/>
      <c r="F270" s="757"/>
      <c r="G270" s="757">
        <f t="shared" si="2"/>
        <v>345800</v>
      </c>
      <c r="K270" s="757"/>
      <c r="L270" s="757"/>
      <c r="M270" s="757"/>
      <c r="N270" s="757"/>
      <c r="O270" s="757"/>
      <c r="P270" s="757"/>
    </row>
    <row r="271">
      <c r="E271" s="757"/>
      <c r="F271" s="757"/>
      <c r="G271" s="757">
        <f t="shared" si="2"/>
        <v>345800</v>
      </c>
      <c r="K271" s="757"/>
      <c r="L271" s="757"/>
      <c r="M271" s="757"/>
      <c r="N271" s="757"/>
      <c r="O271" s="757"/>
      <c r="P271" s="757"/>
    </row>
    <row r="272">
      <c r="E272" s="757"/>
      <c r="F272" s="757"/>
      <c r="G272" s="757">
        <f t="shared" si="2"/>
        <v>345800</v>
      </c>
      <c r="K272" s="757"/>
      <c r="L272" s="757"/>
      <c r="M272" s="757"/>
      <c r="N272" s="757"/>
      <c r="O272" s="757"/>
      <c r="P272" s="757"/>
    </row>
    <row r="273">
      <c r="E273" s="757"/>
      <c r="F273" s="757"/>
      <c r="G273" s="757">
        <f t="shared" si="2"/>
        <v>345800</v>
      </c>
      <c r="K273" s="757"/>
      <c r="L273" s="757"/>
      <c r="M273" s="757"/>
      <c r="N273" s="757"/>
      <c r="O273" s="757"/>
      <c r="P273" s="757"/>
    </row>
    <row r="274">
      <c r="E274" s="757"/>
      <c r="F274" s="757"/>
      <c r="G274" s="757">
        <f t="shared" si="2"/>
        <v>345800</v>
      </c>
      <c r="K274" s="757"/>
      <c r="L274" s="757"/>
      <c r="M274" s="757"/>
      <c r="N274" s="757"/>
      <c r="O274" s="757"/>
      <c r="P274" s="757"/>
    </row>
    <row r="275">
      <c r="E275" s="757"/>
      <c r="F275" s="757"/>
      <c r="G275" s="757">
        <f t="shared" si="2"/>
        <v>345800</v>
      </c>
      <c r="K275" s="757"/>
      <c r="L275" s="757"/>
      <c r="M275" s="757"/>
      <c r="N275" s="757"/>
      <c r="O275" s="757"/>
      <c r="P275" s="757"/>
    </row>
    <row r="276">
      <c r="E276" s="757"/>
      <c r="F276" s="757"/>
      <c r="G276" s="757">
        <f t="shared" si="2"/>
        <v>345800</v>
      </c>
      <c r="K276" s="757"/>
      <c r="L276" s="757"/>
      <c r="M276" s="757"/>
      <c r="N276" s="757"/>
      <c r="O276" s="757"/>
      <c r="P276" s="757"/>
    </row>
    <row r="277">
      <c r="E277" s="757"/>
      <c r="F277" s="757"/>
      <c r="G277" s="757">
        <f t="shared" si="2"/>
        <v>345800</v>
      </c>
      <c r="K277" s="757"/>
      <c r="L277" s="757"/>
      <c r="M277" s="757"/>
      <c r="N277" s="757"/>
      <c r="O277" s="757"/>
      <c r="P277" s="757"/>
    </row>
    <row r="278">
      <c r="E278" s="757"/>
      <c r="F278" s="757"/>
      <c r="G278" s="757">
        <f t="shared" si="2"/>
        <v>345800</v>
      </c>
      <c r="K278" s="757"/>
      <c r="L278" s="757"/>
      <c r="M278" s="757"/>
      <c r="N278" s="757"/>
      <c r="O278" s="757"/>
      <c r="P278" s="757"/>
    </row>
    <row r="279">
      <c r="E279" s="757"/>
      <c r="F279" s="757"/>
      <c r="G279" s="757">
        <f t="shared" si="2"/>
        <v>345800</v>
      </c>
      <c r="K279" s="757"/>
      <c r="L279" s="757"/>
      <c r="M279" s="757"/>
      <c r="N279" s="757"/>
      <c r="O279" s="757"/>
      <c r="P279" s="757"/>
    </row>
    <row r="280">
      <c r="E280" s="757"/>
      <c r="F280" s="757"/>
      <c r="G280" s="757">
        <f t="shared" si="2"/>
        <v>345800</v>
      </c>
      <c r="K280" s="757"/>
      <c r="L280" s="757"/>
      <c r="M280" s="757"/>
      <c r="N280" s="757"/>
      <c r="O280" s="757"/>
      <c r="P280" s="757"/>
    </row>
    <row r="281">
      <c r="E281" s="757"/>
      <c r="F281" s="757"/>
      <c r="G281" s="757">
        <f t="shared" si="2"/>
        <v>345800</v>
      </c>
      <c r="K281" s="757"/>
      <c r="L281" s="757"/>
      <c r="M281" s="757"/>
      <c r="N281" s="757"/>
      <c r="O281" s="757"/>
      <c r="P281" s="757"/>
    </row>
    <row r="282">
      <c r="E282" s="757"/>
      <c r="F282" s="757"/>
      <c r="G282" s="757">
        <f t="shared" si="2"/>
        <v>345800</v>
      </c>
      <c r="K282" s="757"/>
      <c r="L282" s="757"/>
      <c r="M282" s="757"/>
      <c r="N282" s="757"/>
      <c r="O282" s="757"/>
      <c r="P282" s="757"/>
    </row>
    <row r="283">
      <c r="E283" s="757"/>
      <c r="F283" s="757"/>
      <c r="G283" s="757">
        <f t="shared" si="2"/>
        <v>345800</v>
      </c>
      <c r="K283" s="757"/>
      <c r="L283" s="757"/>
      <c r="M283" s="757"/>
      <c r="N283" s="757"/>
      <c r="O283" s="757"/>
      <c r="P283" s="757"/>
    </row>
    <row r="284">
      <c r="E284" s="757"/>
      <c r="F284" s="757"/>
      <c r="G284" s="757">
        <f t="shared" si="2"/>
        <v>345800</v>
      </c>
      <c r="K284" s="757"/>
      <c r="L284" s="757"/>
      <c r="M284" s="757"/>
      <c r="N284" s="757"/>
      <c r="O284" s="757"/>
      <c r="P284" s="757"/>
    </row>
    <row r="285">
      <c r="E285" s="757"/>
      <c r="F285" s="757"/>
      <c r="G285" s="757">
        <f t="shared" si="2"/>
        <v>345800</v>
      </c>
      <c r="K285" s="757"/>
      <c r="L285" s="757"/>
      <c r="M285" s="757"/>
      <c r="N285" s="757"/>
      <c r="O285" s="757"/>
      <c r="P285" s="757"/>
    </row>
    <row r="286">
      <c r="E286" s="757"/>
      <c r="F286" s="757"/>
      <c r="G286" s="757">
        <f t="shared" si="2"/>
        <v>345800</v>
      </c>
      <c r="K286" s="757"/>
      <c r="L286" s="757"/>
      <c r="M286" s="757"/>
      <c r="N286" s="757"/>
      <c r="O286" s="757"/>
      <c r="P286" s="757"/>
    </row>
    <row r="287">
      <c r="E287" s="757"/>
      <c r="F287" s="757"/>
      <c r="G287" s="757">
        <f t="shared" si="2"/>
        <v>345800</v>
      </c>
      <c r="K287" s="757"/>
      <c r="L287" s="757"/>
      <c r="M287" s="757"/>
      <c r="N287" s="757"/>
      <c r="O287" s="757"/>
      <c r="P287" s="757"/>
    </row>
    <row r="288">
      <c r="E288" s="757"/>
      <c r="F288" s="757"/>
      <c r="G288" s="757">
        <f t="shared" si="2"/>
        <v>345800</v>
      </c>
      <c r="K288" s="757"/>
      <c r="L288" s="757"/>
      <c r="M288" s="757"/>
      <c r="N288" s="757"/>
      <c r="O288" s="757"/>
      <c r="P288" s="757"/>
    </row>
    <row r="289">
      <c r="E289" s="757"/>
      <c r="F289" s="757"/>
      <c r="G289" s="757">
        <f t="shared" si="2"/>
        <v>345800</v>
      </c>
      <c r="K289" s="757"/>
      <c r="L289" s="757"/>
      <c r="M289" s="757"/>
      <c r="N289" s="757"/>
      <c r="O289" s="757"/>
      <c r="P289" s="757"/>
    </row>
    <row r="290">
      <c r="E290" s="757"/>
      <c r="F290" s="757"/>
      <c r="G290" s="757">
        <f t="shared" si="2"/>
        <v>345800</v>
      </c>
      <c r="K290" s="757"/>
      <c r="L290" s="757"/>
      <c r="M290" s="757"/>
      <c r="N290" s="757"/>
      <c r="O290" s="757"/>
      <c r="P290" s="757"/>
    </row>
    <row r="291">
      <c r="E291" s="757"/>
      <c r="F291" s="757"/>
      <c r="G291" s="757">
        <f t="shared" si="2"/>
        <v>345800</v>
      </c>
      <c r="K291" s="757"/>
      <c r="L291" s="757"/>
      <c r="M291" s="757"/>
      <c r="N291" s="757"/>
      <c r="O291" s="757"/>
      <c r="P291" s="757"/>
    </row>
    <row r="292">
      <c r="E292" s="757"/>
      <c r="F292" s="757"/>
      <c r="G292" s="757">
        <f t="shared" si="2"/>
        <v>345800</v>
      </c>
      <c r="K292" s="757"/>
      <c r="L292" s="757"/>
      <c r="M292" s="757"/>
      <c r="N292" s="757"/>
      <c r="O292" s="757"/>
      <c r="P292" s="757"/>
    </row>
    <row r="293">
      <c r="E293" s="757"/>
      <c r="F293" s="757"/>
      <c r="G293" s="757">
        <f t="shared" si="2"/>
        <v>345800</v>
      </c>
      <c r="K293" s="757"/>
      <c r="L293" s="757"/>
      <c r="M293" s="757"/>
      <c r="N293" s="757"/>
      <c r="O293" s="757"/>
      <c r="P293" s="757"/>
    </row>
    <row r="294">
      <c r="E294" s="757"/>
      <c r="F294" s="757"/>
      <c r="G294" s="757">
        <f t="shared" si="2"/>
        <v>345800</v>
      </c>
      <c r="K294" s="757"/>
      <c r="L294" s="757"/>
      <c r="M294" s="757"/>
      <c r="N294" s="757"/>
      <c r="O294" s="757"/>
      <c r="P294" s="757"/>
    </row>
    <row r="295">
      <c r="E295" s="757"/>
      <c r="F295" s="757"/>
      <c r="G295" s="757">
        <f t="shared" si="2"/>
        <v>345800</v>
      </c>
      <c r="K295" s="757"/>
      <c r="L295" s="757"/>
      <c r="M295" s="757"/>
      <c r="N295" s="757"/>
      <c r="O295" s="757"/>
      <c r="P295" s="757"/>
    </row>
    <row r="296">
      <c r="E296" s="757"/>
      <c r="F296" s="757"/>
      <c r="G296" s="757">
        <f t="shared" si="2"/>
        <v>345800</v>
      </c>
      <c r="K296" s="757"/>
      <c r="L296" s="757"/>
      <c r="M296" s="757"/>
      <c r="N296" s="757"/>
      <c r="O296" s="757"/>
      <c r="P296" s="757"/>
    </row>
    <row r="297">
      <c r="E297" s="757"/>
      <c r="F297" s="757"/>
      <c r="G297" s="757">
        <f t="shared" si="2"/>
        <v>345800</v>
      </c>
      <c r="K297" s="757"/>
      <c r="L297" s="757"/>
      <c r="M297" s="757"/>
      <c r="N297" s="757"/>
      <c r="O297" s="757"/>
      <c r="P297" s="757"/>
    </row>
    <row r="298">
      <c r="E298" s="757"/>
      <c r="F298" s="757"/>
      <c r="G298" s="757">
        <f t="shared" si="2"/>
        <v>345800</v>
      </c>
      <c r="K298" s="757"/>
      <c r="L298" s="757"/>
      <c r="M298" s="757"/>
      <c r="N298" s="757"/>
      <c r="O298" s="757"/>
      <c r="P298" s="757"/>
    </row>
    <row r="299">
      <c r="E299" s="757"/>
      <c r="F299" s="757"/>
      <c r="G299" s="757">
        <f t="shared" si="2"/>
        <v>345800</v>
      </c>
      <c r="K299" s="757"/>
      <c r="L299" s="757"/>
      <c r="M299" s="757"/>
      <c r="N299" s="757"/>
      <c r="O299" s="757"/>
      <c r="P299" s="757"/>
    </row>
    <row r="300">
      <c r="E300" s="757"/>
      <c r="F300" s="757"/>
      <c r="G300" s="757">
        <f t="shared" si="2"/>
        <v>345800</v>
      </c>
      <c r="K300" s="757"/>
      <c r="L300" s="757"/>
      <c r="M300" s="757"/>
      <c r="N300" s="757"/>
      <c r="O300" s="757"/>
      <c r="P300" s="757"/>
    </row>
    <row r="301">
      <c r="E301" s="757"/>
      <c r="F301" s="757"/>
      <c r="G301" s="757">
        <f t="shared" si="2"/>
        <v>345800</v>
      </c>
      <c r="K301" s="757"/>
      <c r="L301" s="757"/>
      <c r="M301" s="757"/>
      <c r="N301" s="757"/>
      <c r="O301" s="757"/>
      <c r="P301" s="757"/>
    </row>
    <row r="302">
      <c r="E302" s="757"/>
      <c r="F302" s="757"/>
      <c r="G302" s="757">
        <f t="shared" si="2"/>
        <v>345800</v>
      </c>
      <c r="K302" s="757"/>
      <c r="L302" s="757"/>
      <c r="M302" s="757"/>
      <c r="N302" s="757"/>
      <c r="O302" s="757"/>
      <c r="P302" s="757"/>
    </row>
    <row r="303">
      <c r="E303" s="757"/>
      <c r="F303" s="757"/>
      <c r="G303" s="757">
        <f t="shared" si="2"/>
        <v>345800</v>
      </c>
      <c r="K303" s="757"/>
      <c r="L303" s="757"/>
      <c r="M303" s="757"/>
      <c r="N303" s="757"/>
      <c r="O303" s="757"/>
      <c r="P303" s="757"/>
    </row>
    <row r="304">
      <c r="E304" s="757"/>
      <c r="F304" s="757"/>
      <c r="G304" s="757">
        <f t="shared" si="2"/>
        <v>345800</v>
      </c>
      <c r="K304" s="757"/>
      <c r="L304" s="757"/>
      <c r="M304" s="757"/>
      <c r="N304" s="757"/>
      <c r="O304" s="757"/>
      <c r="P304" s="757"/>
    </row>
    <row r="305">
      <c r="E305" s="757"/>
      <c r="F305" s="757"/>
      <c r="G305" s="757">
        <f t="shared" si="2"/>
        <v>345800</v>
      </c>
      <c r="K305" s="757"/>
      <c r="L305" s="757"/>
      <c r="M305" s="757"/>
      <c r="N305" s="757"/>
      <c r="O305" s="757"/>
      <c r="P305" s="757"/>
    </row>
    <row r="306">
      <c r="E306" s="757"/>
      <c r="F306" s="757"/>
      <c r="G306" s="757">
        <f t="shared" si="2"/>
        <v>345800</v>
      </c>
      <c r="K306" s="757"/>
      <c r="L306" s="757"/>
      <c r="M306" s="757"/>
      <c r="N306" s="757"/>
      <c r="O306" s="757"/>
      <c r="P306" s="757"/>
    </row>
    <row r="307">
      <c r="E307" s="757"/>
      <c r="F307" s="757"/>
      <c r="G307" s="757">
        <f t="shared" si="2"/>
        <v>345800</v>
      </c>
      <c r="K307" s="757"/>
      <c r="L307" s="757"/>
      <c r="M307" s="757"/>
      <c r="N307" s="757"/>
      <c r="O307" s="757"/>
      <c r="P307" s="757"/>
    </row>
    <row r="308">
      <c r="E308" s="757"/>
      <c r="F308" s="757"/>
      <c r="G308" s="757">
        <f t="shared" si="2"/>
        <v>345800</v>
      </c>
      <c r="K308" s="757"/>
      <c r="L308" s="757"/>
      <c r="M308" s="757"/>
      <c r="N308" s="757"/>
      <c r="O308" s="757"/>
      <c r="P308" s="757"/>
    </row>
    <row r="309">
      <c r="E309" s="757"/>
      <c r="F309" s="757"/>
      <c r="G309" s="757">
        <f t="shared" si="2"/>
        <v>345800</v>
      </c>
      <c r="K309" s="757"/>
      <c r="L309" s="757"/>
      <c r="M309" s="757"/>
      <c r="N309" s="757"/>
      <c r="O309" s="757"/>
      <c r="P309" s="757"/>
    </row>
    <row r="310">
      <c r="E310" s="757"/>
      <c r="F310" s="757"/>
      <c r="G310" s="757">
        <f t="shared" si="2"/>
        <v>345800</v>
      </c>
      <c r="K310" s="757"/>
      <c r="L310" s="757"/>
      <c r="M310" s="757"/>
      <c r="N310" s="757"/>
      <c r="O310" s="757"/>
      <c r="P310" s="757"/>
    </row>
    <row r="311">
      <c r="E311" s="757"/>
      <c r="F311" s="757"/>
      <c r="G311" s="757">
        <f t="shared" si="2"/>
        <v>345800</v>
      </c>
      <c r="K311" s="757"/>
      <c r="L311" s="757"/>
      <c r="M311" s="757"/>
      <c r="N311" s="757"/>
      <c r="O311" s="757"/>
      <c r="P311" s="757"/>
    </row>
    <row r="312">
      <c r="E312" s="757"/>
      <c r="F312" s="757"/>
      <c r="G312" s="757"/>
      <c r="K312" s="757"/>
      <c r="L312" s="757"/>
      <c r="M312" s="757"/>
      <c r="N312" s="757"/>
      <c r="O312" s="757"/>
      <c r="P312" s="757"/>
    </row>
    <row r="313">
      <c r="E313" s="757"/>
      <c r="F313" s="757"/>
      <c r="G313" s="757"/>
      <c r="K313" s="757"/>
      <c r="L313" s="757"/>
      <c r="M313" s="757"/>
      <c r="N313" s="757"/>
      <c r="O313" s="757"/>
      <c r="P313" s="757"/>
    </row>
    <row r="314">
      <c r="E314" s="757"/>
      <c r="F314" s="757"/>
      <c r="G314" s="757"/>
      <c r="K314" s="757"/>
      <c r="L314" s="757"/>
      <c r="M314" s="757"/>
      <c r="N314" s="757"/>
      <c r="O314" s="757"/>
      <c r="P314" s="757"/>
    </row>
    <row r="315">
      <c r="E315" s="757"/>
      <c r="F315" s="757"/>
      <c r="G315" s="757"/>
      <c r="K315" s="757"/>
      <c r="L315" s="757"/>
      <c r="M315" s="757"/>
      <c r="N315" s="757"/>
      <c r="O315" s="757"/>
      <c r="P315" s="757"/>
    </row>
    <row r="316">
      <c r="E316" s="757"/>
      <c r="F316" s="757"/>
      <c r="G316" s="757"/>
      <c r="K316" s="757"/>
      <c r="L316" s="757"/>
      <c r="M316" s="757"/>
      <c r="N316" s="757"/>
      <c r="O316" s="757"/>
      <c r="P316" s="757"/>
    </row>
    <row r="317">
      <c r="E317" s="757"/>
      <c r="F317" s="757"/>
      <c r="G317" s="757"/>
      <c r="K317" s="757"/>
      <c r="L317" s="757"/>
      <c r="M317" s="757"/>
      <c r="N317" s="757"/>
      <c r="O317" s="757"/>
      <c r="P317" s="757"/>
    </row>
    <row r="318">
      <c r="E318" s="757"/>
      <c r="F318" s="757"/>
      <c r="G318" s="757"/>
      <c r="K318" s="757"/>
      <c r="L318" s="757"/>
      <c r="M318" s="757"/>
      <c r="N318" s="757"/>
      <c r="O318" s="757"/>
      <c r="P318" s="757"/>
    </row>
    <row r="319">
      <c r="E319" s="757"/>
      <c r="F319" s="757"/>
      <c r="G319" s="757"/>
      <c r="K319" s="757"/>
      <c r="L319" s="757"/>
      <c r="M319" s="757"/>
      <c r="N319" s="757"/>
      <c r="O319" s="757"/>
      <c r="P319" s="757"/>
    </row>
    <row r="320">
      <c r="E320" s="757"/>
      <c r="F320" s="757"/>
      <c r="G320" s="757"/>
      <c r="K320" s="757"/>
      <c r="L320" s="757"/>
      <c r="M320" s="757"/>
      <c r="N320" s="757"/>
      <c r="O320" s="757"/>
      <c r="P320" s="757"/>
    </row>
    <row r="321">
      <c r="E321" s="757"/>
      <c r="F321" s="757"/>
      <c r="G321" s="757"/>
      <c r="K321" s="757"/>
      <c r="L321" s="757"/>
      <c r="M321" s="757"/>
      <c r="N321" s="757"/>
      <c r="O321" s="757"/>
      <c r="P321" s="757"/>
    </row>
    <row r="322">
      <c r="E322" s="757"/>
      <c r="F322" s="757"/>
      <c r="G322" s="757"/>
      <c r="K322" s="757"/>
      <c r="L322" s="757"/>
      <c r="M322" s="757"/>
      <c r="N322" s="757"/>
      <c r="O322" s="757"/>
      <c r="P322" s="757"/>
    </row>
    <row r="323">
      <c r="E323" s="757"/>
      <c r="F323" s="757"/>
      <c r="G323" s="757"/>
      <c r="K323" s="757"/>
      <c r="L323" s="757"/>
      <c r="M323" s="757"/>
      <c r="N323" s="757"/>
      <c r="O323" s="757"/>
      <c r="P323" s="757"/>
    </row>
    <row r="324">
      <c r="E324" s="757"/>
      <c r="F324" s="757"/>
      <c r="G324" s="757"/>
      <c r="K324" s="757"/>
      <c r="L324" s="757"/>
      <c r="M324" s="757"/>
      <c r="N324" s="757"/>
      <c r="O324" s="757"/>
      <c r="P324" s="757"/>
    </row>
    <row r="325">
      <c r="E325" s="757"/>
      <c r="F325" s="757"/>
      <c r="G325" s="757"/>
      <c r="K325" s="757"/>
      <c r="L325" s="757"/>
      <c r="M325" s="757"/>
      <c r="N325" s="757"/>
      <c r="O325" s="757"/>
      <c r="P325" s="757"/>
    </row>
    <row r="326">
      <c r="E326" s="757"/>
      <c r="F326" s="757"/>
      <c r="G326" s="757"/>
      <c r="K326" s="757"/>
      <c r="L326" s="757"/>
      <c r="M326" s="757"/>
      <c r="N326" s="757"/>
      <c r="O326" s="757"/>
      <c r="P326" s="757"/>
    </row>
    <row r="327">
      <c r="E327" s="757"/>
      <c r="F327" s="757"/>
      <c r="G327" s="757"/>
      <c r="K327" s="757"/>
      <c r="L327" s="757"/>
      <c r="M327" s="757"/>
      <c r="N327" s="757"/>
      <c r="O327" s="757"/>
      <c r="P327" s="757"/>
    </row>
    <row r="328">
      <c r="E328" s="757"/>
      <c r="F328" s="757"/>
      <c r="G328" s="757"/>
      <c r="K328" s="757"/>
      <c r="L328" s="757"/>
      <c r="M328" s="757"/>
      <c r="N328" s="757"/>
      <c r="O328" s="757"/>
      <c r="P328" s="757"/>
    </row>
    <row r="329">
      <c r="E329" s="757"/>
      <c r="F329" s="757"/>
      <c r="G329" s="757"/>
      <c r="K329" s="757"/>
      <c r="L329" s="757"/>
      <c r="M329" s="757"/>
      <c r="N329" s="757"/>
      <c r="O329" s="757"/>
      <c r="P329" s="757"/>
    </row>
    <row r="330">
      <c r="E330" s="757"/>
      <c r="F330" s="757"/>
      <c r="G330" s="757"/>
      <c r="K330" s="757"/>
      <c r="L330" s="757"/>
      <c r="M330" s="757"/>
      <c r="N330" s="757"/>
      <c r="O330" s="757"/>
      <c r="P330" s="757"/>
    </row>
    <row r="331">
      <c r="E331" s="757"/>
      <c r="F331" s="757"/>
      <c r="G331" s="757"/>
      <c r="K331" s="757"/>
      <c r="L331" s="757"/>
      <c r="M331" s="757"/>
      <c r="N331" s="757"/>
      <c r="O331" s="757"/>
      <c r="P331" s="757"/>
    </row>
    <row r="332">
      <c r="E332" s="757"/>
      <c r="F332" s="757"/>
      <c r="G332" s="757"/>
      <c r="K332" s="757"/>
      <c r="L332" s="757"/>
      <c r="M332" s="757"/>
      <c r="N332" s="757"/>
      <c r="O332" s="757"/>
      <c r="P332" s="757"/>
    </row>
    <row r="333">
      <c r="E333" s="757"/>
      <c r="F333" s="757"/>
      <c r="G333" s="757"/>
      <c r="K333" s="757"/>
      <c r="L333" s="757"/>
      <c r="M333" s="757"/>
      <c r="N333" s="757"/>
      <c r="O333" s="757"/>
      <c r="P333" s="757"/>
    </row>
    <row r="334">
      <c r="E334" s="757"/>
      <c r="F334" s="757"/>
      <c r="G334" s="757"/>
      <c r="K334" s="757"/>
      <c r="L334" s="757"/>
      <c r="M334" s="757"/>
      <c r="N334" s="757"/>
      <c r="O334" s="757"/>
      <c r="P334" s="757"/>
    </row>
    <row r="335">
      <c r="E335" s="757"/>
      <c r="F335" s="757"/>
      <c r="G335" s="757"/>
      <c r="K335" s="757"/>
      <c r="L335" s="757"/>
      <c r="M335" s="757"/>
      <c r="N335" s="757"/>
      <c r="O335" s="757"/>
      <c r="P335" s="757"/>
    </row>
    <row r="336">
      <c r="E336" s="757"/>
      <c r="F336" s="757"/>
      <c r="G336" s="757"/>
      <c r="K336" s="757"/>
      <c r="L336" s="757"/>
      <c r="M336" s="757"/>
      <c r="N336" s="757"/>
      <c r="O336" s="757"/>
      <c r="P336" s="757"/>
    </row>
    <row r="337">
      <c r="E337" s="757"/>
      <c r="F337" s="757"/>
      <c r="G337" s="757"/>
      <c r="K337" s="757"/>
      <c r="L337" s="757"/>
      <c r="M337" s="757"/>
      <c r="N337" s="757"/>
      <c r="O337" s="757"/>
      <c r="P337" s="757"/>
    </row>
    <row r="338">
      <c r="E338" s="757"/>
      <c r="F338" s="757"/>
      <c r="G338" s="757"/>
      <c r="K338" s="757"/>
      <c r="L338" s="757"/>
      <c r="M338" s="757"/>
      <c r="N338" s="757"/>
      <c r="O338" s="757"/>
      <c r="P338" s="757"/>
    </row>
    <row r="339">
      <c r="E339" s="757"/>
      <c r="F339" s="757"/>
      <c r="G339" s="757"/>
      <c r="K339" s="757"/>
      <c r="L339" s="757"/>
      <c r="M339" s="757"/>
      <c r="N339" s="757"/>
      <c r="O339" s="757"/>
      <c r="P339" s="757"/>
    </row>
    <row r="340">
      <c r="E340" s="757"/>
      <c r="F340" s="757"/>
      <c r="G340" s="757"/>
      <c r="K340" s="757"/>
      <c r="L340" s="757"/>
      <c r="M340" s="757"/>
      <c r="N340" s="757"/>
      <c r="O340" s="757"/>
      <c r="P340" s="757"/>
    </row>
    <row r="341">
      <c r="E341" s="757"/>
      <c r="F341" s="757"/>
      <c r="G341" s="757"/>
      <c r="K341" s="757"/>
      <c r="L341" s="757"/>
      <c r="M341" s="757"/>
      <c r="N341" s="757"/>
      <c r="O341" s="757"/>
      <c r="P341" s="757"/>
    </row>
    <row r="342">
      <c r="E342" s="757"/>
      <c r="F342" s="757"/>
      <c r="G342" s="757"/>
      <c r="K342" s="757"/>
      <c r="L342" s="757"/>
      <c r="M342" s="757"/>
      <c r="N342" s="757"/>
      <c r="O342" s="757"/>
      <c r="P342" s="757"/>
    </row>
    <row r="343">
      <c r="E343" s="757"/>
      <c r="F343" s="757"/>
      <c r="G343" s="757"/>
      <c r="K343" s="757"/>
      <c r="L343" s="757"/>
      <c r="M343" s="757"/>
      <c r="N343" s="757"/>
      <c r="O343" s="757"/>
      <c r="P343" s="757"/>
    </row>
    <row r="344">
      <c r="E344" s="757"/>
      <c r="F344" s="757"/>
      <c r="G344" s="757"/>
      <c r="K344" s="757"/>
      <c r="L344" s="757"/>
      <c r="M344" s="757"/>
      <c r="N344" s="757"/>
      <c r="O344" s="757"/>
      <c r="P344" s="757"/>
    </row>
    <row r="345">
      <c r="E345" s="757"/>
      <c r="F345" s="757"/>
      <c r="G345" s="757"/>
      <c r="K345" s="757"/>
      <c r="L345" s="757"/>
      <c r="M345" s="757"/>
      <c r="N345" s="757"/>
      <c r="O345" s="757"/>
      <c r="P345" s="757"/>
    </row>
    <row r="346">
      <c r="E346" s="757"/>
      <c r="F346" s="757"/>
      <c r="G346" s="757"/>
      <c r="K346" s="757"/>
      <c r="L346" s="757"/>
      <c r="M346" s="757"/>
      <c r="N346" s="757"/>
      <c r="O346" s="757"/>
      <c r="P346" s="757"/>
    </row>
    <row r="347">
      <c r="E347" s="757"/>
      <c r="F347" s="757"/>
      <c r="G347" s="757"/>
      <c r="K347" s="757"/>
      <c r="L347" s="757"/>
      <c r="M347" s="757"/>
      <c r="N347" s="757"/>
      <c r="O347" s="757"/>
      <c r="P347" s="757"/>
    </row>
    <row r="348">
      <c r="E348" s="757"/>
      <c r="F348" s="757"/>
      <c r="G348" s="757"/>
      <c r="K348" s="757"/>
      <c r="L348" s="757"/>
      <c r="M348" s="757"/>
      <c r="N348" s="757"/>
      <c r="O348" s="757"/>
      <c r="P348" s="757"/>
    </row>
    <row r="349">
      <c r="E349" s="757"/>
      <c r="F349" s="757"/>
      <c r="G349" s="757"/>
      <c r="K349" s="757"/>
      <c r="L349" s="757"/>
      <c r="M349" s="757"/>
      <c r="N349" s="757"/>
      <c r="O349" s="757"/>
      <c r="P349" s="757"/>
    </row>
    <row r="350">
      <c r="E350" s="757"/>
      <c r="F350" s="757"/>
      <c r="G350" s="757"/>
      <c r="K350" s="757"/>
      <c r="L350" s="757"/>
      <c r="M350" s="757"/>
      <c r="N350" s="757"/>
      <c r="O350" s="757"/>
      <c r="P350" s="757"/>
    </row>
    <row r="351">
      <c r="E351" s="757"/>
      <c r="F351" s="757"/>
      <c r="G351" s="757"/>
      <c r="K351" s="757"/>
      <c r="L351" s="757"/>
      <c r="M351" s="757"/>
      <c r="N351" s="757"/>
      <c r="O351" s="757"/>
      <c r="P351" s="757"/>
    </row>
    <row r="352">
      <c r="E352" s="757"/>
      <c r="F352" s="757"/>
      <c r="G352" s="757"/>
      <c r="K352" s="757"/>
      <c r="L352" s="757"/>
      <c r="M352" s="757"/>
      <c r="N352" s="757"/>
      <c r="O352" s="757"/>
      <c r="P352" s="757"/>
    </row>
    <row r="353">
      <c r="E353" s="757"/>
      <c r="F353" s="757"/>
      <c r="G353" s="757"/>
      <c r="K353" s="757"/>
      <c r="L353" s="757"/>
      <c r="M353" s="757"/>
      <c r="N353" s="757"/>
      <c r="O353" s="757"/>
      <c r="P353" s="757"/>
    </row>
    <row r="354">
      <c r="E354" s="757"/>
      <c r="F354" s="757"/>
      <c r="G354" s="757"/>
      <c r="K354" s="757"/>
      <c r="L354" s="757"/>
      <c r="M354" s="757"/>
      <c r="N354" s="757"/>
      <c r="O354" s="757"/>
      <c r="P354" s="757"/>
    </row>
    <row r="355">
      <c r="E355" s="757"/>
      <c r="F355" s="757"/>
      <c r="G355" s="757"/>
      <c r="K355" s="757"/>
      <c r="L355" s="757"/>
      <c r="M355" s="757"/>
      <c r="N355" s="757"/>
      <c r="O355" s="757"/>
      <c r="P355" s="757"/>
    </row>
    <row r="356">
      <c r="E356" s="757"/>
      <c r="F356" s="757"/>
      <c r="G356" s="757"/>
      <c r="K356" s="757"/>
      <c r="L356" s="757"/>
      <c r="M356" s="757"/>
      <c r="N356" s="757"/>
      <c r="O356" s="757"/>
      <c r="P356" s="757"/>
    </row>
    <row r="357">
      <c r="E357" s="757"/>
      <c r="F357" s="757"/>
      <c r="G357" s="757"/>
      <c r="K357" s="757"/>
      <c r="L357" s="757"/>
      <c r="M357" s="757"/>
      <c r="N357" s="757"/>
      <c r="O357" s="757"/>
      <c r="P357" s="757"/>
    </row>
    <row r="358">
      <c r="E358" s="757"/>
      <c r="F358" s="757"/>
      <c r="G358" s="757"/>
      <c r="K358" s="757"/>
      <c r="L358" s="757"/>
      <c r="M358" s="757"/>
      <c r="N358" s="757"/>
      <c r="O358" s="757"/>
      <c r="P358" s="757"/>
    </row>
    <row r="359">
      <c r="E359" s="757"/>
      <c r="F359" s="757"/>
      <c r="G359" s="757"/>
      <c r="K359" s="757"/>
      <c r="L359" s="757"/>
      <c r="M359" s="757"/>
      <c r="N359" s="757"/>
      <c r="O359" s="757"/>
      <c r="P359" s="757"/>
    </row>
    <row r="360">
      <c r="E360" s="757"/>
      <c r="F360" s="757"/>
      <c r="G360" s="757"/>
      <c r="K360" s="757"/>
      <c r="L360" s="757"/>
      <c r="M360" s="757"/>
      <c r="N360" s="757"/>
      <c r="O360" s="757"/>
      <c r="P360" s="757"/>
    </row>
    <row r="361">
      <c r="E361" s="757"/>
      <c r="F361" s="757"/>
      <c r="G361" s="757"/>
      <c r="K361" s="757"/>
      <c r="L361" s="757"/>
      <c r="M361" s="757"/>
      <c r="N361" s="757"/>
      <c r="O361" s="757"/>
      <c r="P361" s="757"/>
    </row>
    <row r="362">
      <c r="E362" s="757"/>
      <c r="F362" s="757"/>
      <c r="G362" s="757"/>
      <c r="K362" s="757"/>
      <c r="L362" s="757"/>
      <c r="M362" s="757"/>
      <c r="N362" s="757"/>
      <c r="O362" s="757"/>
      <c r="P362" s="757"/>
    </row>
    <row r="363">
      <c r="E363" s="757"/>
      <c r="F363" s="757"/>
      <c r="G363" s="757"/>
      <c r="K363" s="757"/>
      <c r="L363" s="757"/>
      <c r="M363" s="757"/>
      <c r="N363" s="757"/>
      <c r="O363" s="757"/>
      <c r="P363" s="757"/>
    </row>
    <row r="364">
      <c r="E364" s="757"/>
      <c r="F364" s="757"/>
      <c r="G364" s="757"/>
      <c r="K364" s="757"/>
      <c r="L364" s="757"/>
      <c r="M364" s="757"/>
      <c r="N364" s="757"/>
      <c r="O364" s="757"/>
      <c r="P364" s="757"/>
    </row>
    <row r="365">
      <c r="E365" s="757"/>
      <c r="F365" s="757"/>
      <c r="G365" s="757"/>
      <c r="K365" s="757"/>
      <c r="L365" s="757"/>
      <c r="M365" s="757"/>
      <c r="N365" s="757"/>
      <c r="O365" s="757"/>
      <c r="P365" s="757"/>
    </row>
    <row r="366">
      <c r="E366" s="757"/>
      <c r="F366" s="757"/>
      <c r="G366" s="757"/>
      <c r="K366" s="757"/>
      <c r="L366" s="757"/>
      <c r="M366" s="757"/>
      <c r="N366" s="757"/>
      <c r="O366" s="757"/>
      <c r="P366" s="757"/>
    </row>
    <row r="367">
      <c r="E367" s="757"/>
      <c r="F367" s="757"/>
      <c r="G367" s="757"/>
      <c r="K367" s="757"/>
      <c r="L367" s="757"/>
      <c r="M367" s="757"/>
      <c r="N367" s="757"/>
      <c r="O367" s="757"/>
      <c r="P367" s="757"/>
    </row>
    <row r="368">
      <c r="E368" s="757"/>
      <c r="F368" s="757"/>
      <c r="G368" s="757"/>
      <c r="K368" s="757"/>
      <c r="L368" s="757"/>
      <c r="M368" s="757"/>
      <c r="N368" s="757"/>
      <c r="O368" s="757"/>
      <c r="P368" s="757"/>
    </row>
    <row r="369">
      <c r="E369" s="757"/>
      <c r="F369" s="757"/>
      <c r="G369" s="757"/>
      <c r="K369" s="757"/>
      <c r="L369" s="757"/>
      <c r="M369" s="757"/>
      <c r="N369" s="757"/>
      <c r="O369" s="757"/>
      <c r="P369" s="757"/>
    </row>
    <row r="370">
      <c r="E370" s="757"/>
      <c r="F370" s="757"/>
      <c r="G370" s="757"/>
      <c r="K370" s="757"/>
      <c r="L370" s="757"/>
      <c r="M370" s="757"/>
      <c r="N370" s="757"/>
      <c r="O370" s="757"/>
      <c r="P370" s="757"/>
    </row>
    <row r="371">
      <c r="E371" s="757"/>
      <c r="F371" s="757"/>
      <c r="G371" s="757"/>
      <c r="K371" s="757"/>
      <c r="L371" s="757"/>
      <c r="M371" s="757"/>
      <c r="N371" s="757"/>
      <c r="O371" s="757"/>
      <c r="P371" s="757"/>
    </row>
    <row r="372">
      <c r="E372" s="757"/>
      <c r="F372" s="757"/>
      <c r="G372" s="757"/>
      <c r="K372" s="757"/>
      <c r="L372" s="757"/>
      <c r="M372" s="757"/>
      <c r="N372" s="757"/>
      <c r="O372" s="757"/>
      <c r="P372" s="757"/>
    </row>
    <row r="373">
      <c r="E373" s="757"/>
      <c r="F373" s="757"/>
      <c r="G373" s="757"/>
      <c r="K373" s="757"/>
      <c r="L373" s="757"/>
      <c r="M373" s="757"/>
      <c r="N373" s="757"/>
      <c r="O373" s="757"/>
      <c r="P373" s="757"/>
    </row>
    <row r="374">
      <c r="E374" s="757"/>
      <c r="F374" s="757"/>
      <c r="G374" s="757"/>
      <c r="K374" s="757"/>
      <c r="L374" s="757"/>
      <c r="M374" s="757"/>
      <c r="N374" s="757"/>
      <c r="O374" s="757"/>
      <c r="P374" s="757"/>
    </row>
    <row r="375">
      <c r="E375" s="757"/>
      <c r="F375" s="757"/>
      <c r="G375" s="757"/>
      <c r="K375" s="757"/>
      <c r="L375" s="757"/>
      <c r="M375" s="757"/>
      <c r="N375" s="757"/>
      <c r="O375" s="757"/>
      <c r="P375" s="757"/>
    </row>
    <row r="376">
      <c r="E376" s="757"/>
      <c r="F376" s="757"/>
      <c r="G376" s="757"/>
      <c r="K376" s="757"/>
      <c r="L376" s="757"/>
      <c r="M376" s="757"/>
      <c r="N376" s="757"/>
      <c r="O376" s="757"/>
      <c r="P376" s="757"/>
    </row>
    <row r="377">
      <c r="E377" s="757"/>
      <c r="F377" s="757"/>
      <c r="G377" s="757"/>
      <c r="K377" s="757"/>
      <c r="L377" s="757"/>
      <c r="M377" s="757"/>
      <c r="N377" s="757"/>
      <c r="O377" s="757"/>
      <c r="P377" s="757"/>
    </row>
    <row r="378">
      <c r="E378" s="757"/>
      <c r="F378" s="757"/>
      <c r="G378" s="757"/>
      <c r="K378" s="757"/>
      <c r="L378" s="757"/>
      <c r="M378" s="757"/>
      <c r="N378" s="757"/>
      <c r="O378" s="757"/>
      <c r="P378" s="757"/>
    </row>
    <row r="379">
      <c r="E379" s="757"/>
      <c r="F379" s="757"/>
      <c r="G379" s="757"/>
      <c r="K379" s="757"/>
      <c r="L379" s="757"/>
      <c r="M379" s="757"/>
      <c r="N379" s="757"/>
      <c r="O379" s="757"/>
      <c r="P379" s="757"/>
    </row>
    <row r="380">
      <c r="E380" s="757"/>
      <c r="F380" s="757"/>
      <c r="G380" s="757"/>
      <c r="K380" s="757"/>
      <c r="L380" s="757"/>
      <c r="M380" s="757"/>
      <c r="N380" s="757"/>
      <c r="O380" s="757"/>
      <c r="P380" s="757"/>
    </row>
    <row r="381">
      <c r="E381" s="757"/>
      <c r="F381" s="757"/>
      <c r="G381" s="757"/>
      <c r="K381" s="757"/>
      <c r="L381" s="757"/>
      <c r="M381" s="757"/>
      <c r="N381" s="757"/>
      <c r="O381" s="757"/>
      <c r="P381" s="757"/>
    </row>
    <row r="382">
      <c r="E382" s="757"/>
      <c r="F382" s="757"/>
      <c r="G382" s="757"/>
      <c r="K382" s="757"/>
      <c r="L382" s="757"/>
      <c r="M382" s="757"/>
      <c r="N382" s="757"/>
      <c r="O382" s="757"/>
      <c r="P382" s="757"/>
    </row>
    <row r="383">
      <c r="E383" s="757"/>
      <c r="F383" s="757"/>
      <c r="G383" s="757"/>
      <c r="K383" s="757"/>
      <c r="L383" s="757"/>
      <c r="M383" s="757"/>
      <c r="N383" s="757"/>
      <c r="O383" s="757"/>
      <c r="P383" s="757"/>
    </row>
    <row r="384">
      <c r="E384" s="757"/>
      <c r="F384" s="757"/>
      <c r="G384" s="757"/>
      <c r="K384" s="757"/>
      <c r="L384" s="757"/>
      <c r="M384" s="757"/>
      <c r="N384" s="757"/>
      <c r="O384" s="757"/>
      <c r="P384" s="757"/>
    </row>
    <row r="385">
      <c r="E385" s="757"/>
      <c r="F385" s="757"/>
      <c r="G385" s="757"/>
      <c r="K385" s="757"/>
      <c r="L385" s="757"/>
      <c r="M385" s="757"/>
      <c r="N385" s="757"/>
      <c r="O385" s="757"/>
      <c r="P385" s="757"/>
    </row>
    <row r="386">
      <c r="E386" s="757"/>
      <c r="F386" s="757"/>
      <c r="G386" s="757"/>
      <c r="K386" s="757"/>
      <c r="L386" s="757"/>
      <c r="M386" s="757"/>
      <c r="N386" s="757"/>
      <c r="O386" s="757"/>
      <c r="P386" s="757"/>
    </row>
    <row r="387">
      <c r="E387" s="757"/>
      <c r="F387" s="757"/>
      <c r="G387" s="757"/>
      <c r="K387" s="757"/>
      <c r="L387" s="757"/>
      <c r="M387" s="757"/>
      <c r="N387" s="757"/>
      <c r="O387" s="757"/>
      <c r="P387" s="757"/>
    </row>
    <row r="388">
      <c r="E388" s="757"/>
      <c r="F388" s="757"/>
      <c r="G388" s="757"/>
      <c r="K388" s="757"/>
      <c r="L388" s="757"/>
      <c r="M388" s="757"/>
      <c r="N388" s="757"/>
      <c r="O388" s="757"/>
      <c r="P388" s="757"/>
    </row>
    <row r="389">
      <c r="E389" s="757"/>
      <c r="F389" s="757"/>
      <c r="G389" s="757"/>
      <c r="K389" s="757"/>
      <c r="L389" s="757"/>
      <c r="M389" s="757"/>
      <c r="N389" s="757"/>
      <c r="O389" s="757"/>
      <c r="P389" s="757"/>
    </row>
    <row r="390">
      <c r="E390" s="757"/>
      <c r="F390" s="757"/>
      <c r="G390" s="757"/>
      <c r="K390" s="757"/>
      <c r="L390" s="757"/>
      <c r="M390" s="757"/>
      <c r="N390" s="757"/>
      <c r="O390" s="757"/>
      <c r="P390" s="757"/>
    </row>
    <row r="391">
      <c r="E391" s="757"/>
      <c r="F391" s="757"/>
      <c r="G391" s="757"/>
      <c r="K391" s="757"/>
      <c r="L391" s="757"/>
      <c r="M391" s="757"/>
      <c r="N391" s="757"/>
      <c r="O391" s="757"/>
      <c r="P391" s="757"/>
    </row>
    <row r="392">
      <c r="E392" s="757"/>
      <c r="F392" s="757"/>
      <c r="G392" s="757"/>
      <c r="K392" s="757"/>
      <c r="L392" s="757"/>
      <c r="M392" s="757"/>
      <c r="N392" s="757"/>
      <c r="O392" s="757"/>
      <c r="P392" s="757"/>
    </row>
    <row r="393">
      <c r="E393" s="757"/>
      <c r="F393" s="757"/>
      <c r="G393" s="757"/>
      <c r="K393" s="757"/>
      <c r="L393" s="757"/>
      <c r="M393" s="757"/>
      <c r="N393" s="757"/>
      <c r="O393" s="757"/>
      <c r="P393" s="757"/>
    </row>
    <row r="394">
      <c r="E394" s="757"/>
      <c r="F394" s="757"/>
      <c r="G394" s="757"/>
      <c r="K394" s="757"/>
      <c r="L394" s="757"/>
      <c r="M394" s="757"/>
      <c r="N394" s="757"/>
      <c r="O394" s="757"/>
      <c r="P394" s="757"/>
    </row>
    <row r="395">
      <c r="E395" s="757"/>
      <c r="F395" s="757"/>
      <c r="G395" s="757"/>
      <c r="K395" s="757"/>
      <c r="L395" s="757"/>
      <c r="M395" s="757"/>
      <c r="N395" s="757"/>
      <c r="O395" s="757"/>
      <c r="P395" s="757"/>
    </row>
    <row r="396">
      <c r="E396" s="757"/>
      <c r="F396" s="757"/>
      <c r="G396" s="757"/>
      <c r="K396" s="757"/>
      <c r="L396" s="757"/>
      <c r="M396" s="757"/>
      <c r="N396" s="757"/>
      <c r="O396" s="757"/>
      <c r="P396" s="757"/>
    </row>
    <row r="397">
      <c r="E397" s="757"/>
      <c r="F397" s="757"/>
      <c r="G397" s="757"/>
      <c r="K397" s="757"/>
      <c r="L397" s="757"/>
      <c r="M397" s="757"/>
      <c r="N397" s="757"/>
      <c r="O397" s="757"/>
      <c r="P397" s="757"/>
    </row>
    <row r="398">
      <c r="E398" s="757"/>
      <c r="F398" s="757"/>
      <c r="G398" s="757"/>
      <c r="K398" s="757"/>
      <c r="L398" s="757"/>
      <c r="M398" s="757"/>
      <c r="N398" s="757"/>
      <c r="O398" s="757"/>
      <c r="P398" s="757"/>
    </row>
    <row r="399">
      <c r="E399" s="757"/>
      <c r="F399" s="757"/>
      <c r="G399" s="757"/>
      <c r="K399" s="757"/>
      <c r="L399" s="757"/>
      <c r="M399" s="757"/>
      <c r="N399" s="757"/>
      <c r="O399" s="757"/>
      <c r="P399" s="757"/>
    </row>
    <row r="400">
      <c r="E400" s="757"/>
      <c r="F400" s="757"/>
      <c r="G400" s="757"/>
      <c r="K400" s="757"/>
      <c r="L400" s="757"/>
      <c r="M400" s="757"/>
      <c r="N400" s="757"/>
      <c r="O400" s="757"/>
      <c r="P400" s="757"/>
    </row>
    <row r="401">
      <c r="E401" s="757"/>
      <c r="F401" s="757"/>
      <c r="G401" s="757"/>
      <c r="K401" s="757"/>
      <c r="L401" s="757"/>
      <c r="M401" s="757"/>
      <c r="N401" s="757"/>
      <c r="O401" s="757"/>
      <c r="P401" s="757"/>
    </row>
    <row r="402">
      <c r="E402" s="757"/>
      <c r="F402" s="757"/>
      <c r="G402" s="757"/>
      <c r="K402" s="757"/>
      <c r="L402" s="757"/>
      <c r="M402" s="757"/>
      <c r="N402" s="757"/>
      <c r="O402" s="757"/>
      <c r="P402" s="757"/>
    </row>
    <row r="403">
      <c r="E403" s="757"/>
      <c r="F403" s="757"/>
      <c r="G403" s="757"/>
      <c r="K403" s="757"/>
      <c r="L403" s="757"/>
      <c r="M403" s="757"/>
      <c r="N403" s="757"/>
      <c r="O403" s="757"/>
      <c r="P403" s="757"/>
    </row>
    <row r="404">
      <c r="E404" s="757"/>
      <c r="F404" s="757"/>
      <c r="G404" s="757"/>
      <c r="K404" s="757"/>
      <c r="L404" s="757"/>
      <c r="M404" s="757"/>
      <c r="N404" s="757"/>
      <c r="O404" s="757"/>
      <c r="P404" s="757"/>
    </row>
    <row r="405">
      <c r="E405" s="757"/>
      <c r="F405" s="757"/>
      <c r="G405" s="757"/>
      <c r="K405" s="757"/>
      <c r="L405" s="757"/>
      <c r="M405" s="757"/>
      <c r="N405" s="757"/>
      <c r="O405" s="757"/>
      <c r="P405" s="757"/>
    </row>
    <row r="406">
      <c r="E406" s="757"/>
      <c r="F406" s="757"/>
      <c r="G406" s="757"/>
      <c r="K406" s="757"/>
      <c r="L406" s="757"/>
      <c r="M406" s="757"/>
      <c r="N406" s="757"/>
      <c r="O406" s="757"/>
      <c r="P406" s="757"/>
    </row>
    <row r="407">
      <c r="E407" s="757"/>
      <c r="F407" s="757"/>
      <c r="G407" s="757"/>
      <c r="K407" s="757"/>
      <c r="L407" s="757"/>
      <c r="M407" s="757"/>
      <c r="N407" s="757"/>
      <c r="O407" s="757"/>
      <c r="P407" s="757"/>
    </row>
    <row r="408">
      <c r="E408" s="757"/>
      <c r="F408" s="757"/>
      <c r="G408" s="757"/>
      <c r="K408" s="757"/>
      <c r="L408" s="757"/>
      <c r="M408" s="757"/>
      <c r="N408" s="757"/>
      <c r="O408" s="757"/>
      <c r="P408" s="757"/>
    </row>
    <row r="409">
      <c r="E409" s="757"/>
      <c r="F409" s="757"/>
      <c r="G409" s="757"/>
      <c r="K409" s="757"/>
      <c r="L409" s="757"/>
      <c r="M409" s="757"/>
      <c r="N409" s="757"/>
      <c r="O409" s="757"/>
      <c r="P409" s="757"/>
    </row>
    <row r="410">
      <c r="E410" s="757"/>
      <c r="F410" s="757"/>
      <c r="G410" s="757"/>
      <c r="K410" s="757"/>
      <c r="L410" s="757"/>
      <c r="M410" s="757"/>
      <c r="N410" s="757"/>
      <c r="O410" s="757"/>
      <c r="P410" s="757"/>
    </row>
    <row r="411">
      <c r="E411" s="757"/>
      <c r="F411" s="757"/>
      <c r="G411" s="757"/>
      <c r="K411" s="757"/>
      <c r="L411" s="757"/>
      <c r="M411" s="757"/>
      <c r="N411" s="757"/>
      <c r="O411" s="757"/>
      <c r="P411" s="757"/>
    </row>
    <row r="412">
      <c r="E412" s="757"/>
      <c r="F412" s="757"/>
      <c r="G412" s="757"/>
      <c r="K412" s="757"/>
      <c r="L412" s="757"/>
      <c r="M412" s="757"/>
      <c r="N412" s="757"/>
      <c r="O412" s="757"/>
      <c r="P412" s="757"/>
    </row>
    <row r="413">
      <c r="E413" s="757"/>
      <c r="F413" s="757"/>
      <c r="G413" s="757"/>
      <c r="K413" s="757"/>
      <c r="L413" s="757"/>
      <c r="M413" s="757"/>
      <c r="N413" s="757"/>
      <c r="O413" s="757"/>
      <c r="P413" s="757"/>
    </row>
    <row r="414">
      <c r="E414" s="757"/>
      <c r="F414" s="757"/>
      <c r="G414" s="757"/>
      <c r="K414" s="757"/>
      <c r="L414" s="757"/>
      <c r="M414" s="757"/>
      <c r="N414" s="757"/>
      <c r="O414" s="757"/>
      <c r="P414" s="757"/>
    </row>
    <row r="415">
      <c r="E415" s="757"/>
      <c r="F415" s="757"/>
      <c r="G415" s="757"/>
      <c r="K415" s="757"/>
      <c r="L415" s="757"/>
      <c r="M415" s="757"/>
      <c r="N415" s="757"/>
      <c r="O415" s="757"/>
      <c r="P415" s="757"/>
    </row>
    <row r="416">
      <c r="E416" s="757"/>
      <c r="F416" s="757"/>
      <c r="G416" s="757"/>
      <c r="K416" s="757"/>
      <c r="L416" s="757"/>
      <c r="M416" s="757"/>
      <c r="N416" s="757"/>
      <c r="O416" s="757"/>
      <c r="P416" s="757"/>
    </row>
    <row r="417">
      <c r="E417" s="757"/>
      <c r="F417" s="757"/>
      <c r="G417" s="757"/>
      <c r="K417" s="757"/>
      <c r="L417" s="757"/>
      <c r="M417" s="757"/>
      <c r="N417" s="757"/>
      <c r="O417" s="757"/>
      <c r="P417" s="757"/>
    </row>
    <row r="418">
      <c r="E418" s="757"/>
      <c r="F418" s="757"/>
      <c r="G418" s="757"/>
      <c r="K418" s="757"/>
      <c r="L418" s="757"/>
      <c r="M418" s="757"/>
      <c r="N418" s="757"/>
      <c r="O418" s="757"/>
      <c r="P418" s="757"/>
    </row>
    <row r="419">
      <c r="E419" s="757"/>
      <c r="F419" s="757"/>
      <c r="G419" s="757"/>
      <c r="K419" s="757"/>
      <c r="L419" s="757"/>
      <c r="M419" s="757"/>
      <c r="N419" s="757"/>
      <c r="O419" s="757"/>
      <c r="P419" s="757"/>
    </row>
    <row r="420">
      <c r="E420" s="757"/>
      <c r="F420" s="757"/>
      <c r="G420" s="757"/>
      <c r="K420" s="757"/>
      <c r="L420" s="757"/>
      <c r="M420" s="757"/>
      <c r="N420" s="757"/>
      <c r="O420" s="757"/>
      <c r="P420" s="757"/>
    </row>
    <row r="421">
      <c r="E421" s="757"/>
      <c r="F421" s="757"/>
      <c r="G421" s="757"/>
      <c r="K421" s="757"/>
      <c r="L421" s="757"/>
      <c r="M421" s="757"/>
      <c r="N421" s="757"/>
      <c r="O421" s="757"/>
      <c r="P421" s="757"/>
    </row>
    <row r="422">
      <c r="E422" s="757"/>
      <c r="F422" s="757"/>
      <c r="G422" s="757"/>
      <c r="K422" s="757"/>
      <c r="L422" s="757"/>
      <c r="M422" s="757"/>
      <c r="N422" s="757"/>
      <c r="O422" s="757"/>
      <c r="P422" s="757"/>
    </row>
    <row r="423">
      <c r="E423" s="757"/>
      <c r="F423" s="757"/>
      <c r="G423" s="757"/>
      <c r="K423" s="757"/>
      <c r="L423" s="757"/>
      <c r="M423" s="757"/>
      <c r="N423" s="757"/>
      <c r="O423" s="757"/>
      <c r="P423" s="757"/>
    </row>
    <row r="424">
      <c r="E424" s="757"/>
      <c r="F424" s="757"/>
      <c r="G424" s="757"/>
      <c r="K424" s="757"/>
      <c r="L424" s="757"/>
      <c r="M424" s="757"/>
      <c r="N424" s="757"/>
      <c r="O424" s="757"/>
      <c r="P424" s="757"/>
    </row>
    <row r="425">
      <c r="E425" s="757"/>
      <c r="F425" s="757"/>
      <c r="G425" s="757"/>
      <c r="K425" s="757"/>
      <c r="L425" s="757"/>
      <c r="M425" s="757"/>
      <c r="N425" s="757"/>
      <c r="O425" s="757"/>
      <c r="P425" s="757"/>
    </row>
    <row r="426">
      <c r="E426" s="757"/>
      <c r="F426" s="757"/>
      <c r="G426" s="757"/>
      <c r="K426" s="757"/>
      <c r="L426" s="757"/>
      <c r="M426" s="757"/>
      <c r="N426" s="757"/>
      <c r="O426" s="757"/>
      <c r="P426" s="757"/>
    </row>
    <row r="427">
      <c r="E427" s="757"/>
      <c r="F427" s="757"/>
      <c r="G427" s="757"/>
      <c r="K427" s="757"/>
      <c r="L427" s="757"/>
      <c r="M427" s="757"/>
      <c r="N427" s="757"/>
      <c r="O427" s="757"/>
      <c r="P427" s="757"/>
    </row>
    <row r="428">
      <c r="E428" s="757"/>
      <c r="F428" s="757"/>
      <c r="G428" s="757"/>
      <c r="K428" s="757"/>
      <c r="L428" s="757"/>
      <c r="M428" s="757"/>
      <c r="N428" s="757"/>
      <c r="O428" s="757"/>
      <c r="P428" s="757"/>
    </row>
    <row r="429">
      <c r="E429" s="757"/>
      <c r="F429" s="757"/>
      <c r="G429" s="757"/>
      <c r="K429" s="757"/>
      <c r="L429" s="757"/>
      <c r="M429" s="757"/>
      <c r="N429" s="757"/>
      <c r="O429" s="757"/>
      <c r="P429" s="757"/>
    </row>
    <row r="430">
      <c r="E430" s="757"/>
      <c r="F430" s="757"/>
      <c r="G430" s="757"/>
      <c r="K430" s="757"/>
      <c r="L430" s="757"/>
      <c r="M430" s="757"/>
      <c r="N430" s="757"/>
      <c r="O430" s="757"/>
      <c r="P430" s="757"/>
    </row>
    <row r="431">
      <c r="E431" s="757"/>
      <c r="F431" s="757"/>
      <c r="G431" s="757"/>
      <c r="K431" s="757"/>
      <c r="L431" s="757"/>
      <c r="M431" s="757"/>
      <c r="N431" s="757"/>
      <c r="O431" s="757"/>
      <c r="P431" s="757"/>
    </row>
    <row r="432">
      <c r="E432" s="757"/>
      <c r="F432" s="757"/>
      <c r="G432" s="757"/>
      <c r="K432" s="757"/>
      <c r="L432" s="757"/>
      <c r="M432" s="757"/>
      <c r="N432" s="757"/>
      <c r="O432" s="757"/>
      <c r="P432" s="757"/>
    </row>
    <row r="433">
      <c r="E433" s="757"/>
      <c r="F433" s="757"/>
      <c r="G433" s="757"/>
      <c r="K433" s="757"/>
      <c r="L433" s="757"/>
      <c r="M433" s="757"/>
      <c r="N433" s="757"/>
      <c r="O433" s="757"/>
      <c r="P433" s="757"/>
    </row>
    <row r="434">
      <c r="E434" s="757"/>
      <c r="F434" s="757"/>
      <c r="G434" s="757"/>
      <c r="K434" s="757"/>
      <c r="L434" s="757"/>
      <c r="M434" s="757"/>
      <c r="N434" s="757"/>
      <c r="O434" s="757"/>
      <c r="P434" s="757"/>
    </row>
    <row r="435">
      <c r="E435" s="757"/>
      <c r="F435" s="757"/>
      <c r="G435" s="757"/>
      <c r="K435" s="757"/>
      <c r="L435" s="757"/>
      <c r="M435" s="757"/>
      <c r="N435" s="757"/>
      <c r="O435" s="757"/>
      <c r="P435" s="757"/>
    </row>
    <row r="436">
      <c r="E436" s="757"/>
      <c r="F436" s="757"/>
      <c r="G436" s="757"/>
      <c r="K436" s="757"/>
      <c r="L436" s="757"/>
      <c r="M436" s="757"/>
      <c r="N436" s="757"/>
      <c r="O436" s="757"/>
      <c r="P436" s="757"/>
    </row>
    <row r="437">
      <c r="E437" s="757"/>
      <c r="F437" s="757"/>
      <c r="G437" s="757"/>
      <c r="K437" s="757"/>
      <c r="L437" s="757"/>
      <c r="M437" s="757"/>
      <c r="N437" s="757"/>
      <c r="O437" s="757"/>
      <c r="P437" s="757"/>
    </row>
    <row r="438">
      <c r="E438" s="757"/>
      <c r="F438" s="757"/>
      <c r="G438" s="757"/>
      <c r="K438" s="757"/>
      <c r="L438" s="757"/>
      <c r="M438" s="757"/>
      <c r="N438" s="757"/>
      <c r="O438" s="757"/>
      <c r="P438" s="757"/>
    </row>
    <row r="439">
      <c r="E439" s="757"/>
      <c r="F439" s="757"/>
      <c r="G439" s="757"/>
      <c r="K439" s="757"/>
      <c r="L439" s="757"/>
      <c r="M439" s="757"/>
      <c r="N439" s="757"/>
      <c r="O439" s="757"/>
      <c r="P439" s="757"/>
    </row>
    <row r="440">
      <c r="E440" s="757"/>
      <c r="F440" s="757"/>
      <c r="G440" s="757"/>
      <c r="K440" s="757"/>
      <c r="L440" s="757"/>
      <c r="M440" s="757"/>
      <c r="N440" s="757"/>
      <c r="O440" s="757"/>
      <c r="P440" s="757"/>
    </row>
    <row r="441">
      <c r="E441" s="757"/>
      <c r="F441" s="757"/>
      <c r="G441" s="757"/>
      <c r="K441" s="757"/>
      <c r="L441" s="757"/>
      <c r="M441" s="757"/>
      <c r="N441" s="757"/>
      <c r="O441" s="757"/>
      <c r="P441" s="757"/>
    </row>
    <row r="442">
      <c r="E442" s="757"/>
      <c r="F442" s="757"/>
      <c r="G442" s="757"/>
      <c r="K442" s="757"/>
      <c r="L442" s="757"/>
      <c r="M442" s="757"/>
      <c r="N442" s="757"/>
      <c r="O442" s="757"/>
      <c r="P442" s="757"/>
    </row>
    <row r="443">
      <c r="E443" s="757"/>
      <c r="F443" s="757"/>
      <c r="G443" s="757"/>
      <c r="K443" s="757"/>
      <c r="L443" s="757"/>
      <c r="M443" s="757"/>
      <c r="N443" s="757"/>
      <c r="O443" s="757"/>
      <c r="P443" s="757"/>
    </row>
    <row r="444">
      <c r="E444" s="757"/>
      <c r="F444" s="757"/>
      <c r="G444" s="757"/>
      <c r="K444" s="757"/>
      <c r="L444" s="757"/>
      <c r="M444" s="757"/>
      <c r="N444" s="757"/>
      <c r="O444" s="757"/>
      <c r="P444" s="757"/>
    </row>
    <row r="445">
      <c r="E445" s="757"/>
      <c r="F445" s="757"/>
      <c r="G445" s="757"/>
      <c r="K445" s="757"/>
      <c r="L445" s="757"/>
      <c r="M445" s="757"/>
      <c r="N445" s="757"/>
      <c r="O445" s="757"/>
      <c r="P445" s="757"/>
    </row>
    <row r="446">
      <c r="E446" s="757"/>
      <c r="F446" s="757"/>
      <c r="G446" s="757"/>
      <c r="K446" s="757"/>
      <c r="L446" s="757"/>
      <c r="M446" s="757"/>
      <c r="N446" s="757"/>
      <c r="O446" s="757"/>
      <c r="P446" s="757"/>
    </row>
    <row r="447">
      <c r="E447" s="757"/>
      <c r="F447" s="757"/>
      <c r="G447" s="757"/>
      <c r="K447" s="757"/>
      <c r="L447" s="757"/>
      <c r="M447" s="757"/>
      <c r="N447" s="757"/>
      <c r="O447" s="757"/>
      <c r="P447" s="757"/>
    </row>
    <row r="448">
      <c r="E448" s="757"/>
      <c r="F448" s="757"/>
      <c r="G448" s="757"/>
      <c r="K448" s="757"/>
      <c r="L448" s="757"/>
      <c r="M448" s="757"/>
      <c r="N448" s="757"/>
      <c r="O448" s="757"/>
      <c r="P448" s="757"/>
    </row>
    <row r="449">
      <c r="E449" s="757"/>
      <c r="F449" s="757"/>
      <c r="G449" s="757"/>
      <c r="K449" s="757"/>
      <c r="L449" s="757"/>
      <c r="M449" s="757"/>
      <c r="N449" s="757"/>
      <c r="O449" s="757"/>
      <c r="P449" s="757"/>
    </row>
    <row r="450">
      <c r="E450" s="757"/>
      <c r="F450" s="757"/>
      <c r="G450" s="757"/>
      <c r="K450" s="757"/>
      <c r="L450" s="757"/>
      <c r="M450" s="757"/>
      <c r="N450" s="757"/>
      <c r="O450" s="757"/>
      <c r="P450" s="757"/>
    </row>
    <row r="451">
      <c r="E451" s="757"/>
      <c r="F451" s="757"/>
      <c r="G451" s="757"/>
      <c r="K451" s="757"/>
      <c r="L451" s="757"/>
      <c r="M451" s="757"/>
      <c r="N451" s="757"/>
      <c r="O451" s="757"/>
      <c r="P451" s="757"/>
    </row>
    <row r="452">
      <c r="E452" s="757"/>
      <c r="F452" s="757"/>
      <c r="G452" s="757"/>
      <c r="K452" s="757"/>
      <c r="L452" s="757"/>
      <c r="M452" s="757"/>
      <c r="N452" s="757"/>
      <c r="O452" s="757"/>
      <c r="P452" s="757"/>
    </row>
    <row r="453">
      <c r="E453" s="757"/>
      <c r="F453" s="757"/>
      <c r="G453" s="757"/>
      <c r="K453" s="757"/>
      <c r="L453" s="757"/>
      <c r="M453" s="757"/>
      <c r="N453" s="757"/>
      <c r="O453" s="757"/>
      <c r="P453" s="757"/>
    </row>
    <row r="454">
      <c r="E454" s="757"/>
      <c r="F454" s="757"/>
      <c r="G454" s="757"/>
      <c r="K454" s="757"/>
      <c r="L454" s="757"/>
      <c r="M454" s="757"/>
      <c r="N454" s="757"/>
      <c r="O454" s="757"/>
      <c r="P454" s="757"/>
    </row>
    <row r="455">
      <c r="E455" s="757"/>
      <c r="F455" s="757"/>
      <c r="G455" s="757"/>
      <c r="K455" s="757"/>
      <c r="L455" s="757"/>
      <c r="M455" s="757"/>
      <c r="N455" s="757"/>
      <c r="O455" s="757"/>
      <c r="P455" s="757"/>
    </row>
    <row r="456">
      <c r="E456" s="757"/>
      <c r="F456" s="757"/>
      <c r="G456" s="757"/>
      <c r="K456" s="757"/>
      <c r="L456" s="757"/>
      <c r="M456" s="757"/>
      <c r="N456" s="757"/>
      <c r="O456" s="757"/>
      <c r="P456" s="757"/>
    </row>
    <row r="457">
      <c r="E457" s="757"/>
      <c r="F457" s="757"/>
      <c r="G457" s="757"/>
      <c r="K457" s="757"/>
      <c r="L457" s="757"/>
      <c r="M457" s="757"/>
      <c r="N457" s="757"/>
      <c r="O457" s="757"/>
      <c r="P457" s="757"/>
    </row>
    <row r="458">
      <c r="E458" s="757"/>
      <c r="F458" s="757"/>
      <c r="G458" s="757"/>
      <c r="K458" s="757"/>
      <c r="L458" s="757"/>
      <c r="M458" s="757"/>
      <c r="N458" s="757"/>
      <c r="O458" s="757"/>
      <c r="P458" s="757"/>
    </row>
    <row r="459">
      <c r="E459" s="757"/>
      <c r="F459" s="757"/>
      <c r="G459" s="757"/>
      <c r="K459" s="757"/>
      <c r="L459" s="757"/>
      <c r="M459" s="757"/>
      <c r="N459" s="757"/>
      <c r="O459" s="757"/>
      <c r="P459" s="757"/>
    </row>
    <row r="460">
      <c r="E460" s="757"/>
      <c r="F460" s="757"/>
      <c r="G460" s="757"/>
      <c r="K460" s="757"/>
      <c r="L460" s="757"/>
      <c r="M460" s="757"/>
      <c r="N460" s="757"/>
      <c r="O460" s="757"/>
      <c r="P460" s="757"/>
    </row>
    <row r="461">
      <c r="E461" s="757"/>
      <c r="F461" s="757"/>
      <c r="G461" s="757"/>
      <c r="K461" s="757"/>
      <c r="L461" s="757"/>
      <c r="M461" s="757"/>
      <c r="N461" s="757"/>
      <c r="O461" s="757"/>
      <c r="P461" s="757"/>
    </row>
    <row r="462">
      <c r="E462" s="757"/>
      <c r="F462" s="757"/>
      <c r="G462" s="757"/>
      <c r="K462" s="757"/>
      <c r="L462" s="757"/>
      <c r="M462" s="757"/>
      <c r="N462" s="757"/>
      <c r="O462" s="757"/>
      <c r="P462" s="757"/>
    </row>
    <row r="463">
      <c r="E463" s="757"/>
      <c r="F463" s="757"/>
      <c r="G463" s="757"/>
      <c r="K463" s="757"/>
      <c r="L463" s="757"/>
      <c r="M463" s="757"/>
      <c r="N463" s="757"/>
      <c r="O463" s="757"/>
      <c r="P463" s="757"/>
    </row>
    <row r="464">
      <c r="E464" s="757"/>
      <c r="F464" s="757"/>
      <c r="G464" s="757"/>
      <c r="K464" s="757"/>
      <c r="L464" s="757"/>
      <c r="M464" s="757"/>
      <c r="N464" s="757"/>
      <c r="O464" s="757"/>
      <c r="P464" s="757"/>
    </row>
    <row r="465">
      <c r="E465" s="757"/>
      <c r="F465" s="757"/>
      <c r="G465" s="757"/>
      <c r="K465" s="757"/>
      <c r="L465" s="757"/>
      <c r="M465" s="757"/>
      <c r="N465" s="757"/>
      <c r="O465" s="757"/>
      <c r="P465" s="757"/>
    </row>
    <row r="466">
      <c r="E466" s="757"/>
      <c r="F466" s="757"/>
      <c r="G466" s="757"/>
      <c r="K466" s="757"/>
      <c r="L466" s="757"/>
      <c r="M466" s="757"/>
      <c r="N466" s="757"/>
      <c r="O466" s="757"/>
      <c r="P466" s="757"/>
    </row>
    <row r="467">
      <c r="E467" s="757"/>
      <c r="F467" s="757"/>
      <c r="G467" s="757"/>
      <c r="K467" s="757"/>
      <c r="L467" s="757"/>
      <c r="M467" s="757"/>
      <c r="N467" s="757"/>
      <c r="O467" s="757"/>
      <c r="P467" s="757"/>
    </row>
    <row r="468">
      <c r="E468" s="757"/>
      <c r="F468" s="757"/>
      <c r="G468" s="757"/>
      <c r="K468" s="757"/>
      <c r="L468" s="757"/>
      <c r="M468" s="757"/>
      <c r="N468" s="757"/>
      <c r="O468" s="757"/>
      <c r="P468" s="757"/>
    </row>
    <row r="469">
      <c r="E469" s="757"/>
      <c r="F469" s="757"/>
      <c r="G469" s="757"/>
      <c r="K469" s="757"/>
      <c r="L469" s="757"/>
      <c r="M469" s="757"/>
      <c r="N469" s="757"/>
      <c r="O469" s="757"/>
      <c r="P469" s="757"/>
    </row>
    <row r="470">
      <c r="E470" s="757"/>
      <c r="F470" s="757"/>
      <c r="G470" s="757"/>
      <c r="K470" s="757"/>
      <c r="L470" s="757"/>
      <c r="M470" s="757"/>
      <c r="N470" s="757"/>
      <c r="O470" s="757"/>
      <c r="P470" s="757"/>
    </row>
    <row r="471">
      <c r="E471" s="757"/>
      <c r="F471" s="757"/>
      <c r="G471" s="757"/>
      <c r="K471" s="757"/>
      <c r="L471" s="757"/>
      <c r="M471" s="757"/>
      <c r="N471" s="757"/>
      <c r="O471" s="757"/>
      <c r="P471" s="757"/>
    </row>
    <row r="472">
      <c r="E472" s="757"/>
      <c r="F472" s="757"/>
      <c r="G472" s="757"/>
      <c r="K472" s="757"/>
      <c r="L472" s="757"/>
      <c r="M472" s="757"/>
      <c r="N472" s="757"/>
      <c r="O472" s="757"/>
      <c r="P472" s="757"/>
    </row>
    <row r="473">
      <c r="E473" s="757"/>
      <c r="F473" s="757"/>
      <c r="G473" s="757"/>
      <c r="K473" s="757"/>
      <c r="L473" s="757"/>
      <c r="M473" s="757"/>
      <c r="N473" s="757"/>
      <c r="O473" s="757"/>
      <c r="P473" s="757"/>
    </row>
    <row r="474">
      <c r="E474" s="757"/>
      <c r="F474" s="757"/>
      <c r="G474" s="757"/>
      <c r="K474" s="757"/>
      <c r="L474" s="757"/>
      <c r="M474" s="757"/>
      <c r="N474" s="757"/>
      <c r="O474" s="757"/>
      <c r="P474" s="757"/>
    </row>
    <row r="475">
      <c r="E475" s="757"/>
      <c r="F475" s="757"/>
      <c r="G475" s="757"/>
      <c r="K475" s="757"/>
      <c r="L475" s="757"/>
      <c r="M475" s="757"/>
      <c r="N475" s="757"/>
      <c r="O475" s="757"/>
      <c r="P475" s="757"/>
    </row>
    <row r="476">
      <c r="E476" s="757"/>
      <c r="F476" s="757"/>
      <c r="G476" s="757"/>
      <c r="K476" s="757"/>
      <c r="L476" s="757"/>
      <c r="M476" s="757"/>
      <c r="N476" s="757"/>
      <c r="O476" s="757"/>
      <c r="P476" s="757"/>
    </row>
    <row r="477">
      <c r="E477" s="757"/>
      <c r="F477" s="757"/>
      <c r="G477" s="757"/>
      <c r="K477" s="757"/>
      <c r="L477" s="757"/>
      <c r="M477" s="757"/>
      <c r="N477" s="757"/>
      <c r="O477" s="757"/>
      <c r="P477" s="757"/>
    </row>
    <row r="478">
      <c r="E478" s="757"/>
      <c r="F478" s="757"/>
      <c r="G478" s="757"/>
      <c r="K478" s="757"/>
      <c r="L478" s="757"/>
      <c r="M478" s="757"/>
      <c r="N478" s="757"/>
      <c r="O478" s="757"/>
      <c r="P478" s="757"/>
    </row>
    <row r="479">
      <c r="E479" s="757"/>
      <c r="F479" s="757"/>
      <c r="G479" s="757"/>
      <c r="K479" s="757"/>
      <c r="L479" s="757"/>
      <c r="M479" s="757"/>
      <c r="N479" s="757"/>
      <c r="O479" s="757"/>
      <c r="P479" s="757"/>
    </row>
    <row r="480">
      <c r="E480" s="757"/>
      <c r="F480" s="757"/>
      <c r="G480" s="757"/>
      <c r="K480" s="757"/>
      <c r="L480" s="757"/>
      <c r="M480" s="757"/>
      <c r="N480" s="757"/>
      <c r="O480" s="757"/>
      <c r="P480" s="757"/>
    </row>
    <row r="481">
      <c r="E481" s="757"/>
      <c r="F481" s="757"/>
      <c r="G481" s="757"/>
      <c r="K481" s="757"/>
      <c r="L481" s="757"/>
      <c r="M481" s="757"/>
      <c r="N481" s="757"/>
      <c r="O481" s="757"/>
      <c r="P481" s="757"/>
    </row>
    <row r="482">
      <c r="E482" s="757"/>
      <c r="F482" s="757"/>
      <c r="G482" s="757"/>
      <c r="K482" s="757"/>
      <c r="L482" s="757"/>
      <c r="M482" s="757"/>
      <c r="N482" s="757"/>
      <c r="O482" s="757"/>
      <c r="P482" s="757"/>
    </row>
    <row r="483">
      <c r="E483" s="757"/>
      <c r="F483" s="757"/>
      <c r="G483" s="757"/>
      <c r="K483" s="757"/>
      <c r="L483" s="757"/>
      <c r="M483" s="757"/>
      <c r="N483" s="757"/>
      <c r="O483" s="757"/>
      <c r="P483" s="757"/>
    </row>
    <row r="484">
      <c r="E484" s="757"/>
      <c r="F484" s="757"/>
      <c r="G484" s="757"/>
      <c r="K484" s="757"/>
      <c r="L484" s="757"/>
      <c r="M484" s="757"/>
      <c r="N484" s="757"/>
      <c r="O484" s="757"/>
      <c r="P484" s="757"/>
    </row>
    <row r="485">
      <c r="E485" s="757"/>
      <c r="F485" s="757"/>
      <c r="G485" s="757"/>
      <c r="K485" s="757"/>
      <c r="L485" s="757"/>
      <c r="M485" s="757"/>
      <c r="N485" s="757"/>
      <c r="O485" s="757"/>
      <c r="P485" s="757"/>
    </row>
    <row r="486">
      <c r="E486" s="757"/>
      <c r="F486" s="757"/>
      <c r="G486" s="757"/>
      <c r="K486" s="757"/>
      <c r="L486" s="757"/>
      <c r="M486" s="757"/>
      <c r="N486" s="757"/>
      <c r="O486" s="757"/>
      <c r="P486" s="757"/>
    </row>
    <row r="487">
      <c r="E487" s="757"/>
      <c r="F487" s="757"/>
      <c r="G487" s="757"/>
      <c r="K487" s="757"/>
      <c r="L487" s="757"/>
      <c r="M487" s="757"/>
      <c r="N487" s="757"/>
      <c r="O487" s="757"/>
      <c r="P487" s="757"/>
    </row>
    <row r="488">
      <c r="E488" s="757"/>
      <c r="F488" s="757"/>
      <c r="G488" s="757"/>
      <c r="K488" s="757"/>
      <c r="L488" s="757"/>
      <c r="M488" s="757"/>
      <c r="N488" s="757"/>
      <c r="O488" s="757"/>
      <c r="P488" s="757"/>
    </row>
    <row r="489">
      <c r="E489" s="757"/>
      <c r="F489" s="757"/>
      <c r="G489" s="757"/>
      <c r="K489" s="757"/>
      <c r="L489" s="757"/>
      <c r="M489" s="757"/>
      <c r="N489" s="757"/>
      <c r="O489" s="757"/>
      <c r="P489" s="757"/>
    </row>
    <row r="490">
      <c r="E490" s="757"/>
      <c r="F490" s="757"/>
      <c r="G490" s="757"/>
      <c r="K490" s="757"/>
      <c r="L490" s="757"/>
      <c r="M490" s="757"/>
      <c r="N490" s="757"/>
      <c r="O490" s="757"/>
      <c r="P490" s="757"/>
    </row>
    <row r="491">
      <c r="E491" s="757"/>
      <c r="F491" s="757"/>
      <c r="G491" s="757"/>
      <c r="K491" s="757"/>
      <c r="L491" s="757"/>
      <c r="M491" s="757"/>
      <c r="N491" s="757"/>
      <c r="O491" s="757"/>
      <c r="P491" s="757"/>
    </row>
    <row r="492">
      <c r="E492" s="757"/>
      <c r="F492" s="757"/>
      <c r="G492" s="757"/>
      <c r="K492" s="757"/>
      <c r="L492" s="757"/>
      <c r="M492" s="757"/>
      <c r="N492" s="757"/>
      <c r="O492" s="757"/>
      <c r="P492" s="757"/>
    </row>
    <row r="493">
      <c r="E493" s="757"/>
      <c r="F493" s="757"/>
      <c r="G493" s="757"/>
      <c r="K493" s="757"/>
      <c r="L493" s="757"/>
      <c r="M493" s="757"/>
      <c r="N493" s="757"/>
      <c r="O493" s="757"/>
      <c r="P493" s="757"/>
    </row>
    <row r="494">
      <c r="E494" s="757"/>
      <c r="F494" s="757"/>
      <c r="G494" s="757"/>
      <c r="K494" s="757"/>
      <c r="L494" s="757"/>
      <c r="M494" s="757"/>
      <c r="N494" s="757"/>
      <c r="O494" s="757"/>
      <c r="P494" s="757"/>
    </row>
    <row r="495">
      <c r="E495" s="757"/>
      <c r="F495" s="757"/>
      <c r="G495" s="757"/>
      <c r="K495" s="757"/>
      <c r="L495" s="757"/>
      <c r="M495" s="757"/>
      <c r="N495" s="757"/>
      <c r="O495" s="757"/>
      <c r="P495" s="757"/>
    </row>
    <row r="496">
      <c r="E496" s="757"/>
      <c r="F496" s="757"/>
      <c r="G496" s="757"/>
      <c r="K496" s="757"/>
      <c r="L496" s="757"/>
      <c r="M496" s="757"/>
      <c r="N496" s="757"/>
      <c r="O496" s="757"/>
      <c r="P496" s="757"/>
    </row>
    <row r="497">
      <c r="E497" s="757"/>
      <c r="F497" s="757"/>
      <c r="G497" s="757"/>
      <c r="K497" s="757"/>
      <c r="L497" s="757"/>
      <c r="M497" s="757"/>
      <c r="N497" s="757"/>
      <c r="O497" s="757"/>
      <c r="P497" s="757"/>
    </row>
    <row r="498">
      <c r="E498" s="757"/>
      <c r="F498" s="757"/>
      <c r="G498" s="757"/>
      <c r="K498" s="757"/>
      <c r="L498" s="757"/>
      <c r="M498" s="757"/>
      <c r="N498" s="757"/>
      <c r="O498" s="757"/>
      <c r="P498" s="757"/>
    </row>
    <row r="499">
      <c r="E499" s="757"/>
      <c r="F499" s="757"/>
      <c r="G499" s="757"/>
      <c r="K499" s="757"/>
      <c r="L499" s="757"/>
      <c r="M499" s="757"/>
      <c r="N499" s="757"/>
      <c r="O499" s="757"/>
      <c r="P499" s="757"/>
    </row>
    <row r="500">
      <c r="E500" s="757"/>
      <c r="F500" s="757"/>
      <c r="G500" s="757"/>
      <c r="K500" s="757"/>
      <c r="L500" s="757"/>
      <c r="M500" s="757"/>
      <c r="N500" s="757"/>
      <c r="O500" s="757"/>
      <c r="P500" s="757"/>
    </row>
    <row r="501">
      <c r="E501" s="757"/>
      <c r="F501" s="757"/>
      <c r="G501" s="757"/>
      <c r="K501" s="757"/>
      <c r="L501" s="757"/>
      <c r="M501" s="757"/>
      <c r="N501" s="757"/>
      <c r="O501" s="757"/>
      <c r="P501" s="757"/>
    </row>
    <row r="502">
      <c r="E502" s="757"/>
      <c r="F502" s="757"/>
      <c r="G502" s="757"/>
      <c r="K502" s="757"/>
      <c r="L502" s="757"/>
      <c r="M502" s="757"/>
      <c r="N502" s="757"/>
      <c r="O502" s="757"/>
      <c r="P502" s="757"/>
    </row>
    <row r="503">
      <c r="E503" s="757"/>
      <c r="F503" s="757"/>
      <c r="G503" s="757"/>
      <c r="K503" s="757"/>
      <c r="L503" s="757"/>
      <c r="M503" s="757"/>
      <c r="N503" s="757"/>
      <c r="O503" s="757"/>
      <c r="P503" s="757"/>
    </row>
    <row r="504">
      <c r="E504" s="757"/>
      <c r="F504" s="757"/>
      <c r="G504" s="757"/>
      <c r="K504" s="757"/>
      <c r="L504" s="757"/>
      <c r="M504" s="757"/>
      <c r="N504" s="757"/>
      <c r="O504" s="757"/>
      <c r="P504" s="757"/>
    </row>
    <row r="505">
      <c r="E505" s="757"/>
      <c r="F505" s="757"/>
      <c r="G505" s="757"/>
      <c r="K505" s="757"/>
      <c r="L505" s="757"/>
      <c r="M505" s="757"/>
      <c r="N505" s="757"/>
      <c r="O505" s="757"/>
      <c r="P505" s="757"/>
    </row>
    <row r="506">
      <c r="E506" s="757"/>
      <c r="F506" s="757"/>
      <c r="G506" s="757"/>
      <c r="K506" s="757"/>
      <c r="L506" s="757"/>
      <c r="M506" s="757"/>
      <c r="N506" s="757"/>
      <c r="O506" s="757"/>
      <c r="P506" s="757"/>
    </row>
    <row r="507">
      <c r="E507" s="757"/>
      <c r="F507" s="757"/>
      <c r="G507" s="757"/>
      <c r="K507" s="757"/>
      <c r="L507" s="757"/>
      <c r="M507" s="757"/>
      <c r="N507" s="757"/>
      <c r="O507" s="757"/>
      <c r="P507" s="757"/>
    </row>
    <row r="508">
      <c r="E508" s="757"/>
      <c r="F508" s="757"/>
      <c r="G508" s="757"/>
      <c r="K508" s="757"/>
      <c r="L508" s="757"/>
      <c r="M508" s="757"/>
      <c r="N508" s="757"/>
      <c r="O508" s="757"/>
      <c r="P508" s="757"/>
    </row>
    <row r="509">
      <c r="E509" s="757"/>
      <c r="F509" s="757"/>
      <c r="G509" s="757"/>
      <c r="K509" s="757"/>
      <c r="L509" s="757"/>
      <c r="M509" s="757"/>
      <c r="N509" s="757"/>
      <c r="O509" s="757"/>
      <c r="P509" s="757"/>
    </row>
    <row r="510">
      <c r="E510" s="757"/>
      <c r="F510" s="757"/>
      <c r="G510" s="757"/>
      <c r="K510" s="757"/>
      <c r="L510" s="757"/>
      <c r="M510" s="757"/>
      <c r="N510" s="757"/>
      <c r="O510" s="757"/>
      <c r="P510" s="757"/>
    </row>
    <row r="511">
      <c r="E511" s="757"/>
      <c r="F511" s="757"/>
      <c r="G511" s="757"/>
      <c r="K511" s="757"/>
      <c r="L511" s="757"/>
      <c r="M511" s="757"/>
      <c r="N511" s="757"/>
      <c r="O511" s="757"/>
      <c r="P511" s="757"/>
    </row>
    <row r="512">
      <c r="E512" s="757"/>
      <c r="F512" s="757"/>
      <c r="G512" s="757"/>
      <c r="K512" s="757"/>
      <c r="L512" s="757"/>
      <c r="M512" s="757"/>
      <c r="N512" s="757"/>
      <c r="O512" s="757"/>
      <c r="P512" s="757"/>
    </row>
    <row r="513">
      <c r="E513" s="757"/>
      <c r="F513" s="757"/>
      <c r="G513" s="757"/>
      <c r="K513" s="757"/>
      <c r="L513" s="757"/>
      <c r="M513" s="757"/>
      <c r="N513" s="757"/>
      <c r="O513" s="757"/>
      <c r="P513" s="757"/>
    </row>
    <row r="514">
      <c r="E514" s="757"/>
      <c r="F514" s="757"/>
      <c r="G514" s="757"/>
      <c r="K514" s="757"/>
      <c r="L514" s="757"/>
      <c r="M514" s="757"/>
      <c r="N514" s="757"/>
      <c r="O514" s="757"/>
      <c r="P514" s="757"/>
    </row>
    <row r="515">
      <c r="E515" s="757"/>
      <c r="F515" s="757"/>
      <c r="G515" s="757"/>
      <c r="K515" s="757"/>
      <c r="L515" s="757"/>
      <c r="M515" s="757"/>
      <c r="N515" s="757"/>
      <c r="O515" s="757"/>
      <c r="P515" s="757"/>
    </row>
    <row r="516">
      <c r="E516" s="757"/>
      <c r="F516" s="757"/>
      <c r="G516" s="757"/>
      <c r="K516" s="757"/>
      <c r="L516" s="757"/>
      <c r="M516" s="757"/>
      <c r="N516" s="757"/>
      <c r="O516" s="757"/>
      <c r="P516" s="757"/>
    </row>
    <row r="517">
      <c r="E517" s="757"/>
      <c r="F517" s="757"/>
      <c r="G517" s="757"/>
      <c r="K517" s="757"/>
      <c r="L517" s="757"/>
      <c r="M517" s="757"/>
      <c r="N517" s="757"/>
      <c r="O517" s="757"/>
      <c r="P517" s="757"/>
    </row>
    <row r="518">
      <c r="E518" s="757"/>
      <c r="F518" s="757"/>
      <c r="G518" s="757"/>
      <c r="K518" s="757"/>
      <c r="L518" s="757"/>
      <c r="M518" s="757"/>
      <c r="N518" s="757"/>
      <c r="O518" s="757"/>
      <c r="P518" s="757"/>
    </row>
    <row r="519">
      <c r="E519" s="757"/>
      <c r="F519" s="757"/>
      <c r="G519" s="757"/>
      <c r="K519" s="757"/>
      <c r="L519" s="757"/>
      <c r="M519" s="757"/>
      <c r="N519" s="757"/>
      <c r="O519" s="757"/>
      <c r="P519" s="757"/>
    </row>
    <row r="520">
      <c r="E520" s="757"/>
      <c r="F520" s="757"/>
      <c r="G520" s="757"/>
      <c r="K520" s="757"/>
      <c r="L520" s="757"/>
      <c r="M520" s="757"/>
      <c r="N520" s="757"/>
      <c r="O520" s="757"/>
      <c r="P520" s="757"/>
    </row>
    <row r="521">
      <c r="E521" s="757"/>
      <c r="F521" s="757"/>
      <c r="G521" s="757"/>
      <c r="K521" s="757"/>
      <c r="L521" s="757"/>
      <c r="M521" s="757"/>
      <c r="N521" s="757"/>
      <c r="O521" s="757"/>
      <c r="P521" s="757"/>
    </row>
    <row r="522">
      <c r="E522" s="757"/>
      <c r="F522" s="757"/>
      <c r="G522" s="757"/>
      <c r="K522" s="757"/>
      <c r="L522" s="757"/>
      <c r="M522" s="757"/>
      <c r="N522" s="757"/>
      <c r="O522" s="757"/>
      <c r="P522" s="757"/>
    </row>
    <row r="523">
      <c r="E523" s="757"/>
      <c r="F523" s="757"/>
      <c r="G523" s="757"/>
      <c r="K523" s="757"/>
      <c r="L523" s="757"/>
      <c r="M523" s="757"/>
      <c r="N523" s="757"/>
      <c r="O523" s="757"/>
      <c r="P523" s="757"/>
    </row>
    <row r="524">
      <c r="E524" s="757"/>
      <c r="F524" s="757"/>
      <c r="G524" s="757"/>
      <c r="K524" s="757"/>
      <c r="L524" s="757"/>
      <c r="M524" s="757"/>
      <c r="N524" s="757"/>
      <c r="O524" s="757"/>
      <c r="P524" s="757"/>
    </row>
    <row r="525">
      <c r="E525" s="757"/>
      <c r="F525" s="757"/>
      <c r="G525" s="757"/>
      <c r="K525" s="757"/>
      <c r="L525" s="757"/>
      <c r="M525" s="757"/>
      <c r="N525" s="757"/>
      <c r="O525" s="757"/>
      <c r="P525" s="757"/>
    </row>
    <row r="526">
      <c r="E526" s="757"/>
      <c r="F526" s="757"/>
      <c r="G526" s="757"/>
      <c r="K526" s="757"/>
      <c r="L526" s="757"/>
      <c r="M526" s="757"/>
      <c r="N526" s="757"/>
      <c r="O526" s="757"/>
      <c r="P526" s="757"/>
    </row>
    <row r="527">
      <c r="E527" s="757"/>
      <c r="F527" s="757"/>
      <c r="G527" s="757"/>
      <c r="K527" s="757"/>
      <c r="L527" s="757"/>
      <c r="M527" s="757"/>
      <c r="N527" s="757"/>
      <c r="O527" s="757"/>
      <c r="P527" s="757"/>
    </row>
    <row r="528">
      <c r="E528" s="757"/>
      <c r="F528" s="757"/>
      <c r="G528" s="757"/>
      <c r="K528" s="757"/>
      <c r="L528" s="757"/>
      <c r="M528" s="757"/>
      <c r="N528" s="757"/>
      <c r="O528" s="757"/>
      <c r="P528" s="757"/>
    </row>
    <row r="529">
      <c r="E529" s="757"/>
      <c r="F529" s="757"/>
      <c r="G529" s="757"/>
      <c r="K529" s="757"/>
      <c r="L529" s="757"/>
      <c r="M529" s="757"/>
      <c r="N529" s="757"/>
      <c r="O529" s="757"/>
      <c r="P529" s="757"/>
    </row>
    <row r="530">
      <c r="E530" s="757"/>
      <c r="F530" s="757"/>
      <c r="G530" s="757"/>
      <c r="K530" s="757"/>
      <c r="L530" s="757"/>
      <c r="M530" s="757"/>
      <c r="N530" s="757"/>
      <c r="O530" s="757"/>
      <c r="P530" s="757"/>
    </row>
    <row r="531">
      <c r="E531" s="757"/>
      <c r="F531" s="757"/>
      <c r="G531" s="757"/>
      <c r="K531" s="757"/>
      <c r="L531" s="757"/>
      <c r="M531" s="757"/>
      <c r="N531" s="757"/>
      <c r="O531" s="757"/>
      <c r="P531" s="757"/>
    </row>
    <row r="532">
      <c r="E532" s="757"/>
      <c r="F532" s="757"/>
      <c r="G532" s="757"/>
      <c r="K532" s="757"/>
      <c r="L532" s="757"/>
      <c r="M532" s="757"/>
      <c r="N532" s="757"/>
      <c r="O532" s="757"/>
      <c r="P532" s="757"/>
    </row>
    <row r="533">
      <c r="E533" s="757"/>
      <c r="F533" s="757"/>
      <c r="G533" s="757"/>
      <c r="K533" s="757"/>
      <c r="L533" s="757"/>
      <c r="M533" s="757"/>
      <c r="N533" s="757"/>
      <c r="O533" s="757"/>
      <c r="P533" s="757"/>
    </row>
    <row r="534">
      <c r="E534" s="757"/>
      <c r="F534" s="757"/>
      <c r="G534" s="757"/>
      <c r="K534" s="757"/>
      <c r="L534" s="757"/>
      <c r="M534" s="757"/>
      <c r="N534" s="757"/>
      <c r="O534" s="757"/>
      <c r="P534" s="757"/>
    </row>
    <row r="535">
      <c r="E535" s="757"/>
      <c r="F535" s="757"/>
      <c r="G535" s="757"/>
      <c r="K535" s="757"/>
      <c r="L535" s="757"/>
      <c r="M535" s="757"/>
      <c r="N535" s="757"/>
      <c r="O535" s="757"/>
      <c r="P535" s="757"/>
    </row>
    <row r="536">
      <c r="E536" s="757"/>
      <c r="F536" s="757"/>
      <c r="G536" s="757"/>
      <c r="K536" s="757"/>
      <c r="L536" s="757"/>
      <c r="M536" s="757"/>
      <c r="N536" s="757"/>
      <c r="O536" s="757"/>
      <c r="P536" s="757"/>
    </row>
    <row r="537">
      <c r="E537" s="757"/>
      <c r="F537" s="757"/>
      <c r="G537" s="757"/>
      <c r="K537" s="757"/>
      <c r="L537" s="757"/>
      <c r="M537" s="757"/>
      <c r="N537" s="757"/>
      <c r="O537" s="757"/>
      <c r="P537" s="757"/>
    </row>
    <row r="538">
      <c r="E538" s="757"/>
      <c r="F538" s="757"/>
      <c r="G538" s="757"/>
      <c r="K538" s="757"/>
      <c r="L538" s="757"/>
      <c r="M538" s="757"/>
      <c r="N538" s="757"/>
      <c r="O538" s="757"/>
      <c r="P538" s="757"/>
    </row>
    <row r="539">
      <c r="E539" s="757"/>
      <c r="F539" s="757"/>
      <c r="G539" s="757"/>
      <c r="K539" s="757"/>
      <c r="L539" s="757"/>
      <c r="M539" s="757"/>
      <c r="N539" s="757"/>
      <c r="O539" s="757"/>
      <c r="P539" s="757"/>
    </row>
    <row r="540">
      <c r="E540" s="757"/>
      <c r="F540" s="757"/>
      <c r="G540" s="757"/>
      <c r="K540" s="757"/>
      <c r="L540" s="757"/>
      <c r="M540" s="757"/>
      <c r="N540" s="757"/>
      <c r="O540" s="757"/>
      <c r="P540" s="757"/>
    </row>
    <row r="541">
      <c r="E541" s="757"/>
      <c r="F541" s="757"/>
      <c r="G541" s="757"/>
      <c r="K541" s="757"/>
      <c r="L541" s="757"/>
      <c r="M541" s="757"/>
      <c r="N541" s="757"/>
      <c r="O541" s="757"/>
      <c r="P541" s="757"/>
    </row>
    <row r="542">
      <c r="E542" s="757"/>
      <c r="F542" s="757"/>
      <c r="G542" s="757"/>
      <c r="K542" s="757"/>
      <c r="L542" s="757"/>
      <c r="M542" s="757"/>
      <c r="N542" s="757"/>
      <c r="O542" s="757"/>
      <c r="P542" s="757"/>
    </row>
    <row r="543">
      <c r="E543" s="757"/>
      <c r="F543" s="757"/>
      <c r="G543" s="757"/>
      <c r="K543" s="757"/>
      <c r="L543" s="757"/>
      <c r="M543" s="757"/>
      <c r="N543" s="757"/>
      <c r="O543" s="757"/>
      <c r="P543" s="757"/>
    </row>
    <row r="544">
      <c r="E544" s="757"/>
      <c r="F544" s="757"/>
      <c r="G544" s="757"/>
      <c r="K544" s="757"/>
      <c r="L544" s="757"/>
      <c r="M544" s="757"/>
      <c r="N544" s="757"/>
      <c r="O544" s="757"/>
      <c r="P544" s="757"/>
    </row>
    <row r="545">
      <c r="E545" s="757"/>
      <c r="F545" s="757"/>
      <c r="G545" s="757"/>
      <c r="K545" s="757"/>
      <c r="L545" s="757"/>
      <c r="M545" s="757"/>
      <c r="N545" s="757"/>
      <c r="O545" s="757"/>
      <c r="P545" s="757"/>
    </row>
    <row r="546">
      <c r="E546" s="757"/>
      <c r="F546" s="757"/>
      <c r="G546" s="757"/>
      <c r="K546" s="757"/>
      <c r="L546" s="757"/>
      <c r="M546" s="757"/>
      <c r="N546" s="757"/>
      <c r="O546" s="757"/>
      <c r="P546" s="757"/>
    </row>
    <row r="547">
      <c r="E547" s="757"/>
      <c r="F547" s="757"/>
      <c r="G547" s="757"/>
      <c r="K547" s="757"/>
      <c r="L547" s="757"/>
      <c r="M547" s="757"/>
      <c r="N547" s="757"/>
      <c r="O547" s="757"/>
      <c r="P547" s="757"/>
    </row>
    <row r="548">
      <c r="E548" s="757"/>
      <c r="F548" s="757"/>
      <c r="G548" s="757"/>
      <c r="K548" s="757"/>
      <c r="L548" s="757"/>
      <c r="M548" s="757"/>
      <c r="N548" s="757"/>
      <c r="O548" s="757"/>
      <c r="P548" s="757"/>
    </row>
    <row r="549">
      <c r="E549" s="757"/>
      <c r="F549" s="757"/>
      <c r="G549" s="757"/>
      <c r="K549" s="757"/>
      <c r="L549" s="757"/>
      <c r="M549" s="757"/>
      <c r="N549" s="757"/>
      <c r="O549" s="757"/>
      <c r="P549" s="757"/>
    </row>
    <row r="550">
      <c r="E550" s="757"/>
      <c r="F550" s="757"/>
      <c r="G550" s="757"/>
      <c r="K550" s="757"/>
      <c r="L550" s="757"/>
      <c r="M550" s="757"/>
      <c r="N550" s="757"/>
      <c r="O550" s="757"/>
      <c r="P550" s="757"/>
    </row>
    <row r="551">
      <c r="E551" s="757"/>
      <c r="F551" s="757"/>
      <c r="G551" s="757"/>
      <c r="K551" s="757"/>
      <c r="L551" s="757"/>
      <c r="M551" s="757"/>
      <c r="N551" s="757"/>
      <c r="O551" s="757"/>
      <c r="P551" s="757"/>
    </row>
    <row r="552">
      <c r="E552" s="757"/>
      <c r="F552" s="757"/>
      <c r="G552" s="757"/>
      <c r="K552" s="757"/>
      <c r="L552" s="757"/>
      <c r="M552" s="757"/>
      <c r="N552" s="757"/>
      <c r="O552" s="757"/>
      <c r="P552" s="757"/>
    </row>
    <row r="553">
      <c r="E553" s="757"/>
      <c r="F553" s="757"/>
      <c r="G553" s="757"/>
      <c r="K553" s="757"/>
      <c r="L553" s="757"/>
      <c r="M553" s="757"/>
      <c r="N553" s="757"/>
      <c r="O553" s="757"/>
      <c r="P553" s="757"/>
    </row>
    <row r="554">
      <c r="E554" s="757"/>
      <c r="F554" s="757"/>
      <c r="G554" s="757"/>
      <c r="K554" s="757"/>
      <c r="L554" s="757"/>
      <c r="M554" s="757"/>
      <c r="N554" s="757"/>
      <c r="O554" s="757"/>
      <c r="P554" s="757"/>
    </row>
    <row r="555">
      <c r="E555" s="757"/>
      <c r="F555" s="757"/>
      <c r="G555" s="757"/>
      <c r="K555" s="757"/>
      <c r="L555" s="757"/>
      <c r="M555" s="757"/>
      <c r="N555" s="757"/>
      <c r="O555" s="757"/>
      <c r="P555" s="757"/>
    </row>
    <row r="556">
      <c r="E556" s="757"/>
      <c r="F556" s="757"/>
      <c r="G556" s="757"/>
      <c r="K556" s="757"/>
      <c r="L556" s="757"/>
      <c r="M556" s="757"/>
      <c r="N556" s="757"/>
      <c r="O556" s="757"/>
      <c r="P556" s="757"/>
    </row>
    <row r="557">
      <c r="E557" s="757"/>
      <c r="F557" s="757"/>
      <c r="G557" s="757"/>
      <c r="K557" s="757"/>
      <c r="L557" s="757"/>
      <c r="M557" s="757"/>
      <c r="N557" s="757"/>
      <c r="O557" s="757"/>
      <c r="P557" s="757"/>
    </row>
    <row r="558">
      <c r="E558" s="757"/>
      <c r="F558" s="757"/>
      <c r="G558" s="757"/>
      <c r="K558" s="757"/>
      <c r="L558" s="757"/>
      <c r="M558" s="757"/>
      <c r="N558" s="757"/>
      <c r="O558" s="757"/>
      <c r="P558" s="757"/>
    </row>
    <row r="559">
      <c r="E559" s="757"/>
      <c r="F559" s="757"/>
      <c r="G559" s="757"/>
      <c r="K559" s="757"/>
      <c r="L559" s="757"/>
      <c r="M559" s="757"/>
      <c r="N559" s="757"/>
      <c r="O559" s="757"/>
      <c r="P559" s="757"/>
    </row>
    <row r="560">
      <c r="E560" s="757"/>
      <c r="F560" s="757"/>
      <c r="G560" s="757"/>
      <c r="K560" s="757"/>
      <c r="L560" s="757"/>
      <c r="M560" s="757"/>
      <c r="N560" s="757"/>
      <c r="O560" s="757"/>
      <c r="P560" s="757"/>
    </row>
    <row r="561">
      <c r="E561" s="757"/>
      <c r="F561" s="757"/>
      <c r="G561" s="757"/>
      <c r="K561" s="757"/>
      <c r="L561" s="757"/>
      <c r="M561" s="757"/>
      <c r="N561" s="757"/>
      <c r="O561" s="757"/>
      <c r="P561" s="757"/>
    </row>
    <row r="562">
      <c r="E562" s="757"/>
      <c r="F562" s="757"/>
      <c r="G562" s="757"/>
      <c r="K562" s="757"/>
      <c r="L562" s="757"/>
      <c r="M562" s="757"/>
      <c r="N562" s="757"/>
      <c r="O562" s="757"/>
      <c r="P562" s="757"/>
    </row>
    <row r="563">
      <c r="E563" s="757"/>
      <c r="F563" s="757"/>
      <c r="G563" s="757"/>
      <c r="K563" s="757"/>
      <c r="L563" s="757"/>
      <c r="M563" s="757"/>
      <c r="N563" s="757"/>
      <c r="O563" s="757"/>
      <c r="P563" s="757"/>
    </row>
    <row r="564">
      <c r="E564" s="757"/>
      <c r="F564" s="757"/>
      <c r="G564" s="757"/>
      <c r="K564" s="757"/>
      <c r="L564" s="757"/>
      <c r="M564" s="757"/>
      <c r="N564" s="757"/>
      <c r="O564" s="757"/>
      <c r="P564" s="757"/>
    </row>
    <row r="565">
      <c r="E565" s="757"/>
      <c r="F565" s="757"/>
      <c r="G565" s="757"/>
      <c r="K565" s="757"/>
      <c r="L565" s="757"/>
      <c r="M565" s="757"/>
      <c r="N565" s="757"/>
      <c r="O565" s="757"/>
      <c r="P565" s="757"/>
    </row>
    <row r="566">
      <c r="E566" s="757"/>
      <c r="F566" s="757"/>
      <c r="G566" s="757"/>
      <c r="K566" s="757"/>
      <c r="L566" s="757"/>
      <c r="M566" s="757"/>
      <c r="N566" s="757"/>
      <c r="O566" s="757"/>
      <c r="P566" s="757"/>
    </row>
    <row r="567">
      <c r="E567" s="757"/>
      <c r="F567" s="757"/>
      <c r="G567" s="757"/>
      <c r="K567" s="757"/>
      <c r="L567" s="757"/>
      <c r="M567" s="757"/>
      <c r="N567" s="757"/>
      <c r="O567" s="757"/>
      <c r="P567" s="757"/>
    </row>
    <row r="568">
      <c r="E568" s="757"/>
      <c r="F568" s="757"/>
      <c r="G568" s="757"/>
      <c r="K568" s="757"/>
      <c r="L568" s="757"/>
      <c r="M568" s="757"/>
      <c r="N568" s="757"/>
      <c r="O568" s="757"/>
      <c r="P568" s="757"/>
    </row>
    <row r="569">
      <c r="E569" s="757"/>
      <c r="F569" s="757"/>
      <c r="G569" s="757"/>
      <c r="K569" s="757"/>
      <c r="L569" s="757"/>
      <c r="M569" s="757"/>
      <c r="N569" s="757"/>
      <c r="O569" s="757"/>
      <c r="P569" s="757"/>
    </row>
    <row r="570">
      <c r="E570" s="757"/>
      <c r="F570" s="757"/>
      <c r="G570" s="757"/>
      <c r="K570" s="757"/>
      <c r="L570" s="757"/>
      <c r="M570" s="757"/>
      <c r="N570" s="757"/>
      <c r="O570" s="757"/>
      <c r="P570" s="757"/>
    </row>
    <row r="571">
      <c r="E571" s="757"/>
      <c r="F571" s="757"/>
      <c r="G571" s="757"/>
      <c r="K571" s="757"/>
      <c r="L571" s="757"/>
      <c r="M571" s="757"/>
      <c r="N571" s="757"/>
      <c r="O571" s="757"/>
      <c r="P571" s="757"/>
    </row>
    <row r="572">
      <c r="E572" s="757"/>
      <c r="F572" s="757"/>
      <c r="G572" s="757"/>
      <c r="K572" s="757"/>
      <c r="L572" s="757"/>
      <c r="M572" s="757"/>
      <c r="N572" s="757"/>
      <c r="O572" s="757"/>
      <c r="P572" s="757"/>
    </row>
    <row r="573">
      <c r="E573" s="757"/>
      <c r="F573" s="757"/>
      <c r="G573" s="757"/>
      <c r="K573" s="757"/>
      <c r="L573" s="757"/>
      <c r="M573" s="757"/>
      <c r="N573" s="757"/>
      <c r="O573" s="757"/>
      <c r="P573" s="757"/>
    </row>
    <row r="574">
      <c r="E574" s="757"/>
      <c r="F574" s="757"/>
      <c r="G574" s="757"/>
      <c r="K574" s="757"/>
      <c r="L574" s="757"/>
      <c r="M574" s="757"/>
      <c r="N574" s="757"/>
      <c r="O574" s="757"/>
      <c r="P574" s="757"/>
    </row>
    <row r="575">
      <c r="E575" s="757"/>
      <c r="F575" s="757"/>
      <c r="G575" s="757"/>
      <c r="K575" s="757"/>
      <c r="L575" s="757"/>
      <c r="M575" s="757"/>
      <c r="N575" s="757"/>
      <c r="O575" s="757"/>
      <c r="P575" s="757"/>
    </row>
    <row r="576">
      <c r="E576" s="757"/>
      <c r="F576" s="757"/>
      <c r="G576" s="757"/>
      <c r="K576" s="757"/>
      <c r="L576" s="757"/>
      <c r="M576" s="757"/>
      <c r="N576" s="757"/>
      <c r="O576" s="757"/>
      <c r="P576" s="757"/>
    </row>
    <row r="577">
      <c r="E577" s="757"/>
      <c r="F577" s="757"/>
      <c r="G577" s="757"/>
      <c r="K577" s="757"/>
      <c r="L577" s="757"/>
      <c r="M577" s="757"/>
      <c r="N577" s="757"/>
      <c r="O577" s="757"/>
      <c r="P577" s="757"/>
    </row>
    <row r="578">
      <c r="E578" s="757"/>
      <c r="F578" s="757"/>
      <c r="G578" s="757"/>
      <c r="K578" s="757"/>
      <c r="L578" s="757"/>
      <c r="M578" s="757"/>
      <c r="N578" s="757"/>
      <c r="O578" s="757"/>
      <c r="P578" s="757"/>
    </row>
    <row r="579">
      <c r="E579" s="757"/>
      <c r="F579" s="757"/>
      <c r="G579" s="757"/>
      <c r="K579" s="757"/>
      <c r="L579" s="757"/>
      <c r="M579" s="757"/>
      <c r="N579" s="757"/>
      <c r="O579" s="757"/>
      <c r="P579" s="757"/>
    </row>
    <row r="580">
      <c r="E580" s="757"/>
      <c r="F580" s="757"/>
      <c r="G580" s="757"/>
      <c r="K580" s="757"/>
      <c r="L580" s="757"/>
      <c r="M580" s="757"/>
      <c r="N580" s="757"/>
      <c r="O580" s="757"/>
      <c r="P580" s="757"/>
    </row>
    <row r="581">
      <c r="E581" s="757"/>
      <c r="F581" s="757"/>
      <c r="G581" s="757"/>
      <c r="K581" s="757"/>
      <c r="L581" s="757"/>
      <c r="M581" s="757"/>
      <c r="N581" s="757"/>
      <c r="O581" s="757"/>
      <c r="P581" s="757"/>
    </row>
    <row r="582">
      <c r="E582" s="757"/>
      <c r="F582" s="757"/>
      <c r="G582" s="757"/>
      <c r="K582" s="757"/>
      <c r="L582" s="757"/>
      <c r="M582" s="757"/>
      <c r="N582" s="757"/>
      <c r="O582" s="757"/>
      <c r="P582" s="757"/>
    </row>
    <row r="583">
      <c r="E583" s="757"/>
      <c r="F583" s="757"/>
      <c r="G583" s="757"/>
      <c r="K583" s="757"/>
      <c r="L583" s="757"/>
      <c r="M583" s="757"/>
      <c r="N583" s="757"/>
      <c r="O583" s="757"/>
      <c r="P583" s="757"/>
    </row>
    <row r="584">
      <c r="E584" s="757"/>
      <c r="F584" s="757"/>
      <c r="G584" s="757"/>
      <c r="K584" s="757"/>
      <c r="L584" s="757"/>
      <c r="M584" s="757"/>
      <c r="N584" s="757"/>
      <c r="O584" s="757"/>
      <c r="P584" s="757"/>
    </row>
    <row r="585">
      <c r="E585" s="757"/>
      <c r="F585" s="757"/>
      <c r="G585" s="757"/>
      <c r="K585" s="757"/>
      <c r="L585" s="757"/>
      <c r="M585" s="757"/>
      <c r="N585" s="757"/>
      <c r="O585" s="757"/>
      <c r="P585" s="757"/>
    </row>
    <row r="586">
      <c r="E586" s="757"/>
      <c r="F586" s="757"/>
      <c r="G586" s="757"/>
      <c r="K586" s="757"/>
      <c r="L586" s="757"/>
      <c r="M586" s="757"/>
      <c r="N586" s="757"/>
      <c r="O586" s="757"/>
      <c r="P586" s="757"/>
    </row>
    <row r="587">
      <c r="E587" s="757"/>
      <c r="F587" s="757"/>
      <c r="G587" s="757"/>
      <c r="K587" s="757"/>
      <c r="L587" s="757"/>
      <c r="M587" s="757"/>
      <c r="N587" s="757"/>
      <c r="O587" s="757"/>
      <c r="P587" s="757"/>
    </row>
    <row r="588">
      <c r="E588" s="757"/>
      <c r="F588" s="757"/>
      <c r="G588" s="757"/>
      <c r="K588" s="757"/>
      <c r="L588" s="757"/>
      <c r="M588" s="757"/>
      <c r="N588" s="757"/>
      <c r="O588" s="757"/>
      <c r="P588" s="757"/>
    </row>
    <row r="589">
      <c r="E589" s="757"/>
      <c r="F589" s="757"/>
      <c r="G589" s="757"/>
      <c r="K589" s="757"/>
      <c r="L589" s="757"/>
      <c r="M589" s="757"/>
      <c r="N589" s="757"/>
      <c r="O589" s="757"/>
      <c r="P589" s="757"/>
    </row>
    <row r="590">
      <c r="E590" s="757"/>
      <c r="F590" s="757"/>
      <c r="G590" s="757"/>
      <c r="K590" s="757"/>
      <c r="L590" s="757"/>
      <c r="M590" s="757"/>
      <c r="N590" s="757"/>
      <c r="O590" s="757"/>
      <c r="P590" s="757"/>
    </row>
    <row r="591">
      <c r="E591" s="757"/>
      <c r="F591" s="757"/>
      <c r="G591" s="757"/>
      <c r="K591" s="757"/>
      <c r="L591" s="757"/>
      <c r="M591" s="757"/>
      <c r="N591" s="757"/>
      <c r="O591" s="757"/>
      <c r="P591" s="757"/>
    </row>
    <row r="592">
      <c r="E592" s="757"/>
      <c r="F592" s="757"/>
      <c r="G592" s="757"/>
      <c r="K592" s="757"/>
      <c r="L592" s="757"/>
      <c r="M592" s="757"/>
      <c r="N592" s="757"/>
      <c r="O592" s="757"/>
      <c r="P592" s="757"/>
    </row>
    <row r="593">
      <c r="E593" s="757"/>
      <c r="F593" s="757"/>
      <c r="G593" s="757"/>
      <c r="K593" s="757"/>
      <c r="L593" s="757"/>
      <c r="M593" s="757"/>
      <c r="N593" s="757"/>
      <c r="O593" s="757"/>
      <c r="P593" s="757"/>
    </row>
    <row r="594">
      <c r="E594" s="757"/>
      <c r="F594" s="757"/>
      <c r="G594" s="757"/>
      <c r="K594" s="757"/>
      <c r="L594" s="757"/>
      <c r="M594" s="757"/>
      <c r="N594" s="757"/>
      <c r="O594" s="757"/>
      <c r="P594" s="757"/>
    </row>
    <row r="595">
      <c r="E595" s="757"/>
      <c r="F595" s="757"/>
      <c r="G595" s="757"/>
      <c r="K595" s="757"/>
      <c r="L595" s="757"/>
      <c r="M595" s="757"/>
      <c r="N595" s="757"/>
      <c r="O595" s="757"/>
      <c r="P595" s="757"/>
    </row>
    <row r="596">
      <c r="E596" s="757"/>
      <c r="F596" s="757"/>
      <c r="G596" s="757"/>
      <c r="K596" s="757"/>
      <c r="L596" s="757"/>
      <c r="M596" s="757"/>
      <c r="N596" s="757"/>
      <c r="O596" s="757"/>
      <c r="P596" s="757"/>
    </row>
    <row r="597">
      <c r="E597" s="757"/>
      <c r="F597" s="757"/>
      <c r="G597" s="757"/>
      <c r="K597" s="757"/>
      <c r="L597" s="757"/>
      <c r="M597" s="757"/>
      <c r="N597" s="757"/>
      <c r="O597" s="757"/>
      <c r="P597" s="757"/>
    </row>
    <row r="598">
      <c r="E598" s="757"/>
      <c r="F598" s="757"/>
      <c r="G598" s="757"/>
      <c r="K598" s="757"/>
      <c r="L598" s="757"/>
      <c r="M598" s="757"/>
      <c r="N598" s="757"/>
      <c r="O598" s="757"/>
      <c r="P598" s="757"/>
    </row>
    <row r="599">
      <c r="E599" s="757"/>
      <c r="F599" s="757"/>
      <c r="G599" s="757"/>
      <c r="K599" s="757"/>
      <c r="L599" s="757"/>
      <c r="M599" s="757"/>
      <c r="N599" s="757"/>
      <c r="O599" s="757"/>
      <c r="P599" s="757"/>
    </row>
    <row r="600">
      <c r="E600" s="757"/>
      <c r="F600" s="757"/>
      <c r="G600" s="757"/>
      <c r="K600" s="757"/>
      <c r="L600" s="757"/>
      <c r="M600" s="757"/>
      <c r="N600" s="757"/>
      <c r="O600" s="757"/>
      <c r="P600" s="757"/>
    </row>
    <row r="601">
      <c r="E601" s="757"/>
      <c r="F601" s="757"/>
      <c r="G601" s="757"/>
      <c r="K601" s="757"/>
      <c r="L601" s="757"/>
      <c r="M601" s="757"/>
      <c r="N601" s="757"/>
      <c r="O601" s="757"/>
      <c r="P601" s="757"/>
    </row>
    <row r="602">
      <c r="E602" s="757"/>
      <c r="F602" s="757"/>
      <c r="G602" s="757"/>
      <c r="K602" s="757"/>
      <c r="L602" s="757"/>
      <c r="M602" s="757"/>
      <c r="N602" s="757"/>
      <c r="O602" s="757"/>
      <c r="P602" s="757"/>
    </row>
    <row r="603">
      <c r="E603" s="757"/>
      <c r="F603" s="757"/>
      <c r="G603" s="757"/>
      <c r="K603" s="757"/>
      <c r="L603" s="757"/>
      <c r="M603" s="757"/>
      <c r="N603" s="757"/>
      <c r="O603" s="757"/>
      <c r="P603" s="757"/>
    </row>
    <row r="604">
      <c r="E604" s="757"/>
      <c r="F604" s="757"/>
      <c r="G604" s="757"/>
      <c r="K604" s="757"/>
      <c r="L604" s="757"/>
      <c r="M604" s="757"/>
      <c r="N604" s="757"/>
      <c r="O604" s="757"/>
      <c r="P604" s="757"/>
    </row>
    <row r="605">
      <c r="E605" s="757"/>
      <c r="F605" s="757"/>
      <c r="G605" s="757"/>
      <c r="K605" s="757"/>
      <c r="L605" s="757"/>
      <c r="M605" s="757"/>
      <c r="N605" s="757"/>
      <c r="O605" s="757"/>
      <c r="P605" s="757"/>
    </row>
    <row r="606">
      <c r="E606" s="757"/>
      <c r="F606" s="757"/>
      <c r="G606" s="757"/>
      <c r="K606" s="757"/>
      <c r="L606" s="757"/>
      <c r="M606" s="757"/>
      <c r="N606" s="757"/>
      <c r="O606" s="757"/>
      <c r="P606" s="757"/>
    </row>
    <row r="607">
      <c r="E607" s="757"/>
      <c r="F607" s="757"/>
      <c r="G607" s="757"/>
      <c r="K607" s="757"/>
      <c r="L607" s="757"/>
      <c r="M607" s="757"/>
      <c r="N607" s="757"/>
      <c r="O607" s="757"/>
      <c r="P607" s="757"/>
    </row>
    <row r="608">
      <c r="E608" s="757"/>
      <c r="F608" s="757"/>
      <c r="G608" s="757"/>
      <c r="K608" s="757"/>
      <c r="L608" s="757"/>
      <c r="M608" s="757"/>
      <c r="N608" s="757"/>
      <c r="O608" s="757"/>
      <c r="P608" s="757"/>
    </row>
    <row r="609">
      <c r="E609" s="757"/>
      <c r="F609" s="757"/>
      <c r="G609" s="757"/>
      <c r="K609" s="757"/>
      <c r="L609" s="757"/>
      <c r="M609" s="757"/>
      <c r="N609" s="757"/>
      <c r="O609" s="757"/>
      <c r="P609" s="757"/>
    </row>
    <row r="610">
      <c r="E610" s="757"/>
      <c r="F610" s="757"/>
      <c r="G610" s="757"/>
      <c r="K610" s="757"/>
      <c r="L610" s="757"/>
      <c r="M610" s="757"/>
      <c r="N610" s="757"/>
      <c r="O610" s="757"/>
      <c r="P610" s="757"/>
    </row>
    <row r="611">
      <c r="E611" s="757"/>
      <c r="F611" s="757"/>
      <c r="G611" s="757"/>
      <c r="K611" s="757"/>
      <c r="L611" s="757"/>
      <c r="M611" s="757"/>
      <c r="N611" s="757"/>
      <c r="O611" s="757"/>
      <c r="P611" s="757"/>
    </row>
    <row r="612">
      <c r="E612" s="757"/>
      <c r="F612" s="757"/>
      <c r="G612" s="757"/>
      <c r="K612" s="757"/>
      <c r="L612" s="757"/>
      <c r="M612" s="757"/>
      <c r="N612" s="757"/>
      <c r="O612" s="757"/>
      <c r="P612" s="757"/>
    </row>
    <row r="613">
      <c r="E613" s="757"/>
      <c r="F613" s="757"/>
      <c r="G613" s="757"/>
      <c r="K613" s="757"/>
      <c r="L613" s="757"/>
      <c r="M613" s="757"/>
      <c r="N613" s="757"/>
      <c r="O613" s="757"/>
      <c r="P613" s="757"/>
    </row>
    <row r="614">
      <c r="E614" s="757"/>
      <c r="F614" s="757"/>
      <c r="G614" s="757"/>
      <c r="K614" s="757"/>
      <c r="L614" s="757"/>
      <c r="M614" s="757"/>
      <c r="N614" s="757"/>
      <c r="O614" s="757"/>
      <c r="P614" s="757"/>
    </row>
    <row r="615">
      <c r="E615" s="757"/>
      <c r="F615" s="757"/>
      <c r="G615" s="757"/>
      <c r="K615" s="757"/>
      <c r="L615" s="757"/>
      <c r="M615" s="757"/>
      <c r="N615" s="757"/>
      <c r="O615" s="757"/>
      <c r="P615" s="757"/>
    </row>
    <row r="616">
      <c r="E616" s="757"/>
      <c r="F616" s="757"/>
      <c r="G616" s="757"/>
      <c r="K616" s="757"/>
      <c r="L616" s="757"/>
      <c r="M616" s="757"/>
      <c r="N616" s="757"/>
      <c r="O616" s="757"/>
      <c r="P616" s="757"/>
    </row>
    <row r="617">
      <c r="E617" s="757"/>
      <c r="F617" s="757"/>
      <c r="G617" s="757"/>
      <c r="K617" s="757"/>
      <c r="L617" s="757"/>
      <c r="M617" s="757"/>
      <c r="N617" s="757"/>
      <c r="O617" s="757"/>
      <c r="P617" s="757"/>
    </row>
    <row r="618">
      <c r="E618" s="757"/>
      <c r="F618" s="757"/>
      <c r="G618" s="757"/>
      <c r="K618" s="757"/>
      <c r="L618" s="757"/>
      <c r="M618" s="757"/>
      <c r="N618" s="757"/>
      <c r="O618" s="757"/>
      <c r="P618" s="757"/>
    </row>
    <row r="619">
      <c r="E619" s="757"/>
      <c r="F619" s="757"/>
      <c r="G619" s="757"/>
      <c r="K619" s="757"/>
      <c r="L619" s="757"/>
      <c r="M619" s="757"/>
      <c r="N619" s="757"/>
      <c r="O619" s="757"/>
      <c r="P619" s="757"/>
    </row>
    <row r="620">
      <c r="E620" s="757"/>
      <c r="F620" s="757"/>
      <c r="G620" s="757"/>
      <c r="K620" s="757"/>
      <c r="L620" s="757"/>
      <c r="M620" s="757"/>
      <c r="N620" s="757"/>
      <c r="O620" s="757"/>
      <c r="P620" s="757"/>
    </row>
    <row r="621">
      <c r="E621" s="757"/>
      <c r="F621" s="757"/>
      <c r="G621" s="757"/>
      <c r="K621" s="757"/>
      <c r="L621" s="757"/>
      <c r="M621" s="757"/>
      <c r="N621" s="757"/>
      <c r="O621" s="757"/>
      <c r="P621" s="757"/>
    </row>
    <row r="622">
      <c r="E622" s="757"/>
      <c r="F622" s="757"/>
      <c r="G622" s="757"/>
      <c r="K622" s="757"/>
      <c r="L622" s="757"/>
      <c r="M622" s="757"/>
      <c r="N622" s="757"/>
      <c r="O622" s="757"/>
      <c r="P622" s="757"/>
    </row>
    <row r="623">
      <c r="E623" s="757"/>
      <c r="F623" s="757"/>
      <c r="G623" s="757"/>
      <c r="K623" s="757"/>
      <c r="L623" s="757"/>
      <c r="M623" s="757"/>
      <c r="N623" s="757"/>
      <c r="O623" s="757"/>
      <c r="P623" s="757"/>
    </row>
    <row r="624">
      <c r="E624" s="757"/>
      <c r="F624" s="757"/>
      <c r="G624" s="757"/>
      <c r="K624" s="757"/>
      <c r="L624" s="757"/>
      <c r="M624" s="757"/>
      <c r="N624" s="757"/>
      <c r="O624" s="757"/>
      <c r="P624" s="757"/>
    </row>
    <row r="625">
      <c r="E625" s="757"/>
      <c r="F625" s="757"/>
      <c r="G625" s="757"/>
      <c r="K625" s="757"/>
      <c r="L625" s="757"/>
      <c r="M625" s="757"/>
      <c r="N625" s="757"/>
      <c r="O625" s="757"/>
      <c r="P625" s="757"/>
    </row>
    <row r="626">
      <c r="E626" s="757"/>
      <c r="F626" s="757"/>
      <c r="G626" s="757"/>
      <c r="K626" s="757"/>
      <c r="L626" s="757"/>
      <c r="M626" s="757"/>
      <c r="N626" s="757"/>
      <c r="O626" s="757"/>
      <c r="P626" s="757"/>
    </row>
    <row r="627">
      <c r="E627" s="757"/>
      <c r="F627" s="757"/>
      <c r="G627" s="757"/>
      <c r="K627" s="757"/>
      <c r="L627" s="757"/>
      <c r="M627" s="757"/>
      <c r="N627" s="757"/>
      <c r="O627" s="757"/>
      <c r="P627" s="757"/>
    </row>
    <row r="628">
      <c r="E628" s="757"/>
      <c r="F628" s="757"/>
      <c r="G628" s="757"/>
      <c r="K628" s="757"/>
      <c r="L628" s="757"/>
      <c r="M628" s="757"/>
      <c r="N628" s="757"/>
      <c r="O628" s="757"/>
      <c r="P628" s="757"/>
    </row>
    <row r="629">
      <c r="E629" s="757"/>
      <c r="F629" s="757"/>
      <c r="G629" s="757"/>
      <c r="K629" s="757"/>
      <c r="L629" s="757"/>
      <c r="M629" s="757"/>
      <c r="N629" s="757"/>
      <c r="O629" s="757"/>
      <c r="P629" s="757"/>
    </row>
    <row r="630">
      <c r="E630" s="757"/>
      <c r="F630" s="757"/>
      <c r="G630" s="757"/>
      <c r="K630" s="757"/>
      <c r="L630" s="757"/>
      <c r="M630" s="757"/>
      <c r="N630" s="757"/>
      <c r="O630" s="757"/>
      <c r="P630" s="757"/>
    </row>
    <row r="631">
      <c r="E631" s="757"/>
      <c r="F631" s="757"/>
      <c r="G631" s="757"/>
      <c r="K631" s="757"/>
      <c r="L631" s="757"/>
      <c r="M631" s="757"/>
      <c r="N631" s="757"/>
      <c r="O631" s="757"/>
      <c r="P631" s="757"/>
    </row>
    <row r="632">
      <c r="E632" s="757"/>
      <c r="F632" s="757"/>
      <c r="G632" s="757"/>
      <c r="K632" s="757"/>
      <c r="L632" s="757"/>
      <c r="M632" s="757"/>
      <c r="N632" s="757"/>
      <c r="O632" s="757"/>
      <c r="P632" s="757"/>
    </row>
    <row r="633">
      <c r="E633" s="757"/>
      <c r="F633" s="757"/>
      <c r="G633" s="757"/>
      <c r="K633" s="757"/>
      <c r="L633" s="757"/>
      <c r="M633" s="757"/>
      <c r="N633" s="757"/>
      <c r="O633" s="757"/>
      <c r="P633" s="757"/>
    </row>
    <row r="634">
      <c r="E634" s="757"/>
      <c r="F634" s="757"/>
      <c r="G634" s="757"/>
      <c r="K634" s="757"/>
      <c r="L634" s="757"/>
      <c r="M634" s="757"/>
      <c r="N634" s="757"/>
      <c r="O634" s="757"/>
      <c r="P634" s="757"/>
    </row>
    <row r="635">
      <c r="E635" s="757"/>
      <c r="F635" s="757"/>
      <c r="G635" s="757"/>
      <c r="K635" s="757"/>
      <c r="L635" s="757"/>
      <c r="M635" s="757"/>
      <c r="N635" s="757"/>
      <c r="O635" s="757"/>
      <c r="P635" s="757"/>
    </row>
    <row r="636">
      <c r="E636" s="757"/>
      <c r="F636" s="757"/>
      <c r="G636" s="757"/>
      <c r="K636" s="757"/>
      <c r="L636" s="757"/>
      <c r="M636" s="757"/>
      <c r="N636" s="757"/>
      <c r="O636" s="757"/>
      <c r="P636" s="757"/>
    </row>
    <row r="637">
      <c r="E637" s="757"/>
      <c r="F637" s="757"/>
      <c r="G637" s="757"/>
      <c r="K637" s="757"/>
      <c r="L637" s="757"/>
      <c r="M637" s="757"/>
      <c r="N637" s="757"/>
      <c r="O637" s="757"/>
      <c r="P637" s="757"/>
    </row>
    <row r="638">
      <c r="E638" s="757"/>
      <c r="F638" s="757"/>
      <c r="G638" s="757"/>
      <c r="K638" s="757"/>
      <c r="L638" s="757"/>
      <c r="M638" s="757"/>
      <c r="N638" s="757"/>
      <c r="O638" s="757"/>
      <c r="P638" s="757"/>
    </row>
    <row r="639">
      <c r="E639" s="757"/>
      <c r="F639" s="757"/>
      <c r="G639" s="757"/>
      <c r="K639" s="757"/>
      <c r="L639" s="757"/>
      <c r="M639" s="757"/>
      <c r="N639" s="757"/>
      <c r="O639" s="757"/>
      <c r="P639" s="757"/>
    </row>
    <row r="640">
      <c r="E640" s="757"/>
      <c r="F640" s="757"/>
      <c r="G640" s="757"/>
      <c r="K640" s="757"/>
      <c r="L640" s="757"/>
      <c r="M640" s="757"/>
      <c r="N640" s="757"/>
      <c r="O640" s="757"/>
      <c r="P640" s="757"/>
    </row>
    <row r="641">
      <c r="E641" s="757"/>
      <c r="F641" s="757"/>
      <c r="G641" s="757"/>
      <c r="K641" s="757"/>
      <c r="L641" s="757"/>
      <c r="M641" s="757"/>
      <c r="N641" s="757"/>
      <c r="O641" s="757"/>
      <c r="P641" s="757"/>
    </row>
    <row r="642">
      <c r="E642" s="757"/>
      <c r="F642" s="757"/>
      <c r="G642" s="757"/>
      <c r="K642" s="757"/>
      <c r="L642" s="757"/>
      <c r="M642" s="757"/>
      <c r="N642" s="757"/>
      <c r="O642" s="757"/>
      <c r="P642" s="757"/>
    </row>
    <row r="643">
      <c r="E643" s="757"/>
      <c r="F643" s="757"/>
      <c r="G643" s="757"/>
      <c r="K643" s="757"/>
      <c r="L643" s="757"/>
      <c r="M643" s="757"/>
      <c r="N643" s="757"/>
      <c r="O643" s="757"/>
      <c r="P643" s="757"/>
    </row>
    <row r="644">
      <c r="E644" s="757"/>
      <c r="F644" s="757"/>
      <c r="G644" s="757"/>
      <c r="K644" s="757"/>
      <c r="L644" s="757"/>
      <c r="M644" s="757"/>
      <c r="N644" s="757"/>
      <c r="O644" s="757"/>
      <c r="P644" s="757"/>
    </row>
    <row r="645">
      <c r="E645" s="757"/>
      <c r="F645" s="757"/>
      <c r="G645" s="757"/>
      <c r="K645" s="757"/>
      <c r="L645" s="757"/>
      <c r="M645" s="757"/>
      <c r="N645" s="757"/>
      <c r="O645" s="757"/>
      <c r="P645" s="757"/>
    </row>
    <row r="646">
      <c r="E646" s="757"/>
      <c r="F646" s="757"/>
      <c r="G646" s="757"/>
      <c r="K646" s="757"/>
      <c r="L646" s="757"/>
      <c r="M646" s="757"/>
      <c r="N646" s="757"/>
      <c r="O646" s="757"/>
      <c r="P646" s="757"/>
    </row>
    <row r="647">
      <c r="E647" s="757"/>
      <c r="F647" s="757"/>
      <c r="G647" s="757"/>
      <c r="K647" s="757"/>
      <c r="L647" s="757"/>
      <c r="M647" s="757"/>
      <c r="N647" s="757"/>
      <c r="O647" s="757"/>
      <c r="P647" s="757"/>
    </row>
    <row r="648">
      <c r="E648" s="757"/>
      <c r="F648" s="757"/>
      <c r="G648" s="757"/>
      <c r="K648" s="757"/>
      <c r="L648" s="757"/>
      <c r="M648" s="757"/>
      <c r="N648" s="757"/>
      <c r="O648" s="757"/>
      <c r="P648" s="757"/>
    </row>
    <row r="649">
      <c r="E649" s="757"/>
      <c r="F649" s="757"/>
      <c r="G649" s="757"/>
      <c r="K649" s="757"/>
      <c r="L649" s="757"/>
      <c r="M649" s="757"/>
      <c r="N649" s="757"/>
      <c r="O649" s="757"/>
      <c r="P649" s="757"/>
    </row>
    <row r="650">
      <c r="E650" s="757"/>
      <c r="F650" s="757"/>
      <c r="G650" s="757"/>
      <c r="K650" s="757"/>
      <c r="L650" s="757"/>
      <c r="M650" s="757"/>
      <c r="N650" s="757"/>
      <c r="O650" s="757"/>
      <c r="P650" s="757"/>
    </row>
    <row r="651">
      <c r="E651" s="757"/>
      <c r="F651" s="757"/>
      <c r="G651" s="757"/>
      <c r="K651" s="757"/>
      <c r="L651" s="757"/>
      <c r="M651" s="757"/>
      <c r="N651" s="757"/>
      <c r="O651" s="757"/>
      <c r="P651" s="757"/>
    </row>
    <row r="652">
      <c r="E652" s="757"/>
      <c r="F652" s="757"/>
      <c r="G652" s="757"/>
      <c r="K652" s="757"/>
      <c r="L652" s="757"/>
      <c r="M652" s="757"/>
      <c r="N652" s="757"/>
      <c r="O652" s="757"/>
      <c r="P652" s="757"/>
    </row>
    <row r="653">
      <c r="E653" s="757"/>
      <c r="F653" s="757"/>
      <c r="G653" s="757"/>
      <c r="K653" s="757"/>
      <c r="L653" s="757"/>
      <c r="M653" s="757"/>
      <c r="N653" s="757"/>
      <c r="O653" s="757"/>
      <c r="P653" s="757"/>
    </row>
    <row r="654">
      <c r="E654" s="757"/>
      <c r="F654" s="757"/>
      <c r="G654" s="757"/>
      <c r="K654" s="757"/>
      <c r="L654" s="757"/>
      <c r="M654" s="757"/>
      <c r="N654" s="757"/>
      <c r="O654" s="757"/>
      <c r="P654" s="757"/>
    </row>
    <row r="655">
      <c r="E655" s="757"/>
      <c r="F655" s="757"/>
      <c r="G655" s="757"/>
      <c r="K655" s="757"/>
      <c r="L655" s="757"/>
      <c r="M655" s="757"/>
      <c r="N655" s="757"/>
      <c r="O655" s="757"/>
      <c r="P655" s="757"/>
    </row>
    <row r="656">
      <c r="E656" s="757"/>
      <c r="F656" s="757"/>
      <c r="G656" s="757"/>
      <c r="K656" s="757"/>
      <c r="L656" s="757"/>
      <c r="M656" s="757"/>
      <c r="N656" s="757"/>
      <c r="O656" s="757"/>
      <c r="P656" s="757"/>
    </row>
    <row r="657">
      <c r="E657" s="757"/>
      <c r="F657" s="757"/>
      <c r="G657" s="757"/>
      <c r="K657" s="757"/>
      <c r="L657" s="757"/>
      <c r="M657" s="757"/>
      <c r="N657" s="757"/>
      <c r="O657" s="757"/>
      <c r="P657" s="757"/>
    </row>
    <row r="658">
      <c r="E658" s="757"/>
      <c r="F658" s="757"/>
      <c r="G658" s="757"/>
      <c r="K658" s="757"/>
      <c r="L658" s="757"/>
      <c r="M658" s="757"/>
      <c r="N658" s="757"/>
      <c r="O658" s="757"/>
      <c r="P658" s="757"/>
    </row>
    <row r="659">
      <c r="E659" s="757"/>
      <c r="F659" s="757"/>
      <c r="G659" s="757"/>
      <c r="K659" s="757"/>
      <c r="L659" s="757"/>
      <c r="M659" s="757"/>
      <c r="N659" s="757"/>
      <c r="O659" s="757"/>
      <c r="P659" s="757"/>
    </row>
    <row r="660">
      <c r="E660" s="757"/>
      <c r="F660" s="757"/>
      <c r="G660" s="757"/>
      <c r="K660" s="757"/>
      <c r="L660" s="757"/>
      <c r="M660" s="757"/>
      <c r="N660" s="757"/>
      <c r="O660" s="757"/>
      <c r="P660" s="757"/>
    </row>
    <row r="661">
      <c r="E661" s="757"/>
      <c r="F661" s="757"/>
      <c r="G661" s="757"/>
      <c r="K661" s="757"/>
      <c r="L661" s="757"/>
      <c r="M661" s="757"/>
      <c r="N661" s="757"/>
      <c r="O661" s="757"/>
      <c r="P661" s="757"/>
    </row>
    <row r="662">
      <c r="E662" s="757"/>
      <c r="F662" s="757"/>
      <c r="G662" s="757"/>
      <c r="K662" s="757"/>
      <c r="L662" s="757"/>
      <c r="M662" s="757"/>
      <c r="N662" s="757"/>
      <c r="O662" s="757"/>
      <c r="P662" s="757"/>
    </row>
    <row r="663">
      <c r="E663" s="757"/>
      <c r="F663" s="757"/>
      <c r="G663" s="757"/>
      <c r="K663" s="757"/>
      <c r="L663" s="757"/>
      <c r="M663" s="757"/>
      <c r="N663" s="757"/>
      <c r="O663" s="757"/>
      <c r="P663" s="757"/>
    </row>
    <row r="664">
      <c r="E664" s="757"/>
      <c r="F664" s="757"/>
      <c r="G664" s="757"/>
      <c r="K664" s="757"/>
      <c r="L664" s="757"/>
      <c r="M664" s="757"/>
      <c r="N664" s="757"/>
      <c r="O664" s="757"/>
      <c r="P664" s="757"/>
    </row>
    <row r="665">
      <c r="E665" s="757"/>
      <c r="F665" s="757"/>
      <c r="G665" s="757"/>
      <c r="K665" s="757"/>
      <c r="L665" s="757"/>
      <c r="M665" s="757"/>
      <c r="N665" s="757"/>
      <c r="O665" s="757"/>
      <c r="P665" s="757"/>
    </row>
    <row r="666">
      <c r="E666" s="757"/>
      <c r="F666" s="757"/>
      <c r="G666" s="757"/>
      <c r="K666" s="757"/>
      <c r="L666" s="757"/>
      <c r="M666" s="757"/>
      <c r="N666" s="757"/>
      <c r="O666" s="757"/>
      <c r="P666" s="757"/>
    </row>
    <row r="667">
      <c r="E667" s="757"/>
      <c r="F667" s="757"/>
      <c r="G667" s="757"/>
      <c r="K667" s="757"/>
      <c r="L667" s="757"/>
      <c r="M667" s="757"/>
      <c r="N667" s="757"/>
      <c r="O667" s="757"/>
      <c r="P667" s="757"/>
    </row>
    <row r="668">
      <c r="E668" s="757"/>
      <c r="F668" s="757"/>
      <c r="G668" s="757"/>
      <c r="K668" s="757"/>
      <c r="L668" s="757"/>
      <c r="M668" s="757"/>
      <c r="N668" s="757"/>
      <c r="O668" s="757"/>
      <c r="P668" s="757"/>
    </row>
    <row r="669">
      <c r="E669" s="757"/>
      <c r="F669" s="757"/>
      <c r="G669" s="757"/>
      <c r="K669" s="757"/>
      <c r="L669" s="757"/>
      <c r="M669" s="757"/>
      <c r="N669" s="757"/>
      <c r="O669" s="757"/>
      <c r="P669" s="757"/>
    </row>
    <row r="670">
      <c r="E670" s="757"/>
      <c r="F670" s="757"/>
      <c r="G670" s="757"/>
      <c r="K670" s="757"/>
      <c r="L670" s="757"/>
      <c r="M670" s="757"/>
      <c r="N670" s="757"/>
      <c r="O670" s="757"/>
      <c r="P670" s="757"/>
    </row>
    <row r="671">
      <c r="E671" s="757"/>
      <c r="F671" s="757"/>
      <c r="G671" s="757"/>
      <c r="K671" s="757"/>
      <c r="L671" s="757"/>
      <c r="M671" s="757"/>
      <c r="N671" s="757"/>
      <c r="O671" s="757"/>
      <c r="P671" s="757"/>
    </row>
    <row r="672">
      <c r="E672" s="757"/>
      <c r="F672" s="757"/>
      <c r="G672" s="757"/>
      <c r="K672" s="757"/>
      <c r="L672" s="757"/>
      <c r="M672" s="757"/>
      <c r="N672" s="757"/>
      <c r="O672" s="757"/>
      <c r="P672" s="757"/>
    </row>
    <row r="673">
      <c r="E673" s="757"/>
      <c r="F673" s="757"/>
      <c r="G673" s="757"/>
      <c r="K673" s="757"/>
      <c r="L673" s="757"/>
      <c r="M673" s="757"/>
      <c r="N673" s="757"/>
      <c r="O673" s="757"/>
      <c r="P673" s="757"/>
    </row>
    <row r="674">
      <c r="E674" s="757"/>
      <c r="F674" s="757"/>
      <c r="G674" s="757"/>
      <c r="K674" s="757"/>
      <c r="L674" s="757"/>
      <c r="M674" s="757"/>
      <c r="N674" s="757"/>
      <c r="O674" s="757"/>
      <c r="P674" s="757"/>
    </row>
    <row r="675">
      <c r="E675" s="757"/>
      <c r="F675" s="757"/>
      <c r="G675" s="757"/>
      <c r="K675" s="757"/>
      <c r="L675" s="757"/>
      <c r="M675" s="757"/>
      <c r="N675" s="757"/>
      <c r="O675" s="757"/>
      <c r="P675" s="757"/>
    </row>
    <row r="676">
      <c r="E676" s="757"/>
      <c r="F676" s="757"/>
      <c r="G676" s="757"/>
      <c r="K676" s="757"/>
      <c r="L676" s="757"/>
      <c r="M676" s="757"/>
      <c r="N676" s="757"/>
      <c r="O676" s="757"/>
      <c r="P676" s="757"/>
    </row>
    <row r="677">
      <c r="E677" s="757"/>
      <c r="F677" s="757"/>
      <c r="G677" s="757"/>
      <c r="K677" s="757"/>
      <c r="L677" s="757"/>
      <c r="M677" s="757"/>
      <c r="N677" s="757"/>
      <c r="O677" s="757"/>
      <c r="P677" s="757"/>
    </row>
    <row r="678">
      <c r="E678" s="757"/>
      <c r="F678" s="757"/>
      <c r="G678" s="757"/>
      <c r="K678" s="757"/>
      <c r="L678" s="757"/>
      <c r="M678" s="757"/>
      <c r="N678" s="757"/>
      <c r="O678" s="757"/>
      <c r="P678" s="757"/>
    </row>
    <row r="679">
      <c r="E679" s="757"/>
      <c r="F679" s="757"/>
      <c r="G679" s="757"/>
      <c r="K679" s="757"/>
      <c r="L679" s="757"/>
      <c r="M679" s="757"/>
      <c r="N679" s="757"/>
      <c r="O679" s="757"/>
      <c r="P679" s="757"/>
    </row>
    <row r="680">
      <c r="E680" s="757"/>
      <c r="F680" s="757"/>
      <c r="G680" s="757"/>
      <c r="K680" s="757"/>
      <c r="L680" s="757"/>
      <c r="M680" s="757"/>
      <c r="N680" s="757"/>
      <c r="O680" s="757"/>
      <c r="P680" s="757"/>
    </row>
    <row r="681">
      <c r="E681" s="757"/>
      <c r="F681" s="757"/>
      <c r="G681" s="757"/>
      <c r="K681" s="757"/>
      <c r="L681" s="757"/>
      <c r="M681" s="757"/>
      <c r="N681" s="757"/>
      <c r="O681" s="757"/>
      <c r="P681" s="757"/>
    </row>
    <row r="682">
      <c r="E682" s="757"/>
      <c r="F682" s="757"/>
      <c r="G682" s="757"/>
      <c r="K682" s="757"/>
      <c r="L682" s="757"/>
      <c r="M682" s="757"/>
      <c r="N682" s="757"/>
      <c r="O682" s="757"/>
      <c r="P682" s="757"/>
    </row>
    <row r="683">
      <c r="E683" s="757"/>
      <c r="F683" s="757"/>
      <c r="G683" s="757"/>
      <c r="K683" s="757"/>
      <c r="L683" s="757"/>
      <c r="M683" s="757"/>
      <c r="N683" s="757"/>
      <c r="O683" s="757"/>
      <c r="P683" s="757"/>
    </row>
    <row r="684">
      <c r="E684" s="757"/>
      <c r="F684" s="757"/>
      <c r="G684" s="757"/>
      <c r="K684" s="757"/>
      <c r="L684" s="757"/>
      <c r="M684" s="757"/>
      <c r="N684" s="757"/>
      <c r="O684" s="757"/>
      <c r="P684" s="757"/>
    </row>
    <row r="685">
      <c r="E685" s="757"/>
      <c r="F685" s="757"/>
      <c r="G685" s="757"/>
      <c r="K685" s="757"/>
      <c r="L685" s="757"/>
      <c r="M685" s="757"/>
      <c r="N685" s="757"/>
      <c r="O685" s="757"/>
      <c r="P685" s="757"/>
    </row>
    <row r="686">
      <c r="E686" s="757"/>
      <c r="F686" s="757"/>
      <c r="G686" s="757"/>
      <c r="K686" s="757"/>
      <c r="L686" s="757"/>
      <c r="M686" s="757"/>
      <c r="N686" s="757"/>
      <c r="O686" s="757"/>
      <c r="P686" s="757"/>
    </row>
    <row r="687">
      <c r="E687" s="757"/>
      <c r="F687" s="757"/>
      <c r="G687" s="757"/>
      <c r="K687" s="757"/>
      <c r="L687" s="757"/>
      <c r="M687" s="757"/>
      <c r="N687" s="757"/>
      <c r="O687" s="757"/>
      <c r="P687" s="757"/>
    </row>
    <row r="688">
      <c r="E688" s="757"/>
      <c r="F688" s="757"/>
      <c r="G688" s="757"/>
      <c r="K688" s="757"/>
      <c r="L688" s="757"/>
      <c r="M688" s="757"/>
      <c r="N688" s="757"/>
      <c r="O688" s="757"/>
      <c r="P688" s="757"/>
    </row>
    <row r="689">
      <c r="E689" s="757"/>
      <c r="F689" s="757"/>
      <c r="G689" s="757"/>
      <c r="K689" s="757"/>
      <c r="L689" s="757"/>
      <c r="M689" s="757"/>
      <c r="N689" s="757"/>
      <c r="O689" s="757"/>
      <c r="P689" s="757"/>
    </row>
    <row r="690">
      <c r="E690" s="757"/>
      <c r="F690" s="757"/>
      <c r="G690" s="757"/>
      <c r="K690" s="757"/>
      <c r="L690" s="757"/>
      <c r="M690" s="757"/>
      <c r="N690" s="757"/>
      <c r="O690" s="757"/>
      <c r="P690" s="757"/>
    </row>
    <row r="691">
      <c r="E691" s="757"/>
      <c r="F691" s="757"/>
      <c r="G691" s="757"/>
      <c r="K691" s="757"/>
      <c r="L691" s="757"/>
      <c r="M691" s="757"/>
      <c r="N691" s="757"/>
      <c r="O691" s="757"/>
      <c r="P691" s="757"/>
    </row>
    <row r="692">
      <c r="E692" s="757"/>
      <c r="F692" s="757"/>
      <c r="G692" s="757"/>
      <c r="K692" s="757"/>
      <c r="L692" s="757"/>
      <c r="M692" s="757"/>
      <c r="N692" s="757"/>
      <c r="O692" s="757"/>
      <c r="P692" s="757"/>
    </row>
    <row r="693">
      <c r="E693" s="757"/>
      <c r="F693" s="757"/>
      <c r="G693" s="757"/>
      <c r="K693" s="757"/>
      <c r="L693" s="757"/>
      <c r="M693" s="757"/>
      <c r="N693" s="757"/>
      <c r="O693" s="757"/>
      <c r="P693" s="757"/>
    </row>
    <row r="694">
      <c r="E694" s="757"/>
      <c r="F694" s="757"/>
      <c r="G694" s="757"/>
      <c r="K694" s="757"/>
      <c r="L694" s="757"/>
      <c r="M694" s="757"/>
      <c r="N694" s="757"/>
      <c r="O694" s="757"/>
      <c r="P694" s="757"/>
    </row>
    <row r="695">
      <c r="E695" s="757"/>
      <c r="F695" s="757"/>
      <c r="G695" s="757"/>
      <c r="K695" s="757"/>
      <c r="L695" s="757"/>
      <c r="M695" s="757"/>
      <c r="N695" s="757"/>
      <c r="O695" s="757"/>
      <c r="P695" s="757"/>
    </row>
    <row r="696">
      <c r="E696" s="757"/>
      <c r="F696" s="757"/>
      <c r="G696" s="757"/>
      <c r="K696" s="757"/>
      <c r="L696" s="757"/>
      <c r="M696" s="757"/>
      <c r="N696" s="757"/>
      <c r="O696" s="757"/>
      <c r="P696" s="757"/>
    </row>
    <row r="697">
      <c r="E697" s="757"/>
      <c r="F697" s="757"/>
      <c r="G697" s="757"/>
      <c r="K697" s="757"/>
      <c r="L697" s="757"/>
      <c r="M697" s="757"/>
      <c r="N697" s="757"/>
      <c r="O697" s="757"/>
      <c r="P697" s="757"/>
    </row>
    <row r="698">
      <c r="E698" s="757"/>
      <c r="F698" s="757"/>
      <c r="G698" s="757"/>
      <c r="K698" s="757"/>
      <c r="L698" s="757"/>
      <c r="M698" s="757"/>
      <c r="N698" s="757"/>
      <c r="O698" s="757"/>
      <c r="P698" s="757"/>
    </row>
    <row r="699">
      <c r="E699" s="757"/>
      <c r="F699" s="757"/>
      <c r="G699" s="757"/>
      <c r="K699" s="757"/>
      <c r="L699" s="757"/>
      <c r="M699" s="757"/>
      <c r="N699" s="757"/>
      <c r="O699" s="757"/>
      <c r="P699" s="757"/>
    </row>
    <row r="700">
      <c r="E700" s="757"/>
      <c r="F700" s="757"/>
      <c r="G700" s="757"/>
      <c r="K700" s="757"/>
      <c r="L700" s="757"/>
      <c r="M700" s="757"/>
      <c r="N700" s="757"/>
      <c r="O700" s="757"/>
      <c r="P700" s="757"/>
    </row>
    <row r="701">
      <c r="E701" s="757"/>
      <c r="F701" s="757"/>
      <c r="G701" s="757"/>
      <c r="K701" s="757"/>
      <c r="L701" s="757"/>
      <c r="M701" s="757"/>
      <c r="N701" s="757"/>
      <c r="O701" s="757"/>
      <c r="P701" s="757"/>
    </row>
    <row r="702">
      <c r="E702" s="757"/>
      <c r="F702" s="757"/>
      <c r="G702" s="757"/>
      <c r="K702" s="757"/>
      <c r="L702" s="757"/>
      <c r="M702" s="757"/>
      <c r="N702" s="757"/>
      <c r="O702" s="757"/>
      <c r="P702" s="757"/>
    </row>
    <row r="703">
      <c r="E703" s="757"/>
      <c r="F703" s="757"/>
      <c r="G703" s="757"/>
      <c r="K703" s="757"/>
      <c r="L703" s="757"/>
      <c r="M703" s="757"/>
      <c r="N703" s="757"/>
      <c r="O703" s="757"/>
      <c r="P703" s="757"/>
    </row>
    <row r="704">
      <c r="E704" s="757"/>
      <c r="F704" s="757"/>
      <c r="G704" s="757"/>
      <c r="K704" s="757"/>
      <c r="L704" s="757"/>
      <c r="M704" s="757"/>
      <c r="N704" s="757"/>
      <c r="O704" s="757"/>
      <c r="P704" s="757"/>
    </row>
    <row r="705">
      <c r="E705" s="757"/>
      <c r="F705" s="757"/>
      <c r="G705" s="757"/>
      <c r="K705" s="757"/>
      <c r="L705" s="757"/>
      <c r="M705" s="757"/>
      <c r="N705" s="757"/>
      <c r="O705" s="757"/>
      <c r="P705" s="757"/>
    </row>
    <row r="706">
      <c r="E706" s="757"/>
      <c r="F706" s="757"/>
      <c r="G706" s="757"/>
      <c r="K706" s="757"/>
      <c r="L706" s="757"/>
      <c r="M706" s="757"/>
      <c r="N706" s="757"/>
      <c r="O706" s="757"/>
      <c r="P706" s="757"/>
    </row>
    <row r="707">
      <c r="E707" s="757"/>
      <c r="F707" s="757"/>
      <c r="G707" s="757"/>
      <c r="K707" s="757"/>
      <c r="L707" s="757"/>
      <c r="M707" s="757"/>
      <c r="N707" s="757"/>
      <c r="O707" s="757"/>
      <c r="P707" s="757"/>
    </row>
    <row r="708">
      <c r="E708" s="757"/>
      <c r="F708" s="757"/>
      <c r="G708" s="757"/>
      <c r="K708" s="757"/>
      <c r="L708" s="757"/>
      <c r="M708" s="757"/>
      <c r="N708" s="757"/>
      <c r="O708" s="757"/>
      <c r="P708" s="757"/>
    </row>
    <row r="709">
      <c r="E709" s="757"/>
      <c r="F709" s="757"/>
      <c r="G709" s="757"/>
      <c r="K709" s="757"/>
      <c r="L709" s="757"/>
      <c r="M709" s="757"/>
      <c r="N709" s="757"/>
      <c r="O709" s="757"/>
      <c r="P709" s="757"/>
    </row>
    <row r="710">
      <c r="E710" s="757"/>
      <c r="F710" s="757"/>
      <c r="G710" s="757"/>
      <c r="K710" s="757"/>
      <c r="L710" s="757"/>
      <c r="M710" s="757"/>
      <c r="N710" s="757"/>
      <c r="O710" s="757"/>
      <c r="P710" s="757"/>
    </row>
    <row r="711">
      <c r="E711" s="757"/>
      <c r="F711" s="757"/>
      <c r="G711" s="757"/>
      <c r="K711" s="757"/>
      <c r="L711" s="757"/>
      <c r="M711" s="757"/>
      <c r="N711" s="757"/>
      <c r="O711" s="757"/>
      <c r="P711" s="757"/>
    </row>
    <row r="712">
      <c r="E712" s="757"/>
      <c r="F712" s="757"/>
      <c r="G712" s="757"/>
      <c r="K712" s="757"/>
      <c r="L712" s="757"/>
      <c r="M712" s="757"/>
      <c r="N712" s="757"/>
      <c r="O712" s="757"/>
      <c r="P712" s="757"/>
    </row>
    <row r="713">
      <c r="E713" s="757"/>
      <c r="F713" s="757"/>
      <c r="G713" s="757"/>
      <c r="K713" s="757"/>
      <c r="L713" s="757"/>
      <c r="M713" s="757"/>
      <c r="N713" s="757"/>
      <c r="O713" s="757"/>
      <c r="P713" s="757"/>
    </row>
    <row r="714">
      <c r="E714" s="757"/>
      <c r="F714" s="757"/>
      <c r="G714" s="757"/>
      <c r="K714" s="757"/>
      <c r="L714" s="757"/>
      <c r="M714" s="757"/>
      <c r="N714" s="757"/>
      <c r="O714" s="757"/>
      <c r="P714" s="757"/>
    </row>
    <row r="715">
      <c r="E715" s="757"/>
      <c r="F715" s="757"/>
      <c r="G715" s="757"/>
      <c r="K715" s="757"/>
      <c r="L715" s="757"/>
      <c r="M715" s="757"/>
      <c r="N715" s="757"/>
      <c r="O715" s="757"/>
      <c r="P715" s="757"/>
    </row>
    <row r="716">
      <c r="E716" s="757"/>
      <c r="F716" s="757"/>
      <c r="G716" s="757"/>
      <c r="K716" s="757"/>
      <c r="L716" s="757"/>
      <c r="M716" s="757"/>
      <c r="N716" s="757"/>
      <c r="O716" s="757"/>
      <c r="P716" s="757"/>
    </row>
    <row r="717">
      <c r="E717" s="757"/>
      <c r="F717" s="757"/>
      <c r="G717" s="757"/>
      <c r="K717" s="757"/>
      <c r="L717" s="757"/>
      <c r="M717" s="757"/>
      <c r="N717" s="757"/>
      <c r="O717" s="757"/>
      <c r="P717" s="757"/>
    </row>
    <row r="718">
      <c r="E718" s="757"/>
      <c r="F718" s="757"/>
      <c r="G718" s="757"/>
      <c r="K718" s="757"/>
      <c r="L718" s="757"/>
      <c r="M718" s="757"/>
      <c r="N718" s="757"/>
      <c r="O718" s="757"/>
      <c r="P718" s="757"/>
    </row>
    <row r="719">
      <c r="E719" s="757"/>
      <c r="F719" s="757"/>
      <c r="G719" s="757"/>
      <c r="K719" s="757"/>
      <c r="L719" s="757"/>
      <c r="M719" s="757"/>
      <c r="N719" s="757"/>
      <c r="O719" s="757"/>
      <c r="P719" s="757"/>
    </row>
    <row r="720">
      <c r="E720" s="757"/>
      <c r="F720" s="757"/>
      <c r="G720" s="757"/>
      <c r="K720" s="757"/>
      <c r="L720" s="757"/>
      <c r="M720" s="757"/>
      <c r="N720" s="757"/>
      <c r="O720" s="757"/>
      <c r="P720" s="757"/>
    </row>
    <row r="721">
      <c r="E721" s="757"/>
      <c r="F721" s="757"/>
      <c r="G721" s="757"/>
      <c r="K721" s="757"/>
      <c r="L721" s="757"/>
      <c r="M721" s="757"/>
      <c r="N721" s="757"/>
      <c r="O721" s="757"/>
      <c r="P721" s="757"/>
    </row>
    <row r="722">
      <c r="E722" s="757"/>
      <c r="F722" s="757"/>
      <c r="G722" s="757"/>
      <c r="K722" s="757"/>
      <c r="L722" s="757"/>
      <c r="M722" s="757"/>
      <c r="N722" s="757"/>
      <c r="O722" s="757"/>
      <c r="P722" s="757"/>
    </row>
    <row r="723">
      <c r="E723" s="757"/>
      <c r="F723" s="757"/>
      <c r="G723" s="757"/>
      <c r="K723" s="757"/>
      <c r="L723" s="757"/>
      <c r="M723" s="757"/>
      <c r="N723" s="757"/>
      <c r="O723" s="757"/>
      <c r="P723" s="757"/>
    </row>
    <row r="724">
      <c r="E724" s="757"/>
      <c r="F724" s="757"/>
      <c r="G724" s="757"/>
      <c r="K724" s="757"/>
      <c r="L724" s="757"/>
      <c r="M724" s="757"/>
      <c r="N724" s="757"/>
      <c r="O724" s="757"/>
      <c r="P724" s="757"/>
    </row>
    <row r="725">
      <c r="E725" s="757"/>
      <c r="F725" s="757"/>
      <c r="G725" s="757"/>
      <c r="K725" s="757"/>
      <c r="L725" s="757"/>
      <c r="M725" s="757"/>
      <c r="N725" s="757"/>
      <c r="O725" s="757"/>
      <c r="P725" s="757"/>
    </row>
    <row r="726">
      <c r="E726" s="757"/>
      <c r="F726" s="757"/>
      <c r="G726" s="757"/>
      <c r="K726" s="757"/>
      <c r="L726" s="757"/>
      <c r="M726" s="757"/>
      <c r="N726" s="757"/>
      <c r="O726" s="757"/>
      <c r="P726" s="757"/>
    </row>
    <row r="727">
      <c r="E727" s="757"/>
      <c r="F727" s="757"/>
      <c r="G727" s="757"/>
      <c r="K727" s="757"/>
      <c r="L727" s="757"/>
      <c r="M727" s="757"/>
      <c r="N727" s="757"/>
      <c r="O727" s="757"/>
      <c r="P727" s="757"/>
    </row>
    <row r="728">
      <c r="E728" s="757"/>
      <c r="F728" s="757"/>
      <c r="G728" s="757"/>
      <c r="K728" s="757"/>
      <c r="L728" s="757"/>
      <c r="M728" s="757"/>
      <c r="N728" s="757"/>
      <c r="O728" s="757"/>
      <c r="P728" s="757"/>
    </row>
    <row r="729">
      <c r="E729" s="757"/>
      <c r="F729" s="757"/>
      <c r="G729" s="757"/>
      <c r="K729" s="757"/>
      <c r="L729" s="757"/>
      <c r="M729" s="757"/>
      <c r="N729" s="757"/>
      <c r="O729" s="757"/>
      <c r="P729" s="757"/>
    </row>
    <row r="730">
      <c r="E730" s="757"/>
      <c r="F730" s="757"/>
      <c r="G730" s="757"/>
      <c r="K730" s="757"/>
      <c r="L730" s="757"/>
      <c r="M730" s="757"/>
      <c r="N730" s="757"/>
      <c r="O730" s="757"/>
      <c r="P730" s="757"/>
    </row>
    <row r="731">
      <c r="E731" s="757"/>
      <c r="F731" s="757"/>
      <c r="G731" s="757"/>
      <c r="K731" s="757"/>
      <c r="L731" s="757"/>
      <c r="M731" s="757"/>
      <c r="N731" s="757"/>
      <c r="O731" s="757"/>
      <c r="P731" s="757"/>
    </row>
    <row r="732">
      <c r="E732" s="757"/>
      <c r="F732" s="757"/>
      <c r="G732" s="757"/>
      <c r="K732" s="757"/>
      <c r="L732" s="757"/>
      <c r="M732" s="757"/>
      <c r="N732" s="757"/>
      <c r="O732" s="757"/>
      <c r="P732" s="757"/>
    </row>
    <row r="733">
      <c r="E733" s="757"/>
      <c r="F733" s="757"/>
      <c r="G733" s="757"/>
      <c r="K733" s="757"/>
      <c r="L733" s="757"/>
      <c r="M733" s="757"/>
      <c r="N733" s="757"/>
      <c r="O733" s="757"/>
      <c r="P733" s="757"/>
    </row>
    <row r="734">
      <c r="E734" s="757"/>
      <c r="F734" s="757"/>
      <c r="G734" s="757"/>
      <c r="K734" s="757"/>
      <c r="L734" s="757"/>
      <c r="M734" s="757"/>
      <c r="N734" s="757"/>
      <c r="O734" s="757"/>
      <c r="P734" s="757"/>
    </row>
    <row r="735">
      <c r="E735" s="757"/>
      <c r="F735" s="757"/>
      <c r="G735" s="757"/>
      <c r="K735" s="757"/>
      <c r="L735" s="757"/>
      <c r="M735" s="757"/>
      <c r="N735" s="757"/>
      <c r="O735" s="757"/>
      <c r="P735" s="757"/>
    </row>
    <row r="736">
      <c r="E736" s="757"/>
      <c r="F736" s="757"/>
      <c r="G736" s="757"/>
      <c r="K736" s="757"/>
      <c r="L736" s="757"/>
      <c r="M736" s="757"/>
      <c r="N736" s="757"/>
      <c r="O736" s="757"/>
      <c r="P736" s="757"/>
    </row>
    <row r="737">
      <c r="E737" s="757"/>
      <c r="F737" s="757"/>
      <c r="G737" s="757"/>
      <c r="K737" s="757"/>
      <c r="L737" s="757"/>
      <c r="M737" s="757"/>
      <c r="N737" s="757"/>
      <c r="O737" s="757"/>
      <c r="P737" s="757"/>
    </row>
    <row r="738">
      <c r="E738" s="757"/>
      <c r="F738" s="757"/>
      <c r="G738" s="757"/>
      <c r="K738" s="757"/>
      <c r="L738" s="757"/>
      <c r="M738" s="757"/>
      <c r="N738" s="757"/>
      <c r="O738" s="757"/>
      <c r="P738" s="757"/>
    </row>
    <row r="739">
      <c r="E739" s="757"/>
      <c r="F739" s="757"/>
      <c r="G739" s="757"/>
      <c r="K739" s="757"/>
      <c r="L739" s="757"/>
      <c r="M739" s="757"/>
      <c r="N739" s="757"/>
      <c r="O739" s="757"/>
      <c r="P739" s="757"/>
    </row>
    <row r="740">
      <c r="E740" s="757"/>
      <c r="F740" s="757"/>
      <c r="G740" s="757"/>
      <c r="K740" s="757"/>
      <c r="L740" s="757"/>
      <c r="M740" s="757"/>
      <c r="N740" s="757"/>
      <c r="O740" s="757"/>
      <c r="P740" s="757"/>
    </row>
    <row r="741">
      <c r="E741" s="757"/>
      <c r="F741" s="757"/>
      <c r="G741" s="757"/>
      <c r="K741" s="757"/>
      <c r="L741" s="757"/>
      <c r="M741" s="757"/>
      <c r="N741" s="757"/>
      <c r="O741" s="757"/>
      <c r="P741" s="757"/>
    </row>
    <row r="742">
      <c r="E742" s="757"/>
      <c r="F742" s="757"/>
      <c r="G742" s="757"/>
      <c r="K742" s="757"/>
      <c r="L742" s="757"/>
      <c r="M742" s="757"/>
      <c r="N742" s="757"/>
      <c r="O742" s="757"/>
      <c r="P742" s="757"/>
    </row>
    <row r="743">
      <c r="E743" s="757"/>
      <c r="F743" s="757"/>
      <c r="G743" s="757"/>
      <c r="K743" s="757"/>
      <c r="L743" s="757"/>
      <c r="M743" s="757"/>
      <c r="N743" s="757"/>
      <c r="O743" s="757"/>
      <c r="P743" s="757"/>
    </row>
    <row r="744">
      <c r="E744" s="757"/>
      <c r="F744" s="757"/>
      <c r="G744" s="757"/>
      <c r="K744" s="757"/>
      <c r="L744" s="757"/>
      <c r="M744" s="757"/>
      <c r="N744" s="757"/>
      <c r="O744" s="757"/>
      <c r="P744" s="757"/>
    </row>
    <row r="745">
      <c r="E745" s="757"/>
      <c r="F745" s="757"/>
      <c r="G745" s="757"/>
      <c r="K745" s="757"/>
      <c r="L745" s="757"/>
      <c r="M745" s="757"/>
      <c r="N745" s="757"/>
      <c r="O745" s="757"/>
      <c r="P745" s="757"/>
    </row>
    <row r="746">
      <c r="E746" s="757"/>
      <c r="F746" s="757"/>
      <c r="G746" s="757"/>
      <c r="K746" s="757"/>
      <c r="L746" s="757"/>
      <c r="M746" s="757"/>
      <c r="N746" s="757"/>
      <c r="O746" s="757"/>
      <c r="P746" s="757"/>
    </row>
    <row r="747">
      <c r="E747" s="757"/>
      <c r="F747" s="757"/>
      <c r="G747" s="757"/>
      <c r="K747" s="757"/>
      <c r="L747" s="757"/>
      <c r="M747" s="757"/>
      <c r="N747" s="757"/>
      <c r="O747" s="757"/>
      <c r="P747" s="757"/>
    </row>
    <row r="748">
      <c r="E748" s="757"/>
      <c r="F748" s="757"/>
      <c r="G748" s="757"/>
      <c r="K748" s="757"/>
      <c r="L748" s="757"/>
      <c r="M748" s="757"/>
      <c r="N748" s="757"/>
      <c r="O748" s="757"/>
      <c r="P748" s="757"/>
    </row>
    <row r="749">
      <c r="E749" s="757"/>
      <c r="F749" s="757"/>
      <c r="G749" s="757"/>
      <c r="K749" s="757"/>
      <c r="L749" s="757"/>
      <c r="M749" s="757"/>
      <c r="N749" s="757"/>
      <c r="O749" s="757"/>
      <c r="P749" s="757"/>
    </row>
    <row r="750">
      <c r="E750" s="757"/>
      <c r="F750" s="757"/>
      <c r="G750" s="757"/>
      <c r="K750" s="757"/>
      <c r="L750" s="757"/>
      <c r="M750" s="757"/>
      <c r="N750" s="757"/>
      <c r="O750" s="757"/>
      <c r="P750" s="757"/>
    </row>
    <row r="751">
      <c r="E751" s="757"/>
      <c r="F751" s="757"/>
      <c r="G751" s="757"/>
      <c r="K751" s="757"/>
      <c r="L751" s="757"/>
      <c r="M751" s="757"/>
      <c r="N751" s="757"/>
      <c r="O751" s="757"/>
      <c r="P751" s="757"/>
    </row>
    <row r="752">
      <c r="E752" s="757"/>
      <c r="F752" s="757"/>
      <c r="G752" s="757"/>
      <c r="K752" s="757"/>
      <c r="L752" s="757"/>
      <c r="M752" s="757"/>
      <c r="N752" s="757"/>
      <c r="O752" s="757"/>
      <c r="P752" s="757"/>
    </row>
    <row r="753">
      <c r="E753" s="757"/>
      <c r="F753" s="757"/>
      <c r="G753" s="757"/>
      <c r="K753" s="757"/>
      <c r="L753" s="757"/>
      <c r="M753" s="757"/>
      <c r="N753" s="757"/>
      <c r="O753" s="757"/>
      <c r="P753" s="757"/>
    </row>
    <row r="754">
      <c r="E754" s="757"/>
      <c r="F754" s="757"/>
      <c r="G754" s="757"/>
      <c r="K754" s="757"/>
      <c r="L754" s="757"/>
      <c r="M754" s="757"/>
      <c r="N754" s="757"/>
      <c r="O754" s="757"/>
      <c r="P754" s="757"/>
    </row>
    <row r="755">
      <c r="E755" s="757"/>
      <c r="F755" s="757"/>
      <c r="G755" s="757"/>
      <c r="K755" s="757"/>
      <c r="L755" s="757"/>
      <c r="M755" s="757"/>
      <c r="N755" s="757"/>
      <c r="O755" s="757"/>
      <c r="P755" s="757"/>
    </row>
    <row r="756">
      <c r="E756" s="757"/>
      <c r="F756" s="757"/>
      <c r="G756" s="757"/>
      <c r="K756" s="757"/>
      <c r="L756" s="757"/>
      <c r="M756" s="757"/>
      <c r="N756" s="757"/>
      <c r="O756" s="757"/>
      <c r="P756" s="757"/>
    </row>
    <row r="757">
      <c r="E757" s="757"/>
      <c r="F757" s="757"/>
      <c r="G757" s="757"/>
      <c r="K757" s="757"/>
      <c r="L757" s="757"/>
      <c r="M757" s="757"/>
      <c r="N757" s="757"/>
      <c r="O757" s="757"/>
      <c r="P757" s="757"/>
    </row>
    <row r="758">
      <c r="E758" s="757"/>
      <c r="F758" s="757"/>
      <c r="G758" s="757"/>
      <c r="K758" s="757"/>
      <c r="L758" s="757"/>
      <c r="M758" s="757"/>
      <c r="N758" s="757"/>
      <c r="O758" s="757"/>
      <c r="P758" s="757"/>
    </row>
    <row r="759">
      <c r="E759" s="757"/>
      <c r="F759" s="757"/>
      <c r="G759" s="757"/>
      <c r="K759" s="757"/>
      <c r="L759" s="757"/>
      <c r="M759" s="757"/>
      <c r="N759" s="757"/>
      <c r="O759" s="757"/>
      <c r="P759" s="757"/>
    </row>
    <row r="760">
      <c r="E760" s="757"/>
      <c r="F760" s="757"/>
      <c r="G760" s="757"/>
      <c r="K760" s="757"/>
      <c r="L760" s="757"/>
      <c r="M760" s="757"/>
      <c r="N760" s="757"/>
      <c r="O760" s="757"/>
      <c r="P760" s="757"/>
    </row>
    <row r="761">
      <c r="E761" s="757"/>
      <c r="F761" s="757"/>
      <c r="G761" s="757"/>
      <c r="K761" s="757"/>
      <c r="L761" s="757"/>
      <c r="M761" s="757"/>
      <c r="N761" s="757"/>
      <c r="O761" s="757"/>
      <c r="P761" s="757"/>
    </row>
    <row r="762">
      <c r="E762" s="757"/>
      <c r="F762" s="757"/>
      <c r="G762" s="757"/>
      <c r="K762" s="757"/>
      <c r="L762" s="757"/>
      <c r="M762" s="757"/>
      <c r="N762" s="757"/>
      <c r="O762" s="757"/>
      <c r="P762" s="757"/>
    </row>
    <row r="763">
      <c r="E763" s="757"/>
      <c r="F763" s="757"/>
      <c r="G763" s="757"/>
      <c r="K763" s="757"/>
      <c r="L763" s="757"/>
      <c r="M763" s="757"/>
      <c r="N763" s="757"/>
      <c r="O763" s="757"/>
      <c r="P763" s="757"/>
    </row>
    <row r="764">
      <c r="E764" s="757"/>
      <c r="F764" s="757"/>
      <c r="G764" s="757"/>
      <c r="K764" s="757"/>
      <c r="L764" s="757"/>
      <c r="M764" s="757"/>
      <c r="N764" s="757"/>
      <c r="O764" s="757"/>
      <c r="P764" s="757"/>
    </row>
    <row r="765">
      <c r="E765" s="757"/>
      <c r="F765" s="757"/>
      <c r="G765" s="757"/>
      <c r="K765" s="757"/>
      <c r="L765" s="757"/>
      <c r="M765" s="757"/>
      <c r="N765" s="757"/>
      <c r="O765" s="757"/>
      <c r="P765" s="757"/>
    </row>
    <row r="766">
      <c r="E766" s="757"/>
      <c r="F766" s="757"/>
      <c r="G766" s="757"/>
      <c r="K766" s="757"/>
      <c r="L766" s="757"/>
      <c r="M766" s="757"/>
      <c r="N766" s="757"/>
      <c r="O766" s="757"/>
      <c r="P766" s="757"/>
    </row>
    <row r="767">
      <c r="E767" s="757"/>
      <c r="F767" s="757"/>
      <c r="G767" s="757"/>
      <c r="K767" s="757"/>
      <c r="L767" s="757"/>
      <c r="M767" s="757"/>
      <c r="N767" s="757"/>
      <c r="O767" s="757"/>
      <c r="P767" s="757"/>
    </row>
    <row r="768">
      <c r="E768" s="757"/>
      <c r="F768" s="757"/>
      <c r="G768" s="757"/>
      <c r="K768" s="757"/>
      <c r="L768" s="757"/>
      <c r="M768" s="757"/>
      <c r="N768" s="757"/>
      <c r="O768" s="757"/>
      <c r="P768" s="757"/>
    </row>
    <row r="769">
      <c r="E769" s="757"/>
      <c r="F769" s="757"/>
      <c r="G769" s="757"/>
      <c r="K769" s="757"/>
      <c r="L769" s="757"/>
      <c r="M769" s="757"/>
      <c r="N769" s="757"/>
      <c r="O769" s="757"/>
      <c r="P769" s="757"/>
    </row>
    <row r="770">
      <c r="E770" s="757"/>
      <c r="F770" s="757"/>
      <c r="G770" s="757"/>
      <c r="K770" s="757"/>
      <c r="L770" s="757"/>
      <c r="M770" s="757"/>
      <c r="N770" s="757"/>
      <c r="O770" s="757"/>
      <c r="P770" s="757"/>
    </row>
    <row r="771">
      <c r="E771" s="757"/>
      <c r="F771" s="757"/>
      <c r="G771" s="757"/>
      <c r="K771" s="757"/>
      <c r="L771" s="757"/>
      <c r="M771" s="757"/>
      <c r="N771" s="757"/>
      <c r="O771" s="757"/>
      <c r="P771" s="757"/>
    </row>
    <row r="772">
      <c r="E772" s="757"/>
      <c r="F772" s="757"/>
      <c r="G772" s="757"/>
      <c r="K772" s="757"/>
      <c r="L772" s="757"/>
      <c r="M772" s="757"/>
      <c r="N772" s="757"/>
      <c r="O772" s="757"/>
      <c r="P772" s="757"/>
    </row>
    <row r="773">
      <c r="E773" s="757"/>
      <c r="F773" s="757"/>
      <c r="G773" s="757"/>
      <c r="K773" s="757"/>
      <c r="L773" s="757"/>
      <c r="M773" s="757"/>
      <c r="N773" s="757"/>
      <c r="O773" s="757"/>
      <c r="P773" s="757"/>
    </row>
    <row r="774">
      <c r="E774" s="757"/>
      <c r="F774" s="757"/>
      <c r="G774" s="757"/>
      <c r="K774" s="757"/>
      <c r="L774" s="757"/>
      <c r="M774" s="757"/>
      <c r="N774" s="757"/>
      <c r="O774" s="757"/>
      <c r="P774" s="757"/>
    </row>
    <row r="775">
      <c r="E775" s="757"/>
      <c r="F775" s="757"/>
      <c r="G775" s="757"/>
      <c r="K775" s="757"/>
      <c r="L775" s="757"/>
      <c r="M775" s="757"/>
      <c r="N775" s="757"/>
      <c r="O775" s="757"/>
      <c r="P775" s="757"/>
    </row>
    <row r="776">
      <c r="E776" s="757"/>
      <c r="F776" s="757"/>
      <c r="G776" s="757"/>
      <c r="K776" s="757"/>
      <c r="L776" s="757"/>
      <c r="M776" s="757"/>
      <c r="N776" s="757"/>
      <c r="O776" s="757"/>
      <c r="P776" s="757"/>
    </row>
    <row r="777">
      <c r="E777" s="757"/>
      <c r="F777" s="757"/>
      <c r="G777" s="757"/>
      <c r="K777" s="757"/>
      <c r="L777" s="757"/>
      <c r="M777" s="757"/>
      <c r="N777" s="757"/>
      <c r="O777" s="757"/>
      <c r="P777" s="757"/>
    </row>
    <row r="778">
      <c r="E778" s="757"/>
      <c r="F778" s="757"/>
      <c r="G778" s="757"/>
      <c r="K778" s="757"/>
      <c r="L778" s="757"/>
      <c r="M778" s="757"/>
      <c r="N778" s="757"/>
      <c r="O778" s="757"/>
      <c r="P778" s="757"/>
    </row>
    <row r="779">
      <c r="E779" s="757"/>
      <c r="F779" s="757"/>
      <c r="G779" s="757"/>
      <c r="K779" s="757"/>
      <c r="L779" s="757"/>
      <c r="M779" s="757"/>
      <c r="N779" s="757"/>
      <c r="O779" s="757"/>
      <c r="P779" s="757"/>
    </row>
    <row r="780">
      <c r="E780" s="757"/>
      <c r="F780" s="757"/>
      <c r="G780" s="757"/>
      <c r="K780" s="757"/>
      <c r="L780" s="757"/>
      <c r="M780" s="757"/>
      <c r="N780" s="757"/>
      <c r="O780" s="757"/>
      <c r="P780" s="757"/>
    </row>
    <row r="781">
      <c r="E781" s="757"/>
      <c r="F781" s="757"/>
      <c r="G781" s="757"/>
      <c r="K781" s="757"/>
      <c r="L781" s="757"/>
      <c r="M781" s="757"/>
      <c r="N781" s="757"/>
      <c r="O781" s="757"/>
      <c r="P781" s="757"/>
    </row>
    <row r="782">
      <c r="E782" s="757"/>
      <c r="F782" s="757"/>
      <c r="G782" s="757"/>
      <c r="K782" s="757"/>
      <c r="L782" s="757"/>
      <c r="M782" s="757"/>
      <c r="N782" s="757"/>
      <c r="O782" s="757"/>
      <c r="P782" s="757"/>
    </row>
    <row r="783">
      <c r="E783" s="757"/>
      <c r="F783" s="757"/>
      <c r="G783" s="757"/>
      <c r="K783" s="757"/>
      <c r="L783" s="757"/>
      <c r="M783" s="757"/>
      <c r="N783" s="757"/>
      <c r="O783" s="757"/>
      <c r="P783" s="757"/>
    </row>
    <row r="784">
      <c r="E784" s="757"/>
      <c r="F784" s="757"/>
      <c r="G784" s="757"/>
      <c r="K784" s="757"/>
      <c r="L784" s="757"/>
      <c r="M784" s="757"/>
      <c r="N784" s="757"/>
      <c r="O784" s="757"/>
      <c r="P784" s="757"/>
    </row>
    <row r="785">
      <c r="E785" s="757"/>
      <c r="F785" s="757"/>
      <c r="G785" s="757"/>
      <c r="K785" s="757"/>
      <c r="L785" s="757"/>
      <c r="M785" s="757"/>
      <c r="N785" s="757"/>
      <c r="O785" s="757"/>
      <c r="P785" s="757"/>
    </row>
    <row r="786">
      <c r="E786" s="757"/>
      <c r="F786" s="757"/>
      <c r="G786" s="757"/>
      <c r="K786" s="757"/>
      <c r="L786" s="757"/>
      <c r="M786" s="757"/>
      <c r="N786" s="757"/>
      <c r="O786" s="757"/>
      <c r="P786" s="757"/>
    </row>
    <row r="787">
      <c r="E787" s="757"/>
      <c r="F787" s="757"/>
      <c r="G787" s="757"/>
      <c r="K787" s="757"/>
      <c r="L787" s="757"/>
      <c r="M787" s="757"/>
      <c r="N787" s="757"/>
      <c r="O787" s="757"/>
      <c r="P787" s="757"/>
    </row>
    <row r="788">
      <c r="E788" s="757"/>
      <c r="F788" s="757"/>
      <c r="G788" s="757"/>
      <c r="K788" s="757"/>
      <c r="L788" s="757"/>
      <c r="M788" s="757"/>
      <c r="N788" s="757"/>
      <c r="O788" s="757"/>
      <c r="P788" s="757"/>
    </row>
    <row r="789">
      <c r="E789" s="757"/>
      <c r="F789" s="757"/>
      <c r="G789" s="757"/>
      <c r="K789" s="757"/>
      <c r="L789" s="757"/>
      <c r="M789" s="757"/>
      <c r="N789" s="757"/>
      <c r="O789" s="757"/>
      <c r="P789" s="757"/>
    </row>
    <row r="790">
      <c r="E790" s="757"/>
      <c r="F790" s="757"/>
      <c r="G790" s="757"/>
      <c r="K790" s="757"/>
      <c r="L790" s="757"/>
      <c r="M790" s="757"/>
      <c r="N790" s="757"/>
      <c r="O790" s="757"/>
      <c r="P790" s="757"/>
    </row>
    <row r="791">
      <c r="E791" s="757"/>
      <c r="F791" s="757"/>
      <c r="G791" s="757"/>
      <c r="K791" s="757"/>
      <c r="L791" s="757"/>
      <c r="M791" s="757"/>
      <c r="N791" s="757"/>
      <c r="O791" s="757"/>
      <c r="P791" s="757"/>
    </row>
    <row r="792">
      <c r="E792" s="757"/>
      <c r="F792" s="757"/>
      <c r="G792" s="757"/>
      <c r="K792" s="757"/>
      <c r="L792" s="757"/>
      <c r="M792" s="757"/>
      <c r="N792" s="757"/>
      <c r="O792" s="757"/>
      <c r="P792" s="757"/>
    </row>
    <row r="793">
      <c r="E793" s="757"/>
      <c r="F793" s="757"/>
      <c r="G793" s="757"/>
      <c r="K793" s="757"/>
      <c r="L793" s="757"/>
      <c r="M793" s="757"/>
      <c r="N793" s="757"/>
      <c r="O793" s="757"/>
      <c r="P793" s="757"/>
    </row>
    <row r="794">
      <c r="E794" s="757"/>
      <c r="F794" s="757"/>
      <c r="G794" s="757"/>
      <c r="K794" s="757"/>
      <c r="L794" s="757"/>
      <c r="M794" s="757"/>
      <c r="N794" s="757"/>
      <c r="O794" s="757"/>
      <c r="P794" s="757"/>
    </row>
    <row r="795">
      <c r="E795" s="757"/>
      <c r="F795" s="757"/>
      <c r="G795" s="757"/>
      <c r="K795" s="757"/>
      <c r="L795" s="757"/>
      <c r="M795" s="757"/>
      <c r="N795" s="757"/>
      <c r="O795" s="757"/>
      <c r="P795" s="757"/>
    </row>
    <row r="796">
      <c r="E796" s="757"/>
      <c r="F796" s="757"/>
      <c r="G796" s="757"/>
      <c r="K796" s="757"/>
      <c r="L796" s="757"/>
      <c r="M796" s="757"/>
      <c r="N796" s="757"/>
      <c r="O796" s="757"/>
      <c r="P796" s="757"/>
    </row>
    <row r="797">
      <c r="E797" s="757"/>
      <c r="F797" s="757"/>
      <c r="G797" s="757"/>
      <c r="K797" s="757"/>
      <c r="L797" s="757"/>
      <c r="M797" s="757"/>
      <c r="N797" s="757"/>
      <c r="O797" s="757"/>
      <c r="P797" s="757"/>
    </row>
    <row r="798">
      <c r="E798" s="757"/>
      <c r="F798" s="757"/>
      <c r="G798" s="757"/>
      <c r="K798" s="757"/>
      <c r="L798" s="757"/>
      <c r="M798" s="757"/>
      <c r="N798" s="757"/>
      <c r="O798" s="757"/>
      <c r="P798" s="757"/>
    </row>
    <row r="799">
      <c r="E799" s="757"/>
      <c r="F799" s="757"/>
      <c r="G799" s="757"/>
      <c r="K799" s="757"/>
      <c r="L799" s="757"/>
      <c r="M799" s="757"/>
      <c r="N799" s="757"/>
      <c r="O799" s="757"/>
      <c r="P799" s="757"/>
    </row>
    <row r="800">
      <c r="E800" s="757"/>
      <c r="F800" s="757"/>
      <c r="G800" s="757"/>
      <c r="K800" s="757"/>
      <c r="L800" s="757"/>
      <c r="M800" s="757"/>
      <c r="N800" s="757"/>
      <c r="O800" s="757"/>
      <c r="P800" s="757"/>
    </row>
    <row r="801">
      <c r="E801" s="757"/>
      <c r="F801" s="757"/>
      <c r="G801" s="757"/>
      <c r="K801" s="757"/>
      <c r="L801" s="757"/>
      <c r="M801" s="757"/>
      <c r="N801" s="757"/>
      <c r="O801" s="757"/>
      <c r="P801" s="757"/>
    </row>
    <row r="802">
      <c r="E802" s="757"/>
      <c r="F802" s="757"/>
      <c r="G802" s="757"/>
      <c r="K802" s="757"/>
      <c r="L802" s="757"/>
      <c r="M802" s="757"/>
      <c r="N802" s="757"/>
      <c r="O802" s="757"/>
      <c r="P802" s="757"/>
    </row>
    <row r="803">
      <c r="E803" s="757"/>
      <c r="F803" s="757"/>
      <c r="G803" s="757"/>
      <c r="K803" s="757"/>
      <c r="L803" s="757"/>
      <c r="M803" s="757"/>
      <c r="N803" s="757"/>
      <c r="O803" s="757"/>
      <c r="P803" s="757"/>
    </row>
    <row r="804">
      <c r="E804" s="757"/>
      <c r="F804" s="757"/>
      <c r="G804" s="757"/>
      <c r="K804" s="757"/>
      <c r="L804" s="757"/>
      <c r="M804" s="757"/>
      <c r="N804" s="757"/>
      <c r="O804" s="757"/>
      <c r="P804" s="757"/>
    </row>
    <row r="805">
      <c r="E805" s="757"/>
      <c r="F805" s="757"/>
      <c r="G805" s="757"/>
      <c r="K805" s="757"/>
      <c r="L805" s="757"/>
      <c r="M805" s="757"/>
      <c r="N805" s="757"/>
      <c r="O805" s="757"/>
      <c r="P805" s="757"/>
    </row>
    <row r="806">
      <c r="E806" s="757"/>
      <c r="F806" s="757"/>
      <c r="G806" s="757"/>
      <c r="K806" s="757"/>
      <c r="L806" s="757"/>
      <c r="M806" s="757"/>
      <c r="N806" s="757"/>
      <c r="O806" s="757"/>
      <c r="P806" s="757"/>
    </row>
    <row r="807">
      <c r="E807" s="757"/>
      <c r="F807" s="757"/>
      <c r="G807" s="757"/>
      <c r="K807" s="757"/>
      <c r="L807" s="757"/>
      <c r="M807" s="757"/>
      <c r="N807" s="757"/>
      <c r="O807" s="757"/>
      <c r="P807" s="757"/>
    </row>
    <row r="808">
      <c r="E808" s="757"/>
      <c r="F808" s="757"/>
      <c r="G808" s="757"/>
      <c r="K808" s="757"/>
      <c r="L808" s="757"/>
      <c r="M808" s="757"/>
      <c r="N808" s="757"/>
      <c r="O808" s="757"/>
      <c r="P808" s="757"/>
    </row>
    <row r="809">
      <c r="E809" s="757"/>
      <c r="F809" s="757"/>
      <c r="G809" s="757"/>
      <c r="K809" s="757"/>
      <c r="L809" s="757"/>
      <c r="M809" s="757"/>
      <c r="N809" s="757"/>
      <c r="O809" s="757"/>
      <c r="P809" s="757"/>
    </row>
    <row r="810">
      <c r="E810" s="757"/>
      <c r="F810" s="757"/>
      <c r="G810" s="757"/>
      <c r="K810" s="757"/>
      <c r="L810" s="757"/>
      <c r="M810" s="757"/>
      <c r="N810" s="757"/>
      <c r="O810" s="757"/>
      <c r="P810" s="757"/>
    </row>
    <row r="811">
      <c r="E811" s="757"/>
      <c r="F811" s="757"/>
      <c r="G811" s="757"/>
      <c r="K811" s="757"/>
      <c r="L811" s="757"/>
      <c r="M811" s="757"/>
      <c r="N811" s="757"/>
      <c r="O811" s="757"/>
      <c r="P811" s="757"/>
    </row>
    <row r="812">
      <c r="E812" s="757"/>
      <c r="F812" s="757"/>
      <c r="G812" s="757"/>
      <c r="K812" s="757"/>
      <c r="L812" s="757"/>
      <c r="M812" s="757"/>
      <c r="N812" s="757"/>
      <c r="O812" s="757"/>
      <c r="P812" s="757"/>
    </row>
    <row r="813">
      <c r="E813" s="757"/>
      <c r="F813" s="757"/>
      <c r="G813" s="757"/>
      <c r="K813" s="757"/>
      <c r="L813" s="757"/>
      <c r="M813" s="757"/>
      <c r="N813" s="757"/>
      <c r="O813" s="757"/>
      <c r="P813" s="757"/>
    </row>
    <row r="814">
      <c r="E814" s="757"/>
      <c r="F814" s="757"/>
      <c r="G814" s="757"/>
      <c r="K814" s="757"/>
      <c r="L814" s="757"/>
      <c r="M814" s="757"/>
      <c r="N814" s="757"/>
      <c r="O814" s="757"/>
      <c r="P814" s="757"/>
    </row>
    <row r="815">
      <c r="E815" s="757"/>
      <c r="F815" s="757"/>
      <c r="G815" s="757"/>
      <c r="K815" s="757"/>
      <c r="L815" s="757"/>
      <c r="M815" s="757"/>
      <c r="N815" s="757"/>
      <c r="O815" s="757"/>
      <c r="P815" s="757"/>
    </row>
    <row r="816">
      <c r="E816" s="757"/>
      <c r="F816" s="757"/>
      <c r="G816" s="757"/>
      <c r="K816" s="757"/>
      <c r="L816" s="757"/>
      <c r="M816" s="757"/>
      <c r="N816" s="757"/>
      <c r="O816" s="757"/>
      <c r="P816" s="757"/>
    </row>
    <row r="817">
      <c r="E817" s="757"/>
      <c r="F817" s="757"/>
      <c r="G817" s="757"/>
      <c r="K817" s="757"/>
      <c r="L817" s="757"/>
      <c r="M817" s="757"/>
      <c r="N817" s="757"/>
      <c r="O817" s="757"/>
      <c r="P817" s="757"/>
    </row>
    <row r="818">
      <c r="E818" s="757"/>
      <c r="F818" s="757"/>
      <c r="G818" s="757"/>
      <c r="K818" s="757"/>
      <c r="L818" s="757"/>
      <c r="M818" s="757"/>
      <c r="N818" s="757"/>
      <c r="O818" s="757"/>
      <c r="P818" s="757"/>
    </row>
    <row r="819">
      <c r="E819" s="757"/>
      <c r="F819" s="757"/>
      <c r="G819" s="757"/>
      <c r="K819" s="757"/>
      <c r="L819" s="757"/>
      <c r="M819" s="757"/>
      <c r="N819" s="757"/>
      <c r="O819" s="757"/>
      <c r="P819" s="757"/>
    </row>
    <row r="820">
      <c r="E820" s="757"/>
      <c r="F820" s="757"/>
      <c r="G820" s="757"/>
      <c r="K820" s="757"/>
      <c r="L820" s="757"/>
      <c r="M820" s="757"/>
      <c r="N820" s="757"/>
      <c r="O820" s="757"/>
      <c r="P820" s="757"/>
    </row>
    <row r="821">
      <c r="E821" s="757"/>
      <c r="F821" s="757"/>
      <c r="G821" s="757"/>
      <c r="K821" s="757"/>
      <c r="L821" s="757"/>
      <c r="M821" s="757"/>
      <c r="N821" s="757"/>
      <c r="O821" s="757"/>
      <c r="P821" s="757"/>
    </row>
    <row r="822">
      <c r="E822" s="757"/>
      <c r="F822" s="757"/>
      <c r="G822" s="757"/>
      <c r="K822" s="757"/>
      <c r="L822" s="757"/>
      <c r="M822" s="757"/>
      <c r="N822" s="757"/>
      <c r="O822" s="757"/>
      <c r="P822" s="757"/>
    </row>
    <row r="823">
      <c r="E823" s="757"/>
      <c r="F823" s="757"/>
      <c r="G823" s="757"/>
      <c r="K823" s="757"/>
      <c r="L823" s="757"/>
      <c r="M823" s="757"/>
      <c r="N823" s="757"/>
      <c r="O823" s="757"/>
      <c r="P823" s="757"/>
    </row>
    <row r="824">
      <c r="E824" s="757"/>
      <c r="F824" s="757"/>
      <c r="G824" s="757"/>
      <c r="K824" s="757"/>
      <c r="L824" s="757"/>
      <c r="M824" s="757"/>
      <c r="N824" s="757"/>
      <c r="O824" s="757"/>
      <c r="P824" s="757"/>
    </row>
    <row r="825">
      <c r="E825" s="757"/>
      <c r="F825" s="757"/>
      <c r="G825" s="757"/>
      <c r="K825" s="757"/>
      <c r="L825" s="757"/>
      <c r="M825" s="757"/>
      <c r="N825" s="757"/>
      <c r="O825" s="757"/>
      <c r="P825" s="757"/>
    </row>
    <row r="826">
      <c r="E826" s="757"/>
      <c r="F826" s="757"/>
      <c r="G826" s="757"/>
      <c r="K826" s="757"/>
      <c r="L826" s="757"/>
      <c r="M826" s="757"/>
      <c r="N826" s="757"/>
      <c r="O826" s="757"/>
      <c r="P826" s="757"/>
    </row>
    <row r="827">
      <c r="E827" s="757"/>
      <c r="F827" s="757"/>
      <c r="G827" s="757"/>
      <c r="K827" s="757"/>
      <c r="L827" s="757"/>
      <c r="M827" s="757"/>
      <c r="N827" s="757"/>
      <c r="O827" s="757"/>
      <c r="P827" s="757"/>
    </row>
    <row r="828">
      <c r="E828" s="757"/>
      <c r="F828" s="757"/>
      <c r="G828" s="757"/>
      <c r="K828" s="757"/>
      <c r="L828" s="757"/>
      <c r="M828" s="757"/>
      <c r="N828" s="757"/>
      <c r="O828" s="757"/>
      <c r="P828" s="757"/>
    </row>
    <row r="829">
      <c r="E829" s="757"/>
      <c r="F829" s="757"/>
      <c r="G829" s="757"/>
      <c r="K829" s="757"/>
      <c r="L829" s="757"/>
      <c r="M829" s="757"/>
      <c r="N829" s="757"/>
      <c r="O829" s="757"/>
      <c r="P829" s="757"/>
    </row>
    <row r="830">
      <c r="E830" s="757"/>
      <c r="F830" s="757"/>
      <c r="G830" s="757"/>
      <c r="K830" s="757"/>
      <c r="L830" s="757"/>
      <c r="M830" s="757"/>
      <c r="N830" s="757"/>
      <c r="O830" s="757"/>
      <c r="P830" s="757"/>
    </row>
    <row r="831">
      <c r="E831" s="757"/>
      <c r="F831" s="757"/>
      <c r="G831" s="757"/>
      <c r="K831" s="757"/>
      <c r="L831" s="757"/>
      <c r="M831" s="757"/>
      <c r="N831" s="757"/>
      <c r="O831" s="757"/>
      <c r="P831" s="757"/>
    </row>
    <row r="832">
      <c r="E832" s="757"/>
      <c r="F832" s="757"/>
      <c r="G832" s="757"/>
      <c r="K832" s="757"/>
      <c r="L832" s="757"/>
      <c r="M832" s="757"/>
      <c r="N832" s="757"/>
      <c r="O832" s="757"/>
      <c r="P832" s="757"/>
    </row>
    <row r="833">
      <c r="E833" s="757"/>
      <c r="F833" s="757"/>
      <c r="G833" s="757"/>
      <c r="K833" s="757"/>
      <c r="L833" s="757"/>
      <c r="M833" s="757"/>
      <c r="N833" s="757"/>
      <c r="O833" s="757"/>
      <c r="P833" s="757"/>
    </row>
    <row r="834">
      <c r="E834" s="757"/>
      <c r="F834" s="757"/>
      <c r="G834" s="757"/>
      <c r="K834" s="757"/>
      <c r="L834" s="757"/>
      <c r="M834" s="757"/>
      <c r="N834" s="757"/>
      <c r="O834" s="757"/>
      <c r="P834" s="757"/>
    </row>
    <row r="835">
      <c r="E835" s="757"/>
      <c r="F835" s="757"/>
      <c r="G835" s="757"/>
      <c r="K835" s="757"/>
      <c r="L835" s="757"/>
      <c r="M835" s="757"/>
      <c r="N835" s="757"/>
      <c r="O835" s="757"/>
      <c r="P835" s="757"/>
    </row>
    <row r="836">
      <c r="E836" s="757"/>
      <c r="F836" s="757"/>
      <c r="G836" s="757"/>
      <c r="K836" s="757"/>
      <c r="L836" s="757"/>
      <c r="M836" s="757"/>
      <c r="N836" s="757"/>
      <c r="O836" s="757"/>
      <c r="P836" s="757"/>
    </row>
    <row r="837">
      <c r="E837" s="757"/>
      <c r="F837" s="757"/>
      <c r="G837" s="757"/>
      <c r="K837" s="757"/>
      <c r="L837" s="757"/>
      <c r="M837" s="757"/>
      <c r="N837" s="757"/>
      <c r="O837" s="757"/>
      <c r="P837" s="757"/>
    </row>
    <row r="838">
      <c r="E838" s="757"/>
      <c r="F838" s="757"/>
      <c r="G838" s="757"/>
      <c r="K838" s="757"/>
      <c r="L838" s="757"/>
      <c r="M838" s="757"/>
      <c r="N838" s="757"/>
      <c r="O838" s="757"/>
      <c r="P838" s="757"/>
    </row>
    <row r="839">
      <c r="E839" s="757"/>
      <c r="F839" s="757"/>
      <c r="G839" s="757"/>
      <c r="K839" s="757"/>
      <c r="L839" s="757"/>
      <c r="M839" s="757"/>
      <c r="N839" s="757"/>
      <c r="O839" s="757"/>
      <c r="P839" s="757"/>
    </row>
    <row r="840">
      <c r="E840" s="757"/>
      <c r="F840" s="757"/>
      <c r="G840" s="757"/>
      <c r="K840" s="757"/>
      <c r="L840" s="757"/>
      <c r="M840" s="757"/>
      <c r="N840" s="757"/>
      <c r="O840" s="757"/>
      <c r="P840" s="757"/>
    </row>
    <row r="841">
      <c r="E841" s="757"/>
      <c r="F841" s="757"/>
      <c r="G841" s="757"/>
      <c r="K841" s="757"/>
      <c r="L841" s="757"/>
      <c r="M841" s="757"/>
      <c r="N841" s="757"/>
      <c r="O841" s="757"/>
      <c r="P841" s="757"/>
    </row>
    <row r="842">
      <c r="E842" s="757"/>
      <c r="F842" s="757"/>
      <c r="G842" s="757"/>
      <c r="K842" s="757"/>
      <c r="L842" s="757"/>
      <c r="M842" s="757"/>
      <c r="N842" s="757"/>
      <c r="O842" s="757"/>
      <c r="P842" s="757"/>
    </row>
    <row r="843">
      <c r="E843" s="757"/>
      <c r="F843" s="757"/>
      <c r="G843" s="757"/>
      <c r="K843" s="757"/>
      <c r="L843" s="757"/>
      <c r="M843" s="757"/>
      <c r="N843" s="757"/>
      <c r="O843" s="757"/>
      <c r="P843" s="757"/>
    </row>
    <row r="844">
      <c r="E844" s="757"/>
      <c r="F844" s="757"/>
      <c r="G844" s="757"/>
      <c r="K844" s="757"/>
      <c r="L844" s="757"/>
      <c r="M844" s="757"/>
      <c r="N844" s="757"/>
      <c r="O844" s="757"/>
      <c r="P844" s="757"/>
    </row>
    <row r="845">
      <c r="E845" s="757"/>
      <c r="F845" s="757"/>
      <c r="G845" s="757"/>
      <c r="K845" s="757"/>
      <c r="L845" s="757"/>
      <c r="M845" s="757"/>
      <c r="N845" s="757"/>
      <c r="O845" s="757"/>
      <c r="P845" s="757"/>
    </row>
    <row r="846">
      <c r="E846" s="757"/>
      <c r="F846" s="757"/>
      <c r="G846" s="757"/>
      <c r="K846" s="757"/>
      <c r="L846" s="757"/>
      <c r="M846" s="757"/>
      <c r="N846" s="757"/>
      <c r="O846" s="757"/>
      <c r="P846" s="757"/>
    </row>
    <row r="847">
      <c r="E847" s="757"/>
      <c r="F847" s="757"/>
      <c r="G847" s="757"/>
      <c r="K847" s="757"/>
      <c r="L847" s="757"/>
      <c r="M847" s="757"/>
      <c r="N847" s="757"/>
      <c r="O847" s="757"/>
      <c r="P847" s="757"/>
    </row>
    <row r="848">
      <c r="E848" s="757"/>
      <c r="F848" s="757"/>
      <c r="G848" s="757"/>
      <c r="K848" s="757"/>
      <c r="L848" s="757"/>
      <c r="M848" s="757"/>
      <c r="N848" s="757"/>
      <c r="O848" s="757"/>
      <c r="P848" s="757"/>
    </row>
    <row r="849">
      <c r="E849" s="757"/>
      <c r="F849" s="757"/>
      <c r="G849" s="757"/>
      <c r="K849" s="757"/>
      <c r="L849" s="757"/>
      <c r="M849" s="757"/>
      <c r="N849" s="757"/>
      <c r="O849" s="757"/>
      <c r="P849" s="757"/>
    </row>
    <row r="850">
      <c r="E850" s="757"/>
      <c r="F850" s="757"/>
      <c r="G850" s="757"/>
      <c r="K850" s="757"/>
      <c r="L850" s="757"/>
      <c r="M850" s="757"/>
      <c r="N850" s="757"/>
      <c r="O850" s="757"/>
      <c r="P850" s="757"/>
    </row>
    <row r="851">
      <c r="E851" s="757"/>
      <c r="F851" s="757"/>
      <c r="G851" s="757"/>
      <c r="K851" s="757"/>
      <c r="L851" s="757"/>
      <c r="M851" s="757"/>
      <c r="N851" s="757"/>
      <c r="O851" s="757"/>
      <c r="P851" s="757"/>
    </row>
    <row r="852">
      <c r="E852" s="757"/>
      <c r="F852" s="757"/>
      <c r="G852" s="757"/>
      <c r="K852" s="757"/>
      <c r="L852" s="757"/>
      <c r="M852" s="757"/>
      <c r="N852" s="757"/>
      <c r="O852" s="757"/>
      <c r="P852" s="757"/>
    </row>
    <row r="853">
      <c r="E853" s="757"/>
      <c r="F853" s="757"/>
      <c r="G853" s="757"/>
      <c r="K853" s="757"/>
      <c r="L853" s="757"/>
      <c r="M853" s="757"/>
      <c r="N853" s="757"/>
      <c r="O853" s="757"/>
      <c r="P853" s="757"/>
    </row>
    <row r="854">
      <c r="E854" s="757"/>
      <c r="F854" s="757"/>
      <c r="G854" s="757"/>
      <c r="K854" s="757"/>
      <c r="L854" s="757"/>
      <c r="M854" s="757"/>
      <c r="N854" s="757"/>
      <c r="O854" s="757"/>
      <c r="P854" s="757"/>
    </row>
    <row r="855">
      <c r="E855" s="757"/>
      <c r="F855" s="757"/>
      <c r="G855" s="757"/>
      <c r="K855" s="757"/>
      <c r="L855" s="757"/>
      <c r="M855" s="757"/>
      <c r="N855" s="757"/>
      <c r="O855" s="757"/>
      <c r="P855" s="757"/>
    </row>
    <row r="856">
      <c r="E856" s="757"/>
      <c r="F856" s="757"/>
      <c r="G856" s="757"/>
      <c r="K856" s="757"/>
      <c r="L856" s="757"/>
      <c r="M856" s="757"/>
      <c r="N856" s="757"/>
      <c r="O856" s="757"/>
      <c r="P856" s="757"/>
    </row>
    <row r="857">
      <c r="E857" s="757"/>
      <c r="F857" s="757"/>
      <c r="G857" s="757"/>
      <c r="K857" s="757"/>
      <c r="L857" s="757"/>
      <c r="M857" s="757"/>
      <c r="N857" s="757"/>
      <c r="O857" s="757"/>
      <c r="P857" s="757"/>
    </row>
    <row r="858">
      <c r="E858" s="757"/>
      <c r="F858" s="757"/>
      <c r="G858" s="757"/>
      <c r="K858" s="757"/>
      <c r="L858" s="757"/>
      <c r="M858" s="757"/>
      <c r="N858" s="757"/>
      <c r="O858" s="757"/>
      <c r="P858" s="757"/>
    </row>
    <row r="859">
      <c r="E859" s="757"/>
      <c r="F859" s="757"/>
      <c r="G859" s="757"/>
      <c r="K859" s="757"/>
      <c r="L859" s="757"/>
      <c r="M859" s="757"/>
      <c r="N859" s="757"/>
      <c r="O859" s="757"/>
      <c r="P859" s="757"/>
    </row>
    <row r="860">
      <c r="E860" s="757"/>
      <c r="F860" s="757"/>
      <c r="G860" s="757"/>
      <c r="K860" s="757"/>
      <c r="L860" s="757"/>
      <c r="M860" s="757"/>
      <c r="N860" s="757"/>
      <c r="O860" s="757"/>
      <c r="P860" s="757"/>
    </row>
    <row r="861">
      <c r="E861" s="757"/>
      <c r="F861" s="757"/>
      <c r="G861" s="757"/>
      <c r="K861" s="757"/>
      <c r="L861" s="757"/>
      <c r="M861" s="757"/>
      <c r="N861" s="757"/>
      <c r="O861" s="757"/>
      <c r="P861" s="757"/>
    </row>
    <row r="862">
      <c r="E862" s="757"/>
      <c r="F862" s="757"/>
      <c r="G862" s="757"/>
      <c r="K862" s="757"/>
      <c r="L862" s="757"/>
      <c r="M862" s="757"/>
      <c r="N862" s="757"/>
      <c r="O862" s="757"/>
      <c r="P862" s="757"/>
    </row>
    <row r="863">
      <c r="E863" s="757"/>
      <c r="F863" s="757"/>
      <c r="G863" s="757"/>
      <c r="K863" s="757"/>
      <c r="L863" s="757"/>
      <c r="M863" s="757"/>
      <c r="N863" s="757"/>
      <c r="O863" s="757"/>
      <c r="P863" s="757"/>
    </row>
    <row r="864">
      <c r="E864" s="757"/>
      <c r="F864" s="757"/>
      <c r="G864" s="757"/>
      <c r="K864" s="757"/>
      <c r="L864" s="757"/>
      <c r="M864" s="757"/>
      <c r="N864" s="757"/>
      <c r="O864" s="757"/>
      <c r="P864" s="757"/>
    </row>
    <row r="865">
      <c r="E865" s="757"/>
      <c r="F865" s="757"/>
      <c r="G865" s="757"/>
      <c r="K865" s="757"/>
      <c r="L865" s="757"/>
      <c r="M865" s="757"/>
      <c r="N865" s="757"/>
      <c r="O865" s="757"/>
      <c r="P865" s="757"/>
    </row>
    <row r="866">
      <c r="E866" s="757"/>
      <c r="F866" s="757"/>
      <c r="G866" s="757"/>
      <c r="K866" s="757"/>
      <c r="L866" s="757"/>
      <c r="M866" s="757"/>
      <c r="N866" s="757"/>
      <c r="O866" s="757"/>
      <c r="P866" s="757"/>
    </row>
    <row r="867">
      <c r="E867" s="757"/>
      <c r="F867" s="757"/>
      <c r="G867" s="757"/>
      <c r="K867" s="757"/>
      <c r="L867" s="757"/>
      <c r="M867" s="757"/>
      <c r="N867" s="757"/>
      <c r="O867" s="757"/>
      <c r="P867" s="757"/>
    </row>
    <row r="868">
      <c r="E868" s="757"/>
      <c r="F868" s="757"/>
      <c r="G868" s="757"/>
      <c r="K868" s="757"/>
      <c r="L868" s="757"/>
      <c r="M868" s="757"/>
      <c r="N868" s="757"/>
      <c r="O868" s="757"/>
      <c r="P868" s="757"/>
    </row>
    <row r="869">
      <c r="E869" s="757"/>
      <c r="F869" s="757"/>
      <c r="G869" s="757"/>
      <c r="K869" s="757"/>
      <c r="L869" s="757"/>
      <c r="M869" s="757"/>
      <c r="N869" s="757"/>
      <c r="O869" s="757"/>
      <c r="P869" s="757"/>
    </row>
    <row r="870">
      <c r="E870" s="757"/>
      <c r="F870" s="757"/>
      <c r="G870" s="757"/>
      <c r="K870" s="757"/>
      <c r="L870" s="757"/>
      <c r="M870" s="757"/>
      <c r="N870" s="757"/>
      <c r="O870" s="757"/>
      <c r="P870" s="757"/>
    </row>
    <row r="871">
      <c r="E871" s="757"/>
      <c r="F871" s="757"/>
      <c r="G871" s="757"/>
      <c r="K871" s="757"/>
      <c r="L871" s="757"/>
      <c r="M871" s="757"/>
      <c r="N871" s="757"/>
      <c r="O871" s="757"/>
      <c r="P871" s="757"/>
    </row>
    <row r="872">
      <c r="E872" s="757"/>
      <c r="F872" s="757"/>
      <c r="G872" s="757"/>
      <c r="K872" s="757"/>
      <c r="L872" s="757"/>
      <c r="M872" s="757"/>
      <c r="N872" s="757"/>
      <c r="O872" s="757"/>
      <c r="P872" s="757"/>
    </row>
    <row r="873">
      <c r="E873" s="757"/>
      <c r="F873" s="757"/>
      <c r="G873" s="757"/>
      <c r="K873" s="757"/>
      <c r="L873" s="757"/>
      <c r="M873" s="757"/>
      <c r="N873" s="757"/>
      <c r="O873" s="757"/>
      <c r="P873" s="757"/>
    </row>
    <row r="874">
      <c r="E874" s="757"/>
      <c r="F874" s="757"/>
      <c r="G874" s="757"/>
      <c r="K874" s="757"/>
      <c r="L874" s="757"/>
      <c r="M874" s="757"/>
      <c r="N874" s="757"/>
      <c r="O874" s="757"/>
      <c r="P874" s="757"/>
    </row>
    <row r="875">
      <c r="E875" s="757"/>
      <c r="F875" s="757"/>
      <c r="G875" s="757"/>
      <c r="K875" s="757"/>
      <c r="L875" s="757"/>
      <c r="M875" s="757"/>
      <c r="N875" s="757"/>
      <c r="O875" s="757"/>
      <c r="P875" s="757"/>
    </row>
    <row r="876">
      <c r="E876" s="757"/>
      <c r="F876" s="757"/>
      <c r="G876" s="757"/>
      <c r="K876" s="757"/>
      <c r="L876" s="757"/>
      <c r="M876" s="757"/>
      <c r="N876" s="757"/>
      <c r="O876" s="757"/>
      <c r="P876" s="757"/>
    </row>
    <row r="877">
      <c r="E877" s="757"/>
      <c r="F877" s="757"/>
      <c r="G877" s="757"/>
      <c r="K877" s="757"/>
      <c r="L877" s="757"/>
      <c r="M877" s="757"/>
      <c r="N877" s="757"/>
      <c r="O877" s="757"/>
      <c r="P877" s="757"/>
    </row>
    <row r="878">
      <c r="E878" s="757"/>
      <c r="F878" s="757"/>
      <c r="G878" s="757"/>
      <c r="K878" s="757"/>
      <c r="L878" s="757"/>
      <c r="M878" s="757"/>
      <c r="N878" s="757"/>
      <c r="O878" s="757"/>
      <c r="P878" s="757"/>
    </row>
    <row r="879">
      <c r="E879" s="757"/>
      <c r="F879" s="757"/>
      <c r="G879" s="757"/>
      <c r="K879" s="757"/>
      <c r="L879" s="757"/>
      <c r="M879" s="757"/>
      <c r="N879" s="757"/>
      <c r="O879" s="757"/>
      <c r="P879" s="757"/>
    </row>
    <row r="880">
      <c r="E880" s="757"/>
      <c r="F880" s="757"/>
      <c r="G880" s="757"/>
      <c r="K880" s="757"/>
      <c r="L880" s="757"/>
      <c r="M880" s="757"/>
      <c r="N880" s="757"/>
      <c r="O880" s="757"/>
      <c r="P880" s="757"/>
    </row>
    <row r="881">
      <c r="E881" s="757"/>
      <c r="F881" s="757"/>
      <c r="G881" s="757"/>
      <c r="K881" s="757"/>
      <c r="L881" s="757"/>
      <c r="M881" s="757"/>
      <c r="N881" s="757"/>
      <c r="O881" s="757"/>
      <c r="P881" s="757"/>
    </row>
    <row r="882">
      <c r="E882" s="757"/>
      <c r="F882" s="757"/>
      <c r="G882" s="757"/>
      <c r="K882" s="757"/>
      <c r="L882" s="757"/>
      <c r="M882" s="757"/>
      <c r="N882" s="757"/>
      <c r="O882" s="757"/>
      <c r="P882" s="757"/>
    </row>
    <row r="883">
      <c r="E883" s="757"/>
      <c r="F883" s="757"/>
      <c r="G883" s="757"/>
      <c r="K883" s="757"/>
      <c r="L883" s="757"/>
      <c r="M883" s="757"/>
      <c r="N883" s="757"/>
      <c r="O883" s="757"/>
      <c r="P883" s="757"/>
    </row>
    <row r="884">
      <c r="E884" s="757"/>
      <c r="F884" s="757"/>
      <c r="G884" s="757"/>
      <c r="K884" s="757"/>
      <c r="L884" s="757"/>
      <c r="M884" s="757"/>
      <c r="N884" s="757"/>
      <c r="O884" s="757"/>
      <c r="P884" s="757"/>
    </row>
    <row r="885">
      <c r="E885" s="757"/>
      <c r="F885" s="757"/>
      <c r="G885" s="757"/>
      <c r="K885" s="757"/>
      <c r="L885" s="757"/>
      <c r="M885" s="757"/>
      <c r="N885" s="757"/>
      <c r="O885" s="757"/>
      <c r="P885" s="757"/>
    </row>
    <row r="886">
      <c r="E886" s="757"/>
      <c r="F886" s="757"/>
      <c r="G886" s="757"/>
      <c r="K886" s="757"/>
      <c r="L886" s="757"/>
      <c r="M886" s="757"/>
      <c r="N886" s="757"/>
      <c r="O886" s="757"/>
      <c r="P886" s="757"/>
    </row>
    <row r="887">
      <c r="E887" s="757"/>
      <c r="F887" s="757"/>
      <c r="G887" s="757"/>
      <c r="K887" s="757"/>
      <c r="L887" s="757"/>
      <c r="M887" s="757"/>
      <c r="N887" s="757"/>
      <c r="O887" s="757"/>
      <c r="P887" s="757"/>
    </row>
    <row r="888">
      <c r="E888" s="757"/>
      <c r="F888" s="757"/>
      <c r="G888" s="757"/>
      <c r="K888" s="757"/>
      <c r="L888" s="757"/>
      <c r="M888" s="757"/>
      <c r="N888" s="757"/>
      <c r="O888" s="757"/>
      <c r="P888" s="757"/>
    </row>
    <row r="889">
      <c r="E889" s="757"/>
      <c r="F889" s="757"/>
      <c r="G889" s="757"/>
      <c r="K889" s="757"/>
      <c r="L889" s="757"/>
      <c r="M889" s="757"/>
      <c r="N889" s="757"/>
      <c r="O889" s="757"/>
      <c r="P889" s="757"/>
    </row>
    <row r="890">
      <c r="E890" s="757"/>
      <c r="F890" s="757"/>
      <c r="G890" s="757"/>
      <c r="K890" s="757"/>
      <c r="L890" s="757"/>
      <c r="M890" s="757"/>
      <c r="N890" s="757"/>
      <c r="O890" s="757"/>
      <c r="P890" s="757"/>
    </row>
    <row r="891">
      <c r="E891" s="757"/>
      <c r="F891" s="757"/>
      <c r="G891" s="757"/>
      <c r="K891" s="757"/>
      <c r="L891" s="757"/>
      <c r="M891" s="757"/>
      <c r="N891" s="757"/>
      <c r="O891" s="757"/>
      <c r="P891" s="757"/>
    </row>
    <row r="892">
      <c r="E892" s="757"/>
      <c r="F892" s="757"/>
      <c r="G892" s="757"/>
      <c r="K892" s="757"/>
      <c r="L892" s="757"/>
      <c r="M892" s="757"/>
      <c r="N892" s="757"/>
      <c r="O892" s="757"/>
      <c r="P892" s="757"/>
    </row>
    <row r="893">
      <c r="E893" s="757"/>
      <c r="F893" s="757"/>
      <c r="G893" s="757"/>
      <c r="K893" s="757"/>
      <c r="L893" s="757"/>
      <c r="M893" s="757"/>
      <c r="N893" s="757"/>
      <c r="O893" s="757"/>
      <c r="P893" s="757"/>
    </row>
    <row r="894">
      <c r="E894" s="757"/>
      <c r="F894" s="757"/>
      <c r="G894" s="757"/>
      <c r="K894" s="757"/>
      <c r="L894" s="757"/>
      <c r="M894" s="757"/>
      <c r="N894" s="757"/>
      <c r="O894" s="757"/>
      <c r="P894" s="757"/>
    </row>
    <row r="895">
      <c r="E895" s="757"/>
      <c r="F895" s="757"/>
      <c r="G895" s="757"/>
      <c r="K895" s="757"/>
      <c r="L895" s="757"/>
      <c r="M895" s="757"/>
      <c r="N895" s="757"/>
      <c r="O895" s="757"/>
      <c r="P895" s="757"/>
    </row>
    <row r="896">
      <c r="E896" s="757"/>
      <c r="F896" s="757"/>
      <c r="G896" s="757"/>
      <c r="K896" s="757"/>
      <c r="L896" s="757"/>
      <c r="M896" s="757"/>
      <c r="N896" s="757"/>
      <c r="O896" s="757"/>
      <c r="P896" s="757"/>
    </row>
    <row r="897">
      <c r="E897" s="757"/>
      <c r="F897" s="757"/>
      <c r="G897" s="757"/>
      <c r="K897" s="757"/>
      <c r="L897" s="757"/>
      <c r="M897" s="757"/>
      <c r="N897" s="757"/>
      <c r="O897" s="757"/>
      <c r="P897" s="757"/>
    </row>
    <row r="898">
      <c r="E898" s="757"/>
      <c r="F898" s="757"/>
      <c r="G898" s="757"/>
      <c r="K898" s="757"/>
      <c r="L898" s="757"/>
      <c r="M898" s="757"/>
      <c r="N898" s="757"/>
      <c r="O898" s="757"/>
      <c r="P898" s="757"/>
    </row>
    <row r="899">
      <c r="E899" s="757"/>
      <c r="F899" s="757"/>
      <c r="G899" s="757"/>
      <c r="K899" s="757"/>
      <c r="L899" s="757"/>
      <c r="M899" s="757"/>
      <c r="N899" s="757"/>
      <c r="O899" s="757"/>
      <c r="P899" s="757"/>
    </row>
    <row r="900">
      <c r="E900" s="757"/>
      <c r="F900" s="757"/>
      <c r="G900" s="757"/>
      <c r="K900" s="757"/>
      <c r="L900" s="757"/>
      <c r="M900" s="757"/>
      <c r="N900" s="757"/>
      <c r="O900" s="757"/>
      <c r="P900" s="757"/>
    </row>
    <row r="901">
      <c r="E901" s="757"/>
      <c r="F901" s="757"/>
      <c r="G901" s="757"/>
      <c r="K901" s="757"/>
      <c r="L901" s="757"/>
      <c r="M901" s="757"/>
      <c r="N901" s="757"/>
      <c r="O901" s="757"/>
      <c r="P901" s="757"/>
    </row>
    <row r="902">
      <c r="E902" s="757"/>
      <c r="F902" s="757"/>
      <c r="G902" s="757"/>
      <c r="K902" s="757"/>
      <c r="L902" s="757"/>
      <c r="M902" s="757"/>
      <c r="N902" s="757"/>
      <c r="O902" s="757"/>
      <c r="P902" s="757"/>
    </row>
    <row r="903">
      <c r="E903" s="757"/>
      <c r="F903" s="757"/>
      <c r="G903" s="757"/>
      <c r="K903" s="757"/>
      <c r="L903" s="757"/>
      <c r="M903" s="757"/>
      <c r="N903" s="757"/>
      <c r="O903" s="757"/>
      <c r="P903" s="757"/>
    </row>
    <row r="904">
      <c r="E904" s="757"/>
      <c r="F904" s="757"/>
      <c r="G904" s="757"/>
      <c r="K904" s="757"/>
      <c r="L904" s="757"/>
      <c r="M904" s="757"/>
      <c r="N904" s="757"/>
      <c r="O904" s="757"/>
      <c r="P904" s="757"/>
    </row>
    <row r="905">
      <c r="E905" s="757"/>
      <c r="F905" s="757"/>
      <c r="G905" s="757"/>
      <c r="K905" s="757"/>
      <c r="L905" s="757"/>
      <c r="M905" s="757"/>
      <c r="N905" s="757"/>
      <c r="O905" s="757"/>
      <c r="P905" s="757"/>
    </row>
    <row r="906">
      <c r="E906" s="757"/>
      <c r="F906" s="757"/>
      <c r="G906" s="757"/>
      <c r="K906" s="757"/>
      <c r="L906" s="757"/>
      <c r="M906" s="757"/>
      <c r="N906" s="757"/>
      <c r="O906" s="757"/>
      <c r="P906" s="757"/>
    </row>
    <row r="907">
      <c r="E907" s="757"/>
      <c r="F907" s="757"/>
      <c r="G907" s="757"/>
      <c r="K907" s="757"/>
      <c r="L907" s="757"/>
      <c r="M907" s="757"/>
      <c r="N907" s="757"/>
      <c r="O907" s="757"/>
      <c r="P907" s="757"/>
    </row>
    <row r="908">
      <c r="E908" s="757"/>
      <c r="F908" s="757"/>
      <c r="G908" s="757"/>
      <c r="K908" s="757"/>
      <c r="L908" s="757"/>
      <c r="M908" s="757"/>
      <c r="N908" s="757"/>
      <c r="O908" s="757"/>
      <c r="P908" s="757"/>
    </row>
    <row r="909">
      <c r="E909" s="757"/>
      <c r="F909" s="757"/>
      <c r="G909" s="757"/>
      <c r="K909" s="757"/>
      <c r="L909" s="757"/>
      <c r="M909" s="757"/>
      <c r="N909" s="757"/>
      <c r="O909" s="757"/>
      <c r="P909" s="757"/>
    </row>
    <row r="910">
      <c r="E910" s="757"/>
      <c r="F910" s="757"/>
      <c r="G910" s="757"/>
      <c r="K910" s="757"/>
      <c r="L910" s="757"/>
      <c r="M910" s="757"/>
      <c r="N910" s="757"/>
      <c r="O910" s="757"/>
      <c r="P910" s="757"/>
    </row>
    <row r="911">
      <c r="E911" s="757"/>
      <c r="F911" s="757"/>
      <c r="G911" s="757"/>
      <c r="K911" s="757"/>
      <c r="L911" s="757"/>
      <c r="M911" s="757"/>
      <c r="N911" s="757"/>
      <c r="O911" s="757"/>
      <c r="P911" s="757"/>
    </row>
    <row r="912">
      <c r="E912" s="757"/>
      <c r="F912" s="757"/>
      <c r="G912" s="757"/>
      <c r="K912" s="757"/>
      <c r="L912" s="757"/>
      <c r="M912" s="757"/>
      <c r="N912" s="757"/>
      <c r="O912" s="757"/>
      <c r="P912" s="757"/>
    </row>
    <row r="913">
      <c r="E913" s="757"/>
      <c r="F913" s="757"/>
      <c r="G913" s="757"/>
      <c r="K913" s="757"/>
      <c r="L913" s="757"/>
      <c r="M913" s="757"/>
      <c r="N913" s="757"/>
      <c r="O913" s="757"/>
      <c r="P913" s="757"/>
    </row>
    <row r="914">
      <c r="E914" s="757"/>
      <c r="F914" s="757"/>
      <c r="G914" s="757"/>
      <c r="K914" s="757"/>
      <c r="L914" s="757"/>
      <c r="M914" s="757"/>
      <c r="N914" s="757"/>
      <c r="O914" s="757"/>
      <c r="P914" s="757"/>
    </row>
    <row r="915">
      <c r="E915" s="757"/>
      <c r="F915" s="757"/>
      <c r="G915" s="757"/>
      <c r="K915" s="757"/>
      <c r="L915" s="757"/>
      <c r="M915" s="757"/>
      <c r="N915" s="757"/>
      <c r="O915" s="757"/>
      <c r="P915" s="757"/>
    </row>
    <row r="916">
      <c r="E916" s="757"/>
      <c r="F916" s="757"/>
      <c r="G916" s="757"/>
      <c r="K916" s="757"/>
      <c r="L916" s="757"/>
      <c r="M916" s="757"/>
      <c r="N916" s="757"/>
      <c r="O916" s="757"/>
      <c r="P916" s="757"/>
    </row>
    <row r="917">
      <c r="E917" s="757"/>
      <c r="F917" s="757"/>
      <c r="G917" s="757"/>
      <c r="K917" s="757"/>
      <c r="L917" s="757"/>
      <c r="M917" s="757"/>
      <c r="N917" s="757"/>
      <c r="O917" s="757"/>
      <c r="P917" s="757"/>
    </row>
    <row r="918">
      <c r="E918" s="757"/>
      <c r="F918" s="757"/>
      <c r="G918" s="757"/>
      <c r="K918" s="757"/>
      <c r="L918" s="757"/>
      <c r="M918" s="757"/>
      <c r="N918" s="757"/>
      <c r="O918" s="757"/>
      <c r="P918" s="757"/>
    </row>
    <row r="919">
      <c r="E919" s="757"/>
      <c r="F919" s="757"/>
      <c r="G919" s="757"/>
      <c r="K919" s="757"/>
      <c r="L919" s="757"/>
      <c r="M919" s="757"/>
      <c r="N919" s="757"/>
      <c r="O919" s="757"/>
      <c r="P919" s="757"/>
    </row>
    <row r="920">
      <c r="E920" s="757"/>
      <c r="F920" s="757"/>
      <c r="G920" s="757"/>
      <c r="K920" s="757"/>
      <c r="L920" s="757"/>
      <c r="M920" s="757"/>
      <c r="N920" s="757"/>
      <c r="O920" s="757"/>
      <c r="P920" s="757"/>
    </row>
    <row r="921">
      <c r="E921" s="757"/>
      <c r="F921" s="757"/>
      <c r="G921" s="757"/>
      <c r="K921" s="757"/>
      <c r="L921" s="757"/>
      <c r="M921" s="757"/>
      <c r="N921" s="757"/>
      <c r="O921" s="757"/>
      <c r="P921" s="757"/>
    </row>
    <row r="922">
      <c r="E922" s="757"/>
      <c r="F922" s="757"/>
      <c r="G922" s="757"/>
      <c r="K922" s="757"/>
      <c r="L922" s="757"/>
      <c r="M922" s="757"/>
      <c r="N922" s="757"/>
      <c r="O922" s="757"/>
      <c r="P922" s="757"/>
    </row>
    <row r="923">
      <c r="E923" s="757"/>
      <c r="F923" s="757"/>
      <c r="G923" s="757"/>
      <c r="K923" s="757"/>
      <c r="L923" s="757"/>
      <c r="M923" s="757"/>
      <c r="N923" s="757"/>
      <c r="O923" s="757"/>
      <c r="P923" s="757"/>
    </row>
    <row r="924">
      <c r="E924" s="757"/>
      <c r="F924" s="757"/>
      <c r="G924" s="757"/>
      <c r="K924" s="757"/>
      <c r="L924" s="757"/>
      <c r="M924" s="757"/>
      <c r="N924" s="757"/>
      <c r="O924" s="757"/>
      <c r="P924" s="757"/>
    </row>
    <row r="925">
      <c r="E925" s="757"/>
      <c r="F925" s="757"/>
      <c r="G925" s="757"/>
      <c r="K925" s="757"/>
      <c r="L925" s="757"/>
      <c r="M925" s="757"/>
      <c r="N925" s="757"/>
      <c r="O925" s="757"/>
      <c r="P925" s="757"/>
    </row>
    <row r="926">
      <c r="E926" s="757"/>
      <c r="F926" s="757"/>
      <c r="G926" s="757"/>
      <c r="K926" s="757"/>
      <c r="L926" s="757"/>
      <c r="M926" s="757"/>
      <c r="N926" s="757"/>
      <c r="O926" s="757"/>
      <c r="P926" s="757"/>
    </row>
    <row r="927">
      <c r="E927" s="757"/>
      <c r="F927" s="757"/>
      <c r="G927" s="757"/>
      <c r="K927" s="757"/>
      <c r="L927" s="757"/>
      <c r="M927" s="757"/>
      <c r="N927" s="757"/>
      <c r="O927" s="757"/>
      <c r="P927" s="757"/>
    </row>
    <row r="928">
      <c r="E928" s="757"/>
      <c r="F928" s="757"/>
      <c r="G928" s="757"/>
      <c r="K928" s="757"/>
      <c r="L928" s="757"/>
      <c r="M928" s="757"/>
      <c r="N928" s="757"/>
      <c r="O928" s="757"/>
      <c r="P928" s="757"/>
    </row>
    <row r="929">
      <c r="E929" s="757"/>
      <c r="F929" s="757"/>
      <c r="G929" s="757"/>
      <c r="K929" s="757"/>
      <c r="L929" s="757"/>
      <c r="M929" s="757"/>
      <c r="N929" s="757"/>
      <c r="O929" s="757"/>
      <c r="P929" s="757"/>
    </row>
    <row r="930">
      <c r="E930" s="757"/>
      <c r="F930" s="757"/>
      <c r="G930" s="757"/>
      <c r="K930" s="757"/>
      <c r="L930" s="757"/>
      <c r="M930" s="757"/>
      <c r="N930" s="757"/>
      <c r="O930" s="757"/>
      <c r="P930" s="757"/>
    </row>
    <row r="931">
      <c r="E931" s="757"/>
      <c r="F931" s="757"/>
      <c r="G931" s="757"/>
      <c r="K931" s="757"/>
      <c r="L931" s="757"/>
      <c r="M931" s="757"/>
      <c r="N931" s="757"/>
      <c r="O931" s="757"/>
      <c r="P931" s="757"/>
    </row>
    <row r="932">
      <c r="E932" s="757"/>
      <c r="F932" s="757"/>
      <c r="G932" s="757"/>
      <c r="K932" s="757"/>
      <c r="L932" s="757"/>
      <c r="M932" s="757"/>
      <c r="N932" s="757"/>
      <c r="O932" s="757"/>
      <c r="P932" s="757"/>
    </row>
    <row r="933">
      <c r="E933" s="757"/>
      <c r="F933" s="757"/>
      <c r="G933" s="757"/>
      <c r="K933" s="757"/>
      <c r="L933" s="757"/>
      <c r="M933" s="757"/>
      <c r="N933" s="757"/>
      <c r="O933" s="757"/>
      <c r="P933" s="757"/>
    </row>
    <row r="934">
      <c r="E934" s="757"/>
      <c r="F934" s="757"/>
      <c r="G934" s="757"/>
      <c r="K934" s="757"/>
      <c r="L934" s="757"/>
      <c r="M934" s="757"/>
      <c r="N934" s="757"/>
      <c r="O934" s="757"/>
      <c r="P934" s="757"/>
    </row>
    <row r="935">
      <c r="E935" s="757"/>
      <c r="F935" s="757"/>
      <c r="G935" s="757"/>
      <c r="K935" s="757"/>
      <c r="L935" s="757"/>
      <c r="M935" s="757"/>
      <c r="N935" s="757"/>
      <c r="O935" s="757"/>
      <c r="P935" s="757"/>
    </row>
    <row r="936">
      <c r="E936" s="757"/>
      <c r="F936" s="757"/>
      <c r="G936" s="757"/>
      <c r="K936" s="757"/>
      <c r="L936" s="757"/>
      <c r="M936" s="757"/>
      <c r="N936" s="757"/>
      <c r="O936" s="757"/>
      <c r="P936" s="757"/>
    </row>
    <row r="937">
      <c r="E937" s="757"/>
      <c r="F937" s="757"/>
      <c r="G937" s="757"/>
      <c r="K937" s="757"/>
      <c r="L937" s="757"/>
      <c r="M937" s="757"/>
      <c r="N937" s="757"/>
      <c r="O937" s="757"/>
      <c r="P937" s="757"/>
    </row>
    <row r="938">
      <c r="E938" s="757"/>
      <c r="F938" s="757"/>
      <c r="G938" s="757"/>
      <c r="K938" s="757"/>
      <c r="L938" s="757"/>
      <c r="M938" s="757"/>
      <c r="N938" s="757"/>
      <c r="O938" s="757"/>
      <c r="P938" s="757"/>
    </row>
    <row r="939">
      <c r="E939" s="757"/>
      <c r="F939" s="757"/>
      <c r="G939" s="757"/>
      <c r="K939" s="757"/>
      <c r="L939" s="757"/>
      <c r="M939" s="757"/>
      <c r="N939" s="757"/>
      <c r="O939" s="757"/>
      <c r="P939" s="757"/>
    </row>
    <row r="940">
      <c r="E940" s="757"/>
      <c r="F940" s="757"/>
      <c r="G940" s="757"/>
      <c r="K940" s="757"/>
      <c r="L940" s="757"/>
      <c r="M940" s="757"/>
      <c r="N940" s="757"/>
      <c r="O940" s="757"/>
      <c r="P940" s="757"/>
    </row>
    <row r="941">
      <c r="E941" s="757"/>
      <c r="F941" s="757"/>
      <c r="G941" s="757"/>
      <c r="K941" s="757"/>
      <c r="L941" s="757"/>
      <c r="M941" s="757"/>
      <c r="N941" s="757"/>
      <c r="O941" s="757"/>
      <c r="P941" s="757"/>
    </row>
    <row r="942">
      <c r="E942" s="757"/>
      <c r="F942" s="757"/>
      <c r="G942" s="757"/>
      <c r="K942" s="757"/>
      <c r="L942" s="757"/>
      <c r="M942" s="757"/>
      <c r="N942" s="757"/>
      <c r="O942" s="757"/>
      <c r="P942" s="757"/>
    </row>
    <row r="943">
      <c r="E943" s="757"/>
      <c r="F943" s="757"/>
      <c r="G943" s="757"/>
      <c r="K943" s="757"/>
      <c r="L943" s="757"/>
      <c r="M943" s="757"/>
      <c r="N943" s="757"/>
      <c r="O943" s="757"/>
      <c r="P943" s="757"/>
    </row>
    <row r="944">
      <c r="E944" s="757"/>
      <c r="F944" s="757"/>
      <c r="G944" s="757"/>
      <c r="K944" s="757"/>
      <c r="L944" s="757"/>
      <c r="M944" s="757"/>
      <c r="N944" s="757"/>
      <c r="O944" s="757"/>
      <c r="P944" s="757"/>
    </row>
    <row r="945">
      <c r="E945" s="757"/>
      <c r="F945" s="757"/>
      <c r="G945" s="757"/>
      <c r="K945" s="757"/>
      <c r="L945" s="757"/>
      <c r="M945" s="757"/>
      <c r="N945" s="757"/>
      <c r="O945" s="757"/>
      <c r="P945" s="757"/>
    </row>
    <row r="946">
      <c r="E946" s="757"/>
      <c r="F946" s="757"/>
      <c r="G946" s="757"/>
      <c r="K946" s="757"/>
      <c r="L946" s="757"/>
      <c r="M946" s="757"/>
      <c r="N946" s="757"/>
      <c r="O946" s="757"/>
      <c r="P946" s="757"/>
    </row>
    <row r="947">
      <c r="E947" s="757"/>
      <c r="F947" s="757"/>
      <c r="G947" s="757"/>
      <c r="K947" s="757"/>
      <c r="L947" s="757"/>
      <c r="M947" s="757"/>
      <c r="N947" s="757"/>
      <c r="O947" s="757"/>
      <c r="P947" s="757"/>
    </row>
    <row r="948">
      <c r="E948" s="757"/>
      <c r="F948" s="757"/>
      <c r="G948" s="757"/>
      <c r="K948" s="757"/>
      <c r="L948" s="757"/>
      <c r="M948" s="757"/>
      <c r="N948" s="757"/>
      <c r="O948" s="757"/>
      <c r="P948" s="757"/>
    </row>
    <row r="949">
      <c r="E949" s="757"/>
      <c r="F949" s="757"/>
      <c r="G949" s="757"/>
      <c r="K949" s="757"/>
      <c r="L949" s="757"/>
      <c r="M949" s="757"/>
      <c r="N949" s="757"/>
      <c r="O949" s="757"/>
      <c r="P949" s="757"/>
    </row>
    <row r="950">
      <c r="E950" s="757"/>
      <c r="F950" s="757"/>
      <c r="G950" s="757"/>
      <c r="K950" s="757"/>
      <c r="L950" s="757"/>
      <c r="M950" s="757"/>
      <c r="N950" s="757"/>
      <c r="O950" s="757"/>
      <c r="P950" s="757"/>
    </row>
    <row r="951">
      <c r="E951" s="757"/>
      <c r="F951" s="757"/>
      <c r="G951" s="757"/>
      <c r="K951" s="757"/>
      <c r="L951" s="757"/>
      <c r="M951" s="757"/>
      <c r="N951" s="757"/>
      <c r="O951" s="757"/>
      <c r="P951" s="757"/>
    </row>
    <row r="952">
      <c r="E952" s="757"/>
      <c r="F952" s="757"/>
      <c r="G952" s="757"/>
      <c r="K952" s="757"/>
      <c r="L952" s="757"/>
      <c r="M952" s="757"/>
      <c r="N952" s="757"/>
      <c r="O952" s="757"/>
      <c r="P952" s="757"/>
    </row>
    <row r="953">
      <c r="E953" s="757"/>
      <c r="F953" s="757"/>
      <c r="G953" s="757"/>
      <c r="K953" s="757"/>
      <c r="L953" s="757"/>
      <c r="M953" s="757"/>
      <c r="N953" s="757"/>
      <c r="O953" s="757"/>
      <c r="P953" s="757"/>
    </row>
    <row r="954">
      <c r="E954" s="757"/>
      <c r="F954" s="757"/>
      <c r="G954" s="757"/>
      <c r="K954" s="757"/>
      <c r="L954" s="757"/>
      <c r="M954" s="757"/>
      <c r="N954" s="757"/>
      <c r="O954" s="757"/>
      <c r="P954" s="757"/>
    </row>
    <row r="955">
      <c r="E955" s="757"/>
      <c r="F955" s="757"/>
      <c r="G955" s="757"/>
      <c r="K955" s="757"/>
      <c r="L955" s="757"/>
      <c r="M955" s="757"/>
      <c r="N955" s="757"/>
      <c r="O955" s="757"/>
      <c r="P955" s="757"/>
    </row>
    <row r="956">
      <c r="E956" s="757"/>
      <c r="F956" s="757"/>
      <c r="G956" s="757"/>
      <c r="K956" s="757"/>
      <c r="L956" s="757"/>
      <c r="M956" s="757"/>
      <c r="N956" s="757"/>
      <c r="O956" s="757"/>
      <c r="P956" s="757"/>
    </row>
    <row r="957">
      <c r="E957" s="757"/>
      <c r="F957" s="757"/>
      <c r="G957" s="757"/>
      <c r="K957" s="757"/>
      <c r="L957" s="757"/>
      <c r="M957" s="757"/>
      <c r="N957" s="757"/>
      <c r="O957" s="757"/>
      <c r="P957" s="757"/>
    </row>
    <row r="958">
      <c r="E958" s="757"/>
      <c r="F958" s="757"/>
      <c r="G958" s="757"/>
      <c r="K958" s="757"/>
      <c r="L958" s="757"/>
      <c r="M958" s="757"/>
      <c r="N958" s="757"/>
      <c r="O958" s="757"/>
      <c r="P958" s="757"/>
    </row>
    <row r="959">
      <c r="E959" s="757"/>
      <c r="F959" s="757"/>
      <c r="G959" s="757"/>
      <c r="K959" s="757"/>
      <c r="L959" s="757"/>
      <c r="M959" s="757"/>
      <c r="N959" s="757"/>
      <c r="O959" s="757"/>
      <c r="P959" s="757"/>
    </row>
    <row r="960">
      <c r="E960" s="757"/>
      <c r="F960" s="757"/>
      <c r="G960" s="757"/>
      <c r="K960" s="757"/>
      <c r="L960" s="757"/>
      <c r="M960" s="757"/>
      <c r="N960" s="757"/>
      <c r="O960" s="757"/>
      <c r="P960" s="757"/>
    </row>
    <row r="961">
      <c r="E961" s="757"/>
      <c r="F961" s="757"/>
      <c r="G961" s="757"/>
      <c r="K961" s="757"/>
      <c r="L961" s="757"/>
      <c r="M961" s="757"/>
      <c r="N961" s="757"/>
      <c r="O961" s="757"/>
      <c r="P961" s="757"/>
    </row>
    <row r="962">
      <c r="E962" s="757"/>
      <c r="F962" s="757"/>
      <c r="G962" s="757"/>
      <c r="K962" s="757"/>
      <c r="L962" s="757"/>
      <c r="M962" s="757"/>
      <c r="N962" s="757"/>
      <c r="O962" s="757"/>
      <c r="P962" s="757"/>
    </row>
    <row r="963">
      <c r="E963" s="757"/>
      <c r="F963" s="757"/>
      <c r="G963" s="757"/>
      <c r="K963" s="757"/>
      <c r="L963" s="757"/>
      <c r="M963" s="757"/>
      <c r="N963" s="757"/>
      <c r="O963" s="757"/>
      <c r="P963" s="757"/>
    </row>
    <row r="964">
      <c r="E964" s="757"/>
      <c r="F964" s="757"/>
      <c r="G964" s="757"/>
      <c r="K964" s="757"/>
      <c r="L964" s="757"/>
      <c r="M964" s="757"/>
      <c r="N964" s="757"/>
      <c r="O964" s="757"/>
      <c r="P964" s="757"/>
    </row>
    <row r="965">
      <c r="E965" s="757"/>
      <c r="F965" s="757"/>
      <c r="G965" s="757"/>
      <c r="K965" s="757"/>
      <c r="L965" s="757"/>
      <c r="M965" s="757"/>
      <c r="N965" s="757"/>
      <c r="O965" s="757"/>
      <c r="P965" s="757"/>
    </row>
    <row r="966">
      <c r="E966" s="757"/>
      <c r="F966" s="757"/>
      <c r="G966" s="757"/>
      <c r="K966" s="757"/>
      <c r="L966" s="757"/>
      <c r="M966" s="757"/>
      <c r="N966" s="757"/>
      <c r="O966" s="757"/>
      <c r="P966" s="757"/>
    </row>
    <row r="967">
      <c r="E967" s="757"/>
      <c r="F967" s="757"/>
      <c r="G967" s="757"/>
      <c r="K967" s="757"/>
      <c r="L967" s="757"/>
      <c r="M967" s="757"/>
      <c r="N967" s="757"/>
      <c r="O967" s="757"/>
      <c r="P967" s="757"/>
    </row>
    <row r="968">
      <c r="E968" s="757"/>
      <c r="F968" s="757"/>
      <c r="G968" s="757"/>
      <c r="K968" s="757"/>
      <c r="L968" s="757"/>
      <c r="M968" s="757"/>
      <c r="N968" s="757"/>
      <c r="O968" s="757"/>
      <c r="P968" s="757"/>
    </row>
    <row r="969">
      <c r="E969" s="757"/>
      <c r="F969" s="757"/>
      <c r="G969" s="757"/>
      <c r="K969" s="757"/>
      <c r="L969" s="757"/>
      <c r="M969" s="757"/>
      <c r="N969" s="757"/>
      <c r="O969" s="757"/>
      <c r="P969" s="757"/>
    </row>
    <row r="970">
      <c r="E970" s="757"/>
      <c r="F970" s="757"/>
      <c r="G970" s="757"/>
      <c r="K970" s="757"/>
      <c r="L970" s="757"/>
      <c r="M970" s="757"/>
      <c r="N970" s="757"/>
      <c r="O970" s="757"/>
      <c r="P970" s="757"/>
    </row>
    <row r="971">
      <c r="E971" s="757"/>
      <c r="F971" s="757"/>
      <c r="G971" s="757"/>
      <c r="K971" s="757"/>
      <c r="L971" s="757"/>
      <c r="M971" s="757"/>
      <c r="N971" s="757"/>
      <c r="O971" s="757"/>
      <c r="P971" s="757"/>
    </row>
    <row r="972">
      <c r="E972" s="757"/>
      <c r="F972" s="757"/>
      <c r="G972" s="757"/>
      <c r="K972" s="757"/>
      <c r="L972" s="757"/>
      <c r="M972" s="757"/>
      <c r="N972" s="757"/>
      <c r="O972" s="757"/>
      <c r="P972" s="757"/>
    </row>
    <row r="973">
      <c r="E973" s="757"/>
      <c r="F973" s="757"/>
      <c r="G973" s="757"/>
      <c r="K973" s="757"/>
      <c r="L973" s="757"/>
      <c r="M973" s="757"/>
      <c r="N973" s="757"/>
      <c r="O973" s="757"/>
      <c r="P973" s="757"/>
    </row>
    <row r="974">
      <c r="E974" s="757"/>
      <c r="F974" s="757"/>
      <c r="G974" s="757"/>
      <c r="K974" s="757"/>
      <c r="L974" s="757"/>
      <c r="M974" s="757"/>
      <c r="N974" s="757"/>
      <c r="O974" s="757"/>
      <c r="P974" s="757"/>
    </row>
    <row r="975">
      <c r="E975" s="757"/>
      <c r="F975" s="757"/>
      <c r="G975" s="757"/>
      <c r="K975" s="757"/>
      <c r="L975" s="757"/>
      <c r="M975" s="757"/>
      <c r="N975" s="757"/>
      <c r="O975" s="757"/>
      <c r="P975" s="757"/>
    </row>
    <row r="976">
      <c r="E976" s="757"/>
      <c r="F976" s="757"/>
      <c r="G976" s="757"/>
      <c r="K976" s="757"/>
      <c r="L976" s="757"/>
      <c r="M976" s="757"/>
      <c r="N976" s="757"/>
      <c r="O976" s="757"/>
      <c r="P976" s="757"/>
    </row>
    <row r="977">
      <c r="E977" s="757"/>
      <c r="F977" s="757"/>
      <c r="G977" s="757"/>
      <c r="K977" s="757"/>
      <c r="L977" s="757"/>
      <c r="M977" s="757"/>
      <c r="N977" s="757"/>
      <c r="O977" s="757"/>
      <c r="P977" s="757"/>
    </row>
    <row r="978">
      <c r="E978" s="757"/>
      <c r="F978" s="757"/>
      <c r="G978" s="757"/>
      <c r="K978" s="757"/>
      <c r="L978" s="757"/>
      <c r="M978" s="757"/>
      <c r="N978" s="757"/>
      <c r="O978" s="757"/>
      <c r="P978" s="757"/>
    </row>
    <row r="979">
      <c r="E979" s="757"/>
      <c r="F979" s="757"/>
      <c r="G979" s="757"/>
      <c r="K979" s="757"/>
      <c r="L979" s="757"/>
      <c r="M979" s="757"/>
      <c r="N979" s="757"/>
      <c r="O979" s="757"/>
      <c r="P979" s="757"/>
    </row>
    <row r="980">
      <c r="E980" s="757"/>
      <c r="F980" s="757"/>
      <c r="G980" s="757"/>
      <c r="K980" s="757"/>
      <c r="L980" s="757"/>
      <c r="M980" s="757"/>
      <c r="N980" s="757"/>
      <c r="O980" s="757"/>
      <c r="P980" s="757"/>
    </row>
    <row r="981">
      <c r="E981" s="757"/>
      <c r="F981" s="757"/>
      <c r="G981" s="757"/>
      <c r="K981" s="757"/>
      <c r="L981" s="757"/>
      <c r="M981" s="757"/>
      <c r="N981" s="757"/>
      <c r="O981" s="757"/>
      <c r="P981" s="757"/>
    </row>
    <row r="982">
      <c r="E982" s="757"/>
      <c r="F982" s="757"/>
      <c r="G982" s="757"/>
      <c r="K982" s="757"/>
      <c r="L982" s="757"/>
      <c r="M982" s="757"/>
      <c r="N982" s="757"/>
      <c r="O982" s="757"/>
      <c r="P982" s="757"/>
    </row>
    <row r="983">
      <c r="E983" s="757"/>
      <c r="F983" s="757"/>
      <c r="G983" s="757"/>
      <c r="K983" s="757"/>
      <c r="L983" s="757"/>
      <c r="M983" s="757"/>
      <c r="N983" s="757"/>
      <c r="O983" s="757"/>
      <c r="P983" s="757"/>
    </row>
    <row r="984">
      <c r="E984" s="757"/>
      <c r="F984" s="757"/>
      <c r="G984" s="757"/>
      <c r="K984" s="757"/>
      <c r="L984" s="757"/>
      <c r="M984" s="757"/>
      <c r="N984" s="757"/>
      <c r="O984" s="757"/>
      <c r="P984" s="757"/>
    </row>
    <row r="985">
      <c r="E985" s="757"/>
      <c r="F985" s="757"/>
      <c r="G985" s="757"/>
      <c r="K985" s="757"/>
      <c r="L985" s="757"/>
      <c r="M985" s="757"/>
      <c r="N985" s="757"/>
      <c r="O985" s="757"/>
      <c r="P985" s="757"/>
    </row>
    <row r="986">
      <c r="E986" s="757"/>
      <c r="F986" s="757"/>
      <c r="G986" s="757"/>
      <c r="K986" s="757"/>
      <c r="L986" s="757"/>
      <c r="M986" s="757"/>
      <c r="N986" s="757"/>
      <c r="O986" s="757"/>
      <c r="P986" s="757"/>
    </row>
    <row r="987">
      <c r="E987" s="757"/>
      <c r="F987" s="757"/>
      <c r="G987" s="757"/>
      <c r="K987" s="757"/>
      <c r="L987" s="757"/>
      <c r="M987" s="757"/>
      <c r="N987" s="757"/>
      <c r="O987" s="757"/>
      <c r="P987" s="757"/>
    </row>
    <row r="988">
      <c r="E988" s="757"/>
      <c r="F988" s="757"/>
      <c r="G988" s="757"/>
      <c r="K988" s="757"/>
      <c r="L988" s="757"/>
      <c r="M988" s="757"/>
      <c r="N988" s="757"/>
      <c r="O988" s="757"/>
      <c r="P988" s="757"/>
    </row>
    <row r="989">
      <c r="E989" s="757"/>
      <c r="F989" s="757"/>
      <c r="G989" s="757"/>
      <c r="K989" s="757"/>
      <c r="L989" s="757"/>
      <c r="M989" s="757"/>
      <c r="N989" s="757"/>
      <c r="O989" s="757"/>
      <c r="P989" s="757"/>
    </row>
    <row r="990">
      <c r="E990" s="757"/>
      <c r="F990" s="757"/>
      <c r="G990" s="757"/>
      <c r="K990" s="757"/>
      <c r="L990" s="757"/>
      <c r="M990" s="757"/>
      <c r="N990" s="757"/>
      <c r="O990" s="757"/>
      <c r="P990" s="757"/>
    </row>
    <row r="991">
      <c r="E991" s="757"/>
      <c r="F991" s="757"/>
      <c r="G991" s="757"/>
      <c r="K991" s="757"/>
      <c r="L991" s="757"/>
      <c r="M991" s="757"/>
      <c r="N991" s="757"/>
      <c r="O991" s="757"/>
      <c r="P991" s="757"/>
    </row>
    <row r="992">
      <c r="E992" s="757"/>
      <c r="F992" s="757"/>
      <c r="G992" s="757"/>
      <c r="K992" s="757"/>
      <c r="L992" s="757"/>
      <c r="M992" s="757"/>
      <c r="N992" s="757"/>
      <c r="O992" s="757"/>
      <c r="P992" s="757"/>
    </row>
    <row r="993">
      <c r="E993" s="757"/>
      <c r="F993" s="757"/>
      <c r="G993" s="757"/>
      <c r="K993" s="757"/>
      <c r="L993" s="757"/>
      <c r="M993" s="757"/>
      <c r="N993" s="757"/>
      <c r="O993" s="757"/>
      <c r="P993" s="757"/>
    </row>
    <row r="994">
      <c r="E994" s="757"/>
      <c r="F994" s="757"/>
      <c r="G994" s="757"/>
      <c r="K994" s="757"/>
      <c r="L994" s="757"/>
      <c r="M994" s="757"/>
      <c r="N994" s="757"/>
      <c r="O994" s="757"/>
      <c r="P994" s="757"/>
    </row>
    <row r="995">
      <c r="E995" s="757"/>
      <c r="F995" s="757"/>
      <c r="G995" s="757"/>
      <c r="K995" s="757"/>
      <c r="L995" s="757"/>
      <c r="M995" s="757"/>
      <c r="N995" s="757"/>
      <c r="O995" s="757"/>
      <c r="P995" s="757"/>
    </row>
    <row r="996">
      <c r="E996" s="757"/>
      <c r="F996" s="757"/>
      <c r="G996" s="757"/>
      <c r="K996" s="757"/>
      <c r="L996" s="757"/>
      <c r="M996" s="757"/>
      <c r="N996" s="757"/>
      <c r="O996" s="757"/>
      <c r="P996" s="757"/>
    </row>
    <row r="997">
      <c r="E997" s="757"/>
      <c r="F997" s="757"/>
      <c r="G997" s="757"/>
      <c r="K997" s="757"/>
      <c r="L997" s="757"/>
      <c r="M997" s="757"/>
      <c r="N997" s="757"/>
      <c r="O997" s="757"/>
      <c r="P997" s="757"/>
    </row>
    <row r="998">
      <c r="E998" s="757"/>
      <c r="F998" s="757"/>
      <c r="G998" s="757"/>
      <c r="K998" s="757"/>
      <c r="L998" s="757"/>
      <c r="M998" s="757"/>
      <c r="N998" s="757"/>
      <c r="O998" s="757"/>
      <c r="P998" s="757"/>
    </row>
    <row r="999">
      <c r="E999" s="757"/>
      <c r="F999" s="757"/>
      <c r="G999" s="757"/>
      <c r="K999" s="757"/>
      <c r="L999" s="757"/>
      <c r="M999" s="757"/>
      <c r="N999" s="757"/>
      <c r="O999" s="757"/>
      <c r="P999" s="757"/>
    </row>
    <row r="1000">
      <c r="E1000" s="757"/>
      <c r="F1000" s="757"/>
      <c r="G1000" s="757"/>
      <c r="K1000" s="757"/>
      <c r="L1000" s="757"/>
      <c r="M1000" s="757"/>
      <c r="N1000" s="757"/>
      <c r="O1000" s="757"/>
      <c r="P1000" s="757"/>
    </row>
    <row r="1001">
      <c r="E1001" s="757"/>
      <c r="F1001" s="757"/>
      <c r="G1001" s="757"/>
      <c r="K1001" s="757"/>
      <c r="L1001" s="757"/>
      <c r="M1001" s="757"/>
      <c r="N1001" s="757"/>
      <c r="O1001" s="757"/>
      <c r="P1001" s="757"/>
    </row>
    <row r="1002">
      <c r="E1002" s="757"/>
      <c r="F1002" s="757"/>
      <c r="G1002" s="757"/>
      <c r="K1002" s="757"/>
      <c r="L1002" s="757"/>
      <c r="M1002" s="757"/>
      <c r="N1002" s="757"/>
      <c r="O1002" s="757"/>
      <c r="P1002" s="757"/>
    </row>
  </sheetData>
  <mergeCells count="3">
    <mergeCell ref="A1:H1"/>
    <mergeCell ref="K1:P1"/>
    <mergeCell ref="B179:I179"/>
  </mergeCell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</cols>
  <sheetData>
    <row r="1">
      <c r="A1" s="763" t="s">
        <v>10115</v>
      </c>
    </row>
    <row r="2">
      <c r="A2" s="763" t="s">
        <v>9773</v>
      </c>
      <c r="B2" s="764" t="s">
        <v>10116</v>
      </c>
      <c r="C2" s="764" t="s">
        <v>9962</v>
      </c>
      <c r="D2" s="764" t="s">
        <v>10117</v>
      </c>
      <c r="E2" s="765" t="s">
        <v>10118</v>
      </c>
      <c r="F2" s="766" t="s">
        <v>10119</v>
      </c>
      <c r="G2" s="766" t="s">
        <v>10120</v>
      </c>
      <c r="H2" s="764" t="s">
        <v>10121</v>
      </c>
      <c r="I2" s="764" t="s">
        <v>2734</v>
      </c>
      <c r="J2" s="767" t="s">
        <v>10122</v>
      </c>
      <c r="K2" s="768" t="s">
        <v>10123</v>
      </c>
    </row>
    <row r="3">
      <c r="A3" s="761">
        <v>46079.0</v>
      </c>
      <c r="B3" s="756">
        <v>125000.0</v>
      </c>
      <c r="C3" s="756">
        <v>1150000.0</v>
      </c>
      <c r="D3" s="756"/>
      <c r="E3" s="756">
        <v>1150000.0</v>
      </c>
      <c r="F3" s="757">
        <f t="shared" ref="F3:F101" si="1">B3+C3-D3-E3</f>
        <v>125000</v>
      </c>
      <c r="G3" s="757"/>
      <c r="H3" s="756" t="s">
        <v>10124</v>
      </c>
      <c r="I3" s="756" t="s">
        <v>10017</v>
      </c>
      <c r="J3" s="769" t="s">
        <v>2735</v>
      </c>
      <c r="K3" s="756" t="s">
        <v>10125</v>
      </c>
    </row>
    <row r="4">
      <c r="A4" s="761">
        <v>46079.0</v>
      </c>
      <c r="B4" s="756">
        <f t="shared" ref="B4:B80" si="2">F3</f>
        <v>125000</v>
      </c>
      <c r="C4" s="756">
        <v>2831000.0</v>
      </c>
      <c r="D4" s="756"/>
      <c r="E4" s="756">
        <v>2831000.0</v>
      </c>
      <c r="F4" s="757">
        <f t="shared" si="1"/>
        <v>125000</v>
      </c>
      <c r="G4" s="757"/>
      <c r="H4" s="756" t="s">
        <v>10124</v>
      </c>
      <c r="I4" s="756" t="s">
        <v>10124</v>
      </c>
      <c r="J4" s="769" t="s">
        <v>10124</v>
      </c>
      <c r="K4" s="756" t="s">
        <v>10125</v>
      </c>
    </row>
    <row r="5">
      <c r="A5" s="762">
        <v>46081.0</v>
      </c>
      <c r="B5" s="756">
        <f t="shared" si="2"/>
        <v>125000</v>
      </c>
      <c r="C5" s="756">
        <v>400000.0</v>
      </c>
      <c r="D5" s="757"/>
      <c r="E5" s="756">
        <v>400000.0</v>
      </c>
      <c r="F5" s="757">
        <f t="shared" si="1"/>
        <v>125000</v>
      </c>
      <c r="G5" s="757"/>
      <c r="H5" s="756" t="s">
        <v>10124</v>
      </c>
      <c r="I5" s="756" t="s">
        <v>10017</v>
      </c>
      <c r="J5" s="769" t="s">
        <v>10124</v>
      </c>
      <c r="K5" s="756" t="s">
        <v>10125</v>
      </c>
    </row>
    <row r="6">
      <c r="A6" s="762">
        <v>46081.0</v>
      </c>
      <c r="B6" s="756">
        <f t="shared" si="2"/>
        <v>125000</v>
      </c>
      <c r="C6" s="756">
        <v>1050000.0</v>
      </c>
      <c r="D6" s="757"/>
      <c r="E6" s="756">
        <v>1050000.0</v>
      </c>
      <c r="F6" s="757">
        <f t="shared" si="1"/>
        <v>125000</v>
      </c>
      <c r="G6" s="757"/>
      <c r="H6" s="756" t="s">
        <v>10124</v>
      </c>
      <c r="I6" s="756" t="s">
        <v>10017</v>
      </c>
      <c r="J6" s="769" t="s">
        <v>10124</v>
      </c>
      <c r="K6" s="756" t="s">
        <v>10125</v>
      </c>
    </row>
    <row r="7">
      <c r="A7" s="762">
        <v>46081.0</v>
      </c>
      <c r="B7" s="756">
        <f t="shared" si="2"/>
        <v>125000</v>
      </c>
      <c r="C7" s="756">
        <v>1000000.0</v>
      </c>
      <c r="D7" s="757"/>
      <c r="E7" s="756">
        <v>1000000.0</v>
      </c>
      <c r="F7" s="757">
        <f t="shared" si="1"/>
        <v>125000</v>
      </c>
      <c r="G7" s="757"/>
      <c r="H7" s="756" t="s">
        <v>10124</v>
      </c>
      <c r="I7" s="756" t="s">
        <v>10124</v>
      </c>
      <c r="J7" s="769" t="s">
        <v>10124</v>
      </c>
      <c r="K7" s="756" t="s">
        <v>10125</v>
      </c>
    </row>
    <row r="8">
      <c r="A8" s="762">
        <v>46081.0</v>
      </c>
      <c r="B8" s="756">
        <f t="shared" si="2"/>
        <v>125000</v>
      </c>
      <c r="C8" s="756">
        <v>500000.0</v>
      </c>
      <c r="D8" s="757"/>
      <c r="E8" s="756">
        <v>500000.0</v>
      </c>
      <c r="F8" s="757">
        <f t="shared" si="1"/>
        <v>125000</v>
      </c>
      <c r="G8" s="757"/>
      <c r="H8" s="756" t="s">
        <v>10124</v>
      </c>
      <c r="I8" s="756" t="s">
        <v>10124</v>
      </c>
      <c r="J8" s="769" t="s">
        <v>10124</v>
      </c>
      <c r="K8" s="756" t="s">
        <v>10125</v>
      </c>
    </row>
    <row r="9">
      <c r="A9" s="761">
        <v>46056.0</v>
      </c>
      <c r="B9" s="756">
        <f t="shared" si="2"/>
        <v>125000</v>
      </c>
      <c r="C9" s="756">
        <v>1500000.0</v>
      </c>
      <c r="D9" s="756"/>
      <c r="E9" s="756">
        <v>1500000.0</v>
      </c>
      <c r="F9" s="757">
        <f t="shared" si="1"/>
        <v>125000</v>
      </c>
      <c r="G9" s="757"/>
      <c r="H9" s="756" t="s">
        <v>10124</v>
      </c>
      <c r="I9" s="756" t="s">
        <v>10017</v>
      </c>
      <c r="J9" s="769" t="s">
        <v>10124</v>
      </c>
      <c r="K9" s="756" t="s">
        <v>10125</v>
      </c>
    </row>
    <row r="10">
      <c r="A10" s="761">
        <v>46056.0</v>
      </c>
      <c r="B10" s="756">
        <f t="shared" si="2"/>
        <v>125000</v>
      </c>
      <c r="C10" s="756">
        <v>525000.0</v>
      </c>
      <c r="D10" s="757"/>
      <c r="E10" s="756">
        <v>525000.0</v>
      </c>
      <c r="F10" s="757">
        <f t="shared" si="1"/>
        <v>125000</v>
      </c>
      <c r="G10" s="757"/>
      <c r="H10" s="756" t="s">
        <v>10124</v>
      </c>
      <c r="I10" s="756" t="s">
        <v>10017</v>
      </c>
      <c r="J10" s="769" t="s">
        <v>10124</v>
      </c>
      <c r="K10" s="756" t="s">
        <v>10125</v>
      </c>
    </row>
    <row r="11">
      <c r="A11" s="761">
        <v>46084.0</v>
      </c>
      <c r="B11" s="756">
        <f t="shared" si="2"/>
        <v>125000</v>
      </c>
      <c r="C11" s="756">
        <v>818000.0</v>
      </c>
      <c r="D11" s="757"/>
      <c r="E11" s="756">
        <v>818000.0</v>
      </c>
      <c r="F11" s="757">
        <f t="shared" si="1"/>
        <v>125000</v>
      </c>
      <c r="G11" s="757"/>
      <c r="H11" s="756" t="s">
        <v>10124</v>
      </c>
      <c r="I11" s="756" t="s">
        <v>10017</v>
      </c>
      <c r="J11" s="769" t="s">
        <v>2735</v>
      </c>
      <c r="K11" s="756" t="s">
        <v>10125</v>
      </c>
    </row>
    <row r="12">
      <c r="A12" s="761">
        <v>46086.0</v>
      </c>
      <c r="B12" s="756">
        <f t="shared" si="2"/>
        <v>125000</v>
      </c>
      <c r="C12" s="756">
        <v>2492000.0</v>
      </c>
      <c r="D12" s="757"/>
      <c r="E12" s="756">
        <v>2492000.0</v>
      </c>
      <c r="F12" s="757">
        <f t="shared" si="1"/>
        <v>125000</v>
      </c>
      <c r="G12" s="757"/>
      <c r="H12" s="756" t="s">
        <v>2976</v>
      </c>
      <c r="I12" s="756" t="s">
        <v>10017</v>
      </c>
      <c r="J12" s="769" t="s">
        <v>10124</v>
      </c>
      <c r="K12" s="756" t="s">
        <v>10125</v>
      </c>
    </row>
    <row r="13">
      <c r="A13" s="761">
        <v>46086.0</v>
      </c>
      <c r="B13" s="756">
        <f t="shared" si="2"/>
        <v>125000</v>
      </c>
      <c r="C13" s="756">
        <v>1510000.0</v>
      </c>
      <c r="D13" s="757"/>
      <c r="E13" s="756">
        <v>1510000.0</v>
      </c>
      <c r="F13" s="757">
        <f t="shared" si="1"/>
        <v>125000</v>
      </c>
      <c r="G13" s="757"/>
      <c r="H13" s="756" t="s">
        <v>10124</v>
      </c>
      <c r="I13" s="756" t="s">
        <v>10017</v>
      </c>
      <c r="J13" s="769" t="s">
        <v>10124</v>
      </c>
      <c r="K13" s="756" t="s">
        <v>10125</v>
      </c>
    </row>
    <row r="14">
      <c r="A14" s="761">
        <v>46086.0</v>
      </c>
      <c r="B14" s="756">
        <f t="shared" si="2"/>
        <v>125000</v>
      </c>
      <c r="C14" s="756">
        <v>1800000.0</v>
      </c>
      <c r="D14" s="757"/>
      <c r="E14" s="756">
        <v>1800000.0</v>
      </c>
      <c r="F14" s="757">
        <f t="shared" si="1"/>
        <v>125000</v>
      </c>
      <c r="G14" s="757"/>
      <c r="H14" s="756" t="s">
        <v>10124</v>
      </c>
      <c r="I14" s="756" t="s">
        <v>10017</v>
      </c>
      <c r="J14" s="769" t="s">
        <v>10124</v>
      </c>
      <c r="K14" s="756" t="s">
        <v>10125</v>
      </c>
    </row>
    <row r="15">
      <c r="A15" s="761">
        <v>46087.0</v>
      </c>
      <c r="B15" s="756">
        <f t="shared" si="2"/>
        <v>125000</v>
      </c>
      <c r="C15" s="756">
        <v>350000.0</v>
      </c>
      <c r="D15" s="757"/>
      <c r="E15" s="756">
        <v>350000.0</v>
      </c>
      <c r="F15" s="757">
        <f t="shared" si="1"/>
        <v>125000</v>
      </c>
      <c r="G15" s="757"/>
      <c r="H15" s="756" t="s">
        <v>2976</v>
      </c>
      <c r="I15" s="756" t="s">
        <v>10017</v>
      </c>
      <c r="J15" s="769" t="s">
        <v>2976</v>
      </c>
      <c r="K15" s="756" t="s">
        <v>10126</v>
      </c>
    </row>
    <row r="16">
      <c r="A16" s="761">
        <v>46088.0</v>
      </c>
      <c r="B16" s="756">
        <f t="shared" si="2"/>
        <v>125000</v>
      </c>
      <c r="C16" s="756">
        <v>1200000.0</v>
      </c>
      <c r="D16" s="757"/>
      <c r="E16" s="756">
        <v>1200000.0</v>
      </c>
      <c r="F16" s="757">
        <f t="shared" si="1"/>
        <v>125000</v>
      </c>
      <c r="G16" s="757"/>
      <c r="H16" s="756" t="s">
        <v>10124</v>
      </c>
      <c r="I16" s="756" t="s">
        <v>10017</v>
      </c>
      <c r="J16" s="769" t="s">
        <v>10124</v>
      </c>
      <c r="K16" s="756" t="s">
        <v>10126</v>
      </c>
    </row>
    <row r="17">
      <c r="A17" s="761">
        <v>46088.0</v>
      </c>
      <c r="B17" s="756">
        <f t="shared" si="2"/>
        <v>125000</v>
      </c>
      <c r="C17" s="756">
        <v>2050000.0</v>
      </c>
      <c r="D17" s="757"/>
      <c r="E17" s="756">
        <v>2050000.0</v>
      </c>
      <c r="F17" s="757">
        <f t="shared" si="1"/>
        <v>125000</v>
      </c>
      <c r="G17" s="757"/>
      <c r="H17" s="756" t="s">
        <v>10124</v>
      </c>
      <c r="I17" s="756" t="s">
        <v>10017</v>
      </c>
      <c r="J17" s="769" t="s">
        <v>10124</v>
      </c>
      <c r="K17" s="756" t="s">
        <v>10125</v>
      </c>
    </row>
    <row r="18">
      <c r="A18" s="761">
        <v>46088.0</v>
      </c>
      <c r="B18" s="756">
        <f t="shared" si="2"/>
        <v>125000</v>
      </c>
      <c r="C18" s="756">
        <v>3800000.0</v>
      </c>
      <c r="D18" s="757"/>
      <c r="E18" s="756">
        <v>3800000.0</v>
      </c>
      <c r="F18" s="757">
        <f t="shared" si="1"/>
        <v>125000</v>
      </c>
      <c r="G18" s="757"/>
      <c r="H18" s="756" t="s">
        <v>10124</v>
      </c>
      <c r="I18" s="756" t="s">
        <v>10124</v>
      </c>
      <c r="J18" s="769" t="s">
        <v>10124</v>
      </c>
      <c r="K18" s="756" t="s">
        <v>10125</v>
      </c>
    </row>
    <row r="19">
      <c r="A19" s="761">
        <v>46090.0</v>
      </c>
      <c r="B19" s="756">
        <f t="shared" si="2"/>
        <v>125000</v>
      </c>
      <c r="C19" s="756">
        <v>665000.0</v>
      </c>
      <c r="D19" s="757"/>
      <c r="E19" s="756">
        <v>665000.0</v>
      </c>
      <c r="F19" s="757">
        <f t="shared" si="1"/>
        <v>125000</v>
      </c>
      <c r="G19" s="757"/>
      <c r="H19" s="756" t="s">
        <v>10124</v>
      </c>
      <c r="I19" s="756" t="s">
        <v>9368</v>
      </c>
      <c r="J19" s="769" t="s">
        <v>10124</v>
      </c>
      <c r="K19" s="756" t="s">
        <v>10125</v>
      </c>
    </row>
    <row r="20">
      <c r="A20" s="761">
        <v>46091.0</v>
      </c>
      <c r="B20" s="756">
        <f t="shared" si="2"/>
        <v>125000</v>
      </c>
      <c r="C20" s="756">
        <v>675000.0</v>
      </c>
      <c r="D20" s="757"/>
      <c r="E20" s="756">
        <v>675000.0</v>
      </c>
      <c r="F20" s="757">
        <f t="shared" si="1"/>
        <v>125000</v>
      </c>
      <c r="G20" s="757"/>
      <c r="H20" s="756" t="s">
        <v>10124</v>
      </c>
      <c r="I20" s="756" t="s">
        <v>9368</v>
      </c>
      <c r="J20" s="769" t="s">
        <v>10124</v>
      </c>
      <c r="K20" s="756" t="s">
        <v>10125</v>
      </c>
    </row>
    <row r="21">
      <c r="A21" s="761">
        <v>46091.0</v>
      </c>
      <c r="B21" s="756">
        <f t="shared" si="2"/>
        <v>125000</v>
      </c>
      <c r="C21" s="756">
        <v>819000.0</v>
      </c>
      <c r="D21" s="757"/>
      <c r="E21" s="756">
        <v>819000.0</v>
      </c>
      <c r="F21" s="757">
        <f t="shared" si="1"/>
        <v>125000</v>
      </c>
      <c r="G21" s="757"/>
      <c r="H21" s="756" t="s">
        <v>10124</v>
      </c>
      <c r="I21" s="756" t="s">
        <v>9368</v>
      </c>
      <c r="J21" s="769" t="s">
        <v>10124</v>
      </c>
      <c r="K21" s="756" t="s">
        <v>10125</v>
      </c>
    </row>
    <row r="22">
      <c r="A22" s="761">
        <v>46091.0</v>
      </c>
      <c r="B22" s="756">
        <f t="shared" si="2"/>
        <v>125000</v>
      </c>
      <c r="C22" s="756">
        <v>1799000.0</v>
      </c>
      <c r="D22" s="757"/>
      <c r="E22" s="756">
        <v>1799000.0</v>
      </c>
      <c r="F22" s="757">
        <f t="shared" si="1"/>
        <v>125000</v>
      </c>
      <c r="G22" s="757"/>
      <c r="H22" s="756" t="s">
        <v>10124</v>
      </c>
      <c r="I22" s="756" t="s">
        <v>9368</v>
      </c>
      <c r="J22" s="769" t="s">
        <v>10124</v>
      </c>
      <c r="K22" s="756" t="s">
        <v>10125</v>
      </c>
    </row>
    <row r="23">
      <c r="A23" s="761">
        <v>46092.0</v>
      </c>
      <c r="B23" s="756">
        <f t="shared" si="2"/>
        <v>125000</v>
      </c>
      <c r="C23" s="756">
        <v>1365000.0</v>
      </c>
      <c r="D23" s="757"/>
      <c r="E23" s="756">
        <v>1365000.0</v>
      </c>
      <c r="F23" s="757">
        <f t="shared" si="1"/>
        <v>125000</v>
      </c>
      <c r="G23" s="757"/>
      <c r="H23" s="756" t="s">
        <v>10124</v>
      </c>
      <c r="I23" s="756" t="s">
        <v>9368</v>
      </c>
      <c r="J23" s="769" t="s">
        <v>10124</v>
      </c>
      <c r="K23" s="756" t="s">
        <v>10125</v>
      </c>
    </row>
    <row r="24">
      <c r="A24" s="761">
        <v>46092.0</v>
      </c>
      <c r="B24" s="756">
        <f t="shared" si="2"/>
        <v>125000</v>
      </c>
      <c r="C24" s="756">
        <v>1050000.0</v>
      </c>
      <c r="D24" s="757"/>
      <c r="E24" s="756">
        <v>1050000.0</v>
      </c>
      <c r="F24" s="757">
        <f t="shared" si="1"/>
        <v>125000</v>
      </c>
      <c r="G24" s="757"/>
      <c r="H24" s="756" t="s">
        <v>10124</v>
      </c>
      <c r="I24" s="756" t="s">
        <v>9368</v>
      </c>
      <c r="J24" s="769" t="s">
        <v>10124</v>
      </c>
      <c r="K24" s="756" t="s">
        <v>10125</v>
      </c>
    </row>
    <row r="25">
      <c r="A25" s="761">
        <v>46093.0</v>
      </c>
      <c r="B25" s="756">
        <f t="shared" si="2"/>
        <v>125000</v>
      </c>
      <c r="C25" s="756">
        <v>1000000.0</v>
      </c>
      <c r="D25" s="757"/>
      <c r="E25" s="756">
        <v>1000000.0</v>
      </c>
      <c r="F25" s="757">
        <f t="shared" si="1"/>
        <v>125000</v>
      </c>
      <c r="G25" s="757"/>
      <c r="H25" s="756" t="s">
        <v>10124</v>
      </c>
      <c r="I25" s="756" t="s">
        <v>9368</v>
      </c>
      <c r="J25" s="769" t="s">
        <v>10124</v>
      </c>
      <c r="K25" s="756" t="s">
        <v>10125</v>
      </c>
    </row>
    <row r="26">
      <c r="A26" s="762">
        <v>46093.0</v>
      </c>
      <c r="B26" s="756">
        <f t="shared" si="2"/>
        <v>125000</v>
      </c>
      <c r="C26" s="756">
        <v>1000000.0</v>
      </c>
      <c r="D26" s="757"/>
      <c r="E26" s="756">
        <v>1000000.0</v>
      </c>
      <c r="F26" s="757">
        <f t="shared" si="1"/>
        <v>125000</v>
      </c>
      <c r="G26" s="757"/>
      <c r="H26" s="756" t="s">
        <v>5581</v>
      </c>
      <c r="I26" s="756" t="s">
        <v>5581</v>
      </c>
      <c r="J26" s="769" t="s">
        <v>5581</v>
      </c>
      <c r="K26" s="756" t="s">
        <v>10127</v>
      </c>
    </row>
    <row r="27">
      <c r="A27" s="761">
        <v>46094.0</v>
      </c>
      <c r="B27" s="756">
        <f t="shared" si="2"/>
        <v>125000</v>
      </c>
      <c r="C27" s="756">
        <v>1100000.0</v>
      </c>
      <c r="D27" s="757"/>
      <c r="E27" s="756">
        <v>1100000.0</v>
      </c>
      <c r="F27" s="757">
        <f t="shared" si="1"/>
        <v>125000</v>
      </c>
      <c r="G27" s="757"/>
      <c r="H27" s="756" t="s">
        <v>5581</v>
      </c>
      <c r="I27" s="756" t="s">
        <v>9368</v>
      </c>
      <c r="J27" s="769" t="s">
        <v>5581</v>
      </c>
      <c r="K27" s="756" t="s">
        <v>10125</v>
      </c>
    </row>
    <row r="28">
      <c r="A28" s="761">
        <v>46094.0</v>
      </c>
      <c r="B28" s="756">
        <f t="shared" si="2"/>
        <v>125000</v>
      </c>
      <c r="C28" s="756">
        <v>600000.0</v>
      </c>
      <c r="D28" s="757"/>
      <c r="E28" s="756">
        <v>600000.0</v>
      </c>
      <c r="F28" s="757">
        <f t="shared" si="1"/>
        <v>125000</v>
      </c>
      <c r="G28" s="757"/>
      <c r="H28" s="756" t="s">
        <v>5581</v>
      </c>
      <c r="I28" s="756" t="s">
        <v>9368</v>
      </c>
      <c r="J28" s="769" t="s">
        <v>5581</v>
      </c>
      <c r="K28" s="756" t="s">
        <v>10127</v>
      </c>
    </row>
    <row r="29">
      <c r="A29" s="761">
        <v>46095.0</v>
      </c>
      <c r="B29" s="756">
        <f t="shared" si="2"/>
        <v>125000</v>
      </c>
      <c r="C29" s="756">
        <v>2183000.0</v>
      </c>
      <c r="D29" s="757"/>
      <c r="E29" s="756">
        <v>2183000.0</v>
      </c>
      <c r="F29" s="757">
        <f t="shared" si="1"/>
        <v>125000</v>
      </c>
      <c r="G29" s="757"/>
      <c r="H29" s="756" t="s">
        <v>5581</v>
      </c>
      <c r="I29" s="756" t="s">
        <v>9368</v>
      </c>
      <c r="J29" s="769" t="s">
        <v>5581</v>
      </c>
      <c r="K29" s="756" t="s">
        <v>10125</v>
      </c>
    </row>
    <row r="30">
      <c r="A30" s="761">
        <v>46095.0</v>
      </c>
      <c r="B30" s="756">
        <f t="shared" si="2"/>
        <v>125000</v>
      </c>
      <c r="C30" s="756">
        <v>1524000.0</v>
      </c>
      <c r="D30" s="757"/>
      <c r="E30" s="756">
        <v>1524000.0</v>
      </c>
      <c r="F30" s="757">
        <f t="shared" si="1"/>
        <v>125000</v>
      </c>
      <c r="G30" s="757"/>
      <c r="H30" s="756" t="s">
        <v>5581</v>
      </c>
      <c r="I30" s="756" t="s">
        <v>9368</v>
      </c>
      <c r="J30" s="769" t="s">
        <v>5581</v>
      </c>
      <c r="K30" s="756" t="s">
        <v>10127</v>
      </c>
    </row>
    <row r="31">
      <c r="A31" s="761">
        <v>46069.0</v>
      </c>
      <c r="B31" s="756">
        <f t="shared" si="2"/>
        <v>125000</v>
      </c>
      <c r="C31" s="756">
        <v>1150000.0</v>
      </c>
      <c r="D31" s="757"/>
      <c r="E31" s="756">
        <v>1150000.0</v>
      </c>
      <c r="F31" s="757">
        <f t="shared" si="1"/>
        <v>125000</v>
      </c>
      <c r="G31" s="757"/>
      <c r="H31" s="756" t="s">
        <v>5581</v>
      </c>
      <c r="I31" s="756" t="s">
        <v>8388</v>
      </c>
      <c r="J31" s="769" t="s">
        <v>5581</v>
      </c>
      <c r="K31" s="756" t="s">
        <v>10127</v>
      </c>
    </row>
    <row r="32">
      <c r="A32" s="761">
        <v>46069.0</v>
      </c>
      <c r="B32" s="756">
        <f t="shared" si="2"/>
        <v>125000</v>
      </c>
      <c r="C32" s="756">
        <v>2800000.0</v>
      </c>
      <c r="D32" s="757"/>
      <c r="E32" s="756">
        <v>2800000.0</v>
      </c>
      <c r="F32" s="757">
        <f t="shared" si="1"/>
        <v>125000</v>
      </c>
      <c r="G32" s="757"/>
      <c r="H32" s="756" t="s">
        <v>5581</v>
      </c>
      <c r="I32" s="756" t="s">
        <v>8388</v>
      </c>
      <c r="J32" s="769" t="s">
        <v>5581</v>
      </c>
      <c r="K32" s="756" t="s">
        <v>10127</v>
      </c>
    </row>
    <row r="33">
      <c r="A33" s="761">
        <v>46069.0</v>
      </c>
      <c r="B33" s="756">
        <f t="shared" si="2"/>
        <v>125000</v>
      </c>
      <c r="C33" s="756">
        <v>3232000.0</v>
      </c>
      <c r="D33" s="757"/>
      <c r="E33" s="756">
        <v>3232000.0</v>
      </c>
      <c r="F33" s="757">
        <f t="shared" si="1"/>
        <v>125000</v>
      </c>
      <c r="G33" s="757"/>
      <c r="H33" s="756" t="s">
        <v>5581</v>
      </c>
      <c r="I33" s="756" t="s">
        <v>8388</v>
      </c>
      <c r="J33" s="770" t="s">
        <v>5581</v>
      </c>
      <c r="K33" s="771" t="s">
        <v>10127</v>
      </c>
    </row>
    <row r="34">
      <c r="A34" s="761">
        <v>46069.0</v>
      </c>
      <c r="B34" s="756">
        <f t="shared" si="2"/>
        <v>125000</v>
      </c>
      <c r="C34" s="756">
        <v>1752000.0</v>
      </c>
      <c r="D34" s="757"/>
      <c r="E34" s="756">
        <v>1752000.0</v>
      </c>
      <c r="F34" s="757">
        <f t="shared" si="1"/>
        <v>125000</v>
      </c>
      <c r="G34" s="757"/>
      <c r="H34" s="756" t="s">
        <v>5581</v>
      </c>
      <c r="I34" s="756" t="s">
        <v>8388</v>
      </c>
      <c r="J34" s="770" t="s">
        <v>5581</v>
      </c>
      <c r="K34" s="771" t="s">
        <v>10127</v>
      </c>
    </row>
    <row r="35">
      <c r="A35" s="761">
        <v>46069.0</v>
      </c>
      <c r="B35" s="756">
        <f t="shared" si="2"/>
        <v>125000</v>
      </c>
      <c r="C35" s="756">
        <v>1100000.0</v>
      </c>
      <c r="D35" s="757"/>
      <c r="E35" s="756">
        <v>1100000.0</v>
      </c>
      <c r="F35" s="757">
        <f t="shared" si="1"/>
        <v>125000</v>
      </c>
      <c r="G35" s="757"/>
      <c r="H35" s="756" t="s">
        <v>5581</v>
      </c>
      <c r="I35" s="756" t="s">
        <v>8388</v>
      </c>
      <c r="J35" s="770" t="s">
        <v>5581</v>
      </c>
      <c r="K35" s="771" t="s">
        <v>10127</v>
      </c>
    </row>
    <row r="36">
      <c r="A36" s="761">
        <v>46070.0</v>
      </c>
      <c r="B36" s="756">
        <f t="shared" si="2"/>
        <v>125000</v>
      </c>
      <c r="C36" s="756">
        <v>4200000.0</v>
      </c>
      <c r="D36" s="757"/>
      <c r="E36" s="756">
        <v>4200000.0</v>
      </c>
      <c r="F36" s="757">
        <f t="shared" si="1"/>
        <v>125000</v>
      </c>
      <c r="G36" s="757"/>
      <c r="H36" s="756" t="s">
        <v>5581</v>
      </c>
      <c r="I36" s="756" t="s">
        <v>8388</v>
      </c>
      <c r="J36" s="770" t="s">
        <v>5581</v>
      </c>
      <c r="K36" s="771" t="s">
        <v>10127</v>
      </c>
    </row>
    <row r="37">
      <c r="A37" s="761">
        <v>46070.0</v>
      </c>
      <c r="B37" s="756">
        <f t="shared" si="2"/>
        <v>125000</v>
      </c>
      <c r="C37" s="756">
        <v>1390000.0</v>
      </c>
      <c r="D37" s="757"/>
      <c r="E37" s="756">
        <v>1390000.0</v>
      </c>
      <c r="F37" s="757">
        <f t="shared" si="1"/>
        <v>125000</v>
      </c>
      <c r="G37" s="757"/>
      <c r="H37" s="756" t="s">
        <v>5581</v>
      </c>
      <c r="I37" s="756" t="s">
        <v>8388</v>
      </c>
      <c r="J37" s="770" t="s">
        <v>5581</v>
      </c>
      <c r="K37" s="771" t="s">
        <v>10127</v>
      </c>
    </row>
    <row r="38">
      <c r="A38" s="761">
        <v>46070.0</v>
      </c>
      <c r="B38" s="756">
        <f t="shared" si="2"/>
        <v>125000</v>
      </c>
      <c r="C38" s="756">
        <v>850000.0</v>
      </c>
      <c r="D38" s="757"/>
      <c r="E38" s="756">
        <v>850000.0</v>
      </c>
      <c r="F38" s="757">
        <f t="shared" si="1"/>
        <v>125000</v>
      </c>
      <c r="G38" s="757"/>
      <c r="H38" s="756" t="s">
        <v>5581</v>
      </c>
      <c r="I38" s="756" t="s">
        <v>8388</v>
      </c>
      <c r="J38" s="770" t="s">
        <v>5581</v>
      </c>
      <c r="K38" s="771" t="s">
        <v>10127</v>
      </c>
    </row>
    <row r="39">
      <c r="A39" s="761">
        <v>46070.0</v>
      </c>
      <c r="B39" s="756">
        <f t="shared" si="2"/>
        <v>125000</v>
      </c>
      <c r="C39" s="756">
        <v>1100000.0</v>
      </c>
      <c r="D39" s="757"/>
      <c r="E39" s="756">
        <v>1100000.0</v>
      </c>
      <c r="F39" s="757">
        <f t="shared" si="1"/>
        <v>125000</v>
      </c>
      <c r="G39" s="757"/>
      <c r="H39" s="756" t="s">
        <v>5581</v>
      </c>
      <c r="I39" s="756" t="s">
        <v>8388</v>
      </c>
      <c r="J39" s="770" t="s">
        <v>5581</v>
      </c>
      <c r="K39" s="771" t="s">
        <v>10127</v>
      </c>
    </row>
    <row r="40">
      <c r="A40" s="761">
        <v>46071.0</v>
      </c>
      <c r="B40" s="756">
        <f t="shared" si="2"/>
        <v>125000</v>
      </c>
      <c r="C40" s="756">
        <v>1566000.0</v>
      </c>
      <c r="D40" s="757"/>
      <c r="E40" s="756">
        <v>1566000.0</v>
      </c>
      <c r="F40" s="757">
        <f t="shared" si="1"/>
        <v>125000</v>
      </c>
      <c r="G40" s="757"/>
      <c r="H40" s="756" t="s">
        <v>5581</v>
      </c>
      <c r="I40" s="756" t="s">
        <v>8388</v>
      </c>
      <c r="J40" s="770" t="s">
        <v>5581</v>
      </c>
      <c r="K40" s="771" t="s">
        <v>10127</v>
      </c>
    </row>
    <row r="41">
      <c r="A41" s="761">
        <v>46071.0</v>
      </c>
      <c r="B41" s="756">
        <f t="shared" si="2"/>
        <v>125000</v>
      </c>
      <c r="C41" s="756">
        <v>1150000.0</v>
      </c>
      <c r="D41" s="757"/>
      <c r="E41" s="756">
        <v>1150000.0</v>
      </c>
      <c r="F41" s="757">
        <f t="shared" si="1"/>
        <v>125000</v>
      </c>
      <c r="G41" s="757"/>
      <c r="H41" s="756" t="s">
        <v>5581</v>
      </c>
      <c r="I41" s="756" t="s">
        <v>8388</v>
      </c>
      <c r="J41" s="770" t="s">
        <v>5581</v>
      </c>
      <c r="K41" s="771" t="s">
        <v>10127</v>
      </c>
    </row>
    <row r="42">
      <c r="A42" s="761">
        <v>46106.0</v>
      </c>
      <c r="B42" s="756">
        <f t="shared" si="2"/>
        <v>125000</v>
      </c>
      <c r="C42" s="756">
        <v>39000.0</v>
      </c>
      <c r="D42" s="756"/>
      <c r="E42" s="756">
        <v>7000.0</v>
      </c>
      <c r="F42" s="757">
        <f t="shared" si="1"/>
        <v>157000</v>
      </c>
      <c r="G42" s="757"/>
      <c r="H42" s="756" t="s">
        <v>5581</v>
      </c>
      <c r="I42" s="756" t="s">
        <v>10017</v>
      </c>
      <c r="J42" s="769" t="s">
        <v>10017</v>
      </c>
      <c r="K42" s="756" t="s">
        <v>10016</v>
      </c>
    </row>
    <row r="43">
      <c r="A43" s="761">
        <v>46106.0</v>
      </c>
      <c r="B43" s="756">
        <f t="shared" si="2"/>
        <v>157000</v>
      </c>
      <c r="C43" s="756">
        <v>1843000.0</v>
      </c>
      <c r="D43" s="757"/>
      <c r="E43" s="756">
        <v>1843000.0</v>
      </c>
      <c r="F43" s="757">
        <f t="shared" si="1"/>
        <v>157000</v>
      </c>
      <c r="G43" s="757"/>
      <c r="H43" s="756" t="s">
        <v>5581</v>
      </c>
      <c r="I43" s="756" t="s">
        <v>10017</v>
      </c>
      <c r="J43" s="769" t="s">
        <v>10017</v>
      </c>
      <c r="K43" s="756" t="s">
        <v>10016</v>
      </c>
    </row>
    <row r="44">
      <c r="A44" s="761">
        <v>46107.0</v>
      </c>
      <c r="B44" s="756">
        <f t="shared" si="2"/>
        <v>157000</v>
      </c>
      <c r="C44" s="756">
        <v>1119000.0</v>
      </c>
      <c r="D44" s="757"/>
      <c r="E44" s="756">
        <v>1100000.0</v>
      </c>
      <c r="F44" s="757">
        <f t="shared" si="1"/>
        <v>176000</v>
      </c>
      <c r="G44" s="757"/>
      <c r="H44" s="756" t="s">
        <v>5581</v>
      </c>
      <c r="I44" s="756" t="s">
        <v>10017</v>
      </c>
      <c r="J44" s="769" t="s">
        <v>10017</v>
      </c>
      <c r="K44" s="756" t="s">
        <v>10016</v>
      </c>
    </row>
    <row r="45">
      <c r="A45" s="761">
        <v>46107.0</v>
      </c>
      <c r="B45" s="756">
        <f t="shared" si="2"/>
        <v>176000</v>
      </c>
      <c r="C45" s="756">
        <v>725000.0</v>
      </c>
      <c r="D45" s="757"/>
      <c r="E45" s="756">
        <v>700000.0</v>
      </c>
      <c r="F45" s="757">
        <f t="shared" si="1"/>
        <v>201000</v>
      </c>
      <c r="G45" s="757"/>
      <c r="H45" s="756" t="s">
        <v>5581</v>
      </c>
      <c r="I45" s="756" t="s">
        <v>10017</v>
      </c>
      <c r="J45" s="769" t="s">
        <v>10017</v>
      </c>
      <c r="K45" s="756" t="s">
        <v>10016</v>
      </c>
    </row>
    <row r="46">
      <c r="A46" s="761">
        <v>46108.0</v>
      </c>
      <c r="B46" s="756">
        <f t="shared" si="2"/>
        <v>201000</v>
      </c>
      <c r="C46" s="756">
        <v>1250000.0</v>
      </c>
      <c r="D46" s="757"/>
      <c r="E46" s="756">
        <v>1250000.0</v>
      </c>
      <c r="F46" s="757">
        <f t="shared" si="1"/>
        <v>201000</v>
      </c>
      <c r="G46" s="757"/>
      <c r="H46" s="756" t="s">
        <v>5581</v>
      </c>
      <c r="I46" s="756" t="s">
        <v>10017</v>
      </c>
      <c r="J46" s="769" t="s">
        <v>10017</v>
      </c>
      <c r="K46" s="756" t="s">
        <v>10016</v>
      </c>
    </row>
    <row r="47">
      <c r="A47" s="761">
        <v>46108.0</v>
      </c>
      <c r="B47" s="756">
        <f t="shared" si="2"/>
        <v>201000</v>
      </c>
      <c r="C47" s="756">
        <v>2870000.0</v>
      </c>
      <c r="D47" s="757"/>
      <c r="E47" s="756">
        <v>2900000.0</v>
      </c>
      <c r="F47" s="757">
        <f t="shared" si="1"/>
        <v>171000</v>
      </c>
      <c r="G47" s="757"/>
      <c r="H47" s="756" t="s">
        <v>5581</v>
      </c>
      <c r="I47" s="756" t="s">
        <v>10017</v>
      </c>
      <c r="J47" s="769" t="s">
        <v>10017</v>
      </c>
      <c r="K47" s="756" t="s">
        <v>10016</v>
      </c>
    </row>
    <row r="48">
      <c r="A48" s="761">
        <v>46109.0</v>
      </c>
      <c r="B48" s="756">
        <f t="shared" si="2"/>
        <v>171000</v>
      </c>
      <c r="C48" s="756">
        <v>100000.0</v>
      </c>
      <c r="D48" s="757"/>
      <c r="E48" s="756"/>
      <c r="F48" s="757">
        <f t="shared" si="1"/>
        <v>271000</v>
      </c>
      <c r="G48" s="757"/>
      <c r="H48" s="756" t="s">
        <v>5581</v>
      </c>
      <c r="I48" s="756" t="s">
        <v>10017</v>
      </c>
      <c r="J48" s="769" t="s">
        <v>10017</v>
      </c>
      <c r="K48" s="756" t="s">
        <v>10016</v>
      </c>
    </row>
    <row r="49">
      <c r="A49" s="761">
        <v>46109.0</v>
      </c>
      <c r="B49" s="756">
        <f t="shared" si="2"/>
        <v>271000</v>
      </c>
      <c r="C49" s="756">
        <v>1550000.0</v>
      </c>
      <c r="D49" s="757"/>
      <c r="E49" s="756">
        <v>1550000.0</v>
      </c>
      <c r="F49" s="757">
        <f t="shared" si="1"/>
        <v>271000</v>
      </c>
      <c r="G49" s="757"/>
      <c r="H49" s="756" t="s">
        <v>2976</v>
      </c>
      <c r="I49" s="756" t="s">
        <v>10017</v>
      </c>
      <c r="J49" s="770" t="s">
        <v>5581</v>
      </c>
      <c r="K49" s="771" t="s">
        <v>10127</v>
      </c>
    </row>
    <row r="50">
      <c r="A50" s="761">
        <v>46111.0</v>
      </c>
      <c r="B50" s="756">
        <f t="shared" si="2"/>
        <v>271000</v>
      </c>
      <c r="C50" s="756">
        <v>1190000.0</v>
      </c>
      <c r="D50" s="757"/>
      <c r="E50" s="756">
        <v>1336000.0</v>
      </c>
      <c r="F50" s="757">
        <f t="shared" si="1"/>
        <v>125000</v>
      </c>
      <c r="G50" s="757"/>
      <c r="H50" s="756" t="s">
        <v>5581</v>
      </c>
      <c r="I50" s="756" t="s">
        <v>9368</v>
      </c>
      <c r="J50" s="770" t="s">
        <v>5581</v>
      </c>
      <c r="K50" s="771" t="s">
        <v>10127</v>
      </c>
    </row>
    <row r="51">
      <c r="A51" s="761">
        <v>46112.0</v>
      </c>
      <c r="B51" s="756">
        <f t="shared" si="2"/>
        <v>125000</v>
      </c>
      <c r="C51" s="756">
        <v>350000.0</v>
      </c>
      <c r="D51" s="757"/>
      <c r="E51" s="756">
        <v>350000.0</v>
      </c>
      <c r="F51" s="757">
        <f t="shared" si="1"/>
        <v>125000</v>
      </c>
      <c r="G51" s="757"/>
      <c r="H51" s="756" t="s">
        <v>5581</v>
      </c>
      <c r="I51" s="756" t="s">
        <v>9368</v>
      </c>
      <c r="J51" s="770" t="s">
        <v>5581</v>
      </c>
      <c r="K51" s="771" t="s">
        <v>10127</v>
      </c>
    </row>
    <row r="52">
      <c r="A52" s="772">
        <v>46113.0</v>
      </c>
      <c r="B52" s="756">
        <f t="shared" si="2"/>
        <v>125000</v>
      </c>
      <c r="C52" s="773">
        <v>1000000.0</v>
      </c>
      <c r="D52" s="774"/>
      <c r="E52" s="773">
        <v>1000000.0</v>
      </c>
      <c r="F52" s="757">
        <f t="shared" si="1"/>
        <v>125000</v>
      </c>
      <c r="G52" s="757"/>
      <c r="H52" s="756" t="s">
        <v>5581</v>
      </c>
      <c r="I52" s="756" t="s">
        <v>9368</v>
      </c>
      <c r="J52" s="770" t="s">
        <v>5581</v>
      </c>
      <c r="K52" s="771" t="s">
        <v>10127</v>
      </c>
    </row>
    <row r="53">
      <c r="A53" s="761">
        <v>46114.0</v>
      </c>
      <c r="B53" s="756">
        <f t="shared" si="2"/>
        <v>125000</v>
      </c>
      <c r="C53" s="756">
        <v>2700000.0</v>
      </c>
      <c r="D53" s="757"/>
      <c r="E53" s="756">
        <v>2700000.0</v>
      </c>
      <c r="F53" s="757">
        <f t="shared" si="1"/>
        <v>125000</v>
      </c>
      <c r="G53" s="757"/>
      <c r="H53" s="756" t="s">
        <v>5581</v>
      </c>
      <c r="I53" s="756" t="s">
        <v>9368</v>
      </c>
      <c r="J53" s="770" t="s">
        <v>5581</v>
      </c>
      <c r="K53" s="771" t="s">
        <v>10127</v>
      </c>
    </row>
    <row r="54">
      <c r="A54" s="761">
        <v>46115.0</v>
      </c>
      <c r="B54" s="756">
        <f t="shared" si="2"/>
        <v>125000</v>
      </c>
      <c r="C54" s="756">
        <v>950000.0</v>
      </c>
      <c r="D54" s="757"/>
      <c r="E54" s="756">
        <v>950000.0</v>
      </c>
      <c r="F54" s="757">
        <f t="shared" si="1"/>
        <v>125000</v>
      </c>
      <c r="G54" s="757"/>
      <c r="H54" s="756" t="s">
        <v>5581</v>
      </c>
      <c r="I54" s="756" t="s">
        <v>9368</v>
      </c>
      <c r="J54" s="770" t="s">
        <v>5581</v>
      </c>
      <c r="K54" s="771" t="s">
        <v>10127</v>
      </c>
    </row>
    <row r="55">
      <c r="A55" s="761">
        <v>46115.0</v>
      </c>
      <c r="B55" s="756">
        <f t="shared" si="2"/>
        <v>125000</v>
      </c>
      <c r="C55" s="756">
        <v>1150000.0</v>
      </c>
      <c r="D55" s="757"/>
      <c r="E55" s="756">
        <v>1150000.0</v>
      </c>
      <c r="F55" s="757">
        <f t="shared" si="1"/>
        <v>125000</v>
      </c>
      <c r="G55" s="757"/>
      <c r="H55" s="756" t="s">
        <v>5581</v>
      </c>
      <c r="I55" s="756" t="s">
        <v>9368</v>
      </c>
      <c r="J55" s="770" t="s">
        <v>5581</v>
      </c>
      <c r="K55" s="771" t="s">
        <v>10127</v>
      </c>
    </row>
    <row r="56">
      <c r="A56" s="761">
        <v>46118.0</v>
      </c>
      <c r="B56" s="756">
        <f t="shared" si="2"/>
        <v>125000</v>
      </c>
      <c r="C56" s="756">
        <v>1446000.0</v>
      </c>
      <c r="D56" s="757"/>
      <c r="E56" s="756">
        <v>1446000.0</v>
      </c>
      <c r="F56" s="757">
        <f t="shared" si="1"/>
        <v>125000</v>
      </c>
      <c r="G56" s="757"/>
      <c r="H56" s="756" t="s">
        <v>5581</v>
      </c>
      <c r="I56" s="756" t="s">
        <v>9368</v>
      </c>
      <c r="J56" s="770" t="s">
        <v>5581</v>
      </c>
      <c r="K56" s="771" t="s">
        <v>10127</v>
      </c>
    </row>
    <row r="57">
      <c r="A57" s="761">
        <v>46118.0</v>
      </c>
      <c r="B57" s="756">
        <f t="shared" si="2"/>
        <v>125000</v>
      </c>
      <c r="C57" s="756">
        <v>1200000.0</v>
      </c>
      <c r="D57" s="757"/>
      <c r="E57" s="756">
        <v>1200000.0</v>
      </c>
      <c r="F57" s="757">
        <f t="shared" si="1"/>
        <v>125000</v>
      </c>
      <c r="G57" s="757"/>
      <c r="H57" s="756" t="s">
        <v>5581</v>
      </c>
      <c r="I57" s="756" t="s">
        <v>9368</v>
      </c>
      <c r="J57" s="770" t="s">
        <v>5581</v>
      </c>
      <c r="K57" s="771" t="s">
        <v>10127</v>
      </c>
    </row>
    <row r="58">
      <c r="A58" s="761">
        <v>46120.0</v>
      </c>
      <c r="B58" s="756">
        <f t="shared" si="2"/>
        <v>125000</v>
      </c>
      <c r="C58" s="756">
        <v>1100000.0</v>
      </c>
      <c r="D58" s="757"/>
      <c r="E58" s="756">
        <v>1100000.0</v>
      </c>
      <c r="F58" s="757">
        <f t="shared" si="1"/>
        <v>125000</v>
      </c>
      <c r="G58" s="757"/>
      <c r="H58" s="756" t="s">
        <v>5581</v>
      </c>
      <c r="I58" s="756" t="s">
        <v>9368</v>
      </c>
      <c r="J58" s="769" t="s">
        <v>5581</v>
      </c>
      <c r="K58" s="756" t="s">
        <v>10128</v>
      </c>
    </row>
    <row r="59">
      <c r="A59" s="761">
        <v>46122.0</v>
      </c>
      <c r="B59" s="756">
        <f t="shared" si="2"/>
        <v>125000</v>
      </c>
      <c r="C59" s="756">
        <v>900000.0</v>
      </c>
      <c r="D59" s="757"/>
      <c r="E59" s="756">
        <v>900000.0</v>
      </c>
      <c r="F59" s="757">
        <f t="shared" si="1"/>
        <v>125000</v>
      </c>
      <c r="G59" s="757"/>
      <c r="H59" s="757"/>
      <c r="I59" s="756" t="s">
        <v>9368</v>
      </c>
      <c r="J59" s="770" t="s">
        <v>5581</v>
      </c>
      <c r="K59" s="771" t="s">
        <v>10127</v>
      </c>
    </row>
    <row r="60">
      <c r="A60" s="761">
        <v>46123.0</v>
      </c>
      <c r="B60" s="756">
        <f t="shared" si="2"/>
        <v>125000</v>
      </c>
      <c r="C60" s="756">
        <v>1000000.0</v>
      </c>
      <c r="D60" s="757"/>
      <c r="E60" s="756">
        <v>1000000.0</v>
      </c>
      <c r="F60" s="757">
        <f t="shared" si="1"/>
        <v>125000</v>
      </c>
      <c r="G60" s="757"/>
      <c r="H60" s="757"/>
      <c r="I60" s="757"/>
      <c r="J60" s="770" t="s">
        <v>5581</v>
      </c>
      <c r="K60" s="771" t="s">
        <v>10127</v>
      </c>
    </row>
    <row r="61">
      <c r="A61" s="761">
        <v>46130.0</v>
      </c>
      <c r="B61" s="756">
        <f t="shared" si="2"/>
        <v>125000</v>
      </c>
      <c r="C61" s="756">
        <v>1722000.0</v>
      </c>
      <c r="D61" s="757"/>
      <c r="E61" s="756">
        <v>1722000.0</v>
      </c>
      <c r="F61" s="757">
        <f t="shared" si="1"/>
        <v>125000</v>
      </c>
      <c r="G61" s="757"/>
      <c r="H61" s="757"/>
      <c r="I61" s="756" t="s">
        <v>9368</v>
      </c>
      <c r="J61" s="770" t="s">
        <v>5581</v>
      </c>
      <c r="K61" s="771" t="s">
        <v>10127</v>
      </c>
    </row>
    <row r="62">
      <c r="A62" s="762">
        <v>46132.0</v>
      </c>
      <c r="B62" s="756">
        <f t="shared" si="2"/>
        <v>125000</v>
      </c>
      <c r="C62" s="756">
        <v>1200000.0</v>
      </c>
      <c r="D62" s="757"/>
      <c r="E62" s="756">
        <v>1200000.0</v>
      </c>
      <c r="F62" s="757">
        <f t="shared" si="1"/>
        <v>125000</v>
      </c>
      <c r="G62" s="757"/>
      <c r="H62" s="756" t="s">
        <v>10124</v>
      </c>
      <c r="I62" s="756" t="s">
        <v>10124</v>
      </c>
      <c r="J62" s="770" t="s">
        <v>5581</v>
      </c>
      <c r="K62" s="771" t="s">
        <v>10127</v>
      </c>
    </row>
    <row r="63">
      <c r="A63" s="761">
        <v>46134.0</v>
      </c>
      <c r="B63" s="756">
        <f t="shared" si="2"/>
        <v>125000</v>
      </c>
      <c r="C63" s="756">
        <v>1823000.0</v>
      </c>
      <c r="D63" s="757"/>
      <c r="E63" s="756">
        <v>1823000.0</v>
      </c>
      <c r="F63" s="757">
        <f t="shared" si="1"/>
        <v>125000</v>
      </c>
      <c r="G63" s="757"/>
      <c r="H63" s="756"/>
      <c r="I63" s="756" t="s">
        <v>9368</v>
      </c>
      <c r="J63" s="770" t="s">
        <v>5581</v>
      </c>
      <c r="K63" s="771" t="s">
        <v>10127</v>
      </c>
    </row>
    <row r="64">
      <c r="A64" s="761">
        <v>46135.0</v>
      </c>
      <c r="B64" s="756">
        <f t="shared" si="2"/>
        <v>125000</v>
      </c>
      <c r="C64" s="756">
        <v>1650000.0</v>
      </c>
      <c r="D64" s="757"/>
      <c r="E64" s="756">
        <v>1650000.0</v>
      </c>
      <c r="F64" s="757">
        <f t="shared" si="1"/>
        <v>125000</v>
      </c>
      <c r="G64" s="757"/>
      <c r="H64" s="757"/>
      <c r="I64" s="756" t="s">
        <v>9368</v>
      </c>
      <c r="J64" s="770" t="s">
        <v>5581</v>
      </c>
      <c r="K64" s="771" t="s">
        <v>10127</v>
      </c>
    </row>
    <row r="65">
      <c r="A65" s="761">
        <v>46136.0</v>
      </c>
      <c r="B65" s="756">
        <f t="shared" si="2"/>
        <v>125000</v>
      </c>
      <c r="C65" s="756">
        <v>1000000.0</v>
      </c>
      <c r="D65" s="757"/>
      <c r="E65" s="756">
        <v>1000000.0</v>
      </c>
      <c r="F65" s="757">
        <f t="shared" si="1"/>
        <v>125000</v>
      </c>
      <c r="G65" s="757"/>
      <c r="H65" s="757"/>
      <c r="I65" s="756" t="s">
        <v>9368</v>
      </c>
      <c r="J65" s="770" t="s">
        <v>5581</v>
      </c>
      <c r="K65" s="771" t="s">
        <v>10127</v>
      </c>
    </row>
    <row r="66">
      <c r="B66" s="756">
        <f t="shared" si="2"/>
        <v>125000</v>
      </c>
      <c r="C66" s="757"/>
      <c r="D66" s="757"/>
      <c r="E66" s="757"/>
      <c r="F66" s="757">
        <f t="shared" si="1"/>
        <v>125000</v>
      </c>
      <c r="G66" s="757"/>
      <c r="H66" s="757"/>
      <c r="I66" s="757"/>
      <c r="J66" s="775"/>
      <c r="K66" s="757"/>
    </row>
    <row r="67">
      <c r="B67" s="756">
        <f t="shared" si="2"/>
        <v>125000</v>
      </c>
      <c r="C67" s="757"/>
      <c r="D67" s="757"/>
      <c r="E67" s="757"/>
      <c r="F67" s="757">
        <f t="shared" si="1"/>
        <v>125000</v>
      </c>
      <c r="G67" s="757"/>
      <c r="H67" s="757"/>
      <c r="I67" s="757"/>
      <c r="J67" s="775"/>
      <c r="K67" s="757"/>
    </row>
    <row r="68">
      <c r="B68" s="756">
        <f t="shared" si="2"/>
        <v>125000</v>
      </c>
      <c r="C68" s="757"/>
      <c r="D68" s="757"/>
      <c r="E68" s="757"/>
      <c r="F68" s="757">
        <f t="shared" si="1"/>
        <v>125000</v>
      </c>
      <c r="G68" s="757"/>
      <c r="H68" s="757"/>
      <c r="I68" s="757"/>
      <c r="J68" s="775"/>
      <c r="K68" s="757"/>
    </row>
    <row r="69">
      <c r="B69" s="756">
        <f t="shared" si="2"/>
        <v>125000</v>
      </c>
      <c r="C69" s="757"/>
      <c r="D69" s="757"/>
      <c r="E69" s="757"/>
      <c r="F69" s="757">
        <f t="shared" si="1"/>
        <v>125000</v>
      </c>
      <c r="G69" s="757"/>
      <c r="H69" s="757"/>
      <c r="I69" s="757"/>
      <c r="J69" s="775"/>
      <c r="K69" s="757"/>
    </row>
    <row r="70">
      <c r="B70" s="756">
        <f t="shared" si="2"/>
        <v>125000</v>
      </c>
      <c r="C70" s="757"/>
      <c r="D70" s="757"/>
      <c r="E70" s="757"/>
      <c r="F70" s="757">
        <f t="shared" si="1"/>
        <v>125000</v>
      </c>
      <c r="G70" s="757"/>
      <c r="H70" s="757"/>
      <c r="I70" s="757"/>
      <c r="J70" s="775"/>
      <c r="K70" s="757"/>
    </row>
    <row r="71">
      <c r="B71" s="756">
        <f t="shared" si="2"/>
        <v>125000</v>
      </c>
      <c r="C71" s="757"/>
      <c r="D71" s="757"/>
      <c r="E71" s="757"/>
      <c r="F71" s="757">
        <f t="shared" si="1"/>
        <v>125000</v>
      </c>
      <c r="G71" s="757"/>
      <c r="H71" s="757"/>
      <c r="I71" s="757"/>
      <c r="J71" s="775"/>
      <c r="K71" s="757"/>
    </row>
    <row r="72">
      <c r="B72" s="756">
        <f t="shared" si="2"/>
        <v>125000</v>
      </c>
      <c r="C72" s="757"/>
      <c r="D72" s="757"/>
      <c r="E72" s="757"/>
      <c r="F72" s="757">
        <f t="shared" si="1"/>
        <v>125000</v>
      </c>
      <c r="G72" s="757"/>
      <c r="H72" s="757"/>
      <c r="I72" s="757"/>
      <c r="J72" s="775"/>
      <c r="K72" s="757"/>
    </row>
    <row r="73">
      <c r="B73" s="756">
        <f t="shared" si="2"/>
        <v>125000</v>
      </c>
      <c r="C73" s="757"/>
      <c r="D73" s="757"/>
      <c r="E73" s="757"/>
      <c r="F73" s="757">
        <f t="shared" si="1"/>
        <v>125000</v>
      </c>
      <c r="G73" s="757"/>
      <c r="H73" s="757"/>
      <c r="I73" s="757"/>
      <c r="J73" s="775"/>
      <c r="K73" s="757"/>
    </row>
    <row r="74">
      <c r="B74" s="756">
        <f t="shared" si="2"/>
        <v>125000</v>
      </c>
      <c r="C74" s="757"/>
      <c r="D74" s="757"/>
      <c r="E74" s="757"/>
      <c r="F74" s="757">
        <f t="shared" si="1"/>
        <v>125000</v>
      </c>
      <c r="G74" s="757"/>
      <c r="H74" s="757"/>
      <c r="I74" s="757"/>
      <c r="J74" s="775"/>
      <c r="K74" s="757"/>
    </row>
    <row r="75">
      <c r="B75" s="756">
        <f t="shared" si="2"/>
        <v>125000</v>
      </c>
      <c r="C75" s="757"/>
      <c r="D75" s="757"/>
      <c r="E75" s="757"/>
      <c r="F75" s="757">
        <f t="shared" si="1"/>
        <v>125000</v>
      </c>
      <c r="G75" s="757"/>
      <c r="H75" s="757"/>
      <c r="I75" s="757"/>
      <c r="J75" s="775"/>
      <c r="K75" s="757"/>
    </row>
    <row r="76">
      <c r="B76" s="756">
        <f t="shared" si="2"/>
        <v>125000</v>
      </c>
      <c r="C76" s="757"/>
      <c r="D76" s="757"/>
      <c r="E76" s="757"/>
      <c r="F76" s="757">
        <f t="shared" si="1"/>
        <v>125000</v>
      </c>
      <c r="G76" s="757"/>
      <c r="H76" s="757"/>
      <c r="I76" s="757"/>
      <c r="J76" s="775"/>
      <c r="K76" s="757"/>
    </row>
    <row r="77">
      <c r="B77" s="756">
        <f t="shared" si="2"/>
        <v>125000</v>
      </c>
      <c r="C77" s="757"/>
      <c r="D77" s="757"/>
      <c r="E77" s="757"/>
      <c r="F77" s="757">
        <f t="shared" si="1"/>
        <v>125000</v>
      </c>
      <c r="G77" s="757"/>
      <c r="H77" s="757"/>
      <c r="I77" s="757"/>
      <c r="J77" s="775"/>
      <c r="K77" s="757"/>
    </row>
    <row r="78">
      <c r="B78" s="756">
        <f t="shared" si="2"/>
        <v>125000</v>
      </c>
      <c r="C78" s="757"/>
      <c r="D78" s="757"/>
      <c r="E78" s="757"/>
      <c r="F78" s="757">
        <f t="shared" si="1"/>
        <v>125000</v>
      </c>
      <c r="G78" s="757"/>
      <c r="H78" s="757"/>
      <c r="I78" s="757"/>
      <c r="J78" s="775"/>
      <c r="K78" s="757"/>
    </row>
    <row r="79">
      <c r="B79" s="756">
        <f t="shared" si="2"/>
        <v>125000</v>
      </c>
      <c r="C79" s="757"/>
      <c r="D79" s="757"/>
      <c r="E79" s="757"/>
      <c r="F79" s="757">
        <f t="shared" si="1"/>
        <v>125000</v>
      </c>
      <c r="G79" s="757"/>
      <c r="H79" s="757"/>
      <c r="I79" s="757"/>
      <c r="J79" s="775"/>
      <c r="K79" s="757"/>
    </row>
    <row r="80">
      <c r="B80" s="756">
        <f t="shared" si="2"/>
        <v>125000</v>
      </c>
      <c r="C80" s="757"/>
      <c r="D80" s="757"/>
      <c r="E80" s="757"/>
      <c r="F80" s="757">
        <f t="shared" si="1"/>
        <v>125000</v>
      </c>
      <c r="G80" s="757"/>
      <c r="H80" s="757"/>
      <c r="I80" s="757"/>
      <c r="J80" s="775"/>
      <c r="K80" s="757"/>
    </row>
    <row r="81">
      <c r="B81" s="757"/>
      <c r="C81" s="757"/>
      <c r="D81" s="757"/>
      <c r="E81" s="757"/>
      <c r="F81" s="757">
        <f t="shared" si="1"/>
        <v>0</v>
      </c>
      <c r="G81" s="757"/>
      <c r="H81" s="757"/>
      <c r="I81" s="757"/>
      <c r="J81" s="775"/>
      <c r="K81" s="757"/>
    </row>
    <row r="82">
      <c r="B82" s="757"/>
      <c r="C82" s="757"/>
      <c r="D82" s="757"/>
      <c r="E82" s="757"/>
      <c r="F82" s="757">
        <f t="shared" si="1"/>
        <v>0</v>
      </c>
      <c r="G82" s="757"/>
      <c r="H82" s="757"/>
      <c r="I82" s="757"/>
      <c r="J82" s="775"/>
      <c r="K82" s="757"/>
    </row>
    <row r="83">
      <c r="B83" s="757"/>
      <c r="C83" s="757"/>
      <c r="D83" s="757"/>
      <c r="E83" s="757"/>
      <c r="F83" s="757">
        <f t="shared" si="1"/>
        <v>0</v>
      </c>
      <c r="G83" s="757"/>
      <c r="H83" s="757"/>
      <c r="I83" s="757"/>
      <c r="J83" s="775"/>
      <c r="K83" s="757"/>
    </row>
    <row r="84">
      <c r="B84" s="757"/>
      <c r="C84" s="757"/>
      <c r="D84" s="757"/>
      <c r="E84" s="757"/>
      <c r="F84" s="757">
        <f t="shared" si="1"/>
        <v>0</v>
      </c>
      <c r="G84" s="757"/>
      <c r="H84" s="757"/>
      <c r="I84" s="757"/>
      <c r="J84" s="775"/>
      <c r="K84" s="757"/>
    </row>
    <row r="85">
      <c r="B85" s="757"/>
      <c r="C85" s="757"/>
      <c r="D85" s="757"/>
      <c r="E85" s="757"/>
      <c r="F85" s="757">
        <f t="shared" si="1"/>
        <v>0</v>
      </c>
      <c r="G85" s="757"/>
      <c r="H85" s="757"/>
      <c r="I85" s="757"/>
      <c r="J85" s="775"/>
      <c r="K85" s="757"/>
    </row>
    <row r="86">
      <c r="B86" s="757"/>
      <c r="C86" s="757"/>
      <c r="D86" s="757"/>
      <c r="E86" s="757"/>
      <c r="F86" s="757">
        <f t="shared" si="1"/>
        <v>0</v>
      </c>
      <c r="G86" s="757"/>
      <c r="H86" s="757"/>
      <c r="I86" s="757"/>
      <c r="J86" s="775"/>
      <c r="K86" s="757"/>
    </row>
    <row r="87">
      <c r="B87" s="757"/>
      <c r="C87" s="757"/>
      <c r="D87" s="757"/>
      <c r="E87" s="757"/>
      <c r="F87" s="757">
        <f t="shared" si="1"/>
        <v>0</v>
      </c>
      <c r="G87" s="757"/>
      <c r="H87" s="757"/>
      <c r="I87" s="757"/>
      <c r="J87" s="775"/>
      <c r="K87" s="757"/>
    </row>
    <row r="88">
      <c r="B88" s="757"/>
      <c r="C88" s="757"/>
      <c r="D88" s="757"/>
      <c r="E88" s="757"/>
      <c r="F88" s="757">
        <f t="shared" si="1"/>
        <v>0</v>
      </c>
      <c r="G88" s="757"/>
      <c r="H88" s="757"/>
      <c r="I88" s="757"/>
      <c r="J88" s="775"/>
      <c r="K88" s="757"/>
    </row>
    <row r="89">
      <c r="B89" s="757"/>
      <c r="C89" s="757"/>
      <c r="D89" s="757"/>
      <c r="E89" s="757"/>
      <c r="F89" s="757">
        <f t="shared" si="1"/>
        <v>0</v>
      </c>
      <c r="G89" s="757"/>
      <c r="H89" s="757"/>
      <c r="I89" s="757"/>
      <c r="J89" s="775"/>
      <c r="K89" s="757"/>
    </row>
    <row r="90">
      <c r="B90" s="757"/>
      <c r="C90" s="757"/>
      <c r="D90" s="757"/>
      <c r="E90" s="757"/>
      <c r="F90" s="757">
        <f t="shared" si="1"/>
        <v>0</v>
      </c>
      <c r="G90" s="757"/>
      <c r="H90" s="757"/>
      <c r="I90" s="757"/>
      <c r="J90" s="775"/>
      <c r="K90" s="757"/>
    </row>
    <row r="91">
      <c r="B91" s="757"/>
      <c r="C91" s="757"/>
      <c r="D91" s="757"/>
      <c r="E91" s="757"/>
      <c r="F91" s="757">
        <f t="shared" si="1"/>
        <v>0</v>
      </c>
      <c r="G91" s="757"/>
      <c r="H91" s="757"/>
      <c r="I91" s="757"/>
      <c r="J91" s="775"/>
      <c r="K91" s="757"/>
    </row>
    <row r="92">
      <c r="B92" s="757"/>
      <c r="C92" s="757"/>
      <c r="D92" s="757"/>
      <c r="E92" s="757"/>
      <c r="F92" s="757">
        <f t="shared" si="1"/>
        <v>0</v>
      </c>
      <c r="G92" s="757"/>
      <c r="H92" s="757"/>
      <c r="I92" s="757"/>
      <c r="J92" s="775"/>
      <c r="K92" s="757"/>
    </row>
    <row r="93">
      <c r="B93" s="757"/>
      <c r="C93" s="757"/>
      <c r="D93" s="757"/>
      <c r="E93" s="757"/>
      <c r="F93" s="757">
        <f t="shared" si="1"/>
        <v>0</v>
      </c>
      <c r="G93" s="757"/>
      <c r="H93" s="757"/>
      <c r="I93" s="757"/>
      <c r="J93" s="775"/>
      <c r="K93" s="757"/>
    </row>
    <row r="94">
      <c r="B94" s="757"/>
      <c r="C94" s="757"/>
      <c r="D94" s="757"/>
      <c r="E94" s="757"/>
      <c r="F94" s="757">
        <f t="shared" si="1"/>
        <v>0</v>
      </c>
      <c r="G94" s="757"/>
      <c r="H94" s="757"/>
      <c r="I94" s="757"/>
      <c r="J94" s="775"/>
      <c r="K94" s="757"/>
    </row>
    <row r="95">
      <c r="B95" s="757"/>
      <c r="C95" s="757"/>
      <c r="D95" s="757"/>
      <c r="E95" s="757"/>
      <c r="F95" s="757">
        <f t="shared" si="1"/>
        <v>0</v>
      </c>
      <c r="G95" s="757"/>
      <c r="H95" s="757"/>
      <c r="I95" s="757"/>
      <c r="J95" s="775"/>
      <c r="K95" s="757"/>
    </row>
    <row r="96">
      <c r="B96" s="757"/>
      <c r="C96" s="757"/>
      <c r="D96" s="757"/>
      <c r="E96" s="757"/>
      <c r="F96" s="757">
        <f t="shared" si="1"/>
        <v>0</v>
      </c>
      <c r="G96" s="757"/>
      <c r="H96" s="757"/>
      <c r="I96" s="757"/>
      <c r="J96" s="775"/>
      <c r="K96" s="757"/>
    </row>
    <row r="97">
      <c r="B97" s="757"/>
      <c r="C97" s="757"/>
      <c r="D97" s="757"/>
      <c r="E97" s="757"/>
      <c r="F97" s="757">
        <f t="shared" si="1"/>
        <v>0</v>
      </c>
      <c r="G97" s="757"/>
      <c r="H97" s="757"/>
      <c r="I97" s="757"/>
      <c r="J97" s="775"/>
      <c r="K97" s="757"/>
    </row>
    <row r="98">
      <c r="B98" s="757"/>
      <c r="C98" s="757"/>
      <c r="D98" s="757"/>
      <c r="E98" s="757"/>
      <c r="F98" s="757">
        <f t="shared" si="1"/>
        <v>0</v>
      </c>
      <c r="G98" s="757"/>
      <c r="H98" s="757"/>
      <c r="I98" s="757"/>
      <c r="J98" s="775"/>
      <c r="K98" s="757"/>
    </row>
    <row r="99">
      <c r="B99" s="757"/>
      <c r="C99" s="757"/>
      <c r="D99" s="757"/>
      <c r="E99" s="757"/>
      <c r="F99" s="757">
        <f t="shared" si="1"/>
        <v>0</v>
      </c>
      <c r="G99" s="757"/>
      <c r="H99" s="757"/>
      <c r="I99" s="757"/>
      <c r="J99" s="775"/>
      <c r="K99" s="757"/>
    </row>
    <row r="100">
      <c r="B100" s="757"/>
      <c r="C100" s="757"/>
      <c r="D100" s="757"/>
      <c r="E100" s="757"/>
      <c r="F100" s="757">
        <f t="shared" si="1"/>
        <v>0</v>
      </c>
      <c r="G100" s="757"/>
      <c r="H100" s="757"/>
      <c r="I100" s="757"/>
      <c r="J100" s="775"/>
      <c r="K100" s="757"/>
    </row>
    <row r="101">
      <c r="B101" s="757"/>
      <c r="C101" s="757"/>
      <c r="D101" s="757"/>
      <c r="E101" s="757"/>
      <c r="F101" s="757">
        <f t="shared" si="1"/>
        <v>0</v>
      </c>
      <c r="G101" s="757"/>
      <c r="H101" s="757"/>
      <c r="I101" s="757"/>
      <c r="J101" s="775"/>
      <c r="K101" s="757"/>
    </row>
    <row r="102">
      <c r="B102" s="757"/>
      <c r="C102" s="757"/>
      <c r="D102" s="757"/>
      <c r="E102" s="757"/>
      <c r="F102" s="757"/>
      <c r="G102" s="757"/>
      <c r="H102" s="757"/>
      <c r="I102" s="757"/>
      <c r="J102" s="775"/>
      <c r="K102" s="757"/>
    </row>
    <row r="103">
      <c r="B103" s="757"/>
      <c r="C103" s="757"/>
      <c r="D103" s="757"/>
      <c r="E103" s="757"/>
      <c r="F103" s="757"/>
      <c r="G103" s="757"/>
      <c r="H103" s="757"/>
      <c r="I103" s="757"/>
      <c r="J103" s="775"/>
      <c r="K103" s="757"/>
    </row>
    <row r="104">
      <c r="B104" s="757"/>
      <c r="C104" s="757"/>
      <c r="D104" s="757"/>
      <c r="E104" s="757"/>
      <c r="F104" s="757"/>
      <c r="G104" s="757"/>
      <c r="H104" s="757"/>
      <c r="I104" s="757"/>
      <c r="J104" s="775"/>
      <c r="K104" s="757"/>
    </row>
    <row r="105">
      <c r="B105" s="757"/>
      <c r="C105" s="757"/>
      <c r="D105" s="757"/>
      <c r="E105" s="757"/>
      <c r="F105" s="757"/>
      <c r="G105" s="757"/>
      <c r="H105" s="757"/>
      <c r="I105" s="757"/>
      <c r="J105" s="775"/>
      <c r="K105" s="757"/>
    </row>
    <row r="106">
      <c r="B106" s="757"/>
      <c r="C106" s="757"/>
      <c r="D106" s="757"/>
      <c r="E106" s="757"/>
      <c r="F106" s="757"/>
      <c r="G106" s="757"/>
      <c r="H106" s="757"/>
      <c r="I106" s="757"/>
      <c r="J106" s="775"/>
      <c r="K106" s="757"/>
    </row>
    <row r="107">
      <c r="B107" s="757"/>
      <c r="C107" s="757"/>
      <c r="D107" s="757"/>
      <c r="E107" s="757"/>
      <c r="F107" s="757"/>
      <c r="G107" s="757"/>
      <c r="H107" s="757"/>
      <c r="I107" s="757"/>
      <c r="J107" s="775"/>
      <c r="K107" s="757"/>
    </row>
    <row r="108">
      <c r="B108" s="757"/>
      <c r="C108" s="757"/>
      <c r="D108" s="757"/>
      <c r="E108" s="757"/>
      <c r="F108" s="757"/>
      <c r="G108" s="757"/>
      <c r="H108" s="757"/>
      <c r="I108" s="757"/>
      <c r="J108" s="775"/>
      <c r="K108" s="757"/>
    </row>
    <row r="109">
      <c r="B109" s="757"/>
      <c r="C109" s="757"/>
      <c r="D109" s="757"/>
      <c r="E109" s="757"/>
      <c r="F109" s="757"/>
      <c r="G109" s="757"/>
      <c r="H109" s="757"/>
      <c r="I109" s="757"/>
      <c r="J109" s="775"/>
      <c r="K109" s="757"/>
    </row>
    <row r="110">
      <c r="B110" s="757"/>
      <c r="C110" s="757"/>
      <c r="D110" s="757"/>
      <c r="E110" s="757"/>
      <c r="F110" s="757"/>
      <c r="G110" s="757"/>
      <c r="H110" s="757"/>
      <c r="I110" s="757"/>
      <c r="J110" s="775"/>
      <c r="K110" s="757"/>
    </row>
    <row r="111">
      <c r="B111" s="757"/>
      <c r="C111" s="757"/>
      <c r="D111" s="757"/>
      <c r="E111" s="757"/>
      <c r="F111" s="757"/>
      <c r="G111" s="757"/>
      <c r="H111" s="757"/>
      <c r="I111" s="757"/>
      <c r="J111" s="775"/>
      <c r="K111" s="757"/>
    </row>
    <row r="112">
      <c r="B112" s="757"/>
      <c r="C112" s="757"/>
      <c r="D112" s="757"/>
      <c r="E112" s="757"/>
      <c r="F112" s="757"/>
      <c r="G112" s="757"/>
      <c r="H112" s="757"/>
      <c r="I112" s="757"/>
      <c r="J112" s="775"/>
      <c r="K112" s="757"/>
    </row>
    <row r="113">
      <c r="B113" s="757"/>
      <c r="C113" s="757"/>
      <c r="D113" s="757"/>
      <c r="E113" s="757"/>
      <c r="F113" s="757"/>
      <c r="G113" s="757"/>
      <c r="H113" s="757"/>
      <c r="I113" s="757"/>
      <c r="J113" s="775"/>
      <c r="K113" s="757"/>
    </row>
    <row r="114">
      <c r="B114" s="757"/>
      <c r="C114" s="757"/>
      <c r="D114" s="757"/>
      <c r="E114" s="757"/>
      <c r="F114" s="757"/>
      <c r="G114" s="757"/>
      <c r="H114" s="757"/>
      <c r="I114" s="757"/>
      <c r="J114" s="775"/>
      <c r="K114" s="757"/>
    </row>
    <row r="115">
      <c r="B115" s="757"/>
      <c r="C115" s="757"/>
      <c r="D115" s="757"/>
      <c r="E115" s="757"/>
      <c r="F115" s="757"/>
      <c r="G115" s="757"/>
      <c r="H115" s="757"/>
      <c r="I115" s="757"/>
      <c r="J115" s="775"/>
      <c r="K115" s="757"/>
    </row>
    <row r="116">
      <c r="B116" s="757"/>
      <c r="C116" s="757"/>
      <c r="D116" s="757"/>
      <c r="E116" s="757"/>
      <c r="F116" s="757"/>
      <c r="G116" s="757"/>
      <c r="H116" s="757"/>
      <c r="I116" s="757"/>
      <c r="J116" s="775"/>
      <c r="K116" s="757"/>
    </row>
    <row r="117">
      <c r="B117" s="757"/>
      <c r="C117" s="757"/>
      <c r="D117" s="757"/>
      <c r="E117" s="757"/>
      <c r="F117" s="757"/>
      <c r="G117" s="757"/>
      <c r="H117" s="757"/>
      <c r="I117" s="757"/>
      <c r="J117" s="775"/>
      <c r="K117" s="757"/>
    </row>
    <row r="118">
      <c r="B118" s="757"/>
      <c r="C118" s="757"/>
      <c r="D118" s="757"/>
      <c r="E118" s="757"/>
      <c r="F118" s="757"/>
      <c r="G118" s="757"/>
      <c r="H118" s="757"/>
      <c r="I118" s="757"/>
      <c r="J118" s="775"/>
      <c r="K118" s="757"/>
    </row>
    <row r="119">
      <c r="B119" s="757"/>
      <c r="C119" s="757"/>
      <c r="D119" s="757"/>
      <c r="E119" s="757"/>
      <c r="F119" s="757"/>
      <c r="G119" s="757"/>
      <c r="H119" s="757"/>
      <c r="I119" s="757"/>
      <c r="J119" s="775"/>
      <c r="K119" s="757"/>
    </row>
    <row r="120">
      <c r="B120" s="757"/>
      <c r="C120" s="757"/>
      <c r="D120" s="757"/>
      <c r="E120" s="757"/>
      <c r="F120" s="757"/>
      <c r="G120" s="757"/>
      <c r="H120" s="757"/>
      <c r="I120" s="757"/>
      <c r="J120" s="775"/>
      <c r="K120" s="757"/>
    </row>
    <row r="121">
      <c r="B121" s="757"/>
      <c r="C121" s="757"/>
      <c r="D121" s="757"/>
      <c r="E121" s="757"/>
      <c r="F121" s="757"/>
      <c r="G121" s="757"/>
      <c r="H121" s="757"/>
      <c r="I121" s="757"/>
      <c r="J121" s="775"/>
      <c r="K121" s="757"/>
    </row>
    <row r="122">
      <c r="B122" s="757"/>
      <c r="C122" s="757"/>
      <c r="D122" s="757"/>
      <c r="E122" s="757"/>
      <c r="F122" s="757"/>
      <c r="G122" s="757"/>
      <c r="H122" s="757"/>
      <c r="I122" s="757"/>
      <c r="J122" s="775"/>
      <c r="K122" s="757"/>
    </row>
    <row r="123">
      <c r="B123" s="757"/>
      <c r="C123" s="757"/>
      <c r="D123" s="757"/>
      <c r="E123" s="757"/>
      <c r="F123" s="757"/>
      <c r="G123" s="757"/>
      <c r="H123" s="757"/>
      <c r="I123" s="757"/>
      <c r="J123" s="775"/>
      <c r="K123" s="757"/>
    </row>
    <row r="124">
      <c r="B124" s="757"/>
      <c r="C124" s="757"/>
      <c r="D124" s="757"/>
      <c r="E124" s="757"/>
      <c r="F124" s="757"/>
      <c r="G124" s="757"/>
      <c r="H124" s="757"/>
      <c r="I124" s="757"/>
      <c r="J124" s="775"/>
      <c r="K124" s="757"/>
    </row>
    <row r="125">
      <c r="B125" s="757"/>
      <c r="C125" s="757"/>
      <c r="D125" s="757"/>
      <c r="E125" s="757"/>
      <c r="F125" s="757"/>
      <c r="G125" s="757"/>
      <c r="H125" s="757"/>
      <c r="I125" s="757"/>
      <c r="J125" s="775"/>
      <c r="K125" s="757"/>
    </row>
    <row r="126">
      <c r="B126" s="757"/>
      <c r="C126" s="757"/>
      <c r="D126" s="757"/>
      <c r="E126" s="757"/>
      <c r="F126" s="757"/>
      <c r="G126" s="757"/>
      <c r="H126" s="757"/>
      <c r="I126" s="757"/>
      <c r="J126" s="775"/>
      <c r="K126" s="757"/>
    </row>
    <row r="127">
      <c r="B127" s="757"/>
      <c r="C127" s="757"/>
      <c r="D127" s="757"/>
      <c r="E127" s="757"/>
      <c r="F127" s="757"/>
      <c r="G127" s="757"/>
      <c r="H127" s="757"/>
      <c r="I127" s="757"/>
      <c r="J127" s="775"/>
      <c r="K127" s="757"/>
    </row>
    <row r="128">
      <c r="B128" s="757"/>
      <c r="C128" s="757"/>
      <c r="D128" s="757"/>
      <c r="E128" s="757"/>
      <c r="F128" s="757"/>
      <c r="G128" s="757"/>
      <c r="H128" s="757"/>
      <c r="I128" s="757"/>
      <c r="J128" s="775"/>
      <c r="K128" s="757"/>
    </row>
    <row r="129">
      <c r="B129" s="757"/>
      <c r="C129" s="757"/>
      <c r="D129" s="757"/>
      <c r="E129" s="757"/>
      <c r="F129" s="757"/>
      <c r="G129" s="757"/>
      <c r="H129" s="757"/>
      <c r="I129" s="757"/>
      <c r="J129" s="775"/>
      <c r="K129" s="757"/>
    </row>
    <row r="130">
      <c r="B130" s="757"/>
      <c r="C130" s="757"/>
      <c r="D130" s="757"/>
      <c r="E130" s="757"/>
      <c r="F130" s="757"/>
      <c r="G130" s="757"/>
      <c r="H130" s="757"/>
      <c r="I130" s="757"/>
      <c r="J130" s="775"/>
      <c r="K130" s="757"/>
    </row>
    <row r="131">
      <c r="B131" s="757"/>
      <c r="C131" s="757"/>
      <c r="D131" s="757"/>
      <c r="E131" s="757"/>
      <c r="F131" s="757"/>
      <c r="G131" s="757"/>
      <c r="H131" s="757"/>
      <c r="I131" s="757"/>
      <c r="J131" s="775"/>
      <c r="K131" s="757"/>
    </row>
    <row r="132">
      <c r="B132" s="757"/>
      <c r="C132" s="757"/>
      <c r="D132" s="757"/>
      <c r="E132" s="757"/>
      <c r="F132" s="757"/>
      <c r="G132" s="757"/>
      <c r="H132" s="757"/>
      <c r="I132" s="757"/>
      <c r="J132" s="775"/>
      <c r="K132" s="757"/>
    </row>
    <row r="133">
      <c r="B133" s="757"/>
      <c r="C133" s="757"/>
      <c r="D133" s="757"/>
      <c r="E133" s="757"/>
      <c r="F133" s="757"/>
      <c r="G133" s="757"/>
      <c r="H133" s="757"/>
      <c r="I133" s="757"/>
      <c r="J133" s="775"/>
      <c r="K133" s="757"/>
    </row>
    <row r="134">
      <c r="B134" s="757"/>
      <c r="C134" s="757"/>
      <c r="D134" s="757"/>
      <c r="E134" s="757"/>
      <c r="F134" s="757"/>
      <c r="G134" s="757"/>
      <c r="H134" s="757"/>
      <c r="I134" s="757"/>
      <c r="J134" s="775"/>
      <c r="K134" s="757"/>
    </row>
    <row r="135">
      <c r="B135" s="757"/>
      <c r="C135" s="757"/>
      <c r="D135" s="757"/>
      <c r="E135" s="757"/>
      <c r="F135" s="757"/>
      <c r="G135" s="757"/>
      <c r="H135" s="757"/>
      <c r="I135" s="757"/>
      <c r="J135" s="775"/>
      <c r="K135" s="757"/>
    </row>
    <row r="136">
      <c r="B136" s="757"/>
      <c r="C136" s="757"/>
      <c r="D136" s="757"/>
      <c r="E136" s="757"/>
      <c r="F136" s="757"/>
      <c r="G136" s="757"/>
      <c r="H136" s="757"/>
      <c r="I136" s="757"/>
      <c r="J136" s="775"/>
      <c r="K136" s="757"/>
    </row>
    <row r="137">
      <c r="B137" s="757"/>
      <c r="C137" s="757"/>
      <c r="D137" s="757"/>
      <c r="E137" s="757"/>
      <c r="F137" s="757"/>
      <c r="G137" s="757"/>
      <c r="H137" s="757"/>
      <c r="I137" s="757"/>
      <c r="J137" s="775"/>
      <c r="K137" s="757"/>
    </row>
    <row r="138">
      <c r="B138" s="757"/>
      <c r="C138" s="757"/>
      <c r="D138" s="757"/>
      <c r="E138" s="757"/>
      <c r="F138" s="757"/>
      <c r="G138" s="757"/>
      <c r="H138" s="757"/>
      <c r="I138" s="757"/>
      <c r="J138" s="775"/>
      <c r="K138" s="757"/>
    </row>
    <row r="139">
      <c r="B139" s="757"/>
      <c r="C139" s="757"/>
      <c r="D139" s="757"/>
      <c r="E139" s="757"/>
      <c r="F139" s="757"/>
      <c r="G139" s="757"/>
      <c r="H139" s="757"/>
      <c r="I139" s="757"/>
      <c r="J139" s="775"/>
      <c r="K139" s="757"/>
    </row>
    <row r="140">
      <c r="B140" s="757"/>
      <c r="C140" s="757"/>
      <c r="D140" s="757"/>
      <c r="E140" s="757"/>
      <c r="F140" s="757"/>
      <c r="G140" s="757"/>
      <c r="H140" s="757"/>
      <c r="I140" s="757"/>
      <c r="J140" s="775"/>
      <c r="K140" s="757"/>
    </row>
    <row r="141">
      <c r="B141" s="757"/>
      <c r="C141" s="757"/>
      <c r="D141" s="757"/>
      <c r="E141" s="757"/>
      <c r="F141" s="757"/>
      <c r="G141" s="757"/>
      <c r="H141" s="757"/>
      <c r="I141" s="757"/>
      <c r="J141" s="775"/>
      <c r="K141" s="757"/>
    </row>
    <row r="142">
      <c r="B142" s="757"/>
      <c r="C142" s="757"/>
      <c r="D142" s="757"/>
      <c r="E142" s="757"/>
      <c r="F142" s="757"/>
      <c r="G142" s="757"/>
      <c r="H142" s="757"/>
      <c r="I142" s="757"/>
      <c r="J142" s="775"/>
      <c r="K142" s="757"/>
    </row>
    <row r="143">
      <c r="B143" s="757"/>
      <c r="C143" s="757"/>
      <c r="D143" s="757"/>
      <c r="E143" s="757"/>
      <c r="F143" s="757"/>
      <c r="G143" s="757"/>
      <c r="H143" s="757"/>
      <c r="I143" s="757"/>
      <c r="J143" s="775"/>
      <c r="K143" s="757"/>
    </row>
    <row r="144">
      <c r="B144" s="757"/>
      <c r="C144" s="757"/>
      <c r="D144" s="757"/>
      <c r="E144" s="757"/>
      <c r="F144" s="757"/>
      <c r="G144" s="757"/>
      <c r="H144" s="757"/>
      <c r="I144" s="757"/>
      <c r="J144" s="775"/>
      <c r="K144" s="757"/>
    </row>
    <row r="145">
      <c r="B145" s="757"/>
      <c r="C145" s="757"/>
      <c r="D145" s="757"/>
      <c r="E145" s="757"/>
      <c r="F145" s="757"/>
      <c r="G145" s="757"/>
      <c r="H145" s="757"/>
      <c r="I145" s="757"/>
      <c r="J145" s="775"/>
      <c r="K145" s="757"/>
    </row>
    <row r="146">
      <c r="B146" s="757"/>
      <c r="C146" s="757"/>
      <c r="D146" s="757"/>
      <c r="E146" s="757"/>
      <c r="F146" s="757"/>
      <c r="G146" s="757"/>
      <c r="H146" s="757"/>
      <c r="I146" s="757"/>
      <c r="J146" s="775"/>
      <c r="K146" s="757"/>
    </row>
    <row r="147">
      <c r="B147" s="757"/>
      <c r="C147" s="757"/>
      <c r="D147" s="757"/>
      <c r="E147" s="757"/>
      <c r="F147" s="757"/>
      <c r="G147" s="757"/>
      <c r="H147" s="757"/>
      <c r="I147" s="757"/>
      <c r="J147" s="775"/>
      <c r="K147" s="757"/>
    </row>
    <row r="148">
      <c r="B148" s="757"/>
      <c r="C148" s="757"/>
      <c r="D148" s="757"/>
      <c r="E148" s="757"/>
      <c r="F148" s="757"/>
      <c r="G148" s="757"/>
      <c r="H148" s="757"/>
      <c r="I148" s="757"/>
      <c r="J148" s="775"/>
      <c r="K148" s="757"/>
    </row>
    <row r="149">
      <c r="B149" s="757"/>
      <c r="C149" s="757"/>
      <c r="D149" s="757"/>
      <c r="E149" s="757"/>
      <c r="F149" s="757"/>
      <c r="G149" s="757"/>
      <c r="H149" s="757"/>
      <c r="I149" s="757"/>
      <c r="J149" s="775"/>
      <c r="K149" s="757"/>
    </row>
    <row r="150">
      <c r="B150" s="757"/>
      <c r="C150" s="757"/>
      <c r="D150" s="757"/>
      <c r="E150" s="757"/>
      <c r="F150" s="757"/>
      <c r="G150" s="757"/>
      <c r="H150" s="757"/>
      <c r="I150" s="757"/>
      <c r="J150" s="775"/>
      <c r="K150" s="757"/>
    </row>
    <row r="151">
      <c r="B151" s="757"/>
      <c r="C151" s="757"/>
      <c r="D151" s="757"/>
      <c r="E151" s="757"/>
      <c r="F151" s="757"/>
      <c r="G151" s="757"/>
      <c r="H151" s="757"/>
      <c r="I151" s="757"/>
      <c r="J151" s="775"/>
      <c r="K151" s="757"/>
    </row>
    <row r="152">
      <c r="B152" s="757"/>
      <c r="C152" s="757"/>
      <c r="D152" s="757"/>
      <c r="E152" s="757"/>
      <c r="F152" s="757"/>
      <c r="G152" s="757"/>
      <c r="H152" s="757"/>
      <c r="I152" s="757"/>
      <c r="J152" s="775"/>
      <c r="K152" s="757"/>
    </row>
    <row r="153">
      <c r="B153" s="757"/>
      <c r="C153" s="757"/>
      <c r="D153" s="757"/>
      <c r="E153" s="757"/>
      <c r="F153" s="757"/>
      <c r="G153" s="757"/>
      <c r="H153" s="757"/>
      <c r="I153" s="757"/>
      <c r="J153" s="775"/>
      <c r="K153" s="757"/>
    </row>
    <row r="154">
      <c r="B154" s="757"/>
      <c r="C154" s="757"/>
      <c r="D154" s="757"/>
      <c r="E154" s="757"/>
      <c r="F154" s="757"/>
      <c r="G154" s="757"/>
      <c r="H154" s="757"/>
      <c r="I154" s="757"/>
      <c r="J154" s="775"/>
      <c r="K154" s="757"/>
    </row>
    <row r="155">
      <c r="B155" s="757"/>
      <c r="C155" s="757"/>
      <c r="D155" s="757"/>
      <c r="E155" s="757"/>
      <c r="F155" s="757"/>
      <c r="G155" s="757"/>
      <c r="H155" s="757"/>
      <c r="I155" s="757"/>
      <c r="J155" s="775"/>
      <c r="K155" s="757"/>
    </row>
    <row r="156">
      <c r="B156" s="757"/>
      <c r="C156" s="757"/>
      <c r="D156" s="757"/>
      <c r="E156" s="757"/>
      <c r="F156" s="757"/>
      <c r="G156" s="757"/>
      <c r="H156" s="757"/>
      <c r="I156" s="757"/>
      <c r="J156" s="775"/>
      <c r="K156" s="757"/>
    </row>
    <row r="157">
      <c r="B157" s="757"/>
      <c r="C157" s="757"/>
      <c r="D157" s="757"/>
      <c r="E157" s="757"/>
      <c r="F157" s="757"/>
      <c r="G157" s="757"/>
      <c r="H157" s="757"/>
      <c r="I157" s="757"/>
      <c r="J157" s="775"/>
      <c r="K157" s="757"/>
    </row>
    <row r="158">
      <c r="B158" s="757"/>
      <c r="C158" s="757"/>
      <c r="D158" s="757"/>
      <c r="E158" s="757"/>
      <c r="F158" s="757"/>
      <c r="G158" s="757"/>
      <c r="H158" s="757"/>
      <c r="I158" s="757"/>
      <c r="J158" s="775"/>
      <c r="K158" s="757"/>
    </row>
    <row r="159">
      <c r="B159" s="757"/>
      <c r="C159" s="757"/>
      <c r="D159" s="757"/>
      <c r="E159" s="757"/>
      <c r="F159" s="757"/>
      <c r="G159" s="757"/>
      <c r="H159" s="757"/>
      <c r="I159" s="757"/>
      <c r="J159" s="775"/>
      <c r="K159" s="757"/>
    </row>
    <row r="160">
      <c r="B160" s="757"/>
      <c r="C160" s="757"/>
      <c r="D160" s="757"/>
      <c r="E160" s="757"/>
      <c r="F160" s="757"/>
      <c r="G160" s="757"/>
      <c r="H160" s="757"/>
      <c r="I160" s="757"/>
      <c r="J160" s="775"/>
      <c r="K160" s="757"/>
    </row>
    <row r="161">
      <c r="B161" s="757"/>
      <c r="C161" s="757"/>
      <c r="D161" s="757"/>
      <c r="E161" s="757"/>
      <c r="F161" s="757"/>
      <c r="G161" s="757"/>
      <c r="H161" s="757"/>
      <c r="I161" s="757"/>
      <c r="J161" s="775"/>
      <c r="K161" s="757"/>
    </row>
    <row r="162">
      <c r="B162" s="757"/>
      <c r="C162" s="757"/>
      <c r="D162" s="757"/>
      <c r="E162" s="757"/>
      <c r="F162" s="757"/>
      <c r="G162" s="757"/>
      <c r="H162" s="757"/>
      <c r="I162" s="757"/>
      <c r="J162" s="775"/>
      <c r="K162" s="757"/>
    </row>
    <row r="163">
      <c r="B163" s="757"/>
      <c r="C163" s="757"/>
      <c r="D163" s="757"/>
      <c r="E163" s="757"/>
      <c r="F163" s="757"/>
      <c r="G163" s="757"/>
      <c r="H163" s="757"/>
      <c r="I163" s="757"/>
      <c r="J163" s="775"/>
      <c r="K163" s="757"/>
    </row>
    <row r="164">
      <c r="B164" s="757"/>
      <c r="C164" s="757"/>
      <c r="D164" s="757"/>
      <c r="E164" s="757"/>
      <c r="F164" s="757"/>
      <c r="G164" s="757"/>
      <c r="H164" s="757"/>
      <c r="I164" s="757"/>
      <c r="J164" s="775"/>
      <c r="K164" s="757"/>
    </row>
    <row r="165">
      <c r="B165" s="757"/>
      <c r="C165" s="757"/>
      <c r="D165" s="757"/>
      <c r="E165" s="757"/>
      <c r="F165" s="757"/>
      <c r="G165" s="757"/>
      <c r="H165" s="757"/>
      <c r="I165" s="757"/>
      <c r="J165" s="775"/>
      <c r="K165" s="757"/>
    </row>
    <row r="166">
      <c r="B166" s="757"/>
      <c r="C166" s="757"/>
      <c r="D166" s="757"/>
      <c r="E166" s="757"/>
      <c r="F166" s="757"/>
      <c r="G166" s="757"/>
      <c r="H166" s="757"/>
      <c r="I166" s="757"/>
      <c r="J166" s="775"/>
      <c r="K166" s="757"/>
    </row>
    <row r="167">
      <c r="B167" s="757"/>
      <c r="C167" s="757"/>
      <c r="D167" s="757"/>
      <c r="E167" s="757"/>
      <c r="F167" s="757"/>
      <c r="G167" s="757"/>
      <c r="H167" s="757"/>
      <c r="I167" s="757"/>
      <c r="J167" s="775"/>
      <c r="K167" s="757"/>
    </row>
    <row r="168">
      <c r="B168" s="757"/>
      <c r="C168" s="757"/>
      <c r="D168" s="757"/>
      <c r="E168" s="757"/>
      <c r="F168" s="757"/>
      <c r="G168" s="757"/>
      <c r="H168" s="757"/>
      <c r="I168" s="757"/>
      <c r="J168" s="775"/>
      <c r="K168" s="757"/>
    </row>
    <row r="169">
      <c r="B169" s="757"/>
      <c r="C169" s="757"/>
      <c r="D169" s="757"/>
      <c r="E169" s="757"/>
      <c r="F169" s="757"/>
      <c r="G169" s="757"/>
      <c r="H169" s="757"/>
      <c r="I169" s="757"/>
      <c r="J169" s="775"/>
      <c r="K169" s="757"/>
    </row>
    <row r="170">
      <c r="B170" s="757"/>
      <c r="C170" s="757"/>
      <c r="D170" s="757"/>
      <c r="E170" s="757"/>
      <c r="F170" s="757"/>
      <c r="G170" s="757"/>
      <c r="H170" s="757"/>
      <c r="I170" s="757"/>
      <c r="J170" s="775"/>
      <c r="K170" s="757"/>
    </row>
    <row r="171">
      <c r="B171" s="757"/>
      <c r="C171" s="757"/>
      <c r="D171" s="757"/>
      <c r="E171" s="757"/>
      <c r="F171" s="757"/>
      <c r="G171" s="757"/>
      <c r="H171" s="757"/>
      <c r="I171" s="757"/>
      <c r="J171" s="775"/>
      <c r="K171" s="757"/>
    </row>
    <row r="172">
      <c r="B172" s="757"/>
      <c r="C172" s="757"/>
      <c r="D172" s="757"/>
      <c r="E172" s="757"/>
      <c r="F172" s="757"/>
      <c r="G172" s="757"/>
      <c r="H172" s="757"/>
      <c r="I172" s="757"/>
      <c r="J172" s="775"/>
      <c r="K172" s="757"/>
    </row>
    <row r="173">
      <c r="B173" s="757"/>
      <c r="C173" s="757"/>
      <c r="D173" s="757"/>
      <c r="E173" s="757"/>
      <c r="F173" s="757"/>
      <c r="G173" s="757"/>
      <c r="H173" s="757"/>
      <c r="I173" s="757"/>
      <c r="J173" s="775"/>
      <c r="K173" s="757"/>
    </row>
    <row r="174">
      <c r="B174" s="757"/>
      <c r="C174" s="757"/>
      <c r="D174" s="757"/>
      <c r="E174" s="757"/>
      <c r="F174" s="757"/>
      <c r="G174" s="757"/>
      <c r="H174" s="757"/>
      <c r="I174" s="757"/>
      <c r="J174" s="775"/>
      <c r="K174" s="757"/>
    </row>
    <row r="175">
      <c r="B175" s="757"/>
      <c r="C175" s="757"/>
      <c r="D175" s="757"/>
      <c r="E175" s="757"/>
      <c r="F175" s="757"/>
      <c r="G175" s="757"/>
      <c r="H175" s="757"/>
      <c r="I175" s="757"/>
      <c r="J175" s="775"/>
      <c r="K175" s="757"/>
    </row>
    <row r="176">
      <c r="B176" s="757"/>
      <c r="C176" s="757"/>
      <c r="D176" s="757"/>
      <c r="E176" s="757"/>
      <c r="F176" s="757"/>
      <c r="G176" s="757"/>
      <c r="H176" s="757"/>
      <c r="I176" s="757"/>
      <c r="J176" s="775"/>
      <c r="K176" s="757"/>
    </row>
    <row r="177">
      <c r="B177" s="757"/>
      <c r="C177" s="757"/>
      <c r="D177" s="757"/>
      <c r="E177" s="757"/>
      <c r="F177" s="757"/>
      <c r="G177" s="757"/>
      <c r="H177" s="757"/>
      <c r="I177" s="757"/>
      <c r="J177" s="775"/>
      <c r="K177" s="757"/>
    </row>
    <row r="178">
      <c r="B178" s="757"/>
      <c r="C178" s="757"/>
      <c r="D178" s="757"/>
      <c r="E178" s="757"/>
      <c r="F178" s="757"/>
      <c r="G178" s="757"/>
      <c r="H178" s="757"/>
      <c r="I178" s="757"/>
      <c r="J178" s="775"/>
      <c r="K178" s="757"/>
    </row>
    <row r="179">
      <c r="B179" s="757"/>
      <c r="C179" s="757"/>
      <c r="D179" s="757"/>
      <c r="E179" s="757"/>
      <c r="F179" s="757"/>
      <c r="G179" s="757"/>
      <c r="H179" s="757"/>
      <c r="I179" s="757"/>
      <c r="J179" s="775"/>
      <c r="K179" s="757"/>
    </row>
    <row r="180">
      <c r="B180" s="757"/>
      <c r="C180" s="757"/>
      <c r="D180" s="757"/>
      <c r="E180" s="757"/>
      <c r="F180" s="757"/>
      <c r="G180" s="757"/>
      <c r="H180" s="757"/>
      <c r="I180" s="757"/>
      <c r="J180" s="775"/>
      <c r="K180" s="757"/>
    </row>
    <row r="181">
      <c r="B181" s="757"/>
      <c r="C181" s="757"/>
      <c r="D181" s="757"/>
      <c r="E181" s="757"/>
      <c r="F181" s="757"/>
      <c r="G181" s="757"/>
      <c r="H181" s="757"/>
      <c r="I181" s="757"/>
      <c r="J181" s="775"/>
      <c r="K181" s="757"/>
    </row>
    <row r="182">
      <c r="B182" s="757"/>
      <c r="C182" s="757"/>
      <c r="D182" s="757"/>
      <c r="E182" s="757"/>
      <c r="F182" s="757"/>
      <c r="G182" s="757"/>
      <c r="H182" s="757"/>
      <c r="I182" s="757"/>
      <c r="J182" s="775"/>
      <c r="K182" s="757"/>
    </row>
    <row r="183">
      <c r="B183" s="757"/>
      <c r="C183" s="757"/>
      <c r="D183" s="757"/>
      <c r="E183" s="757"/>
      <c r="F183" s="757"/>
      <c r="G183" s="757"/>
      <c r="H183" s="757"/>
      <c r="I183" s="757"/>
      <c r="J183" s="775"/>
      <c r="K183" s="757"/>
    </row>
    <row r="184">
      <c r="B184" s="757"/>
      <c r="C184" s="757"/>
      <c r="D184" s="757"/>
      <c r="E184" s="757"/>
      <c r="F184" s="757"/>
      <c r="G184" s="757"/>
      <c r="H184" s="757"/>
      <c r="I184" s="757"/>
      <c r="J184" s="775"/>
      <c r="K184" s="757"/>
    </row>
    <row r="185">
      <c r="B185" s="757"/>
      <c r="C185" s="757"/>
      <c r="D185" s="757"/>
      <c r="E185" s="757"/>
      <c r="F185" s="757"/>
      <c r="G185" s="757"/>
      <c r="H185" s="757"/>
      <c r="I185" s="757"/>
      <c r="J185" s="775"/>
      <c r="K185" s="757"/>
    </row>
    <row r="186">
      <c r="B186" s="757"/>
      <c r="C186" s="757"/>
      <c r="D186" s="757"/>
      <c r="E186" s="757"/>
      <c r="F186" s="757"/>
      <c r="G186" s="757"/>
      <c r="H186" s="757"/>
      <c r="I186" s="757"/>
      <c r="J186" s="775"/>
      <c r="K186" s="757"/>
    </row>
    <row r="187">
      <c r="B187" s="757"/>
      <c r="C187" s="757"/>
      <c r="D187" s="757"/>
      <c r="E187" s="757"/>
      <c r="F187" s="757"/>
      <c r="G187" s="757"/>
      <c r="H187" s="757"/>
      <c r="I187" s="757"/>
      <c r="J187" s="775"/>
      <c r="K187" s="757"/>
    </row>
    <row r="188">
      <c r="B188" s="757"/>
      <c r="C188" s="757"/>
      <c r="D188" s="757"/>
      <c r="E188" s="757"/>
      <c r="F188" s="757"/>
      <c r="G188" s="757"/>
      <c r="H188" s="757"/>
      <c r="I188" s="757"/>
      <c r="J188" s="775"/>
      <c r="K188" s="757"/>
    </row>
    <row r="189">
      <c r="B189" s="757"/>
      <c r="C189" s="757"/>
      <c r="D189" s="757"/>
      <c r="E189" s="757"/>
      <c r="F189" s="757"/>
      <c r="G189" s="757"/>
      <c r="H189" s="757"/>
      <c r="I189" s="757"/>
      <c r="J189" s="775"/>
      <c r="K189" s="757"/>
    </row>
    <row r="190">
      <c r="B190" s="757"/>
      <c r="C190" s="757"/>
      <c r="D190" s="757"/>
      <c r="E190" s="757"/>
      <c r="F190" s="757"/>
      <c r="G190" s="757"/>
      <c r="H190" s="757"/>
      <c r="I190" s="757"/>
      <c r="J190" s="775"/>
      <c r="K190" s="757"/>
    </row>
    <row r="191">
      <c r="B191" s="757"/>
      <c r="C191" s="757"/>
      <c r="D191" s="757"/>
      <c r="E191" s="757"/>
      <c r="F191" s="757"/>
      <c r="G191" s="757"/>
      <c r="H191" s="757"/>
      <c r="I191" s="757"/>
      <c r="J191" s="775"/>
      <c r="K191" s="757"/>
    </row>
    <row r="192">
      <c r="B192" s="757"/>
      <c r="C192" s="757"/>
      <c r="D192" s="757"/>
      <c r="E192" s="757"/>
      <c r="F192" s="757"/>
      <c r="G192" s="757"/>
      <c r="H192" s="757"/>
      <c r="I192" s="757"/>
      <c r="J192" s="775"/>
      <c r="K192" s="757"/>
    </row>
    <row r="193">
      <c r="B193" s="757"/>
      <c r="C193" s="757"/>
      <c r="D193" s="757"/>
      <c r="E193" s="757"/>
      <c r="F193" s="757"/>
      <c r="G193" s="757"/>
      <c r="H193" s="757"/>
      <c r="I193" s="757"/>
      <c r="J193" s="775"/>
      <c r="K193" s="757"/>
    </row>
    <row r="194">
      <c r="B194" s="757"/>
      <c r="C194" s="757"/>
      <c r="D194" s="757"/>
      <c r="E194" s="757"/>
      <c r="F194" s="757"/>
      <c r="G194" s="757"/>
      <c r="H194" s="757"/>
      <c r="I194" s="757"/>
      <c r="J194" s="775"/>
      <c r="K194" s="757"/>
    </row>
    <row r="195">
      <c r="B195" s="757"/>
      <c r="C195" s="757"/>
      <c r="D195" s="757"/>
      <c r="E195" s="757"/>
      <c r="F195" s="757"/>
      <c r="G195" s="757"/>
      <c r="H195" s="757"/>
      <c r="I195" s="757"/>
      <c r="J195" s="775"/>
      <c r="K195" s="757"/>
    </row>
    <row r="196">
      <c r="B196" s="757"/>
      <c r="C196" s="757"/>
      <c r="D196" s="757"/>
      <c r="E196" s="757"/>
      <c r="F196" s="757"/>
      <c r="G196" s="757"/>
      <c r="H196" s="757"/>
      <c r="I196" s="757"/>
      <c r="J196" s="775"/>
      <c r="K196" s="757"/>
    </row>
    <row r="197">
      <c r="B197" s="757"/>
      <c r="C197" s="757"/>
      <c r="D197" s="757"/>
      <c r="E197" s="757"/>
      <c r="F197" s="757"/>
      <c r="G197" s="757"/>
      <c r="H197" s="757"/>
      <c r="I197" s="757"/>
      <c r="J197" s="775"/>
      <c r="K197" s="757"/>
    </row>
    <row r="198">
      <c r="B198" s="757"/>
      <c r="C198" s="757"/>
      <c r="D198" s="757"/>
      <c r="E198" s="757"/>
      <c r="F198" s="757"/>
      <c r="G198" s="757"/>
      <c r="H198" s="757"/>
      <c r="I198" s="757"/>
      <c r="J198" s="775"/>
      <c r="K198" s="757"/>
    </row>
    <row r="199">
      <c r="B199" s="757"/>
      <c r="C199" s="757"/>
      <c r="D199" s="757"/>
      <c r="E199" s="757"/>
      <c r="F199" s="757"/>
      <c r="G199" s="757"/>
      <c r="H199" s="757"/>
      <c r="I199" s="757"/>
      <c r="J199" s="775"/>
      <c r="K199" s="757"/>
    </row>
    <row r="200">
      <c r="B200" s="757"/>
      <c r="C200" s="757"/>
      <c r="D200" s="757"/>
      <c r="E200" s="757"/>
      <c r="F200" s="757"/>
      <c r="G200" s="757"/>
      <c r="H200" s="757"/>
      <c r="I200" s="757"/>
      <c r="J200" s="775"/>
      <c r="K200" s="757"/>
    </row>
    <row r="201">
      <c r="B201" s="757"/>
      <c r="C201" s="757"/>
      <c r="D201" s="757"/>
      <c r="E201" s="757"/>
      <c r="F201" s="757"/>
      <c r="G201" s="757"/>
      <c r="H201" s="757"/>
      <c r="I201" s="757"/>
      <c r="J201" s="775"/>
      <c r="K201" s="757"/>
    </row>
    <row r="202">
      <c r="B202" s="757"/>
      <c r="C202" s="757"/>
      <c r="D202" s="757"/>
      <c r="E202" s="757"/>
      <c r="F202" s="757"/>
      <c r="G202" s="757"/>
      <c r="H202" s="757"/>
      <c r="I202" s="757"/>
      <c r="J202" s="775"/>
      <c r="K202" s="757"/>
    </row>
    <row r="203">
      <c r="B203" s="757"/>
      <c r="C203" s="757"/>
      <c r="D203" s="757"/>
      <c r="E203" s="757"/>
      <c r="F203" s="757"/>
      <c r="G203" s="757"/>
      <c r="H203" s="757"/>
      <c r="I203" s="757"/>
      <c r="J203" s="775"/>
      <c r="K203" s="757"/>
    </row>
    <row r="204">
      <c r="B204" s="757"/>
      <c r="C204" s="757"/>
      <c r="D204" s="757"/>
      <c r="E204" s="757"/>
      <c r="F204" s="757"/>
      <c r="G204" s="757"/>
      <c r="H204" s="757"/>
      <c r="I204" s="757"/>
      <c r="J204" s="775"/>
      <c r="K204" s="757"/>
    </row>
    <row r="205">
      <c r="B205" s="757"/>
      <c r="C205" s="757"/>
      <c r="D205" s="757"/>
      <c r="E205" s="757"/>
      <c r="F205" s="757"/>
      <c r="G205" s="757"/>
      <c r="H205" s="757"/>
      <c r="I205" s="757"/>
      <c r="J205" s="775"/>
      <c r="K205" s="757"/>
    </row>
    <row r="206">
      <c r="B206" s="757"/>
      <c r="C206" s="757"/>
      <c r="D206" s="757"/>
      <c r="E206" s="757"/>
      <c r="F206" s="757"/>
      <c r="G206" s="757"/>
      <c r="H206" s="757"/>
      <c r="I206" s="757"/>
      <c r="J206" s="775"/>
      <c r="K206" s="757"/>
    </row>
    <row r="207">
      <c r="B207" s="757"/>
      <c r="C207" s="757"/>
      <c r="D207" s="757"/>
      <c r="E207" s="757"/>
      <c r="F207" s="757"/>
      <c r="G207" s="757"/>
      <c r="H207" s="757"/>
      <c r="I207" s="757"/>
      <c r="J207" s="775"/>
      <c r="K207" s="757"/>
    </row>
    <row r="208">
      <c r="B208" s="757"/>
      <c r="C208" s="757"/>
      <c r="D208" s="757"/>
      <c r="E208" s="757"/>
      <c r="F208" s="757"/>
      <c r="G208" s="757"/>
      <c r="H208" s="757"/>
      <c r="I208" s="757"/>
      <c r="J208" s="775"/>
      <c r="K208" s="757"/>
    </row>
    <row r="209">
      <c r="B209" s="757"/>
      <c r="C209" s="757"/>
      <c r="D209" s="757"/>
      <c r="E209" s="757"/>
      <c r="F209" s="757"/>
      <c r="G209" s="757"/>
      <c r="H209" s="757"/>
      <c r="I209" s="757"/>
      <c r="J209" s="775"/>
      <c r="K209" s="757"/>
    </row>
    <row r="210">
      <c r="B210" s="757"/>
      <c r="C210" s="757"/>
      <c r="D210" s="757"/>
      <c r="E210" s="757"/>
      <c r="F210" s="757"/>
      <c r="G210" s="757"/>
      <c r="H210" s="757"/>
      <c r="I210" s="757"/>
      <c r="J210" s="775"/>
      <c r="K210" s="757"/>
    </row>
    <row r="211">
      <c r="B211" s="757"/>
      <c r="C211" s="757"/>
      <c r="D211" s="757"/>
      <c r="E211" s="757"/>
      <c r="F211" s="757"/>
      <c r="G211" s="757"/>
      <c r="H211" s="757"/>
      <c r="I211" s="757"/>
      <c r="J211" s="775"/>
      <c r="K211" s="757"/>
    </row>
    <row r="212">
      <c r="B212" s="757"/>
      <c r="C212" s="757"/>
      <c r="D212" s="757"/>
      <c r="E212" s="757"/>
      <c r="F212" s="757"/>
      <c r="G212" s="757"/>
      <c r="H212" s="757"/>
      <c r="I212" s="757"/>
      <c r="J212" s="775"/>
      <c r="K212" s="757"/>
    </row>
    <row r="213">
      <c r="B213" s="757"/>
      <c r="C213" s="757"/>
      <c r="D213" s="757"/>
      <c r="E213" s="757"/>
      <c r="F213" s="757"/>
      <c r="G213" s="757"/>
      <c r="H213" s="757"/>
      <c r="I213" s="757"/>
      <c r="J213" s="775"/>
      <c r="K213" s="757"/>
    </row>
    <row r="214">
      <c r="B214" s="757"/>
      <c r="C214" s="757"/>
      <c r="D214" s="757"/>
      <c r="E214" s="757"/>
      <c r="F214" s="757"/>
      <c r="G214" s="757"/>
      <c r="H214" s="757"/>
      <c r="I214" s="757"/>
      <c r="J214" s="775"/>
      <c r="K214" s="757"/>
    </row>
    <row r="215">
      <c r="B215" s="757"/>
      <c r="C215" s="757"/>
      <c r="D215" s="757"/>
      <c r="E215" s="757"/>
      <c r="F215" s="757"/>
      <c r="G215" s="757"/>
      <c r="H215" s="757"/>
      <c r="I215" s="757"/>
      <c r="J215" s="775"/>
      <c r="K215" s="757"/>
    </row>
    <row r="216">
      <c r="B216" s="757"/>
      <c r="C216" s="757"/>
      <c r="D216" s="757"/>
      <c r="E216" s="757"/>
      <c r="F216" s="757"/>
      <c r="G216" s="757"/>
      <c r="H216" s="757"/>
      <c r="I216" s="757"/>
      <c r="J216" s="775"/>
      <c r="K216" s="757"/>
    </row>
    <row r="217">
      <c r="B217" s="757"/>
      <c r="C217" s="757"/>
      <c r="D217" s="757"/>
      <c r="E217" s="757"/>
      <c r="F217" s="757"/>
      <c r="G217" s="757"/>
      <c r="H217" s="757"/>
      <c r="I217" s="757"/>
      <c r="J217" s="775"/>
      <c r="K217" s="757"/>
    </row>
    <row r="218">
      <c r="B218" s="757"/>
      <c r="C218" s="757"/>
      <c r="D218" s="757"/>
      <c r="E218" s="757"/>
      <c r="F218" s="757"/>
      <c r="G218" s="757"/>
      <c r="H218" s="757"/>
      <c r="I218" s="757"/>
      <c r="J218" s="775"/>
      <c r="K218" s="757"/>
    </row>
    <row r="219">
      <c r="B219" s="757"/>
      <c r="C219" s="757"/>
      <c r="D219" s="757"/>
      <c r="E219" s="757"/>
      <c r="F219" s="757"/>
      <c r="G219" s="757"/>
      <c r="H219" s="757"/>
      <c r="I219" s="757"/>
      <c r="J219" s="775"/>
      <c r="K219" s="757"/>
    </row>
    <row r="220">
      <c r="B220" s="757"/>
      <c r="C220" s="757"/>
      <c r="D220" s="757"/>
      <c r="E220" s="757"/>
      <c r="F220" s="757"/>
      <c r="G220" s="757"/>
      <c r="H220" s="757"/>
      <c r="I220" s="757"/>
      <c r="J220" s="775"/>
      <c r="K220" s="757"/>
    </row>
    <row r="221">
      <c r="B221" s="757"/>
      <c r="C221" s="757"/>
      <c r="D221" s="757"/>
      <c r="E221" s="757"/>
      <c r="F221" s="757"/>
      <c r="G221" s="757"/>
      <c r="H221" s="757"/>
      <c r="I221" s="757"/>
      <c r="J221" s="775"/>
      <c r="K221" s="757"/>
    </row>
    <row r="222">
      <c r="B222" s="757"/>
      <c r="C222" s="757"/>
      <c r="D222" s="757"/>
      <c r="E222" s="757"/>
      <c r="F222" s="757"/>
      <c r="G222" s="757"/>
      <c r="H222" s="757"/>
      <c r="I222" s="757"/>
      <c r="J222" s="775"/>
      <c r="K222" s="757"/>
    </row>
    <row r="223">
      <c r="B223" s="757"/>
      <c r="C223" s="757"/>
      <c r="D223" s="757"/>
      <c r="E223" s="757"/>
      <c r="F223" s="757"/>
      <c r="G223" s="757"/>
      <c r="H223" s="757"/>
      <c r="I223" s="757"/>
      <c r="J223" s="775"/>
      <c r="K223" s="757"/>
    </row>
    <row r="224">
      <c r="B224" s="757"/>
      <c r="C224" s="757"/>
      <c r="D224" s="757"/>
      <c r="E224" s="757"/>
      <c r="F224" s="757"/>
      <c r="G224" s="757"/>
      <c r="H224" s="757"/>
      <c r="I224" s="757"/>
      <c r="J224" s="775"/>
      <c r="K224" s="757"/>
    </row>
    <row r="225">
      <c r="B225" s="757"/>
      <c r="C225" s="757"/>
      <c r="D225" s="757"/>
      <c r="E225" s="757"/>
      <c r="F225" s="757"/>
      <c r="G225" s="757"/>
      <c r="H225" s="757"/>
      <c r="I225" s="757"/>
      <c r="J225" s="775"/>
      <c r="K225" s="757"/>
    </row>
    <row r="226">
      <c r="B226" s="757"/>
      <c r="C226" s="757"/>
      <c r="D226" s="757"/>
      <c r="E226" s="757"/>
      <c r="F226" s="757"/>
      <c r="G226" s="757"/>
      <c r="H226" s="757"/>
      <c r="I226" s="757"/>
      <c r="J226" s="775"/>
      <c r="K226" s="757"/>
    </row>
    <row r="227">
      <c r="B227" s="757"/>
      <c r="C227" s="757"/>
      <c r="D227" s="757"/>
      <c r="E227" s="757"/>
      <c r="F227" s="757"/>
      <c r="G227" s="757"/>
      <c r="H227" s="757"/>
      <c r="I227" s="757"/>
      <c r="J227" s="775"/>
      <c r="K227" s="757"/>
    </row>
    <row r="228">
      <c r="B228" s="757"/>
      <c r="C228" s="757"/>
      <c r="D228" s="757"/>
      <c r="E228" s="757"/>
      <c r="F228" s="757"/>
      <c r="G228" s="757"/>
      <c r="H228" s="757"/>
      <c r="I228" s="757"/>
      <c r="J228" s="775"/>
      <c r="K228" s="757"/>
    </row>
    <row r="229">
      <c r="B229" s="757"/>
      <c r="C229" s="757"/>
      <c r="D229" s="757"/>
      <c r="E229" s="757"/>
      <c r="F229" s="757"/>
      <c r="G229" s="757"/>
      <c r="H229" s="757"/>
      <c r="I229" s="757"/>
      <c r="J229" s="775"/>
      <c r="K229" s="757"/>
    </row>
    <row r="230">
      <c r="B230" s="757"/>
      <c r="C230" s="757"/>
      <c r="D230" s="757"/>
      <c r="E230" s="757"/>
      <c r="F230" s="757"/>
      <c r="G230" s="757"/>
      <c r="H230" s="757"/>
      <c r="I230" s="757"/>
      <c r="J230" s="775"/>
      <c r="K230" s="757"/>
    </row>
    <row r="231">
      <c r="B231" s="757"/>
      <c r="C231" s="757"/>
      <c r="D231" s="757"/>
      <c r="E231" s="757"/>
      <c r="F231" s="757"/>
      <c r="G231" s="757"/>
      <c r="H231" s="757"/>
      <c r="I231" s="757"/>
      <c r="J231" s="775"/>
      <c r="K231" s="757"/>
    </row>
    <row r="232">
      <c r="B232" s="757"/>
      <c r="C232" s="757"/>
      <c r="D232" s="757"/>
      <c r="E232" s="757"/>
      <c r="F232" s="757"/>
      <c r="G232" s="757"/>
      <c r="H232" s="757"/>
      <c r="I232" s="757"/>
      <c r="J232" s="775"/>
      <c r="K232" s="757"/>
    </row>
    <row r="233">
      <c r="B233" s="757"/>
      <c r="C233" s="757"/>
      <c r="D233" s="757"/>
      <c r="E233" s="757"/>
      <c r="F233" s="757"/>
      <c r="G233" s="757"/>
      <c r="H233" s="757"/>
      <c r="I233" s="757"/>
      <c r="J233" s="775"/>
      <c r="K233" s="757"/>
    </row>
    <row r="234">
      <c r="B234" s="757"/>
      <c r="C234" s="757"/>
      <c r="D234" s="757"/>
      <c r="E234" s="757"/>
      <c r="F234" s="757"/>
      <c r="G234" s="757"/>
      <c r="H234" s="757"/>
      <c r="I234" s="757"/>
      <c r="J234" s="775"/>
      <c r="K234" s="757"/>
    </row>
    <row r="235">
      <c r="B235" s="757"/>
      <c r="C235" s="757"/>
      <c r="D235" s="757"/>
      <c r="E235" s="757"/>
      <c r="F235" s="757"/>
      <c r="G235" s="757"/>
      <c r="H235" s="757"/>
      <c r="I235" s="757"/>
      <c r="J235" s="775"/>
      <c r="K235" s="757"/>
    </row>
    <row r="236">
      <c r="B236" s="757"/>
      <c r="C236" s="757"/>
      <c r="D236" s="757"/>
      <c r="E236" s="757"/>
      <c r="F236" s="757"/>
      <c r="G236" s="757"/>
      <c r="H236" s="757"/>
      <c r="I236" s="757"/>
      <c r="J236" s="775"/>
      <c r="K236" s="757"/>
    </row>
    <row r="237">
      <c r="B237" s="757"/>
      <c r="C237" s="757"/>
      <c r="D237" s="757"/>
      <c r="E237" s="757"/>
      <c r="F237" s="757"/>
      <c r="G237" s="757"/>
      <c r="H237" s="757"/>
      <c r="I237" s="757"/>
      <c r="J237" s="775"/>
      <c r="K237" s="757"/>
    </row>
    <row r="238">
      <c r="B238" s="757"/>
      <c r="C238" s="757"/>
      <c r="D238" s="757"/>
      <c r="E238" s="757"/>
      <c r="F238" s="757"/>
      <c r="G238" s="757"/>
      <c r="H238" s="757"/>
      <c r="I238" s="757"/>
      <c r="J238" s="775"/>
      <c r="K238" s="757"/>
    </row>
    <row r="239">
      <c r="B239" s="757"/>
      <c r="C239" s="757"/>
      <c r="D239" s="757"/>
      <c r="E239" s="757"/>
      <c r="F239" s="757"/>
      <c r="G239" s="757"/>
      <c r="H239" s="757"/>
      <c r="I239" s="757"/>
      <c r="J239" s="775"/>
      <c r="K239" s="757"/>
    </row>
    <row r="240">
      <c r="B240" s="757"/>
      <c r="C240" s="757"/>
      <c r="D240" s="757"/>
      <c r="E240" s="757"/>
      <c r="F240" s="757"/>
      <c r="G240" s="757"/>
      <c r="H240" s="757"/>
      <c r="I240" s="757"/>
      <c r="J240" s="775"/>
      <c r="K240" s="757"/>
    </row>
    <row r="241">
      <c r="B241" s="757"/>
      <c r="C241" s="757"/>
      <c r="D241" s="757"/>
      <c r="E241" s="757"/>
      <c r="F241" s="757"/>
      <c r="G241" s="757"/>
      <c r="H241" s="757"/>
      <c r="I241" s="757"/>
      <c r="J241" s="775"/>
      <c r="K241" s="757"/>
    </row>
    <row r="242">
      <c r="B242" s="757"/>
      <c r="C242" s="757"/>
      <c r="D242" s="757"/>
      <c r="E242" s="757"/>
      <c r="F242" s="757"/>
      <c r="G242" s="757"/>
      <c r="H242" s="757"/>
      <c r="I242" s="757"/>
      <c r="J242" s="775"/>
      <c r="K242" s="757"/>
    </row>
    <row r="243">
      <c r="B243" s="757"/>
      <c r="C243" s="757"/>
      <c r="D243" s="757"/>
      <c r="E243" s="757"/>
      <c r="F243" s="757"/>
      <c r="G243" s="757"/>
      <c r="H243" s="757"/>
      <c r="I243" s="757"/>
      <c r="J243" s="775"/>
      <c r="K243" s="757"/>
    </row>
    <row r="244">
      <c r="B244" s="757"/>
      <c r="C244" s="757"/>
      <c r="D244" s="757"/>
      <c r="E244" s="757"/>
      <c r="F244" s="757"/>
      <c r="G244" s="757"/>
      <c r="H244" s="757"/>
      <c r="I244" s="757"/>
      <c r="J244" s="775"/>
      <c r="K244" s="757"/>
    </row>
    <row r="245">
      <c r="B245" s="757"/>
      <c r="C245" s="757"/>
      <c r="D245" s="757"/>
      <c r="E245" s="757"/>
      <c r="F245" s="757"/>
      <c r="G245" s="757"/>
      <c r="H245" s="757"/>
      <c r="I245" s="757"/>
      <c r="J245" s="775"/>
      <c r="K245" s="757"/>
    </row>
    <row r="246">
      <c r="B246" s="757"/>
      <c r="C246" s="757"/>
      <c r="D246" s="757"/>
      <c r="E246" s="757"/>
      <c r="F246" s="757"/>
      <c r="G246" s="757"/>
      <c r="H246" s="757"/>
      <c r="I246" s="757"/>
      <c r="J246" s="775"/>
      <c r="K246" s="757"/>
    </row>
    <row r="247">
      <c r="B247" s="757"/>
      <c r="C247" s="757"/>
      <c r="D247" s="757"/>
      <c r="E247" s="757"/>
      <c r="F247" s="757"/>
      <c r="G247" s="757"/>
      <c r="H247" s="757"/>
      <c r="I247" s="757"/>
      <c r="J247" s="775"/>
      <c r="K247" s="757"/>
    </row>
    <row r="248">
      <c r="B248" s="757"/>
      <c r="C248" s="757"/>
      <c r="D248" s="757"/>
      <c r="E248" s="757"/>
      <c r="F248" s="757"/>
      <c r="G248" s="757"/>
      <c r="H248" s="757"/>
      <c r="I248" s="757"/>
      <c r="J248" s="775"/>
      <c r="K248" s="757"/>
    </row>
    <row r="249">
      <c r="B249" s="757"/>
      <c r="C249" s="757"/>
      <c r="D249" s="757"/>
      <c r="E249" s="757"/>
      <c r="F249" s="757"/>
      <c r="G249" s="757"/>
      <c r="H249" s="757"/>
      <c r="I249" s="757"/>
      <c r="J249" s="775"/>
      <c r="K249" s="757"/>
    </row>
    <row r="250">
      <c r="B250" s="757"/>
      <c r="C250" s="757"/>
      <c r="D250" s="757"/>
      <c r="E250" s="757"/>
      <c r="F250" s="757"/>
      <c r="G250" s="757"/>
      <c r="H250" s="757"/>
      <c r="I250" s="757"/>
      <c r="J250" s="775"/>
      <c r="K250" s="757"/>
    </row>
    <row r="251">
      <c r="B251" s="757"/>
      <c r="C251" s="757"/>
      <c r="D251" s="757"/>
      <c r="E251" s="757"/>
      <c r="F251" s="757"/>
      <c r="G251" s="757"/>
      <c r="H251" s="757"/>
      <c r="I251" s="757"/>
      <c r="J251" s="775"/>
      <c r="K251" s="757"/>
    </row>
    <row r="252">
      <c r="B252" s="757"/>
      <c r="C252" s="757"/>
      <c r="D252" s="757"/>
      <c r="E252" s="757"/>
      <c r="F252" s="757"/>
      <c r="G252" s="757"/>
      <c r="H252" s="757"/>
      <c r="I252" s="757"/>
      <c r="J252" s="775"/>
      <c r="K252" s="757"/>
    </row>
    <row r="253">
      <c r="B253" s="757"/>
      <c r="C253" s="757"/>
      <c r="D253" s="757"/>
      <c r="E253" s="757"/>
      <c r="F253" s="757"/>
      <c r="G253" s="757"/>
      <c r="H253" s="757"/>
      <c r="I253" s="757"/>
      <c r="J253" s="775"/>
      <c r="K253" s="757"/>
    </row>
    <row r="254">
      <c r="B254" s="757"/>
      <c r="C254" s="757"/>
      <c r="D254" s="757"/>
      <c r="E254" s="757"/>
      <c r="F254" s="757"/>
      <c r="G254" s="757"/>
      <c r="H254" s="757"/>
      <c r="I254" s="757"/>
      <c r="J254" s="775"/>
      <c r="K254" s="757"/>
    </row>
    <row r="255">
      <c r="B255" s="757"/>
      <c r="C255" s="757"/>
      <c r="D255" s="757"/>
      <c r="E255" s="757"/>
      <c r="F255" s="757"/>
      <c r="G255" s="757"/>
      <c r="H255" s="757"/>
      <c r="I255" s="757"/>
      <c r="J255" s="775"/>
      <c r="K255" s="757"/>
    </row>
    <row r="256">
      <c r="B256" s="757"/>
      <c r="C256" s="757"/>
      <c r="D256" s="757"/>
      <c r="E256" s="757"/>
      <c r="F256" s="757"/>
      <c r="G256" s="757"/>
      <c r="H256" s="757"/>
      <c r="I256" s="757"/>
      <c r="J256" s="775"/>
      <c r="K256" s="757"/>
    </row>
    <row r="257">
      <c r="B257" s="757"/>
      <c r="C257" s="757"/>
      <c r="D257" s="757"/>
      <c r="E257" s="757"/>
      <c r="F257" s="757"/>
      <c r="G257" s="757"/>
      <c r="H257" s="757"/>
      <c r="I257" s="757"/>
      <c r="J257" s="775"/>
      <c r="K257" s="757"/>
    </row>
    <row r="258">
      <c r="B258" s="757"/>
      <c r="C258" s="757"/>
      <c r="D258" s="757"/>
      <c r="E258" s="757"/>
      <c r="F258" s="757"/>
      <c r="G258" s="757"/>
      <c r="H258" s="757"/>
      <c r="I258" s="757"/>
      <c r="J258" s="775"/>
      <c r="K258" s="757"/>
    </row>
    <row r="259">
      <c r="B259" s="757"/>
      <c r="C259" s="757"/>
      <c r="D259" s="757"/>
      <c r="E259" s="757"/>
      <c r="F259" s="757"/>
      <c r="G259" s="757"/>
      <c r="H259" s="757"/>
      <c r="I259" s="757"/>
      <c r="J259" s="775"/>
      <c r="K259" s="757"/>
    </row>
    <row r="260">
      <c r="B260" s="757"/>
      <c r="C260" s="757"/>
      <c r="D260" s="757"/>
      <c r="E260" s="757"/>
      <c r="F260" s="757"/>
      <c r="G260" s="757"/>
      <c r="H260" s="757"/>
      <c r="I260" s="757"/>
      <c r="J260" s="775"/>
      <c r="K260" s="757"/>
    </row>
    <row r="261">
      <c r="B261" s="757"/>
      <c r="C261" s="757"/>
      <c r="D261" s="757"/>
      <c r="E261" s="757"/>
      <c r="F261" s="757"/>
      <c r="G261" s="757"/>
      <c r="H261" s="757"/>
      <c r="I261" s="757"/>
      <c r="J261" s="775"/>
      <c r="K261" s="757"/>
    </row>
    <row r="262">
      <c r="B262" s="757"/>
      <c r="C262" s="757"/>
      <c r="D262" s="757"/>
      <c r="E262" s="757"/>
      <c r="F262" s="757"/>
      <c r="G262" s="757"/>
      <c r="H262" s="757"/>
      <c r="I262" s="757"/>
      <c r="J262" s="775"/>
      <c r="K262" s="757"/>
    </row>
    <row r="263">
      <c r="B263" s="757"/>
      <c r="C263" s="757"/>
      <c r="D263" s="757"/>
      <c r="E263" s="757"/>
      <c r="F263" s="757"/>
      <c r="G263" s="757"/>
      <c r="H263" s="757"/>
      <c r="I263" s="757"/>
      <c r="J263" s="775"/>
      <c r="K263" s="757"/>
    </row>
    <row r="264">
      <c r="B264" s="757"/>
      <c r="C264" s="757"/>
      <c r="D264" s="757"/>
      <c r="E264" s="757"/>
      <c r="F264" s="757"/>
      <c r="G264" s="757"/>
      <c r="H264" s="757"/>
      <c r="I264" s="757"/>
      <c r="J264" s="775"/>
      <c r="K264" s="757"/>
    </row>
    <row r="265">
      <c r="B265" s="757"/>
      <c r="C265" s="757"/>
      <c r="D265" s="757"/>
      <c r="E265" s="757"/>
      <c r="F265" s="757"/>
      <c r="G265" s="757"/>
      <c r="H265" s="757"/>
      <c r="I265" s="757"/>
      <c r="J265" s="775"/>
      <c r="K265" s="757"/>
    </row>
    <row r="266">
      <c r="B266" s="757"/>
      <c r="C266" s="757"/>
      <c r="D266" s="757"/>
      <c r="E266" s="757"/>
      <c r="F266" s="757"/>
      <c r="G266" s="757"/>
      <c r="H266" s="757"/>
      <c r="I266" s="757"/>
      <c r="J266" s="775"/>
      <c r="K266" s="757"/>
    </row>
    <row r="267">
      <c r="B267" s="757"/>
      <c r="C267" s="757"/>
      <c r="D267" s="757"/>
      <c r="E267" s="757"/>
      <c r="F267" s="757"/>
      <c r="G267" s="757"/>
      <c r="H267" s="757"/>
      <c r="I267" s="757"/>
      <c r="J267" s="775"/>
      <c r="K267" s="757"/>
    </row>
    <row r="268">
      <c r="B268" s="757"/>
      <c r="C268" s="757"/>
      <c r="D268" s="757"/>
      <c r="E268" s="757"/>
      <c r="F268" s="757"/>
      <c r="G268" s="757"/>
      <c r="H268" s="757"/>
      <c r="I268" s="757"/>
      <c r="J268" s="775"/>
      <c r="K268" s="757"/>
    </row>
    <row r="269">
      <c r="B269" s="757"/>
      <c r="C269" s="757"/>
      <c r="D269" s="757"/>
      <c r="E269" s="757"/>
      <c r="F269" s="757"/>
      <c r="G269" s="757"/>
      <c r="H269" s="757"/>
      <c r="I269" s="757"/>
      <c r="J269" s="775"/>
      <c r="K269" s="757"/>
    </row>
    <row r="270">
      <c r="B270" s="757"/>
      <c r="C270" s="757"/>
      <c r="D270" s="757"/>
      <c r="E270" s="757"/>
      <c r="F270" s="757"/>
      <c r="G270" s="757"/>
      <c r="H270" s="757"/>
      <c r="I270" s="757"/>
      <c r="J270" s="775"/>
      <c r="K270" s="757"/>
    </row>
    <row r="271">
      <c r="B271" s="757"/>
      <c r="C271" s="757"/>
      <c r="D271" s="757"/>
      <c r="E271" s="757"/>
      <c r="F271" s="757"/>
      <c r="G271" s="757"/>
      <c r="H271" s="757"/>
      <c r="I271" s="757"/>
      <c r="J271" s="775"/>
      <c r="K271" s="757"/>
    </row>
    <row r="272">
      <c r="B272" s="757"/>
      <c r="C272" s="757"/>
      <c r="D272" s="757"/>
      <c r="E272" s="757"/>
      <c r="F272" s="757"/>
      <c r="G272" s="757"/>
      <c r="H272" s="757"/>
      <c r="I272" s="757"/>
      <c r="J272" s="775"/>
      <c r="K272" s="757"/>
    </row>
    <row r="273">
      <c r="B273" s="757"/>
      <c r="C273" s="757"/>
      <c r="D273" s="757"/>
      <c r="E273" s="757"/>
      <c r="F273" s="757"/>
      <c r="G273" s="757"/>
      <c r="H273" s="757"/>
      <c r="I273" s="757"/>
      <c r="J273" s="775"/>
      <c r="K273" s="757"/>
    </row>
    <row r="274">
      <c r="B274" s="757"/>
      <c r="C274" s="757"/>
      <c r="D274" s="757"/>
      <c r="E274" s="757"/>
      <c r="F274" s="757"/>
      <c r="G274" s="757"/>
      <c r="H274" s="757"/>
      <c r="I274" s="757"/>
      <c r="J274" s="775"/>
      <c r="K274" s="757"/>
    </row>
    <row r="275">
      <c r="B275" s="757"/>
      <c r="C275" s="757"/>
      <c r="D275" s="757"/>
      <c r="E275" s="757"/>
      <c r="F275" s="757"/>
      <c r="G275" s="757"/>
      <c r="H275" s="757"/>
      <c r="I275" s="757"/>
      <c r="J275" s="775"/>
      <c r="K275" s="757"/>
    </row>
    <row r="276">
      <c r="B276" s="757"/>
      <c r="C276" s="757"/>
      <c r="D276" s="757"/>
      <c r="E276" s="757"/>
      <c r="F276" s="757"/>
      <c r="G276" s="757"/>
      <c r="H276" s="757"/>
      <c r="I276" s="757"/>
      <c r="J276" s="775"/>
      <c r="K276" s="757"/>
    </row>
    <row r="277">
      <c r="B277" s="757"/>
      <c r="C277" s="757"/>
      <c r="D277" s="757"/>
      <c r="E277" s="757"/>
      <c r="F277" s="757"/>
      <c r="G277" s="757"/>
      <c r="H277" s="757"/>
      <c r="I277" s="757"/>
      <c r="J277" s="775"/>
      <c r="K277" s="757"/>
    </row>
    <row r="278">
      <c r="B278" s="757"/>
      <c r="C278" s="757"/>
      <c r="D278" s="757"/>
      <c r="E278" s="757"/>
      <c r="F278" s="757"/>
      <c r="G278" s="757"/>
      <c r="H278" s="757"/>
      <c r="I278" s="757"/>
      <c r="J278" s="775"/>
      <c r="K278" s="757"/>
    </row>
    <row r="279">
      <c r="B279" s="757"/>
      <c r="C279" s="757"/>
      <c r="D279" s="757"/>
      <c r="E279" s="757"/>
      <c r="F279" s="757"/>
      <c r="G279" s="757"/>
      <c r="H279" s="757"/>
      <c r="I279" s="757"/>
      <c r="J279" s="775"/>
      <c r="K279" s="757"/>
    </row>
    <row r="280">
      <c r="B280" s="757"/>
      <c r="C280" s="757"/>
      <c r="D280" s="757"/>
      <c r="E280" s="757"/>
      <c r="F280" s="757"/>
      <c r="G280" s="757"/>
      <c r="H280" s="757"/>
      <c r="I280" s="757"/>
      <c r="J280" s="775"/>
      <c r="K280" s="757"/>
    </row>
    <row r="281">
      <c r="B281" s="757"/>
      <c r="C281" s="757"/>
      <c r="D281" s="757"/>
      <c r="E281" s="757"/>
      <c r="F281" s="757"/>
      <c r="G281" s="757"/>
      <c r="H281" s="757"/>
      <c r="I281" s="757"/>
      <c r="J281" s="775"/>
      <c r="K281" s="757"/>
    </row>
    <row r="282">
      <c r="B282" s="757"/>
      <c r="C282" s="757"/>
      <c r="D282" s="757"/>
      <c r="E282" s="757"/>
      <c r="F282" s="757"/>
      <c r="G282" s="757"/>
      <c r="H282" s="757"/>
      <c r="I282" s="757"/>
      <c r="J282" s="775"/>
      <c r="K282" s="757"/>
    </row>
    <row r="283">
      <c r="B283" s="757"/>
      <c r="C283" s="757"/>
      <c r="D283" s="757"/>
      <c r="E283" s="757"/>
      <c r="F283" s="757"/>
      <c r="G283" s="757"/>
      <c r="H283" s="757"/>
      <c r="I283" s="757"/>
      <c r="J283" s="775"/>
      <c r="K283" s="757"/>
    </row>
    <row r="284">
      <c r="B284" s="757"/>
      <c r="C284" s="757"/>
      <c r="D284" s="757"/>
      <c r="E284" s="757"/>
      <c r="F284" s="757"/>
      <c r="G284" s="757"/>
      <c r="H284" s="757"/>
      <c r="I284" s="757"/>
      <c r="J284" s="775"/>
      <c r="K284" s="757"/>
    </row>
    <row r="285">
      <c r="B285" s="757"/>
      <c r="C285" s="757"/>
      <c r="D285" s="757"/>
      <c r="E285" s="757"/>
      <c r="F285" s="757"/>
      <c r="G285" s="757"/>
      <c r="H285" s="757"/>
      <c r="I285" s="757"/>
      <c r="J285" s="775"/>
      <c r="K285" s="757"/>
    </row>
    <row r="286">
      <c r="B286" s="757"/>
      <c r="C286" s="757"/>
      <c r="D286" s="757"/>
      <c r="E286" s="757"/>
      <c r="F286" s="757"/>
      <c r="G286" s="757"/>
      <c r="H286" s="757"/>
      <c r="I286" s="757"/>
      <c r="J286" s="775"/>
      <c r="K286" s="757"/>
    </row>
    <row r="287">
      <c r="B287" s="757"/>
      <c r="C287" s="757"/>
      <c r="D287" s="757"/>
      <c r="E287" s="757"/>
      <c r="F287" s="757"/>
      <c r="G287" s="757"/>
      <c r="H287" s="757"/>
      <c r="I287" s="757"/>
      <c r="J287" s="775"/>
      <c r="K287" s="757"/>
    </row>
    <row r="288">
      <c r="B288" s="757"/>
      <c r="C288" s="757"/>
      <c r="D288" s="757"/>
      <c r="E288" s="757"/>
      <c r="F288" s="757"/>
      <c r="G288" s="757"/>
      <c r="H288" s="757"/>
      <c r="I288" s="757"/>
      <c r="J288" s="775"/>
      <c r="K288" s="757"/>
    </row>
    <row r="289">
      <c r="B289" s="757"/>
      <c r="C289" s="757"/>
      <c r="D289" s="757"/>
      <c r="E289" s="757"/>
      <c r="F289" s="757"/>
      <c r="G289" s="757"/>
      <c r="H289" s="757"/>
      <c r="I289" s="757"/>
      <c r="J289" s="775"/>
      <c r="K289" s="757"/>
    </row>
    <row r="290">
      <c r="B290" s="757"/>
      <c r="C290" s="757"/>
      <c r="D290" s="757"/>
      <c r="E290" s="757"/>
      <c r="F290" s="757"/>
      <c r="G290" s="757"/>
      <c r="H290" s="757"/>
      <c r="I290" s="757"/>
      <c r="J290" s="775"/>
      <c r="K290" s="757"/>
    </row>
    <row r="291">
      <c r="B291" s="757"/>
      <c r="C291" s="757"/>
      <c r="D291" s="757"/>
      <c r="E291" s="757"/>
      <c r="F291" s="757"/>
      <c r="G291" s="757"/>
      <c r="H291" s="757"/>
      <c r="I291" s="757"/>
      <c r="J291" s="775"/>
      <c r="K291" s="757"/>
    </row>
    <row r="292">
      <c r="B292" s="757"/>
      <c r="C292" s="757"/>
      <c r="D292" s="757"/>
      <c r="E292" s="757"/>
      <c r="F292" s="757"/>
      <c r="G292" s="757"/>
      <c r="H292" s="757"/>
      <c r="I292" s="757"/>
      <c r="J292" s="775"/>
      <c r="K292" s="757"/>
    </row>
    <row r="293">
      <c r="B293" s="757"/>
      <c r="C293" s="757"/>
      <c r="D293" s="757"/>
      <c r="E293" s="757"/>
      <c r="F293" s="757"/>
      <c r="G293" s="757"/>
      <c r="H293" s="757"/>
      <c r="I293" s="757"/>
      <c r="J293" s="775"/>
      <c r="K293" s="757"/>
    </row>
    <row r="294">
      <c r="B294" s="757"/>
      <c r="C294" s="757"/>
      <c r="D294" s="757"/>
      <c r="E294" s="757"/>
      <c r="F294" s="757"/>
      <c r="G294" s="757"/>
      <c r="H294" s="757"/>
      <c r="I294" s="757"/>
      <c r="J294" s="775"/>
      <c r="K294" s="757"/>
    </row>
    <row r="295">
      <c r="B295" s="757"/>
      <c r="C295" s="757"/>
      <c r="D295" s="757"/>
      <c r="E295" s="757"/>
      <c r="F295" s="757"/>
      <c r="G295" s="757"/>
      <c r="H295" s="757"/>
      <c r="I295" s="757"/>
      <c r="J295" s="775"/>
      <c r="K295" s="757"/>
    </row>
    <row r="296">
      <c r="B296" s="757"/>
      <c r="C296" s="757"/>
      <c r="D296" s="757"/>
      <c r="E296" s="757"/>
      <c r="F296" s="757"/>
      <c r="G296" s="757"/>
      <c r="H296" s="757"/>
      <c r="I296" s="757"/>
      <c r="J296" s="775"/>
      <c r="K296" s="757"/>
    </row>
    <row r="297">
      <c r="B297" s="757"/>
      <c r="C297" s="757"/>
      <c r="D297" s="757"/>
      <c r="E297" s="757"/>
      <c r="F297" s="757"/>
      <c r="G297" s="757"/>
      <c r="H297" s="757"/>
      <c r="I297" s="757"/>
      <c r="J297" s="775"/>
      <c r="K297" s="757"/>
    </row>
    <row r="298">
      <c r="B298" s="757"/>
      <c r="C298" s="757"/>
      <c r="D298" s="757"/>
      <c r="E298" s="757"/>
      <c r="F298" s="757"/>
      <c r="G298" s="757"/>
      <c r="H298" s="757"/>
      <c r="I298" s="757"/>
      <c r="J298" s="775"/>
      <c r="K298" s="757"/>
    </row>
    <row r="299">
      <c r="B299" s="757"/>
      <c r="C299" s="757"/>
      <c r="D299" s="757"/>
      <c r="E299" s="757"/>
      <c r="F299" s="757"/>
      <c r="G299" s="757"/>
      <c r="H299" s="757"/>
      <c r="I299" s="757"/>
      <c r="J299" s="775"/>
      <c r="K299" s="757"/>
    </row>
    <row r="300">
      <c r="B300" s="757"/>
      <c r="C300" s="757"/>
      <c r="D300" s="757"/>
      <c r="E300" s="757"/>
      <c r="F300" s="757"/>
      <c r="G300" s="757"/>
      <c r="H300" s="757"/>
      <c r="I300" s="757"/>
      <c r="J300" s="775"/>
      <c r="K300" s="757"/>
    </row>
    <row r="301">
      <c r="B301" s="757"/>
      <c r="C301" s="757"/>
      <c r="D301" s="757"/>
      <c r="E301" s="757"/>
      <c r="F301" s="757"/>
      <c r="G301" s="757"/>
      <c r="H301" s="757"/>
      <c r="I301" s="757"/>
      <c r="J301" s="775"/>
      <c r="K301" s="757"/>
    </row>
    <row r="302">
      <c r="B302" s="757"/>
      <c r="C302" s="757"/>
      <c r="D302" s="757"/>
      <c r="E302" s="757"/>
      <c r="F302" s="757"/>
      <c r="G302" s="757"/>
      <c r="H302" s="757"/>
      <c r="I302" s="757"/>
      <c r="J302" s="775"/>
      <c r="K302" s="757"/>
    </row>
    <row r="303">
      <c r="B303" s="757"/>
      <c r="C303" s="757"/>
      <c r="D303" s="757"/>
      <c r="E303" s="757"/>
      <c r="F303" s="757"/>
      <c r="G303" s="757"/>
      <c r="H303" s="757"/>
      <c r="I303" s="757"/>
      <c r="J303" s="775"/>
      <c r="K303" s="757"/>
    </row>
    <row r="304">
      <c r="B304" s="757"/>
      <c r="C304" s="757"/>
      <c r="D304" s="757"/>
      <c r="E304" s="757"/>
      <c r="F304" s="757"/>
      <c r="G304" s="757"/>
      <c r="H304" s="757"/>
      <c r="I304" s="757"/>
      <c r="J304" s="775"/>
      <c r="K304" s="757"/>
    </row>
    <row r="305">
      <c r="B305" s="757"/>
      <c r="C305" s="757"/>
      <c r="D305" s="757"/>
      <c r="E305" s="757"/>
      <c r="F305" s="757"/>
      <c r="G305" s="757"/>
      <c r="H305" s="757"/>
      <c r="I305" s="757"/>
      <c r="J305" s="775"/>
      <c r="K305" s="757"/>
    </row>
    <row r="306">
      <c r="B306" s="757"/>
      <c r="C306" s="757"/>
      <c r="D306" s="757"/>
      <c r="E306" s="757"/>
      <c r="F306" s="757"/>
      <c r="G306" s="757"/>
      <c r="H306" s="757"/>
      <c r="I306" s="757"/>
      <c r="J306" s="775"/>
      <c r="K306" s="757"/>
    </row>
    <row r="307">
      <c r="B307" s="757"/>
      <c r="C307" s="757"/>
      <c r="D307" s="757"/>
      <c r="E307" s="757"/>
      <c r="F307" s="757"/>
      <c r="G307" s="757"/>
      <c r="H307" s="757"/>
      <c r="I307" s="757"/>
      <c r="J307" s="775"/>
      <c r="K307" s="757"/>
    </row>
    <row r="308">
      <c r="B308" s="757"/>
      <c r="C308" s="757"/>
      <c r="D308" s="757"/>
      <c r="E308" s="757"/>
      <c r="F308" s="757"/>
      <c r="G308" s="757"/>
      <c r="H308" s="757"/>
      <c r="I308" s="757"/>
      <c r="J308" s="775"/>
      <c r="K308" s="757"/>
    </row>
    <row r="309">
      <c r="B309" s="757"/>
      <c r="C309" s="757"/>
      <c r="D309" s="757"/>
      <c r="E309" s="757"/>
      <c r="F309" s="757"/>
      <c r="G309" s="757"/>
      <c r="H309" s="757"/>
      <c r="I309" s="757"/>
      <c r="J309" s="775"/>
      <c r="K309" s="757"/>
    </row>
    <row r="310">
      <c r="B310" s="757"/>
      <c r="C310" s="757"/>
      <c r="D310" s="757"/>
      <c r="E310" s="757"/>
      <c r="F310" s="757"/>
      <c r="G310" s="757"/>
      <c r="H310" s="757"/>
      <c r="I310" s="757"/>
      <c r="J310" s="775"/>
      <c r="K310" s="757"/>
    </row>
    <row r="311">
      <c r="B311" s="757"/>
      <c r="C311" s="757"/>
      <c r="D311" s="757"/>
      <c r="E311" s="757"/>
      <c r="F311" s="757"/>
      <c r="G311" s="757"/>
      <c r="H311" s="757"/>
      <c r="I311" s="757"/>
      <c r="J311" s="775"/>
      <c r="K311" s="757"/>
    </row>
    <row r="312">
      <c r="B312" s="757"/>
      <c r="C312" s="757"/>
      <c r="D312" s="757"/>
      <c r="E312" s="757"/>
      <c r="F312" s="757"/>
      <c r="G312" s="757"/>
      <c r="H312" s="757"/>
      <c r="I312" s="757"/>
      <c r="J312" s="775"/>
      <c r="K312" s="757"/>
    </row>
    <row r="313">
      <c r="B313" s="757"/>
      <c r="C313" s="757"/>
      <c r="D313" s="757"/>
      <c r="E313" s="757"/>
      <c r="F313" s="757"/>
      <c r="G313" s="757"/>
      <c r="H313" s="757"/>
      <c r="I313" s="757"/>
      <c r="J313" s="775"/>
      <c r="K313" s="757"/>
    </row>
    <row r="314">
      <c r="B314" s="757"/>
      <c r="C314" s="757"/>
      <c r="D314" s="757"/>
      <c r="E314" s="757"/>
      <c r="F314" s="757"/>
      <c r="G314" s="757"/>
      <c r="H314" s="757"/>
      <c r="I314" s="757"/>
      <c r="J314" s="775"/>
      <c r="K314" s="757"/>
    </row>
    <row r="315">
      <c r="B315" s="757"/>
      <c r="C315" s="757"/>
      <c r="D315" s="757"/>
      <c r="E315" s="757"/>
      <c r="F315" s="757"/>
      <c r="G315" s="757"/>
      <c r="H315" s="757"/>
      <c r="I315" s="757"/>
      <c r="J315" s="775"/>
      <c r="K315" s="757"/>
    </row>
    <row r="316">
      <c r="B316" s="757"/>
      <c r="C316" s="757"/>
      <c r="D316" s="757"/>
      <c r="E316" s="757"/>
      <c r="F316" s="757"/>
      <c r="G316" s="757"/>
      <c r="H316" s="757"/>
      <c r="I316" s="757"/>
      <c r="J316" s="775"/>
      <c r="K316" s="757"/>
    </row>
    <row r="317">
      <c r="B317" s="757"/>
      <c r="C317" s="757"/>
      <c r="D317" s="757"/>
      <c r="E317" s="757"/>
      <c r="F317" s="757"/>
      <c r="G317" s="757"/>
      <c r="H317" s="757"/>
      <c r="I317" s="757"/>
      <c r="J317" s="775"/>
      <c r="K317" s="757"/>
    </row>
    <row r="318">
      <c r="B318" s="757"/>
      <c r="C318" s="757"/>
      <c r="D318" s="757"/>
      <c r="E318" s="757"/>
      <c r="F318" s="757"/>
      <c r="G318" s="757"/>
      <c r="H318" s="757"/>
      <c r="I318" s="757"/>
      <c r="J318" s="775"/>
      <c r="K318" s="757"/>
    </row>
    <row r="319">
      <c r="B319" s="757"/>
      <c r="C319" s="757"/>
      <c r="D319" s="757"/>
      <c r="E319" s="757"/>
      <c r="F319" s="757"/>
      <c r="G319" s="757"/>
      <c r="H319" s="757"/>
      <c r="I319" s="757"/>
      <c r="J319" s="775"/>
      <c r="K319" s="757"/>
    </row>
    <row r="320">
      <c r="B320" s="757"/>
      <c r="C320" s="757"/>
      <c r="D320" s="757"/>
      <c r="E320" s="757"/>
      <c r="F320" s="757"/>
      <c r="G320" s="757"/>
      <c r="H320" s="757"/>
      <c r="I320" s="757"/>
      <c r="J320" s="775"/>
      <c r="K320" s="757"/>
    </row>
    <row r="321">
      <c r="B321" s="757"/>
      <c r="C321" s="757"/>
      <c r="D321" s="757"/>
      <c r="E321" s="757"/>
      <c r="F321" s="757"/>
      <c r="G321" s="757"/>
      <c r="H321" s="757"/>
      <c r="I321" s="757"/>
      <c r="J321" s="775"/>
      <c r="K321" s="757"/>
    </row>
    <row r="322">
      <c r="B322" s="757"/>
      <c r="C322" s="757"/>
      <c r="D322" s="757"/>
      <c r="E322" s="757"/>
      <c r="F322" s="757"/>
      <c r="G322" s="757"/>
      <c r="H322" s="757"/>
      <c r="I322" s="757"/>
      <c r="J322" s="775"/>
      <c r="K322" s="757"/>
    </row>
    <row r="323">
      <c r="B323" s="757"/>
      <c r="C323" s="757"/>
      <c r="D323" s="757"/>
      <c r="E323" s="757"/>
      <c r="F323" s="757"/>
      <c r="G323" s="757"/>
      <c r="H323" s="757"/>
      <c r="I323" s="757"/>
      <c r="J323" s="775"/>
      <c r="K323" s="757"/>
    </row>
    <row r="324">
      <c r="B324" s="757"/>
      <c r="C324" s="757"/>
      <c r="D324" s="757"/>
      <c r="E324" s="757"/>
      <c r="F324" s="757"/>
      <c r="G324" s="757"/>
      <c r="H324" s="757"/>
      <c r="I324" s="757"/>
      <c r="J324" s="775"/>
      <c r="K324" s="757"/>
    </row>
    <row r="325">
      <c r="B325" s="757"/>
      <c r="C325" s="757"/>
      <c r="D325" s="757"/>
      <c r="E325" s="757"/>
      <c r="F325" s="757"/>
      <c r="G325" s="757"/>
      <c r="H325" s="757"/>
      <c r="I325" s="757"/>
      <c r="J325" s="775"/>
      <c r="K325" s="757"/>
    </row>
    <row r="326">
      <c r="B326" s="757"/>
      <c r="C326" s="757"/>
      <c r="D326" s="757"/>
      <c r="E326" s="757"/>
      <c r="F326" s="757"/>
      <c r="G326" s="757"/>
      <c r="H326" s="757"/>
      <c r="I326" s="757"/>
      <c r="J326" s="775"/>
      <c r="K326" s="757"/>
    </row>
    <row r="327">
      <c r="B327" s="757"/>
      <c r="C327" s="757"/>
      <c r="D327" s="757"/>
      <c r="E327" s="757"/>
      <c r="F327" s="757"/>
      <c r="G327" s="757"/>
      <c r="H327" s="757"/>
      <c r="I327" s="757"/>
      <c r="J327" s="775"/>
      <c r="K327" s="757"/>
    </row>
    <row r="328">
      <c r="B328" s="757"/>
      <c r="C328" s="757"/>
      <c r="D328" s="757"/>
      <c r="E328" s="757"/>
      <c r="F328" s="757"/>
      <c r="G328" s="757"/>
      <c r="H328" s="757"/>
      <c r="I328" s="757"/>
      <c r="J328" s="775"/>
      <c r="K328" s="757"/>
    </row>
    <row r="329">
      <c r="B329" s="757"/>
      <c r="C329" s="757"/>
      <c r="D329" s="757"/>
      <c r="E329" s="757"/>
      <c r="F329" s="757"/>
      <c r="G329" s="757"/>
      <c r="H329" s="757"/>
      <c r="I329" s="757"/>
      <c r="J329" s="775"/>
      <c r="K329" s="757"/>
    </row>
    <row r="330">
      <c r="B330" s="757"/>
      <c r="C330" s="757"/>
      <c r="D330" s="757"/>
      <c r="E330" s="757"/>
      <c r="F330" s="757"/>
      <c r="G330" s="757"/>
      <c r="H330" s="757"/>
      <c r="I330" s="757"/>
      <c r="J330" s="775"/>
      <c r="K330" s="757"/>
    </row>
    <row r="331">
      <c r="B331" s="757"/>
      <c r="C331" s="757"/>
      <c r="D331" s="757"/>
      <c r="E331" s="757"/>
      <c r="F331" s="757"/>
      <c r="G331" s="757"/>
      <c r="H331" s="757"/>
      <c r="I331" s="757"/>
      <c r="J331" s="775"/>
      <c r="K331" s="757"/>
    </row>
    <row r="332">
      <c r="B332" s="757"/>
      <c r="C332" s="757"/>
      <c r="D332" s="757"/>
      <c r="E332" s="757"/>
      <c r="F332" s="757"/>
      <c r="G332" s="757"/>
      <c r="H332" s="757"/>
      <c r="I332" s="757"/>
      <c r="J332" s="775"/>
      <c r="K332" s="757"/>
    </row>
    <row r="333">
      <c r="B333" s="757"/>
      <c r="C333" s="757"/>
      <c r="D333" s="757"/>
      <c r="E333" s="757"/>
      <c r="F333" s="757"/>
      <c r="G333" s="757"/>
      <c r="H333" s="757"/>
      <c r="I333" s="757"/>
      <c r="J333" s="775"/>
      <c r="K333" s="757"/>
    </row>
    <row r="334">
      <c r="B334" s="757"/>
      <c r="C334" s="757"/>
      <c r="D334" s="757"/>
      <c r="E334" s="757"/>
      <c r="F334" s="757"/>
      <c r="G334" s="757"/>
      <c r="H334" s="757"/>
      <c r="I334" s="757"/>
      <c r="J334" s="775"/>
      <c r="K334" s="757"/>
    </row>
    <row r="335">
      <c r="B335" s="757"/>
      <c r="C335" s="757"/>
      <c r="D335" s="757"/>
      <c r="E335" s="757"/>
      <c r="F335" s="757"/>
      <c r="G335" s="757"/>
      <c r="H335" s="757"/>
      <c r="I335" s="757"/>
      <c r="J335" s="775"/>
      <c r="K335" s="757"/>
    </row>
    <row r="336">
      <c r="B336" s="757"/>
      <c r="C336" s="757"/>
      <c r="D336" s="757"/>
      <c r="E336" s="757"/>
      <c r="F336" s="757"/>
      <c r="G336" s="757"/>
      <c r="H336" s="757"/>
      <c r="I336" s="757"/>
      <c r="J336" s="775"/>
      <c r="K336" s="757"/>
    </row>
    <row r="337">
      <c r="B337" s="757"/>
      <c r="C337" s="757"/>
      <c r="D337" s="757"/>
      <c r="E337" s="757"/>
      <c r="F337" s="757"/>
      <c r="G337" s="757"/>
      <c r="H337" s="757"/>
      <c r="I337" s="757"/>
      <c r="J337" s="775"/>
      <c r="K337" s="757"/>
    </row>
    <row r="338">
      <c r="B338" s="757"/>
      <c r="C338" s="757"/>
      <c r="D338" s="757"/>
      <c r="E338" s="757"/>
      <c r="F338" s="757"/>
      <c r="G338" s="757"/>
      <c r="H338" s="757"/>
      <c r="I338" s="757"/>
      <c r="J338" s="775"/>
      <c r="K338" s="757"/>
    </row>
    <row r="339">
      <c r="B339" s="757"/>
      <c r="C339" s="757"/>
      <c r="D339" s="757"/>
      <c r="E339" s="757"/>
      <c r="F339" s="757"/>
      <c r="G339" s="757"/>
      <c r="H339" s="757"/>
      <c r="I339" s="757"/>
      <c r="J339" s="775"/>
      <c r="K339" s="757"/>
    </row>
    <row r="340">
      <c r="B340" s="757"/>
      <c r="C340" s="757"/>
      <c r="D340" s="757"/>
      <c r="E340" s="757"/>
      <c r="F340" s="757"/>
      <c r="G340" s="757"/>
      <c r="H340" s="757"/>
      <c r="I340" s="757"/>
      <c r="J340" s="775"/>
      <c r="K340" s="757"/>
    </row>
    <row r="341">
      <c r="B341" s="757"/>
      <c r="C341" s="757"/>
      <c r="D341" s="757"/>
      <c r="E341" s="757"/>
      <c r="F341" s="757"/>
      <c r="G341" s="757"/>
      <c r="H341" s="757"/>
      <c r="I341" s="757"/>
      <c r="J341" s="775"/>
      <c r="K341" s="757"/>
    </row>
    <row r="342">
      <c r="B342" s="757"/>
      <c r="C342" s="757"/>
      <c r="D342" s="757"/>
      <c r="E342" s="757"/>
      <c r="F342" s="757"/>
      <c r="G342" s="757"/>
      <c r="H342" s="757"/>
      <c r="I342" s="757"/>
      <c r="J342" s="775"/>
      <c r="K342" s="757"/>
    </row>
    <row r="343">
      <c r="B343" s="757"/>
      <c r="C343" s="757"/>
      <c r="D343" s="757"/>
      <c r="E343" s="757"/>
      <c r="F343" s="757"/>
      <c r="G343" s="757"/>
      <c r="H343" s="757"/>
      <c r="I343" s="757"/>
      <c r="J343" s="775"/>
      <c r="K343" s="757"/>
    </row>
    <row r="344">
      <c r="B344" s="757"/>
      <c r="C344" s="757"/>
      <c r="D344" s="757"/>
      <c r="E344" s="757"/>
      <c r="F344" s="757"/>
      <c r="G344" s="757"/>
      <c r="H344" s="757"/>
      <c r="I344" s="757"/>
      <c r="J344" s="775"/>
      <c r="K344" s="757"/>
    </row>
    <row r="345">
      <c r="B345" s="757"/>
      <c r="C345" s="757"/>
      <c r="D345" s="757"/>
      <c r="E345" s="757"/>
      <c r="F345" s="757"/>
      <c r="G345" s="757"/>
      <c r="H345" s="757"/>
      <c r="I345" s="757"/>
      <c r="J345" s="775"/>
      <c r="K345" s="757"/>
    </row>
    <row r="346">
      <c r="B346" s="757"/>
      <c r="C346" s="757"/>
      <c r="D346" s="757"/>
      <c r="E346" s="757"/>
      <c r="F346" s="757"/>
      <c r="G346" s="757"/>
      <c r="H346" s="757"/>
      <c r="I346" s="757"/>
      <c r="J346" s="775"/>
      <c r="K346" s="757"/>
    </row>
    <row r="347">
      <c r="B347" s="757"/>
      <c r="C347" s="757"/>
      <c r="D347" s="757"/>
      <c r="E347" s="757"/>
      <c r="F347" s="757"/>
      <c r="G347" s="757"/>
      <c r="H347" s="757"/>
      <c r="I347" s="757"/>
      <c r="J347" s="775"/>
      <c r="K347" s="757"/>
    </row>
    <row r="348">
      <c r="B348" s="757"/>
      <c r="C348" s="757"/>
      <c r="D348" s="757"/>
      <c r="E348" s="757"/>
      <c r="F348" s="757"/>
      <c r="G348" s="757"/>
      <c r="H348" s="757"/>
      <c r="I348" s="757"/>
      <c r="J348" s="775"/>
      <c r="K348" s="757"/>
    </row>
    <row r="349">
      <c r="B349" s="757"/>
      <c r="C349" s="757"/>
      <c r="D349" s="757"/>
      <c r="E349" s="757"/>
      <c r="F349" s="757"/>
      <c r="G349" s="757"/>
      <c r="H349" s="757"/>
      <c r="I349" s="757"/>
      <c r="J349" s="775"/>
      <c r="K349" s="757"/>
    </row>
    <row r="350">
      <c r="B350" s="757"/>
      <c r="C350" s="757"/>
      <c r="D350" s="757"/>
      <c r="E350" s="757"/>
      <c r="F350" s="757"/>
      <c r="G350" s="757"/>
      <c r="H350" s="757"/>
      <c r="I350" s="757"/>
      <c r="J350" s="775"/>
      <c r="K350" s="757"/>
    </row>
    <row r="351">
      <c r="B351" s="757"/>
      <c r="C351" s="757"/>
      <c r="D351" s="757"/>
      <c r="E351" s="757"/>
      <c r="F351" s="757"/>
      <c r="G351" s="757"/>
      <c r="H351" s="757"/>
      <c r="I351" s="757"/>
      <c r="J351" s="775"/>
      <c r="K351" s="757"/>
    </row>
    <row r="352">
      <c r="B352" s="757"/>
      <c r="C352" s="757"/>
      <c r="D352" s="757"/>
      <c r="E352" s="757"/>
      <c r="F352" s="757"/>
      <c r="G352" s="757"/>
      <c r="H352" s="757"/>
      <c r="I352" s="757"/>
      <c r="J352" s="775"/>
      <c r="K352" s="757"/>
    </row>
    <row r="353">
      <c r="B353" s="757"/>
      <c r="C353" s="757"/>
      <c r="D353" s="757"/>
      <c r="E353" s="757"/>
      <c r="F353" s="757"/>
      <c r="G353" s="757"/>
      <c r="H353" s="757"/>
      <c r="I353" s="757"/>
      <c r="J353" s="775"/>
      <c r="K353" s="757"/>
    </row>
    <row r="354">
      <c r="B354" s="757"/>
      <c r="C354" s="757"/>
      <c r="D354" s="757"/>
      <c r="E354" s="757"/>
      <c r="F354" s="757"/>
      <c r="G354" s="757"/>
      <c r="H354" s="757"/>
      <c r="I354" s="757"/>
      <c r="J354" s="775"/>
      <c r="K354" s="757"/>
    </row>
    <row r="355">
      <c r="B355" s="757"/>
      <c r="C355" s="757"/>
      <c r="D355" s="757"/>
      <c r="E355" s="757"/>
      <c r="F355" s="757"/>
      <c r="G355" s="757"/>
      <c r="H355" s="757"/>
      <c r="I355" s="757"/>
      <c r="J355" s="775"/>
      <c r="K355" s="757"/>
    </row>
    <row r="356">
      <c r="B356" s="757"/>
      <c r="C356" s="757"/>
      <c r="D356" s="757"/>
      <c r="E356" s="757"/>
      <c r="F356" s="757"/>
      <c r="G356" s="757"/>
      <c r="H356" s="757"/>
      <c r="I356" s="757"/>
      <c r="J356" s="775"/>
      <c r="K356" s="757"/>
    </row>
    <row r="357">
      <c r="B357" s="757"/>
      <c r="C357" s="757"/>
      <c r="D357" s="757"/>
      <c r="E357" s="757"/>
      <c r="F357" s="757"/>
      <c r="G357" s="757"/>
      <c r="H357" s="757"/>
      <c r="I357" s="757"/>
      <c r="J357" s="775"/>
      <c r="K357" s="757"/>
    </row>
    <row r="358">
      <c r="B358" s="757"/>
      <c r="C358" s="757"/>
      <c r="D358" s="757"/>
      <c r="E358" s="757"/>
      <c r="F358" s="757"/>
      <c r="G358" s="757"/>
      <c r="H358" s="757"/>
      <c r="I358" s="757"/>
      <c r="J358" s="775"/>
      <c r="K358" s="757"/>
    </row>
    <row r="359">
      <c r="B359" s="757"/>
      <c r="C359" s="757"/>
      <c r="D359" s="757"/>
      <c r="E359" s="757"/>
      <c r="F359" s="757"/>
      <c r="G359" s="757"/>
      <c r="H359" s="757"/>
      <c r="I359" s="757"/>
      <c r="J359" s="775"/>
      <c r="K359" s="757"/>
    </row>
    <row r="360">
      <c r="B360" s="757"/>
      <c r="C360" s="757"/>
      <c r="D360" s="757"/>
      <c r="E360" s="757"/>
      <c r="F360" s="757"/>
      <c r="G360" s="757"/>
      <c r="H360" s="757"/>
      <c r="I360" s="757"/>
      <c r="J360" s="775"/>
      <c r="K360" s="757"/>
    </row>
    <row r="361">
      <c r="B361" s="757"/>
      <c r="C361" s="757"/>
      <c r="D361" s="757"/>
      <c r="E361" s="757"/>
      <c r="F361" s="757"/>
      <c r="G361" s="757"/>
      <c r="H361" s="757"/>
      <c r="I361" s="757"/>
      <c r="J361" s="775"/>
      <c r="K361" s="757"/>
    </row>
    <row r="362">
      <c r="B362" s="757"/>
      <c r="C362" s="757"/>
      <c r="D362" s="757"/>
      <c r="E362" s="757"/>
      <c r="F362" s="757"/>
      <c r="G362" s="757"/>
      <c r="H362" s="757"/>
      <c r="I362" s="757"/>
      <c r="J362" s="775"/>
      <c r="K362" s="757"/>
    </row>
    <row r="363">
      <c r="B363" s="757"/>
      <c r="C363" s="757"/>
      <c r="D363" s="757"/>
      <c r="E363" s="757"/>
      <c r="F363" s="757"/>
      <c r="G363" s="757"/>
      <c r="H363" s="757"/>
      <c r="I363" s="757"/>
      <c r="J363" s="775"/>
      <c r="K363" s="757"/>
    </row>
    <row r="364">
      <c r="B364" s="757"/>
      <c r="C364" s="757"/>
      <c r="D364" s="757"/>
      <c r="E364" s="757"/>
      <c r="F364" s="757"/>
      <c r="G364" s="757"/>
      <c r="H364" s="757"/>
      <c r="I364" s="757"/>
      <c r="J364" s="775"/>
      <c r="K364" s="757"/>
    </row>
    <row r="365">
      <c r="B365" s="757"/>
      <c r="C365" s="757"/>
      <c r="D365" s="757"/>
      <c r="E365" s="757"/>
      <c r="F365" s="757"/>
      <c r="G365" s="757"/>
      <c r="H365" s="757"/>
      <c r="I365" s="757"/>
      <c r="J365" s="775"/>
      <c r="K365" s="757"/>
    </row>
    <row r="366">
      <c r="B366" s="757"/>
      <c r="C366" s="757"/>
      <c r="D366" s="757"/>
      <c r="E366" s="757"/>
      <c r="F366" s="757"/>
      <c r="G366" s="757"/>
      <c r="H366" s="757"/>
      <c r="I366" s="757"/>
      <c r="J366" s="775"/>
      <c r="K366" s="757"/>
    </row>
    <row r="367">
      <c r="B367" s="757"/>
      <c r="C367" s="757"/>
      <c r="D367" s="757"/>
      <c r="E367" s="757"/>
      <c r="F367" s="757"/>
      <c r="G367" s="757"/>
      <c r="H367" s="757"/>
      <c r="I367" s="757"/>
      <c r="J367" s="775"/>
      <c r="K367" s="757"/>
    </row>
    <row r="368">
      <c r="B368" s="757"/>
      <c r="C368" s="757"/>
      <c r="D368" s="757"/>
      <c r="E368" s="757"/>
      <c r="F368" s="757"/>
      <c r="G368" s="757"/>
      <c r="H368" s="757"/>
      <c r="I368" s="757"/>
      <c r="J368" s="775"/>
      <c r="K368" s="757"/>
    </row>
    <row r="369">
      <c r="B369" s="757"/>
      <c r="C369" s="757"/>
      <c r="D369" s="757"/>
      <c r="E369" s="757"/>
      <c r="F369" s="757"/>
      <c r="G369" s="757"/>
      <c r="H369" s="757"/>
      <c r="I369" s="757"/>
      <c r="J369" s="775"/>
      <c r="K369" s="757"/>
    </row>
    <row r="370">
      <c r="B370" s="757"/>
      <c r="C370" s="757"/>
      <c r="D370" s="757"/>
      <c r="E370" s="757"/>
      <c r="F370" s="757"/>
      <c r="G370" s="757"/>
      <c r="H370" s="757"/>
      <c r="I370" s="757"/>
      <c r="J370" s="775"/>
      <c r="K370" s="757"/>
    </row>
    <row r="371">
      <c r="B371" s="757"/>
      <c r="C371" s="757"/>
      <c r="D371" s="757"/>
      <c r="E371" s="757"/>
      <c r="F371" s="757"/>
      <c r="G371" s="757"/>
      <c r="H371" s="757"/>
      <c r="I371" s="757"/>
      <c r="J371" s="775"/>
      <c r="K371" s="757"/>
    </row>
    <row r="372">
      <c r="B372" s="757"/>
      <c r="C372" s="757"/>
      <c r="D372" s="757"/>
      <c r="E372" s="757"/>
      <c r="F372" s="757"/>
      <c r="G372" s="757"/>
      <c r="H372" s="757"/>
      <c r="I372" s="757"/>
      <c r="J372" s="775"/>
      <c r="K372" s="757"/>
    </row>
    <row r="373">
      <c r="B373" s="757"/>
      <c r="C373" s="757"/>
      <c r="D373" s="757"/>
      <c r="E373" s="757"/>
      <c r="F373" s="757"/>
      <c r="G373" s="757"/>
      <c r="H373" s="757"/>
      <c r="I373" s="757"/>
      <c r="J373" s="775"/>
      <c r="K373" s="757"/>
    </row>
    <row r="374">
      <c r="B374" s="757"/>
      <c r="C374" s="757"/>
      <c r="D374" s="757"/>
      <c r="E374" s="757"/>
      <c r="F374" s="757"/>
      <c r="G374" s="757"/>
      <c r="H374" s="757"/>
      <c r="I374" s="757"/>
      <c r="J374" s="775"/>
      <c r="K374" s="757"/>
    </row>
    <row r="375">
      <c r="B375" s="757"/>
      <c r="C375" s="757"/>
      <c r="D375" s="757"/>
      <c r="E375" s="757"/>
      <c r="F375" s="757"/>
      <c r="G375" s="757"/>
      <c r="H375" s="757"/>
      <c r="I375" s="757"/>
      <c r="J375" s="775"/>
      <c r="K375" s="757"/>
    </row>
    <row r="376">
      <c r="B376" s="757"/>
      <c r="C376" s="757"/>
      <c r="D376" s="757"/>
      <c r="E376" s="757"/>
      <c r="F376" s="757"/>
      <c r="G376" s="757"/>
      <c r="H376" s="757"/>
      <c r="I376" s="757"/>
      <c r="J376" s="775"/>
      <c r="K376" s="757"/>
    </row>
    <row r="377">
      <c r="B377" s="757"/>
      <c r="C377" s="757"/>
      <c r="D377" s="757"/>
      <c r="E377" s="757"/>
      <c r="F377" s="757"/>
      <c r="G377" s="757"/>
      <c r="H377" s="757"/>
      <c r="I377" s="757"/>
      <c r="J377" s="775"/>
      <c r="K377" s="757"/>
    </row>
    <row r="378">
      <c r="B378" s="757"/>
      <c r="C378" s="757"/>
      <c r="D378" s="757"/>
      <c r="E378" s="757"/>
      <c r="F378" s="757"/>
      <c r="G378" s="757"/>
      <c r="H378" s="757"/>
      <c r="I378" s="757"/>
      <c r="J378" s="775"/>
      <c r="K378" s="757"/>
    </row>
    <row r="379">
      <c r="B379" s="757"/>
      <c r="C379" s="757"/>
      <c r="D379" s="757"/>
      <c r="E379" s="757"/>
      <c r="F379" s="757"/>
      <c r="G379" s="757"/>
      <c r="H379" s="757"/>
      <c r="I379" s="757"/>
      <c r="J379" s="775"/>
      <c r="K379" s="757"/>
    </row>
    <row r="380">
      <c r="B380" s="757"/>
      <c r="C380" s="757"/>
      <c r="D380" s="757"/>
      <c r="E380" s="757"/>
      <c r="F380" s="757"/>
      <c r="G380" s="757"/>
      <c r="H380" s="757"/>
      <c r="I380" s="757"/>
      <c r="J380" s="775"/>
      <c r="K380" s="757"/>
    </row>
    <row r="381">
      <c r="B381" s="757"/>
      <c r="C381" s="757"/>
      <c r="D381" s="757"/>
      <c r="E381" s="757"/>
      <c r="F381" s="757"/>
      <c r="G381" s="757"/>
      <c r="H381" s="757"/>
      <c r="I381" s="757"/>
      <c r="J381" s="775"/>
      <c r="K381" s="757"/>
    </row>
    <row r="382">
      <c r="B382" s="757"/>
      <c r="C382" s="757"/>
      <c r="D382" s="757"/>
      <c r="E382" s="757"/>
      <c r="F382" s="757"/>
      <c r="G382" s="757"/>
      <c r="H382" s="757"/>
      <c r="I382" s="757"/>
      <c r="J382" s="775"/>
      <c r="K382" s="757"/>
    </row>
    <row r="383">
      <c r="B383" s="757"/>
      <c r="C383" s="757"/>
      <c r="D383" s="757"/>
      <c r="E383" s="757"/>
      <c r="F383" s="757"/>
      <c r="G383" s="757"/>
      <c r="H383" s="757"/>
      <c r="I383" s="757"/>
      <c r="J383" s="775"/>
      <c r="K383" s="757"/>
    </row>
    <row r="384">
      <c r="B384" s="757"/>
      <c r="C384" s="757"/>
      <c r="D384" s="757"/>
      <c r="E384" s="757"/>
      <c r="F384" s="757"/>
      <c r="G384" s="757"/>
      <c r="H384" s="757"/>
      <c r="I384" s="757"/>
      <c r="J384" s="775"/>
      <c r="K384" s="757"/>
    </row>
    <row r="385">
      <c r="B385" s="757"/>
      <c r="C385" s="757"/>
      <c r="D385" s="757"/>
      <c r="E385" s="757"/>
      <c r="F385" s="757"/>
      <c r="G385" s="757"/>
      <c r="H385" s="757"/>
      <c r="I385" s="757"/>
      <c r="J385" s="775"/>
      <c r="K385" s="757"/>
    </row>
    <row r="386">
      <c r="B386" s="757"/>
      <c r="C386" s="757"/>
      <c r="D386" s="757"/>
      <c r="E386" s="757"/>
      <c r="F386" s="757"/>
      <c r="G386" s="757"/>
      <c r="H386" s="757"/>
      <c r="I386" s="757"/>
      <c r="J386" s="775"/>
      <c r="K386" s="757"/>
    </row>
    <row r="387">
      <c r="B387" s="757"/>
      <c r="C387" s="757"/>
      <c r="D387" s="757"/>
      <c r="E387" s="757"/>
      <c r="F387" s="757"/>
      <c r="G387" s="757"/>
      <c r="H387" s="757"/>
      <c r="I387" s="757"/>
      <c r="J387" s="775"/>
      <c r="K387" s="757"/>
    </row>
    <row r="388">
      <c r="B388" s="757"/>
      <c r="C388" s="757"/>
      <c r="D388" s="757"/>
      <c r="E388" s="757"/>
      <c r="F388" s="757"/>
      <c r="G388" s="757"/>
      <c r="H388" s="757"/>
      <c r="I388" s="757"/>
      <c r="J388" s="775"/>
      <c r="K388" s="757"/>
    </row>
    <row r="389">
      <c r="B389" s="757"/>
      <c r="C389" s="757"/>
      <c r="D389" s="757"/>
      <c r="E389" s="757"/>
      <c r="F389" s="757"/>
      <c r="G389" s="757"/>
      <c r="H389" s="757"/>
      <c r="I389" s="757"/>
      <c r="J389" s="775"/>
      <c r="K389" s="757"/>
    </row>
    <row r="390">
      <c r="B390" s="757"/>
      <c r="C390" s="757"/>
      <c r="D390" s="757"/>
      <c r="E390" s="757"/>
      <c r="F390" s="757"/>
      <c r="G390" s="757"/>
      <c r="H390" s="757"/>
      <c r="I390" s="757"/>
      <c r="J390" s="775"/>
      <c r="K390" s="757"/>
    </row>
    <row r="391">
      <c r="B391" s="757"/>
      <c r="C391" s="757"/>
      <c r="D391" s="757"/>
      <c r="E391" s="757"/>
      <c r="F391" s="757"/>
      <c r="G391" s="757"/>
      <c r="H391" s="757"/>
      <c r="I391" s="757"/>
      <c r="J391" s="775"/>
      <c r="K391" s="757"/>
    </row>
    <row r="392">
      <c r="B392" s="757"/>
      <c r="C392" s="757"/>
      <c r="D392" s="757"/>
      <c r="E392" s="757"/>
      <c r="F392" s="757"/>
      <c r="G392" s="757"/>
      <c r="H392" s="757"/>
      <c r="I392" s="757"/>
      <c r="J392" s="775"/>
      <c r="K392" s="757"/>
    </row>
    <row r="393">
      <c r="B393" s="757"/>
      <c r="C393" s="757"/>
      <c r="D393" s="757"/>
      <c r="E393" s="757"/>
      <c r="F393" s="757"/>
      <c r="G393" s="757"/>
      <c r="H393" s="757"/>
      <c r="I393" s="757"/>
      <c r="J393" s="775"/>
      <c r="K393" s="757"/>
    </row>
    <row r="394">
      <c r="B394" s="757"/>
      <c r="C394" s="757"/>
      <c r="D394" s="757"/>
      <c r="E394" s="757"/>
      <c r="F394" s="757"/>
      <c r="G394" s="757"/>
      <c r="H394" s="757"/>
      <c r="I394" s="757"/>
      <c r="J394" s="775"/>
      <c r="K394" s="757"/>
    </row>
    <row r="395">
      <c r="B395" s="757"/>
      <c r="C395" s="757"/>
      <c r="D395" s="757"/>
      <c r="E395" s="757"/>
      <c r="F395" s="757"/>
      <c r="G395" s="757"/>
      <c r="H395" s="757"/>
      <c r="I395" s="757"/>
      <c r="J395" s="775"/>
      <c r="K395" s="757"/>
    </row>
    <row r="396">
      <c r="B396" s="757"/>
      <c r="C396" s="757"/>
      <c r="D396" s="757"/>
      <c r="E396" s="757"/>
      <c r="F396" s="757"/>
      <c r="G396" s="757"/>
      <c r="H396" s="757"/>
      <c r="I396" s="757"/>
      <c r="J396" s="775"/>
      <c r="K396" s="757"/>
    </row>
    <row r="397">
      <c r="B397" s="757"/>
      <c r="C397" s="757"/>
      <c r="D397" s="757"/>
      <c r="E397" s="757"/>
      <c r="F397" s="757"/>
      <c r="G397" s="757"/>
      <c r="H397" s="757"/>
      <c r="I397" s="757"/>
      <c r="J397" s="775"/>
      <c r="K397" s="757"/>
    </row>
    <row r="398">
      <c r="B398" s="757"/>
      <c r="C398" s="757"/>
      <c r="D398" s="757"/>
      <c r="E398" s="757"/>
      <c r="F398" s="757"/>
      <c r="G398" s="757"/>
      <c r="H398" s="757"/>
      <c r="I398" s="757"/>
      <c r="J398" s="775"/>
      <c r="K398" s="757"/>
    </row>
    <row r="399">
      <c r="B399" s="757"/>
      <c r="C399" s="757"/>
      <c r="D399" s="757"/>
      <c r="E399" s="757"/>
      <c r="F399" s="757"/>
      <c r="G399" s="757"/>
      <c r="H399" s="757"/>
      <c r="I399" s="757"/>
      <c r="J399" s="775"/>
      <c r="K399" s="757"/>
    </row>
    <row r="400">
      <c r="B400" s="757"/>
      <c r="C400" s="757"/>
      <c r="D400" s="757"/>
      <c r="E400" s="757"/>
      <c r="F400" s="757"/>
      <c r="G400" s="757"/>
      <c r="H400" s="757"/>
      <c r="I400" s="757"/>
      <c r="J400" s="775"/>
      <c r="K400" s="757"/>
    </row>
    <row r="401">
      <c r="B401" s="757"/>
      <c r="C401" s="757"/>
      <c r="D401" s="757"/>
      <c r="E401" s="757"/>
      <c r="F401" s="757"/>
      <c r="G401" s="757"/>
      <c r="H401" s="757"/>
      <c r="I401" s="757"/>
      <c r="J401" s="775"/>
      <c r="K401" s="757"/>
    </row>
    <row r="402">
      <c r="B402" s="757"/>
      <c r="C402" s="757"/>
      <c r="D402" s="757"/>
      <c r="E402" s="757"/>
      <c r="F402" s="757"/>
      <c r="G402" s="757"/>
      <c r="H402" s="757"/>
      <c r="I402" s="757"/>
      <c r="J402" s="775"/>
      <c r="K402" s="757"/>
    </row>
    <row r="403">
      <c r="B403" s="757"/>
      <c r="C403" s="757"/>
      <c r="D403" s="757"/>
      <c r="E403" s="757"/>
      <c r="F403" s="757"/>
      <c r="G403" s="757"/>
      <c r="H403" s="757"/>
      <c r="I403" s="757"/>
      <c r="J403" s="775"/>
      <c r="K403" s="757"/>
    </row>
    <row r="404">
      <c r="B404" s="757"/>
      <c r="C404" s="757"/>
      <c r="D404" s="757"/>
      <c r="E404" s="757"/>
      <c r="F404" s="757"/>
      <c r="G404" s="757"/>
      <c r="H404" s="757"/>
      <c r="I404" s="757"/>
      <c r="J404" s="775"/>
      <c r="K404" s="757"/>
    </row>
    <row r="405">
      <c r="B405" s="757"/>
      <c r="C405" s="757"/>
      <c r="D405" s="757"/>
      <c r="E405" s="757"/>
      <c r="F405" s="757"/>
      <c r="G405" s="757"/>
      <c r="H405" s="757"/>
      <c r="I405" s="757"/>
      <c r="J405" s="775"/>
      <c r="K405" s="757"/>
    </row>
    <row r="406">
      <c r="B406" s="757"/>
      <c r="C406" s="757"/>
      <c r="D406" s="757"/>
      <c r="E406" s="757"/>
      <c r="F406" s="757"/>
      <c r="G406" s="757"/>
      <c r="H406" s="757"/>
      <c r="I406" s="757"/>
      <c r="J406" s="775"/>
      <c r="K406" s="757"/>
    </row>
    <row r="407">
      <c r="B407" s="757"/>
      <c r="C407" s="757"/>
      <c r="D407" s="757"/>
      <c r="E407" s="757"/>
      <c r="F407" s="757"/>
      <c r="G407" s="757"/>
      <c r="H407" s="757"/>
      <c r="I407" s="757"/>
      <c r="J407" s="775"/>
      <c r="K407" s="757"/>
    </row>
    <row r="408">
      <c r="B408" s="757"/>
      <c r="C408" s="757"/>
      <c r="D408" s="757"/>
      <c r="E408" s="757"/>
      <c r="F408" s="757"/>
      <c r="G408" s="757"/>
      <c r="H408" s="757"/>
      <c r="I408" s="757"/>
      <c r="J408" s="775"/>
      <c r="K408" s="757"/>
    </row>
    <row r="409">
      <c r="B409" s="757"/>
      <c r="C409" s="757"/>
      <c r="D409" s="757"/>
      <c r="E409" s="757"/>
      <c r="F409" s="757"/>
      <c r="G409" s="757"/>
      <c r="H409" s="757"/>
      <c r="I409" s="757"/>
      <c r="J409" s="775"/>
      <c r="K409" s="757"/>
    </row>
    <row r="410">
      <c r="B410" s="757"/>
      <c r="C410" s="757"/>
      <c r="D410" s="757"/>
      <c r="E410" s="757"/>
      <c r="F410" s="757"/>
      <c r="G410" s="757"/>
      <c r="H410" s="757"/>
      <c r="I410" s="757"/>
      <c r="J410" s="775"/>
      <c r="K410" s="757"/>
    </row>
    <row r="411">
      <c r="B411" s="757"/>
      <c r="C411" s="757"/>
      <c r="D411" s="757"/>
      <c r="E411" s="757"/>
      <c r="F411" s="757"/>
      <c r="G411" s="757"/>
      <c r="H411" s="757"/>
      <c r="I411" s="757"/>
      <c r="J411" s="775"/>
      <c r="K411" s="757"/>
    </row>
    <row r="412">
      <c r="B412" s="757"/>
      <c r="C412" s="757"/>
      <c r="D412" s="757"/>
      <c r="E412" s="757"/>
      <c r="F412" s="757"/>
      <c r="G412" s="757"/>
      <c r="H412" s="757"/>
      <c r="I412" s="757"/>
      <c r="J412" s="775"/>
      <c r="K412" s="757"/>
    </row>
    <row r="413">
      <c r="B413" s="757"/>
      <c r="C413" s="757"/>
      <c r="D413" s="757"/>
      <c r="E413" s="757"/>
      <c r="F413" s="757"/>
      <c r="G413" s="757"/>
      <c r="H413" s="757"/>
      <c r="I413" s="757"/>
      <c r="J413" s="775"/>
      <c r="K413" s="757"/>
    </row>
    <row r="414">
      <c r="B414" s="757"/>
      <c r="C414" s="757"/>
      <c r="D414" s="757"/>
      <c r="E414" s="757"/>
      <c r="F414" s="757"/>
      <c r="G414" s="757"/>
      <c r="H414" s="757"/>
      <c r="I414" s="757"/>
      <c r="J414" s="775"/>
      <c r="K414" s="757"/>
    </row>
    <row r="415">
      <c r="B415" s="757"/>
      <c r="C415" s="757"/>
      <c r="D415" s="757"/>
      <c r="E415" s="757"/>
      <c r="F415" s="757"/>
      <c r="G415" s="757"/>
      <c r="H415" s="757"/>
      <c r="I415" s="757"/>
      <c r="J415" s="775"/>
      <c r="K415" s="757"/>
    </row>
    <row r="416">
      <c r="B416" s="757"/>
      <c r="C416" s="757"/>
      <c r="D416" s="757"/>
      <c r="E416" s="757"/>
      <c r="F416" s="757"/>
      <c r="G416" s="757"/>
      <c r="H416" s="757"/>
      <c r="I416" s="757"/>
      <c r="J416" s="775"/>
      <c r="K416" s="757"/>
    </row>
    <row r="417">
      <c r="B417" s="757"/>
      <c r="C417" s="757"/>
      <c r="D417" s="757"/>
      <c r="E417" s="757"/>
      <c r="F417" s="757"/>
      <c r="G417" s="757"/>
      <c r="H417" s="757"/>
      <c r="I417" s="757"/>
      <c r="J417" s="775"/>
      <c r="K417" s="757"/>
    </row>
    <row r="418">
      <c r="B418" s="757"/>
      <c r="C418" s="757"/>
      <c r="D418" s="757"/>
      <c r="E418" s="757"/>
      <c r="F418" s="757"/>
      <c r="G418" s="757"/>
      <c r="H418" s="757"/>
      <c r="I418" s="757"/>
      <c r="J418" s="775"/>
      <c r="K418" s="757"/>
    </row>
    <row r="419">
      <c r="B419" s="757"/>
      <c r="C419" s="757"/>
      <c r="D419" s="757"/>
      <c r="E419" s="757"/>
      <c r="F419" s="757"/>
      <c r="G419" s="757"/>
      <c r="H419" s="757"/>
      <c r="I419" s="757"/>
      <c r="J419" s="775"/>
      <c r="K419" s="757"/>
    </row>
    <row r="420">
      <c r="B420" s="757"/>
      <c r="C420" s="757"/>
      <c r="D420" s="757"/>
      <c r="E420" s="757"/>
      <c r="F420" s="757"/>
      <c r="G420" s="757"/>
      <c r="H420" s="757"/>
      <c r="I420" s="757"/>
      <c r="J420" s="775"/>
      <c r="K420" s="757"/>
    </row>
    <row r="421">
      <c r="B421" s="757"/>
      <c r="C421" s="757"/>
      <c r="D421" s="757"/>
      <c r="E421" s="757"/>
      <c r="F421" s="757"/>
      <c r="G421" s="757"/>
      <c r="H421" s="757"/>
      <c r="I421" s="757"/>
      <c r="J421" s="775"/>
      <c r="K421" s="757"/>
    </row>
    <row r="422">
      <c r="B422" s="757"/>
      <c r="C422" s="757"/>
      <c r="D422" s="757"/>
      <c r="E422" s="757"/>
      <c r="F422" s="757"/>
      <c r="G422" s="757"/>
      <c r="H422" s="757"/>
      <c r="I422" s="757"/>
      <c r="J422" s="775"/>
      <c r="K422" s="757"/>
    </row>
    <row r="423">
      <c r="B423" s="757"/>
      <c r="C423" s="757"/>
      <c r="D423" s="757"/>
      <c r="E423" s="757"/>
      <c r="F423" s="757"/>
      <c r="G423" s="757"/>
      <c r="H423" s="757"/>
      <c r="I423" s="757"/>
      <c r="J423" s="775"/>
      <c r="K423" s="757"/>
    </row>
    <row r="424">
      <c r="B424" s="757"/>
      <c r="C424" s="757"/>
      <c r="D424" s="757"/>
      <c r="E424" s="757"/>
      <c r="F424" s="757"/>
      <c r="G424" s="757"/>
      <c r="H424" s="757"/>
      <c r="I424" s="757"/>
      <c r="J424" s="775"/>
      <c r="K424" s="757"/>
    </row>
    <row r="425">
      <c r="B425" s="757"/>
      <c r="C425" s="757"/>
      <c r="D425" s="757"/>
      <c r="E425" s="757"/>
      <c r="F425" s="757"/>
      <c r="G425" s="757"/>
      <c r="H425" s="757"/>
      <c r="I425" s="757"/>
      <c r="J425" s="775"/>
      <c r="K425" s="757"/>
    </row>
    <row r="426">
      <c r="B426" s="757"/>
      <c r="C426" s="757"/>
      <c r="D426" s="757"/>
      <c r="E426" s="757"/>
      <c r="F426" s="757"/>
      <c r="G426" s="757"/>
      <c r="H426" s="757"/>
      <c r="I426" s="757"/>
      <c r="J426" s="775"/>
      <c r="K426" s="757"/>
    </row>
    <row r="427">
      <c r="B427" s="757"/>
      <c r="C427" s="757"/>
      <c r="D427" s="757"/>
      <c r="E427" s="757"/>
      <c r="F427" s="757"/>
      <c r="G427" s="757"/>
      <c r="H427" s="757"/>
      <c r="I427" s="757"/>
      <c r="J427" s="775"/>
      <c r="K427" s="757"/>
    </row>
    <row r="428">
      <c r="B428" s="757"/>
      <c r="C428" s="757"/>
      <c r="D428" s="757"/>
      <c r="E428" s="757"/>
      <c r="F428" s="757"/>
      <c r="G428" s="757"/>
      <c r="H428" s="757"/>
      <c r="I428" s="757"/>
      <c r="J428" s="775"/>
      <c r="K428" s="757"/>
    </row>
    <row r="429">
      <c r="B429" s="757"/>
      <c r="C429" s="757"/>
      <c r="D429" s="757"/>
      <c r="E429" s="757"/>
      <c r="F429" s="757"/>
      <c r="G429" s="757"/>
      <c r="H429" s="757"/>
      <c r="I429" s="757"/>
      <c r="J429" s="775"/>
      <c r="K429" s="757"/>
    </row>
    <row r="430">
      <c r="B430" s="757"/>
      <c r="C430" s="757"/>
      <c r="D430" s="757"/>
      <c r="E430" s="757"/>
      <c r="F430" s="757"/>
      <c r="G430" s="757"/>
      <c r="H430" s="757"/>
      <c r="I430" s="757"/>
      <c r="J430" s="775"/>
      <c r="K430" s="757"/>
    </row>
    <row r="431">
      <c r="B431" s="757"/>
      <c r="C431" s="757"/>
      <c r="D431" s="757"/>
      <c r="E431" s="757"/>
      <c r="F431" s="757"/>
      <c r="G431" s="757"/>
      <c r="H431" s="757"/>
      <c r="I431" s="757"/>
      <c r="J431" s="775"/>
      <c r="K431" s="757"/>
    </row>
    <row r="432">
      <c r="B432" s="757"/>
      <c r="C432" s="757"/>
      <c r="D432" s="757"/>
      <c r="E432" s="757"/>
      <c r="F432" s="757"/>
      <c r="G432" s="757"/>
      <c r="H432" s="757"/>
      <c r="I432" s="757"/>
      <c r="J432" s="775"/>
      <c r="K432" s="757"/>
    </row>
    <row r="433">
      <c r="B433" s="757"/>
      <c r="C433" s="757"/>
      <c r="D433" s="757"/>
      <c r="E433" s="757"/>
      <c r="F433" s="757"/>
      <c r="G433" s="757"/>
      <c r="H433" s="757"/>
      <c r="I433" s="757"/>
      <c r="J433" s="775"/>
      <c r="K433" s="757"/>
    </row>
    <row r="434">
      <c r="B434" s="757"/>
      <c r="C434" s="757"/>
      <c r="D434" s="757"/>
      <c r="E434" s="757"/>
      <c r="F434" s="757"/>
      <c r="G434" s="757"/>
      <c r="H434" s="757"/>
      <c r="I434" s="757"/>
      <c r="J434" s="775"/>
      <c r="K434" s="757"/>
    </row>
    <row r="435">
      <c r="B435" s="757"/>
      <c r="C435" s="757"/>
      <c r="D435" s="757"/>
      <c r="E435" s="757"/>
      <c r="F435" s="757"/>
      <c r="G435" s="757"/>
      <c r="H435" s="757"/>
      <c r="I435" s="757"/>
      <c r="J435" s="775"/>
      <c r="K435" s="757"/>
    </row>
    <row r="436">
      <c r="B436" s="757"/>
      <c r="C436" s="757"/>
      <c r="D436" s="757"/>
      <c r="E436" s="757"/>
      <c r="F436" s="757"/>
      <c r="G436" s="757"/>
      <c r="H436" s="757"/>
      <c r="I436" s="757"/>
      <c r="J436" s="775"/>
      <c r="K436" s="757"/>
    </row>
    <row r="437">
      <c r="B437" s="757"/>
      <c r="C437" s="757"/>
      <c r="D437" s="757"/>
      <c r="E437" s="757"/>
      <c r="F437" s="757"/>
      <c r="G437" s="757"/>
      <c r="H437" s="757"/>
      <c r="I437" s="757"/>
      <c r="J437" s="775"/>
      <c r="K437" s="757"/>
    </row>
    <row r="438">
      <c r="B438" s="757"/>
      <c r="C438" s="757"/>
      <c r="D438" s="757"/>
      <c r="E438" s="757"/>
      <c r="F438" s="757"/>
      <c r="G438" s="757"/>
      <c r="H438" s="757"/>
      <c r="I438" s="757"/>
      <c r="J438" s="775"/>
      <c r="K438" s="757"/>
    </row>
    <row r="439">
      <c r="B439" s="757"/>
      <c r="C439" s="757"/>
      <c r="D439" s="757"/>
      <c r="E439" s="757"/>
      <c r="F439" s="757"/>
      <c r="G439" s="757"/>
      <c r="H439" s="757"/>
      <c r="I439" s="757"/>
      <c r="J439" s="775"/>
      <c r="K439" s="757"/>
    </row>
    <row r="440">
      <c r="B440" s="757"/>
      <c r="C440" s="757"/>
      <c r="D440" s="757"/>
      <c r="E440" s="757"/>
      <c r="F440" s="757"/>
      <c r="G440" s="757"/>
      <c r="H440" s="757"/>
      <c r="I440" s="757"/>
      <c r="J440" s="775"/>
      <c r="K440" s="757"/>
    </row>
    <row r="441">
      <c r="B441" s="757"/>
      <c r="C441" s="757"/>
      <c r="D441" s="757"/>
      <c r="E441" s="757"/>
      <c r="F441" s="757"/>
      <c r="G441" s="757"/>
      <c r="H441" s="757"/>
      <c r="I441" s="757"/>
      <c r="J441" s="775"/>
      <c r="K441" s="757"/>
    </row>
    <row r="442">
      <c r="B442" s="757"/>
      <c r="C442" s="757"/>
      <c r="D442" s="757"/>
      <c r="E442" s="757"/>
      <c r="F442" s="757"/>
      <c r="G442" s="757"/>
      <c r="H442" s="757"/>
      <c r="I442" s="757"/>
      <c r="J442" s="775"/>
      <c r="K442" s="757"/>
    </row>
    <row r="443">
      <c r="B443" s="757"/>
      <c r="C443" s="757"/>
      <c r="D443" s="757"/>
      <c r="E443" s="757"/>
      <c r="F443" s="757"/>
      <c r="G443" s="757"/>
      <c r="H443" s="757"/>
      <c r="I443" s="757"/>
      <c r="J443" s="775"/>
      <c r="K443" s="757"/>
    </row>
    <row r="444">
      <c r="B444" s="757"/>
      <c r="C444" s="757"/>
      <c r="D444" s="757"/>
      <c r="E444" s="757"/>
      <c r="F444" s="757"/>
      <c r="G444" s="757"/>
      <c r="H444" s="757"/>
      <c r="I444" s="757"/>
      <c r="J444" s="775"/>
      <c r="K444" s="757"/>
    </row>
    <row r="445">
      <c r="B445" s="757"/>
      <c r="C445" s="757"/>
      <c r="D445" s="757"/>
      <c r="E445" s="757"/>
      <c r="F445" s="757"/>
      <c r="G445" s="757"/>
      <c r="H445" s="757"/>
      <c r="I445" s="757"/>
      <c r="J445" s="775"/>
      <c r="K445" s="757"/>
    </row>
    <row r="446">
      <c r="B446" s="757"/>
      <c r="C446" s="757"/>
      <c r="D446" s="757"/>
      <c r="E446" s="757"/>
      <c r="F446" s="757"/>
      <c r="G446" s="757"/>
      <c r="H446" s="757"/>
      <c r="I446" s="757"/>
      <c r="J446" s="775"/>
      <c r="K446" s="757"/>
    </row>
    <row r="447">
      <c r="B447" s="757"/>
      <c r="C447" s="757"/>
      <c r="D447" s="757"/>
      <c r="E447" s="757"/>
      <c r="F447" s="757"/>
      <c r="G447" s="757"/>
      <c r="H447" s="757"/>
      <c r="I447" s="757"/>
      <c r="J447" s="775"/>
      <c r="K447" s="757"/>
    </row>
    <row r="448">
      <c r="B448" s="757"/>
      <c r="C448" s="757"/>
      <c r="D448" s="757"/>
      <c r="E448" s="757"/>
      <c r="F448" s="757"/>
      <c r="G448" s="757"/>
      <c r="H448" s="757"/>
      <c r="I448" s="757"/>
      <c r="J448" s="775"/>
      <c r="K448" s="757"/>
    </row>
    <row r="449">
      <c r="B449" s="757"/>
      <c r="C449" s="757"/>
      <c r="D449" s="757"/>
      <c r="E449" s="757"/>
      <c r="F449" s="757"/>
      <c r="G449" s="757"/>
      <c r="H449" s="757"/>
      <c r="I449" s="757"/>
      <c r="J449" s="775"/>
      <c r="K449" s="757"/>
    </row>
    <row r="450">
      <c r="B450" s="757"/>
      <c r="C450" s="757"/>
      <c r="D450" s="757"/>
      <c r="E450" s="757"/>
      <c r="F450" s="757"/>
      <c r="G450" s="757"/>
      <c r="H450" s="757"/>
      <c r="I450" s="757"/>
      <c r="J450" s="775"/>
      <c r="K450" s="757"/>
    </row>
    <row r="451">
      <c r="B451" s="757"/>
      <c r="C451" s="757"/>
      <c r="D451" s="757"/>
      <c r="E451" s="757"/>
      <c r="F451" s="757"/>
      <c r="G451" s="757"/>
      <c r="H451" s="757"/>
      <c r="I451" s="757"/>
      <c r="J451" s="775"/>
      <c r="K451" s="757"/>
    </row>
    <row r="452">
      <c r="B452" s="757"/>
      <c r="C452" s="757"/>
      <c r="D452" s="757"/>
      <c r="E452" s="757"/>
      <c r="F452" s="757"/>
      <c r="G452" s="757"/>
      <c r="H452" s="757"/>
      <c r="I452" s="757"/>
      <c r="J452" s="775"/>
      <c r="K452" s="757"/>
    </row>
    <row r="453">
      <c r="B453" s="757"/>
      <c r="C453" s="757"/>
      <c r="D453" s="757"/>
      <c r="E453" s="757"/>
      <c r="F453" s="757"/>
      <c r="G453" s="757"/>
      <c r="H453" s="757"/>
      <c r="I453" s="757"/>
      <c r="J453" s="775"/>
      <c r="K453" s="757"/>
    </row>
    <row r="454">
      <c r="B454" s="757"/>
      <c r="C454" s="757"/>
      <c r="D454" s="757"/>
      <c r="E454" s="757"/>
      <c r="F454" s="757"/>
      <c r="G454" s="757"/>
      <c r="H454" s="757"/>
      <c r="I454" s="757"/>
      <c r="J454" s="775"/>
      <c r="K454" s="757"/>
    </row>
    <row r="455">
      <c r="B455" s="757"/>
      <c r="C455" s="757"/>
      <c r="D455" s="757"/>
      <c r="E455" s="757"/>
      <c r="F455" s="757"/>
      <c r="G455" s="757"/>
      <c r="H455" s="757"/>
      <c r="I455" s="757"/>
      <c r="J455" s="775"/>
      <c r="K455" s="757"/>
    </row>
    <row r="456">
      <c r="B456" s="757"/>
      <c r="C456" s="757"/>
      <c r="D456" s="757"/>
      <c r="E456" s="757"/>
      <c r="F456" s="757"/>
      <c r="G456" s="757"/>
      <c r="H456" s="757"/>
      <c r="I456" s="757"/>
      <c r="J456" s="775"/>
      <c r="K456" s="757"/>
    </row>
    <row r="457">
      <c r="B457" s="757"/>
      <c r="C457" s="757"/>
      <c r="D457" s="757"/>
      <c r="E457" s="757"/>
      <c r="F457" s="757"/>
      <c r="G457" s="757"/>
      <c r="H457" s="757"/>
      <c r="I457" s="757"/>
      <c r="J457" s="775"/>
      <c r="K457" s="757"/>
    </row>
    <row r="458">
      <c r="B458" s="757"/>
      <c r="C458" s="757"/>
      <c r="D458" s="757"/>
      <c r="E458" s="757"/>
      <c r="F458" s="757"/>
      <c r="G458" s="757"/>
      <c r="H458" s="757"/>
      <c r="I458" s="757"/>
      <c r="J458" s="775"/>
      <c r="K458" s="757"/>
    </row>
    <row r="459">
      <c r="B459" s="757"/>
      <c r="C459" s="757"/>
      <c r="D459" s="757"/>
      <c r="E459" s="757"/>
      <c r="F459" s="757"/>
      <c r="G459" s="757"/>
      <c r="H459" s="757"/>
      <c r="I459" s="757"/>
      <c r="J459" s="775"/>
      <c r="K459" s="757"/>
    </row>
    <row r="460">
      <c r="B460" s="757"/>
      <c r="C460" s="757"/>
      <c r="D460" s="757"/>
      <c r="E460" s="757"/>
      <c r="F460" s="757"/>
      <c r="G460" s="757"/>
      <c r="H460" s="757"/>
      <c r="I460" s="757"/>
      <c r="J460" s="775"/>
      <c r="K460" s="757"/>
    </row>
    <row r="461">
      <c r="B461" s="757"/>
      <c r="C461" s="757"/>
      <c r="D461" s="757"/>
      <c r="E461" s="757"/>
      <c r="F461" s="757"/>
      <c r="G461" s="757"/>
      <c r="H461" s="757"/>
      <c r="I461" s="757"/>
      <c r="J461" s="775"/>
      <c r="K461" s="757"/>
    </row>
    <row r="462">
      <c r="B462" s="757"/>
      <c r="C462" s="757"/>
      <c r="D462" s="757"/>
      <c r="E462" s="757"/>
      <c r="F462" s="757"/>
      <c r="G462" s="757"/>
      <c r="H462" s="757"/>
      <c r="I462" s="757"/>
      <c r="J462" s="775"/>
      <c r="K462" s="757"/>
    </row>
    <row r="463">
      <c r="B463" s="757"/>
      <c r="C463" s="757"/>
      <c r="D463" s="757"/>
      <c r="E463" s="757"/>
      <c r="F463" s="757"/>
      <c r="G463" s="757"/>
      <c r="H463" s="757"/>
      <c r="I463" s="757"/>
      <c r="J463" s="775"/>
      <c r="K463" s="757"/>
    </row>
    <row r="464">
      <c r="B464" s="757"/>
      <c r="C464" s="757"/>
      <c r="D464" s="757"/>
      <c r="E464" s="757"/>
      <c r="F464" s="757"/>
      <c r="G464" s="757"/>
      <c r="H464" s="757"/>
      <c r="I464" s="757"/>
      <c r="J464" s="775"/>
      <c r="K464" s="757"/>
    </row>
    <row r="465">
      <c r="B465" s="757"/>
      <c r="C465" s="757"/>
      <c r="D465" s="757"/>
      <c r="E465" s="757"/>
      <c r="F465" s="757"/>
      <c r="G465" s="757"/>
      <c r="H465" s="757"/>
      <c r="I465" s="757"/>
      <c r="J465" s="775"/>
      <c r="K465" s="757"/>
    </row>
    <row r="466">
      <c r="B466" s="757"/>
      <c r="C466" s="757"/>
      <c r="D466" s="757"/>
      <c r="E466" s="757"/>
      <c r="F466" s="757"/>
      <c r="G466" s="757"/>
      <c r="H466" s="757"/>
      <c r="I466" s="757"/>
      <c r="J466" s="775"/>
      <c r="K466" s="757"/>
    </row>
    <row r="467">
      <c r="B467" s="757"/>
      <c r="C467" s="757"/>
      <c r="D467" s="757"/>
      <c r="E467" s="757"/>
      <c r="F467" s="757"/>
      <c r="G467" s="757"/>
      <c r="H467" s="757"/>
      <c r="I467" s="757"/>
      <c r="J467" s="775"/>
      <c r="K467" s="757"/>
    </row>
    <row r="468">
      <c r="B468" s="757"/>
      <c r="C468" s="757"/>
      <c r="D468" s="757"/>
      <c r="E468" s="757"/>
      <c r="F468" s="757"/>
      <c r="G468" s="757"/>
      <c r="H468" s="757"/>
      <c r="I468" s="757"/>
      <c r="J468" s="775"/>
      <c r="K468" s="757"/>
    </row>
    <row r="469">
      <c r="B469" s="757"/>
      <c r="C469" s="757"/>
      <c r="D469" s="757"/>
      <c r="E469" s="757"/>
      <c r="F469" s="757"/>
      <c r="G469" s="757"/>
      <c r="H469" s="757"/>
      <c r="I469" s="757"/>
      <c r="J469" s="775"/>
      <c r="K469" s="757"/>
    </row>
    <row r="470">
      <c r="B470" s="757"/>
      <c r="C470" s="757"/>
      <c r="D470" s="757"/>
      <c r="E470" s="757"/>
      <c r="F470" s="757"/>
      <c r="G470" s="757"/>
      <c r="H470" s="757"/>
      <c r="I470" s="757"/>
      <c r="J470" s="775"/>
      <c r="K470" s="757"/>
    </row>
    <row r="471">
      <c r="B471" s="757"/>
      <c r="C471" s="757"/>
      <c r="D471" s="757"/>
      <c r="E471" s="757"/>
      <c r="F471" s="757"/>
      <c r="G471" s="757"/>
      <c r="H471" s="757"/>
      <c r="I471" s="757"/>
      <c r="J471" s="775"/>
      <c r="K471" s="757"/>
    </row>
    <row r="472">
      <c r="B472" s="757"/>
      <c r="C472" s="757"/>
      <c r="D472" s="757"/>
      <c r="E472" s="757"/>
      <c r="F472" s="757"/>
      <c r="G472" s="757"/>
      <c r="H472" s="757"/>
      <c r="I472" s="757"/>
      <c r="J472" s="775"/>
      <c r="K472" s="757"/>
    </row>
    <row r="473">
      <c r="B473" s="757"/>
      <c r="C473" s="757"/>
      <c r="D473" s="757"/>
      <c r="E473" s="757"/>
      <c r="F473" s="757"/>
      <c r="G473" s="757"/>
      <c r="H473" s="757"/>
      <c r="I473" s="757"/>
      <c r="J473" s="775"/>
      <c r="K473" s="757"/>
    </row>
    <row r="474">
      <c r="B474" s="757"/>
      <c r="C474" s="757"/>
      <c r="D474" s="757"/>
      <c r="E474" s="757"/>
      <c r="F474" s="757"/>
      <c r="G474" s="757"/>
      <c r="H474" s="757"/>
      <c r="I474" s="757"/>
      <c r="J474" s="775"/>
      <c r="K474" s="757"/>
    </row>
    <row r="475">
      <c r="B475" s="757"/>
      <c r="C475" s="757"/>
      <c r="D475" s="757"/>
      <c r="E475" s="757"/>
      <c r="F475" s="757"/>
      <c r="G475" s="757"/>
      <c r="H475" s="757"/>
      <c r="I475" s="757"/>
      <c r="J475" s="775"/>
      <c r="K475" s="757"/>
    </row>
    <row r="476">
      <c r="B476" s="757"/>
      <c r="C476" s="757"/>
      <c r="D476" s="757"/>
      <c r="E476" s="757"/>
      <c r="F476" s="757"/>
      <c r="G476" s="757"/>
      <c r="H476" s="757"/>
      <c r="I476" s="757"/>
      <c r="J476" s="775"/>
      <c r="K476" s="757"/>
    </row>
    <row r="477">
      <c r="B477" s="757"/>
      <c r="C477" s="757"/>
      <c r="D477" s="757"/>
      <c r="E477" s="757"/>
      <c r="F477" s="757"/>
      <c r="G477" s="757"/>
      <c r="H477" s="757"/>
      <c r="I477" s="757"/>
      <c r="J477" s="775"/>
      <c r="K477" s="757"/>
    </row>
    <row r="478">
      <c r="B478" s="757"/>
      <c r="C478" s="757"/>
      <c r="D478" s="757"/>
      <c r="E478" s="757"/>
      <c r="F478" s="757"/>
      <c r="G478" s="757"/>
      <c r="H478" s="757"/>
      <c r="I478" s="757"/>
      <c r="J478" s="775"/>
      <c r="K478" s="757"/>
    </row>
    <row r="479">
      <c r="B479" s="757"/>
      <c r="C479" s="757"/>
      <c r="D479" s="757"/>
      <c r="E479" s="757"/>
      <c r="F479" s="757"/>
      <c r="G479" s="757"/>
      <c r="H479" s="757"/>
      <c r="I479" s="757"/>
      <c r="J479" s="775"/>
      <c r="K479" s="757"/>
    </row>
    <row r="480">
      <c r="B480" s="757"/>
      <c r="C480" s="757"/>
      <c r="D480" s="757"/>
      <c r="E480" s="757"/>
      <c r="F480" s="757"/>
      <c r="G480" s="757"/>
      <c r="H480" s="757"/>
      <c r="I480" s="757"/>
      <c r="J480" s="775"/>
      <c r="K480" s="757"/>
    </row>
    <row r="481">
      <c r="B481" s="757"/>
      <c r="C481" s="757"/>
      <c r="D481" s="757"/>
      <c r="E481" s="757"/>
      <c r="F481" s="757"/>
      <c r="G481" s="757"/>
      <c r="H481" s="757"/>
      <c r="I481" s="757"/>
      <c r="J481" s="775"/>
      <c r="K481" s="757"/>
    </row>
    <row r="482">
      <c r="B482" s="757"/>
      <c r="C482" s="757"/>
      <c r="D482" s="757"/>
      <c r="E482" s="757"/>
      <c r="F482" s="757"/>
      <c r="G482" s="757"/>
      <c r="H482" s="757"/>
      <c r="I482" s="757"/>
      <c r="J482" s="775"/>
      <c r="K482" s="757"/>
    </row>
    <row r="483">
      <c r="B483" s="757"/>
      <c r="C483" s="757"/>
      <c r="D483" s="757"/>
      <c r="E483" s="757"/>
      <c r="F483" s="757"/>
      <c r="G483" s="757"/>
      <c r="H483" s="757"/>
      <c r="I483" s="757"/>
      <c r="J483" s="775"/>
      <c r="K483" s="757"/>
    </row>
    <row r="484">
      <c r="B484" s="757"/>
      <c r="C484" s="757"/>
      <c r="D484" s="757"/>
      <c r="E484" s="757"/>
      <c r="F484" s="757"/>
      <c r="G484" s="757"/>
      <c r="H484" s="757"/>
      <c r="I484" s="757"/>
      <c r="J484" s="775"/>
      <c r="K484" s="757"/>
    </row>
    <row r="485">
      <c r="B485" s="757"/>
      <c r="C485" s="757"/>
      <c r="D485" s="757"/>
      <c r="E485" s="757"/>
      <c r="F485" s="757"/>
      <c r="G485" s="757"/>
      <c r="H485" s="757"/>
      <c r="I485" s="757"/>
      <c r="J485" s="775"/>
      <c r="K485" s="757"/>
    </row>
    <row r="486">
      <c r="B486" s="757"/>
      <c r="C486" s="757"/>
      <c r="D486" s="757"/>
      <c r="E486" s="757"/>
      <c r="F486" s="757"/>
      <c r="G486" s="757"/>
      <c r="H486" s="757"/>
      <c r="I486" s="757"/>
      <c r="J486" s="775"/>
      <c r="K486" s="757"/>
    </row>
    <row r="487">
      <c r="B487" s="757"/>
      <c r="C487" s="757"/>
      <c r="D487" s="757"/>
      <c r="E487" s="757"/>
      <c r="F487" s="757"/>
      <c r="G487" s="757"/>
      <c r="H487" s="757"/>
      <c r="I487" s="757"/>
      <c r="J487" s="775"/>
      <c r="K487" s="757"/>
    </row>
    <row r="488">
      <c r="B488" s="757"/>
      <c r="C488" s="757"/>
      <c r="D488" s="757"/>
      <c r="E488" s="757"/>
      <c r="F488" s="757"/>
      <c r="G488" s="757"/>
      <c r="H488" s="757"/>
      <c r="I488" s="757"/>
      <c r="J488" s="775"/>
      <c r="K488" s="757"/>
    </row>
    <row r="489">
      <c r="B489" s="757"/>
      <c r="C489" s="757"/>
      <c r="D489" s="757"/>
      <c r="E489" s="757"/>
      <c r="F489" s="757"/>
      <c r="G489" s="757"/>
      <c r="H489" s="757"/>
      <c r="I489" s="757"/>
      <c r="J489" s="775"/>
      <c r="K489" s="757"/>
    </row>
    <row r="490">
      <c r="B490" s="757"/>
      <c r="C490" s="757"/>
      <c r="D490" s="757"/>
      <c r="E490" s="757"/>
      <c r="F490" s="757"/>
      <c r="G490" s="757"/>
      <c r="H490" s="757"/>
      <c r="I490" s="757"/>
      <c r="J490" s="775"/>
      <c r="K490" s="757"/>
    </row>
    <row r="491">
      <c r="B491" s="757"/>
      <c r="C491" s="757"/>
      <c r="D491" s="757"/>
      <c r="E491" s="757"/>
      <c r="F491" s="757"/>
      <c r="G491" s="757"/>
      <c r="H491" s="757"/>
      <c r="I491" s="757"/>
      <c r="J491" s="775"/>
      <c r="K491" s="757"/>
    </row>
    <row r="492">
      <c r="B492" s="757"/>
      <c r="C492" s="757"/>
      <c r="D492" s="757"/>
      <c r="E492" s="757"/>
      <c r="F492" s="757"/>
      <c r="G492" s="757"/>
      <c r="H492" s="757"/>
      <c r="I492" s="757"/>
      <c r="J492" s="775"/>
      <c r="K492" s="757"/>
    </row>
    <row r="493">
      <c r="B493" s="757"/>
      <c r="C493" s="757"/>
      <c r="D493" s="757"/>
      <c r="E493" s="757"/>
      <c r="F493" s="757"/>
      <c r="G493" s="757"/>
      <c r="H493" s="757"/>
      <c r="I493" s="757"/>
      <c r="J493" s="775"/>
      <c r="K493" s="757"/>
    </row>
    <row r="494">
      <c r="B494" s="757"/>
      <c r="C494" s="757"/>
      <c r="D494" s="757"/>
      <c r="E494" s="757"/>
      <c r="F494" s="757"/>
      <c r="G494" s="757"/>
      <c r="H494" s="757"/>
      <c r="I494" s="757"/>
      <c r="J494" s="775"/>
      <c r="K494" s="757"/>
    </row>
    <row r="495">
      <c r="B495" s="757"/>
      <c r="C495" s="757"/>
      <c r="D495" s="757"/>
      <c r="E495" s="757"/>
      <c r="F495" s="757"/>
      <c r="G495" s="757"/>
      <c r="H495" s="757"/>
      <c r="I495" s="757"/>
      <c r="J495" s="775"/>
      <c r="K495" s="757"/>
    </row>
    <row r="496">
      <c r="B496" s="757"/>
      <c r="C496" s="757"/>
      <c r="D496" s="757"/>
      <c r="E496" s="757"/>
      <c r="F496" s="757"/>
      <c r="G496" s="757"/>
      <c r="H496" s="757"/>
      <c r="I496" s="757"/>
      <c r="J496" s="775"/>
      <c r="K496" s="757"/>
    </row>
    <row r="497">
      <c r="B497" s="757"/>
      <c r="C497" s="757"/>
      <c r="D497" s="757"/>
      <c r="E497" s="757"/>
      <c r="F497" s="757"/>
      <c r="G497" s="757"/>
      <c r="H497" s="757"/>
      <c r="I497" s="757"/>
      <c r="J497" s="775"/>
      <c r="K497" s="757"/>
    </row>
    <row r="498">
      <c r="B498" s="757"/>
      <c r="C498" s="757"/>
      <c r="D498" s="757"/>
      <c r="E498" s="757"/>
      <c r="F498" s="757"/>
      <c r="G498" s="757"/>
      <c r="H498" s="757"/>
      <c r="I498" s="757"/>
      <c r="J498" s="775"/>
      <c r="K498" s="757"/>
    </row>
    <row r="499">
      <c r="B499" s="757"/>
      <c r="C499" s="757"/>
      <c r="D499" s="757"/>
      <c r="E499" s="757"/>
      <c r="F499" s="757"/>
      <c r="G499" s="757"/>
      <c r="H499" s="757"/>
      <c r="I499" s="757"/>
      <c r="J499" s="775"/>
      <c r="K499" s="757"/>
    </row>
    <row r="500">
      <c r="B500" s="757"/>
      <c r="C500" s="757"/>
      <c r="D500" s="757"/>
      <c r="E500" s="757"/>
      <c r="F500" s="757"/>
      <c r="G500" s="757"/>
      <c r="H500" s="757"/>
      <c r="I500" s="757"/>
      <c r="J500" s="775"/>
      <c r="K500" s="757"/>
    </row>
    <row r="501">
      <c r="B501" s="757"/>
      <c r="C501" s="757"/>
      <c r="D501" s="757"/>
      <c r="E501" s="757"/>
      <c r="F501" s="757"/>
      <c r="G501" s="757"/>
      <c r="H501" s="757"/>
      <c r="I501" s="757"/>
      <c r="J501" s="775"/>
      <c r="K501" s="757"/>
    </row>
    <row r="502">
      <c r="B502" s="757"/>
      <c r="C502" s="757"/>
      <c r="D502" s="757"/>
      <c r="E502" s="757"/>
      <c r="F502" s="757"/>
      <c r="G502" s="757"/>
      <c r="H502" s="757"/>
      <c r="I502" s="757"/>
      <c r="J502" s="775"/>
      <c r="K502" s="757"/>
    </row>
    <row r="503">
      <c r="B503" s="757"/>
      <c r="C503" s="757"/>
      <c r="D503" s="757"/>
      <c r="E503" s="757"/>
      <c r="F503" s="757"/>
      <c r="G503" s="757"/>
      <c r="H503" s="757"/>
      <c r="I503" s="757"/>
      <c r="J503" s="775"/>
      <c r="K503" s="757"/>
    </row>
    <row r="504">
      <c r="B504" s="757"/>
      <c r="C504" s="757"/>
      <c r="D504" s="757"/>
      <c r="E504" s="757"/>
      <c r="F504" s="757"/>
      <c r="G504" s="757"/>
      <c r="H504" s="757"/>
      <c r="I504" s="757"/>
      <c r="J504" s="775"/>
      <c r="K504" s="757"/>
    </row>
    <row r="505">
      <c r="B505" s="757"/>
      <c r="C505" s="757"/>
      <c r="D505" s="757"/>
      <c r="E505" s="757"/>
      <c r="F505" s="757"/>
      <c r="G505" s="757"/>
      <c r="H505" s="757"/>
      <c r="I505" s="757"/>
      <c r="J505" s="775"/>
      <c r="K505" s="757"/>
    </row>
    <row r="506">
      <c r="B506" s="757"/>
      <c r="C506" s="757"/>
      <c r="D506" s="757"/>
      <c r="E506" s="757"/>
      <c r="F506" s="757"/>
      <c r="G506" s="757"/>
      <c r="H506" s="757"/>
      <c r="I506" s="757"/>
      <c r="J506" s="775"/>
      <c r="K506" s="757"/>
    </row>
    <row r="507">
      <c r="B507" s="757"/>
      <c r="C507" s="757"/>
      <c r="D507" s="757"/>
      <c r="E507" s="757"/>
      <c r="F507" s="757"/>
      <c r="G507" s="757"/>
      <c r="H507" s="757"/>
      <c r="I507" s="757"/>
      <c r="J507" s="775"/>
      <c r="K507" s="757"/>
    </row>
    <row r="508">
      <c r="B508" s="757"/>
      <c r="C508" s="757"/>
      <c r="D508" s="757"/>
      <c r="E508" s="757"/>
      <c r="F508" s="757"/>
      <c r="G508" s="757"/>
      <c r="H508" s="757"/>
      <c r="I508" s="757"/>
      <c r="J508" s="775"/>
      <c r="K508" s="757"/>
    </row>
    <row r="509">
      <c r="B509" s="757"/>
      <c r="C509" s="757"/>
      <c r="D509" s="757"/>
      <c r="E509" s="757"/>
      <c r="F509" s="757"/>
      <c r="G509" s="757"/>
      <c r="H509" s="757"/>
      <c r="I509" s="757"/>
      <c r="J509" s="775"/>
      <c r="K509" s="757"/>
    </row>
    <row r="510">
      <c r="B510" s="757"/>
      <c r="C510" s="757"/>
      <c r="D510" s="757"/>
      <c r="E510" s="757"/>
      <c r="F510" s="757"/>
      <c r="G510" s="757"/>
      <c r="H510" s="757"/>
      <c r="I510" s="757"/>
      <c r="J510" s="775"/>
      <c r="K510" s="757"/>
    </row>
    <row r="511">
      <c r="B511" s="757"/>
      <c r="C511" s="757"/>
      <c r="D511" s="757"/>
      <c r="E511" s="757"/>
      <c r="F511" s="757"/>
      <c r="G511" s="757"/>
      <c r="H511" s="757"/>
      <c r="I511" s="757"/>
      <c r="J511" s="775"/>
      <c r="K511" s="757"/>
    </row>
    <row r="512">
      <c r="B512" s="757"/>
      <c r="C512" s="757"/>
      <c r="D512" s="757"/>
      <c r="E512" s="757"/>
      <c r="F512" s="757"/>
      <c r="G512" s="757"/>
      <c r="H512" s="757"/>
      <c r="I512" s="757"/>
      <c r="J512" s="775"/>
      <c r="K512" s="757"/>
    </row>
    <row r="513">
      <c r="B513" s="757"/>
      <c r="C513" s="757"/>
      <c r="D513" s="757"/>
      <c r="E513" s="757"/>
      <c r="F513" s="757"/>
      <c r="G513" s="757"/>
      <c r="H513" s="757"/>
      <c r="I513" s="757"/>
      <c r="J513" s="775"/>
      <c r="K513" s="757"/>
    </row>
    <row r="514">
      <c r="B514" s="757"/>
      <c r="C514" s="757"/>
      <c r="D514" s="757"/>
      <c r="E514" s="757"/>
      <c r="F514" s="757"/>
      <c r="G514" s="757"/>
      <c r="H514" s="757"/>
      <c r="I514" s="757"/>
      <c r="J514" s="775"/>
      <c r="K514" s="757"/>
    </row>
    <row r="515">
      <c r="B515" s="757"/>
      <c r="C515" s="757"/>
      <c r="D515" s="757"/>
      <c r="E515" s="757"/>
      <c r="F515" s="757"/>
      <c r="G515" s="757"/>
      <c r="H515" s="757"/>
      <c r="I515" s="757"/>
      <c r="J515" s="775"/>
      <c r="K515" s="757"/>
    </row>
    <row r="516">
      <c r="B516" s="757"/>
      <c r="C516" s="757"/>
      <c r="D516" s="757"/>
      <c r="E516" s="757"/>
      <c r="F516" s="757"/>
      <c r="G516" s="757"/>
      <c r="H516" s="757"/>
      <c r="I516" s="757"/>
      <c r="J516" s="775"/>
      <c r="K516" s="757"/>
    </row>
    <row r="517">
      <c r="B517" s="757"/>
      <c r="C517" s="757"/>
      <c r="D517" s="757"/>
      <c r="E517" s="757"/>
      <c r="F517" s="757"/>
      <c r="G517" s="757"/>
      <c r="H517" s="757"/>
      <c r="I517" s="757"/>
      <c r="J517" s="775"/>
      <c r="K517" s="757"/>
    </row>
    <row r="518">
      <c r="B518" s="757"/>
      <c r="C518" s="757"/>
      <c r="D518" s="757"/>
      <c r="E518" s="757"/>
      <c r="F518" s="757"/>
      <c r="G518" s="757"/>
      <c r="H518" s="757"/>
      <c r="I518" s="757"/>
      <c r="J518" s="775"/>
      <c r="K518" s="757"/>
    </row>
    <row r="519">
      <c r="B519" s="757"/>
      <c r="C519" s="757"/>
      <c r="D519" s="757"/>
      <c r="E519" s="757"/>
      <c r="F519" s="757"/>
      <c r="G519" s="757"/>
      <c r="H519" s="757"/>
      <c r="I519" s="757"/>
      <c r="J519" s="775"/>
      <c r="K519" s="757"/>
    </row>
    <row r="520">
      <c r="B520" s="757"/>
      <c r="C520" s="757"/>
      <c r="D520" s="757"/>
      <c r="E520" s="757"/>
      <c r="F520" s="757"/>
      <c r="G520" s="757"/>
      <c r="H520" s="757"/>
      <c r="I520" s="757"/>
      <c r="J520" s="775"/>
      <c r="K520" s="757"/>
    </row>
    <row r="521">
      <c r="B521" s="757"/>
      <c r="C521" s="757"/>
      <c r="D521" s="757"/>
      <c r="E521" s="757"/>
      <c r="F521" s="757"/>
      <c r="G521" s="757"/>
      <c r="H521" s="757"/>
      <c r="I521" s="757"/>
      <c r="J521" s="775"/>
      <c r="K521" s="757"/>
    </row>
    <row r="522">
      <c r="B522" s="757"/>
      <c r="C522" s="757"/>
      <c r="D522" s="757"/>
      <c r="E522" s="757"/>
      <c r="F522" s="757"/>
      <c r="G522" s="757"/>
      <c r="H522" s="757"/>
      <c r="I522" s="757"/>
      <c r="J522" s="775"/>
      <c r="K522" s="757"/>
    </row>
    <row r="523">
      <c r="B523" s="757"/>
      <c r="C523" s="757"/>
      <c r="D523" s="757"/>
      <c r="E523" s="757"/>
      <c r="F523" s="757"/>
      <c r="G523" s="757"/>
      <c r="H523" s="757"/>
      <c r="I523" s="757"/>
      <c r="J523" s="775"/>
      <c r="K523" s="757"/>
    </row>
    <row r="524">
      <c r="B524" s="757"/>
      <c r="C524" s="757"/>
      <c r="D524" s="757"/>
      <c r="E524" s="757"/>
      <c r="F524" s="757"/>
      <c r="G524" s="757"/>
      <c r="H524" s="757"/>
      <c r="I524" s="757"/>
      <c r="J524" s="775"/>
      <c r="K524" s="757"/>
    </row>
    <row r="525">
      <c r="B525" s="757"/>
      <c r="C525" s="757"/>
      <c r="D525" s="757"/>
      <c r="E525" s="757"/>
      <c r="F525" s="757"/>
      <c r="G525" s="757"/>
      <c r="H525" s="757"/>
      <c r="I525" s="757"/>
      <c r="J525" s="775"/>
      <c r="K525" s="757"/>
    </row>
    <row r="526">
      <c r="B526" s="757"/>
      <c r="C526" s="757"/>
      <c r="D526" s="757"/>
      <c r="E526" s="757"/>
      <c r="F526" s="757"/>
      <c r="G526" s="757"/>
      <c r="H526" s="757"/>
      <c r="I526" s="757"/>
      <c r="J526" s="775"/>
      <c r="K526" s="757"/>
    </row>
    <row r="527">
      <c r="B527" s="757"/>
      <c r="C527" s="757"/>
      <c r="D527" s="757"/>
      <c r="E527" s="757"/>
      <c r="F527" s="757"/>
      <c r="G527" s="757"/>
      <c r="H527" s="757"/>
      <c r="I527" s="757"/>
      <c r="J527" s="775"/>
      <c r="K527" s="757"/>
    </row>
    <row r="528">
      <c r="B528" s="757"/>
      <c r="C528" s="757"/>
      <c r="D528" s="757"/>
      <c r="E528" s="757"/>
      <c r="F528" s="757"/>
      <c r="G528" s="757"/>
      <c r="H528" s="757"/>
      <c r="I528" s="757"/>
      <c r="J528" s="775"/>
      <c r="K528" s="757"/>
    </row>
    <row r="529">
      <c r="B529" s="757"/>
      <c r="C529" s="757"/>
      <c r="D529" s="757"/>
      <c r="E529" s="757"/>
      <c r="F529" s="757"/>
      <c r="G529" s="757"/>
      <c r="H529" s="757"/>
      <c r="I529" s="757"/>
      <c r="J529" s="775"/>
      <c r="K529" s="757"/>
    </row>
    <row r="530">
      <c r="B530" s="757"/>
      <c r="C530" s="757"/>
      <c r="D530" s="757"/>
      <c r="E530" s="757"/>
      <c r="F530" s="757"/>
      <c r="G530" s="757"/>
      <c r="H530" s="757"/>
      <c r="I530" s="757"/>
      <c r="J530" s="775"/>
      <c r="K530" s="757"/>
    </row>
    <row r="531">
      <c r="B531" s="757"/>
      <c r="C531" s="757"/>
      <c r="D531" s="757"/>
      <c r="E531" s="757"/>
      <c r="F531" s="757"/>
      <c r="G531" s="757"/>
      <c r="H531" s="757"/>
      <c r="I531" s="757"/>
      <c r="J531" s="775"/>
      <c r="K531" s="757"/>
    </row>
    <row r="532">
      <c r="B532" s="757"/>
      <c r="C532" s="757"/>
      <c r="D532" s="757"/>
      <c r="E532" s="757"/>
      <c r="F532" s="757"/>
      <c r="G532" s="757"/>
      <c r="H532" s="757"/>
      <c r="I532" s="757"/>
      <c r="J532" s="775"/>
      <c r="K532" s="757"/>
    </row>
    <row r="533">
      <c r="B533" s="757"/>
      <c r="C533" s="757"/>
      <c r="D533" s="757"/>
      <c r="E533" s="757"/>
      <c r="F533" s="757"/>
      <c r="G533" s="757"/>
      <c r="H533" s="757"/>
      <c r="I533" s="757"/>
      <c r="J533" s="775"/>
      <c r="K533" s="757"/>
    </row>
    <row r="534">
      <c r="B534" s="757"/>
      <c r="C534" s="757"/>
      <c r="D534" s="757"/>
      <c r="E534" s="757"/>
      <c r="F534" s="757"/>
      <c r="G534" s="757"/>
      <c r="H534" s="757"/>
      <c r="I534" s="757"/>
      <c r="J534" s="775"/>
      <c r="K534" s="757"/>
    </row>
    <row r="535">
      <c r="B535" s="757"/>
      <c r="C535" s="757"/>
      <c r="D535" s="757"/>
      <c r="E535" s="757"/>
      <c r="F535" s="757"/>
      <c r="G535" s="757"/>
      <c r="H535" s="757"/>
      <c r="I535" s="757"/>
      <c r="J535" s="775"/>
      <c r="K535" s="757"/>
    </row>
    <row r="536">
      <c r="B536" s="757"/>
      <c r="C536" s="757"/>
      <c r="D536" s="757"/>
      <c r="E536" s="757"/>
      <c r="F536" s="757"/>
      <c r="G536" s="757"/>
      <c r="H536" s="757"/>
      <c r="I536" s="757"/>
      <c r="J536" s="775"/>
      <c r="K536" s="757"/>
    </row>
    <row r="537">
      <c r="B537" s="757"/>
      <c r="C537" s="757"/>
      <c r="D537" s="757"/>
      <c r="E537" s="757"/>
      <c r="F537" s="757"/>
      <c r="G537" s="757"/>
      <c r="H537" s="757"/>
      <c r="I537" s="757"/>
      <c r="J537" s="775"/>
      <c r="K537" s="757"/>
    </row>
    <row r="538">
      <c r="B538" s="757"/>
      <c r="C538" s="757"/>
      <c r="D538" s="757"/>
      <c r="E538" s="757"/>
      <c r="F538" s="757"/>
      <c r="G538" s="757"/>
      <c r="H538" s="757"/>
      <c r="I538" s="757"/>
      <c r="J538" s="775"/>
      <c r="K538" s="757"/>
    </row>
    <row r="539">
      <c r="B539" s="757"/>
      <c r="C539" s="757"/>
      <c r="D539" s="757"/>
      <c r="E539" s="757"/>
      <c r="F539" s="757"/>
      <c r="G539" s="757"/>
      <c r="H539" s="757"/>
      <c r="I539" s="757"/>
      <c r="J539" s="775"/>
      <c r="K539" s="757"/>
    </row>
    <row r="540">
      <c r="B540" s="757"/>
      <c r="C540" s="757"/>
      <c r="D540" s="757"/>
      <c r="E540" s="757"/>
      <c r="F540" s="757"/>
      <c r="G540" s="757"/>
      <c r="H540" s="757"/>
      <c r="I540" s="757"/>
      <c r="J540" s="775"/>
      <c r="K540" s="757"/>
    </row>
    <row r="541">
      <c r="B541" s="757"/>
      <c r="C541" s="757"/>
      <c r="D541" s="757"/>
      <c r="E541" s="757"/>
      <c r="F541" s="757"/>
      <c r="G541" s="757"/>
      <c r="H541" s="757"/>
      <c r="I541" s="757"/>
      <c r="J541" s="775"/>
      <c r="K541" s="757"/>
    </row>
    <row r="542">
      <c r="B542" s="757"/>
      <c r="C542" s="757"/>
      <c r="D542" s="757"/>
      <c r="E542" s="757"/>
      <c r="F542" s="757"/>
      <c r="G542" s="757"/>
      <c r="H542" s="757"/>
      <c r="I542" s="757"/>
      <c r="J542" s="775"/>
      <c r="K542" s="757"/>
    </row>
    <row r="543">
      <c r="B543" s="757"/>
      <c r="C543" s="757"/>
      <c r="D543" s="757"/>
      <c r="E543" s="757"/>
      <c r="F543" s="757"/>
      <c r="G543" s="757"/>
      <c r="H543" s="757"/>
      <c r="I543" s="757"/>
      <c r="J543" s="775"/>
      <c r="K543" s="757"/>
    </row>
    <row r="544">
      <c r="B544" s="757"/>
      <c r="C544" s="757"/>
      <c r="D544" s="757"/>
      <c r="E544" s="757"/>
      <c r="F544" s="757"/>
      <c r="G544" s="757"/>
      <c r="H544" s="757"/>
      <c r="I544" s="757"/>
      <c r="J544" s="775"/>
      <c r="K544" s="757"/>
    </row>
    <row r="545">
      <c r="B545" s="757"/>
      <c r="C545" s="757"/>
      <c r="D545" s="757"/>
      <c r="E545" s="757"/>
      <c r="F545" s="757"/>
      <c r="G545" s="757"/>
      <c r="H545" s="757"/>
      <c r="I545" s="757"/>
      <c r="J545" s="775"/>
      <c r="K545" s="757"/>
    </row>
    <row r="546">
      <c r="B546" s="757"/>
      <c r="C546" s="757"/>
      <c r="D546" s="757"/>
      <c r="E546" s="757"/>
      <c r="F546" s="757"/>
      <c r="G546" s="757"/>
      <c r="H546" s="757"/>
      <c r="I546" s="757"/>
      <c r="J546" s="775"/>
      <c r="K546" s="757"/>
    </row>
    <row r="547">
      <c r="B547" s="757"/>
      <c r="C547" s="757"/>
      <c r="D547" s="757"/>
      <c r="E547" s="757"/>
      <c r="F547" s="757"/>
      <c r="G547" s="757"/>
      <c r="H547" s="757"/>
      <c r="I547" s="757"/>
      <c r="J547" s="775"/>
      <c r="K547" s="757"/>
    </row>
    <row r="548">
      <c r="B548" s="757"/>
      <c r="C548" s="757"/>
      <c r="D548" s="757"/>
      <c r="E548" s="757"/>
      <c r="F548" s="757"/>
      <c r="G548" s="757"/>
      <c r="H548" s="757"/>
      <c r="I548" s="757"/>
      <c r="J548" s="775"/>
      <c r="K548" s="757"/>
    </row>
    <row r="549">
      <c r="B549" s="757"/>
      <c r="C549" s="757"/>
      <c r="D549" s="757"/>
      <c r="E549" s="757"/>
      <c r="F549" s="757"/>
      <c r="G549" s="757"/>
      <c r="H549" s="757"/>
      <c r="I549" s="757"/>
      <c r="J549" s="775"/>
      <c r="K549" s="757"/>
    </row>
    <row r="550">
      <c r="B550" s="757"/>
      <c r="C550" s="757"/>
      <c r="D550" s="757"/>
      <c r="E550" s="757"/>
      <c r="F550" s="757"/>
      <c r="G550" s="757"/>
      <c r="H550" s="757"/>
      <c r="I550" s="757"/>
      <c r="J550" s="775"/>
      <c r="K550" s="757"/>
    </row>
    <row r="551">
      <c r="B551" s="757"/>
      <c r="C551" s="757"/>
      <c r="D551" s="757"/>
      <c r="E551" s="757"/>
      <c r="F551" s="757"/>
      <c r="G551" s="757"/>
      <c r="H551" s="757"/>
      <c r="I551" s="757"/>
      <c r="J551" s="775"/>
      <c r="K551" s="757"/>
    </row>
    <row r="552">
      <c r="B552" s="757"/>
      <c r="C552" s="757"/>
      <c r="D552" s="757"/>
      <c r="E552" s="757"/>
      <c r="F552" s="757"/>
      <c r="G552" s="757"/>
      <c r="H552" s="757"/>
      <c r="I552" s="757"/>
      <c r="J552" s="775"/>
      <c r="K552" s="757"/>
    </row>
    <row r="553">
      <c r="B553" s="757"/>
      <c r="C553" s="757"/>
      <c r="D553" s="757"/>
      <c r="E553" s="757"/>
      <c r="F553" s="757"/>
      <c r="G553" s="757"/>
      <c r="H553" s="757"/>
      <c r="I553" s="757"/>
      <c r="J553" s="775"/>
      <c r="K553" s="757"/>
    </row>
    <row r="554">
      <c r="B554" s="757"/>
      <c r="C554" s="757"/>
      <c r="D554" s="757"/>
      <c r="E554" s="757"/>
      <c r="F554" s="757"/>
      <c r="G554" s="757"/>
      <c r="H554" s="757"/>
      <c r="I554" s="757"/>
      <c r="J554" s="775"/>
      <c r="K554" s="757"/>
    </row>
    <row r="555">
      <c r="B555" s="757"/>
      <c r="C555" s="757"/>
      <c r="D555" s="757"/>
      <c r="E555" s="757"/>
      <c r="F555" s="757"/>
      <c r="G555" s="757"/>
      <c r="H555" s="757"/>
      <c r="I555" s="757"/>
      <c r="J555" s="775"/>
      <c r="K555" s="757"/>
    </row>
    <row r="556">
      <c r="B556" s="757"/>
      <c r="C556" s="757"/>
      <c r="D556" s="757"/>
      <c r="E556" s="757"/>
      <c r="F556" s="757"/>
      <c r="G556" s="757"/>
      <c r="H556" s="757"/>
      <c r="I556" s="757"/>
      <c r="J556" s="775"/>
      <c r="K556" s="757"/>
    </row>
    <row r="557">
      <c r="B557" s="757"/>
      <c r="C557" s="757"/>
      <c r="D557" s="757"/>
      <c r="E557" s="757"/>
      <c r="F557" s="757"/>
      <c r="G557" s="757"/>
      <c r="H557" s="757"/>
      <c r="I557" s="757"/>
      <c r="J557" s="775"/>
      <c r="K557" s="757"/>
    </row>
    <row r="558">
      <c r="B558" s="757"/>
      <c r="C558" s="757"/>
      <c r="D558" s="757"/>
      <c r="E558" s="757"/>
      <c r="F558" s="757"/>
      <c r="G558" s="757"/>
      <c r="H558" s="757"/>
      <c r="I558" s="757"/>
      <c r="J558" s="775"/>
      <c r="K558" s="757"/>
    </row>
    <row r="559">
      <c r="B559" s="757"/>
      <c r="C559" s="757"/>
      <c r="D559" s="757"/>
      <c r="E559" s="757"/>
      <c r="F559" s="757"/>
      <c r="G559" s="757"/>
      <c r="H559" s="757"/>
      <c r="I559" s="757"/>
      <c r="J559" s="775"/>
      <c r="K559" s="757"/>
    </row>
    <row r="560">
      <c r="B560" s="757"/>
      <c r="C560" s="757"/>
      <c r="D560" s="757"/>
      <c r="E560" s="757"/>
      <c r="F560" s="757"/>
      <c r="G560" s="757"/>
      <c r="H560" s="757"/>
      <c r="I560" s="757"/>
      <c r="J560" s="775"/>
      <c r="K560" s="757"/>
    </row>
    <row r="561">
      <c r="B561" s="757"/>
      <c r="C561" s="757"/>
      <c r="D561" s="757"/>
      <c r="E561" s="757"/>
      <c r="F561" s="757"/>
      <c r="G561" s="757"/>
      <c r="H561" s="757"/>
      <c r="I561" s="757"/>
      <c r="J561" s="775"/>
      <c r="K561" s="757"/>
    </row>
    <row r="562">
      <c r="B562" s="757"/>
      <c r="C562" s="757"/>
      <c r="D562" s="757"/>
      <c r="E562" s="757"/>
      <c r="F562" s="757"/>
      <c r="G562" s="757"/>
      <c r="H562" s="757"/>
      <c r="I562" s="757"/>
      <c r="J562" s="775"/>
      <c r="K562" s="757"/>
    </row>
    <row r="563">
      <c r="B563" s="757"/>
      <c r="C563" s="757"/>
      <c r="D563" s="757"/>
      <c r="E563" s="757"/>
      <c r="F563" s="757"/>
      <c r="G563" s="757"/>
      <c r="H563" s="757"/>
      <c r="I563" s="757"/>
      <c r="J563" s="775"/>
      <c r="K563" s="757"/>
    </row>
    <row r="564">
      <c r="B564" s="757"/>
      <c r="C564" s="757"/>
      <c r="D564" s="757"/>
      <c r="E564" s="757"/>
      <c r="F564" s="757"/>
      <c r="G564" s="757"/>
      <c r="H564" s="757"/>
      <c r="I564" s="757"/>
      <c r="J564" s="775"/>
      <c r="K564" s="757"/>
    </row>
    <row r="565">
      <c r="B565" s="757"/>
      <c r="C565" s="757"/>
      <c r="D565" s="757"/>
      <c r="E565" s="757"/>
      <c r="F565" s="757"/>
      <c r="G565" s="757"/>
      <c r="H565" s="757"/>
      <c r="I565" s="757"/>
      <c r="J565" s="775"/>
      <c r="K565" s="757"/>
    </row>
    <row r="566">
      <c r="B566" s="757"/>
      <c r="C566" s="757"/>
      <c r="D566" s="757"/>
      <c r="E566" s="757"/>
      <c r="F566" s="757"/>
      <c r="G566" s="757"/>
      <c r="H566" s="757"/>
      <c r="I566" s="757"/>
      <c r="J566" s="775"/>
      <c r="K566" s="757"/>
    </row>
    <row r="567">
      <c r="B567" s="757"/>
      <c r="C567" s="757"/>
      <c r="D567" s="757"/>
      <c r="E567" s="757"/>
      <c r="F567" s="757"/>
      <c r="G567" s="757"/>
      <c r="H567" s="757"/>
      <c r="I567" s="757"/>
      <c r="J567" s="775"/>
      <c r="K567" s="757"/>
    </row>
    <row r="568">
      <c r="B568" s="757"/>
      <c r="C568" s="757"/>
      <c r="D568" s="757"/>
      <c r="E568" s="757"/>
      <c r="F568" s="757"/>
      <c r="G568" s="757"/>
      <c r="H568" s="757"/>
      <c r="I568" s="757"/>
      <c r="J568" s="775"/>
      <c r="K568" s="757"/>
    </row>
    <row r="569">
      <c r="B569" s="757"/>
      <c r="C569" s="757"/>
      <c r="D569" s="757"/>
      <c r="E569" s="757"/>
      <c r="F569" s="757"/>
      <c r="G569" s="757"/>
      <c r="H569" s="757"/>
      <c r="I569" s="757"/>
      <c r="J569" s="775"/>
      <c r="K569" s="757"/>
    </row>
    <row r="570">
      <c r="B570" s="757"/>
      <c r="C570" s="757"/>
      <c r="D570" s="757"/>
      <c r="E570" s="757"/>
      <c r="F570" s="757"/>
      <c r="G570" s="757"/>
      <c r="H570" s="757"/>
      <c r="I570" s="757"/>
      <c r="J570" s="775"/>
      <c r="K570" s="757"/>
    </row>
    <row r="571">
      <c r="B571" s="757"/>
      <c r="C571" s="757"/>
      <c r="D571" s="757"/>
      <c r="E571" s="757"/>
      <c r="F571" s="757"/>
      <c r="G571" s="757"/>
      <c r="H571" s="757"/>
      <c r="I571" s="757"/>
      <c r="J571" s="775"/>
      <c r="K571" s="757"/>
    </row>
    <row r="572">
      <c r="B572" s="757"/>
      <c r="C572" s="757"/>
      <c r="D572" s="757"/>
      <c r="E572" s="757"/>
      <c r="F572" s="757"/>
      <c r="G572" s="757"/>
      <c r="H572" s="757"/>
      <c r="I572" s="757"/>
      <c r="J572" s="775"/>
      <c r="K572" s="757"/>
    </row>
    <row r="573">
      <c r="B573" s="757"/>
      <c r="C573" s="757"/>
      <c r="D573" s="757"/>
      <c r="E573" s="757"/>
      <c r="F573" s="757"/>
      <c r="G573" s="757"/>
      <c r="H573" s="757"/>
      <c r="I573" s="757"/>
      <c r="J573" s="775"/>
      <c r="K573" s="757"/>
    </row>
    <row r="574">
      <c r="B574" s="757"/>
      <c r="C574" s="757"/>
      <c r="D574" s="757"/>
      <c r="E574" s="757"/>
      <c r="F574" s="757"/>
      <c r="G574" s="757"/>
      <c r="H574" s="757"/>
      <c r="I574" s="757"/>
      <c r="J574" s="775"/>
      <c r="K574" s="757"/>
    </row>
    <row r="575">
      <c r="B575" s="757"/>
      <c r="C575" s="757"/>
      <c r="D575" s="757"/>
      <c r="E575" s="757"/>
      <c r="F575" s="757"/>
      <c r="G575" s="757"/>
      <c r="H575" s="757"/>
      <c r="I575" s="757"/>
      <c r="J575" s="775"/>
      <c r="K575" s="757"/>
    </row>
    <row r="576">
      <c r="B576" s="757"/>
      <c r="C576" s="757"/>
      <c r="D576" s="757"/>
      <c r="E576" s="757"/>
      <c r="F576" s="757"/>
      <c r="G576" s="757"/>
      <c r="H576" s="757"/>
      <c r="I576" s="757"/>
      <c r="J576" s="775"/>
      <c r="K576" s="757"/>
    </row>
    <row r="577">
      <c r="B577" s="757"/>
      <c r="C577" s="757"/>
      <c r="D577" s="757"/>
      <c r="E577" s="757"/>
      <c r="F577" s="757"/>
      <c r="G577" s="757"/>
      <c r="H577" s="757"/>
      <c r="I577" s="757"/>
      <c r="J577" s="775"/>
      <c r="K577" s="757"/>
    </row>
    <row r="578">
      <c r="B578" s="757"/>
      <c r="C578" s="757"/>
      <c r="D578" s="757"/>
      <c r="E578" s="757"/>
      <c r="F578" s="757"/>
      <c r="G578" s="757"/>
      <c r="H578" s="757"/>
      <c r="I578" s="757"/>
      <c r="J578" s="775"/>
      <c r="K578" s="757"/>
    </row>
    <row r="579">
      <c r="B579" s="757"/>
      <c r="C579" s="757"/>
      <c r="D579" s="757"/>
      <c r="E579" s="757"/>
      <c r="F579" s="757"/>
      <c r="G579" s="757"/>
      <c r="H579" s="757"/>
      <c r="I579" s="757"/>
      <c r="J579" s="775"/>
      <c r="K579" s="757"/>
    </row>
    <row r="580">
      <c r="B580" s="757"/>
      <c r="C580" s="757"/>
      <c r="D580" s="757"/>
      <c r="E580" s="757"/>
      <c r="F580" s="757"/>
      <c r="G580" s="757"/>
      <c r="H580" s="757"/>
      <c r="I580" s="757"/>
      <c r="J580" s="775"/>
      <c r="K580" s="757"/>
    </row>
    <row r="581">
      <c r="B581" s="757"/>
      <c r="C581" s="757"/>
      <c r="D581" s="757"/>
      <c r="E581" s="757"/>
      <c r="F581" s="757"/>
      <c r="G581" s="757"/>
      <c r="H581" s="757"/>
      <c r="I581" s="757"/>
      <c r="J581" s="775"/>
      <c r="K581" s="757"/>
    </row>
    <row r="582">
      <c r="B582" s="757"/>
      <c r="C582" s="757"/>
      <c r="D582" s="757"/>
      <c r="E582" s="757"/>
      <c r="F582" s="757"/>
      <c r="G582" s="757"/>
      <c r="H582" s="757"/>
      <c r="I582" s="757"/>
      <c r="J582" s="775"/>
      <c r="K582" s="757"/>
    </row>
    <row r="583">
      <c r="B583" s="757"/>
      <c r="C583" s="757"/>
      <c r="D583" s="757"/>
      <c r="E583" s="757"/>
      <c r="F583" s="757"/>
      <c r="G583" s="757"/>
      <c r="H583" s="757"/>
      <c r="I583" s="757"/>
      <c r="J583" s="775"/>
      <c r="K583" s="757"/>
    </row>
    <row r="584">
      <c r="B584" s="757"/>
      <c r="C584" s="757"/>
      <c r="D584" s="757"/>
      <c r="E584" s="757"/>
      <c r="F584" s="757"/>
      <c r="G584" s="757"/>
      <c r="H584" s="757"/>
      <c r="I584" s="757"/>
      <c r="J584" s="775"/>
      <c r="K584" s="757"/>
    </row>
    <row r="585">
      <c r="B585" s="757"/>
      <c r="C585" s="757"/>
      <c r="D585" s="757"/>
      <c r="E585" s="757"/>
      <c r="F585" s="757"/>
      <c r="G585" s="757"/>
      <c r="H585" s="757"/>
      <c r="I585" s="757"/>
      <c r="J585" s="775"/>
      <c r="K585" s="757"/>
    </row>
    <row r="586">
      <c r="B586" s="757"/>
      <c r="C586" s="757"/>
      <c r="D586" s="757"/>
      <c r="E586" s="757"/>
      <c r="F586" s="757"/>
      <c r="G586" s="757"/>
      <c r="H586" s="757"/>
      <c r="I586" s="757"/>
      <c r="J586" s="775"/>
      <c r="K586" s="757"/>
    </row>
    <row r="587">
      <c r="B587" s="757"/>
      <c r="C587" s="757"/>
      <c r="D587" s="757"/>
      <c r="E587" s="757"/>
      <c r="F587" s="757"/>
      <c r="G587" s="757"/>
      <c r="H587" s="757"/>
      <c r="I587" s="757"/>
      <c r="J587" s="775"/>
      <c r="K587" s="757"/>
    </row>
    <row r="588">
      <c r="B588" s="757"/>
      <c r="C588" s="757"/>
      <c r="D588" s="757"/>
      <c r="E588" s="757"/>
      <c r="F588" s="757"/>
      <c r="G588" s="757"/>
      <c r="H588" s="757"/>
      <c r="I588" s="757"/>
      <c r="J588" s="775"/>
      <c r="K588" s="757"/>
    </row>
    <row r="589">
      <c r="B589" s="757"/>
      <c r="C589" s="757"/>
      <c r="D589" s="757"/>
      <c r="E589" s="757"/>
      <c r="F589" s="757"/>
      <c r="G589" s="757"/>
      <c r="H589" s="757"/>
      <c r="I589" s="757"/>
      <c r="J589" s="775"/>
      <c r="K589" s="757"/>
    </row>
    <row r="590">
      <c r="B590" s="757"/>
      <c r="C590" s="757"/>
      <c r="D590" s="757"/>
      <c r="E590" s="757"/>
      <c r="F590" s="757"/>
      <c r="G590" s="757"/>
      <c r="H590" s="757"/>
      <c r="I590" s="757"/>
      <c r="J590" s="775"/>
      <c r="K590" s="757"/>
    </row>
    <row r="591">
      <c r="B591" s="757"/>
      <c r="C591" s="757"/>
      <c r="D591" s="757"/>
      <c r="E591" s="757"/>
      <c r="F591" s="757"/>
      <c r="G591" s="757"/>
      <c r="H591" s="757"/>
      <c r="I591" s="757"/>
      <c r="J591" s="775"/>
      <c r="K591" s="757"/>
    </row>
    <row r="592">
      <c r="B592" s="757"/>
      <c r="C592" s="757"/>
      <c r="D592" s="757"/>
      <c r="E592" s="757"/>
      <c r="F592" s="757"/>
      <c r="G592" s="757"/>
      <c r="H592" s="757"/>
      <c r="I592" s="757"/>
      <c r="J592" s="775"/>
      <c r="K592" s="757"/>
    </row>
    <row r="593">
      <c r="B593" s="757"/>
      <c r="C593" s="757"/>
      <c r="D593" s="757"/>
      <c r="E593" s="757"/>
      <c r="F593" s="757"/>
      <c r="G593" s="757"/>
      <c r="H593" s="757"/>
      <c r="I593" s="757"/>
      <c r="J593" s="775"/>
      <c r="K593" s="757"/>
    </row>
    <row r="594">
      <c r="B594" s="757"/>
      <c r="C594" s="757"/>
      <c r="D594" s="757"/>
      <c r="E594" s="757"/>
      <c r="F594" s="757"/>
      <c r="G594" s="757"/>
      <c r="H594" s="757"/>
      <c r="I594" s="757"/>
      <c r="J594" s="775"/>
      <c r="K594" s="757"/>
    </row>
    <row r="595">
      <c r="B595" s="757"/>
      <c r="C595" s="757"/>
      <c r="D595" s="757"/>
      <c r="E595" s="757"/>
      <c r="F595" s="757"/>
      <c r="G595" s="757"/>
      <c r="H595" s="757"/>
      <c r="I595" s="757"/>
      <c r="J595" s="775"/>
      <c r="K595" s="757"/>
    </row>
    <row r="596">
      <c r="B596" s="757"/>
      <c r="C596" s="757"/>
      <c r="D596" s="757"/>
      <c r="E596" s="757"/>
      <c r="F596" s="757"/>
      <c r="G596" s="757"/>
      <c r="H596" s="757"/>
      <c r="I596" s="757"/>
      <c r="J596" s="775"/>
      <c r="K596" s="757"/>
    </row>
    <row r="597">
      <c r="B597" s="757"/>
      <c r="C597" s="757"/>
      <c r="D597" s="757"/>
      <c r="E597" s="757"/>
      <c r="F597" s="757"/>
      <c r="G597" s="757"/>
      <c r="H597" s="757"/>
      <c r="I597" s="757"/>
      <c r="J597" s="775"/>
      <c r="K597" s="757"/>
    </row>
    <row r="598">
      <c r="B598" s="757"/>
      <c r="C598" s="757"/>
      <c r="D598" s="757"/>
      <c r="E598" s="757"/>
      <c r="F598" s="757"/>
      <c r="G598" s="757"/>
      <c r="H598" s="757"/>
      <c r="I598" s="757"/>
      <c r="J598" s="775"/>
      <c r="K598" s="757"/>
    </row>
    <row r="599">
      <c r="B599" s="757"/>
      <c r="C599" s="757"/>
      <c r="D599" s="757"/>
      <c r="E599" s="757"/>
      <c r="F599" s="757"/>
      <c r="G599" s="757"/>
      <c r="H599" s="757"/>
      <c r="I599" s="757"/>
      <c r="J599" s="775"/>
      <c r="K599" s="757"/>
    </row>
    <row r="600">
      <c r="B600" s="757"/>
      <c r="C600" s="757"/>
      <c r="D600" s="757"/>
      <c r="E600" s="757"/>
      <c r="F600" s="757"/>
      <c r="G600" s="757"/>
      <c r="H600" s="757"/>
      <c r="I600" s="757"/>
      <c r="J600" s="775"/>
      <c r="K600" s="757"/>
    </row>
    <row r="601">
      <c r="B601" s="757"/>
      <c r="C601" s="757"/>
      <c r="D601" s="757"/>
      <c r="E601" s="757"/>
      <c r="F601" s="757"/>
      <c r="G601" s="757"/>
      <c r="H601" s="757"/>
      <c r="I601" s="757"/>
      <c r="J601" s="775"/>
      <c r="K601" s="757"/>
    </row>
    <row r="602">
      <c r="B602" s="757"/>
      <c r="C602" s="757"/>
      <c r="D602" s="757"/>
      <c r="E602" s="757"/>
      <c r="F602" s="757"/>
      <c r="G602" s="757"/>
      <c r="H602" s="757"/>
      <c r="I602" s="757"/>
      <c r="J602" s="775"/>
      <c r="K602" s="757"/>
    </row>
    <row r="603">
      <c r="B603" s="757"/>
      <c r="C603" s="757"/>
      <c r="D603" s="757"/>
      <c r="E603" s="757"/>
      <c r="F603" s="757"/>
      <c r="G603" s="757"/>
      <c r="H603" s="757"/>
      <c r="I603" s="757"/>
      <c r="J603" s="775"/>
      <c r="K603" s="757"/>
    </row>
    <row r="604">
      <c r="B604" s="757"/>
      <c r="C604" s="757"/>
      <c r="D604" s="757"/>
      <c r="E604" s="757"/>
      <c r="F604" s="757"/>
      <c r="G604" s="757"/>
      <c r="H604" s="757"/>
      <c r="I604" s="757"/>
      <c r="J604" s="775"/>
      <c r="K604" s="757"/>
    </row>
    <row r="605">
      <c r="B605" s="757"/>
      <c r="C605" s="757"/>
      <c r="D605" s="757"/>
      <c r="E605" s="757"/>
      <c r="F605" s="757"/>
      <c r="G605" s="757"/>
      <c r="H605" s="757"/>
      <c r="I605" s="757"/>
      <c r="J605" s="775"/>
      <c r="K605" s="757"/>
    </row>
    <row r="606">
      <c r="B606" s="757"/>
      <c r="C606" s="757"/>
      <c r="D606" s="757"/>
      <c r="E606" s="757"/>
      <c r="F606" s="757"/>
      <c r="G606" s="757"/>
      <c r="H606" s="757"/>
      <c r="I606" s="757"/>
      <c r="J606" s="775"/>
      <c r="K606" s="757"/>
    </row>
    <row r="607">
      <c r="B607" s="757"/>
      <c r="C607" s="757"/>
      <c r="D607" s="757"/>
      <c r="E607" s="757"/>
      <c r="F607" s="757"/>
      <c r="G607" s="757"/>
      <c r="H607" s="757"/>
      <c r="I607" s="757"/>
      <c r="J607" s="775"/>
      <c r="K607" s="757"/>
    </row>
    <row r="608">
      <c r="B608" s="757"/>
      <c r="C608" s="757"/>
      <c r="D608" s="757"/>
      <c r="E608" s="757"/>
      <c r="F608" s="757"/>
      <c r="G608" s="757"/>
      <c r="H608" s="757"/>
      <c r="I608" s="757"/>
      <c r="J608" s="775"/>
      <c r="K608" s="757"/>
    </row>
    <row r="609">
      <c r="B609" s="757"/>
      <c r="C609" s="757"/>
      <c r="D609" s="757"/>
      <c r="E609" s="757"/>
      <c r="F609" s="757"/>
      <c r="G609" s="757"/>
      <c r="H609" s="757"/>
      <c r="I609" s="757"/>
      <c r="J609" s="775"/>
      <c r="K609" s="757"/>
    </row>
    <row r="610">
      <c r="B610" s="757"/>
      <c r="C610" s="757"/>
      <c r="D610" s="757"/>
      <c r="E610" s="757"/>
      <c r="F610" s="757"/>
      <c r="G610" s="757"/>
      <c r="H610" s="757"/>
      <c r="I610" s="757"/>
      <c r="J610" s="775"/>
      <c r="K610" s="757"/>
    </row>
    <row r="611">
      <c r="B611" s="757"/>
      <c r="C611" s="757"/>
      <c r="D611" s="757"/>
      <c r="E611" s="757"/>
      <c r="F611" s="757"/>
      <c r="G611" s="757"/>
      <c r="H611" s="757"/>
      <c r="I611" s="757"/>
      <c r="J611" s="775"/>
      <c r="K611" s="757"/>
    </row>
    <row r="612">
      <c r="B612" s="757"/>
      <c r="C612" s="757"/>
      <c r="D612" s="757"/>
      <c r="E612" s="757"/>
      <c r="F612" s="757"/>
      <c r="G612" s="757"/>
      <c r="H612" s="757"/>
      <c r="I612" s="757"/>
      <c r="J612" s="775"/>
      <c r="K612" s="757"/>
    </row>
    <row r="613">
      <c r="B613" s="757"/>
      <c r="C613" s="757"/>
      <c r="D613" s="757"/>
      <c r="E613" s="757"/>
      <c r="F613" s="757"/>
      <c r="G613" s="757"/>
      <c r="H613" s="757"/>
      <c r="I613" s="757"/>
      <c r="J613" s="775"/>
      <c r="K613" s="757"/>
    </row>
    <row r="614">
      <c r="B614" s="757"/>
      <c r="C614" s="757"/>
      <c r="D614" s="757"/>
      <c r="E614" s="757"/>
      <c r="F614" s="757"/>
      <c r="G614" s="757"/>
      <c r="H614" s="757"/>
      <c r="I614" s="757"/>
      <c r="J614" s="775"/>
      <c r="K614" s="757"/>
    </row>
    <row r="615">
      <c r="B615" s="757"/>
      <c r="C615" s="757"/>
      <c r="D615" s="757"/>
      <c r="E615" s="757"/>
      <c r="F615" s="757"/>
      <c r="G615" s="757"/>
      <c r="H615" s="757"/>
      <c r="I615" s="757"/>
      <c r="J615" s="775"/>
      <c r="K615" s="757"/>
    </row>
    <row r="616">
      <c r="B616" s="757"/>
      <c r="C616" s="757"/>
      <c r="D616" s="757"/>
      <c r="E616" s="757"/>
      <c r="F616" s="757"/>
      <c r="G616" s="757"/>
      <c r="H616" s="757"/>
      <c r="I616" s="757"/>
      <c r="J616" s="775"/>
      <c r="K616" s="757"/>
    </row>
    <row r="617">
      <c r="B617" s="757"/>
      <c r="C617" s="757"/>
      <c r="D617" s="757"/>
      <c r="E617" s="757"/>
      <c r="F617" s="757"/>
      <c r="G617" s="757"/>
      <c r="H617" s="757"/>
      <c r="I617" s="757"/>
      <c r="J617" s="775"/>
      <c r="K617" s="757"/>
    </row>
    <row r="618">
      <c r="B618" s="757"/>
      <c r="C618" s="757"/>
      <c r="D618" s="757"/>
      <c r="E618" s="757"/>
      <c r="F618" s="757"/>
      <c r="G618" s="757"/>
      <c r="H618" s="757"/>
      <c r="I618" s="757"/>
      <c r="J618" s="775"/>
      <c r="K618" s="757"/>
    </row>
    <row r="619">
      <c r="B619" s="757"/>
      <c r="C619" s="757"/>
      <c r="D619" s="757"/>
      <c r="E619" s="757"/>
      <c r="F619" s="757"/>
      <c r="G619" s="757"/>
      <c r="H619" s="757"/>
      <c r="I619" s="757"/>
      <c r="J619" s="775"/>
      <c r="K619" s="757"/>
    </row>
    <row r="620">
      <c r="B620" s="757"/>
      <c r="C620" s="757"/>
      <c r="D620" s="757"/>
      <c r="E620" s="757"/>
      <c r="F620" s="757"/>
      <c r="G620" s="757"/>
      <c r="H620" s="757"/>
      <c r="I620" s="757"/>
      <c r="J620" s="775"/>
      <c r="K620" s="757"/>
    </row>
    <row r="621">
      <c r="B621" s="757"/>
      <c r="C621" s="757"/>
      <c r="D621" s="757"/>
      <c r="E621" s="757"/>
      <c r="F621" s="757"/>
      <c r="G621" s="757"/>
      <c r="H621" s="757"/>
      <c r="I621" s="757"/>
      <c r="J621" s="775"/>
      <c r="K621" s="757"/>
    </row>
    <row r="622">
      <c r="B622" s="757"/>
      <c r="C622" s="757"/>
      <c r="D622" s="757"/>
      <c r="E622" s="757"/>
      <c r="F622" s="757"/>
      <c r="G622" s="757"/>
      <c r="H622" s="757"/>
      <c r="I622" s="757"/>
      <c r="J622" s="775"/>
      <c r="K622" s="757"/>
    </row>
    <row r="623">
      <c r="B623" s="757"/>
      <c r="C623" s="757"/>
      <c r="D623" s="757"/>
      <c r="E623" s="757"/>
      <c r="F623" s="757"/>
      <c r="G623" s="757"/>
      <c r="H623" s="757"/>
      <c r="I623" s="757"/>
      <c r="J623" s="775"/>
      <c r="K623" s="757"/>
    </row>
    <row r="624">
      <c r="B624" s="757"/>
      <c r="C624" s="757"/>
      <c r="D624" s="757"/>
      <c r="E624" s="757"/>
      <c r="F624" s="757"/>
      <c r="G624" s="757"/>
      <c r="H624" s="757"/>
      <c r="I624" s="757"/>
      <c r="J624" s="775"/>
      <c r="K624" s="757"/>
    </row>
    <row r="625">
      <c r="B625" s="757"/>
      <c r="C625" s="757"/>
      <c r="D625" s="757"/>
      <c r="E625" s="757"/>
      <c r="F625" s="757"/>
      <c r="G625" s="757"/>
      <c r="H625" s="757"/>
      <c r="I625" s="757"/>
      <c r="J625" s="775"/>
      <c r="K625" s="757"/>
    </row>
    <row r="626">
      <c r="B626" s="757"/>
      <c r="C626" s="757"/>
      <c r="D626" s="757"/>
      <c r="E626" s="757"/>
      <c r="F626" s="757"/>
      <c r="G626" s="757"/>
      <c r="H626" s="757"/>
      <c r="I626" s="757"/>
      <c r="J626" s="775"/>
      <c r="K626" s="757"/>
    </row>
    <row r="627">
      <c r="B627" s="757"/>
      <c r="C627" s="757"/>
      <c r="D627" s="757"/>
      <c r="E627" s="757"/>
      <c r="F627" s="757"/>
      <c r="G627" s="757"/>
      <c r="H627" s="757"/>
      <c r="I627" s="757"/>
      <c r="J627" s="775"/>
      <c r="K627" s="757"/>
    </row>
    <row r="628">
      <c r="B628" s="757"/>
      <c r="C628" s="757"/>
      <c r="D628" s="757"/>
      <c r="E628" s="757"/>
      <c r="F628" s="757"/>
      <c r="G628" s="757"/>
      <c r="H628" s="757"/>
      <c r="I628" s="757"/>
      <c r="J628" s="775"/>
      <c r="K628" s="757"/>
    </row>
    <row r="629">
      <c r="B629" s="757"/>
      <c r="C629" s="757"/>
      <c r="D629" s="757"/>
      <c r="E629" s="757"/>
      <c r="F629" s="757"/>
      <c r="G629" s="757"/>
      <c r="H629" s="757"/>
      <c r="I629" s="757"/>
      <c r="J629" s="775"/>
      <c r="K629" s="757"/>
    </row>
    <row r="630">
      <c r="B630" s="757"/>
      <c r="C630" s="757"/>
      <c r="D630" s="757"/>
      <c r="E630" s="757"/>
      <c r="F630" s="757"/>
      <c r="G630" s="757"/>
      <c r="H630" s="757"/>
      <c r="I630" s="757"/>
      <c r="J630" s="775"/>
      <c r="K630" s="757"/>
    </row>
    <row r="631">
      <c r="B631" s="757"/>
      <c r="C631" s="757"/>
      <c r="D631" s="757"/>
      <c r="E631" s="757"/>
      <c r="F631" s="757"/>
      <c r="G631" s="757"/>
      <c r="H631" s="757"/>
      <c r="I631" s="757"/>
      <c r="J631" s="775"/>
      <c r="K631" s="757"/>
    </row>
    <row r="632">
      <c r="B632" s="757"/>
      <c r="C632" s="757"/>
      <c r="D632" s="757"/>
      <c r="E632" s="757"/>
      <c r="F632" s="757"/>
      <c r="G632" s="757"/>
      <c r="H632" s="757"/>
      <c r="I632" s="757"/>
      <c r="J632" s="775"/>
      <c r="K632" s="757"/>
    </row>
    <row r="633">
      <c r="B633" s="757"/>
      <c r="C633" s="757"/>
      <c r="D633" s="757"/>
      <c r="E633" s="757"/>
      <c r="F633" s="757"/>
      <c r="G633" s="757"/>
      <c r="H633" s="757"/>
      <c r="I633" s="757"/>
      <c r="J633" s="775"/>
      <c r="K633" s="757"/>
    </row>
    <row r="634">
      <c r="B634" s="757"/>
      <c r="C634" s="757"/>
      <c r="D634" s="757"/>
      <c r="E634" s="757"/>
      <c r="F634" s="757"/>
      <c r="G634" s="757"/>
      <c r="H634" s="757"/>
      <c r="I634" s="757"/>
      <c r="J634" s="775"/>
      <c r="K634" s="757"/>
    </row>
    <row r="635">
      <c r="B635" s="757"/>
      <c r="C635" s="757"/>
      <c r="D635" s="757"/>
      <c r="E635" s="757"/>
      <c r="F635" s="757"/>
      <c r="G635" s="757"/>
      <c r="H635" s="757"/>
      <c r="I635" s="757"/>
      <c r="J635" s="775"/>
      <c r="K635" s="757"/>
    </row>
    <row r="636">
      <c r="B636" s="757"/>
      <c r="C636" s="757"/>
      <c r="D636" s="757"/>
      <c r="E636" s="757"/>
      <c r="F636" s="757"/>
      <c r="G636" s="757"/>
      <c r="H636" s="757"/>
      <c r="I636" s="757"/>
      <c r="J636" s="775"/>
      <c r="K636" s="757"/>
    </row>
    <row r="637">
      <c r="B637" s="757"/>
      <c r="C637" s="757"/>
      <c r="D637" s="757"/>
      <c r="E637" s="757"/>
      <c r="F637" s="757"/>
      <c r="G637" s="757"/>
      <c r="H637" s="757"/>
      <c r="I637" s="757"/>
      <c r="J637" s="775"/>
      <c r="K637" s="757"/>
    </row>
    <row r="638">
      <c r="B638" s="757"/>
      <c r="C638" s="757"/>
      <c r="D638" s="757"/>
      <c r="E638" s="757"/>
      <c r="F638" s="757"/>
      <c r="G638" s="757"/>
      <c r="H638" s="757"/>
      <c r="I638" s="757"/>
      <c r="J638" s="775"/>
      <c r="K638" s="757"/>
    </row>
    <row r="639">
      <c r="B639" s="757"/>
      <c r="C639" s="757"/>
      <c r="D639" s="757"/>
      <c r="E639" s="757"/>
      <c r="F639" s="757"/>
      <c r="G639" s="757"/>
      <c r="H639" s="757"/>
      <c r="I639" s="757"/>
      <c r="J639" s="775"/>
      <c r="K639" s="757"/>
    </row>
    <row r="640">
      <c r="B640" s="757"/>
      <c r="C640" s="757"/>
      <c r="D640" s="757"/>
      <c r="E640" s="757"/>
      <c r="F640" s="757"/>
      <c r="G640" s="757"/>
      <c r="H640" s="757"/>
      <c r="I640" s="757"/>
      <c r="J640" s="775"/>
      <c r="K640" s="757"/>
    </row>
    <row r="641">
      <c r="B641" s="757"/>
      <c r="C641" s="757"/>
      <c r="D641" s="757"/>
      <c r="E641" s="757"/>
      <c r="F641" s="757"/>
      <c r="G641" s="757"/>
      <c r="H641" s="757"/>
      <c r="I641" s="757"/>
      <c r="J641" s="775"/>
      <c r="K641" s="757"/>
    </row>
    <row r="642">
      <c r="B642" s="757"/>
      <c r="C642" s="757"/>
      <c r="D642" s="757"/>
      <c r="E642" s="757"/>
      <c r="F642" s="757"/>
      <c r="G642" s="757"/>
      <c r="H642" s="757"/>
      <c r="I642" s="757"/>
      <c r="J642" s="775"/>
      <c r="K642" s="757"/>
    </row>
    <row r="643">
      <c r="B643" s="757"/>
      <c r="C643" s="757"/>
      <c r="D643" s="757"/>
      <c r="E643" s="757"/>
      <c r="F643" s="757"/>
      <c r="G643" s="757"/>
      <c r="H643" s="757"/>
      <c r="I643" s="757"/>
      <c r="J643" s="775"/>
      <c r="K643" s="757"/>
    </row>
    <row r="644">
      <c r="B644" s="757"/>
      <c r="C644" s="757"/>
      <c r="D644" s="757"/>
      <c r="E644" s="757"/>
      <c r="F644" s="757"/>
      <c r="G644" s="757"/>
      <c r="H644" s="757"/>
      <c r="I644" s="757"/>
      <c r="J644" s="775"/>
      <c r="K644" s="757"/>
    </row>
    <row r="645">
      <c r="B645" s="757"/>
      <c r="C645" s="757"/>
      <c r="D645" s="757"/>
      <c r="E645" s="757"/>
      <c r="F645" s="757"/>
      <c r="G645" s="757"/>
      <c r="H645" s="757"/>
      <c r="I645" s="757"/>
      <c r="J645" s="775"/>
      <c r="K645" s="757"/>
    </row>
    <row r="646">
      <c r="B646" s="757"/>
      <c r="C646" s="757"/>
      <c r="D646" s="757"/>
      <c r="E646" s="757"/>
      <c r="F646" s="757"/>
      <c r="G646" s="757"/>
      <c r="H646" s="757"/>
      <c r="I646" s="757"/>
      <c r="J646" s="775"/>
      <c r="K646" s="757"/>
    </row>
    <row r="647">
      <c r="B647" s="757"/>
      <c r="C647" s="757"/>
      <c r="D647" s="757"/>
      <c r="E647" s="757"/>
      <c r="F647" s="757"/>
      <c r="G647" s="757"/>
      <c r="H647" s="757"/>
      <c r="I647" s="757"/>
      <c r="J647" s="775"/>
      <c r="K647" s="757"/>
    </row>
    <row r="648">
      <c r="B648" s="757"/>
      <c r="C648" s="757"/>
      <c r="D648" s="757"/>
      <c r="E648" s="757"/>
      <c r="F648" s="757"/>
      <c r="G648" s="757"/>
      <c r="H648" s="757"/>
      <c r="I648" s="757"/>
      <c r="J648" s="775"/>
      <c r="K648" s="757"/>
    </row>
    <row r="649">
      <c r="B649" s="757"/>
      <c r="C649" s="757"/>
      <c r="D649" s="757"/>
      <c r="E649" s="757"/>
      <c r="F649" s="757"/>
      <c r="G649" s="757"/>
      <c r="H649" s="757"/>
      <c r="I649" s="757"/>
      <c r="J649" s="775"/>
      <c r="K649" s="757"/>
    </row>
    <row r="650">
      <c r="B650" s="757"/>
      <c r="C650" s="757"/>
      <c r="D650" s="757"/>
      <c r="E650" s="757"/>
      <c r="F650" s="757"/>
      <c r="G650" s="757"/>
      <c r="H650" s="757"/>
      <c r="I650" s="757"/>
      <c r="J650" s="775"/>
      <c r="K650" s="757"/>
    </row>
    <row r="651">
      <c r="B651" s="757"/>
      <c r="C651" s="757"/>
      <c r="D651" s="757"/>
      <c r="E651" s="757"/>
      <c r="F651" s="757"/>
      <c r="G651" s="757"/>
      <c r="H651" s="757"/>
      <c r="I651" s="757"/>
      <c r="J651" s="775"/>
      <c r="K651" s="757"/>
    </row>
    <row r="652">
      <c r="B652" s="757"/>
      <c r="C652" s="757"/>
      <c r="D652" s="757"/>
      <c r="E652" s="757"/>
      <c r="F652" s="757"/>
      <c r="G652" s="757"/>
      <c r="H652" s="757"/>
      <c r="I652" s="757"/>
      <c r="J652" s="775"/>
      <c r="K652" s="757"/>
    </row>
    <row r="653">
      <c r="B653" s="757"/>
      <c r="C653" s="757"/>
      <c r="D653" s="757"/>
      <c r="E653" s="757"/>
      <c r="F653" s="757"/>
      <c r="G653" s="757"/>
      <c r="H653" s="757"/>
      <c r="I653" s="757"/>
      <c r="J653" s="775"/>
      <c r="K653" s="757"/>
    </row>
    <row r="654">
      <c r="B654" s="757"/>
      <c r="C654" s="757"/>
      <c r="D654" s="757"/>
      <c r="E654" s="757"/>
      <c r="F654" s="757"/>
      <c r="G654" s="757"/>
      <c r="H654" s="757"/>
      <c r="I654" s="757"/>
      <c r="J654" s="775"/>
      <c r="K654" s="757"/>
    </row>
    <row r="655">
      <c r="B655" s="757"/>
      <c r="C655" s="757"/>
      <c r="D655" s="757"/>
      <c r="E655" s="757"/>
      <c r="F655" s="757"/>
      <c r="G655" s="757"/>
      <c r="H655" s="757"/>
      <c r="I655" s="757"/>
      <c r="J655" s="775"/>
      <c r="K655" s="757"/>
    </row>
    <row r="656">
      <c r="B656" s="757"/>
      <c r="C656" s="757"/>
      <c r="D656" s="757"/>
      <c r="E656" s="757"/>
      <c r="F656" s="757"/>
      <c r="G656" s="757"/>
      <c r="H656" s="757"/>
      <c r="I656" s="757"/>
      <c r="J656" s="775"/>
      <c r="K656" s="757"/>
    </row>
    <row r="657">
      <c r="B657" s="757"/>
      <c r="C657" s="757"/>
      <c r="D657" s="757"/>
      <c r="E657" s="757"/>
      <c r="F657" s="757"/>
      <c r="G657" s="757"/>
      <c r="H657" s="757"/>
      <c r="I657" s="757"/>
      <c r="J657" s="775"/>
      <c r="K657" s="757"/>
    </row>
    <row r="658">
      <c r="B658" s="757"/>
      <c r="C658" s="757"/>
      <c r="D658" s="757"/>
      <c r="E658" s="757"/>
      <c r="F658" s="757"/>
      <c r="G658" s="757"/>
      <c r="H658" s="757"/>
      <c r="I658" s="757"/>
      <c r="J658" s="775"/>
      <c r="K658" s="757"/>
    </row>
    <row r="659">
      <c r="B659" s="757"/>
      <c r="C659" s="757"/>
      <c r="D659" s="757"/>
      <c r="E659" s="757"/>
      <c r="F659" s="757"/>
      <c r="G659" s="757"/>
      <c r="H659" s="757"/>
      <c r="I659" s="757"/>
      <c r="J659" s="775"/>
      <c r="K659" s="757"/>
    </row>
    <row r="660">
      <c r="B660" s="757"/>
      <c r="C660" s="757"/>
      <c r="D660" s="757"/>
      <c r="E660" s="757"/>
      <c r="F660" s="757"/>
      <c r="G660" s="757"/>
      <c r="H660" s="757"/>
      <c r="I660" s="757"/>
      <c r="J660" s="775"/>
      <c r="K660" s="757"/>
    </row>
    <row r="661">
      <c r="B661" s="757"/>
      <c r="C661" s="757"/>
      <c r="D661" s="757"/>
      <c r="E661" s="757"/>
      <c r="F661" s="757"/>
      <c r="G661" s="757"/>
      <c r="H661" s="757"/>
      <c r="I661" s="757"/>
      <c r="J661" s="775"/>
      <c r="K661" s="757"/>
    </row>
    <row r="662">
      <c r="B662" s="757"/>
      <c r="C662" s="757"/>
      <c r="D662" s="757"/>
      <c r="E662" s="757"/>
      <c r="F662" s="757"/>
      <c r="G662" s="757"/>
      <c r="H662" s="757"/>
      <c r="I662" s="757"/>
      <c r="J662" s="775"/>
      <c r="K662" s="757"/>
    </row>
    <row r="663">
      <c r="B663" s="757"/>
      <c r="C663" s="757"/>
      <c r="D663" s="757"/>
      <c r="E663" s="757"/>
      <c r="F663" s="757"/>
      <c r="G663" s="757"/>
      <c r="H663" s="757"/>
      <c r="I663" s="757"/>
      <c r="J663" s="775"/>
      <c r="K663" s="757"/>
    </row>
    <row r="664">
      <c r="B664" s="757"/>
      <c r="C664" s="757"/>
      <c r="D664" s="757"/>
      <c r="E664" s="757"/>
      <c r="F664" s="757"/>
      <c r="G664" s="757"/>
      <c r="H664" s="757"/>
      <c r="I664" s="757"/>
      <c r="J664" s="775"/>
      <c r="K664" s="757"/>
    </row>
    <row r="665">
      <c r="B665" s="757"/>
      <c r="C665" s="757"/>
      <c r="D665" s="757"/>
      <c r="E665" s="757"/>
      <c r="F665" s="757"/>
      <c r="G665" s="757"/>
      <c r="H665" s="757"/>
      <c r="I665" s="757"/>
      <c r="J665" s="775"/>
      <c r="K665" s="757"/>
    </row>
    <row r="666">
      <c r="B666" s="757"/>
      <c r="C666" s="757"/>
      <c r="D666" s="757"/>
      <c r="E666" s="757"/>
      <c r="F666" s="757"/>
      <c r="G666" s="757"/>
      <c r="H666" s="757"/>
      <c r="I666" s="757"/>
      <c r="J666" s="775"/>
      <c r="K666" s="757"/>
    </row>
    <row r="667">
      <c r="B667" s="757"/>
      <c r="C667" s="757"/>
      <c r="D667" s="757"/>
      <c r="E667" s="757"/>
      <c r="F667" s="757"/>
      <c r="G667" s="757"/>
      <c r="H667" s="757"/>
      <c r="I667" s="757"/>
      <c r="J667" s="775"/>
      <c r="K667" s="757"/>
    </row>
    <row r="668">
      <c r="B668" s="757"/>
      <c r="C668" s="757"/>
      <c r="D668" s="757"/>
      <c r="E668" s="757"/>
      <c r="F668" s="757"/>
      <c r="G668" s="757"/>
      <c r="H668" s="757"/>
      <c r="I668" s="757"/>
      <c r="J668" s="775"/>
      <c r="K668" s="757"/>
    </row>
    <row r="669">
      <c r="B669" s="757"/>
      <c r="C669" s="757"/>
      <c r="D669" s="757"/>
      <c r="E669" s="757"/>
      <c r="F669" s="757"/>
      <c r="G669" s="757"/>
      <c r="H669" s="757"/>
      <c r="I669" s="757"/>
      <c r="J669" s="775"/>
      <c r="K669" s="757"/>
    </row>
    <row r="670">
      <c r="B670" s="757"/>
      <c r="C670" s="757"/>
      <c r="D670" s="757"/>
      <c r="E670" s="757"/>
      <c r="F670" s="757"/>
      <c r="G670" s="757"/>
      <c r="H670" s="757"/>
      <c r="I670" s="757"/>
      <c r="J670" s="775"/>
      <c r="K670" s="757"/>
    </row>
    <row r="671">
      <c r="B671" s="757"/>
      <c r="C671" s="757"/>
      <c r="D671" s="757"/>
      <c r="E671" s="757"/>
      <c r="F671" s="757"/>
      <c r="G671" s="757"/>
      <c r="H671" s="757"/>
      <c r="I671" s="757"/>
      <c r="J671" s="775"/>
      <c r="K671" s="757"/>
    </row>
    <row r="672">
      <c r="B672" s="757"/>
      <c r="C672" s="757"/>
      <c r="D672" s="757"/>
      <c r="E672" s="757"/>
      <c r="F672" s="757"/>
      <c r="G672" s="757"/>
      <c r="H672" s="757"/>
      <c r="I672" s="757"/>
      <c r="J672" s="775"/>
      <c r="K672" s="757"/>
    </row>
    <row r="673">
      <c r="B673" s="757"/>
      <c r="C673" s="757"/>
      <c r="D673" s="757"/>
      <c r="E673" s="757"/>
      <c r="F673" s="757"/>
      <c r="G673" s="757"/>
      <c r="H673" s="757"/>
      <c r="I673" s="757"/>
      <c r="J673" s="775"/>
      <c r="K673" s="757"/>
    </row>
    <row r="674">
      <c r="B674" s="757"/>
      <c r="C674" s="757"/>
      <c r="D674" s="757"/>
      <c r="E674" s="757"/>
      <c r="F674" s="757"/>
      <c r="G674" s="757"/>
      <c r="H674" s="757"/>
      <c r="I674" s="757"/>
      <c r="J674" s="775"/>
      <c r="K674" s="757"/>
    </row>
    <row r="675">
      <c r="B675" s="757"/>
      <c r="C675" s="757"/>
      <c r="D675" s="757"/>
      <c r="E675" s="757"/>
      <c r="F675" s="757"/>
      <c r="G675" s="757"/>
      <c r="H675" s="757"/>
      <c r="I675" s="757"/>
      <c r="J675" s="775"/>
      <c r="K675" s="757"/>
    </row>
    <row r="676">
      <c r="B676" s="757"/>
      <c r="C676" s="757"/>
      <c r="D676" s="757"/>
      <c r="E676" s="757"/>
      <c r="F676" s="757"/>
      <c r="G676" s="757"/>
      <c r="H676" s="757"/>
      <c r="I676" s="757"/>
      <c r="J676" s="775"/>
      <c r="K676" s="757"/>
    </row>
    <row r="677">
      <c r="B677" s="757"/>
      <c r="C677" s="757"/>
      <c r="D677" s="757"/>
      <c r="E677" s="757"/>
      <c r="F677" s="757"/>
      <c r="G677" s="757"/>
      <c r="H677" s="757"/>
      <c r="I677" s="757"/>
      <c r="J677" s="775"/>
      <c r="K677" s="757"/>
    </row>
    <row r="678">
      <c r="B678" s="757"/>
      <c r="C678" s="757"/>
      <c r="D678" s="757"/>
      <c r="E678" s="757"/>
      <c r="F678" s="757"/>
      <c r="G678" s="757"/>
      <c r="H678" s="757"/>
      <c r="I678" s="757"/>
      <c r="J678" s="775"/>
      <c r="K678" s="757"/>
    </row>
    <row r="679">
      <c r="B679" s="757"/>
      <c r="C679" s="757"/>
      <c r="D679" s="757"/>
      <c r="E679" s="757"/>
      <c r="F679" s="757"/>
      <c r="G679" s="757"/>
      <c r="H679" s="757"/>
      <c r="I679" s="757"/>
      <c r="J679" s="775"/>
      <c r="K679" s="757"/>
    </row>
    <row r="680">
      <c r="B680" s="757"/>
      <c r="C680" s="757"/>
      <c r="D680" s="757"/>
      <c r="E680" s="757"/>
      <c r="F680" s="757"/>
      <c r="G680" s="757"/>
      <c r="H680" s="757"/>
      <c r="I680" s="757"/>
      <c r="J680" s="775"/>
      <c r="K680" s="757"/>
    </row>
    <row r="681">
      <c r="B681" s="757"/>
      <c r="C681" s="757"/>
      <c r="D681" s="757"/>
      <c r="E681" s="757"/>
      <c r="F681" s="757"/>
      <c r="G681" s="757"/>
      <c r="H681" s="757"/>
      <c r="I681" s="757"/>
      <c r="J681" s="775"/>
      <c r="K681" s="757"/>
    </row>
    <row r="682">
      <c r="B682" s="757"/>
      <c r="C682" s="757"/>
      <c r="D682" s="757"/>
      <c r="E682" s="757"/>
      <c r="F682" s="757"/>
      <c r="G682" s="757"/>
      <c r="H682" s="757"/>
      <c r="I682" s="757"/>
      <c r="J682" s="775"/>
      <c r="K682" s="757"/>
    </row>
    <row r="683">
      <c r="B683" s="757"/>
      <c r="C683" s="757"/>
      <c r="D683" s="757"/>
      <c r="E683" s="757"/>
      <c r="F683" s="757"/>
      <c r="G683" s="757"/>
      <c r="H683" s="757"/>
      <c r="I683" s="757"/>
      <c r="J683" s="775"/>
      <c r="K683" s="757"/>
    </row>
    <row r="684">
      <c r="B684" s="757"/>
      <c r="C684" s="757"/>
      <c r="D684" s="757"/>
      <c r="E684" s="757"/>
      <c r="F684" s="757"/>
      <c r="G684" s="757"/>
      <c r="H684" s="757"/>
      <c r="I684" s="757"/>
      <c r="J684" s="775"/>
      <c r="K684" s="757"/>
    </row>
    <row r="685">
      <c r="B685" s="757"/>
      <c r="C685" s="757"/>
      <c r="D685" s="757"/>
      <c r="E685" s="757"/>
      <c r="F685" s="757"/>
      <c r="G685" s="757"/>
      <c r="H685" s="757"/>
      <c r="I685" s="757"/>
      <c r="J685" s="775"/>
      <c r="K685" s="757"/>
    </row>
    <row r="686">
      <c r="B686" s="757"/>
      <c r="C686" s="757"/>
      <c r="D686" s="757"/>
      <c r="E686" s="757"/>
      <c r="F686" s="757"/>
      <c r="G686" s="757"/>
      <c r="H686" s="757"/>
      <c r="I686" s="757"/>
      <c r="J686" s="775"/>
      <c r="K686" s="757"/>
    </row>
    <row r="687">
      <c r="B687" s="757"/>
      <c r="C687" s="757"/>
      <c r="D687" s="757"/>
      <c r="E687" s="757"/>
      <c r="F687" s="757"/>
      <c r="G687" s="757"/>
      <c r="H687" s="757"/>
      <c r="I687" s="757"/>
      <c r="J687" s="775"/>
      <c r="K687" s="757"/>
    </row>
    <row r="688">
      <c r="B688" s="757"/>
      <c r="C688" s="757"/>
      <c r="D688" s="757"/>
      <c r="E688" s="757"/>
      <c r="F688" s="757"/>
      <c r="G688" s="757"/>
      <c r="H688" s="757"/>
      <c r="I688" s="757"/>
      <c r="J688" s="775"/>
      <c r="K688" s="757"/>
    </row>
    <row r="689">
      <c r="B689" s="757"/>
      <c r="C689" s="757"/>
      <c r="D689" s="757"/>
      <c r="E689" s="757"/>
      <c r="F689" s="757"/>
      <c r="G689" s="757"/>
      <c r="H689" s="757"/>
      <c r="I689" s="757"/>
      <c r="J689" s="775"/>
      <c r="K689" s="757"/>
    </row>
    <row r="690">
      <c r="B690" s="757"/>
      <c r="C690" s="757"/>
      <c r="D690" s="757"/>
      <c r="E690" s="757"/>
      <c r="F690" s="757"/>
      <c r="G690" s="757"/>
      <c r="H690" s="757"/>
      <c r="I690" s="757"/>
      <c r="J690" s="775"/>
      <c r="K690" s="757"/>
    </row>
    <row r="691">
      <c r="B691" s="757"/>
      <c r="C691" s="757"/>
      <c r="D691" s="757"/>
      <c r="E691" s="757"/>
      <c r="F691" s="757"/>
      <c r="G691" s="757"/>
      <c r="H691" s="757"/>
      <c r="I691" s="757"/>
      <c r="J691" s="775"/>
      <c r="K691" s="757"/>
    </row>
    <row r="692">
      <c r="B692" s="757"/>
      <c r="C692" s="757"/>
      <c r="D692" s="757"/>
      <c r="E692" s="757"/>
      <c r="F692" s="757"/>
      <c r="G692" s="757"/>
      <c r="H692" s="757"/>
      <c r="I692" s="757"/>
      <c r="J692" s="775"/>
      <c r="K692" s="757"/>
    </row>
    <row r="693">
      <c r="B693" s="757"/>
      <c r="C693" s="757"/>
      <c r="D693" s="757"/>
      <c r="E693" s="757"/>
      <c r="F693" s="757"/>
      <c r="G693" s="757"/>
      <c r="H693" s="757"/>
      <c r="I693" s="757"/>
      <c r="J693" s="775"/>
      <c r="K693" s="757"/>
    </row>
    <row r="694">
      <c r="B694" s="757"/>
      <c r="C694" s="757"/>
      <c r="D694" s="757"/>
      <c r="E694" s="757"/>
      <c r="F694" s="757"/>
      <c r="G694" s="757"/>
      <c r="H694" s="757"/>
      <c r="I694" s="757"/>
      <c r="J694" s="775"/>
      <c r="K694" s="757"/>
    </row>
    <row r="695">
      <c r="B695" s="757"/>
      <c r="C695" s="757"/>
      <c r="D695" s="757"/>
      <c r="E695" s="757"/>
      <c r="F695" s="757"/>
      <c r="G695" s="757"/>
      <c r="H695" s="757"/>
      <c r="I695" s="757"/>
      <c r="J695" s="775"/>
      <c r="K695" s="757"/>
    </row>
    <row r="696">
      <c r="B696" s="757"/>
      <c r="C696" s="757"/>
      <c r="D696" s="757"/>
      <c r="E696" s="757"/>
      <c r="F696" s="757"/>
      <c r="G696" s="757"/>
      <c r="H696" s="757"/>
      <c r="I696" s="757"/>
      <c r="J696" s="775"/>
      <c r="K696" s="757"/>
    </row>
    <row r="697">
      <c r="B697" s="757"/>
      <c r="C697" s="757"/>
      <c r="D697" s="757"/>
      <c r="E697" s="757"/>
      <c r="F697" s="757"/>
      <c r="G697" s="757"/>
      <c r="H697" s="757"/>
      <c r="I697" s="757"/>
      <c r="J697" s="775"/>
      <c r="K697" s="757"/>
    </row>
    <row r="698">
      <c r="B698" s="757"/>
      <c r="C698" s="757"/>
      <c r="D698" s="757"/>
      <c r="E698" s="757"/>
      <c r="F698" s="757"/>
      <c r="G698" s="757"/>
      <c r="H698" s="757"/>
      <c r="I698" s="757"/>
      <c r="J698" s="775"/>
      <c r="K698" s="757"/>
    </row>
    <row r="699">
      <c r="B699" s="757"/>
      <c r="C699" s="757"/>
      <c r="D699" s="757"/>
      <c r="E699" s="757"/>
      <c r="F699" s="757"/>
      <c r="G699" s="757"/>
      <c r="H699" s="757"/>
      <c r="I699" s="757"/>
      <c r="J699" s="775"/>
      <c r="K699" s="757"/>
    </row>
    <row r="700">
      <c r="B700" s="757"/>
      <c r="C700" s="757"/>
      <c r="D700" s="757"/>
      <c r="E700" s="757"/>
      <c r="F700" s="757"/>
      <c r="G700" s="757"/>
      <c r="H700" s="757"/>
      <c r="I700" s="757"/>
      <c r="J700" s="775"/>
      <c r="K700" s="757"/>
    </row>
    <row r="701">
      <c r="B701" s="757"/>
      <c r="C701" s="757"/>
      <c r="D701" s="757"/>
      <c r="E701" s="757"/>
      <c r="F701" s="757"/>
      <c r="G701" s="757"/>
      <c r="H701" s="757"/>
      <c r="I701" s="757"/>
      <c r="J701" s="775"/>
      <c r="K701" s="757"/>
    </row>
    <row r="702">
      <c r="B702" s="757"/>
      <c r="C702" s="757"/>
      <c r="D702" s="757"/>
      <c r="E702" s="757"/>
      <c r="F702" s="757"/>
      <c r="G702" s="757"/>
      <c r="H702" s="757"/>
      <c r="I702" s="757"/>
      <c r="J702" s="775"/>
      <c r="K702" s="757"/>
    </row>
    <row r="703">
      <c r="B703" s="757"/>
      <c r="C703" s="757"/>
      <c r="D703" s="757"/>
      <c r="E703" s="757"/>
      <c r="F703" s="757"/>
      <c r="G703" s="757"/>
      <c r="H703" s="757"/>
      <c r="I703" s="757"/>
      <c r="J703" s="775"/>
      <c r="K703" s="757"/>
    </row>
    <row r="704">
      <c r="B704" s="757"/>
      <c r="C704" s="757"/>
      <c r="D704" s="757"/>
      <c r="E704" s="757"/>
      <c r="F704" s="757"/>
      <c r="G704" s="757"/>
      <c r="H704" s="757"/>
      <c r="I704" s="757"/>
      <c r="J704" s="775"/>
      <c r="K704" s="757"/>
    </row>
    <row r="705">
      <c r="B705" s="757"/>
      <c r="C705" s="757"/>
      <c r="D705" s="757"/>
      <c r="E705" s="757"/>
      <c r="F705" s="757"/>
      <c r="G705" s="757"/>
      <c r="H705" s="757"/>
      <c r="I705" s="757"/>
      <c r="J705" s="775"/>
      <c r="K705" s="757"/>
    </row>
    <row r="706">
      <c r="B706" s="757"/>
      <c r="C706" s="757"/>
      <c r="D706" s="757"/>
      <c r="E706" s="757"/>
      <c r="F706" s="757"/>
      <c r="G706" s="757"/>
      <c r="H706" s="757"/>
      <c r="I706" s="757"/>
      <c r="J706" s="775"/>
      <c r="K706" s="757"/>
    </row>
    <row r="707">
      <c r="B707" s="757"/>
      <c r="C707" s="757"/>
      <c r="D707" s="757"/>
      <c r="E707" s="757"/>
      <c r="F707" s="757"/>
      <c r="G707" s="757"/>
      <c r="H707" s="757"/>
      <c r="I707" s="757"/>
      <c r="J707" s="775"/>
      <c r="K707" s="757"/>
    </row>
    <row r="708">
      <c r="B708" s="757"/>
      <c r="C708" s="757"/>
      <c r="D708" s="757"/>
      <c r="E708" s="757"/>
      <c r="F708" s="757"/>
      <c r="G708" s="757"/>
      <c r="H708" s="757"/>
      <c r="I708" s="757"/>
      <c r="J708" s="775"/>
      <c r="K708" s="757"/>
    </row>
    <row r="709">
      <c r="B709" s="757"/>
      <c r="C709" s="757"/>
      <c r="D709" s="757"/>
      <c r="E709" s="757"/>
      <c r="F709" s="757"/>
      <c r="G709" s="757"/>
      <c r="H709" s="757"/>
      <c r="I709" s="757"/>
      <c r="J709" s="775"/>
      <c r="K709" s="757"/>
    </row>
    <row r="710">
      <c r="B710" s="757"/>
      <c r="C710" s="757"/>
      <c r="D710" s="757"/>
      <c r="E710" s="757"/>
      <c r="F710" s="757"/>
      <c r="G710" s="757"/>
      <c r="H710" s="757"/>
      <c r="I710" s="757"/>
      <c r="J710" s="775"/>
      <c r="K710" s="757"/>
    </row>
    <row r="711">
      <c r="B711" s="757"/>
      <c r="C711" s="757"/>
      <c r="D711" s="757"/>
      <c r="E711" s="757"/>
      <c r="F711" s="757"/>
      <c r="G711" s="757"/>
      <c r="H711" s="757"/>
      <c r="I711" s="757"/>
      <c r="J711" s="775"/>
      <c r="K711" s="757"/>
    </row>
    <row r="712">
      <c r="B712" s="757"/>
      <c r="C712" s="757"/>
      <c r="D712" s="757"/>
      <c r="E712" s="757"/>
      <c r="F712" s="757"/>
      <c r="G712" s="757"/>
      <c r="H712" s="757"/>
      <c r="I712" s="757"/>
      <c r="J712" s="775"/>
      <c r="K712" s="757"/>
    </row>
    <row r="713">
      <c r="B713" s="757"/>
      <c r="C713" s="757"/>
      <c r="D713" s="757"/>
      <c r="E713" s="757"/>
      <c r="F713" s="757"/>
      <c r="G713" s="757"/>
      <c r="H713" s="757"/>
      <c r="I713" s="757"/>
      <c r="J713" s="775"/>
      <c r="K713" s="757"/>
    </row>
    <row r="714">
      <c r="B714" s="757"/>
      <c r="C714" s="757"/>
      <c r="D714" s="757"/>
      <c r="E714" s="757"/>
      <c r="F714" s="757"/>
      <c r="G714" s="757"/>
      <c r="H714" s="757"/>
      <c r="I714" s="757"/>
      <c r="J714" s="775"/>
      <c r="K714" s="757"/>
    </row>
    <row r="715">
      <c r="B715" s="757"/>
      <c r="C715" s="757"/>
      <c r="D715" s="757"/>
      <c r="E715" s="757"/>
      <c r="F715" s="757"/>
      <c r="G715" s="757"/>
      <c r="H715" s="757"/>
      <c r="I715" s="757"/>
      <c r="J715" s="775"/>
      <c r="K715" s="757"/>
    </row>
    <row r="716">
      <c r="B716" s="757"/>
      <c r="C716" s="757"/>
      <c r="D716" s="757"/>
      <c r="E716" s="757"/>
      <c r="F716" s="757"/>
      <c r="G716" s="757"/>
      <c r="H716" s="757"/>
      <c r="I716" s="757"/>
      <c r="J716" s="775"/>
      <c r="K716" s="757"/>
    </row>
    <row r="717">
      <c r="B717" s="757"/>
      <c r="C717" s="757"/>
      <c r="D717" s="757"/>
      <c r="E717" s="757"/>
      <c r="F717" s="757"/>
      <c r="G717" s="757"/>
      <c r="H717" s="757"/>
      <c r="I717" s="757"/>
      <c r="J717" s="775"/>
      <c r="K717" s="757"/>
    </row>
    <row r="718">
      <c r="B718" s="757"/>
      <c r="C718" s="757"/>
      <c r="D718" s="757"/>
      <c r="E718" s="757"/>
      <c r="F718" s="757"/>
      <c r="G718" s="757"/>
      <c r="H718" s="757"/>
      <c r="I718" s="757"/>
      <c r="J718" s="775"/>
      <c r="K718" s="757"/>
    </row>
    <row r="719">
      <c r="B719" s="757"/>
      <c r="C719" s="757"/>
      <c r="D719" s="757"/>
      <c r="E719" s="757"/>
      <c r="F719" s="757"/>
      <c r="G719" s="757"/>
      <c r="H719" s="757"/>
      <c r="I719" s="757"/>
      <c r="J719" s="775"/>
      <c r="K719" s="757"/>
    </row>
    <row r="720">
      <c r="B720" s="757"/>
      <c r="C720" s="757"/>
      <c r="D720" s="757"/>
      <c r="E720" s="757"/>
      <c r="F720" s="757"/>
      <c r="G720" s="757"/>
      <c r="H720" s="757"/>
      <c r="I720" s="757"/>
      <c r="J720" s="775"/>
      <c r="K720" s="757"/>
    </row>
    <row r="721">
      <c r="B721" s="757"/>
      <c r="C721" s="757"/>
      <c r="D721" s="757"/>
      <c r="E721" s="757"/>
      <c r="F721" s="757"/>
      <c r="G721" s="757"/>
      <c r="H721" s="757"/>
      <c r="I721" s="757"/>
      <c r="J721" s="775"/>
      <c r="K721" s="757"/>
    </row>
    <row r="722">
      <c r="B722" s="757"/>
      <c r="C722" s="757"/>
      <c r="D722" s="757"/>
      <c r="E722" s="757"/>
      <c r="F722" s="757"/>
      <c r="G722" s="757"/>
      <c r="H722" s="757"/>
      <c r="I722" s="757"/>
      <c r="J722" s="775"/>
      <c r="K722" s="757"/>
    </row>
    <row r="723">
      <c r="B723" s="757"/>
      <c r="C723" s="757"/>
      <c r="D723" s="757"/>
      <c r="E723" s="757"/>
      <c r="F723" s="757"/>
      <c r="G723" s="757"/>
      <c r="H723" s="757"/>
      <c r="I723" s="757"/>
      <c r="J723" s="775"/>
      <c r="K723" s="757"/>
    </row>
    <row r="724">
      <c r="B724" s="757"/>
      <c r="C724" s="757"/>
      <c r="D724" s="757"/>
      <c r="E724" s="757"/>
      <c r="F724" s="757"/>
      <c r="G724" s="757"/>
      <c r="H724" s="757"/>
      <c r="I724" s="757"/>
      <c r="J724" s="775"/>
      <c r="K724" s="757"/>
    </row>
    <row r="725">
      <c r="B725" s="757"/>
      <c r="C725" s="757"/>
      <c r="D725" s="757"/>
      <c r="E725" s="757"/>
      <c r="F725" s="757"/>
      <c r="G725" s="757"/>
      <c r="H725" s="757"/>
      <c r="I725" s="757"/>
      <c r="J725" s="775"/>
      <c r="K725" s="757"/>
    </row>
    <row r="726">
      <c r="B726" s="757"/>
      <c r="C726" s="757"/>
      <c r="D726" s="757"/>
      <c r="E726" s="757"/>
      <c r="F726" s="757"/>
      <c r="G726" s="757"/>
      <c r="H726" s="757"/>
      <c r="I726" s="757"/>
      <c r="J726" s="775"/>
      <c r="K726" s="757"/>
    </row>
    <row r="727">
      <c r="B727" s="757"/>
      <c r="C727" s="757"/>
      <c r="D727" s="757"/>
      <c r="E727" s="757"/>
      <c r="F727" s="757"/>
      <c r="G727" s="757"/>
      <c r="H727" s="757"/>
      <c r="I727" s="757"/>
      <c r="J727" s="775"/>
      <c r="K727" s="757"/>
    </row>
    <row r="728">
      <c r="B728" s="757"/>
      <c r="C728" s="757"/>
      <c r="D728" s="757"/>
      <c r="E728" s="757"/>
      <c r="F728" s="757"/>
      <c r="G728" s="757"/>
      <c r="H728" s="757"/>
      <c r="I728" s="757"/>
      <c r="J728" s="775"/>
      <c r="K728" s="757"/>
    </row>
    <row r="729">
      <c r="B729" s="757"/>
      <c r="C729" s="757"/>
      <c r="D729" s="757"/>
      <c r="E729" s="757"/>
      <c r="F729" s="757"/>
      <c r="G729" s="757"/>
      <c r="H729" s="757"/>
      <c r="I729" s="757"/>
      <c r="J729" s="775"/>
      <c r="K729" s="757"/>
    </row>
    <row r="730">
      <c r="B730" s="757"/>
      <c r="C730" s="757"/>
      <c r="D730" s="757"/>
      <c r="E730" s="757"/>
      <c r="F730" s="757"/>
      <c r="G730" s="757"/>
      <c r="H730" s="757"/>
      <c r="I730" s="757"/>
      <c r="J730" s="775"/>
      <c r="K730" s="757"/>
    </row>
    <row r="731">
      <c r="B731" s="757"/>
      <c r="C731" s="757"/>
      <c r="D731" s="757"/>
      <c r="E731" s="757"/>
      <c r="F731" s="757"/>
      <c r="G731" s="757"/>
      <c r="H731" s="757"/>
      <c r="I731" s="757"/>
      <c r="J731" s="775"/>
      <c r="K731" s="757"/>
    </row>
    <row r="732">
      <c r="B732" s="757"/>
      <c r="C732" s="757"/>
      <c r="D732" s="757"/>
      <c r="E732" s="757"/>
      <c r="F732" s="757"/>
      <c r="G732" s="757"/>
      <c r="H732" s="757"/>
      <c r="I732" s="757"/>
      <c r="J732" s="775"/>
      <c r="K732" s="757"/>
    </row>
    <row r="733">
      <c r="B733" s="757"/>
      <c r="C733" s="757"/>
      <c r="D733" s="757"/>
      <c r="E733" s="757"/>
      <c r="F733" s="757"/>
      <c r="G733" s="757"/>
      <c r="H733" s="757"/>
      <c r="I733" s="757"/>
      <c r="J733" s="775"/>
      <c r="K733" s="757"/>
    </row>
    <row r="734">
      <c r="B734" s="757"/>
      <c r="C734" s="757"/>
      <c r="D734" s="757"/>
      <c r="E734" s="757"/>
      <c r="F734" s="757"/>
      <c r="G734" s="757"/>
      <c r="H734" s="757"/>
      <c r="I734" s="757"/>
      <c r="J734" s="775"/>
      <c r="K734" s="757"/>
    </row>
    <row r="735">
      <c r="B735" s="757"/>
      <c r="C735" s="757"/>
      <c r="D735" s="757"/>
      <c r="E735" s="757"/>
      <c r="F735" s="757"/>
      <c r="G735" s="757"/>
      <c r="H735" s="757"/>
      <c r="I735" s="757"/>
      <c r="J735" s="775"/>
      <c r="K735" s="757"/>
    </row>
    <row r="736">
      <c r="B736" s="757"/>
      <c r="C736" s="757"/>
      <c r="D736" s="757"/>
      <c r="E736" s="757"/>
      <c r="F736" s="757"/>
      <c r="G736" s="757"/>
      <c r="H736" s="757"/>
      <c r="I736" s="757"/>
      <c r="J736" s="775"/>
      <c r="K736" s="757"/>
    </row>
    <row r="737">
      <c r="B737" s="757"/>
      <c r="C737" s="757"/>
      <c r="D737" s="757"/>
      <c r="E737" s="757"/>
      <c r="F737" s="757"/>
      <c r="G737" s="757"/>
      <c r="H737" s="757"/>
      <c r="I737" s="757"/>
      <c r="J737" s="775"/>
      <c r="K737" s="757"/>
    </row>
    <row r="738">
      <c r="B738" s="757"/>
      <c r="C738" s="757"/>
      <c r="D738" s="757"/>
      <c r="E738" s="757"/>
      <c r="F738" s="757"/>
      <c r="G738" s="757"/>
      <c r="H738" s="757"/>
      <c r="I738" s="757"/>
      <c r="J738" s="775"/>
      <c r="K738" s="757"/>
    </row>
    <row r="739">
      <c r="B739" s="757"/>
      <c r="C739" s="757"/>
      <c r="D739" s="757"/>
      <c r="E739" s="757"/>
      <c r="F739" s="757"/>
      <c r="G739" s="757"/>
      <c r="H739" s="757"/>
      <c r="I739" s="757"/>
      <c r="J739" s="775"/>
      <c r="K739" s="757"/>
    </row>
    <row r="740">
      <c r="B740" s="757"/>
      <c r="C740" s="757"/>
      <c r="D740" s="757"/>
      <c r="E740" s="757"/>
      <c r="F740" s="757"/>
      <c r="G740" s="757"/>
      <c r="H740" s="757"/>
      <c r="I740" s="757"/>
      <c r="J740" s="775"/>
      <c r="K740" s="757"/>
    </row>
    <row r="741">
      <c r="B741" s="757"/>
      <c r="C741" s="757"/>
      <c r="D741" s="757"/>
      <c r="E741" s="757"/>
      <c r="F741" s="757"/>
      <c r="G741" s="757"/>
      <c r="H741" s="757"/>
      <c r="I741" s="757"/>
      <c r="J741" s="775"/>
      <c r="K741" s="757"/>
    </row>
    <row r="742">
      <c r="B742" s="757"/>
      <c r="C742" s="757"/>
      <c r="D742" s="757"/>
      <c r="E742" s="757"/>
      <c r="F742" s="757"/>
      <c r="G742" s="757"/>
      <c r="H742" s="757"/>
      <c r="I742" s="757"/>
      <c r="J742" s="775"/>
      <c r="K742" s="757"/>
    </row>
    <row r="743">
      <c r="B743" s="757"/>
      <c r="C743" s="757"/>
      <c r="D743" s="757"/>
      <c r="E743" s="757"/>
      <c r="F743" s="757"/>
      <c r="G743" s="757"/>
      <c r="H743" s="757"/>
      <c r="I743" s="757"/>
      <c r="J743" s="775"/>
      <c r="K743" s="757"/>
    </row>
    <row r="744">
      <c r="B744" s="757"/>
      <c r="C744" s="757"/>
      <c r="D744" s="757"/>
      <c r="E744" s="757"/>
      <c r="F744" s="757"/>
      <c r="G744" s="757"/>
      <c r="H744" s="757"/>
      <c r="I744" s="757"/>
      <c r="J744" s="775"/>
      <c r="K744" s="757"/>
    </row>
    <row r="745">
      <c r="B745" s="757"/>
      <c r="C745" s="757"/>
      <c r="D745" s="757"/>
      <c r="E745" s="757"/>
      <c r="F745" s="757"/>
      <c r="G745" s="757"/>
      <c r="H745" s="757"/>
      <c r="I745" s="757"/>
      <c r="J745" s="775"/>
      <c r="K745" s="757"/>
    </row>
    <row r="746">
      <c r="B746" s="757"/>
      <c r="C746" s="757"/>
      <c r="D746" s="757"/>
      <c r="E746" s="757"/>
      <c r="F746" s="757"/>
      <c r="G746" s="757"/>
      <c r="H746" s="757"/>
      <c r="I746" s="757"/>
      <c r="J746" s="775"/>
      <c r="K746" s="757"/>
    </row>
    <row r="747">
      <c r="B747" s="757"/>
      <c r="C747" s="757"/>
      <c r="D747" s="757"/>
      <c r="E747" s="757"/>
      <c r="F747" s="757"/>
      <c r="G747" s="757"/>
      <c r="H747" s="757"/>
      <c r="I747" s="757"/>
      <c r="J747" s="775"/>
      <c r="K747" s="757"/>
    </row>
    <row r="748">
      <c r="B748" s="757"/>
      <c r="C748" s="757"/>
      <c r="D748" s="757"/>
      <c r="E748" s="757"/>
      <c r="F748" s="757"/>
      <c r="G748" s="757"/>
      <c r="H748" s="757"/>
      <c r="I748" s="757"/>
      <c r="J748" s="775"/>
      <c r="K748" s="757"/>
    </row>
    <row r="749">
      <c r="B749" s="757"/>
      <c r="C749" s="757"/>
      <c r="D749" s="757"/>
      <c r="E749" s="757"/>
      <c r="F749" s="757"/>
      <c r="G749" s="757"/>
      <c r="H749" s="757"/>
      <c r="I749" s="757"/>
      <c r="J749" s="775"/>
      <c r="K749" s="757"/>
    </row>
    <row r="750">
      <c r="B750" s="757"/>
      <c r="C750" s="757"/>
      <c r="D750" s="757"/>
      <c r="E750" s="757"/>
      <c r="F750" s="757"/>
      <c r="G750" s="757"/>
      <c r="H750" s="757"/>
      <c r="I750" s="757"/>
      <c r="J750" s="775"/>
      <c r="K750" s="757"/>
    </row>
    <row r="751">
      <c r="B751" s="757"/>
      <c r="C751" s="757"/>
      <c r="D751" s="757"/>
      <c r="E751" s="757"/>
      <c r="F751" s="757"/>
      <c r="G751" s="757"/>
      <c r="H751" s="757"/>
      <c r="I751" s="757"/>
      <c r="J751" s="775"/>
      <c r="K751" s="757"/>
    </row>
    <row r="752">
      <c r="B752" s="757"/>
      <c r="C752" s="757"/>
      <c r="D752" s="757"/>
      <c r="E752" s="757"/>
      <c r="F752" s="757"/>
      <c r="G752" s="757"/>
      <c r="H752" s="757"/>
      <c r="I752" s="757"/>
      <c r="J752" s="775"/>
      <c r="K752" s="757"/>
    </row>
    <row r="753">
      <c r="B753" s="757"/>
      <c r="C753" s="757"/>
      <c r="D753" s="757"/>
      <c r="E753" s="757"/>
      <c r="F753" s="757"/>
      <c r="G753" s="757"/>
      <c r="H753" s="757"/>
      <c r="I753" s="757"/>
      <c r="J753" s="775"/>
      <c r="K753" s="757"/>
    </row>
    <row r="754">
      <c r="B754" s="757"/>
      <c r="C754" s="757"/>
      <c r="D754" s="757"/>
      <c r="E754" s="757"/>
      <c r="F754" s="757"/>
      <c r="G754" s="757"/>
      <c r="H754" s="757"/>
      <c r="I754" s="757"/>
      <c r="J754" s="775"/>
      <c r="K754" s="757"/>
    </row>
    <row r="755">
      <c r="B755" s="757"/>
      <c r="C755" s="757"/>
      <c r="D755" s="757"/>
      <c r="E755" s="757"/>
      <c r="F755" s="757"/>
      <c r="G755" s="757"/>
      <c r="H755" s="757"/>
      <c r="I755" s="757"/>
      <c r="J755" s="775"/>
      <c r="K755" s="757"/>
    </row>
    <row r="756">
      <c r="B756" s="757"/>
      <c r="C756" s="757"/>
      <c r="D756" s="757"/>
      <c r="E756" s="757"/>
      <c r="F756" s="757"/>
      <c r="G756" s="757"/>
      <c r="H756" s="757"/>
      <c r="I756" s="757"/>
      <c r="J756" s="775"/>
      <c r="K756" s="757"/>
    </row>
    <row r="757">
      <c r="B757" s="757"/>
      <c r="C757" s="757"/>
      <c r="D757" s="757"/>
      <c r="E757" s="757"/>
      <c r="F757" s="757"/>
      <c r="G757" s="757"/>
      <c r="H757" s="757"/>
      <c r="I757" s="757"/>
      <c r="J757" s="775"/>
      <c r="K757" s="757"/>
    </row>
    <row r="758">
      <c r="B758" s="757"/>
      <c r="C758" s="757"/>
      <c r="D758" s="757"/>
      <c r="E758" s="757"/>
      <c r="F758" s="757"/>
      <c r="G758" s="757"/>
      <c r="H758" s="757"/>
      <c r="I758" s="757"/>
      <c r="J758" s="775"/>
      <c r="K758" s="757"/>
    </row>
    <row r="759">
      <c r="B759" s="757"/>
      <c r="C759" s="757"/>
      <c r="D759" s="757"/>
      <c r="E759" s="757"/>
      <c r="F759" s="757"/>
      <c r="G759" s="757"/>
      <c r="H759" s="757"/>
      <c r="I759" s="757"/>
      <c r="J759" s="775"/>
      <c r="K759" s="757"/>
    </row>
    <row r="760">
      <c r="B760" s="757"/>
      <c r="C760" s="757"/>
      <c r="D760" s="757"/>
      <c r="E760" s="757"/>
      <c r="F760" s="757"/>
      <c r="G760" s="757"/>
      <c r="H760" s="757"/>
      <c r="I760" s="757"/>
      <c r="J760" s="775"/>
      <c r="K760" s="757"/>
    </row>
    <row r="761">
      <c r="B761" s="757"/>
      <c r="C761" s="757"/>
      <c r="D761" s="757"/>
      <c r="E761" s="757"/>
      <c r="F761" s="757"/>
      <c r="G761" s="757"/>
      <c r="H761" s="757"/>
      <c r="I761" s="757"/>
      <c r="J761" s="775"/>
      <c r="K761" s="757"/>
    </row>
    <row r="762">
      <c r="B762" s="757"/>
      <c r="C762" s="757"/>
      <c r="D762" s="757"/>
      <c r="E762" s="757"/>
      <c r="F762" s="757"/>
      <c r="G762" s="757"/>
      <c r="H762" s="757"/>
      <c r="I762" s="757"/>
      <c r="J762" s="775"/>
      <c r="K762" s="757"/>
    </row>
    <row r="763">
      <c r="B763" s="757"/>
      <c r="C763" s="757"/>
      <c r="D763" s="757"/>
      <c r="E763" s="757"/>
      <c r="F763" s="757"/>
      <c r="G763" s="757"/>
      <c r="H763" s="757"/>
      <c r="I763" s="757"/>
      <c r="J763" s="775"/>
      <c r="K763" s="757"/>
    </row>
    <row r="764">
      <c r="B764" s="757"/>
      <c r="C764" s="757"/>
      <c r="D764" s="757"/>
      <c r="E764" s="757"/>
      <c r="F764" s="757"/>
      <c r="G764" s="757"/>
      <c r="H764" s="757"/>
      <c r="I764" s="757"/>
      <c r="J764" s="775"/>
      <c r="K764" s="757"/>
    </row>
    <row r="765">
      <c r="B765" s="757"/>
      <c r="C765" s="757"/>
      <c r="D765" s="757"/>
      <c r="E765" s="757"/>
      <c r="F765" s="757"/>
      <c r="G765" s="757"/>
      <c r="H765" s="757"/>
      <c r="I765" s="757"/>
      <c r="J765" s="775"/>
      <c r="K765" s="757"/>
    </row>
    <row r="766">
      <c r="B766" s="757"/>
      <c r="C766" s="757"/>
      <c r="D766" s="757"/>
      <c r="E766" s="757"/>
      <c r="F766" s="757"/>
      <c r="G766" s="757"/>
      <c r="H766" s="757"/>
      <c r="I766" s="757"/>
      <c r="J766" s="775"/>
      <c r="K766" s="757"/>
    </row>
    <row r="767">
      <c r="B767" s="757"/>
      <c r="C767" s="757"/>
      <c r="D767" s="757"/>
      <c r="E767" s="757"/>
      <c r="F767" s="757"/>
      <c r="G767" s="757"/>
      <c r="H767" s="757"/>
      <c r="I767" s="757"/>
      <c r="J767" s="775"/>
      <c r="K767" s="757"/>
    </row>
    <row r="768">
      <c r="B768" s="757"/>
      <c r="C768" s="757"/>
      <c r="D768" s="757"/>
      <c r="E768" s="757"/>
      <c r="F768" s="757"/>
      <c r="G768" s="757"/>
      <c r="H768" s="757"/>
      <c r="I768" s="757"/>
      <c r="J768" s="775"/>
      <c r="K768" s="757"/>
    </row>
    <row r="769">
      <c r="B769" s="757"/>
      <c r="C769" s="757"/>
      <c r="D769" s="757"/>
      <c r="E769" s="757"/>
      <c r="F769" s="757"/>
      <c r="G769" s="757"/>
      <c r="H769" s="757"/>
      <c r="I769" s="757"/>
      <c r="J769" s="775"/>
      <c r="K769" s="757"/>
    </row>
    <row r="770">
      <c r="B770" s="757"/>
      <c r="C770" s="757"/>
      <c r="D770" s="757"/>
      <c r="E770" s="757"/>
      <c r="F770" s="757"/>
      <c r="G770" s="757"/>
      <c r="H770" s="757"/>
      <c r="I770" s="757"/>
      <c r="J770" s="775"/>
      <c r="K770" s="757"/>
    </row>
    <row r="771">
      <c r="B771" s="757"/>
      <c r="C771" s="757"/>
      <c r="D771" s="757"/>
      <c r="E771" s="757"/>
      <c r="F771" s="757"/>
      <c r="G771" s="757"/>
      <c r="H771" s="757"/>
      <c r="I771" s="757"/>
      <c r="J771" s="775"/>
      <c r="K771" s="757"/>
    </row>
    <row r="772">
      <c r="B772" s="757"/>
      <c r="C772" s="757"/>
      <c r="D772" s="757"/>
      <c r="E772" s="757"/>
      <c r="F772" s="757"/>
      <c r="G772" s="757"/>
      <c r="H772" s="757"/>
      <c r="I772" s="757"/>
      <c r="J772" s="775"/>
      <c r="K772" s="757"/>
    </row>
    <row r="773">
      <c r="B773" s="757"/>
      <c r="C773" s="757"/>
      <c r="D773" s="757"/>
      <c r="E773" s="757"/>
      <c r="F773" s="757"/>
      <c r="G773" s="757"/>
      <c r="H773" s="757"/>
      <c r="I773" s="757"/>
      <c r="J773" s="775"/>
      <c r="K773" s="757"/>
    </row>
    <row r="774">
      <c r="B774" s="757"/>
      <c r="C774" s="757"/>
      <c r="D774" s="757"/>
      <c r="E774" s="757"/>
      <c r="F774" s="757"/>
      <c r="G774" s="757"/>
      <c r="H774" s="757"/>
      <c r="I774" s="757"/>
      <c r="J774" s="775"/>
      <c r="K774" s="757"/>
    </row>
    <row r="775">
      <c r="B775" s="757"/>
      <c r="C775" s="757"/>
      <c r="D775" s="757"/>
      <c r="E775" s="757"/>
      <c r="F775" s="757"/>
      <c r="G775" s="757"/>
      <c r="H775" s="757"/>
      <c r="I775" s="757"/>
      <c r="J775" s="775"/>
      <c r="K775" s="757"/>
    </row>
    <row r="776">
      <c r="B776" s="757"/>
      <c r="C776" s="757"/>
      <c r="D776" s="757"/>
      <c r="E776" s="757"/>
      <c r="F776" s="757"/>
      <c r="G776" s="757"/>
      <c r="H776" s="757"/>
      <c r="I776" s="757"/>
      <c r="J776" s="775"/>
      <c r="K776" s="757"/>
    </row>
    <row r="777">
      <c r="B777" s="757"/>
      <c r="C777" s="757"/>
      <c r="D777" s="757"/>
      <c r="E777" s="757"/>
      <c r="F777" s="757"/>
      <c r="G777" s="757"/>
      <c r="H777" s="757"/>
      <c r="I777" s="757"/>
      <c r="J777" s="775"/>
      <c r="K777" s="757"/>
    </row>
    <row r="778">
      <c r="B778" s="757"/>
      <c r="C778" s="757"/>
      <c r="D778" s="757"/>
      <c r="E778" s="757"/>
      <c r="F778" s="757"/>
      <c r="G778" s="757"/>
      <c r="H778" s="757"/>
      <c r="I778" s="757"/>
      <c r="J778" s="775"/>
      <c r="K778" s="757"/>
    </row>
    <row r="779">
      <c r="B779" s="757"/>
      <c r="C779" s="757"/>
      <c r="D779" s="757"/>
      <c r="E779" s="757"/>
      <c r="F779" s="757"/>
      <c r="G779" s="757"/>
      <c r="H779" s="757"/>
      <c r="I779" s="757"/>
      <c r="J779" s="775"/>
      <c r="K779" s="757"/>
    </row>
    <row r="780">
      <c r="B780" s="757"/>
      <c r="C780" s="757"/>
      <c r="D780" s="757"/>
      <c r="E780" s="757"/>
      <c r="F780" s="757"/>
      <c r="G780" s="757"/>
      <c r="H780" s="757"/>
      <c r="I780" s="757"/>
      <c r="J780" s="775"/>
      <c r="K780" s="757"/>
    </row>
    <row r="781">
      <c r="B781" s="757"/>
      <c r="C781" s="757"/>
      <c r="D781" s="757"/>
      <c r="E781" s="757"/>
      <c r="F781" s="757"/>
      <c r="G781" s="757"/>
      <c r="H781" s="757"/>
      <c r="I781" s="757"/>
      <c r="J781" s="775"/>
      <c r="K781" s="757"/>
    </row>
    <row r="782">
      <c r="B782" s="757"/>
      <c r="C782" s="757"/>
      <c r="D782" s="757"/>
      <c r="E782" s="757"/>
      <c r="F782" s="757"/>
      <c r="G782" s="757"/>
      <c r="H782" s="757"/>
      <c r="I782" s="757"/>
      <c r="J782" s="775"/>
      <c r="K782" s="757"/>
    </row>
    <row r="783">
      <c r="B783" s="757"/>
      <c r="C783" s="757"/>
      <c r="D783" s="757"/>
      <c r="E783" s="757"/>
      <c r="F783" s="757"/>
      <c r="G783" s="757"/>
      <c r="H783" s="757"/>
      <c r="I783" s="757"/>
      <c r="J783" s="775"/>
      <c r="K783" s="757"/>
    </row>
    <row r="784">
      <c r="B784" s="757"/>
      <c r="C784" s="757"/>
      <c r="D784" s="757"/>
      <c r="E784" s="757"/>
      <c r="F784" s="757"/>
      <c r="G784" s="757"/>
      <c r="H784" s="757"/>
      <c r="I784" s="757"/>
      <c r="J784" s="775"/>
      <c r="K784" s="757"/>
    </row>
    <row r="785">
      <c r="B785" s="757"/>
      <c r="C785" s="757"/>
      <c r="D785" s="757"/>
      <c r="E785" s="757"/>
      <c r="F785" s="757"/>
      <c r="G785" s="757"/>
      <c r="H785" s="757"/>
      <c r="I785" s="757"/>
      <c r="J785" s="775"/>
      <c r="K785" s="757"/>
    </row>
    <row r="786">
      <c r="B786" s="757"/>
      <c r="C786" s="757"/>
      <c r="D786" s="757"/>
      <c r="E786" s="757"/>
      <c r="F786" s="757"/>
      <c r="G786" s="757"/>
      <c r="H786" s="757"/>
      <c r="I786" s="757"/>
      <c r="J786" s="775"/>
      <c r="K786" s="757"/>
    </row>
    <row r="787">
      <c r="B787" s="757"/>
      <c r="C787" s="757"/>
      <c r="D787" s="757"/>
      <c r="E787" s="757"/>
      <c r="F787" s="757"/>
      <c r="G787" s="757"/>
      <c r="H787" s="757"/>
      <c r="I787" s="757"/>
      <c r="J787" s="775"/>
      <c r="K787" s="757"/>
    </row>
    <row r="788">
      <c r="B788" s="757"/>
      <c r="C788" s="757"/>
      <c r="D788" s="757"/>
      <c r="E788" s="757"/>
      <c r="F788" s="757"/>
      <c r="G788" s="757"/>
      <c r="H788" s="757"/>
      <c r="I788" s="757"/>
      <c r="J788" s="775"/>
      <c r="K788" s="757"/>
    </row>
    <row r="789">
      <c r="B789" s="757"/>
      <c r="C789" s="757"/>
      <c r="D789" s="757"/>
      <c r="E789" s="757"/>
      <c r="F789" s="757"/>
      <c r="G789" s="757"/>
      <c r="H789" s="757"/>
      <c r="I789" s="757"/>
      <c r="J789" s="775"/>
      <c r="K789" s="757"/>
    </row>
    <row r="790">
      <c r="B790" s="757"/>
      <c r="C790" s="757"/>
      <c r="D790" s="757"/>
      <c r="E790" s="757"/>
      <c r="F790" s="757"/>
      <c r="G790" s="757"/>
      <c r="H790" s="757"/>
      <c r="I790" s="757"/>
      <c r="J790" s="775"/>
      <c r="K790" s="757"/>
    </row>
    <row r="791">
      <c r="B791" s="757"/>
      <c r="C791" s="757"/>
      <c r="D791" s="757"/>
      <c r="E791" s="757"/>
      <c r="F791" s="757"/>
      <c r="G791" s="757"/>
      <c r="H791" s="757"/>
      <c r="I791" s="757"/>
      <c r="J791" s="775"/>
      <c r="K791" s="757"/>
    </row>
    <row r="792">
      <c r="B792" s="757"/>
      <c r="C792" s="757"/>
      <c r="D792" s="757"/>
      <c r="E792" s="757"/>
      <c r="F792" s="757"/>
      <c r="G792" s="757"/>
      <c r="H792" s="757"/>
      <c r="I792" s="757"/>
      <c r="J792" s="775"/>
      <c r="K792" s="757"/>
    </row>
    <row r="793">
      <c r="B793" s="757"/>
      <c r="C793" s="757"/>
      <c r="D793" s="757"/>
      <c r="E793" s="757"/>
      <c r="F793" s="757"/>
      <c r="G793" s="757"/>
      <c r="H793" s="757"/>
      <c r="I793" s="757"/>
      <c r="J793" s="775"/>
      <c r="K793" s="757"/>
    </row>
    <row r="794">
      <c r="B794" s="757"/>
      <c r="C794" s="757"/>
      <c r="D794" s="757"/>
      <c r="E794" s="757"/>
      <c r="F794" s="757"/>
      <c r="G794" s="757"/>
      <c r="H794" s="757"/>
      <c r="I794" s="757"/>
      <c r="J794" s="775"/>
      <c r="K794" s="757"/>
    </row>
    <row r="795">
      <c r="B795" s="757"/>
      <c r="C795" s="757"/>
      <c r="D795" s="757"/>
      <c r="E795" s="757"/>
      <c r="F795" s="757"/>
      <c r="G795" s="757"/>
      <c r="H795" s="757"/>
      <c r="I795" s="757"/>
      <c r="J795" s="775"/>
      <c r="K795" s="757"/>
    </row>
    <row r="796">
      <c r="B796" s="757"/>
      <c r="C796" s="757"/>
      <c r="D796" s="757"/>
      <c r="E796" s="757"/>
      <c r="F796" s="757"/>
      <c r="G796" s="757"/>
      <c r="H796" s="757"/>
      <c r="I796" s="757"/>
      <c r="J796" s="775"/>
      <c r="K796" s="757"/>
    </row>
    <row r="797">
      <c r="B797" s="757"/>
      <c r="C797" s="757"/>
      <c r="D797" s="757"/>
      <c r="E797" s="757"/>
      <c r="F797" s="757"/>
      <c r="G797" s="757"/>
      <c r="H797" s="757"/>
      <c r="I797" s="757"/>
      <c r="J797" s="775"/>
      <c r="K797" s="757"/>
    </row>
    <row r="798">
      <c r="B798" s="757"/>
      <c r="C798" s="757"/>
      <c r="D798" s="757"/>
      <c r="E798" s="757"/>
      <c r="F798" s="757"/>
      <c r="G798" s="757"/>
      <c r="H798" s="757"/>
      <c r="I798" s="757"/>
      <c r="J798" s="775"/>
      <c r="K798" s="757"/>
    </row>
    <row r="799">
      <c r="B799" s="757"/>
      <c r="C799" s="757"/>
      <c r="D799" s="757"/>
      <c r="E799" s="757"/>
      <c r="F799" s="757"/>
      <c r="G799" s="757"/>
      <c r="H799" s="757"/>
      <c r="I799" s="757"/>
      <c r="J799" s="775"/>
      <c r="K799" s="757"/>
    </row>
    <row r="800">
      <c r="B800" s="757"/>
      <c r="C800" s="757"/>
      <c r="D800" s="757"/>
      <c r="E800" s="757"/>
      <c r="F800" s="757"/>
      <c r="G800" s="757"/>
      <c r="H800" s="757"/>
      <c r="I800" s="757"/>
      <c r="J800" s="775"/>
      <c r="K800" s="757"/>
    </row>
    <row r="801">
      <c r="B801" s="757"/>
      <c r="C801" s="757"/>
      <c r="D801" s="757"/>
      <c r="E801" s="757"/>
      <c r="F801" s="757"/>
      <c r="G801" s="757"/>
      <c r="H801" s="757"/>
      <c r="I801" s="757"/>
      <c r="J801" s="775"/>
      <c r="K801" s="757"/>
    </row>
    <row r="802">
      <c r="B802" s="757"/>
      <c r="C802" s="757"/>
      <c r="D802" s="757"/>
      <c r="E802" s="757"/>
      <c r="F802" s="757"/>
      <c r="G802" s="757"/>
      <c r="H802" s="757"/>
      <c r="I802" s="757"/>
      <c r="J802" s="775"/>
      <c r="K802" s="757"/>
    </row>
    <row r="803">
      <c r="B803" s="757"/>
      <c r="C803" s="757"/>
      <c r="D803" s="757"/>
      <c r="E803" s="757"/>
      <c r="F803" s="757"/>
      <c r="G803" s="757"/>
      <c r="H803" s="757"/>
      <c r="I803" s="757"/>
      <c r="J803" s="775"/>
      <c r="K803" s="757"/>
    </row>
    <row r="804">
      <c r="B804" s="757"/>
      <c r="C804" s="757"/>
      <c r="D804" s="757"/>
      <c r="E804" s="757"/>
      <c r="F804" s="757"/>
      <c r="G804" s="757"/>
      <c r="H804" s="757"/>
      <c r="I804" s="757"/>
      <c r="J804" s="775"/>
      <c r="K804" s="757"/>
    </row>
    <row r="805">
      <c r="B805" s="757"/>
      <c r="C805" s="757"/>
      <c r="D805" s="757"/>
      <c r="E805" s="757"/>
      <c r="F805" s="757"/>
      <c r="G805" s="757"/>
      <c r="H805" s="757"/>
      <c r="I805" s="757"/>
      <c r="J805" s="775"/>
      <c r="K805" s="757"/>
    </row>
    <row r="806">
      <c r="B806" s="757"/>
      <c r="C806" s="757"/>
      <c r="D806" s="757"/>
      <c r="E806" s="757"/>
      <c r="F806" s="757"/>
      <c r="G806" s="757"/>
      <c r="H806" s="757"/>
      <c r="I806" s="757"/>
      <c r="J806" s="775"/>
      <c r="K806" s="757"/>
    </row>
    <row r="807">
      <c r="B807" s="757"/>
      <c r="C807" s="757"/>
      <c r="D807" s="757"/>
      <c r="E807" s="757"/>
      <c r="F807" s="757"/>
      <c r="G807" s="757"/>
      <c r="H807" s="757"/>
      <c r="I807" s="757"/>
      <c r="J807" s="775"/>
      <c r="K807" s="757"/>
    </row>
    <row r="808">
      <c r="B808" s="757"/>
      <c r="C808" s="757"/>
      <c r="D808" s="757"/>
      <c r="E808" s="757"/>
      <c r="F808" s="757"/>
      <c r="G808" s="757"/>
      <c r="H808" s="757"/>
      <c r="I808" s="757"/>
      <c r="J808" s="775"/>
      <c r="K808" s="757"/>
    </row>
    <row r="809">
      <c r="B809" s="757"/>
      <c r="C809" s="757"/>
      <c r="D809" s="757"/>
      <c r="E809" s="757"/>
      <c r="F809" s="757"/>
      <c r="G809" s="757"/>
      <c r="H809" s="757"/>
      <c r="I809" s="757"/>
      <c r="J809" s="775"/>
      <c r="K809" s="757"/>
    </row>
    <row r="810">
      <c r="B810" s="757"/>
      <c r="C810" s="757"/>
      <c r="D810" s="757"/>
      <c r="E810" s="757"/>
      <c r="F810" s="757"/>
      <c r="G810" s="757"/>
      <c r="H810" s="757"/>
      <c r="I810" s="757"/>
      <c r="J810" s="775"/>
      <c r="K810" s="757"/>
    </row>
    <row r="811">
      <c r="B811" s="757"/>
      <c r="C811" s="757"/>
      <c r="D811" s="757"/>
      <c r="E811" s="757"/>
      <c r="F811" s="757"/>
      <c r="G811" s="757"/>
      <c r="H811" s="757"/>
      <c r="I811" s="757"/>
      <c r="J811" s="775"/>
      <c r="K811" s="757"/>
    </row>
    <row r="812">
      <c r="B812" s="757"/>
      <c r="C812" s="757"/>
      <c r="D812" s="757"/>
      <c r="E812" s="757"/>
      <c r="F812" s="757"/>
      <c r="G812" s="757"/>
      <c r="H812" s="757"/>
      <c r="I812" s="757"/>
      <c r="J812" s="775"/>
      <c r="K812" s="757"/>
    </row>
    <row r="813">
      <c r="B813" s="757"/>
      <c r="C813" s="757"/>
      <c r="D813" s="757"/>
      <c r="E813" s="757"/>
      <c r="F813" s="757"/>
      <c r="G813" s="757"/>
      <c r="H813" s="757"/>
      <c r="I813" s="757"/>
      <c r="J813" s="775"/>
      <c r="K813" s="757"/>
    </row>
    <row r="814">
      <c r="B814" s="757"/>
      <c r="C814" s="757"/>
      <c r="D814" s="757"/>
      <c r="E814" s="757"/>
      <c r="F814" s="757"/>
      <c r="G814" s="757"/>
      <c r="H814" s="757"/>
      <c r="I814" s="757"/>
      <c r="J814" s="775"/>
      <c r="K814" s="757"/>
    </row>
    <row r="815">
      <c r="B815" s="757"/>
      <c r="C815" s="757"/>
      <c r="D815" s="757"/>
      <c r="E815" s="757"/>
      <c r="F815" s="757"/>
      <c r="G815" s="757"/>
      <c r="H815" s="757"/>
      <c r="I815" s="757"/>
      <c r="J815" s="775"/>
      <c r="K815" s="757"/>
    </row>
    <row r="816">
      <c r="B816" s="757"/>
      <c r="C816" s="757"/>
      <c r="D816" s="757"/>
      <c r="E816" s="757"/>
      <c r="F816" s="757"/>
      <c r="G816" s="757"/>
      <c r="H816" s="757"/>
      <c r="I816" s="757"/>
      <c r="J816" s="775"/>
      <c r="K816" s="757"/>
    </row>
    <row r="817">
      <c r="B817" s="757"/>
      <c r="C817" s="757"/>
      <c r="D817" s="757"/>
      <c r="E817" s="757"/>
      <c r="F817" s="757"/>
      <c r="G817" s="757"/>
      <c r="H817" s="757"/>
      <c r="I817" s="757"/>
      <c r="J817" s="775"/>
      <c r="K817" s="757"/>
    </row>
    <row r="818">
      <c r="B818" s="757"/>
      <c r="C818" s="757"/>
      <c r="D818" s="757"/>
      <c r="E818" s="757"/>
      <c r="F818" s="757"/>
      <c r="G818" s="757"/>
      <c r="H818" s="757"/>
      <c r="I818" s="757"/>
      <c r="J818" s="775"/>
      <c r="K818" s="757"/>
    </row>
    <row r="819">
      <c r="B819" s="757"/>
      <c r="C819" s="757"/>
      <c r="D819" s="757"/>
      <c r="E819" s="757"/>
      <c r="F819" s="757"/>
      <c r="G819" s="757"/>
      <c r="H819" s="757"/>
      <c r="I819" s="757"/>
      <c r="J819" s="775"/>
      <c r="K819" s="757"/>
    </row>
    <row r="820">
      <c r="B820" s="757"/>
      <c r="C820" s="757"/>
      <c r="D820" s="757"/>
      <c r="E820" s="757"/>
      <c r="F820" s="757"/>
      <c r="G820" s="757"/>
      <c r="H820" s="757"/>
      <c r="I820" s="757"/>
      <c r="J820" s="775"/>
      <c r="K820" s="757"/>
    </row>
    <row r="821">
      <c r="B821" s="757"/>
      <c r="C821" s="757"/>
      <c r="D821" s="757"/>
      <c r="E821" s="757"/>
      <c r="F821" s="757"/>
      <c r="G821" s="757"/>
      <c r="H821" s="757"/>
      <c r="I821" s="757"/>
      <c r="J821" s="775"/>
      <c r="K821" s="757"/>
    </row>
    <row r="822">
      <c r="B822" s="757"/>
      <c r="C822" s="757"/>
      <c r="D822" s="757"/>
      <c r="E822" s="757"/>
      <c r="F822" s="757"/>
      <c r="G822" s="757"/>
      <c r="H822" s="757"/>
      <c r="I822" s="757"/>
      <c r="J822" s="775"/>
      <c r="K822" s="757"/>
    </row>
    <row r="823">
      <c r="B823" s="757"/>
      <c r="C823" s="757"/>
      <c r="D823" s="757"/>
      <c r="E823" s="757"/>
      <c r="F823" s="757"/>
      <c r="G823" s="757"/>
      <c r="H823" s="757"/>
      <c r="I823" s="757"/>
      <c r="J823" s="775"/>
      <c r="K823" s="757"/>
    </row>
    <row r="824">
      <c r="B824" s="757"/>
      <c r="C824" s="757"/>
      <c r="D824" s="757"/>
      <c r="E824" s="757"/>
      <c r="F824" s="757"/>
      <c r="G824" s="757"/>
      <c r="H824" s="757"/>
      <c r="I824" s="757"/>
      <c r="J824" s="775"/>
      <c r="K824" s="757"/>
    </row>
    <row r="825">
      <c r="B825" s="757"/>
      <c r="C825" s="757"/>
      <c r="D825" s="757"/>
      <c r="E825" s="757"/>
      <c r="F825" s="757"/>
      <c r="G825" s="757"/>
      <c r="H825" s="757"/>
      <c r="I825" s="757"/>
      <c r="J825" s="775"/>
      <c r="K825" s="757"/>
    </row>
    <row r="826">
      <c r="B826" s="757"/>
      <c r="C826" s="757"/>
      <c r="D826" s="757"/>
      <c r="E826" s="757"/>
      <c r="F826" s="757"/>
      <c r="G826" s="757"/>
      <c r="H826" s="757"/>
      <c r="I826" s="757"/>
      <c r="J826" s="775"/>
      <c r="K826" s="757"/>
    </row>
    <row r="827">
      <c r="B827" s="757"/>
      <c r="C827" s="757"/>
      <c r="D827" s="757"/>
      <c r="E827" s="757"/>
      <c r="F827" s="757"/>
      <c r="G827" s="757"/>
      <c r="H827" s="757"/>
      <c r="I827" s="757"/>
      <c r="J827" s="775"/>
      <c r="K827" s="757"/>
    </row>
    <row r="828">
      <c r="B828" s="757"/>
      <c r="C828" s="757"/>
      <c r="D828" s="757"/>
      <c r="E828" s="757"/>
      <c r="F828" s="757"/>
      <c r="G828" s="757"/>
      <c r="H828" s="757"/>
      <c r="I828" s="757"/>
      <c r="J828" s="775"/>
      <c r="K828" s="757"/>
    </row>
    <row r="829">
      <c r="B829" s="757"/>
      <c r="C829" s="757"/>
      <c r="D829" s="757"/>
      <c r="E829" s="757"/>
      <c r="F829" s="757"/>
      <c r="G829" s="757"/>
      <c r="H829" s="757"/>
      <c r="I829" s="757"/>
      <c r="J829" s="775"/>
      <c r="K829" s="757"/>
    </row>
    <row r="830">
      <c r="B830" s="757"/>
      <c r="C830" s="757"/>
      <c r="D830" s="757"/>
      <c r="E830" s="757"/>
      <c r="F830" s="757"/>
      <c r="G830" s="757"/>
      <c r="H830" s="757"/>
      <c r="I830" s="757"/>
      <c r="J830" s="775"/>
      <c r="K830" s="757"/>
    </row>
    <row r="831">
      <c r="B831" s="757"/>
      <c r="C831" s="757"/>
      <c r="D831" s="757"/>
      <c r="E831" s="757"/>
      <c r="F831" s="757"/>
      <c r="G831" s="757"/>
      <c r="H831" s="757"/>
      <c r="I831" s="757"/>
      <c r="J831" s="775"/>
      <c r="K831" s="757"/>
    </row>
    <row r="832">
      <c r="B832" s="757"/>
      <c r="C832" s="757"/>
      <c r="D832" s="757"/>
      <c r="E832" s="757"/>
      <c r="F832" s="757"/>
      <c r="G832" s="757"/>
      <c r="H832" s="757"/>
      <c r="I832" s="757"/>
      <c r="J832" s="775"/>
      <c r="K832" s="757"/>
    </row>
    <row r="833">
      <c r="B833" s="757"/>
      <c r="C833" s="757"/>
      <c r="D833" s="757"/>
      <c r="E833" s="757"/>
      <c r="F833" s="757"/>
      <c r="G833" s="757"/>
      <c r="H833" s="757"/>
      <c r="I833" s="757"/>
      <c r="J833" s="775"/>
      <c r="K833" s="757"/>
    </row>
    <row r="834">
      <c r="B834" s="757"/>
      <c r="C834" s="757"/>
      <c r="D834" s="757"/>
      <c r="E834" s="757"/>
      <c r="F834" s="757"/>
      <c r="G834" s="757"/>
      <c r="H834" s="757"/>
      <c r="I834" s="757"/>
      <c r="J834" s="775"/>
      <c r="K834" s="757"/>
    </row>
    <row r="835">
      <c r="B835" s="757"/>
      <c r="C835" s="757"/>
      <c r="D835" s="757"/>
      <c r="E835" s="757"/>
      <c r="F835" s="757"/>
      <c r="G835" s="757"/>
      <c r="H835" s="757"/>
      <c r="I835" s="757"/>
      <c r="J835" s="775"/>
      <c r="K835" s="757"/>
    </row>
    <row r="836">
      <c r="B836" s="757"/>
      <c r="C836" s="757"/>
      <c r="D836" s="757"/>
      <c r="E836" s="757"/>
      <c r="F836" s="757"/>
      <c r="G836" s="757"/>
      <c r="H836" s="757"/>
      <c r="I836" s="757"/>
      <c r="J836" s="775"/>
      <c r="K836" s="757"/>
    </row>
    <row r="837">
      <c r="B837" s="757"/>
      <c r="C837" s="757"/>
      <c r="D837" s="757"/>
      <c r="E837" s="757"/>
      <c r="F837" s="757"/>
      <c r="G837" s="757"/>
      <c r="H837" s="757"/>
      <c r="I837" s="757"/>
      <c r="J837" s="775"/>
      <c r="K837" s="757"/>
    </row>
    <row r="838">
      <c r="B838" s="757"/>
      <c r="C838" s="757"/>
      <c r="D838" s="757"/>
      <c r="E838" s="757"/>
      <c r="F838" s="757"/>
      <c r="G838" s="757"/>
      <c r="H838" s="757"/>
      <c r="I838" s="757"/>
      <c r="J838" s="775"/>
      <c r="K838" s="757"/>
    </row>
    <row r="839">
      <c r="B839" s="757"/>
      <c r="C839" s="757"/>
      <c r="D839" s="757"/>
      <c r="E839" s="757"/>
      <c r="F839" s="757"/>
      <c r="G839" s="757"/>
      <c r="H839" s="757"/>
      <c r="I839" s="757"/>
      <c r="J839" s="775"/>
      <c r="K839" s="757"/>
    </row>
    <row r="840">
      <c r="B840" s="757"/>
      <c r="C840" s="757"/>
      <c r="D840" s="757"/>
      <c r="E840" s="757"/>
      <c r="F840" s="757"/>
      <c r="G840" s="757"/>
      <c r="H840" s="757"/>
      <c r="I840" s="757"/>
      <c r="J840" s="775"/>
      <c r="K840" s="757"/>
    </row>
    <row r="841">
      <c r="B841" s="757"/>
      <c r="C841" s="757"/>
      <c r="D841" s="757"/>
      <c r="E841" s="757"/>
      <c r="F841" s="757"/>
      <c r="G841" s="757"/>
      <c r="H841" s="757"/>
      <c r="I841" s="757"/>
      <c r="J841" s="775"/>
      <c r="K841" s="757"/>
    </row>
    <row r="842">
      <c r="B842" s="757"/>
      <c r="C842" s="757"/>
      <c r="D842" s="757"/>
      <c r="E842" s="757"/>
      <c r="F842" s="757"/>
      <c r="G842" s="757"/>
      <c r="H842" s="757"/>
      <c r="I842" s="757"/>
      <c r="J842" s="775"/>
      <c r="K842" s="757"/>
    </row>
    <row r="843">
      <c r="B843" s="757"/>
      <c r="C843" s="757"/>
      <c r="D843" s="757"/>
      <c r="E843" s="757"/>
      <c r="F843" s="757"/>
      <c r="G843" s="757"/>
      <c r="H843" s="757"/>
      <c r="I843" s="757"/>
      <c r="J843" s="775"/>
      <c r="K843" s="757"/>
    </row>
    <row r="844">
      <c r="B844" s="757"/>
      <c r="C844" s="757"/>
      <c r="D844" s="757"/>
      <c r="E844" s="757"/>
      <c r="F844" s="757"/>
      <c r="G844" s="757"/>
      <c r="H844" s="757"/>
      <c r="I844" s="757"/>
      <c r="J844" s="775"/>
      <c r="K844" s="757"/>
    </row>
    <row r="845">
      <c r="B845" s="757"/>
      <c r="C845" s="757"/>
      <c r="D845" s="757"/>
      <c r="E845" s="757"/>
      <c r="F845" s="757"/>
      <c r="G845" s="757"/>
      <c r="H845" s="757"/>
      <c r="I845" s="757"/>
      <c r="J845" s="775"/>
      <c r="K845" s="757"/>
    </row>
    <row r="846">
      <c r="B846" s="757"/>
      <c r="C846" s="757"/>
      <c r="D846" s="757"/>
      <c r="E846" s="757"/>
      <c r="F846" s="757"/>
      <c r="G846" s="757"/>
      <c r="H846" s="757"/>
      <c r="I846" s="757"/>
      <c r="J846" s="775"/>
      <c r="K846" s="757"/>
    </row>
    <row r="847">
      <c r="B847" s="757"/>
      <c r="C847" s="757"/>
      <c r="D847" s="757"/>
      <c r="E847" s="757"/>
      <c r="F847" s="757"/>
      <c r="G847" s="757"/>
      <c r="H847" s="757"/>
      <c r="I847" s="757"/>
      <c r="J847" s="775"/>
      <c r="K847" s="757"/>
    </row>
    <row r="848">
      <c r="B848" s="757"/>
      <c r="C848" s="757"/>
      <c r="D848" s="757"/>
      <c r="E848" s="757"/>
      <c r="F848" s="757"/>
      <c r="G848" s="757"/>
      <c r="H848" s="757"/>
      <c r="I848" s="757"/>
      <c r="J848" s="775"/>
      <c r="K848" s="757"/>
    </row>
    <row r="849">
      <c r="B849" s="757"/>
      <c r="C849" s="757"/>
      <c r="D849" s="757"/>
      <c r="E849" s="757"/>
      <c r="F849" s="757"/>
      <c r="G849" s="757"/>
      <c r="H849" s="757"/>
      <c r="I849" s="757"/>
      <c r="J849" s="775"/>
      <c r="K849" s="757"/>
    </row>
    <row r="850">
      <c r="B850" s="757"/>
      <c r="C850" s="757"/>
      <c r="D850" s="757"/>
      <c r="E850" s="757"/>
      <c r="F850" s="757"/>
      <c r="G850" s="757"/>
      <c r="H850" s="757"/>
      <c r="I850" s="757"/>
      <c r="J850" s="775"/>
      <c r="K850" s="757"/>
    </row>
    <row r="851">
      <c r="B851" s="757"/>
      <c r="C851" s="757"/>
      <c r="D851" s="757"/>
      <c r="E851" s="757"/>
      <c r="F851" s="757"/>
      <c r="G851" s="757"/>
      <c r="H851" s="757"/>
      <c r="I851" s="757"/>
      <c r="J851" s="775"/>
      <c r="K851" s="757"/>
    </row>
    <row r="852">
      <c r="B852" s="757"/>
      <c r="C852" s="757"/>
      <c r="D852" s="757"/>
      <c r="E852" s="757"/>
      <c r="F852" s="757"/>
      <c r="G852" s="757"/>
      <c r="H852" s="757"/>
      <c r="I852" s="757"/>
      <c r="J852" s="775"/>
      <c r="K852" s="757"/>
    </row>
    <row r="853">
      <c r="B853" s="757"/>
      <c r="C853" s="757"/>
      <c r="D853" s="757"/>
      <c r="E853" s="757"/>
      <c r="F853" s="757"/>
      <c r="G853" s="757"/>
      <c r="H853" s="757"/>
      <c r="I853" s="757"/>
      <c r="J853" s="775"/>
      <c r="K853" s="757"/>
    </row>
    <row r="854">
      <c r="B854" s="757"/>
      <c r="C854" s="757"/>
      <c r="D854" s="757"/>
      <c r="E854" s="757"/>
      <c r="F854" s="757"/>
      <c r="G854" s="757"/>
      <c r="H854" s="757"/>
      <c r="I854" s="757"/>
      <c r="J854" s="775"/>
      <c r="K854" s="757"/>
    </row>
    <row r="855">
      <c r="B855" s="757"/>
      <c r="C855" s="757"/>
      <c r="D855" s="757"/>
      <c r="E855" s="757"/>
      <c r="F855" s="757"/>
      <c r="G855" s="757"/>
      <c r="H855" s="757"/>
      <c r="I855" s="757"/>
      <c r="J855" s="775"/>
      <c r="K855" s="757"/>
    </row>
    <row r="856">
      <c r="B856" s="757"/>
      <c r="C856" s="757"/>
      <c r="D856" s="757"/>
      <c r="E856" s="757"/>
      <c r="F856" s="757"/>
      <c r="G856" s="757"/>
      <c r="H856" s="757"/>
      <c r="I856" s="757"/>
      <c r="J856" s="775"/>
      <c r="K856" s="757"/>
    </row>
    <row r="857">
      <c r="B857" s="757"/>
      <c r="C857" s="757"/>
      <c r="D857" s="757"/>
      <c r="E857" s="757"/>
      <c r="F857" s="757"/>
      <c r="G857" s="757"/>
      <c r="H857" s="757"/>
      <c r="I857" s="757"/>
      <c r="J857" s="775"/>
      <c r="K857" s="757"/>
    </row>
    <row r="858">
      <c r="B858" s="757"/>
      <c r="C858" s="757"/>
      <c r="D858" s="757"/>
      <c r="E858" s="757"/>
      <c r="F858" s="757"/>
      <c r="G858" s="757"/>
      <c r="H858" s="757"/>
      <c r="I858" s="757"/>
      <c r="J858" s="775"/>
      <c r="K858" s="757"/>
    </row>
    <row r="859">
      <c r="B859" s="757"/>
      <c r="C859" s="757"/>
      <c r="D859" s="757"/>
      <c r="E859" s="757"/>
      <c r="F859" s="757"/>
      <c r="G859" s="757"/>
      <c r="H859" s="757"/>
      <c r="I859" s="757"/>
      <c r="J859" s="775"/>
      <c r="K859" s="757"/>
    </row>
    <row r="860">
      <c r="B860" s="757"/>
      <c r="C860" s="757"/>
      <c r="D860" s="757"/>
      <c r="E860" s="757"/>
      <c r="F860" s="757"/>
      <c r="G860" s="757"/>
      <c r="H860" s="757"/>
      <c r="I860" s="757"/>
      <c r="J860" s="775"/>
      <c r="K860" s="757"/>
    </row>
    <row r="861">
      <c r="B861" s="757"/>
      <c r="C861" s="757"/>
      <c r="D861" s="757"/>
      <c r="E861" s="757"/>
      <c r="F861" s="757"/>
      <c r="G861" s="757"/>
      <c r="H861" s="757"/>
      <c r="I861" s="757"/>
      <c r="J861" s="775"/>
      <c r="K861" s="757"/>
    </row>
    <row r="862">
      <c r="B862" s="757"/>
      <c r="C862" s="757"/>
      <c r="D862" s="757"/>
      <c r="E862" s="757"/>
      <c r="F862" s="757"/>
      <c r="G862" s="757"/>
      <c r="H862" s="757"/>
      <c r="I862" s="757"/>
      <c r="J862" s="775"/>
      <c r="K862" s="757"/>
    </row>
    <row r="863">
      <c r="B863" s="757"/>
      <c r="C863" s="757"/>
      <c r="D863" s="757"/>
      <c r="E863" s="757"/>
      <c r="F863" s="757"/>
      <c r="G863" s="757"/>
      <c r="H863" s="757"/>
      <c r="I863" s="757"/>
      <c r="J863" s="775"/>
      <c r="K863" s="757"/>
    </row>
    <row r="864">
      <c r="B864" s="757"/>
      <c r="C864" s="757"/>
      <c r="D864" s="757"/>
      <c r="E864" s="757"/>
      <c r="F864" s="757"/>
      <c r="G864" s="757"/>
      <c r="H864" s="757"/>
      <c r="I864" s="757"/>
      <c r="J864" s="775"/>
      <c r="K864" s="757"/>
    </row>
    <row r="865">
      <c r="B865" s="757"/>
      <c r="C865" s="757"/>
      <c r="D865" s="757"/>
      <c r="E865" s="757"/>
      <c r="F865" s="757"/>
      <c r="G865" s="757"/>
      <c r="H865" s="757"/>
      <c r="I865" s="757"/>
      <c r="J865" s="775"/>
      <c r="K865" s="757"/>
    </row>
    <row r="866">
      <c r="B866" s="757"/>
      <c r="C866" s="757"/>
      <c r="D866" s="757"/>
      <c r="E866" s="757"/>
      <c r="F866" s="757"/>
      <c r="G866" s="757"/>
      <c r="H866" s="757"/>
      <c r="I866" s="757"/>
      <c r="J866" s="775"/>
      <c r="K866" s="757"/>
    </row>
    <row r="867">
      <c r="B867" s="757"/>
      <c r="C867" s="757"/>
      <c r="D867" s="757"/>
      <c r="E867" s="757"/>
      <c r="F867" s="757"/>
      <c r="G867" s="757"/>
      <c r="H867" s="757"/>
      <c r="I867" s="757"/>
      <c r="J867" s="775"/>
      <c r="K867" s="757"/>
    </row>
    <row r="868">
      <c r="B868" s="757"/>
      <c r="C868" s="757"/>
      <c r="D868" s="757"/>
      <c r="E868" s="757"/>
      <c r="F868" s="757"/>
      <c r="G868" s="757"/>
      <c r="H868" s="757"/>
      <c r="I868" s="757"/>
      <c r="J868" s="775"/>
      <c r="K868" s="757"/>
    </row>
    <row r="869">
      <c r="B869" s="757"/>
      <c r="C869" s="757"/>
      <c r="D869" s="757"/>
      <c r="E869" s="757"/>
      <c r="F869" s="757"/>
      <c r="G869" s="757"/>
      <c r="H869" s="757"/>
      <c r="I869" s="757"/>
      <c r="J869" s="775"/>
      <c r="K869" s="757"/>
    </row>
    <row r="870">
      <c r="B870" s="757"/>
      <c r="C870" s="757"/>
      <c r="D870" s="757"/>
      <c r="E870" s="757"/>
      <c r="F870" s="757"/>
      <c r="G870" s="757"/>
      <c r="H870" s="757"/>
      <c r="I870" s="757"/>
      <c r="J870" s="775"/>
      <c r="K870" s="757"/>
    </row>
    <row r="871">
      <c r="B871" s="757"/>
      <c r="C871" s="757"/>
      <c r="D871" s="757"/>
      <c r="E871" s="757"/>
      <c r="F871" s="757"/>
      <c r="G871" s="757"/>
      <c r="H871" s="757"/>
      <c r="I871" s="757"/>
      <c r="J871" s="775"/>
      <c r="K871" s="757"/>
    </row>
    <row r="872">
      <c r="B872" s="757"/>
      <c r="C872" s="757"/>
      <c r="D872" s="757"/>
      <c r="E872" s="757"/>
      <c r="F872" s="757"/>
      <c r="G872" s="757"/>
      <c r="H872" s="757"/>
      <c r="I872" s="757"/>
      <c r="J872" s="775"/>
      <c r="K872" s="757"/>
    </row>
    <row r="873">
      <c r="B873" s="757"/>
      <c r="C873" s="757"/>
      <c r="D873" s="757"/>
      <c r="E873" s="757"/>
      <c r="F873" s="757"/>
      <c r="G873" s="757"/>
      <c r="H873" s="757"/>
      <c r="I873" s="757"/>
      <c r="J873" s="775"/>
      <c r="K873" s="757"/>
    </row>
    <row r="874">
      <c r="B874" s="757"/>
      <c r="C874" s="757"/>
      <c r="D874" s="757"/>
      <c r="E874" s="757"/>
      <c r="F874" s="757"/>
      <c r="G874" s="757"/>
      <c r="H874" s="757"/>
      <c r="I874" s="757"/>
      <c r="J874" s="775"/>
      <c r="K874" s="757"/>
    </row>
    <row r="875">
      <c r="B875" s="757"/>
      <c r="C875" s="757"/>
      <c r="D875" s="757"/>
      <c r="E875" s="757"/>
      <c r="F875" s="757"/>
      <c r="G875" s="757"/>
      <c r="H875" s="757"/>
      <c r="I875" s="757"/>
      <c r="J875" s="775"/>
      <c r="K875" s="757"/>
    </row>
    <row r="876">
      <c r="B876" s="757"/>
      <c r="C876" s="757"/>
      <c r="D876" s="757"/>
      <c r="E876" s="757"/>
      <c r="F876" s="757"/>
      <c r="G876" s="757"/>
      <c r="H876" s="757"/>
      <c r="I876" s="757"/>
      <c r="J876" s="775"/>
      <c r="K876" s="757"/>
    </row>
    <row r="877">
      <c r="B877" s="757"/>
      <c r="C877" s="757"/>
      <c r="D877" s="757"/>
      <c r="E877" s="757"/>
      <c r="F877" s="757"/>
      <c r="G877" s="757"/>
      <c r="H877" s="757"/>
      <c r="I877" s="757"/>
      <c r="J877" s="775"/>
      <c r="K877" s="757"/>
    </row>
    <row r="878">
      <c r="B878" s="757"/>
      <c r="C878" s="757"/>
      <c r="D878" s="757"/>
      <c r="E878" s="757"/>
      <c r="F878" s="757"/>
      <c r="G878" s="757"/>
      <c r="H878" s="757"/>
      <c r="I878" s="757"/>
      <c r="J878" s="775"/>
      <c r="K878" s="757"/>
    </row>
    <row r="879">
      <c r="B879" s="757"/>
      <c r="C879" s="757"/>
      <c r="D879" s="757"/>
      <c r="E879" s="757"/>
      <c r="F879" s="757"/>
      <c r="G879" s="757"/>
      <c r="H879" s="757"/>
      <c r="I879" s="757"/>
      <c r="J879" s="775"/>
      <c r="K879" s="757"/>
    </row>
    <row r="880">
      <c r="B880" s="757"/>
      <c r="C880" s="757"/>
      <c r="D880" s="757"/>
      <c r="E880" s="757"/>
      <c r="F880" s="757"/>
      <c r="G880" s="757"/>
      <c r="H880" s="757"/>
      <c r="I880" s="757"/>
      <c r="J880" s="775"/>
      <c r="K880" s="757"/>
    </row>
    <row r="881">
      <c r="B881" s="757"/>
      <c r="C881" s="757"/>
      <c r="D881" s="757"/>
      <c r="E881" s="757"/>
      <c r="F881" s="757"/>
      <c r="G881" s="757"/>
      <c r="H881" s="757"/>
      <c r="I881" s="757"/>
      <c r="J881" s="775"/>
      <c r="K881" s="757"/>
    </row>
    <row r="882">
      <c r="B882" s="757"/>
      <c r="C882" s="757"/>
      <c r="D882" s="757"/>
      <c r="E882" s="757"/>
      <c r="F882" s="757"/>
      <c r="G882" s="757"/>
      <c r="H882" s="757"/>
      <c r="I882" s="757"/>
      <c r="J882" s="775"/>
      <c r="K882" s="757"/>
    </row>
    <row r="883">
      <c r="B883" s="757"/>
      <c r="C883" s="757"/>
      <c r="D883" s="757"/>
      <c r="E883" s="757"/>
      <c r="F883" s="757"/>
      <c r="G883" s="757"/>
      <c r="H883" s="757"/>
      <c r="I883" s="757"/>
      <c r="J883" s="775"/>
      <c r="K883" s="757"/>
    </row>
    <row r="884">
      <c r="B884" s="757"/>
      <c r="C884" s="757"/>
      <c r="D884" s="757"/>
      <c r="E884" s="757"/>
      <c r="F884" s="757"/>
      <c r="G884" s="757"/>
      <c r="H884" s="757"/>
      <c r="I884" s="757"/>
      <c r="J884" s="775"/>
      <c r="K884" s="757"/>
    </row>
    <row r="885">
      <c r="B885" s="757"/>
      <c r="C885" s="757"/>
      <c r="D885" s="757"/>
      <c r="E885" s="757"/>
      <c r="F885" s="757"/>
      <c r="G885" s="757"/>
      <c r="H885" s="757"/>
      <c r="I885" s="757"/>
      <c r="J885" s="775"/>
      <c r="K885" s="757"/>
    </row>
    <row r="886">
      <c r="B886" s="757"/>
      <c r="C886" s="757"/>
      <c r="D886" s="757"/>
      <c r="E886" s="757"/>
      <c r="F886" s="757"/>
      <c r="G886" s="757"/>
      <c r="H886" s="757"/>
      <c r="I886" s="757"/>
      <c r="J886" s="775"/>
      <c r="K886" s="757"/>
    </row>
    <row r="887">
      <c r="B887" s="757"/>
      <c r="C887" s="757"/>
      <c r="D887" s="757"/>
      <c r="E887" s="757"/>
      <c r="F887" s="757"/>
      <c r="G887" s="757"/>
      <c r="H887" s="757"/>
      <c r="I887" s="757"/>
      <c r="J887" s="775"/>
      <c r="K887" s="757"/>
    </row>
    <row r="888">
      <c r="B888" s="757"/>
      <c r="C888" s="757"/>
      <c r="D888" s="757"/>
      <c r="E888" s="757"/>
      <c r="F888" s="757"/>
      <c r="G888" s="757"/>
      <c r="H888" s="757"/>
      <c r="I888" s="757"/>
      <c r="J888" s="775"/>
      <c r="K888" s="757"/>
    </row>
    <row r="889">
      <c r="B889" s="757"/>
      <c r="C889" s="757"/>
      <c r="D889" s="757"/>
      <c r="E889" s="757"/>
      <c r="F889" s="757"/>
      <c r="G889" s="757"/>
      <c r="H889" s="757"/>
      <c r="I889" s="757"/>
      <c r="J889" s="775"/>
      <c r="K889" s="757"/>
    </row>
    <row r="890">
      <c r="B890" s="757"/>
      <c r="C890" s="757"/>
      <c r="D890" s="757"/>
      <c r="E890" s="757"/>
      <c r="F890" s="757"/>
      <c r="G890" s="757"/>
      <c r="H890" s="757"/>
      <c r="I890" s="757"/>
      <c r="J890" s="775"/>
      <c r="K890" s="757"/>
    </row>
    <row r="891">
      <c r="B891" s="757"/>
      <c r="C891" s="757"/>
      <c r="D891" s="757"/>
      <c r="E891" s="757"/>
      <c r="F891" s="757"/>
      <c r="G891" s="757"/>
      <c r="H891" s="757"/>
      <c r="I891" s="757"/>
      <c r="J891" s="775"/>
      <c r="K891" s="757"/>
    </row>
    <row r="892">
      <c r="B892" s="757"/>
      <c r="C892" s="757"/>
      <c r="D892" s="757"/>
      <c r="E892" s="757"/>
      <c r="F892" s="757"/>
      <c r="G892" s="757"/>
      <c r="H892" s="757"/>
      <c r="I892" s="757"/>
      <c r="J892" s="775"/>
      <c r="K892" s="757"/>
    </row>
    <row r="893">
      <c r="B893" s="757"/>
      <c r="C893" s="757"/>
      <c r="D893" s="757"/>
      <c r="E893" s="757"/>
      <c r="F893" s="757"/>
      <c r="G893" s="757"/>
      <c r="H893" s="757"/>
      <c r="I893" s="757"/>
      <c r="J893" s="775"/>
      <c r="K893" s="757"/>
    </row>
    <row r="894">
      <c r="B894" s="757"/>
      <c r="C894" s="757"/>
      <c r="D894" s="757"/>
      <c r="E894" s="757"/>
      <c r="F894" s="757"/>
      <c r="G894" s="757"/>
      <c r="H894" s="757"/>
      <c r="I894" s="757"/>
      <c r="J894" s="775"/>
      <c r="K894" s="757"/>
    </row>
    <row r="895">
      <c r="B895" s="757"/>
      <c r="C895" s="757"/>
      <c r="D895" s="757"/>
      <c r="E895" s="757"/>
      <c r="F895" s="757"/>
      <c r="G895" s="757"/>
      <c r="H895" s="757"/>
      <c r="I895" s="757"/>
      <c r="J895" s="775"/>
      <c r="K895" s="757"/>
    </row>
    <row r="896">
      <c r="B896" s="757"/>
      <c r="C896" s="757"/>
      <c r="D896" s="757"/>
      <c r="E896" s="757"/>
      <c r="F896" s="757"/>
      <c r="G896" s="757"/>
      <c r="H896" s="757"/>
      <c r="I896" s="757"/>
      <c r="J896" s="775"/>
      <c r="K896" s="757"/>
    </row>
    <row r="897">
      <c r="B897" s="757"/>
      <c r="C897" s="757"/>
      <c r="D897" s="757"/>
      <c r="E897" s="757"/>
      <c r="F897" s="757"/>
      <c r="G897" s="757"/>
      <c r="H897" s="757"/>
      <c r="I897" s="757"/>
      <c r="J897" s="775"/>
      <c r="K897" s="757"/>
    </row>
    <row r="898">
      <c r="B898" s="757"/>
      <c r="C898" s="757"/>
      <c r="D898" s="757"/>
      <c r="E898" s="757"/>
      <c r="F898" s="757"/>
      <c r="G898" s="757"/>
      <c r="H898" s="757"/>
      <c r="I898" s="757"/>
      <c r="J898" s="775"/>
      <c r="K898" s="757"/>
    </row>
    <row r="899">
      <c r="B899" s="757"/>
      <c r="C899" s="757"/>
      <c r="D899" s="757"/>
      <c r="E899" s="757"/>
      <c r="F899" s="757"/>
      <c r="G899" s="757"/>
      <c r="H899" s="757"/>
      <c r="I899" s="757"/>
      <c r="J899" s="775"/>
      <c r="K899" s="757"/>
    </row>
    <row r="900">
      <c r="B900" s="757"/>
      <c r="C900" s="757"/>
      <c r="D900" s="757"/>
      <c r="E900" s="757"/>
      <c r="F900" s="757"/>
      <c r="G900" s="757"/>
      <c r="H900" s="757"/>
      <c r="I900" s="757"/>
      <c r="J900" s="775"/>
      <c r="K900" s="757"/>
    </row>
    <row r="901">
      <c r="B901" s="757"/>
      <c r="C901" s="757"/>
      <c r="D901" s="757"/>
      <c r="E901" s="757"/>
      <c r="F901" s="757"/>
      <c r="G901" s="757"/>
      <c r="H901" s="757"/>
      <c r="I901" s="757"/>
      <c r="J901" s="775"/>
      <c r="K901" s="757"/>
    </row>
    <row r="902">
      <c r="B902" s="757"/>
      <c r="C902" s="757"/>
      <c r="D902" s="757"/>
      <c r="E902" s="757"/>
      <c r="F902" s="757"/>
      <c r="G902" s="757"/>
      <c r="H902" s="757"/>
      <c r="I902" s="757"/>
      <c r="J902" s="775"/>
      <c r="K902" s="757"/>
    </row>
    <row r="903">
      <c r="B903" s="757"/>
      <c r="C903" s="757"/>
      <c r="D903" s="757"/>
      <c r="E903" s="757"/>
      <c r="F903" s="757"/>
      <c r="G903" s="757"/>
      <c r="H903" s="757"/>
      <c r="I903" s="757"/>
      <c r="J903" s="775"/>
      <c r="K903" s="757"/>
    </row>
    <row r="904">
      <c r="B904" s="757"/>
      <c r="C904" s="757"/>
      <c r="D904" s="757"/>
      <c r="E904" s="757"/>
      <c r="F904" s="757"/>
      <c r="G904" s="757"/>
      <c r="H904" s="757"/>
      <c r="I904" s="757"/>
      <c r="J904" s="775"/>
      <c r="K904" s="757"/>
    </row>
    <row r="905">
      <c r="B905" s="757"/>
      <c r="C905" s="757"/>
      <c r="D905" s="757"/>
      <c r="E905" s="757"/>
      <c r="F905" s="757"/>
      <c r="G905" s="757"/>
      <c r="H905" s="757"/>
      <c r="I905" s="757"/>
      <c r="J905" s="775"/>
      <c r="K905" s="757"/>
    </row>
    <row r="906">
      <c r="B906" s="757"/>
      <c r="C906" s="757"/>
      <c r="D906" s="757"/>
      <c r="E906" s="757"/>
      <c r="F906" s="757"/>
      <c r="G906" s="757"/>
      <c r="H906" s="757"/>
      <c r="I906" s="757"/>
      <c r="J906" s="775"/>
      <c r="K906" s="757"/>
    </row>
    <row r="907">
      <c r="B907" s="757"/>
      <c r="C907" s="757"/>
      <c r="D907" s="757"/>
      <c r="E907" s="757"/>
      <c r="F907" s="757"/>
      <c r="G907" s="757"/>
      <c r="H907" s="757"/>
      <c r="I907" s="757"/>
      <c r="J907" s="775"/>
      <c r="K907" s="757"/>
    </row>
    <row r="908">
      <c r="B908" s="757"/>
      <c r="C908" s="757"/>
      <c r="D908" s="757"/>
      <c r="E908" s="757"/>
      <c r="F908" s="757"/>
      <c r="G908" s="757"/>
      <c r="H908" s="757"/>
      <c r="I908" s="757"/>
      <c r="J908" s="775"/>
      <c r="K908" s="757"/>
    </row>
    <row r="909">
      <c r="B909" s="757"/>
      <c r="C909" s="757"/>
      <c r="D909" s="757"/>
      <c r="E909" s="757"/>
      <c r="F909" s="757"/>
      <c r="G909" s="757"/>
      <c r="H909" s="757"/>
      <c r="I909" s="757"/>
      <c r="J909" s="775"/>
      <c r="K909" s="757"/>
    </row>
    <row r="910">
      <c r="B910" s="757"/>
      <c r="C910" s="757"/>
      <c r="D910" s="757"/>
      <c r="E910" s="757"/>
      <c r="F910" s="757"/>
      <c r="G910" s="757"/>
      <c r="H910" s="757"/>
      <c r="I910" s="757"/>
      <c r="J910" s="775"/>
      <c r="K910" s="757"/>
    </row>
    <row r="911">
      <c r="B911" s="757"/>
      <c r="C911" s="757"/>
      <c r="D911" s="757"/>
      <c r="E911" s="757"/>
      <c r="F911" s="757"/>
      <c r="G911" s="757"/>
      <c r="H911" s="757"/>
      <c r="I911" s="757"/>
      <c r="J911" s="775"/>
      <c r="K911" s="757"/>
    </row>
    <row r="912">
      <c r="B912" s="757"/>
      <c r="C912" s="757"/>
      <c r="D912" s="757"/>
      <c r="E912" s="757"/>
      <c r="F912" s="757"/>
      <c r="G912" s="757"/>
      <c r="H912" s="757"/>
      <c r="I912" s="757"/>
      <c r="J912" s="775"/>
      <c r="K912" s="757"/>
    </row>
    <row r="913">
      <c r="B913" s="757"/>
      <c r="C913" s="757"/>
      <c r="D913" s="757"/>
      <c r="E913" s="757"/>
      <c r="F913" s="757"/>
      <c r="G913" s="757"/>
      <c r="H913" s="757"/>
      <c r="I913" s="757"/>
      <c r="J913" s="775"/>
      <c r="K913" s="757"/>
    </row>
    <row r="914">
      <c r="B914" s="757"/>
      <c r="C914" s="757"/>
      <c r="D914" s="757"/>
      <c r="E914" s="757"/>
      <c r="F914" s="757"/>
      <c r="G914" s="757"/>
      <c r="H914" s="757"/>
      <c r="I914" s="757"/>
      <c r="J914" s="775"/>
      <c r="K914" s="757"/>
    </row>
    <row r="915">
      <c r="B915" s="757"/>
      <c r="C915" s="757"/>
      <c r="D915" s="757"/>
      <c r="E915" s="757"/>
      <c r="F915" s="757"/>
      <c r="G915" s="757"/>
      <c r="H915" s="757"/>
      <c r="I915" s="757"/>
      <c r="J915" s="775"/>
      <c r="K915" s="757"/>
    </row>
    <row r="916">
      <c r="B916" s="757"/>
      <c r="C916" s="757"/>
      <c r="D916" s="757"/>
      <c r="E916" s="757"/>
      <c r="F916" s="757"/>
      <c r="G916" s="757"/>
      <c r="H916" s="757"/>
      <c r="I916" s="757"/>
      <c r="J916" s="775"/>
      <c r="K916" s="757"/>
    </row>
    <row r="917">
      <c r="B917" s="757"/>
      <c r="C917" s="757"/>
      <c r="D917" s="757"/>
      <c r="E917" s="757"/>
      <c r="F917" s="757"/>
      <c r="G917" s="757"/>
      <c r="H917" s="757"/>
      <c r="I917" s="757"/>
      <c r="J917" s="775"/>
      <c r="K917" s="757"/>
    </row>
    <row r="918">
      <c r="B918" s="757"/>
      <c r="C918" s="757"/>
      <c r="D918" s="757"/>
      <c r="E918" s="757"/>
      <c r="F918" s="757"/>
      <c r="G918" s="757"/>
      <c r="H918" s="757"/>
      <c r="I918" s="757"/>
      <c r="J918" s="775"/>
      <c r="K918" s="757"/>
    </row>
    <row r="919">
      <c r="B919" s="757"/>
      <c r="C919" s="757"/>
      <c r="D919" s="757"/>
      <c r="E919" s="757"/>
      <c r="F919" s="757"/>
      <c r="G919" s="757"/>
      <c r="H919" s="757"/>
      <c r="I919" s="757"/>
      <c r="J919" s="775"/>
      <c r="K919" s="757"/>
    </row>
    <row r="920">
      <c r="B920" s="757"/>
      <c r="C920" s="757"/>
      <c r="D920" s="757"/>
      <c r="E920" s="757"/>
      <c r="F920" s="757"/>
      <c r="G920" s="757"/>
      <c r="H920" s="757"/>
      <c r="I920" s="757"/>
      <c r="J920" s="775"/>
      <c r="K920" s="757"/>
    </row>
    <row r="921">
      <c r="B921" s="757"/>
      <c r="C921" s="757"/>
      <c r="D921" s="757"/>
      <c r="E921" s="757"/>
      <c r="F921" s="757"/>
      <c r="G921" s="757"/>
      <c r="H921" s="757"/>
      <c r="I921" s="757"/>
      <c r="J921" s="775"/>
      <c r="K921" s="757"/>
    </row>
    <row r="922">
      <c r="B922" s="757"/>
      <c r="C922" s="757"/>
      <c r="D922" s="757"/>
      <c r="E922" s="757"/>
      <c r="F922" s="757"/>
      <c r="G922" s="757"/>
      <c r="H922" s="757"/>
      <c r="I922" s="757"/>
      <c r="J922" s="775"/>
      <c r="K922" s="757"/>
    </row>
    <row r="923">
      <c r="B923" s="757"/>
      <c r="C923" s="757"/>
      <c r="D923" s="757"/>
      <c r="E923" s="757"/>
      <c r="F923" s="757"/>
      <c r="G923" s="757"/>
      <c r="H923" s="757"/>
      <c r="I923" s="757"/>
      <c r="J923" s="775"/>
      <c r="K923" s="757"/>
    </row>
    <row r="924">
      <c r="B924" s="757"/>
      <c r="C924" s="757"/>
      <c r="D924" s="757"/>
      <c r="E924" s="757"/>
      <c r="F924" s="757"/>
      <c r="G924" s="757"/>
      <c r="H924" s="757"/>
      <c r="I924" s="757"/>
      <c r="J924" s="775"/>
      <c r="K924" s="757"/>
    </row>
    <row r="925">
      <c r="B925" s="757"/>
      <c r="C925" s="757"/>
      <c r="D925" s="757"/>
      <c r="E925" s="757"/>
      <c r="F925" s="757"/>
      <c r="G925" s="757"/>
      <c r="H925" s="757"/>
      <c r="I925" s="757"/>
      <c r="J925" s="775"/>
      <c r="K925" s="757"/>
    </row>
    <row r="926">
      <c r="B926" s="757"/>
      <c r="C926" s="757"/>
      <c r="D926" s="757"/>
      <c r="E926" s="757"/>
      <c r="F926" s="757"/>
      <c r="G926" s="757"/>
      <c r="H926" s="757"/>
      <c r="I926" s="757"/>
      <c r="J926" s="775"/>
      <c r="K926" s="757"/>
    </row>
    <row r="927">
      <c r="B927" s="757"/>
      <c r="C927" s="757"/>
      <c r="D927" s="757"/>
      <c r="E927" s="757"/>
      <c r="F927" s="757"/>
      <c r="G927" s="757"/>
      <c r="H927" s="757"/>
      <c r="I927" s="757"/>
      <c r="J927" s="775"/>
      <c r="K927" s="757"/>
    </row>
    <row r="928">
      <c r="B928" s="757"/>
      <c r="C928" s="757"/>
      <c r="D928" s="757"/>
      <c r="E928" s="757"/>
      <c r="F928" s="757"/>
      <c r="G928" s="757"/>
      <c r="H928" s="757"/>
      <c r="I928" s="757"/>
      <c r="J928" s="775"/>
      <c r="K928" s="757"/>
    </row>
    <row r="929">
      <c r="B929" s="757"/>
      <c r="C929" s="757"/>
      <c r="D929" s="757"/>
      <c r="E929" s="757"/>
      <c r="F929" s="757"/>
      <c r="G929" s="757"/>
      <c r="H929" s="757"/>
      <c r="I929" s="757"/>
      <c r="J929" s="775"/>
      <c r="K929" s="757"/>
    </row>
    <row r="930">
      <c r="B930" s="757"/>
      <c r="C930" s="757"/>
      <c r="D930" s="757"/>
      <c r="E930" s="757"/>
      <c r="F930" s="757"/>
      <c r="G930" s="757"/>
      <c r="H930" s="757"/>
      <c r="I930" s="757"/>
      <c r="J930" s="775"/>
      <c r="K930" s="757"/>
    </row>
    <row r="931">
      <c r="B931" s="757"/>
      <c r="C931" s="757"/>
      <c r="D931" s="757"/>
      <c r="E931" s="757"/>
      <c r="F931" s="757"/>
      <c r="G931" s="757"/>
      <c r="H931" s="757"/>
      <c r="I931" s="757"/>
      <c r="J931" s="775"/>
      <c r="K931" s="757"/>
    </row>
    <row r="932">
      <c r="B932" s="757"/>
      <c r="C932" s="757"/>
      <c r="D932" s="757"/>
      <c r="E932" s="757"/>
      <c r="F932" s="757"/>
      <c r="G932" s="757"/>
      <c r="H932" s="757"/>
      <c r="I932" s="757"/>
      <c r="J932" s="775"/>
      <c r="K932" s="757"/>
    </row>
    <row r="933">
      <c r="B933" s="757"/>
      <c r="C933" s="757"/>
      <c r="D933" s="757"/>
      <c r="E933" s="757"/>
      <c r="F933" s="757"/>
      <c r="G933" s="757"/>
      <c r="H933" s="757"/>
      <c r="I933" s="757"/>
      <c r="J933" s="775"/>
      <c r="K933" s="757"/>
    </row>
    <row r="934">
      <c r="B934" s="757"/>
      <c r="C934" s="757"/>
      <c r="D934" s="757"/>
      <c r="E934" s="757"/>
      <c r="F934" s="757"/>
      <c r="G934" s="757"/>
      <c r="H934" s="757"/>
      <c r="I934" s="757"/>
      <c r="J934" s="775"/>
      <c r="K934" s="757"/>
    </row>
    <row r="935">
      <c r="B935" s="757"/>
      <c r="C935" s="757"/>
      <c r="D935" s="757"/>
      <c r="E935" s="757"/>
      <c r="F935" s="757"/>
      <c r="G935" s="757"/>
      <c r="H935" s="757"/>
      <c r="I935" s="757"/>
      <c r="J935" s="775"/>
      <c r="K935" s="757"/>
    </row>
    <row r="936">
      <c r="B936" s="757"/>
      <c r="C936" s="757"/>
      <c r="D936" s="757"/>
      <c r="E936" s="757"/>
      <c r="F936" s="757"/>
      <c r="G936" s="757"/>
      <c r="H936" s="757"/>
      <c r="I936" s="757"/>
      <c r="J936" s="775"/>
      <c r="K936" s="757"/>
    </row>
    <row r="937">
      <c r="B937" s="757"/>
      <c r="C937" s="757"/>
      <c r="D937" s="757"/>
      <c r="E937" s="757"/>
      <c r="F937" s="757"/>
      <c r="G937" s="757"/>
      <c r="H937" s="757"/>
      <c r="I937" s="757"/>
      <c r="J937" s="775"/>
      <c r="K937" s="757"/>
    </row>
    <row r="938">
      <c r="B938" s="757"/>
      <c r="C938" s="757"/>
      <c r="D938" s="757"/>
      <c r="E938" s="757"/>
      <c r="F938" s="757"/>
      <c r="G938" s="757"/>
      <c r="H938" s="757"/>
      <c r="I938" s="757"/>
      <c r="J938" s="775"/>
      <c r="K938" s="757"/>
    </row>
    <row r="939">
      <c r="B939" s="757"/>
      <c r="C939" s="757"/>
      <c r="D939" s="757"/>
      <c r="E939" s="757"/>
      <c r="F939" s="757"/>
      <c r="G939" s="757"/>
      <c r="H939" s="757"/>
      <c r="I939" s="757"/>
      <c r="J939" s="775"/>
      <c r="K939" s="757"/>
    </row>
    <row r="940">
      <c r="B940" s="757"/>
      <c r="C940" s="757"/>
      <c r="D940" s="757"/>
      <c r="E940" s="757"/>
      <c r="F940" s="757"/>
      <c r="G940" s="757"/>
      <c r="H940" s="757"/>
      <c r="I940" s="757"/>
      <c r="J940" s="775"/>
      <c r="K940" s="757"/>
    </row>
    <row r="941">
      <c r="B941" s="757"/>
      <c r="C941" s="757"/>
      <c r="D941" s="757"/>
      <c r="E941" s="757"/>
      <c r="F941" s="757"/>
      <c r="G941" s="757"/>
      <c r="H941" s="757"/>
      <c r="I941" s="757"/>
      <c r="J941" s="775"/>
      <c r="K941" s="757"/>
    </row>
    <row r="942">
      <c r="B942" s="757"/>
      <c r="C942" s="757"/>
      <c r="D942" s="757"/>
      <c r="E942" s="757"/>
      <c r="F942" s="757"/>
      <c r="G942" s="757"/>
      <c r="H942" s="757"/>
      <c r="I942" s="757"/>
      <c r="J942" s="775"/>
      <c r="K942" s="757"/>
    </row>
    <row r="943">
      <c r="B943" s="757"/>
      <c r="C943" s="757"/>
      <c r="D943" s="757"/>
      <c r="E943" s="757"/>
      <c r="F943" s="757"/>
      <c r="G943" s="757"/>
      <c r="H943" s="757"/>
      <c r="I943" s="757"/>
      <c r="J943" s="775"/>
      <c r="K943" s="757"/>
    </row>
    <row r="944">
      <c r="B944" s="757"/>
      <c r="C944" s="757"/>
      <c r="D944" s="757"/>
      <c r="E944" s="757"/>
      <c r="F944" s="757"/>
      <c r="G944" s="757"/>
      <c r="H944" s="757"/>
      <c r="I944" s="757"/>
      <c r="J944" s="775"/>
      <c r="K944" s="757"/>
    </row>
    <row r="945">
      <c r="B945" s="757"/>
      <c r="C945" s="757"/>
      <c r="D945" s="757"/>
      <c r="E945" s="757"/>
      <c r="F945" s="757"/>
      <c r="G945" s="757"/>
      <c r="H945" s="757"/>
      <c r="I945" s="757"/>
      <c r="J945" s="775"/>
      <c r="K945" s="757"/>
    </row>
    <row r="946">
      <c r="B946" s="757"/>
      <c r="C946" s="757"/>
      <c r="D946" s="757"/>
      <c r="E946" s="757"/>
      <c r="F946" s="757"/>
      <c r="G946" s="757"/>
      <c r="H946" s="757"/>
      <c r="I946" s="757"/>
      <c r="J946" s="775"/>
      <c r="K946" s="757"/>
    </row>
    <row r="947">
      <c r="B947" s="757"/>
      <c r="C947" s="757"/>
      <c r="D947" s="757"/>
      <c r="E947" s="757"/>
      <c r="F947" s="757"/>
      <c r="G947" s="757"/>
      <c r="H947" s="757"/>
      <c r="I947" s="757"/>
      <c r="J947" s="775"/>
      <c r="K947" s="757"/>
    </row>
    <row r="948">
      <c r="B948" s="757"/>
      <c r="C948" s="757"/>
      <c r="D948" s="757"/>
      <c r="E948" s="757"/>
      <c r="F948" s="757"/>
      <c r="G948" s="757"/>
      <c r="H948" s="757"/>
      <c r="I948" s="757"/>
      <c r="J948" s="775"/>
      <c r="K948" s="757"/>
    </row>
    <row r="949">
      <c r="B949" s="757"/>
      <c r="C949" s="757"/>
      <c r="D949" s="757"/>
      <c r="E949" s="757"/>
      <c r="F949" s="757"/>
      <c r="G949" s="757"/>
      <c r="H949" s="757"/>
      <c r="I949" s="757"/>
      <c r="J949" s="775"/>
      <c r="K949" s="757"/>
    </row>
    <row r="950">
      <c r="B950" s="757"/>
      <c r="C950" s="757"/>
      <c r="D950" s="757"/>
      <c r="E950" s="757"/>
      <c r="F950" s="757"/>
      <c r="G950" s="757"/>
      <c r="H950" s="757"/>
      <c r="I950" s="757"/>
      <c r="J950" s="775"/>
      <c r="K950" s="757"/>
    </row>
    <row r="951">
      <c r="B951" s="757"/>
      <c r="C951" s="757"/>
      <c r="D951" s="757"/>
      <c r="E951" s="757"/>
      <c r="F951" s="757"/>
      <c r="G951" s="757"/>
      <c r="H951" s="757"/>
      <c r="I951" s="757"/>
      <c r="J951" s="775"/>
      <c r="K951" s="757"/>
    </row>
    <row r="952">
      <c r="B952" s="757"/>
      <c r="C952" s="757"/>
      <c r="D952" s="757"/>
      <c r="E952" s="757"/>
      <c r="F952" s="757"/>
      <c r="G952" s="757"/>
      <c r="H952" s="757"/>
      <c r="I952" s="757"/>
      <c r="J952" s="775"/>
      <c r="K952" s="757"/>
    </row>
    <row r="953">
      <c r="B953" s="757"/>
      <c r="C953" s="757"/>
      <c r="D953" s="757"/>
      <c r="E953" s="757"/>
      <c r="F953" s="757"/>
      <c r="G953" s="757"/>
      <c r="H953" s="757"/>
      <c r="I953" s="757"/>
      <c r="J953" s="775"/>
      <c r="K953" s="757"/>
    </row>
    <row r="954">
      <c r="B954" s="757"/>
      <c r="C954" s="757"/>
      <c r="D954" s="757"/>
      <c r="E954" s="757"/>
      <c r="F954" s="757"/>
      <c r="G954" s="757"/>
      <c r="H954" s="757"/>
      <c r="I954" s="757"/>
      <c r="J954" s="775"/>
      <c r="K954" s="757"/>
    </row>
    <row r="955">
      <c r="B955" s="757"/>
      <c r="C955" s="757"/>
      <c r="D955" s="757"/>
      <c r="E955" s="757"/>
      <c r="F955" s="757"/>
      <c r="G955" s="757"/>
      <c r="H955" s="757"/>
      <c r="I955" s="757"/>
      <c r="J955" s="775"/>
      <c r="K955" s="757"/>
    </row>
    <row r="956">
      <c r="B956" s="757"/>
      <c r="C956" s="757"/>
      <c r="D956" s="757"/>
      <c r="E956" s="757"/>
      <c r="F956" s="757"/>
      <c r="G956" s="757"/>
      <c r="H956" s="757"/>
      <c r="I956" s="757"/>
      <c r="J956" s="775"/>
      <c r="K956" s="757"/>
    </row>
    <row r="957">
      <c r="B957" s="757"/>
      <c r="C957" s="757"/>
      <c r="D957" s="757"/>
      <c r="E957" s="757"/>
      <c r="F957" s="757"/>
      <c r="G957" s="757"/>
      <c r="H957" s="757"/>
      <c r="I957" s="757"/>
      <c r="J957" s="775"/>
      <c r="K957" s="757"/>
    </row>
    <row r="958">
      <c r="B958" s="757"/>
      <c r="C958" s="757"/>
      <c r="D958" s="757"/>
      <c r="E958" s="757"/>
      <c r="F958" s="757"/>
      <c r="G958" s="757"/>
      <c r="H958" s="757"/>
      <c r="I958" s="757"/>
      <c r="J958" s="775"/>
      <c r="K958" s="757"/>
    </row>
    <row r="959">
      <c r="B959" s="757"/>
      <c r="C959" s="757"/>
      <c r="D959" s="757"/>
      <c r="E959" s="757"/>
      <c r="F959" s="757"/>
      <c r="G959" s="757"/>
      <c r="H959" s="757"/>
      <c r="I959" s="757"/>
      <c r="J959" s="775"/>
      <c r="K959" s="757"/>
    </row>
    <row r="960">
      <c r="B960" s="757"/>
      <c r="C960" s="757"/>
      <c r="D960" s="757"/>
      <c r="E960" s="757"/>
      <c r="F960" s="757"/>
      <c r="G960" s="757"/>
      <c r="H960" s="757"/>
      <c r="I960" s="757"/>
      <c r="J960" s="775"/>
      <c r="K960" s="757"/>
    </row>
    <row r="961">
      <c r="B961" s="757"/>
      <c r="C961" s="757"/>
      <c r="D961" s="757"/>
      <c r="E961" s="757"/>
      <c r="F961" s="757"/>
      <c r="G961" s="757"/>
      <c r="H961" s="757"/>
      <c r="I961" s="757"/>
      <c r="J961" s="775"/>
      <c r="K961" s="757"/>
    </row>
    <row r="962">
      <c r="B962" s="757"/>
      <c r="C962" s="757"/>
      <c r="D962" s="757"/>
      <c r="E962" s="757"/>
      <c r="F962" s="757"/>
      <c r="G962" s="757"/>
      <c r="H962" s="757"/>
      <c r="I962" s="757"/>
      <c r="J962" s="775"/>
      <c r="K962" s="757"/>
    </row>
    <row r="963">
      <c r="B963" s="757"/>
      <c r="C963" s="757"/>
      <c r="D963" s="757"/>
      <c r="E963" s="757"/>
      <c r="F963" s="757"/>
      <c r="G963" s="757"/>
      <c r="H963" s="757"/>
      <c r="I963" s="757"/>
      <c r="J963" s="775"/>
      <c r="K963" s="757"/>
    </row>
    <row r="964">
      <c r="B964" s="757"/>
      <c r="C964" s="757"/>
      <c r="D964" s="757"/>
      <c r="E964" s="757"/>
      <c r="F964" s="757"/>
      <c r="G964" s="757"/>
      <c r="H964" s="757"/>
      <c r="I964" s="757"/>
      <c r="J964" s="775"/>
      <c r="K964" s="757"/>
    </row>
    <row r="965">
      <c r="B965" s="757"/>
      <c r="C965" s="757"/>
      <c r="D965" s="757"/>
      <c r="E965" s="757"/>
      <c r="F965" s="757"/>
      <c r="G965" s="757"/>
      <c r="H965" s="757"/>
      <c r="I965" s="757"/>
      <c r="J965" s="775"/>
      <c r="K965" s="757"/>
    </row>
    <row r="966">
      <c r="B966" s="757"/>
      <c r="C966" s="757"/>
      <c r="D966" s="757"/>
      <c r="E966" s="757"/>
      <c r="F966" s="757"/>
      <c r="G966" s="757"/>
      <c r="H966" s="757"/>
      <c r="I966" s="757"/>
      <c r="J966" s="775"/>
      <c r="K966" s="757"/>
    </row>
    <row r="967">
      <c r="B967" s="757"/>
      <c r="C967" s="757"/>
      <c r="D967" s="757"/>
      <c r="E967" s="757"/>
      <c r="F967" s="757"/>
      <c r="G967" s="757"/>
      <c r="H967" s="757"/>
      <c r="I967" s="757"/>
      <c r="J967" s="775"/>
      <c r="K967" s="757"/>
    </row>
    <row r="968">
      <c r="B968" s="757"/>
      <c r="C968" s="757"/>
      <c r="D968" s="757"/>
      <c r="E968" s="757"/>
      <c r="F968" s="757"/>
      <c r="G968" s="757"/>
      <c r="H968" s="757"/>
      <c r="I968" s="757"/>
      <c r="J968" s="775"/>
      <c r="K968" s="757"/>
    </row>
    <row r="969">
      <c r="B969" s="757"/>
      <c r="C969" s="757"/>
      <c r="D969" s="757"/>
      <c r="E969" s="757"/>
      <c r="F969" s="757"/>
      <c r="G969" s="757"/>
      <c r="H969" s="757"/>
      <c r="I969" s="757"/>
      <c r="J969" s="775"/>
      <c r="K969" s="757"/>
    </row>
    <row r="970">
      <c r="B970" s="757"/>
      <c r="C970" s="757"/>
      <c r="D970" s="757"/>
      <c r="E970" s="757"/>
      <c r="F970" s="757"/>
      <c r="G970" s="757"/>
      <c r="H970" s="757"/>
      <c r="I970" s="757"/>
      <c r="J970" s="775"/>
      <c r="K970" s="757"/>
    </row>
    <row r="971">
      <c r="B971" s="757"/>
      <c r="C971" s="757"/>
      <c r="D971" s="757"/>
      <c r="E971" s="757"/>
      <c r="F971" s="757"/>
      <c r="G971" s="757"/>
      <c r="H971" s="757"/>
      <c r="I971" s="757"/>
      <c r="J971" s="775"/>
      <c r="K971" s="757"/>
    </row>
    <row r="972">
      <c r="B972" s="757"/>
      <c r="C972" s="757"/>
      <c r="D972" s="757"/>
      <c r="E972" s="757"/>
      <c r="F972" s="757"/>
      <c r="G972" s="757"/>
      <c r="H972" s="757"/>
      <c r="I972" s="757"/>
      <c r="J972" s="775"/>
      <c r="K972" s="757"/>
    </row>
    <row r="973">
      <c r="B973" s="757"/>
      <c r="C973" s="757"/>
      <c r="D973" s="757"/>
      <c r="E973" s="757"/>
      <c r="F973" s="757"/>
      <c r="G973" s="757"/>
      <c r="H973" s="757"/>
      <c r="I973" s="757"/>
      <c r="J973" s="775"/>
      <c r="K973" s="757"/>
    </row>
    <row r="974">
      <c r="B974" s="757"/>
      <c r="C974" s="757"/>
      <c r="D974" s="757"/>
      <c r="E974" s="757"/>
      <c r="F974" s="757"/>
      <c r="G974" s="757"/>
      <c r="H974" s="757"/>
      <c r="I974" s="757"/>
      <c r="J974" s="775"/>
      <c r="K974" s="757"/>
    </row>
    <row r="975">
      <c r="B975" s="757"/>
      <c r="C975" s="757"/>
      <c r="D975" s="757"/>
      <c r="E975" s="757"/>
      <c r="F975" s="757"/>
      <c r="G975" s="757"/>
      <c r="H975" s="757"/>
      <c r="I975" s="757"/>
      <c r="J975" s="775"/>
      <c r="K975" s="757"/>
    </row>
    <row r="976">
      <c r="B976" s="757"/>
      <c r="C976" s="757"/>
      <c r="D976" s="757"/>
      <c r="E976" s="757"/>
      <c r="F976" s="757"/>
      <c r="G976" s="757"/>
      <c r="H976" s="757"/>
      <c r="I976" s="757"/>
      <c r="J976" s="775"/>
      <c r="K976" s="757"/>
    </row>
    <row r="977">
      <c r="B977" s="757"/>
      <c r="C977" s="757"/>
      <c r="D977" s="757"/>
      <c r="E977" s="757"/>
      <c r="F977" s="757"/>
      <c r="G977" s="757"/>
      <c r="H977" s="757"/>
      <c r="I977" s="757"/>
      <c r="J977" s="775"/>
      <c r="K977" s="757"/>
    </row>
    <row r="978">
      <c r="B978" s="757"/>
      <c r="C978" s="757"/>
      <c r="D978" s="757"/>
      <c r="E978" s="757"/>
      <c r="F978" s="757"/>
      <c r="G978" s="757"/>
      <c r="H978" s="757"/>
      <c r="I978" s="757"/>
      <c r="J978" s="775"/>
      <c r="K978" s="757"/>
    </row>
    <row r="979">
      <c r="B979" s="757"/>
      <c r="C979" s="757"/>
      <c r="D979" s="757"/>
      <c r="E979" s="757"/>
      <c r="F979" s="757"/>
      <c r="G979" s="757"/>
      <c r="H979" s="757"/>
      <c r="I979" s="757"/>
      <c r="J979" s="775"/>
      <c r="K979" s="757"/>
    </row>
    <row r="980">
      <c r="B980" s="757"/>
      <c r="C980" s="757"/>
      <c r="D980" s="757"/>
      <c r="E980" s="757"/>
      <c r="F980" s="757"/>
      <c r="G980" s="757"/>
      <c r="H980" s="757"/>
      <c r="I980" s="757"/>
      <c r="J980" s="775"/>
      <c r="K980" s="757"/>
    </row>
    <row r="981">
      <c r="B981" s="757"/>
      <c r="C981" s="757"/>
      <c r="D981" s="757"/>
      <c r="E981" s="757"/>
      <c r="F981" s="757"/>
      <c r="G981" s="757"/>
      <c r="H981" s="757"/>
      <c r="I981" s="757"/>
      <c r="J981" s="775"/>
      <c r="K981" s="757"/>
    </row>
    <row r="982">
      <c r="B982" s="757"/>
      <c r="C982" s="757"/>
      <c r="D982" s="757"/>
      <c r="E982" s="757"/>
      <c r="F982" s="757"/>
      <c r="G982" s="757"/>
      <c r="H982" s="757"/>
      <c r="I982" s="757"/>
      <c r="J982" s="775"/>
      <c r="K982" s="757"/>
    </row>
    <row r="983">
      <c r="B983" s="757"/>
      <c r="C983" s="757"/>
      <c r="D983" s="757"/>
      <c r="E983" s="757"/>
      <c r="F983" s="757"/>
      <c r="G983" s="757"/>
      <c r="H983" s="757"/>
      <c r="I983" s="757"/>
      <c r="J983" s="775"/>
      <c r="K983" s="757"/>
    </row>
    <row r="984">
      <c r="B984" s="757"/>
      <c r="C984" s="757"/>
      <c r="D984" s="757"/>
      <c r="E984" s="757"/>
      <c r="F984" s="757"/>
      <c r="G984" s="757"/>
      <c r="H984" s="757"/>
      <c r="I984" s="757"/>
      <c r="J984" s="775"/>
      <c r="K984" s="757"/>
    </row>
    <row r="985">
      <c r="B985" s="757"/>
      <c r="C985" s="757"/>
      <c r="D985" s="757"/>
      <c r="E985" s="757"/>
      <c r="F985" s="757"/>
      <c r="G985" s="757"/>
      <c r="H985" s="757"/>
      <c r="I985" s="757"/>
      <c r="J985" s="775"/>
      <c r="K985" s="757"/>
    </row>
    <row r="986">
      <c r="B986" s="757"/>
      <c r="C986" s="757"/>
      <c r="D986" s="757"/>
      <c r="E986" s="757"/>
      <c r="F986" s="757"/>
      <c r="G986" s="757"/>
      <c r="H986" s="757"/>
      <c r="I986" s="757"/>
      <c r="J986" s="775"/>
      <c r="K986" s="757"/>
    </row>
    <row r="987">
      <c r="B987" s="757"/>
      <c r="C987" s="757"/>
      <c r="D987" s="757"/>
      <c r="E987" s="757"/>
      <c r="F987" s="757"/>
      <c r="G987" s="757"/>
      <c r="H987" s="757"/>
      <c r="I987" s="757"/>
      <c r="J987" s="775"/>
      <c r="K987" s="757"/>
    </row>
    <row r="988">
      <c r="B988" s="757"/>
      <c r="C988" s="757"/>
      <c r="D988" s="757"/>
      <c r="E988" s="757"/>
      <c r="F988" s="757"/>
      <c r="G988" s="757"/>
      <c r="H988" s="757"/>
      <c r="I988" s="757"/>
      <c r="J988" s="775"/>
      <c r="K988" s="757"/>
    </row>
    <row r="989">
      <c r="B989" s="757"/>
      <c r="C989" s="757"/>
      <c r="D989" s="757"/>
      <c r="E989" s="757"/>
      <c r="F989" s="757"/>
      <c r="G989" s="757"/>
      <c r="H989" s="757"/>
      <c r="I989" s="757"/>
      <c r="J989" s="775"/>
      <c r="K989" s="757"/>
    </row>
    <row r="990">
      <c r="B990" s="757"/>
      <c r="C990" s="757"/>
      <c r="D990" s="757"/>
      <c r="E990" s="757"/>
      <c r="F990" s="757"/>
      <c r="G990" s="757"/>
      <c r="H990" s="757"/>
      <c r="I990" s="757"/>
      <c r="J990" s="775"/>
      <c r="K990" s="757"/>
    </row>
    <row r="991">
      <c r="B991" s="757"/>
      <c r="C991" s="757"/>
      <c r="D991" s="757"/>
      <c r="E991" s="757"/>
      <c r="F991" s="757"/>
      <c r="G991" s="757"/>
      <c r="H991" s="757"/>
      <c r="I991" s="757"/>
      <c r="J991" s="775"/>
      <c r="K991" s="757"/>
    </row>
    <row r="992">
      <c r="B992" s="757"/>
      <c r="C992" s="757"/>
      <c r="D992" s="757"/>
      <c r="E992" s="757"/>
      <c r="F992" s="757"/>
      <c r="G992" s="757"/>
      <c r="H992" s="757"/>
      <c r="I992" s="757"/>
      <c r="J992" s="775"/>
      <c r="K992" s="757"/>
    </row>
    <row r="993">
      <c r="B993" s="757"/>
      <c r="C993" s="757"/>
      <c r="D993" s="757"/>
      <c r="E993" s="757"/>
      <c r="F993" s="757"/>
      <c r="G993" s="757"/>
      <c r="H993" s="757"/>
      <c r="I993" s="757"/>
      <c r="J993" s="775"/>
      <c r="K993" s="757"/>
    </row>
    <row r="994">
      <c r="B994" s="757"/>
      <c r="C994" s="757"/>
      <c r="D994" s="757"/>
      <c r="E994" s="757"/>
      <c r="F994" s="757"/>
      <c r="G994" s="757"/>
      <c r="H994" s="757"/>
      <c r="I994" s="757"/>
      <c r="J994" s="775"/>
      <c r="K994" s="757"/>
    </row>
    <row r="995">
      <c r="B995" s="757"/>
      <c r="C995" s="757"/>
      <c r="D995" s="757"/>
      <c r="E995" s="757"/>
      <c r="F995" s="757"/>
      <c r="G995" s="757"/>
      <c r="H995" s="757"/>
      <c r="I995" s="757"/>
      <c r="J995" s="775"/>
      <c r="K995" s="757"/>
    </row>
    <row r="996">
      <c r="B996" s="757"/>
      <c r="C996" s="757"/>
      <c r="D996" s="757"/>
      <c r="E996" s="757"/>
      <c r="F996" s="757"/>
      <c r="G996" s="757"/>
      <c r="H996" s="757"/>
      <c r="I996" s="757"/>
      <c r="J996" s="775"/>
      <c r="K996" s="757"/>
    </row>
    <row r="997">
      <c r="B997" s="757"/>
      <c r="C997" s="757"/>
      <c r="D997" s="757"/>
      <c r="E997" s="757"/>
      <c r="F997" s="757"/>
      <c r="G997" s="757"/>
      <c r="H997" s="757"/>
      <c r="I997" s="757"/>
      <c r="J997" s="775"/>
      <c r="K997" s="757"/>
    </row>
    <row r="998">
      <c r="B998" s="757"/>
      <c r="C998" s="757"/>
      <c r="D998" s="757"/>
      <c r="E998" s="757"/>
      <c r="F998" s="757"/>
      <c r="G998" s="757"/>
      <c r="H998" s="757"/>
      <c r="I998" s="757"/>
      <c r="J998" s="775"/>
      <c r="K998" s="757"/>
    </row>
    <row r="999">
      <c r="B999" s="757"/>
      <c r="C999" s="757"/>
      <c r="D999" s="757"/>
      <c r="E999" s="757"/>
      <c r="F999" s="757"/>
      <c r="G999" s="757"/>
      <c r="H999" s="757"/>
      <c r="I999" s="757"/>
      <c r="J999" s="775"/>
      <c r="K999" s="757"/>
    </row>
    <row r="1000">
      <c r="B1000" s="757"/>
      <c r="C1000" s="757"/>
      <c r="D1000" s="757"/>
      <c r="E1000" s="757"/>
      <c r="F1000" s="757"/>
      <c r="G1000" s="757"/>
      <c r="H1000" s="757"/>
      <c r="I1000" s="757"/>
      <c r="J1000" s="775"/>
      <c r="K1000" s="757"/>
    </row>
    <row r="1001">
      <c r="B1001" s="757"/>
      <c r="C1001" s="757"/>
      <c r="D1001" s="757"/>
      <c r="E1001" s="757"/>
      <c r="F1001" s="757"/>
      <c r="G1001" s="757"/>
      <c r="H1001" s="757"/>
      <c r="I1001" s="757"/>
      <c r="J1001" s="775"/>
      <c r="K1001" s="757"/>
    </row>
  </sheetData>
  <mergeCells count="1">
    <mergeCell ref="A1:K1"/>
  </mergeCell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29"/>
    <col customWidth="1" min="2" max="2" width="22.71"/>
    <col customWidth="1" min="3" max="3" width="6.29"/>
    <col customWidth="1" min="4" max="4" width="29.86"/>
    <col customWidth="1" min="5" max="5" width="49.0"/>
    <col customWidth="1" min="6" max="6" width="4.29"/>
    <col customWidth="1" min="7" max="9" width="12.29"/>
    <col customWidth="1" min="10" max="10" width="11.57"/>
    <col customWidth="1" min="11" max="11" width="9.71"/>
    <col customWidth="1" min="12" max="12" width="8.71"/>
    <col customWidth="1" min="13" max="13" width="9.71"/>
    <col customWidth="1" min="14" max="14" width="14.0"/>
    <col customWidth="1" min="15" max="15" width="11.57"/>
  </cols>
  <sheetData>
    <row r="1" ht="14.25" customHeight="1">
      <c r="A1" s="776"/>
      <c r="B1" s="776" t="s">
        <v>2727</v>
      </c>
      <c r="C1" s="777" t="s">
        <v>10129</v>
      </c>
      <c r="D1" s="778" t="s">
        <v>2737</v>
      </c>
      <c r="E1" s="779" t="s">
        <v>2738</v>
      </c>
      <c r="F1" s="777" t="s">
        <v>2729</v>
      </c>
      <c r="G1" s="780" t="s">
        <v>10130</v>
      </c>
      <c r="H1" s="781" t="s">
        <v>10131</v>
      </c>
      <c r="I1" s="781" t="s">
        <v>10132</v>
      </c>
      <c r="J1" s="782" t="s">
        <v>10133</v>
      </c>
      <c r="K1" s="783" t="s">
        <v>2734</v>
      </c>
      <c r="L1" s="784" t="s">
        <v>2736</v>
      </c>
      <c r="M1" s="785" t="s">
        <v>10134</v>
      </c>
      <c r="N1" s="785" t="s">
        <v>9773</v>
      </c>
      <c r="O1" s="785" t="s">
        <v>10135</v>
      </c>
    </row>
    <row r="2" ht="14.25" customHeight="1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</row>
    <row r="3" ht="14.25" customHeight="1">
      <c r="A3" s="786">
        <v>45719.0</v>
      </c>
      <c r="B3" s="787">
        <v>2503056.0</v>
      </c>
      <c r="C3" s="788" t="s">
        <v>10136</v>
      </c>
      <c r="D3" s="789" t="s">
        <v>2756</v>
      </c>
      <c r="E3" s="790" t="str">
        <f>IFERROR(VLOOKUP(D3,Stock,3,FALSE),"")</f>
        <v>Wuling Almaz (Sensor)</v>
      </c>
      <c r="F3" s="788">
        <v>1.0</v>
      </c>
      <c r="G3" s="791">
        <v>1890000.0</v>
      </c>
      <c r="H3" s="792">
        <f>F3*G3</f>
        <v>1890000</v>
      </c>
      <c r="I3" s="792"/>
      <c r="J3" s="793">
        <v>45778.0</v>
      </c>
      <c r="K3" s="794" t="s">
        <v>3191</v>
      </c>
      <c r="L3" s="795" t="s">
        <v>10137</v>
      </c>
      <c r="M3" s="796" t="s">
        <v>2763</v>
      </c>
      <c r="N3" s="797">
        <v>45773.0</v>
      </c>
      <c r="O3" s="796"/>
    </row>
    <row r="4" ht="15.0" customHeight="1">
      <c r="A4" s="786">
        <v>45721.0</v>
      </c>
      <c r="B4" s="787">
        <v>2503138.0</v>
      </c>
      <c r="C4" s="788" t="s">
        <v>10136</v>
      </c>
      <c r="D4" s="789" t="s">
        <v>2765</v>
      </c>
      <c r="E4" s="790" t="str">
        <f>IFERROR(VLOOKUP(D4,Stock,3,FALSE),"")</f>
        <v>Kia Timor 95-98 / Sephia 94-05</v>
      </c>
      <c r="F4" s="788">
        <v>1.0</v>
      </c>
      <c r="G4" s="798">
        <v>805000.0</v>
      </c>
      <c r="H4" s="799">
        <f t="shared" ref="H4:H38" si="1">G4*F4</f>
        <v>805000</v>
      </c>
      <c r="I4" s="800">
        <f t="shared" ref="I4:I6" si="2">H4</f>
        <v>805000</v>
      </c>
      <c r="J4" s="786"/>
      <c r="K4" s="801"/>
      <c r="L4" s="802" t="s">
        <v>10137</v>
      </c>
      <c r="M4" s="796" t="s">
        <v>2763</v>
      </c>
      <c r="N4" s="797">
        <v>45773.0</v>
      </c>
      <c r="O4" s="803"/>
    </row>
    <row r="5" ht="15.0" customHeight="1">
      <c r="A5" s="786">
        <v>45721.0</v>
      </c>
      <c r="B5" s="787">
        <v>2503138.0</v>
      </c>
      <c r="C5" s="788" t="s">
        <v>10136</v>
      </c>
      <c r="D5" s="789" t="s">
        <v>2772</v>
      </c>
      <c r="E5" s="790" t="str">
        <f>IFERROR(VLOOKUP(D5,Stock,3,FALSE),"")</f>
        <v>Suzuki Ignis 17-</v>
      </c>
      <c r="F5" s="788">
        <v>1.0</v>
      </c>
      <c r="G5" s="798">
        <v>594300.0</v>
      </c>
      <c r="H5" s="799">
        <f t="shared" si="1"/>
        <v>594300</v>
      </c>
      <c r="I5" s="800">
        <f t="shared" si="2"/>
        <v>594300</v>
      </c>
      <c r="J5" s="786"/>
      <c r="K5" s="801"/>
      <c r="L5" s="802" t="s">
        <v>10137</v>
      </c>
      <c r="M5" s="796" t="s">
        <v>2763</v>
      </c>
      <c r="N5" s="797">
        <v>45773.0</v>
      </c>
      <c r="O5" s="803"/>
    </row>
    <row r="6" ht="15.0" customHeight="1">
      <c r="A6" s="786">
        <v>45722.0</v>
      </c>
      <c r="B6" s="787">
        <v>2503194.0</v>
      </c>
      <c r="C6" s="788" t="s">
        <v>10136</v>
      </c>
      <c r="D6" s="804" t="s">
        <v>2785</v>
      </c>
      <c r="E6" s="790" t="str">
        <f>IFERROR(VLOOKUP(D6,Stock,3,FALSE),"")</f>
        <v>Mitsubishi Pajero 08-16</v>
      </c>
      <c r="F6" s="788">
        <v>1.0</v>
      </c>
      <c r="G6" s="798">
        <v>412300.0</v>
      </c>
      <c r="H6" s="799">
        <f t="shared" si="1"/>
        <v>412300</v>
      </c>
      <c r="I6" s="800">
        <f t="shared" si="2"/>
        <v>412300</v>
      </c>
      <c r="J6" s="786"/>
      <c r="K6" s="801"/>
      <c r="L6" s="802" t="s">
        <v>10137</v>
      </c>
      <c r="M6" s="796" t="s">
        <v>2763</v>
      </c>
      <c r="N6" s="797">
        <v>45773.0</v>
      </c>
      <c r="O6" s="803"/>
    </row>
    <row r="7" ht="15.0" customHeight="1">
      <c r="A7" s="786">
        <v>45722.0</v>
      </c>
      <c r="B7" s="787" t="s">
        <v>10138</v>
      </c>
      <c r="C7" s="788" t="s">
        <v>10139</v>
      </c>
      <c r="D7" s="804" t="s">
        <v>2792</v>
      </c>
      <c r="E7" s="790" t="str">
        <f>IFERROR(VLOOKUP(D7,Stock,3,FALSE),"")</f>
        <v>Toyota Calya / Sigra 16-</v>
      </c>
      <c r="F7" s="788">
        <v>1.0</v>
      </c>
      <c r="G7" s="798">
        <v>417150.0</v>
      </c>
      <c r="H7" s="799">
        <f t="shared" si="1"/>
        <v>417150</v>
      </c>
      <c r="I7" s="800"/>
      <c r="J7" s="786"/>
      <c r="K7" s="801"/>
      <c r="L7" s="805"/>
      <c r="M7" s="806" t="s">
        <v>2763</v>
      </c>
      <c r="N7" s="807">
        <v>45724.0</v>
      </c>
      <c r="O7" s="803"/>
    </row>
    <row r="8" ht="15.0" customHeight="1">
      <c r="A8" s="786">
        <v>45722.0</v>
      </c>
      <c r="B8" s="787" t="s">
        <v>10138</v>
      </c>
      <c r="C8" s="788" t="s">
        <v>10139</v>
      </c>
      <c r="D8" s="804" t="s">
        <v>2797</v>
      </c>
      <c r="E8" s="790" t="str">
        <f>IFERROR(VLOOKUP(D8,Stock,3,FALSE),"")</f>
        <v>Toyota Calya / Sigra 16-</v>
      </c>
      <c r="F8" s="788">
        <v>1.0</v>
      </c>
      <c r="G8" s="798">
        <v>195000.0</v>
      </c>
      <c r="H8" s="799">
        <f t="shared" si="1"/>
        <v>195000</v>
      </c>
      <c r="I8" s="800"/>
      <c r="J8" s="786"/>
      <c r="K8" s="801"/>
      <c r="L8" s="805"/>
      <c r="M8" s="806" t="s">
        <v>2763</v>
      </c>
      <c r="N8" s="807">
        <v>45724.0</v>
      </c>
      <c r="O8" s="803"/>
    </row>
    <row r="9" ht="15.0" customHeight="1">
      <c r="A9" s="786">
        <v>45722.0</v>
      </c>
      <c r="B9" s="787" t="s">
        <v>10138</v>
      </c>
      <c r="C9" s="788" t="s">
        <v>10139</v>
      </c>
      <c r="D9" s="808" t="s">
        <v>10140</v>
      </c>
      <c r="E9" s="790" t="str">
        <f>IFERROR(VLOOKUP(D9,Stock,3,FALSE),"")</f>
        <v>Toyota Innova 15- 2nd Gen</v>
      </c>
      <c r="F9" s="788">
        <v>1.0</v>
      </c>
      <c r="G9" s="798">
        <v>440000.0</v>
      </c>
      <c r="H9" s="799">
        <f t="shared" si="1"/>
        <v>440000</v>
      </c>
      <c r="I9" s="800"/>
      <c r="J9" s="786"/>
      <c r="K9" s="801"/>
      <c r="L9" s="805"/>
      <c r="M9" s="806" t="s">
        <v>2763</v>
      </c>
      <c r="N9" s="807">
        <v>45724.0</v>
      </c>
      <c r="O9" s="803"/>
    </row>
    <row r="10" ht="15.0" customHeight="1">
      <c r="A10" s="786">
        <v>45723.0</v>
      </c>
      <c r="B10" s="787">
        <v>2503215.0</v>
      </c>
      <c r="C10" s="788" t="s">
        <v>10136</v>
      </c>
      <c r="D10" s="804" t="s">
        <v>2803</v>
      </c>
      <c r="E10" s="790" t="str">
        <f>IFERROR(VLOOKUP(D10,Stock,3,FALSE),"")</f>
        <v>Audi A4 08-15 B8 [11-15] (1 Sensor / O Sempurna)</v>
      </c>
      <c r="F10" s="788">
        <v>1.0</v>
      </c>
      <c r="G10" s="798">
        <v>3276700.0</v>
      </c>
      <c r="H10" s="799">
        <f t="shared" si="1"/>
        <v>3276700</v>
      </c>
      <c r="I10" s="800">
        <f t="shared" ref="I10:I12" si="3">H10</f>
        <v>3276700</v>
      </c>
      <c r="J10" s="786"/>
      <c r="K10" s="801"/>
      <c r="L10" s="802" t="s">
        <v>10137</v>
      </c>
      <c r="M10" s="796" t="s">
        <v>2763</v>
      </c>
      <c r="N10" s="797">
        <v>45773.0</v>
      </c>
      <c r="O10" s="803"/>
    </row>
    <row r="11" ht="15.0" customHeight="1">
      <c r="A11" s="786">
        <v>45723.0</v>
      </c>
      <c r="B11" s="787">
        <v>2503215.0</v>
      </c>
      <c r="C11" s="788" t="s">
        <v>10136</v>
      </c>
      <c r="D11" s="804" t="s">
        <v>2816</v>
      </c>
      <c r="E11" s="790" t="str">
        <f>IFERROR(VLOOKUP(D11,Stock,3,FALSE),"")</f>
        <v>Toyota Vios 02-07 XP40 1st Gen</v>
      </c>
      <c r="F11" s="788">
        <v>1.0</v>
      </c>
      <c r="G11" s="798">
        <v>773500.0</v>
      </c>
      <c r="H11" s="799">
        <f t="shared" si="1"/>
        <v>773500</v>
      </c>
      <c r="I11" s="800">
        <f t="shared" si="3"/>
        <v>773500</v>
      </c>
      <c r="J11" s="786"/>
      <c r="K11" s="801"/>
      <c r="L11" s="802" t="s">
        <v>10137</v>
      </c>
      <c r="M11" s="796" t="s">
        <v>2763</v>
      </c>
      <c r="N11" s="797">
        <v>45773.0</v>
      </c>
      <c r="O11" s="803"/>
    </row>
    <row r="12" ht="15.0" customHeight="1">
      <c r="A12" s="786">
        <v>45723.0</v>
      </c>
      <c r="B12" s="787">
        <v>2503241.0</v>
      </c>
      <c r="C12" s="788" t="s">
        <v>10136</v>
      </c>
      <c r="D12" s="804" t="s">
        <v>2810</v>
      </c>
      <c r="E12" s="790" t="str">
        <f>IFERROR(VLOOKUP(D12,Stock,3,FALSE),"")</f>
        <v>Toyota Rush / Terios 18-</v>
      </c>
      <c r="F12" s="788">
        <v>1.0</v>
      </c>
      <c r="G12" s="798">
        <v>526400.0</v>
      </c>
      <c r="H12" s="799">
        <f t="shared" si="1"/>
        <v>526400</v>
      </c>
      <c r="I12" s="800">
        <f t="shared" si="3"/>
        <v>526400</v>
      </c>
      <c r="J12" s="786"/>
      <c r="K12" s="801"/>
      <c r="L12" s="802" t="s">
        <v>10137</v>
      </c>
      <c r="M12" s="796" t="s">
        <v>2763</v>
      </c>
      <c r="N12" s="797">
        <v>45773.0</v>
      </c>
      <c r="O12" s="803"/>
    </row>
    <row r="13" ht="15.0" customHeight="1">
      <c r="A13" s="786">
        <v>45724.0</v>
      </c>
      <c r="B13" s="787" t="s">
        <v>10141</v>
      </c>
      <c r="C13" s="788" t="s">
        <v>10139</v>
      </c>
      <c r="D13" s="804" t="s">
        <v>2823</v>
      </c>
      <c r="E13" s="790" t="str">
        <f>IFERROR(VLOOKUP(D13,Stock,3,FALSE),"")</f>
        <v>Honda CR-V 95-01 1st Gen</v>
      </c>
      <c r="F13" s="788">
        <v>1.0</v>
      </c>
      <c r="G13" s="798">
        <v>984150.0</v>
      </c>
      <c r="H13" s="799">
        <f t="shared" si="1"/>
        <v>984150</v>
      </c>
      <c r="I13" s="800"/>
      <c r="J13" s="786"/>
      <c r="K13" s="801"/>
      <c r="L13" s="805"/>
      <c r="M13" s="806" t="s">
        <v>2763</v>
      </c>
      <c r="N13" s="807">
        <v>45724.0</v>
      </c>
      <c r="O13" s="803"/>
    </row>
    <row r="14" ht="15.0" customHeight="1">
      <c r="A14" s="786">
        <v>45724.0</v>
      </c>
      <c r="B14" s="787" t="s">
        <v>10142</v>
      </c>
      <c r="C14" s="788" t="s">
        <v>10139</v>
      </c>
      <c r="D14" s="789" t="s">
        <v>3434</v>
      </c>
      <c r="E14" s="790" t="str">
        <f>IFERROR(VLOOKUP(D14,Stock,3,FALSE),"")</f>
        <v>List Kaca Depan Code 04</v>
      </c>
      <c r="F14" s="788">
        <v>5.0</v>
      </c>
      <c r="G14" s="798">
        <v>65000.0</v>
      </c>
      <c r="H14" s="799">
        <f t="shared" si="1"/>
        <v>325000</v>
      </c>
      <c r="I14" s="800"/>
      <c r="J14" s="786"/>
      <c r="K14" s="801"/>
      <c r="L14" s="805"/>
      <c r="M14" s="806" t="s">
        <v>2763</v>
      </c>
      <c r="N14" s="807">
        <v>45724.0</v>
      </c>
      <c r="O14" s="803"/>
    </row>
    <row r="15" ht="15.0" customHeight="1">
      <c r="A15" s="786">
        <v>45724.0</v>
      </c>
      <c r="B15" s="787" t="s">
        <v>10142</v>
      </c>
      <c r="C15" s="788" t="s">
        <v>10139</v>
      </c>
      <c r="D15" s="789" t="s">
        <v>3456</v>
      </c>
      <c r="E15" s="790" t="str">
        <f>IFERROR(VLOOKUP(D15,Stock,3,FALSE),"")</f>
        <v>List Kaca Depan Code 11</v>
      </c>
      <c r="F15" s="788">
        <v>5.0</v>
      </c>
      <c r="G15" s="798">
        <v>65000.0</v>
      </c>
      <c r="H15" s="799">
        <f t="shared" si="1"/>
        <v>325000</v>
      </c>
      <c r="I15" s="809"/>
      <c r="J15" s="786"/>
      <c r="K15" s="801"/>
      <c r="L15" s="805"/>
      <c r="M15" s="806" t="s">
        <v>2763</v>
      </c>
      <c r="N15" s="807">
        <v>45724.0</v>
      </c>
      <c r="O15" s="803"/>
    </row>
    <row r="16" ht="15.0" customHeight="1">
      <c r="A16" s="786">
        <v>45726.0</v>
      </c>
      <c r="B16" s="787" t="s">
        <v>10143</v>
      </c>
      <c r="C16" s="788" t="s">
        <v>10139</v>
      </c>
      <c r="D16" s="789" t="s">
        <v>2841</v>
      </c>
      <c r="E16" s="790" t="str">
        <f>IFERROR(VLOOKUP(D16,Stock,3,FALSE),"")</f>
        <v>Toyota Hi-Ace 04-20 Commuter</v>
      </c>
      <c r="F16" s="788">
        <v>1.0</v>
      </c>
      <c r="G16" s="798">
        <v>951075.0</v>
      </c>
      <c r="H16" s="799">
        <f t="shared" si="1"/>
        <v>951075</v>
      </c>
      <c r="I16" s="809"/>
      <c r="J16" s="786"/>
      <c r="K16" s="801"/>
      <c r="L16" s="805"/>
      <c r="M16" s="806" t="s">
        <v>2763</v>
      </c>
      <c r="N16" s="807">
        <v>45730.0</v>
      </c>
      <c r="O16" s="803"/>
    </row>
    <row r="17" ht="15.0" customHeight="1">
      <c r="A17" s="786">
        <v>45728.0</v>
      </c>
      <c r="B17" s="787" t="s">
        <v>10144</v>
      </c>
      <c r="C17" s="788" t="s">
        <v>10139</v>
      </c>
      <c r="D17" s="789" t="s">
        <v>2792</v>
      </c>
      <c r="E17" s="790" t="str">
        <f>IFERROR(VLOOKUP(D17,Stock,3,FALSE),"")</f>
        <v>Toyota Calya / Sigra 16-</v>
      </c>
      <c r="F17" s="788">
        <v>1.0</v>
      </c>
      <c r="G17" s="798">
        <v>417150.0</v>
      </c>
      <c r="H17" s="799">
        <f t="shared" si="1"/>
        <v>417150</v>
      </c>
      <c r="I17" s="809"/>
      <c r="J17" s="786"/>
      <c r="K17" s="801"/>
      <c r="L17" s="805"/>
      <c r="M17" s="806" t="s">
        <v>2763</v>
      </c>
      <c r="N17" s="807">
        <v>45728.0</v>
      </c>
      <c r="O17" s="803"/>
    </row>
    <row r="18" ht="15.0" customHeight="1">
      <c r="A18" s="786">
        <v>45724.0</v>
      </c>
      <c r="B18" s="787" t="s">
        <v>10145</v>
      </c>
      <c r="C18" s="788" t="s">
        <v>10146</v>
      </c>
      <c r="D18" s="804" t="s">
        <v>2832</v>
      </c>
      <c r="E18" s="790" t="str">
        <f>IFERROR(VLOOKUP(D18,Stock,3,FALSE),"")</f>
        <v>Toyota Avanza / Xenia 21- 4th Gen</v>
      </c>
      <c r="F18" s="788">
        <v>1.0</v>
      </c>
      <c r="G18" s="798">
        <v>650000.0</v>
      </c>
      <c r="H18" s="799">
        <f t="shared" si="1"/>
        <v>650000</v>
      </c>
      <c r="I18" s="809"/>
      <c r="J18" s="786"/>
      <c r="K18" s="801"/>
      <c r="L18" s="805"/>
      <c r="M18" s="806" t="s">
        <v>2763</v>
      </c>
      <c r="N18" s="807">
        <v>45735.0</v>
      </c>
      <c r="O18" s="803"/>
    </row>
    <row r="19" ht="15.0" customHeight="1">
      <c r="A19" s="786">
        <v>45729.0</v>
      </c>
      <c r="B19" s="787" t="s">
        <v>10147</v>
      </c>
      <c r="C19" s="788" t="s">
        <v>10139</v>
      </c>
      <c r="D19" s="804" t="s">
        <v>2837</v>
      </c>
      <c r="E19" s="790" t="str">
        <f>IFERROR(VLOOKUP(D19,Stock,3,FALSE),"")</f>
        <v>Toyota Corolla Cross 21-</v>
      </c>
      <c r="F19" s="788">
        <v>1.0</v>
      </c>
      <c r="G19" s="798">
        <v>2058750.0</v>
      </c>
      <c r="H19" s="799">
        <f t="shared" si="1"/>
        <v>2058750</v>
      </c>
      <c r="I19" s="809"/>
      <c r="J19" s="786"/>
      <c r="K19" s="801"/>
      <c r="L19" s="805"/>
      <c r="M19" s="806" t="s">
        <v>2763</v>
      </c>
      <c r="N19" s="807">
        <v>45735.0</v>
      </c>
      <c r="O19" s="803"/>
    </row>
    <row r="20" ht="15.0" customHeight="1">
      <c r="A20" s="786">
        <v>45726.0</v>
      </c>
      <c r="B20" s="787">
        <v>2503267.0</v>
      </c>
      <c r="C20" s="788" t="s">
        <v>10136</v>
      </c>
      <c r="D20" s="804" t="s">
        <v>2848</v>
      </c>
      <c r="E20" s="790" t="str">
        <f>IFERROR(VLOOKUP(D20,Stock,3,FALSE),"")</f>
        <v>Honda Brio 10-17 [Tanpa Lubang]</v>
      </c>
      <c r="F20" s="788">
        <v>1.0</v>
      </c>
      <c r="G20" s="798">
        <v>668500.0</v>
      </c>
      <c r="H20" s="799">
        <f t="shared" si="1"/>
        <v>668500</v>
      </c>
      <c r="I20" s="809"/>
      <c r="J20" s="786"/>
      <c r="K20" s="801"/>
      <c r="L20" s="802" t="s">
        <v>10137</v>
      </c>
      <c r="M20" s="806" t="s">
        <v>2763</v>
      </c>
      <c r="N20" s="807">
        <v>45784.0</v>
      </c>
      <c r="O20" s="803"/>
    </row>
    <row r="21" ht="15.0" customHeight="1">
      <c r="A21" s="786">
        <v>45726.0</v>
      </c>
      <c r="B21" s="787">
        <v>2503267.0</v>
      </c>
      <c r="C21" s="788" t="s">
        <v>10136</v>
      </c>
      <c r="D21" s="804" t="s">
        <v>2852</v>
      </c>
      <c r="E21" s="790" t="str">
        <f>IFERROR(VLOOKUP(D21,Stock,3,FALSE),"")</f>
        <v>Mazda Biante 08-</v>
      </c>
      <c r="F21" s="788">
        <v>1.0</v>
      </c>
      <c r="G21" s="798">
        <v>2317700.0</v>
      </c>
      <c r="H21" s="799">
        <f t="shared" si="1"/>
        <v>2317700</v>
      </c>
      <c r="I21" s="809"/>
      <c r="J21" s="786"/>
      <c r="K21" s="801"/>
      <c r="L21" s="802" t="s">
        <v>10137</v>
      </c>
      <c r="M21" s="806" t="s">
        <v>2763</v>
      </c>
      <c r="N21" s="807">
        <v>45784.0</v>
      </c>
      <c r="O21" s="803"/>
    </row>
    <row r="22" ht="15.0" customHeight="1">
      <c r="A22" s="786">
        <v>45726.0</v>
      </c>
      <c r="B22" s="787">
        <v>2503300.0</v>
      </c>
      <c r="C22" s="788" t="s">
        <v>10136</v>
      </c>
      <c r="D22" s="810" t="s">
        <v>2857</v>
      </c>
      <c r="E22" s="790" t="str">
        <f>IFERROR(VLOOKUP(D22,Stock,3,FALSE),"")</f>
        <v>Toyota Corolla Great E100 91-96 7th Gen</v>
      </c>
      <c r="F22" s="788">
        <v>1.0</v>
      </c>
      <c r="G22" s="811">
        <v>986300.0</v>
      </c>
      <c r="H22" s="799">
        <f t="shared" si="1"/>
        <v>986300</v>
      </c>
      <c r="I22" s="800"/>
      <c r="J22" s="812"/>
      <c r="K22" s="813"/>
      <c r="L22" s="802" t="s">
        <v>10137</v>
      </c>
      <c r="M22" s="796" t="s">
        <v>2763</v>
      </c>
      <c r="N22" s="797">
        <v>45773.0</v>
      </c>
      <c r="O22" s="803"/>
    </row>
    <row r="23" ht="15.0" customHeight="1">
      <c r="A23" s="814">
        <v>45727.0</v>
      </c>
      <c r="B23" s="815">
        <v>2503323.0</v>
      </c>
      <c r="C23" s="816" t="s">
        <v>10136</v>
      </c>
      <c r="D23" s="816" t="s">
        <v>2860</v>
      </c>
      <c r="E23" s="790" t="str">
        <f>IFERROR(VLOOKUP(D23,Stock,3,FALSE),"")</f>
        <v>Suzuki Baleno 15-21</v>
      </c>
      <c r="F23" s="788">
        <v>1.0</v>
      </c>
      <c r="G23" s="817">
        <v>744800.0</v>
      </c>
      <c r="H23" s="799">
        <f t="shared" si="1"/>
        <v>744800</v>
      </c>
      <c r="I23" s="800"/>
      <c r="J23" s="812"/>
      <c r="K23" s="813"/>
      <c r="L23" s="802" t="s">
        <v>10137</v>
      </c>
      <c r="M23" s="806" t="s">
        <v>2763</v>
      </c>
      <c r="N23" s="807">
        <v>45784.0</v>
      </c>
      <c r="O23" s="803"/>
    </row>
    <row r="24" ht="15.0" customHeight="1">
      <c r="A24" s="814">
        <v>45727.0</v>
      </c>
      <c r="B24" s="818">
        <v>2503323.0</v>
      </c>
      <c r="C24" s="819" t="s">
        <v>10136</v>
      </c>
      <c r="D24" s="816" t="s">
        <v>2835</v>
      </c>
      <c r="E24" s="790" t="str">
        <f>IFERROR(VLOOKUP(D24,Stock,3,FALSE),"")</f>
        <v>Peti Kayu</v>
      </c>
      <c r="F24" s="788">
        <v>1.0</v>
      </c>
      <c r="G24" s="817">
        <v>150000.0</v>
      </c>
      <c r="H24" s="799">
        <f t="shared" si="1"/>
        <v>150000</v>
      </c>
      <c r="I24" s="800"/>
      <c r="J24" s="812"/>
      <c r="K24" s="813"/>
      <c r="L24" s="802" t="s">
        <v>10137</v>
      </c>
      <c r="M24" s="806" t="s">
        <v>2763</v>
      </c>
      <c r="N24" s="807">
        <v>45784.0</v>
      </c>
      <c r="O24" s="803"/>
    </row>
    <row r="25" ht="15.0" customHeight="1">
      <c r="A25" s="786">
        <v>45727.0</v>
      </c>
      <c r="B25" s="787">
        <v>2503328.0</v>
      </c>
      <c r="C25" s="788" t="s">
        <v>10136</v>
      </c>
      <c r="D25" s="810" t="s">
        <v>2865</v>
      </c>
      <c r="E25" s="790" t="str">
        <f>IFERROR(VLOOKUP(D25,Stock,3,FALSE),"")</f>
        <v>Toyota Fortuner 15- 2nd Gen</v>
      </c>
      <c r="F25" s="788">
        <v>1.0</v>
      </c>
      <c r="G25" s="811">
        <v>1015000.0</v>
      </c>
      <c r="H25" s="799">
        <f t="shared" si="1"/>
        <v>1015000</v>
      </c>
      <c r="I25" s="800"/>
      <c r="J25" s="812"/>
      <c r="K25" s="813"/>
      <c r="L25" s="802" t="s">
        <v>10137</v>
      </c>
      <c r="M25" s="806" t="s">
        <v>2763</v>
      </c>
      <c r="N25" s="807">
        <v>45784.0</v>
      </c>
      <c r="O25" s="803"/>
    </row>
    <row r="26" ht="15.0" customHeight="1">
      <c r="A26" s="820"/>
      <c r="B26" s="821"/>
      <c r="C26" s="822" t="s">
        <v>10148</v>
      </c>
      <c r="D26" s="823" t="s">
        <v>2869</v>
      </c>
      <c r="E26" s="594" t="str">
        <f>IFERROR(VLOOKUP(D26,Stock,3,FALSE),"")</f>
        <v>Daihatsu Gran Max / Luxio 07-</v>
      </c>
      <c r="F26" s="822">
        <v>1.0</v>
      </c>
      <c r="G26" s="769"/>
      <c r="H26" s="824">
        <f t="shared" si="1"/>
        <v>0</v>
      </c>
      <c r="I26" s="825"/>
      <c r="J26" s="826"/>
      <c r="K26" s="827"/>
      <c r="L26" s="828"/>
    </row>
    <row r="27" ht="15.0" customHeight="1">
      <c r="A27" s="786">
        <v>45728.0</v>
      </c>
      <c r="B27" s="787">
        <v>2503372.0</v>
      </c>
      <c r="C27" s="788" t="s">
        <v>10136</v>
      </c>
      <c r="D27" s="810" t="s">
        <v>2881</v>
      </c>
      <c r="E27" s="790" t="str">
        <f>IFERROR(VLOOKUP(D27,Stock,3,FALSE),"")</f>
        <v>Mitsubishi Outlander 10-21 GA3</v>
      </c>
      <c r="F27" s="788">
        <v>1.0</v>
      </c>
      <c r="G27" s="811">
        <v>1251600.0</v>
      </c>
      <c r="H27" s="799">
        <f t="shared" si="1"/>
        <v>1251600</v>
      </c>
      <c r="I27" s="800"/>
      <c r="J27" s="812"/>
      <c r="K27" s="813"/>
      <c r="L27" s="802" t="s">
        <v>10137</v>
      </c>
      <c r="M27" s="806" t="s">
        <v>2763</v>
      </c>
      <c r="N27" s="807">
        <v>45784.0</v>
      </c>
      <c r="O27" s="803"/>
    </row>
    <row r="28" ht="15.0" customHeight="1">
      <c r="A28" s="786">
        <v>45731.0</v>
      </c>
      <c r="B28" s="787" t="s">
        <v>10149</v>
      </c>
      <c r="C28" s="788" t="s">
        <v>10139</v>
      </c>
      <c r="D28" s="810" t="s">
        <v>2893</v>
      </c>
      <c r="E28" s="790" t="str">
        <f>IFERROR(VLOOKUP(D28,Stock,3,FALSE),"")</f>
        <v>Daihatsu Taruna</v>
      </c>
      <c r="F28" s="788">
        <v>1.0</v>
      </c>
      <c r="G28" s="811">
        <v>742500.0</v>
      </c>
      <c r="H28" s="799">
        <f t="shared" si="1"/>
        <v>742500</v>
      </c>
      <c r="I28" s="800"/>
      <c r="J28" s="812"/>
      <c r="K28" s="813"/>
      <c r="L28" s="805"/>
      <c r="M28" s="806" t="s">
        <v>2763</v>
      </c>
      <c r="N28" s="807">
        <v>45735.0</v>
      </c>
      <c r="O28" s="803"/>
    </row>
    <row r="29" ht="15.0" customHeight="1">
      <c r="A29" s="786">
        <v>45733.0</v>
      </c>
      <c r="B29" s="787" t="s">
        <v>10150</v>
      </c>
      <c r="C29" s="788" t="s">
        <v>10139</v>
      </c>
      <c r="D29" s="810" t="s">
        <v>2901</v>
      </c>
      <c r="E29" s="790" t="str">
        <f>IFERROR(VLOOKUP(D29,Stock,3,FALSE),"")</f>
        <v>Honda CR-V 12-16 4th Gen</v>
      </c>
      <c r="F29" s="788">
        <v>1.0</v>
      </c>
      <c r="G29" s="811">
        <v>1079325.0</v>
      </c>
      <c r="H29" s="799">
        <f t="shared" si="1"/>
        <v>1079325</v>
      </c>
      <c r="I29" s="800"/>
      <c r="J29" s="812"/>
      <c r="K29" s="813"/>
      <c r="L29" s="805"/>
      <c r="M29" s="806" t="s">
        <v>2763</v>
      </c>
      <c r="N29" s="807">
        <v>45735.0</v>
      </c>
      <c r="O29" s="803"/>
    </row>
    <row r="30" ht="15.0" customHeight="1">
      <c r="A30" s="786">
        <v>45733.0</v>
      </c>
      <c r="B30" s="787" t="s">
        <v>10150</v>
      </c>
      <c r="C30" s="788" t="s">
        <v>10139</v>
      </c>
      <c r="D30" s="301" t="s">
        <v>2907</v>
      </c>
      <c r="E30" s="790" t="str">
        <f>IFERROR(VLOOKUP(D30,Stock,3,FALSE),"")</f>
        <v>Honda Odyssey 13- 5th Gen RC1/RC2</v>
      </c>
      <c r="F30" s="788">
        <v>1.0</v>
      </c>
      <c r="G30" s="811">
        <v>2344275.0</v>
      </c>
      <c r="H30" s="799">
        <f t="shared" si="1"/>
        <v>2344275</v>
      </c>
      <c r="I30" s="800"/>
      <c r="J30" s="812"/>
      <c r="K30" s="813"/>
      <c r="L30" s="805"/>
      <c r="M30" s="806" t="s">
        <v>2763</v>
      </c>
      <c r="N30" s="807">
        <v>45735.0</v>
      </c>
      <c r="O30" s="803"/>
    </row>
    <row r="31" ht="15.0" customHeight="1">
      <c r="A31" s="786">
        <v>45734.0</v>
      </c>
      <c r="B31" s="787">
        <v>2503567.0</v>
      </c>
      <c r="C31" s="788" t="s">
        <v>10136</v>
      </c>
      <c r="D31" s="789" t="s">
        <v>2916</v>
      </c>
      <c r="E31" s="790" t="str">
        <f>IFERROR(VLOOKUP(D31,Stock,3,FALSE),"")</f>
        <v>Toyota Alphard 08-15 ANH20 2nd Gen (Hitam)</v>
      </c>
      <c r="F31" s="788">
        <v>1.0</v>
      </c>
      <c r="G31" s="811">
        <v>1780800.0</v>
      </c>
      <c r="H31" s="799">
        <f t="shared" si="1"/>
        <v>1780800</v>
      </c>
      <c r="I31" s="800"/>
      <c r="J31" s="812"/>
      <c r="K31" s="813"/>
      <c r="L31" s="802" t="s">
        <v>10137</v>
      </c>
      <c r="M31" s="806" t="s">
        <v>2763</v>
      </c>
      <c r="N31" s="807">
        <v>45792.0</v>
      </c>
      <c r="O31" s="803"/>
    </row>
    <row r="32" ht="15.0" customHeight="1">
      <c r="A32" s="786">
        <v>45734.0</v>
      </c>
      <c r="B32" s="815" t="s">
        <v>10151</v>
      </c>
      <c r="C32" s="819" t="s">
        <v>10152</v>
      </c>
      <c r="D32" s="819" t="s">
        <v>2897</v>
      </c>
      <c r="E32" s="790" t="str">
        <f>IFERROR(VLOOKUP(D32,Stock,3,FALSE),"")</f>
        <v>Toyota Avanza / Xenia 11-15 2nd Gen/3rd Gen (Toyota/Daihatsu)</v>
      </c>
      <c r="F32" s="829">
        <v>1.0</v>
      </c>
      <c r="G32" s="830">
        <v>995000.0</v>
      </c>
      <c r="H32" s="799">
        <f t="shared" si="1"/>
        <v>995000</v>
      </c>
      <c r="I32" s="817">
        <v>995000.0</v>
      </c>
      <c r="J32" s="817"/>
      <c r="K32" s="831"/>
      <c r="L32" s="832"/>
      <c r="M32" s="806" t="s">
        <v>2763</v>
      </c>
      <c r="N32" s="807">
        <v>45741.0</v>
      </c>
      <c r="O32" s="833"/>
    </row>
    <row r="33" ht="15.0" customHeight="1">
      <c r="A33" s="786">
        <v>45735.0</v>
      </c>
      <c r="B33" s="787" t="s">
        <v>10153</v>
      </c>
      <c r="C33" s="788" t="s">
        <v>10139</v>
      </c>
      <c r="D33" s="789" t="s">
        <v>2792</v>
      </c>
      <c r="E33" s="790" t="str">
        <f>IFERROR(VLOOKUP(D33,Stock,3,FALSE),"")</f>
        <v>Toyota Calya / Sigra 16-</v>
      </c>
      <c r="F33" s="788">
        <v>1.0</v>
      </c>
      <c r="G33" s="811">
        <v>417150.0</v>
      </c>
      <c r="H33" s="799">
        <f t="shared" si="1"/>
        <v>417150</v>
      </c>
      <c r="I33" s="800"/>
      <c r="J33" s="812"/>
      <c r="K33" s="813"/>
      <c r="L33" s="805"/>
      <c r="M33" s="806" t="s">
        <v>2763</v>
      </c>
      <c r="N33" s="807">
        <v>45735.0</v>
      </c>
      <c r="O33" s="803"/>
    </row>
    <row r="34" ht="15.0" customHeight="1">
      <c r="A34" s="834">
        <v>45735.0</v>
      </c>
      <c r="B34" s="821"/>
      <c r="C34" s="822" t="s">
        <v>10154</v>
      </c>
      <c r="D34" s="835" t="s">
        <v>2924</v>
      </c>
      <c r="E34" s="594" t="str">
        <f>IFERROR(VLOOKUP(D34,Stock,3,FALSE),"")</f>
        <v>Suzuki Ertiga 12-18 1st Gen MPV</v>
      </c>
      <c r="F34" s="822">
        <v>1.0</v>
      </c>
      <c r="G34" s="769"/>
      <c r="H34" s="824">
        <f t="shared" si="1"/>
        <v>0</v>
      </c>
      <c r="I34" s="825"/>
      <c r="J34" s="826"/>
      <c r="K34" s="827"/>
      <c r="L34" s="828"/>
    </row>
    <row r="35" ht="15.0" customHeight="1">
      <c r="A35" s="834">
        <v>45735.0</v>
      </c>
      <c r="B35" s="821"/>
      <c r="C35" s="822" t="s">
        <v>10154</v>
      </c>
      <c r="D35" s="835" t="s">
        <v>2877</v>
      </c>
      <c r="E35" s="594" t="str">
        <f>IFERROR(VLOOKUP(D35,Stock,3,FALSE),"")</f>
        <v>Toyota Dyna/Hino Dutro 00-</v>
      </c>
      <c r="F35" s="822">
        <v>2.0</v>
      </c>
      <c r="G35" s="769"/>
      <c r="H35" s="824">
        <f t="shared" si="1"/>
        <v>0</v>
      </c>
      <c r="I35" s="825"/>
      <c r="J35" s="826"/>
      <c r="K35" s="827"/>
      <c r="L35" s="828"/>
    </row>
    <row r="36" ht="15.0" customHeight="1">
      <c r="A36" s="834">
        <v>45735.0</v>
      </c>
      <c r="B36" s="821"/>
      <c r="C36" s="822" t="s">
        <v>10154</v>
      </c>
      <c r="D36" s="835" t="s">
        <v>3029</v>
      </c>
      <c r="E36" s="594" t="str">
        <f>IFERROR(VLOOKUP(D36,Stock,3,FALSE),"")</f>
        <v>Mitsubishi Canter FE700 01- (PS110,125)</v>
      </c>
      <c r="F36" s="822">
        <v>2.0</v>
      </c>
      <c r="G36" s="769"/>
      <c r="H36" s="824">
        <f t="shared" si="1"/>
        <v>0</v>
      </c>
      <c r="I36" s="825"/>
      <c r="J36" s="826"/>
      <c r="K36" s="827"/>
      <c r="L36" s="828"/>
    </row>
    <row r="37" ht="15.0" customHeight="1">
      <c r="A37" s="834">
        <v>45735.0</v>
      </c>
      <c r="B37" s="603"/>
      <c r="C37" s="822" t="s">
        <v>10154</v>
      </c>
      <c r="D37" s="835" t="s">
        <v>2944</v>
      </c>
      <c r="E37" s="594" t="str">
        <f>IFERROR(VLOOKUP(D37,Stock,3,FALSE),"")</f>
        <v>Toyota Innova 04-15 1st Gen</v>
      </c>
      <c r="F37" s="822">
        <v>1.0</v>
      </c>
      <c r="G37" s="769"/>
      <c r="H37" s="824">
        <f t="shared" si="1"/>
        <v>0</v>
      </c>
      <c r="I37" s="825"/>
      <c r="J37" s="826"/>
      <c r="K37" s="827"/>
      <c r="L37" s="828"/>
      <c r="M37" s="548"/>
      <c r="N37" s="761"/>
    </row>
    <row r="38" ht="15.0" customHeight="1">
      <c r="A38" s="786">
        <v>45736.0</v>
      </c>
      <c r="B38" s="787">
        <v>2503658.0</v>
      </c>
      <c r="C38" s="788" t="s">
        <v>10136</v>
      </c>
      <c r="D38" s="789" t="s">
        <v>2978</v>
      </c>
      <c r="E38" s="790" t="str">
        <f>IFERROR(VLOOKUP(D38,Stock,3,FALSE),"")</f>
        <v>Chery QQ 03-15 S11 5D / Spark 98-05</v>
      </c>
      <c r="F38" s="788">
        <v>1.0</v>
      </c>
      <c r="G38" s="811">
        <v>938000.0</v>
      </c>
      <c r="H38" s="799">
        <f t="shared" si="1"/>
        <v>938000</v>
      </c>
      <c r="I38" s="800"/>
      <c r="J38" s="812"/>
      <c r="K38" s="813"/>
      <c r="L38" s="802" t="s">
        <v>10137</v>
      </c>
      <c r="M38" s="806" t="s">
        <v>2763</v>
      </c>
      <c r="N38" s="807">
        <v>45792.0</v>
      </c>
      <c r="O38" s="803"/>
    </row>
    <row r="39" ht="15.0" customHeight="1">
      <c r="A39" s="786">
        <v>45736.0</v>
      </c>
      <c r="B39" s="787" t="s">
        <v>10155</v>
      </c>
      <c r="C39" s="788" t="s">
        <v>10156</v>
      </c>
      <c r="D39" s="789" t="s">
        <v>2937</v>
      </c>
      <c r="E39" s="790" t="str">
        <f>IFERROR(VLOOKUP(D39,Stock,3,FALSE),"")</f>
        <v>Mitsubishi Xpander 17- / Livina 19- 2nd Gen (Chrome)</v>
      </c>
      <c r="F39" s="788">
        <v>1.0</v>
      </c>
      <c r="G39" s="811">
        <v>775000.0</v>
      </c>
      <c r="H39" s="799"/>
      <c r="I39" s="800"/>
      <c r="J39" s="836"/>
      <c r="K39" s="813"/>
      <c r="L39" s="805"/>
      <c r="M39" s="806" t="s">
        <v>2763</v>
      </c>
      <c r="N39" s="807">
        <v>45741.0</v>
      </c>
      <c r="O39" s="803"/>
    </row>
    <row r="40" ht="15.0" customHeight="1">
      <c r="A40" s="786">
        <v>45737.0</v>
      </c>
      <c r="B40" s="787" t="s">
        <v>10157</v>
      </c>
      <c r="C40" s="788" t="s">
        <v>10139</v>
      </c>
      <c r="D40" s="789" t="s">
        <v>2939</v>
      </c>
      <c r="E40" s="790" t="str">
        <f>IFERROR(VLOOKUP(D40,Stock,3,FALSE),"")</f>
        <v>Honda CR-V 17- 5th Gen</v>
      </c>
      <c r="F40" s="788">
        <v>1.0</v>
      </c>
      <c r="G40" s="811">
        <v>699975.0</v>
      </c>
      <c r="H40" s="799">
        <f t="shared" ref="H40:H73" si="4">G40*F40</f>
        <v>699975</v>
      </c>
      <c r="I40" s="800"/>
      <c r="J40" s="812"/>
      <c r="K40" s="813"/>
      <c r="L40" s="802" t="s">
        <v>10137</v>
      </c>
      <c r="M40" s="806" t="s">
        <v>2763</v>
      </c>
      <c r="N40" s="807">
        <v>45756.0</v>
      </c>
      <c r="O40" s="803"/>
    </row>
    <row r="41" ht="15.0" customHeight="1">
      <c r="A41" s="786">
        <v>45737.0</v>
      </c>
      <c r="B41" s="787">
        <v>2503684.0</v>
      </c>
      <c r="C41" s="788" t="s">
        <v>10136</v>
      </c>
      <c r="D41" s="789" t="s">
        <v>2928</v>
      </c>
      <c r="E41" s="790" t="str">
        <f>IFERROR(VLOOKUP(D41,Stock,3,FALSE),"")</f>
        <v>Mers-Benz E-Class 17- W213 (1 Sensor/ □ )</v>
      </c>
      <c r="F41" s="788">
        <v>1.0</v>
      </c>
      <c r="G41" s="811">
        <v>5173000.0</v>
      </c>
      <c r="H41" s="799">
        <f t="shared" si="4"/>
        <v>5173000</v>
      </c>
      <c r="I41" s="800"/>
      <c r="J41" s="812"/>
      <c r="K41" s="813"/>
      <c r="L41" s="802" t="s">
        <v>10137</v>
      </c>
      <c r="M41" s="806" t="s">
        <v>2763</v>
      </c>
      <c r="N41" s="807">
        <v>45797.0</v>
      </c>
      <c r="O41" s="803"/>
    </row>
    <row r="42" ht="15.0" customHeight="1">
      <c r="A42" s="786">
        <v>45737.0</v>
      </c>
      <c r="B42" s="787">
        <v>2503684.0</v>
      </c>
      <c r="C42" s="788" t="s">
        <v>10136</v>
      </c>
      <c r="D42" s="789" t="s">
        <v>2932</v>
      </c>
      <c r="E42" s="790" t="str">
        <f>IFERROR(VLOOKUP(D42,Stock,3,FALSE),"")</f>
        <v>Mitsubishi Xpander 17-21</v>
      </c>
      <c r="F42" s="788">
        <v>1.0</v>
      </c>
      <c r="G42" s="811">
        <v>371700.0</v>
      </c>
      <c r="H42" s="799">
        <f t="shared" si="4"/>
        <v>371700</v>
      </c>
      <c r="I42" s="800"/>
      <c r="J42" s="812"/>
      <c r="K42" s="813"/>
      <c r="L42" s="802" t="s">
        <v>10137</v>
      </c>
      <c r="M42" s="806" t="s">
        <v>2763</v>
      </c>
      <c r="N42" s="807">
        <v>45797.0</v>
      </c>
      <c r="O42" s="803"/>
    </row>
    <row r="43" ht="15.0" customHeight="1">
      <c r="A43" s="786">
        <v>45738.0</v>
      </c>
      <c r="B43" s="787" t="s">
        <v>10158</v>
      </c>
      <c r="C43" s="788" t="s">
        <v>10139</v>
      </c>
      <c r="D43" s="789" t="s">
        <v>2948</v>
      </c>
      <c r="E43" s="790" t="str">
        <f>IFERROR(VLOOKUP(D43,Stock,3,FALSE),"")</f>
        <v>Nissan March 10- K13</v>
      </c>
      <c r="F43" s="788">
        <v>1.0</v>
      </c>
      <c r="G43" s="811">
        <v>771525.0</v>
      </c>
      <c r="H43" s="799">
        <f t="shared" si="4"/>
        <v>771525</v>
      </c>
      <c r="I43" s="800"/>
      <c r="J43" s="812"/>
      <c r="K43" s="813"/>
      <c r="L43" s="805"/>
      <c r="M43" s="806" t="s">
        <v>2763</v>
      </c>
      <c r="N43" s="807">
        <v>45741.0</v>
      </c>
      <c r="O43" s="803"/>
    </row>
    <row r="44" ht="15.0" customHeight="1">
      <c r="A44" s="786">
        <v>45738.0</v>
      </c>
      <c r="B44" s="787" t="s">
        <v>10159</v>
      </c>
      <c r="C44" s="788" t="s">
        <v>10156</v>
      </c>
      <c r="D44" s="789" t="s">
        <v>2956</v>
      </c>
      <c r="E44" s="790" t="str">
        <f>IFERROR(VLOOKUP(D44,Stock,3,FALSE),"")</f>
        <v>Toyota Avanza / Xenia 21- 4th Gen</v>
      </c>
      <c r="F44" s="788">
        <v>1.0</v>
      </c>
      <c r="G44" s="811">
        <v>350000.0</v>
      </c>
      <c r="H44" s="799">
        <f t="shared" si="4"/>
        <v>350000</v>
      </c>
      <c r="I44" s="800"/>
      <c r="J44" s="812"/>
      <c r="K44" s="813"/>
      <c r="L44" s="805"/>
      <c r="M44" s="806" t="s">
        <v>2763</v>
      </c>
      <c r="N44" s="807">
        <v>45741.0</v>
      </c>
      <c r="O44" s="803"/>
    </row>
    <row r="45" ht="15.0" customHeight="1">
      <c r="A45" s="786">
        <v>45738.0</v>
      </c>
      <c r="B45" s="787" t="s">
        <v>10159</v>
      </c>
      <c r="C45" s="788" t="s">
        <v>10156</v>
      </c>
      <c r="D45" s="789" t="s">
        <v>8503</v>
      </c>
      <c r="E45" s="790" t="str">
        <f>IFERROR(VLOOKUP(D45,Stock,3,FALSE),"")</f>
        <v>Wuling Confero / Formo</v>
      </c>
      <c r="F45" s="788">
        <v>1.0</v>
      </c>
      <c r="G45" s="811">
        <v>330000.0</v>
      </c>
      <c r="H45" s="799">
        <f t="shared" si="4"/>
        <v>330000</v>
      </c>
      <c r="I45" s="800"/>
      <c r="J45" s="812"/>
      <c r="K45" s="813"/>
      <c r="L45" s="805"/>
      <c r="M45" s="806" t="s">
        <v>2763</v>
      </c>
      <c r="N45" s="807">
        <v>45741.0</v>
      </c>
      <c r="O45" s="803"/>
    </row>
    <row r="46" ht="15.0" customHeight="1">
      <c r="A46" s="786">
        <v>45740.0</v>
      </c>
      <c r="B46" s="787" t="s">
        <v>10160</v>
      </c>
      <c r="C46" s="788" t="s">
        <v>10139</v>
      </c>
      <c r="D46" s="789" t="s">
        <v>2973</v>
      </c>
      <c r="E46" s="790" t="str">
        <f>IFERROR(VLOOKUP(D46,Stock,3,FALSE),"")</f>
        <v>Suzuki Carry New 19-</v>
      </c>
      <c r="F46" s="788">
        <v>1.0</v>
      </c>
      <c r="G46" s="811">
        <v>567000.0</v>
      </c>
      <c r="H46" s="799">
        <f t="shared" si="4"/>
        <v>567000</v>
      </c>
      <c r="I46" s="800"/>
      <c r="J46" s="812"/>
      <c r="K46" s="813"/>
      <c r="L46" s="802" t="s">
        <v>10137</v>
      </c>
      <c r="M46" s="806" t="s">
        <v>2763</v>
      </c>
      <c r="N46" s="807">
        <v>45741.0</v>
      </c>
      <c r="O46" s="803"/>
    </row>
    <row r="47" ht="15.0" customHeight="1">
      <c r="A47" s="786">
        <v>45740.0</v>
      </c>
      <c r="B47" s="787" t="s">
        <v>10160</v>
      </c>
      <c r="C47" s="788" t="s">
        <v>10139</v>
      </c>
      <c r="D47" s="789" t="s">
        <v>2968</v>
      </c>
      <c r="E47" s="790" t="str">
        <f>IFERROR(VLOOKUP(D47,Stock,3,FALSE),"")</f>
        <v>Toyota Rush / Terios 18-</v>
      </c>
      <c r="F47" s="788">
        <v>1.0</v>
      </c>
      <c r="G47" s="811">
        <v>507600.0</v>
      </c>
      <c r="H47" s="799">
        <f t="shared" si="4"/>
        <v>507600</v>
      </c>
      <c r="I47" s="800"/>
      <c r="J47" s="812"/>
      <c r="K47" s="813"/>
      <c r="L47" s="802" t="s">
        <v>10137</v>
      </c>
      <c r="M47" s="806" t="s">
        <v>2763</v>
      </c>
      <c r="N47" s="807">
        <v>45741.0</v>
      </c>
      <c r="O47" s="803"/>
    </row>
    <row r="48" ht="15.0" customHeight="1">
      <c r="A48" s="786">
        <v>45740.0</v>
      </c>
      <c r="B48" s="787" t="s">
        <v>10161</v>
      </c>
      <c r="C48" s="788" t="s">
        <v>24</v>
      </c>
      <c r="D48" s="789" t="s">
        <v>3446</v>
      </c>
      <c r="E48" s="790" t="str">
        <f>IFERROR(VLOOKUP(D48,Stock,3,FALSE),"")</f>
        <v>501 Sealant Application</v>
      </c>
      <c r="F48" s="788">
        <v>400.0</v>
      </c>
      <c r="G48" s="811">
        <v>37000.0</v>
      </c>
      <c r="H48" s="799">
        <f t="shared" si="4"/>
        <v>14800000</v>
      </c>
      <c r="I48" s="800"/>
      <c r="J48" s="836">
        <v>45769.0</v>
      </c>
      <c r="K48" s="813"/>
      <c r="L48" s="802" t="s">
        <v>10137</v>
      </c>
      <c r="M48" s="806" t="s">
        <v>2763</v>
      </c>
      <c r="N48" s="807">
        <v>45771.0</v>
      </c>
      <c r="O48" s="803"/>
    </row>
    <row r="49" ht="15.0" customHeight="1">
      <c r="A49" s="786">
        <v>45740.0</v>
      </c>
      <c r="B49" s="787" t="s">
        <v>10161</v>
      </c>
      <c r="C49" s="788" t="s">
        <v>24</v>
      </c>
      <c r="D49" s="802" t="s">
        <v>7224</v>
      </c>
      <c r="E49" s="790" t="str">
        <f>IFERROR(VLOOKUP(D49,Stock,3,FALSE),"")</f>
        <v/>
      </c>
      <c r="F49" s="788">
        <v>12.0</v>
      </c>
      <c r="G49" s="811">
        <v>28000.0</v>
      </c>
      <c r="H49" s="799">
        <f t="shared" si="4"/>
        <v>336000</v>
      </c>
      <c r="I49" s="800"/>
      <c r="J49" s="836">
        <v>45769.0</v>
      </c>
      <c r="K49" s="813"/>
      <c r="L49" s="802" t="s">
        <v>10137</v>
      </c>
      <c r="M49" s="806" t="s">
        <v>2763</v>
      </c>
      <c r="N49" s="807">
        <v>45771.0</v>
      </c>
      <c r="O49" s="803"/>
    </row>
    <row r="50" ht="15.0" customHeight="1">
      <c r="A50" s="786">
        <v>45740.0</v>
      </c>
      <c r="B50" s="787" t="s">
        <v>10161</v>
      </c>
      <c r="C50" s="788" t="s">
        <v>24</v>
      </c>
      <c r="D50" s="789" t="s">
        <v>10162</v>
      </c>
      <c r="E50" s="790" t="str">
        <f>IFERROR(VLOOKUP(D50,Stock,3,FALSE),"")</f>
        <v/>
      </c>
      <c r="F50" s="788">
        <v>3.0</v>
      </c>
      <c r="G50" s="811">
        <v>95000.0</v>
      </c>
      <c r="H50" s="799">
        <f t="shared" si="4"/>
        <v>285000</v>
      </c>
      <c r="I50" s="800"/>
      <c r="J50" s="836">
        <v>45769.0</v>
      </c>
      <c r="K50" s="813"/>
      <c r="L50" s="802" t="s">
        <v>10137</v>
      </c>
      <c r="M50" s="806" t="s">
        <v>2763</v>
      </c>
      <c r="N50" s="807">
        <v>45771.0</v>
      </c>
      <c r="O50" s="803"/>
    </row>
    <row r="51" ht="15.0" customHeight="1">
      <c r="A51" s="786">
        <v>45740.0</v>
      </c>
      <c r="B51" s="787" t="s">
        <v>10161</v>
      </c>
      <c r="C51" s="788" t="s">
        <v>24</v>
      </c>
      <c r="D51" s="789" t="s">
        <v>10163</v>
      </c>
      <c r="E51" s="790" t="str">
        <f>IFERROR(VLOOKUP(D51,Stock,3,FALSE),"")</f>
        <v/>
      </c>
      <c r="F51" s="788">
        <v>3.0</v>
      </c>
      <c r="G51" s="811">
        <v>75000.0</v>
      </c>
      <c r="H51" s="799">
        <f t="shared" si="4"/>
        <v>225000</v>
      </c>
      <c r="I51" s="800"/>
      <c r="J51" s="836">
        <v>45769.0</v>
      </c>
      <c r="K51" s="813"/>
      <c r="L51" s="802" t="s">
        <v>10137</v>
      </c>
      <c r="M51" s="806" t="s">
        <v>2763</v>
      </c>
      <c r="N51" s="807">
        <v>45771.0</v>
      </c>
      <c r="O51" s="803"/>
    </row>
    <row r="52" ht="15.0" customHeight="1">
      <c r="A52" s="786">
        <v>45740.0</v>
      </c>
      <c r="B52" s="787" t="s">
        <v>10161</v>
      </c>
      <c r="C52" s="788" t="s">
        <v>24</v>
      </c>
      <c r="D52" s="789" t="s">
        <v>10164</v>
      </c>
      <c r="E52" s="790" t="str">
        <f>IFERROR(VLOOKUP(D52,Stock,3,FALSE),"")</f>
        <v/>
      </c>
      <c r="F52" s="788">
        <v>3.0</v>
      </c>
      <c r="G52" s="811">
        <v>135000.0</v>
      </c>
      <c r="H52" s="799">
        <f t="shared" si="4"/>
        <v>405000</v>
      </c>
      <c r="I52" s="800"/>
      <c r="J52" s="836">
        <v>45769.0</v>
      </c>
      <c r="K52" s="813"/>
      <c r="L52" s="802" t="s">
        <v>10137</v>
      </c>
      <c r="M52" s="806" t="s">
        <v>2763</v>
      </c>
      <c r="N52" s="807">
        <v>45771.0</v>
      </c>
      <c r="O52" s="803"/>
    </row>
    <row r="53" ht="15.0" customHeight="1">
      <c r="A53" s="786">
        <v>45740.0</v>
      </c>
      <c r="B53" s="787" t="s">
        <v>10161</v>
      </c>
      <c r="C53" s="788" t="s">
        <v>24</v>
      </c>
      <c r="D53" s="789" t="s">
        <v>10165</v>
      </c>
      <c r="E53" s="790" t="str">
        <f>IFERROR(VLOOKUP(D53,Stock,3,FALSE),"")</f>
        <v/>
      </c>
      <c r="F53" s="788">
        <v>1.0</v>
      </c>
      <c r="G53" s="811">
        <v>650000.0</v>
      </c>
      <c r="H53" s="799">
        <f t="shared" si="4"/>
        <v>650000</v>
      </c>
      <c r="I53" s="800"/>
      <c r="J53" s="836">
        <v>45769.0</v>
      </c>
      <c r="K53" s="813"/>
      <c r="L53" s="802" t="s">
        <v>10137</v>
      </c>
      <c r="M53" s="806" t="s">
        <v>2763</v>
      </c>
      <c r="N53" s="807">
        <v>45771.0</v>
      </c>
      <c r="O53" s="803"/>
    </row>
    <row r="54" ht="15.0" customHeight="1">
      <c r="A54" s="786">
        <v>45740.0</v>
      </c>
      <c r="B54" s="787">
        <v>2503727.0</v>
      </c>
      <c r="C54" s="788" t="s">
        <v>10136</v>
      </c>
      <c r="D54" s="789" t="s">
        <v>2990</v>
      </c>
      <c r="E54" s="790" t="str">
        <f>IFERROR(VLOOKUP(D54,Stock,3,FALSE),"")</f>
        <v>Daihatsu Sirion 18- 3rd Gen</v>
      </c>
      <c r="F54" s="788">
        <v>1.0</v>
      </c>
      <c r="G54" s="811">
        <v>1015000.0</v>
      </c>
      <c r="H54" s="799">
        <f t="shared" si="4"/>
        <v>1015000</v>
      </c>
      <c r="I54" s="800"/>
      <c r="J54" s="812"/>
      <c r="K54" s="813"/>
      <c r="L54" s="802" t="s">
        <v>10137</v>
      </c>
      <c r="M54" s="806" t="s">
        <v>2763</v>
      </c>
      <c r="N54" s="807">
        <v>45797.0</v>
      </c>
      <c r="O54" s="803"/>
    </row>
    <row r="55" ht="15.0" customHeight="1">
      <c r="A55" s="786">
        <v>45740.0</v>
      </c>
      <c r="B55" s="787">
        <v>2503727.0</v>
      </c>
      <c r="C55" s="788" t="s">
        <v>10136</v>
      </c>
      <c r="D55" s="789" t="s">
        <v>3017</v>
      </c>
      <c r="E55" s="790" t="str">
        <f>IFERROR(VLOOKUP(D55,Stock,3,FALSE),"")</f>
        <v>Nissan X-Trail 01-07 T30</v>
      </c>
      <c r="F55" s="788">
        <v>1.0</v>
      </c>
      <c r="G55" s="811">
        <v>1180200.0</v>
      </c>
      <c r="H55" s="799">
        <f t="shared" si="4"/>
        <v>1180200</v>
      </c>
      <c r="I55" s="800"/>
      <c r="J55" s="812"/>
      <c r="K55" s="813"/>
      <c r="L55" s="802" t="s">
        <v>10137</v>
      </c>
      <c r="M55" s="806" t="s">
        <v>2763</v>
      </c>
      <c r="N55" s="807">
        <v>45797.0</v>
      </c>
      <c r="O55" s="803"/>
    </row>
    <row r="56" ht="15.0" customHeight="1">
      <c r="A56" s="786">
        <v>45743.0</v>
      </c>
      <c r="B56" s="787" t="s">
        <v>10166</v>
      </c>
      <c r="C56" s="788" t="s">
        <v>10152</v>
      </c>
      <c r="D56" s="789" t="s">
        <v>2964</v>
      </c>
      <c r="E56" s="790" t="str">
        <f>IFERROR(VLOOKUP(D56,Stock,3,FALSE),"")</f>
        <v>Toyota Fortuner 15- 2nd Gen (Toyota)</v>
      </c>
      <c r="F56" s="788">
        <v>1.0</v>
      </c>
      <c r="G56" s="811">
        <v>285000.0</v>
      </c>
      <c r="H56" s="799">
        <f t="shared" si="4"/>
        <v>285000</v>
      </c>
      <c r="I56" s="800"/>
      <c r="J56" s="812"/>
      <c r="K56" s="813"/>
      <c r="L56" s="802" t="s">
        <v>10137</v>
      </c>
      <c r="M56" s="806" t="s">
        <v>2763</v>
      </c>
      <c r="N56" s="807">
        <v>45756.0</v>
      </c>
      <c r="O56" s="803"/>
    </row>
    <row r="57" ht="15.0" customHeight="1">
      <c r="A57" s="786">
        <v>45756.0</v>
      </c>
      <c r="B57" s="787" t="s">
        <v>10167</v>
      </c>
      <c r="C57" s="788" t="s">
        <v>10139</v>
      </c>
      <c r="D57" s="789" t="s">
        <v>3025</v>
      </c>
      <c r="E57" s="790" t="str">
        <f>IFERROR(VLOOKUP(D57,Stock,3,FALSE),"")</f>
        <v>Toyota Innova 15- 2nd Gen</v>
      </c>
      <c r="F57" s="788">
        <v>1.0</v>
      </c>
      <c r="G57" s="811">
        <v>285000.0</v>
      </c>
      <c r="H57" s="799">
        <f t="shared" si="4"/>
        <v>285000</v>
      </c>
      <c r="I57" s="800"/>
      <c r="J57" s="812"/>
      <c r="K57" s="813"/>
      <c r="L57" s="802" t="s">
        <v>10137</v>
      </c>
      <c r="M57" s="806" t="s">
        <v>2763</v>
      </c>
      <c r="N57" s="807">
        <v>45757.0</v>
      </c>
      <c r="O57" s="803"/>
    </row>
    <row r="58" ht="15.0" customHeight="1">
      <c r="A58" s="786">
        <v>45758.0</v>
      </c>
      <c r="B58" s="787" t="s">
        <v>10168</v>
      </c>
      <c r="C58" s="788" t="s">
        <v>10139</v>
      </c>
      <c r="D58" s="789" t="s">
        <v>3052</v>
      </c>
      <c r="E58" s="790" t="str">
        <f>IFERROR(VLOOKUP(D58,Stock,3,FALSE),"")</f>
        <v>Honda City 19- GN</v>
      </c>
      <c r="F58" s="788">
        <v>1.0</v>
      </c>
      <c r="G58" s="811">
        <v>1567350.0</v>
      </c>
      <c r="H58" s="799">
        <f t="shared" si="4"/>
        <v>1567350</v>
      </c>
      <c r="I58" s="800"/>
      <c r="J58" s="812"/>
      <c r="K58" s="813"/>
      <c r="L58" s="802" t="s">
        <v>10137</v>
      </c>
      <c r="M58" s="806" t="s">
        <v>2763</v>
      </c>
      <c r="N58" s="807">
        <v>45762.0</v>
      </c>
      <c r="O58" s="803"/>
    </row>
    <row r="59" ht="15.0" customHeight="1">
      <c r="A59" s="786">
        <v>45758.0</v>
      </c>
      <c r="B59" s="787" t="s">
        <v>10168</v>
      </c>
      <c r="C59" s="788" t="s">
        <v>10139</v>
      </c>
      <c r="D59" s="789" t="s">
        <v>3043</v>
      </c>
      <c r="E59" s="790" t="str">
        <f>IFERROR(VLOOKUP(D59,Stock,3,FALSE),"")</f>
        <v>Honda CR-V 17- 5th Gen</v>
      </c>
      <c r="F59" s="788">
        <v>1.0</v>
      </c>
      <c r="G59" s="811">
        <v>1047600.0</v>
      </c>
      <c r="H59" s="799">
        <f t="shared" si="4"/>
        <v>1047600</v>
      </c>
      <c r="I59" s="800"/>
      <c r="J59" s="812"/>
      <c r="K59" s="813"/>
      <c r="L59" s="802" t="s">
        <v>10137</v>
      </c>
      <c r="M59" s="806" t="s">
        <v>2763</v>
      </c>
      <c r="N59" s="807">
        <v>45762.0</v>
      </c>
      <c r="O59" s="803"/>
    </row>
    <row r="60" ht="15.0" customHeight="1">
      <c r="A60" s="786">
        <v>45719.0</v>
      </c>
      <c r="B60" s="787" t="s">
        <v>10169</v>
      </c>
      <c r="C60" s="788" t="s">
        <v>24</v>
      </c>
      <c r="D60" s="789" t="s">
        <v>3446</v>
      </c>
      <c r="E60" s="790" t="str">
        <f>IFERROR(VLOOKUP(D60,Stock,3,FALSE),"")</f>
        <v>501 Sealant Application</v>
      </c>
      <c r="F60" s="788">
        <v>200.0</v>
      </c>
      <c r="G60" s="811">
        <v>38000.0</v>
      </c>
      <c r="H60" s="799">
        <f t="shared" si="4"/>
        <v>7600000</v>
      </c>
      <c r="I60" s="800"/>
      <c r="J60" s="836"/>
      <c r="K60" s="813"/>
      <c r="L60" s="802" t="s">
        <v>10137</v>
      </c>
      <c r="M60" s="806" t="s">
        <v>2763</v>
      </c>
      <c r="N60" s="836">
        <v>45755.0</v>
      </c>
      <c r="O60" s="803"/>
    </row>
    <row r="61" ht="15.0" customHeight="1">
      <c r="A61" s="786">
        <v>45719.0</v>
      </c>
      <c r="B61" s="787" t="s">
        <v>10169</v>
      </c>
      <c r="C61" s="788" t="s">
        <v>24</v>
      </c>
      <c r="D61" s="789" t="s">
        <v>10165</v>
      </c>
      <c r="E61" s="790" t="str">
        <f>IFERROR(VLOOKUP(D61,Stock,3,FALSE),"")</f>
        <v/>
      </c>
      <c r="F61" s="788">
        <v>1.0</v>
      </c>
      <c r="G61" s="811">
        <v>650000.0</v>
      </c>
      <c r="H61" s="799">
        <f t="shared" si="4"/>
        <v>650000</v>
      </c>
      <c r="I61" s="800"/>
      <c r="J61" s="836"/>
      <c r="K61" s="813"/>
      <c r="L61" s="802" t="s">
        <v>10137</v>
      </c>
      <c r="M61" s="806" t="s">
        <v>2763</v>
      </c>
      <c r="N61" s="836">
        <v>45755.0</v>
      </c>
      <c r="O61" s="803"/>
    </row>
    <row r="62" ht="15.0" customHeight="1">
      <c r="A62" s="786">
        <v>45719.0</v>
      </c>
      <c r="B62" s="787" t="s">
        <v>10169</v>
      </c>
      <c r="C62" s="788" t="s">
        <v>24</v>
      </c>
      <c r="D62" s="789" t="s">
        <v>10170</v>
      </c>
      <c r="E62" s="790" t="str">
        <f>IFERROR(VLOOKUP(D62,Stock,3,FALSE),"")</f>
        <v/>
      </c>
      <c r="F62" s="788">
        <v>30.0</v>
      </c>
      <c r="G62" s="811">
        <v>30000.0</v>
      </c>
      <c r="H62" s="799">
        <f t="shared" si="4"/>
        <v>900000</v>
      </c>
      <c r="I62" s="800"/>
      <c r="J62" s="836"/>
      <c r="K62" s="813"/>
      <c r="L62" s="802" t="s">
        <v>10137</v>
      </c>
      <c r="M62" s="806" t="s">
        <v>2763</v>
      </c>
      <c r="N62" s="836">
        <v>45755.0</v>
      </c>
      <c r="O62" s="803"/>
    </row>
    <row r="63" ht="15.0" customHeight="1">
      <c r="A63" s="786">
        <v>45719.0</v>
      </c>
      <c r="B63" s="787" t="s">
        <v>10169</v>
      </c>
      <c r="C63" s="788" t="s">
        <v>24</v>
      </c>
      <c r="D63" s="789" t="s">
        <v>10162</v>
      </c>
      <c r="E63" s="790" t="str">
        <f>IFERROR(VLOOKUP(D63,Stock,3,FALSE),"")</f>
        <v/>
      </c>
      <c r="F63" s="788">
        <v>2.0</v>
      </c>
      <c r="G63" s="811">
        <v>95000.0</v>
      </c>
      <c r="H63" s="799">
        <f t="shared" si="4"/>
        <v>190000</v>
      </c>
      <c r="I63" s="800"/>
      <c r="J63" s="836"/>
      <c r="K63" s="813"/>
      <c r="L63" s="802" t="s">
        <v>10137</v>
      </c>
      <c r="M63" s="806" t="s">
        <v>2763</v>
      </c>
      <c r="N63" s="836">
        <v>45755.0</v>
      </c>
      <c r="O63" s="803"/>
    </row>
    <row r="64" ht="15.0" customHeight="1">
      <c r="A64" s="786">
        <v>45719.0</v>
      </c>
      <c r="B64" s="787" t="s">
        <v>10169</v>
      </c>
      <c r="C64" s="788" t="s">
        <v>24</v>
      </c>
      <c r="D64" s="789" t="s">
        <v>10171</v>
      </c>
      <c r="E64" s="790" t="str">
        <f>IFERROR(VLOOKUP(D64,Stock,3,FALSE),"")</f>
        <v/>
      </c>
      <c r="F64" s="788">
        <v>4.0</v>
      </c>
      <c r="G64" s="811">
        <v>50000.0</v>
      </c>
      <c r="H64" s="799">
        <f t="shared" si="4"/>
        <v>200000</v>
      </c>
      <c r="I64" s="800"/>
      <c r="J64" s="836"/>
      <c r="K64" s="813"/>
      <c r="L64" s="802" t="s">
        <v>10137</v>
      </c>
      <c r="M64" s="806" t="s">
        <v>2763</v>
      </c>
      <c r="N64" s="836">
        <v>45755.0</v>
      </c>
      <c r="O64" s="803"/>
    </row>
    <row r="65" ht="15.0" customHeight="1">
      <c r="A65" s="786">
        <v>45719.0</v>
      </c>
      <c r="B65" s="787" t="s">
        <v>10169</v>
      </c>
      <c r="C65" s="788" t="s">
        <v>24</v>
      </c>
      <c r="D65" s="789" t="s">
        <v>10172</v>
      </c>
      <c r="E65" s="790" t="str">
        <f>IFERROR(VLOOKUP(D65,Stock,3,FALSE),"")</f>
        <v/>
      </c>
      <c r="F65" s="788">
        <v>1.0</v>
      </c>
      <c r="G65" s="811">
        <v>100000.0</v>
      </c>
      <c r="H65" s="799">
        <f t="shared" si="4"/>
        <v>100000</v>
      </c>
      <c r="I65" s="800"/>
      <c r="J65" s="836"/>
      <c r="K65" s="813"/>
      <c r="L65" s="802" t="s">
        <v>10137</v>
      </c>
      <c r="M65" s="806" t="s">
        <v>2763</v>
      </c>
      <c r="N65" s="836">
        <v>45755.0</v>
      </c>
      <c r="O65" s="803"/>
    </row>
    <row r="66" ht="15.0" customHeight="1">
      <c r="A66" s="786">
        <v>45761.0</v>
      </c>
      <c r="B66" s="787" t="s">
        <v>10173</v>
      </c>
      <c r="C66" s="788" t="s">
        <v>10139</v>
      </c>
      <c r="D66" s="789" t="s">
        <v>3057</v>
      </c>
      <c r="E66" s="790" t="str">
        <f>IFERROR(VLOOKUP(D66,Stock,3,FALSE),"")</f>
        <v>Toyota Innova 04-15 1st Gen</v>
      </c>
      <c r="F66" s="788">
        <v>1.0</v>
      </c>
      <c r="G66" s="811">
        <v>285000.0</v>
      </c>
      <c r="H66" s="799">
        <f t="shared" si="4"/>
        <v>285000</v>
      </c>
      <c r="I66" s="800"/>
      <c r="J66" s="812"/>
      <c r="K66" s="813"/>
      <c r="L66" s="802" t="s">
        <v>10137</v>
      </c>
      <c r="M66" s="806" t="s">
        <v>2763</v>
      </c>
      <c r="N66" s="807">
        <v>45762.0</v>
      </c>
      <c r="O66" s="803"/>
    </row>
    <row r="67" ht="15.0" customHeight="1">
      <c r="A67" s="786">
        <v>45762.0</v>
      </c>
      <c r="B67" s="787" t="s">
        <v>10174</v>
      </c>
      <c r="C67" s="788" t="s">
        <v>10139</v>
      </c>
      <c r="D67" s="789" t="s">
        <v>2792</v>
      </c>
      <c r="E67" s="790" t="str">
        <f>IFERROR(VLOOKUP(D67,Stock,3,FALSE),"")</f>
        <v>Toyota Calya / Sigra 16-</v>
      </c>
      <c r="F67" s="788">
        <v>1.0</v>
      </c>
      <c r="G67" s="811">
        <v>417150.0</v>
      </c>
      <c r="H67" s="799">
        <f t="shared" si="4"/>
        <v>417150</v>
      </c>
      <c r="I67" s="800"/>
      <c r="J67" s="812"/>
      <c r="K67" s="813"/>
      <c r="L67" s="802" t="s">
        <v>10137</v>
      </c>
      <c r="M67" s="806" t="s">
        <v>2763</v>
      </c>
      <c r="N67" s="807">
        <v>45762.0</v>
      </c>
      <c r="O67" s="803"/>
    </row>
    <row r="68" ht="15.0" customHeight="1">
      <c r="A68" s="786">
        <v>45742.0</v>
      </c>
      <c r="B68" s="787" t="s">
        <v>10175</v>
      </c>
      <c r="C68" s="788" t="s">
        <v>10139</v>
      </c>
      <c r="D68" s="789" t="s">
        <v>2995</v>
      </c>
      <c r="E68" s="790" t="str">
        <f>IFERROR(VLOOKUP(D68,Stock,3,FALSE),"")</f>
        <v>Honda CR-V 02-04 2nd Gen (Spion Jepit)</v>
      </c>
      <c r="F68" s="788">
        <v>1.0</v>
      </c>
      <c r="G68" s="811">
        <v>1000350.0</v>
      </c>
      <c r="H68" s="799">
        <f t="shared" si="4"/>
        <v>1000350</v>
      </c>
      <c r="I68" s="800"/>
      <c r="J68" s="812"/>
      <c r="K68" s="813"/>
      <c r="L68" s="802" t="s">
        <v>10137</v>
      </c>
      <c r="M68" s="806" t="s">
        <v>2763</v>
      </c>
      <c r="N68" s="807">
        <v>45756.0</v>
      </c>
      <c r="O68" s="803"/>
    </row>
    <row r="69" ht="15.0" customHeight="1">
      <c r="A69" s="834">
        <v>45743.0</v>
      </c>
      <c r="B69" s="821"/>
      <c r="C69" s="822" t="s">
        <v>10154</v>
      </c>
      <c r="D69" s="835" t="s">
        <v>2952</v>
      </c>
      <c r="E69" s="594" t="str">
        <f>IFERROR(VLOOKUP(D69,Stock,3,FALSE),"")</f>
        <v/>
      </c>
      <c r="F69" s="822">
        <v>1.0</v>
      </c>
      <c r="G69" s="769"/>
      <c r="H69" s="824">
        <f t="shared" si="4"/>
        <v>0</v>
      </c>
      <c r="I69" s="825"/>
      <c r="J69" s="826"/>
      <c r="K69" s="827"/>
      <c r="L69" s="828"/>
    </row>
    <row r="70" ht="15.0" customHeight="1">
      <c r="A70" s="786">
        <v>45755.0</v>
      </c>
      <c r="B70" s="787">
        <v>2504075.0</v>
      </c>
      <c r="C70" s="788" t="s">
        <v>10136</v>
      </c>
      <c r="D70" s="789" t="s">
        <v>3021</v>
      </c>
      <c r="E70" s="790" t="str">
        <f>IFERROR(VLOOKUP(D70,Stock,3,FALSE),"")</f>
        <v>Honda Freed 08-16 1st gen</v>
      </c>
      <c r="F70" s="788">
        <v>1.0</v>
      </c>
      <c r="G70" s="811">
        <v>837200.0</v>
      </c>
      <c r="H70" s="799">
        <f t="shared" si="4"/>
        <v>837200</v>
      </c>
      <c r="I70" s="800"/>
      <c r="J70" s="812"/>
      <c r="K70" s="813"/>
      <c r="L70" s="802" t="s">
        <v>10137</v>
      </c>
      <c r="M70" s="806" t="s">
        <v>2763</v>
      </c>
      <c r="N70" s="807">
        <v>45811.0</v>
      </c>
      <c r="O70" s="803"/>
    </row>
    <row r="71" ht="15.0" customHeight="1">
      <c r="A71" s="786">
        <v>45755.0</v>
      </c>
      <c r="B71" s="787">
        <v>2504075.0</v>
      </c>
      <c r="C71" s="788" t="s">
        <v>10136</v>
      </c>
      <c r="D71" s="789" t="s">
        <v>3035</v>
      </c>
      <c r="E71" s="790" t="str">
        <f>IFERROR(VLOOKUP(D71,Stock,3,FALSE),"")</f>
        <v>Toyota Hi-Ace 04-20 Commuter With Frame</v>
      </c>
      <c r="F71" s="788">
        <v>1.0</v>
      </c>
      <c r="G71" s="811">
        <v>1816500.0</v>
      </c>
      <c r="H71" s="799">
        <f t="shared" si="4"/>
        <v>1816500</v>
      </c>
      <c r="I71" s="800"/>
      <c r="J71" s="812"/>
      <c r="K71" s="813"/>
      <c r="L71" s="802" t="s">
        <v>10137</v>
      </c>
      <c r="M71" s="806" t="s">
        <v>2763</v>
      </c>
      <c r="N71" s="807">
        <v>45811.0</v>
      </c>
      <c r="O71" s="803"/>
    </row>
    <row r="72" ht="15.0" customHeight="1">
      <c r="A72" s="786">
        <v>45762.0</v>
      </c>
      <c r="B72" s="787">
        <v>2504260.0</v>
      </c>
      <c r="C72" s="788" t="s">
        <v>10136</v>
      </c>
      <c r="D72" s="789" t="s">
        <v>3078</v>
      </c>
      <c r="E72" s="790" t="str">
        <f>IFERROR(VLOOKUP(D72,Stock,3,FALSE),"")</f>
        <v>Suzuki Ertiga 12-18 1st Gen MPV</v>
      </c>
      <c r="F72" s="788">
        <v>1.0</v>
      </c>
      <c r="G72" s="811">
        <v>371700.0</v>
      </c>
      <c r="H72" s="799">
        <f t="shared" si="4"/>
        <v>371700</v>
      </c>
      <c r="I72" s="800"/>
      <c r="J72" s="812"/>
      <c r="K72" s="813"/>
      <c r="L72" s="802" t="s">
        <v>10137</v>
      </c>
      <c r="M72" s="806" t="s">
        <v>2763</v>
      </c>
      <c r="N72" s="837">
        <v>45811.0</v>
      </c>
      <c r="O72" s="803"/>
    </row>
    <row r="73" ht="15.0" customHeight="1">
      <c r="A73" s="820"/>
      <c r="B73" s="821"/>
      <c r="C73" s="838"/>
      <c r="D73" s="839" t="s">
        <v>2003</v>
      </c>
      <c r="E73" s="840" t="str">
        <f>IFERROR(VLOOKUP(D73,Stock,3,FALSE),"")</f>
        <v>Toyota Agya/Ayla 13-22 1st Gen</v>
      </c>
      <c r="F73" s="841">
        <v>1.0</v>
      </c>
      <c r="G73" s="769"/>
      <c r="H73" s="824">
        <f t="shared" si="4"/>
        <v>0</v>
      </c>
      <c r="I73" s="825"/>
      <c r="J73" s="826"/>
      <c r="K73" s="827"/>
      <c r="L73" s="828"/>
    </row>
    <row r="74" ht="15.0" customHeight="1">
      <c r="A74" s="834">
        <v>45765.0</v>
      </c>
      <c r="B74" s="603"/>
      <c r="C74" s="822" t="s">
        <v>10154</v>
      </c>
      <c r="D74" s="835" t="s">
        <v>2869</v>
      </c>
      <c r="E74" s="594" t="str">
        <f>IFERROR(VLOOKUP(D74,Stock,3,FALSE),"")</f>
        <v>Daihatsu Gran Max / Luxio 07-</v>
      </c>
      <c r="F74" s="822">
        <v>1.0</v>
      </c>
      <c r="G74" s="769"/>
      <c r="H74" s="824"/>
      <c r="I74" s="825"/>
      <c r="J74" s="826"/>
      <c r="K74" s="827"/>
      <c r="L74" s="842"/>
      <c r="M74" s="548"/>
      <c r="N74" s="761"/>
    </row>
    <row r="75" ht="15.0" customHeight="1">
      <c r="A75" s="786">
        <v>45766.0</v>
      </c>
      <c r="B75" s="787" t="s">
        <v>10176</v>
      </c>
      <c r="C75" s="788" t="s">
        <v>10139</v>
      </c>
      <c r="D75" s="789" t="s">
        <v>3073</v>
      </c>
      <c r="E75" s="790" t="str">
        <f>IFERROR(VLOOKUP(D75,Stock,3,FALSE),"")</f>
        <v>Toyota Innova 15- 2nd Gen</v>
      </c>
      <c r="F75" s="788">
        <v>1.0</v>
      </c>
      <c r="G75" s="811">
        <v>654075.0</v>
      </c>
      <c r="H75" s="799">
        <f t="shared" ref="H75:H183" si="5">G75*F75</f>
        <v>654075</v>
      </c>
      <c r="I75" s="800"/>
      <c r="J75" s="812"/>
      <c r="K75" s="813"/>
      <c r="L75" s="802" t="s">
        <v>10137</v>
      </c>
      <c r="M75" s="806" t="s">
        <v>2763</v>
      </c>
      <c r="N75" s="807">
        <v>45769.0</v>
      </c>
      <c r="O75" s="803"/>
    </row>
    <row r="76" ht="15.0" customHeight="1">
      <c r="A76" s="786">
        <v>45768.0</v>
      </c>
      <c r="B76" s="818">
        <v>2504379.0</v>
      </c>
      <c r="C76" s="819" t="s">
        <v>10136</v>
      </c>
      <c r="D76" s="819" t="s">
        <v>3082</v>
      </c>
      <c r="E76" s="790" t="str">
        <f>IFERROR(VLOOKUP(D76,Stock,3,FALSE),"")</f>
        <v>BMW X5 Series 13-18 F15 (1 Sensor / O )</v>
      </c>
      <c r="F76" s="788">
        <v>1.0</v>
      </c>
      <c r="G76" s="811">
        <v>2941400.0</v>
      </c>
      <c r="H76" s="799">
        <f t="shared" si="5"/>
        <v>2941400</v>
      </c>
      <c r="I76" s="800"/>
      <c r="J76" s="812"/>
      <c r="K76" s="813"/>
      <c r="L76" s="802" t="s">
        <v>10137</v>
      </c>
      <c r="M76" s="806" t="s">
        <v>2763</v>
      </c>
      <c r="N76" s="837">
        <v>45811.0</v>
      </c>
      <c r="O76" s="803"/>
    </row>
    <row r="77" ht="15.0" customHeight="1">
      <c r="A77" s="786">
        <v>45769.0</v>
      </c>
      <c r="B77" s="787" t="s">
        <v>10177</v>
      </c>
      <c r="C77" s="788" t="s">
        <v>10139</v>
      </c>
      <c r="D77" s="789" t="s">
        <v>3087</v>
      </c>
      <c r="E77" s="790" t="str">
        <f>IFERROR(VLOOKUP(D77,Stock,3,FALSE),"")</f>
        <v>Mitsubishi Canter FE700 01- (PS110,125)</v>
      </c>
      <c r="F77" s="788">
        <v>1.0</v>
      </c>
      <c r="G77" s="811">
        <v>185000.0</v>
      </c>
      <c r="H77" s="799">
        <f t="shared" si="5"/>
        <v>185000</v>
      </c>
      <c r="I77" s="800"/>
      <c r="J77" s="812"/>
      <c r="K77" s="813"/>
      <c r="L77" s="802" t="s">
        <v>10137</v>
      </c>
      <c r="M77" s="806" t="s">
        <v>2763</v>
      </c>
      <c r="N77" s="807">
        <v>45769.0</v>
      </c>
      <c r="O77" s="803"/>
    </row>
    <row r="78" ht="15.0" customHeight="1">
      <c r="A78" s="786">
        <v>45764.0</v>
      </c>
      <c r="B78" s="787" t="s">
        <v>10178</v>
      </c>
      <c r="C78" s="788" t="s">
        <v>10156</v>
      </c>
      <c r="D78" s="789" t="s">
        <v>3069</v>
      </c>
      <c r="E78" s="790" t="str">
        <f>IFERROR(VLOOKUP(D78,Stock,3,FALSE),"")</f>
        <v>Isuzu Traga</v>
      </c>
      <c r="F78" s="788">
        <v>1.0</v>
      </c>
      <c r="G78" s="811">
        <v>740000.0</v>
      </c>
      <c r="H78" s="799">
        <f t="shared" si="5"/>
        <v>740000</v>
      </c>
      <c r="I78" s="800"/>
      <c r="J78" s="806" t="s">
        <v>1973</v>
      </c>
      <c r="K78" s="813"/>
      <c r="L78" s="843" t="s">
        <v>10137</v>
      </c>
      <c r="M78" s="806" t="s">
        <v>2763</v>
      </c>
      <c r="N78" s="807">
        <v>45769.0</v>
      </c>
      <c r="O78" s="803"/>
    </row>
    <row r="79" ht="15.0" customHeight="1">
      <c r="A79" s="786">
        <v>45766.0</v>
      </c>
      <c r="B79" s="787" t="s">
        <v>10179</v>
      </c>
      <c r="C79" s="788" t="s">
        <v>10156</v>
      </c>
      <c r="D79" s="789" t="s">
        <v>3069</v>
      </c>
      <c r="E79" s="790" t="str">
        <f>IFERROR(VLOOKUP(D79,Stock,3,FALSE),"")</f>
        <v>Isuzu Traga</v>
      </c>
      <c r="F79" s="788">
        <v>1.0</v>
      </c>
      <c r="G79" s="811">
        <v>740000.0</v>
      </c>
      <c r="H79" s="799">
        <f t="shared" si="5"/>
        <v>740000</v>
      </c>
      <c r="I79" s="800"/>
      <c r="J79" s="812"/>
      <c r="K79" s="813"/>
      <c r="L79" s="802" t="s">
        <v>10137</v>
      </c>
      <c r="M79" s="806" t="s">
        <v>2763</v>
      </c>
      <c r="N79" s="807">
        <v>45769.0</v>
      </c>
      <c r="O79" s="803"/>
    </row>
    <row r="80" ht="15.0" customHeight="1">
      <c r="A80" s="786">
        <v>45769.0</v>
      </c>
      <c r="B80" s="787">
        <v>2504451.0</v>
      </c>
      <c r="C80" s="788" t="s">
        <v>10136</v>
      </c>
      <c r="D80" s="844" t="s">
        <v>3090</v>
      </c>
      <c r="E80" s="790" t="str">
        <f>IFERROR(VLOOKUP(D80,Stock,3,FALSE),"")</f>
        <v>Toyota Alphard 08-15 ANH20 2nd Gen</v>
      </c>
      <c r="F80" s="788">
        <v>1.0</v>
      </c>
      <c r="G80" s="811">
        <v>326200.0</v>
      </c>
      <c r="H80" s="799">
        <f t="shared" si="5"/>
        <v>326200</v>
      </c>
      <c r="I80" s="800"/>
      <c r="J80" s="812"/>
      <c r="K80" s="813"/>
      <c r="L80" s="802" t="s">
        <v>10137</v>
      </c>
      <c r="M80" s="806" t="s">
        <v>2763</v>
      </c>
      <c r="N80" s="837">
        <v>45813.0</v>
      </c>
      <c r="O80" s="803"/>
    </row>
    <row r="81" ht="15.0" customHeight="1">
      <c r="A81" s="834">
        <v>45770.0</v>
      </c>
      <c r="B81" s="821"/>
      <c r="C81" s="822" t="s">
        <v>10154</v>
      </c>
      <c r="D81" s="835" t="s">
        <v>3225</v>
      </c>
      <c r="E81" s="594" t="str">
        <f>IFERROR(VLOOKUP(D81,Stock,3,FALSE),"")</f>
        <v>Toyota Rush / Terios 18-</v>
      </c>
      <c r="F81" s="822">
        <v>1.0</v>
      </c>
      <c r="G81" s="769"/>
      <c r="H81" s="824">
        <f t="shared" si="5"/>
        <v>0</v>
      </c>
      <c r="I81" s="825"/>
      <c r="J81" s="826"/>
      <c r="K81" s="827"/>
      <c r="L81" s="828"/>
    </row>
    <row r="82" ht="15.0" customHeight="1">
      <c r="A82" s="834">
        <v>45770.0</v>
      </c>
      <c r="B82" s="821"/>
      <c r="C82" s="822" t="s">
        <v>10154</v>
      </c>
      <c r="D82" s="835" t="s">
        <v>2003</v>
      </c>
      <c r="E82" s="594" t="str">
        <f>IFERROR(VLOOKUP(D82,Stock,3,FALSE),"")</f>
        <v>Toyota Agya/Ayla 13-22 1st Gen</v>
      </c>
      <c r="F82" s="822">
        <v>1.0</v>
      </c>
      <c r="G82" s="769"/>
      <c r="H82" s="824">
        <f t="shared" si="5"/>
        <v>0</v>
      </c>
      <c r="I82" s="825"/>
      <c r="J82" s="826"/>
      <c r="K82" s="827"/>
      <c r="L82" s="828"/>
    </row>
    <row r="83" ht="15.0" customHeight="1">
      <c r="A83" s="786">
        <v>45771.0</v>
      </c>
      <c r="B83" s="787" t="s">
        <v>10180</v>
      </c>
      <c r="C83" s="788" t="s">
        <v>10139</v>
      </c>
      <c r="D83" s="789" t="s">
        <v>3094</v>
      </c>
      <c r="E83" s="790" t="str">
        <f>IFERROR(VLOOKUP(D83,Stock,3,FALSE),"")</f>
        <v>Taft GT Rocky / / Hiline / Feroza (Daihatsu)        </v>
      </c>
      <c r="F83" s="788">
        <v>1.0</v>
      </c>
      <c r="G83" s="811">
        <v>220000.0</v>
      </c>
      <c r="H83" s="799">
        <f t="shared" si="5"/>
        <v>220000</v>
      </c>
      <c r="I83" s="800"/>
      <c r="J83" s="812"/>
      <c r="K83" s="813"/>
      <c r="L83" s="802" t="s">
        <v>10137</v>
      </c>
      <c r="M83" s="806" t="s">
        <v>2763</v>
      </c>
      <c r="N83" s="807">
        <v>45773.0</v>
      </c>
      <c r="O83" s="803"/>
    </row>
    <row r="84" ht="15.0" customHeight="1">
      <c r="A84" s="786">
        <v>45771.0</v>
      </c>
      <c r="B84" s="787" t="s">
        <v>10180</v>
      </c>
      <c r="C84" s="788" t="s">
        <v>10139</v>
      </c>
      <c r="D84" s="789" t="s">
        <v>3098</v>
      </c>
      <c r="E84" s="790" t="str">
        <f>IFERROR(VLOOKUP(D84,Stock,3,FALSE),"")</f>
        <v>Taft GT Rocky / / Hiline / Feroza (Daihatsu)        </v>
      </c>
      <c r="F84" s="788">
        <v>1.0</v>
      </c>
      <c r="G84" s="811">
        <v>220000.0</v>
      </c>
      <c r="H84" s="799">
        <f t="shared" si="5"/>
        <v>220000</v>
      </c>
      <c r="I84" s="800"/>
      <c r="J84" s="812"/>
      <c r="K84" s="813"/>
      <c r="L84" s="802" t="s">
        <v>10137</v>
      </c>
      <c r="M84" s="806" t="s">
        <v>2763</v>
      </c>
      <c r="N84" s="807">
        <v>45773.0</v>
      </c>
      <c r="O84" s="803"/>
    </row>
    <row r="85" ht="15.0" customHeight="1">
      <c r="A85" s="786">
        <v>45772.0</v>
      </c>
      <c r="B85" s="787" t="s">
        <v>10181</v>
      </c>
      <c r="C85" s="788" t="s">
        <v>10139</v>
      </c>
      <c r="D85" s="789" t="s">
        <v>3117</v>
      </c>
      <c r="E85" s="790" t="str">
        <f>IFERROR(VLOOKUP(D85,Stock,3,FALSE),"")</f>
        <v>Honda Jazz 01-07 1st Gen</v>
      </c>
      <c r="F85" s="788">
        <v>1.0</v>
      </c>
      <c r="G85" s="811">
        <v>235000.0</v>
      </c>
      <c r="H85" s="799">
        <f t="shared" si="5"/>
        <v>235000</v>
      </c>
      <c r="I85" s="800"/>
      <c r="J85" s="812"/>
      <c r="K85" s="813"/>
      <c r="L85" s="802" t="s">
        <v>10137</v>
      </c>
      <c r="M85" s="806" t="s">
        <v>2763</v>
      </c>
      <c r="N85" s="807">
        <v>45773.0</v>
      </c>
      <c r="O85" s="803"/>
    </row>
    <row r="86" ht="15.0" customHeight="1">
      <c r="A86" s="786">
        <v>45772.0</v>
      </c>
      <c r="B86" s="787">
        <v>2504570.0</v>
      </c>
      <c r="C86" s="788" t="s">
        <v>10136</v>
      </c>
      <c r="D86" s="789" t="s">
        <v>2924</v>
      </c>
      <c r="E86" s="790" t="str">
        <f>IFERROR(VLOOKUP(D86,Stock,3,FALSE),"")</f>
        <v>Suzuki Ertiga 12-18 1st Gen MPV</v>
      </c>
      <c r="F86" s="788">
        <v>1.0</v>
      </c>
      <c r="G86" s="811">
        <v>672000.0</v>
      </c>
      <c r="H86" s="799">
        <f t="shared" si="5"/>
        <v>672000</v>
      </c>
      <c r="I86" s="800"/>
      <c r="J86" s="812"/>
      <c r="K86" s="813"/>
      <c r="L86" s="802" t="s">
        <v>10137</v>
      </c>
      <c r="M86" s="806" t="s">
        <v>2763</v>
      </c>
      <c r="N86" s="807">
        <v>45829.0</v>
      </c>
      <c r="O86" s="803"/>
    </row>
    <row r="87" ht="15.0" customHeight="1">
      <c r="A87" s="786">
        <v>45772.0</v>
      </c>
      <c r="B87" s="787">
        <v>2504570.0</v>
      </c>
      <c r="C87" s="788" t="s">
        <v>10136</v>
      </c>
      <c r="D87" s="789" t="s">
        <v>3113</v>
      </c>
      <c r="E87" s="790" t="str">
        <f>IFERROR(VLOOKUP(D87,Stock,3,FALSE),"")</f>
        <v>Mitsubishi Pajero 16-</v>
      </c>
      <c r="F87" s="788">
        <v>1.0</v>
      </c>
      <c r="G87" s="811">
        <v>826000.0</v>
      </c>
      <c r="H87" s="799">
        <f t="shared" si="5"/>
        <v>826000</v>
      </c>
      <c r="I87" s="800"/>
      <c r="J87" s="812"/>
      <c r="K87" s="813"/>
      <c r="L87" s="802" t="s">
        <v>10137</v>
      </c>
      <c r="M87" s="806" t="s">
        <v>2763</v>
      </c>
      <c r="N87" s="807">
        <v>45829.0</v>
      </c>
      <c r="O87" s="803"/>
    </row>
    <row r="88" ht="15.0" customHeight="1">
      <c r="A88" s="786">
        <v>45772.0</v>
      </c>
      <c r="B88" s="787">
        <v>2504570.0</v>
      </c>
      <c r="C88" s="788" t="s">
        <v>10136</v>
      </c>
      <c r="D88" s="789" t="s">
        <v>3105</v>
      </c>
      <c r="E88" s="790" t="str">
        <f>IFERROR(VLOOKUP(D88,Stock,3,FALSE),"")</f>
        <v>Mers-Benz C-Class 14 - W205 (3 Sensor/ Δ□Δ)</v>
      </c>
      <c r="F88" s="788">
        <v>1.0</v>
      </c>
      <c r="G88" s="811">
        <v>2705500.0</v>
      </c>
      <c r="H88" s="799">
        <f t="shared" si="5"/>
        <v>2705500</v>
      </c>
      <c r="I88" s="800"/>
      <c r="J88" s="812"/>
      <c r="K88" s="813"/>
      <c r="L88" s="802" t="s">
        <v>10137</v>
      </c>
      <c r="M88" s="806" t="s">
        <v>2763</v>
      </c>
      <c r="N88" s="807">
        <v>45829.0</v>
      </c>
      <c r="O88" s="803"/>
    </row>
    <row r="89" ht="15.0" customHeight="1">
      <c r="A89" s="786">
        <v>45772.0</v>
      </c>
      <c r="B89" s="787">
        <v>2504591.0</v>
      </c>
      <c r="C89" s="788" t="s">
        <v>10136</v>
      </c>
      <c r="D89" s="789" t="s">
        <v>3126</v>
      </c>
      <c r="E89" s="790" t="str">
        <f>IFERROR(VLOOKUP(D89,Stock,3,FALSE),"")</f>
        <v>Suzuki Carry New 19-</v>
      </c>
      <c r="F89" s="788">
        <v>1.0</v>
      </c>
      <c r="G89" s="811">
        <v>588000.0</v>
      </c>
      <c r="H89" s="799">
        <f t="shared" si="5"/>
        <v>588000</v>
      </c>
      <c r="I89" s="800"/>
      <c r="J89" s="812"/>
      <c r="K89" s="813"/>
      <c r="L89" s="802" t="s">
        <v>10137</v>
      </c>
      <c r="M89" s="806" t="s">
        <v>2763</v>
      </c>
      <c r="N89" s="807">
        <v>45829.0</v>
      </c>
      <c r="O89" s="803"/>
    </row>
    <row r="90" ht="15.0" customHeight="1">
      <c r="A90" s="786">
        <v>45772.0</v>
      </c>
      <c r="B90" s="787">
        <v>2504560.0</v>
      </c>
      <c r="C90" s="788" t="s">
        <v>10136</v>
      </c>
      <c r="D90" s="844" t="s">
        <v>3100</v>
      </c>
      <c r="E90" s="790" t="str">
        <f>IFERROR(VLOOKUP(D90,Stock,3,FALSE),"")</f>
        <v>Toyota Kijang 02-04 Kapsul Lem Efi</v>
      </c>
      <c r="F90" s="788">
        <v>1.0</v>
      </c>
      <c r="G90" s="811">
        <v>754600.0</v>
      </c>
      <c r="H90" s="799">
        <f t="shared" si="5"/>
        <v>754600</v>
      </c>
      <c r="I90" s="800"/>
      <c r="J90" s="812"/>
      <c r="K90" s="813"/>
      <c r="L90" s="802" t="s">
        <v>10137</v>
      </c>
      <c r="M90" s="806" t="s">
        <v>2763</v>
      </c>
      <c r="N90" s="807">
        <v>45829.0</v>
      </c>
      <c r="O90" s="803"/>
    </row>
    <row r="91" ht="15.0" customHeight="1">
      <c r="A91" s="786">
        <v>45772.0</v>
      </c>
      <c r="B91" s="787">
        <v>2504560.0</v>
      </c>
      <c r="C91" s="788" t="s">
        <v>10136</v>
      </c>
      <c r="D91" s="844" t="s">
        <v>3109</v>
      </c>
      <c r="E91" s="790" t="str">
        <f>IFERROR(VLOOKUP(D91,Stock,3,FALSE),"")</f>
        <v>Toyota Camry 06-11 XV40 4th Gen</v>
      </c>
      <c r="F91" s="788">
        <v>1.0</v>
      </c>
      <c r="G91" s="811">
        <v>1976100.0</v>
      </c>
      <c r="H91" s="799">
        <f t="shared" si="5"/>
        <v>1976100</v>
      </c>
      <c r="I91" s="800"/>
      <c r="J91" s="812"/>
      <c r="K91" s="813"/>
      <c r="L91" s="802" t="s">
        <v>10137</v>
      </c>
      <c r="M91" s="806" t="s">
        <v>2763</v>
      </c>
      <c r="N91" s="807">
        <v>45829.0</v>
      </c>
      <c r="O91" s="803"/>
    </row>
    <row r="92" ht="15.0" customHeight="1">
      <c r="A92" s="786">
        <v>45773.0</v>
      </c>
      <c r="B92" s="787" t="s">
        <v>10182</v>
      </c>
      <c r="C92" s="788" t="s">
        <v>10139</v>
      </c>
      <c r="D92" s="789" t="s">
        <v>3130</v>
      </c>
      <c r="E92" s="790" t="str">
        <f>IFERROR(VLOOKUP(D92,Stock,3,FALSE),"")</f>
        <v>Toyota Innova 04-15 1st Gen</v>
      </c>
      <c r="F92" s="788">
        <v>1.0</v>
      </c>
      <c r="G92" s="811">
        <v>737100.0</v>
      </c>
      <c r="H92" s="799">
        <f t="shared" si="5"/>
        <v>737100</v>
      </c>
      <c r="I92" s="800"/>
      <c r="J92" s="812"/>
      <c r="K92" s="813"/>
      <c r="L92" s="802" t="s">
        <v>10137</v>
      </c>
      <c r="M92" s="806" t="s">
        <v>2763</v>
      </c>
      <c r="N92" s="807">
        <v>45780.0</v>
      </c>
      <c r="O92" s="803"/>
    </row>
    <row r="93" ht="15.0" customHeight="1">
      <c r="A93" s="786">
        <v>45773.0</v>
      </c>
      <c r="B93" s="787" t="s">
        <v>10182</v>
      </c>
      <c r="C93" s="788" t="s">
        <v>10139</v>
      </c>
      <c r="D93" s="789" t="s">
        <v>3121</v>
      </c>
      <c r="E93" s="790" t="str">
        <f>IFERROR(VLOOKUP(D93,Stock,3,FALSE),"")</f>
        <v>Toyota Camry 02-06 ACV30 3rd Gen</v>
      </c>
      <c r="F93" s="788">
        <v>1.0</v>
      </c>
      <c r="G93" s="811">
        <v>1497150.0</v>
      </c>
      <c r="H93" s="799">
        <f t="shared" si="5"/>
        <v>1497150</v>
      </c>
      <c r="I93" s="800"/>
      <c r="J93" s="812"/>
      <c r="K93" s="813"/>
      <c r="L93" s="845" t="s">
        <v>10137</v>
      </c>
      <c r="M93" s="833" t="s">
        <v>2763</v>
      </c>
      <c r="N93" s="846">
        <v>45780.0</v>
      </c>
      <c r="O93" s="803"/>
    </row>
    <row r="94" ht="15.0" customHeight="1">
      <c r="A94" s="786">
        <v>45775.0</v>
      </c>
      <c r="B94" s="787">
        <v>2504656.0</v>
      </c>
      <c r="C94" s="788" t="s">
        <v>10136</v>
      </c>
      <c r="D94" s="789" t="s">
        <v>3142</v>
      </c>
      <c r="E94" s="790" t="str">
        <f>IFERROR(VLOOKUP(D94,Stock,3,FALSE),"")</f>
        <v>Mitsubishi Xpander 17-</v>
      </c>
      <c r="F94" s="788">
        <v>1.0</v>
      </c>
      <c r="G94" s="811">
        <v>940800.0</v>
      </c>
      <c r="H94" s="799">
        <f t="shared" si="5"/>
        <v>940800</v>
      </c>
      <c r="I94" s="800"/>
      <c r="J94" s="812"/>
      <c r="K94" s="813"/>
      <c r="L94" s="802" t="s">
        <v>10137</v>
      </c>
      <c r="M94" s="806" t="s">
        <v>2763</v>
      </c>
      <c r="N94" s="807">
        <v>45829.0</v>
      </c>
      <c r="O94" s="803"/>
    </row>
    <row r="95" ht="15.0" customHeight="1">
      <c r="A95" s="786">
        <v>45775.0</v>
      </c>
      <c r="B95" s="787">
        <v>2504656.0</v>
      </c>
      <c r="C95" s="788" t="s">
        <v>10136</v>
      </c>
      <c r="D95" s="789" t="s">
        <v>3126</v>
      </c>
      <c r="E95" s="790" t="str">
        <f>IFERROR(VLOOKUP(D95,Stock,3,FALSE),"")</f>
        <v>Suzuki Carry New 19-</v>
      </c>
      <c r="F95" s="788">
        <v>1.0</v>
      </c>
      <c r="G95" s="811">
        <v>588000.0</v>
      </c>
      <c r="H95" s="799">
        <f t="shared" si="5"/>
        <v>588000</v>
      </c>
      <c r="I95" s="800"/>
      <c r="J95" s="812"/>
      <c r="K95" s="813"/>
      <c r="L95" s="802" t="s">
        <v>10137</v>
      </c>
      <c r="M95" s="806" t="s">
        <v>2763</v>
      </c>
      <c r="N95" s="807">
        <v>45829.0</v>
      </c>
      <c r="O95" s="803"/>
    </row>
    <row r="96" ht="15.0" customHeight="1">
      <c r="A96" s="786">
        <v>45775.0</v>
      </c>
      <c r="B96" s="787">
        <v>2504656.0</v>
      </c>
      <c r="C96" s="788" t="s">
        <v>10136</v>
      </c>
      <c r="D96" s="789" t="s">
        <v>3138</v>
      </c>
      <c r="E96" s="790" t="str">
        <f>IFERROR(VLOOKUP(D96,Stock,3,FALSE),"")</f>
        <v>Toyota Fortuner 05-15 1st Gen (Hitam)</v>
      </c>
      <c r="F96" s="788">
        <v>1.0</v>
      </c>
      <c r="G96" s="811">
        <v>1365000.0</v>
      </c>
      <c r="H96" s="799">
        <f t="shared" si="5"/>
        <v>1365000</v>
      </c>
      <c r="I96" s="800"/>
      <c r="J96" s="812"/>
      <c r="K96" s="813"/>
      <c r="L96" s="802" t="s">
        <v>10137</v>
      </c>
      <c r="M96" s="806" t="s">
        <v>2763</v>
      </c>
      <c r="N96" s="807">
        <v>45829.0</v>
      </c>
      <c r="O96" s="803"/>
    </row>
    <row r="97" ht="15.0" customHeight="1">
      <c r="A97" s="786">
        <v>45777.0</v>
      </c>
      <c r="B97" s="787" t="s">
        <v>10183</v>
      </c>
      <c r="C97" s="788" t="s">
        <v>10139</v>
      </c>
      <c r="D97" s="789" t="s">
        <v>3185</v>
      </c>
      <c r="E97" s="790" t="str">
        <f>IFERROR(VLOOKUP(D97,Stock,3,FALSE),"")</f>
        <v>Toyota Fortuner 05-15  1st Gen / Hilux Pickup 05-15</v>
      </c>
      <c r="F97" s="788">
        <v>1.0</v>
      </c>
      <c r="G97" s="811">
        <v>455000.0</v>
      </c>
      <c r="H97" s="799">
        <f t="shared" si="5"/>
        <v>455000</v>
      </c>
      <c r="I97" s="800"/>
      <c r="J97" s="812"/>
      <c r="K97" s="813"/>
      <c r="L97" s="802" t="s">
        <v>10137</v>
      </c>
      <c r="M97" s="833" t="s">
        <v>2763</v>
      </c>
      <c r="N97" s="846">
        <v>45780.0</v>
      </c>
      <c r="O97" s="803"/>
    </row>
    <row r="98" ht="15.0" customHeight="1">
      <c r="A98" s="786">
        <v>45779.0</v>
      </c>
      <c r="B98" s="787">
        <v>2505027.0</v>
      </c>
      <c r="C98" s="788" t="s">
        <v>10136</v>
      </c>
      <c r="D98" s="789" t="s">
        <v>2952</v>
      </c>
      <c r="E98" s="790" t="str">
        <f>IFERROR(VLOOKUP(D98,Stock,3,FALSE),"")</f>
        <v/>
      </c>
      <c r="F98" s="788">
        <v>1.0</v>
      </c>
      <c r="G98" s="811">
        <v>454800.0</v>
      </c>
      <c r="H98" s="799">
        <f t="shared" si="5"/>
        <v>454800</v>
      </c>
      <c r="I98" s="800"/>
      <c r="J98" s="812"/>
      <c r="K98" s="813"/>
      <c r="L98" s="802" t="s">
        <v>10137</v>
      </c>
      <c r="M98" s="833" t="s">
        <v>2763</v>
      </c>
      <c r="N98" s="807">
        <v>45833.0</v>
      </c>
      <c r="O98" s="803"/>
    </row>
    <row r="99" ht="15.0" customHeight="1">
      <c r="A99" s="786">
        <v>45779.0</v>
      </c>
      <c r="B99" s="787">
        <v>2505027.0</v>
      </c>
      <c r="C99" s="788" t="s">
        <v>10136</v>
      </c>
      <c r="D99" s="789" t="s">
        <v>3021</v>
      </c>
      <c r="E99" s="790" t="str">
        <f>IFERROR(VLOOKUP(D99,Stock,3,FALSE),"")</f>
        <v>Honda Freed 08-16 1st gen</v>
      </c>
      <c r="F99" s="788">
        <v>1.0</v>
      </c>
      <c r="G99" s="811">
        <v>717600.0</v>
      </c>
      <c r="H99" s="799">
        <f t="shared" si="5"/>
        <v>717600</v>
      </c>
      <c r="I99" s="800"/>
      <c r="J99" s="812"/>
      <c r="K99" s="813"/>
      <c r="L99" s="802" t="s">
        <v>10137</v>
      </c>
      <c r="M99" s="833" t="s">
        <v>2763</v>
      </c>
      <c r="N99" s="807">
        <v>45833.0</v>
      </c>
      <c r="O99" s="803"/>
    </row>
    <row r="100" ht="15.0" customHeight="1">
      <c r="A100" s="786">
        <v>45779.0</v>
      </c>
      <c r="B100" s="787">
        <v>2505037.0</v>
      </c>
      <c r="C100" s="788" t="s">
        <v>10136</v>
      </c>
      <c r="D100" s="789" t="s">
        <v>3176</v>
      </c>
      <c r="E100" s="790" t="str">
        <f>IFERROR(VLOOKUP(D100,Stock,3,FALSE),"")</f>
        <v>Mazda 2 09-14 3rd Gen</v>
      </c>
      <c r="F100" s="788">
        <v>1.0</v>
      </c>
      <c r="G100" s="811">
        <v>959400.0</v>
      </c>
      <c r="H100" s="799">
        <f t="shared" si="5"/>
        <v>959400</v>
      </c>
      <c r="I100" s="800"/>
      <c r="J100" s="812"/>
      <c r="K100" s="813"/>
      <c r="L100" s="802" t="s">
        <v>10137</v>
      </c>
      <c r="M100" s="833" t="s">
        <v>2763</v>
      </c>
      <c r="N100" s="837">
        <v>45833.0</v>
      </c>
      <c r="O100" s="803"/>
    </row>
    <row r="101" ht="15.0" customHeight="1">
      <c r="A101" s="786">
        <v>45779.0</v>
      </c>
      <c r="B101" s="787">
        <v>2505070.0</v>
      </c>
      <c r="C101" s="788" t="s">
        <v>10136</v>
      </c>
      <c r="D101" s="789" t="s">
        <v>3181</v>
      </c>
      <c r="E101" s="790" t="str">
        <f>IFERROR(VLOOKUP(D101,Stock,3,FALSE),"")</f>
        <v>Toyota Kijang 98- Kapsul Karet</v>
      </c>
      <c r="F101" s="788">
        <v>1.0</v>
      </c>
      <c r="G101" s="811">
        <v>646800.0</v>
      </c>
      <c r="H101" s="799">
        <f t="shared" si="5"/>
        <v>646800</v>
      </c>
      <c r="I101" s="800"/>
      <c r="J101" s="812"/>
      <c r="K101" s="813"/>
      <c r="L101" s="802" t="s">
        <v>10137</v>
      </c>
      <c r="M101" s="833" t="s">
        <v>2763</v>
      </c>
      <c r="N101" s="837">
        <v>45833.0</v>
      </c>
      <c r="O101" s="803"/>
    </row>
    <row r="102" ht="15.0" customHeight="1">
      <c r="A102" s="786">
        <v>45780.0</v>
      </c>
      <c r="B102" s="787" t="s">
        <v>10184</v>
      </c>
      <c r="C102" s="788" t="s">
        <v>10139</v>
      </c>
      <c r="D102" s="789" t="s">
        <v>2869</v>
      </c>
      <c r="E102" s="790" t="str">
        <f>IFERROR(VLOOKUP(D102,Stock,3,FALSE),"")</f>
        <v>Daihatsu Gran Max / Luxio 07-</v>
      </c>
      <c r="F102" s="788">
        <v>1.0</v>
      </c>
      <c r="G102" s="811">
        <v>577125.0</v>
      </c>
      <c r="H102" s="799">
        <f t="shared" si="5"/>
        <v>577125</v>
      </c>
      <c r="I102" s="800"/>
      <c r="J102" s="812"/>
      <c r="K102" s="813"/>
      <c r="L102" s="802" t="s">
        <v>10137</v>
      </c>
      <c r="M102" s="833" t="s">
        <v>2763</v>
      </c>
      <c r="N102" s="847">
        <v>45782.0</v>
      </c>
      <c r="O102" s="803"/>
    </row>
    <row r="103" ht="15.0" customHeight="1">
      <c r="A103" s="786">
        <v>45783.0</v>
      </c>
      <c r="B103" s="787" t="s">
        <v>10185</v>
      </c>
      <c r="C103" s="788" t="s">
        <v>10139</v>
      </c>
      <c r="D103" s="789" t="s">
        <v>2797</v>
      </c>
      <c r="E103" s="790" t="str">
        <f>IFERROR(VLOOKUP(D103,Stock,3,FALSE),"")</f>
        <v>Toyota Calya / Sigra 16-</v>
      </c>
      <c r="F103" s="788">
        <v>1.0</v>
      </c>
      <c r="G103" s="811">
        <v>195000.0</v>
      </c>
      <c r="H103" s="799">
        <f t="shared" si="5"/>
        <v>195000</v>
      </c>
      <c r="I103" s="800"/>
      <c r="J103" s="812"/>
      <c r="K103" s="813"/>
      <c r="L103" s="802" t="s">
        <v>10137</v>
      </c>
      <c r="M103" s="833" t="s">
        <v>2763</v>
      </c>
      <c r="N103" s="807">
        <v>45784.0</v>
      </c>
      <c r="O103" s="803"/>
    </row>
    <row r="104" ht="15.0" customHeight="1">
      <c r="A104" s="786">
        <v>45784.0</v>
      </c>
      <c r="B104" s="787">
        <v>2505211.0</v>
      </c>
      <c r="C104" s="788" t="s">
        <v>10136</v>
      </c>
      <c r="D104" s="789" t="s">
        <v>2952</v>
      </c>
      <c r="E104" s="790" t="str">
        <f>IFERROR(VLOOKUP(D104,Stock,3,FALSE),"")</f>
        <v/>
      </c>
      <c r="F104" s="788">
        <v>3.0</v>
      </c>
      <c r="G104" s="811">
        <v>454800.0</v>
      </c>
      <c r="H104" s="799">
        <f t="shared" si="5"/>
        <v>1364400</v>
      </c>
      <c r="I104" s="800"/>
      <c r="J104" s="812"/>
      <c r="K104" s="813"/>
      <c r="L104" s="802" t="s">
        <v>10137</v>
      </c>
      <c r="M104" s="833" t="s">
        <v>2763</v>
      </c>
      <c r="N104" s="837">
        <v>45833.0</v>
      </c>
      <c r="O104" s="803"/>
    </row>
    <row r="105" ht="15.0" customHeight="1">
      <c r="A105" s="786">
        <v>45782.0</v>
      </c>
      <c r="B105" s="787">
        <v>2505118.0</v>
      </c>
      <c r="C105" s="788" t="s">
        <v>10136</v>
      </c>
      <c r="D105" s="789" t="s">
        <v>2952</v>
      </c>
      <c r="E105" s="790" t="str">
        <f>IFERROR(VLOOKUP(D105,Stock,3,FALSE),"")</f>
        <v/>
      </c>
      <c r="F105" s="788">
        <v>1.0</v>
      </c>
      <c r="G105" s="811">
        <v>454800.0</v>
      </c>
      <c r="H105" s="799">
        <f t="shared" si="5"/>
        <v>454800</v>
      </c>
      <c r="I105" s="800"/>
      <c r="J105" s="812"/>
      <c r="K105" s="813"/>
      <c r="L105" s="802" t="s">
        <v>10137</v>
      </c>
      <c r="M105" s="833" t="s">
        <v>2763</v>
      </c>
      <c r="N105" s="837">
        <v>45833.0</v>
      </c>
      <c r="O105" s="803"/>
    </row>
    <row r="106" ht="15.0" customHeight="1">
      <c r="A106" s="786">
        <v>45782.0</v>
      </c>
      <c r="B106" s="787">
        <v>2505118.0</v>
      </c>
      <c r="C106" s="788" t="s">
        <v>10136</v>
      </c>
      <c r="D106" s="789" t="s">
        <v>3205</v>
      </c>
      <c r="E106" s="790" t="str">
        <f>IFERROR(VLOOKUP(D106,Stock,3,FALSE),"")</f>
        <v>Toyota Innova 04-15 1st Gen</v>
      </c>
      <c r="F106" s="788">
        <v>1.0</v>
      </c>
      <c r="G106" s="811">
        <v>613200.0</v>
      </c>
      <c r="H106" s="799">
        <f t="shared" si="5"/>
        <v>613200</v>
      </c>
      <c r="I106" s="800"/>
      <c r="J106" s="812"/>
      <c r="K106" s="813"/>
      <c r="L106" s="802" t="s">
        <v>10137</v>
      </c>
      <c r="M106" s="833" t="s">
        <v>2763</v>
      </c>
      <c r="N106" s="837">
        <v>45833.0</v>
      </c>
      <c r="O106" s="803"/>
    </row>
    <row r="107" ht="15.0" customHeight="1">
      <c r="A107" s="786">
        <v>45782.0</v>
      </c>
      <c r="B107" s="787">
        <v>2505118.0</v>
      </c>
      <c r="C107" s="788" t="s">
        <v>10136</v>
      </c>
      <c r="D107" s="789" t="s">
        <v>3009</v>
      </c>
      <c r="E107" s="790" t="str">
        <f>IFERROR(VLOOKUP(D107,Stock,3,FALSE),"")</f>
        <v>Honda Mobilio 14-</v>
      </c>
      <c r="F107" s="788">
        <v>1.0</v>
      </c>
      <c r="G107" s="811">
        <v>540600.0</v>
      </c>
      <c r="H107" s="799">
        <f t="shared" si="5"/>
        <v>540600</v>
      </c>
      <c r="I107" s="800"/>
      <c r="J107" s="812"/>
      <c r="K107" s="813"/>
      <c r="L107" s="802" t="s">
        <v>10137</v>
      </c>
      <c r="M107" s="833" t="s">
        <v>2763</v>
      </c>
      <c r="N107" s="837">
        <v>45833.0</v>
      </c>
      <c r="O107" s="803"/>
    </row>
    <row r="108" ht="15.0" customHeight="1">
      <c r="A108" s="786">
        <v>45782.0</v>
      </c>
      <c r="B108" s="787">
        <v>2505118.0</v>
      </c>
      <c r="C108" s="788" t="s">
        <v>10136</v>
      </c>
      <c r="D108" s="789" t="s">
        <v>3225</v>
      </c>
      <c r="E108" s="790" t="str">
        <f>IFERROR(VLOOKUP(D108,Stock,3,FALSE),"")</f>
        <v>Toyota Rush / Terios 18-</v>
      </c>
      <c r="F108" s="788">
        <v>1.0</v>
      </c>
      <c r="G108" s="811">
        <v>576000.0</v>
      </c>
      <c r="H108" s="799">
        <f t="shared" si="5"/>
        <v>576000</v>
      </c>
      <c r="I108" s="800"/>
      <c r="J108" s="812"/>
      <c r="K108" s="813"/>
      <c r="L108" s="802" t="s">
        <v>10137</v>
      </c>
      <c r="M108" s="833" t="s">
        <v>2763</v>
      </c>
      <c r="N108" s="837">
        <v>45833.0</v>
      </c>
      <c r="O108" s="803"/>
    </row>
    <row r="109" ht="15.0" customHeight="1">
      <c r="A109" s="786">
        <v>45782.0</v>
      </c>
      <c r="B109" s="787">
        <v>2505079.0</v>
      </c>
      <c r="C109" s="788" t="s">
        <v>10136</v>
      </c>
      <c r="D109" s="789" t="s">
        <v>3197</v>
      </c>
      <c r="E109" s="790" t="str">
        <f>IFERROR(VLOOKUP(D109,Stock,3,FALSE),"")</f>
        <v>Mitsubishi Strada Triton 16-</v>
      </c>
      <c r="F109" s="788">
        <v>1.0</v>
      </c>
      <c r="G109" s="811">
        <v>667200.0</v>
      </c>
      <c r="H109" s="799">
        <f t="shared" si="5"/>
        <v>667200</v>
      </c>
      <c r="I109" s="800"/>
      <c r="J109" s="812"/>
      <c r="K109" s="813"/>
      <c r="L109" s="802" t="s">
        <v>10137</v>
      </c>
      <c r="M109" s="833" t="s">
        <v>2763</v>
      </c>
      <c r="N109" s="837">
        <v>45833.0</v>
      </c>
      <c r="O109" s="803"/>
    </row>
    <row r="110" ht="15.0" customHeight="1">
      <c r="A110" s="786">
        <v>45776.0</v>
      </c>
      <c r="B110" s="787">
        <v>2504694.0</v>
      </c>
      <c r="C110" s="788" t="s">
        <v>10136</v>
      </c>
      <c r="D110" s="789" t="s">
        <v>3152</v>
      </c>
      <c r="E110" s="790" t="str">
        <f>IFERROR(VLOOKUP(D110,Stock,3,FALSE),"")</f>
        <v>Honda Civic 05-11 8th Gen (Civic Batman FD)</v>
      </c>
      <c r="F110" s="788">
        <v>1.0</v>
      </c>
      <c r="G110" s="811">
        <v>1145200.0</v>
      </c>
      <c r="H110" s="799">
        <f t="shared" si="5"/>
        <v>1145200</v>
      </c>
      <c r="I110" s="800"/>
      <c r="J110" s="812"/>
      <c r="K110" s="813"/>
      <c r="L110" s="802" t="s">
        <v>10137</v>
      </c>
      <c r="M110" s="806" t="s">
        <v>2763</v>
      </c>
      <c r="N110" s="807">
        <v>45829.0</v>
      </c>
      <c r="O110" s="803"/>
    </row>
    <row r="111" ht="15.0" customHeight="1">
      <c r="A111" s="786">
        <v>45776.0</v>
      </c>
      <c r="B111" s="787">
        <v>2504694.0</v>
      </c>
      <c r="C111" s="788" t="s">
        <v>10136</v>
      </c>
      <c r="D111" s="789" t="s">
        <v>3147</v>
      </c>
      <c r="E111" s="790" t="str">
        <f>IFERROR(VLOOKUP(D111,Stock,3,FALSE),"")</f>
        <v>Chevrolet Spin 12-</v>
      </c>
      <c r="F111" s="788">
        <v>1.0</v>
      </c>
      <c r="G111" s="811">
        <v>945000.0</v>
      </c>
      <c r="H111" s="799">
        <f t="shared" si="5"/>
        <v>945000</v>
      </c>
      <c r="I111" s="800"/>
      <c r="J111" s="812"/>
      <c r="K111" s="813"/>
      <c r="L111" s="802" t="s">
        <v>10137</v>
      </c>
      <c r="M111" s="806" t="s">
        <v>2763</v>
      </c>
      <c r="N111" s="807">
        <v>45829.0</v>
      </c>
      <c r="O111" s="803"/>
    </row>
    <row r="112" ht="15.0" customHeight="1">
      <c r="A112" s="786">
        <v>45777.0</v>
      </c>
      <c r="B112" s="787" t="s">
        <v>10186</v>
      </c>
      <c r="C112" s="788" t="s">
        <v>10148</v>
      </c>
      <c r="D112" s="789" t="s">
        <v>3134</v>
      </c>
      <c r="E112" s="790" t="str">
        <f>IFERROR(VLOOKUP(D112,Stock,3,FALSE),"")</f>
        <v>Toyota LandCruiser 07-21 FJ200</v>
      </c>
      <c r="F112" s="788">
        <v>1.0</v>
      </c>
      <c r="G112" s="811">
        <v>0.0</v>
      </c>
      <c r="H112" s="799">
        <f t="shared" si="5"/>
        <v>0</v>
      </c>
      <c r="I112" s="800"/>
      <c r="J112" s="812"/>
      <c r="K112" s="813"/>
      <c r="L112" s="805"/>
      <c r="M112" s="803"/>
      <c r="N112" s="803"/>
      <c r="O112" s="803"/>
    </row>
    <row r="113" ht="15.0" customHeight="1">
      <c r="A113" s="786">
        <v>45777.0</v>
      </c>
      <c r="B113" s="787" t="s">
        <v>10187</v>
      </c>
      <c r="C113" s="788" t="s">
        <v>10148</v>
      </c>
      <c r="D113" s="789" t="s">
        <v>3160</v>
      </c>
      <c r="E113" s="790" t="str">
        <f>IFERROR(VLOOKUP(D113,Stock,3,FALSE),"")</f>
        <v>Honda Brio 10- (Honda)</v>
      </c>
      <c r="F113" s="788">
        <v>1.0</v>
      </c>
      <c r="G113" s="811">
        <v>0.0</v>
      </c>
      <c r="H113" s="799">
        <f t="shared" si="5"/>
        <v>0</v>
      </c>
      <c r="I113" s="800"/>
      <c r="J113" s="812"/>
      <c r="K113" s="813"/>
      <c r="L113" s="805"/>
      <c r="M113" s="803"/>
      <c r="N113" s="803"/>
      <c r="O113" s="803"/>
    </row>
    <row r="114" ht="15.0" customHeight="1">
      <c r="A114" s="786">
        <v>45773.0</v>
      </c>
      <c r="B114" s="787" t="s">
        <v>10188</v>
      </c>
      <c r="C114" s="788" t="s">
        <v>10148</v>
      </c>
      <c r="D114" s="789" t="s">
        <v>4226</v>
      </c>
      <c r="E114" s="790" t="str">
        <f>IFERROR(VLOOKUP(D114,Stock,3,FALSE),"")</f>
        <v>Honda HR-V 14-21 5D SUV (Honda)</v>
      </c>
      <c r="F114" s="788">
        <v>1.0</v>
      </c>
      <c r="G114" s="811">
        <v>0.0</v>
      </c>
      <c r="H114" s="799">
        <f t="shared" si="5"/>
        <v>0</v>
      </c>
      <c r="I114" s="800"/>
      <c r="J114" s="812"/>
      <c r="K114" s="813"/>
      <c r="L114" s="805"/>
      <c r="M114" s="803"/>
      <c r="N114" s="803"/>
      <c r="O114" s="803"/>
    </row>
    <row r="115" ht="15.0" customHeight="1">
      <c r="A115" s="786">
        <v>45773.0</v>
      </c>
      <c r="B115" s="787" t="s">
        <v>10188</v>
      </c>
      <c r="C115" s="788" t="s">
        <v>10148</v>
      </c>
      <c r="D115" s="789" t="s">
        <v>4375</v>
      </c>
      <c r="E115" s="790" t="str">
        <f>IFERROR(VLOOKUP(D115,Stock,3,FALSE),"")</f>
        <v>Mitsubishi Pajero 16- (Mitsubishi)</v>
      </c>
      <c r="F115" s="788">
        <v>1.0</v>
      </c>
      <c r="G115" s="811">
        <v>0.0</v>
      </c>
      <c r="H115" s="799">
        <f t="shared" si="5"/>
        <v>0</v>
      </c>
      <c r="I115" s="800"/>
      <c r="J115" s="812"/>
      <c r="K115" s="813"/>
      <c r="L115" s="805"/>
      <c r="M115" s="803"/>
      <c r="N115" s="803"/>
      <c r="O115" s="803"/>
    </row>
    <row r="116" ht="15.0" customHeight="1">
      <c r="A116" s="786">
        <v>45773.0</v>
      </c>
      <c r="B116" s="787" t="s">
        <v>10188</v>
      </c>
      <c r="C116" s="788" t="s">
        <v>10148</v>
      </c>
      <c r="D116" s="789" t="s">
        <v>3013</v>
      </c>
      <c r="E116" s="790" t="str">
        <f>IFERROR(VLOOKUP(D116,Stock,3,FALSE),"")</f>
        <v>Honda Freed 08-16 1st Gen (Honda)</v>
      </c>
      <c r="F116" s="788">
        <v>1.0</v>
      </c>
      <c r="G116" s="811">
        <v>0.0</v>
      </c>
      <c r="H116" s="799">
        <f t="shared" si="5"/>
        <v>0</v>
      </c>
      <c r="I116" s="800"/>
      <c r="J116" s="812"/>
      <c r="K116" s="813"/>
      <c r="L116" s="805"/>
      <c r="M116" s="803"/>
      <c r="N116" s="803"/>
      <c r="O116" s="803"/>
    </row>
    <row r="117" ht="15.0" customHeight="1">
      <c r="A117" s="786">
        <v>45773.0</v>
      </c>
      <c r="B117" s="787" t="s">
        <v>10189</v>
      </c>
      <c r="C117" s="788" t="s">
        <v>10148</v>
      </c>
      <c r="D117" s="789" t="s">
        <v>3165</v>
      </c>
      <c r="E117" s="790" t="str">
        <f>IFERROR(VLOOKUP(D117,Stock,3,FALSE),"")</f>
        <v>Honda HR-V 22- 5D SUV (Honda)</v>
      </c>
      <c r="F117" s="788">
        <v>1.0</v>
      </c>
      <c r="G117" s="811">
        <v>0.0</v>
      </c>
      <c r="H117" s="799">
        <f t="shared" si="5"/>
        <v>0</v>
      </c>
      <c r="I117" s="800"/>
      <c r="J117" s="812"/>
      <c r="K117" s="813"/>
      <c r="L117" s="805"/>
      <c r="M117" s="803"/>
      <c r="N117" s="803"/>
      <c r="O117" s="803"/>
    </row>
    <row r="118" ht="15.0" customHeight="1">
      <c r="A118" s="786">
        <v>45773.0</v>
      </c>
      <c r="B118" s="787" t="s">
        <v>10189</v>
      </c>
      <c r="C118" s="788" t="s">
        <v>10148</v>
      </c>
      <c r="D118" s="789" t="s">
        <v>3354</v>
      </c>
      <c r="E118" s="790" t="str">
        <f>IFERROR(VLOOKUP(D118,Stock,3,FALSE),"")</f>
        <v>Honda Brio 10- / Mobilio 11- (Honda)</v>
      </c>
      <c r="F118" s="788">
        <v>1.0</v>
      </c>
      <c r="G118" s="811">
        <v>0.0</v>
      </c>
      <c r="H118" s="799">
        <f t="shared" si="5"/>
        <v>0</v>
      </c>
      <c r="I118" s="800"/>
      <c r="J118" s="812"/>
      <c r="K118" s="813"/>
      <c r="L118" s="805"/>
      <c r="M118" s="803"/>
      <c r="N118" s="803"/>
      <c r="O118" s="803"/>
    </row>
    <row r="119" ht="15.0" customHeight="1">
      <c r="A119" s="786">
        <v>45773.0</v>
      </c>
      <c r="B119" s="787" t="s">
        <v>10189</v>
      </c>
      <c r="C119" s="788" t="s">
        <v>10148</v>
      </c>
      <c r="D119" s="789" t="s">
        <v>5800</v>
      </c>
      <c r="E119" s="790" t="str">
        <f>IFERROR(VLOOKUP(D119,Stock,3,FALSE),"")</f>
        <v>Toyota Fortuner 15-  2nd Gen (Toyota)</v>
      </c>
      <c r="F119" s="788">
        <v>1.0</v>
      </c>
      <c r="G119" s="811">
        <v>0.0</v>
      </c>
      <c r="H119" s="799">
        <f t="shared" si="5"/>
        <v>0</v>
      </c>
      <c r="I119" s="800"/>
      <c r="J119" s="812"/>
      <c r="K119" s="813"/>
      <c r="L119" s="805"/>
      <c r="M119" s="803"/>
      <c r="N119" s="803"/>
      <c r="O119" s="803"/>
    </row>
    <row r="120" ht="15.0" customHeight="1">
      <c r="A120" s="834">
        <v>45773.0</v>
      </c>
      <c r="B120" s="603" t="s">
        <v>10188</v>
      </c>
      <c r="C120" s="822" t="s">
        <v>10148</v>
      </c>
      <c r="D120" s="835" t="s">
        <v>6034</v>
      </c>
      <c r="E120" s="594" t="str">
        <f>IFERROR(VLOOKUP(D120,Stock,3,FALSE),"")</f>
        <v>Honda HR-V 22- 5D SUV (Honda)</v>
      </c>
      <c r="F120" s="822">
        <v>1.0</v>
      </c>
      <c r="G120" s="769"/>
      <c r="H120" s="824">
        <f t="shared" si="5"/>
        <v>0</v>
      </c>
      <c r="I120" s="825"/>
      <c r="J120" s="826"/>
      <c r="K120" s="827"/>
      <c r="L120" s="828"/>
    </row>
    <row r="121" ht="15.0" customHeight="1">
      <c r="A121" s="786">
        <v>45777.0</v>
      </c>
      <c r="B121" s="787" t="s">
        <v>10190</v>
      </c>
      <c r="C121" s="788" t="s">
        <v>24</v>
      </c>
      <c r="D121" s="789" t="s">
        <v>10191</v>
      </c>
      <c r="E121" s="790" t="str">
        <f>IFERROR(VLOOKUP(D121,Stock,3,FALSE),"")</f>
        <v/>
      </c>
      <c r="F121" s="788">
        <v>12.0</v>
      </c>
      <c r="G121" s="811">
        <v>19000.0</v>
      </c>
      <c r="H121" s="799">
        <f t="shared" si="5"/>
        <v>228000</v>
      </c>
      <c r="I121" s="800"/>
      <c r="J121" s="812"/>
      <c r="K121" s="848" t="s">
        <v>3191</v>
      </c>
      <c r="L121" s="802" t="s">
        <v>10137</v>
      </c>
      <c r="M121" s="806" t="s">
        <v>2763</v>
      </c>
      <c r="N121" s="837">
        <v>45797.0</v>
      </c>
      <c r="O121" s="803"/>
    </row>
    <row r="122" ht="15.0" customHeight="1">
      <c r="A122" s="834">
        <v>45779.0</v>
      </c>
      <c r="B122" s="821"/>
      <c r="C122" s="822" t="s">
        <v>10154</v>
      </c>
      <c r="D122" s="835" t="s">
        <v>3193</v>
      </c>
      <c r="E122" s="594" t="str">
        <f>IFERROR(VLOOKUP(D122,Stock,3,FALSE),"")</f>
        <v>Toyota Avanza / Xenia 11-15 2nd Gen</v>
      </c>
      <c r="F122" s="822">
        <v>1.0</v>
      </c>
      <c r="G122" s="769"/>
      <c r="H122" s="824">
        <f t="shared" si="5"/>
        <v>0</v>
      </c>
      <c r="I122" s="825"/>
      <c r="J122" s="826"/>
      <c r="K122" s="827"/>
      <c r="L122" s="828"/>
    </row>
    <row r="123" ht="15.0" customHeight="1">
      <c r="A123" s="786">
        <v>45785.0</v>
      </c>
      <c r="B123" s="787">
        <v>2505235.0</v>
      </c>
      <c r="C123" s="788" t="s">
        <v>10136</v>
      </c>
      <c r="D123" s="789" t="s">
        <v>3230</v>
      </c>
      <c r="E123" s="790" t="str">
        <f>IFERROR(VLOOKUP(D123,Stock,3,FALSE),"")</f>
        <v>Toyota LandCruiser 07- FJ200</v>
      </c>
      <c r="F123" s="788">
        <v>1.0</v>
      </c>
      <c r="G123" s="811">
        <v>1848000.0</v>
      </c>
      <c r="H123" s="799">
        <f t="shared" si="5"/>
        <v>1848000</v>
      </c>
      <c r="I123" s="800"/>
      <c r="J123" s="812"/>
      <c r="K123" s="813"/>
      <c r="L123" s="802" t="s">
        <v>10137</v>
      </c>
      <c r="M123" s="806" t="s">
        <v>2763</v>
      </c>
      <c r="N123" s="837">
        <v>45846.0</v>
      </c>
      <c r="O123" s="803"/>
    </row>
    <row r="124" ht="15.0" customHeight="1">
      <c r="A124" s="786">
        <v>45785.0</v>
      </c>
      <c r="B124" s="787">
        <v>2505235.0</v>
      </c>
      <c r="C124" s="788" t="s">
        <v>10136</v>
      </c>
      <c r="D124" s="789" t="s">
        <v>3220</v>
      </c>
      <c r="E124" s="790" t="str">
        <f>IFERROR(VLOOKUP(D124,Stock,3,FALSE),"")</f>
        <v>BMW 3 Series 12-18 F30/F35 (1 Sensor / O )</v>
      </c>
      <c r="F124" s="788">
        <v>1.0</v>
      </c>
      <c r="G124" s="811">
        <v>2521200.0</v>
      </c>
      <c r="H124" s="799">
        <f t="shared" si="5"/>
        <v>2521200</v>
      </c>
      <c r="I124" s="800"/>
      <c r="J124" s="812"/>
      <c r="K124" s="813"/>
      <c r="L124" s="802" t="s">
        <v>10137</v>
      </c>
      <c r="M124" s="806" t="s">
        <v>2763</v>
      </c>
      <c r="N124" s="837">
        <v>45846.0</v>
      </c>
      <c r="O124" s="803"/>
    </row>
    <row r="125" ht="15.0" customHeight="1">
      <c r="A125" s="786">
        <v>45785.0</v>
      </c>
      <c r="B125" s="787">
        <v>2505235.0</v>
      </c>
      <c r="C125" s="788" t="s">
        <v>10136</v>
      </c>
      <c r="D125" s="789" t="s">
        <v>3234</v>
      </c>
      <c r="E125" s="790" t="str">
        <f>IFERROR(VLOOKUP(D125,Stock,3,FALSE),"")</f>
        <v>Toyota Avanza / Xenia 21- 4th Gen (Non sensor)</v>
      </c>
      <c r="F125" s="788">
        <v>1.0</v>
      </c>
      <c r="G125" s="811">
        <v>714000.0</v>
      </c>
      <c r="H125" s="799">
        <f t="shared" si="5"/>
        <v>714000</v>
      </c>
      <c r="I125" s="800"/>
      <c r="J125" s="812"/>
      <c r="K125" s="813"/>
      <c r="L125" s="802" t="s">
        <v>10137</v>
      </c>
      <c r="M125" s="806" t="s">
        <v>2763</v>
      </c>
      <c r="N125" s="837">
        <v>45846.0</v>
      </c>
      <c r="O125" s="803"/>
    </row>
    <row r="126" ht="15.0" customHeight="1">
      <c r="A126" s="786">
        <v>45785.0</v>
      </c>
      <c r="B126" s="787">
        <v>2505235.0</v>
      </c>
      <c r="C126" s="788" t="s">
        <v>10136</v>
      </c>
      <c r="D126" s="789" t="s">
        <v>5041</v>
      </c>
      <c r="E126" s="790" t="str">
        <f>IFERROR(VLOOKUP(D126,Stock,3,FALSE),"")</f>
        <v>Honda Freed 08-16 1st gen</v>
      </c>
      <c r="F126" s="788">
        <v>1.0</v>
      </c>
      <c r="G126" s="811">
        <v>850800.0</v>
      </c>
      <c r="H126" s="799">
        <f t="shared" si="5"/>
        <v>850800</v>
      </c>
      <c r="I126" s="800"/>
      <c r="J126" s="812"/>
      <c r="K126" s="813"/>
      <c r="L126" s="802" t="s">
        <v>10137</v>
      </c>
      <c r="M126" s="806" t="s">
        <v>2763</v>
      </c>
      <c r="N126" s="837">
        <v>45846.0</v>
      </c>
      <c r="O126" s="803"/>
    </row>
    <row r="127" ht="15.0" customHeight="1">
      <c r="A127" s="786">
        <v>45786.0</v>
      </c>
      <c r="B127" s="787">
        <v>2505271.0</v>
      </c>
      <c r="C127" s="788" t="s">
        <v>10136</v>
      </c>
      <c r="D127" s="789" t="s">
        <v>3241</v>
      </c>
      <c r="E127" s="790" t="str">
        <f>IFERROR(VLOOKUP(D127,Stock,3,FALSE),"")</f>
        <v>Toyota Alphard 18- ANH30 3rd Gen</v>
      </c>
      <c r="F127" s="788">
        <v>1.0</v>
      </c>
      <c r="G127" s="811">
        <v>2016600.0</v>
      </c>
      <c r="H127" s="799">
        <f t="shared" si="5"/>
        <v>2016600</v>
      </c>
      <c r="I127" s="800"/>
      <c r="J127" s="812"/>
      <c r="K127" s="813"/>
      <c r="L127" s="802" t="s">
        <v>10137</v>
      </c>
      <c r="M127" s="806" t="s">
        <v>2763</v>
      </c>
      <c r="N127" s="837">
        <v>45846.0</v>
      </c>
      <c r="O127" s="803"/>
    </row>
    <row r="128" ht="15.0" customHeight="1">
      <c r="A128" s="786">
        <v>45786.0</v>
      </c>
      <c r="B128" s="787">
        <v>2505271.0</v>
      </c>
      <c r="C128" s="788" t="s">
        <v>10136</v>
      </c>
      <c r="D128" s="789" t="s">
        <v>2869</v>
      </c>
      <c r="E128" s="790" t="str">
        <f>IFERROR(VLOOKUP(D128,Stock,3,FALSE),"")</f>
        <v>Daihatsu Gran Max / Luxio 07-</v>
      </c>
      <c r="F128" s="788">
        <v>1.0</v>
      </c>
      <c r="G128" s="811">
        <v>513000.0</v>
      </c>
      <c r="H128" s="799">
        <f t="shared" si="5"/>
        <v>513000</v>
      </c>
      <c r="I128" s="800"/>
      <c r="J128" s="812"/>
      <c r="K128" s="813"/>
      <c r="L128" s="802" t="s">
        <v>10137</v>
      </c>
      <c r="M128" s="806" t="s">
        <v>2763</v>
      </c>
      <c r="N128" s="837">
        <v>45846.0</v>
      </c>
      <c r="O128" s="803"/>
    </row>
    <row r="129" ht="15.0" customHeight="1">
      <c r="A129" s="786">
        <v>45786.0</v>
      </c>
      <c r="B129" s="787" t="s">
        <v>10192</v>
      </c>
      <c r="C129" s="788" t="s">
        <v>10139</v>
      </c>
      <c r="D129" s="789" t="s">
        <v>10193</v>
      </c>
      <c r="E129" s="790" t="str">
        <f>IFERROR(VLOOKUP(D129,Stock,3,FALSE),"")</f>
        <v/>
      </c>
      <c r="F129" s="788">
        <v>1.0</v>
      </c>
      <c r="G129" s="811">
        <v>355000.0</v>
      </c>
      <c r="H129" s="799">
        <f t="shared" si="5"/>
        <v>355000</v>
      </c>
      <c r="I129" s="800"/>
      <c r="J129" s="812"/>
      <c r="K129" s="813"/>
      <c r="L129" s="802" t="s">
        <v>10137</v>
      </c>
      <c r="M129" s="806" t="s">
        <v>2763</v>
      </c>
      <c r="N129" s="807">
        <v>45790.0</v>
      </c>
      <c r="O129" s="803"/>
    </row>
    <row r="130" ht="15.0" customHeight="1">
      <c r="A130" s="786">
        <v>45787.0</v>
      </c>
      <c r="B130" s="787" t="s">
        <v>10194</v>
      </c>
      <c r="C130" s="788" t="s">
        <v>10139</v>
      </c>
      <c r="D130" s="789" t="s">
        <v>3238</v>
      </c>
      <c r="E130" s="790" t="str">
        <f>IFERROR(VLOOKUP(D130,Stock,3,FALSE),"")</f>
        <v>Toyota Kijang 98- Kapsul Karet</v>
      </c>
      <c r="F130" s="788">
        <v>1.0</v>
      </c>
      <c r="G130" s="811">
        <v>727650.0</v>
      </c>
      <c r="H130" s="799">
        <f t="shared" si="5"/>
        <v>727650</v>
      </c>
      <c r="I130" s="800"/>
      <c r="J130" s="812"/>
      <c r="K130" s="813"/>
      <c r="L130" s="802" t="s">
        <v>10137</v>
      </c>
      <c r="M130" s="806" t="s">
        <v>2763</v>
      </c>
      <c r="N130" s="807">
        <v>45790.0</v>
      </c>
      <c r="O130" s="803"/>
    </row>
    <row r="131" ht="15.0" customHeight="1">
      <c r="A131" s="786">
        <v>45787.0</v>
      </c>
      <c r="B131" s="787" t="s">
        <v>10194</v>
      </c>
      <c r="C131" s="788" t="s">
        <v>10139</v>
      </c>
      <c r="D131" s="789" t="s">
        <v>3246</v>
      </c>
      <c r="E131" s="790" t="str">
        <f>IFERROR(VLOOKUP(D131,Stock,3,FALSE),"")</f>
        <v>Toyota Calya / Sigra 16-</v>
      </c>
      <c r="F131" s="788">
        <v>1.0</v>
      </c>
      <c r="G131" s="811">
        <v>620325.0</v>
      </c>
      <c r="H131" s="799">
        <f t="shared" si="5"/>
        <v>620325</v>
      </c>
      <c r="I131" s="800"/>
      <c r="J131" s="812"/>
      <c r="K131" s="813"/>
      <c r="L131" s="802" t="s">
        <v>10137</v>
      </c>
      <c r="M131" s="806" t="s">
        <v>2763</v>
      </c>
      <c r="N131" s="807">
        <v>45790.0</v>
      </c>
      <c r="O131" s="803"/>
    </row>
    <row r="132" ht="15.0" customHeight="1">
      <c r="A132" s="786">
        <v>45787.0</v>
      </c>
      <c r="B132" s="787" t="s">
        <v>10194</v>
      </c>
      <c r="C132" s="788" t="s">
        <v>10139</v>
      </c>
      <c r="D132" s="789" t="s">
        <v>3255</v>
      </c>
      <c r="E132" s="790" t="str">
        <f>IFERROR(VLOOKUP(D132,Stock,3,FALSE),"")</f>
        <v>Honda CR-V 07-11 3rd Gen</v>
      </c>
      <c r="F132" s="788">
        <v>1.0</v>
      </c>
      <c r="G132" s="811">
        <v>345000.0</v>
      </c>
      <c r="H132" s="799">
        <f t="shared" si="5"/>
        <v>345000</v>
      </c>
      <c r="I132" s="800"/>
      <c r="J132" s="812"/>
      <c r="K132" s="813"/>
      <c r="L132" s="802" t="s">
        <v>10137</v>
      </c>
      <c r="M132" s="806" t="s">
        <v>2763</v>
      </c>
      <c r="N132" s="807">
        <v>45790.0</v>
      </c>
      <c r="O132" s="803"/>
    </row>
    <row r="133" ht="15.0" customHeight="1">
      <c r="A133" s="786">
        <v>45787.0</v>
      </c>
      <c r="B133" s="787" t="s">
        <v>10194</v>
      </c>
      <c r="C133" s="788" t="s">
        <v>10139</v>
      </c>
      <c r="D133" s="789" t="s">
        <v>2944</v>
      </c>
      <c r="E133" s="790" t="str">
        <f>IFERROR(VLOOKUP(D133,Stock,3,FALSE),"")</f>
        <v>Toyota Innova 04-15 1st Gen</v>
      </c>
      <c r="F133" s="788">
        <v>1.0</v>
      </c>
      <c r="G133" s="811">
        <v>753300.0</v>
      </c>
      <c r="H133" s="799">
        <f t="shared" si="5"/>
        <v>753300</v>
      </c>
      <c r="I133" s="800"/>
      <c r="J133" s="812"/>
      <c r="K133" s="813"/>
      <c r="L133" s="802" t="s">
        <v>10137</v>
      </c>
      <c r="M133" s="806" t="s">
        <v>2763</v>
      </c>
      <c r="N133" s="807">
        <v>45790.0</v>
      </c>
      <c r="O133" s="803"/>
    </row>
    <row r="134" ht="15.0" customHeight="1">
      <c r="A134" s="786">
        <v>45787.0</v>
      </c>
      <c r="B134" s="787" t="s">
        <v>10195</v>
      </c>
      <c r="C134" s="788" t="s">
        <v>10139</v>
      </c>
      <c r="D134" s="789" t="s">
        <v>2901</v>
      </c>
      <c r="E134" s="790" t="str">
        <f>IFERROR(VLOOKUP(D134,Stock,3,FALSE),"")</f>
        <v>Honda CR-V 12-16 4th Gen</v>
      </c>
      <c r="F134" s="788">
        <v>1.0</v>
      </c>
      <c r="G134" s="811">
        <v>1079325.0</v>
      </c>
      <c r="H134" s="799">
        <f t="shared" si="5"/>
        <v>1079325</v>
      </c>
      <c r="I134" s="800"/>
      <c r="J134" s="812"/>
      <c r="K134" s="813"/>
      <c r="L134" s="802" t="s">
        <v>10137</v>
      </c>
      <c r="M134" s="806" t="s">
        <v>2763</v>
      </c>
      <c r="N134" s="807">
        <v>45790.0</v>
      </c>
      <c r="O134" s="803"/>
    </row>
    <row r="135" ht="15.0" customHeight="1">
      <c r="A135" s="786">
        <v>45787.0</v>
      </c>
      <c r="B135" s="787" t="s">
        <v>10195</v>
      </c>
      <c r="C135" s="788" t="s">
        <v>10139</v>
      </c>
      <c r="D135" s="789" t="s">
        <v>3269</v>
      </c>
      <c r="E135" s="790" t="str">
        <f>IFERROR(VLOOKUP(D135,Stock,3,FALSE),"")</f>
        <v>Mitsubishi Pajero 16-</v>
      </c>
      <c r="F135" s="788">
        <v>1.0</v>
      </c>
      <c r="G135" s="811">
        <v>395000.0</v>
      </c>
      <c r="H135" s="799">
        <f t="shared" si="5"/>
        <v>395000</v>
      </c>
      <c r="I135" s="800"/>
      <c r="J135" s="812"/>
      <c r="K135" s="813"/>
      <c r="L135" s="802" t="s">
        <v>10137</v>
      </c>
      <c r="M135" s="806" t="s">
        <v>2763</v>
      </c>
      <c r="N135" s="807">
        <v>45790.0</v>
      </c>
      <c r="O135" s="803"/>
    </row>
    <row r="136" ht="15.0" customHeight="1">
      <c r="A136" s="786">
        <v>45791.0</v>
      </c>
      <c r="B136" s="787">
        <v>2505391.0</v>
      </c>
      <c r="C136" s="788" t="s">
        <v>10136</v>
      </c>
      <c r="D136" s="789" t="s">
        <v>2865</v>
      </c>
      <c r="E136" s="790" t="str">
        <f>IFERROR(VLOOKUP(D136,Stock,3,FALSE),"")</f>
        <v>Toyota Fortuner 15- 2nd Gen</v>
      </c>
      <c r="F136" s="788">
        <v>1.0</v>
      </c>
      <c r="G136" s="811">
        <v>870000.0</v>
      </c>
      <c r="H136" s="799">
        <f t="shared" si="5"/>
        <v>870000</v>
      </c>
      <c r="I136" s="800"/>
      <c r="J136" s="812"/>
      <c r="K136" s="813"/>
      <c r="L136" s="802" t="s">
        <v>10137</v>
      </c>
      <c r="M136" s="806" t="s">
        <v>2763</v>
      </c>
      <c r="N136" s="837">
        <v>45846.0</v>
      </c>
      <c r="O136" s="803"/>
    </row>
    <row r="137" ht="15.0" customHeight="1">
      <c r="A137" s="786">
        <v>45791.0</v>
      </c>
      <c r="B137" s="787">
        <v>2505391.0</v>
      </c>
      <c r="C137" s="788" t="s">
        <v>10136</v>
      </c>
      <c r="D137" s="789" t="s">
        <v>3265</v>
      </c>
      <c r="E137" s="790" t="str">
        <f>IFERROR(VLOOKUP(D137,Stock,3,FALSE),"")</f>
        <v>Honda Jazz 07-13 2nd Gen</v>
      </c>
      <c r="F137" s="788">
        <v>1.0</v>
      </c>
      <c r="G137" s="811">
        <v>850800.0</v>
      </c>
      <c r="H137" s="799">
        <f t="shared" si="5"/>
        <v>850800</v>
      </c>
      <c r="I137" s="800"/>
      <c r="J137" s="812"/>
      <c r="K137" s="813"/>
      <c r="L137" s="802" t="s">
        <v>10137</v>
      </c>
      <c r="M137" s="806" t="s">
        <v>2763</v>
      </c>
      <c r="N137" s="837">
        <v>45846.0</v>
      </c>
      <c r="O137" s="803"/>
    </row>
    <row r="138" ht="15.0" customHeight="1">
      <c r="A138" s="786">
        <v>45791.0</v>
      </c>
      <c r="B138" s="787" t="s">
        <v>10196</v>
      </c>
      <c r="C138" s="788" t="s">
        <v>10156</v>
      </c>
      <c r="D138" s="787" t="s">
        <v>3273</v>
      </c>
      <c r="E138" s="790" t="str">
        <f>IFERROR(VLOOKUP(D138,Stock,3,FALSE),"")</f>
        <v>Wuling Almaz (Wuling)</v>
      </c>
      <c r="F138" s="788">
        <v>1.0</v>
      </c>
      <c r="G138" s="811">
        <v>550000.0</v>
      </c>
      <c r="H138" s="799">
        <f t="shared" si="5"/>
        <v>550000</v>
      </c>
      <c r="I138" s="800"/>
      <c r="J138" s="812"/>
      <c r="K138" s="813"/>
      <c r="L138" s="802" t="s">
        <v>10137</v>
      </c>
      <c r="M138" s="806" t="s">
        <v>2763</v>
      </c>
      <c r="N138" s="807">
        <v>45801.0</v>
      </c>
      <c r="O138" s="803"/>
    </row>
    <row r="139" ht="15.0" customHeight="1">
      <c r="A139" s="786">
        <v>45792.0</v>
      </c>
      <c r="B139" s="787" t="s">
        <v>10197</v>
      </c>
      <c r="C139" s="788" t="s">
        <v>10139</v>
      </c>
      <c r="D139" s="789" t="s">
        <v>2901</v>
      </c>
      <c r="E139" s="790" t="str">
        <f>IFERROR(VLOOKUP(D139,Stock,3,FALSE),"")</f>
        <v>Honda CR-V 12-16 4th Gen</v>
      </c>
      <c r="F139" s="788">
        <v>1.0</v>
      </c>
      <c r="G139" s="811">
        <v>1079325.0</v>
      </c>
      <c r="H139" s="799">
        <f t="shared" si="5"/>
        <v>1079325</v>
      </c>
      <c r="I139" s="800"/>
      <c r="J139" s="812"/>
      <c r="K139" s="848" t="s">
        <v>10198</v>
      </c>
      <c r="L139" s="802" t="s">
        <v>10137</v>
      </c>
      <c r="M139" s="806" t="s">
        <v>2763</v>
      </c>
      <c r="N139" s="807">
        <v>45797.0</v>
      </c>
      <c r="O139" s="803"/>
    </row>
    <row r="140" ht="15.0" customHeight="1">
      <c r="A140" s="786">
        <v>45793.0</v>
      </c>
      <c r="B140" s="787" t="s">
        <v>10199</v>
      </c>
      <c r="C140" s="788" t="s">
        <v>10139</v>
      </c>
      <c r="D140" s="789" t="s">
        <v>3287</v>
      </c>
      <c r="E140" s="790" t="str">
        <f>IFERROR(VLOOKUP(D140,Stock,3,FALSE),"")</f>
        <v>Toyota Calya / Sigra 16-</v>
      </c>
      <c r="F140" s="788">
        <v>1.0</v>
      </c>
      <c r="G140" s="811">
        <v>135000.0</v>
      </c>
      <c r="H140" s="799">
        <f t="shared" si="5"/>
        <v>135000</v>
      </c>
      <c r="I140" s="800"/>
      <c r="J140" s="812"/>
      <c r="K140" s="848" t="s">
        <v>10198</v>
      </c>
      <c r="L140" s="802" t="s">
        <v>10137</v>
      </c>
      <c r="M140" s="806" t="s">
        <v>2763</v>
      </c>
      <c r="N140" s="807">
        <v>45797.0</v>
      </c>
      <c r="O140" s="803"/>
    </row>
    <row r="141" ht="15.0" customHeight="1">
      <c r="A141" s="786">
        <v>45793.0</v>
      </c>
      <c r="B141" s="787">
        <v>2505486.0</v>
      </c>
      <c r="C141" s="788" t="s">
        <v>10136</v>
      </c>
      <c r="D141" s="789" t="s">
        <v>3278</v>
      </c>
      <c r="E141" s="790" t="str">
        <f>IFERROR(VLOOKUP(D141,Stock,3,FALSE),"")</f>
        <v>Mazda 8 06-16</v>
      </c>
      <c r="F141" s="788">
        <v>1.0</v>
      </c>
      <c r="G141" s="811">
        <v>304800.0</v>
      </c>
      <c r="H141" s="799">
        <f t="shared" si="5"/>
        <v>304800</v>
      </c>
      <c r="I141" s="800"/>
      <c r="J141" s="812"/>
      <c r="K141" s="848" t="s">
        <v>10198</v>
      </c>
      <c r="L141" s="802" t="s">
        <v>10137</v>
      </c>
      <c r="M141" s="806" t="s">
        <v>2763</v>
      </c>
      <c r="N141" s="837">
        <v>45846.0</v>
      </c>
      <c r="O141" s="803"/>
    </row>
    <row r="142" ht="15.0" customHeight="1">
      <c r="A142" s="786">
        <v>45793.0</v>
      </c>
      <c r="B142" s="787">
        <v>2505486.0</v>
      </c>
      <c r="C142" s="788" t="s">
        <v>10136</v>
      </c>
      <c r="D142" s="789" t="s">
        <v>3283</v>
      </c>
      <c r="E142" s="790" t="str">
        <f>IFERROR(VLOOKUP(D142,Stock,3,FALSE),"")</f>
        <v>Nissan X-Trail 13- T32</v>
      </c>
      <c r="F142" s="788">
        <v>1.0</v>
      </c>
      <c r="G142" s="811">
        <v>2601600.0</v>
      </c>
      <c r="H142" s="799">
        <f t="shared" si="5"/>
        <v>2601600</v>
      </c>
      <c r="I142" s="800"/>
      <c r="J142" s="812"/>
      <c r="K142" s="848" t="s">
        <v>10198</v>
      </c>
      <c r="L142" s="802" t="s">
        <v>10137</v>
      </c>
      <c r="M142" s="806" t="s">
        <v>2763</v>
      </c>
      <c r="N142" s="837">
        <v>45846.0</v>
      </c>
      <c r="O142" s="803"/>
    </row>
    <row r="143" ht="15.0" customHeight="1">
      <c r="A143" s="786">
        <v>45794.0</v>
      </c>
      <c r="B143" s="787" t="s">
        <v>10200</v>
      </c>
      <c r="C143" s="788" t="s">
        <v>10139</v>
      </c>
      <c r="D143" s="789" t="s">
        <v>3297</v>
      </c>
      <c r="E143" s="790" t="str">
        <f>IFERROR(VLOOKUP(D143,Stock,3,FALSE),"")</f>
        <v>Ford EcoSport 13- B515</v>
      </c>
      <c r="F143" s="788">
        <v>1.0</v>
      </c>
      <c r="G143" s="811">
        <v>1468125.0</v>
      </c>
      <c r="H143" s="799">
        <f t="shared" si="5"/>
        <v>1468125</v>
      </c>
      <c r="I143" s="800"/>
      <c r="J143" s="812"/>
      <c r="K143" s="848" t="s">
        <v>10198</v>
      </c>
      <c r="L143" s="802" t="s">
        <v>10137</v>
      </c>
      <c r="M143" s="806" t="s">
        <v>2763</v>
      </c>
      <c r="N143" s="837">
        <v>45797.0</v>
      </c>
      <c r="O143" s="803"/>
    </row>
    <row r="144" ht="15.0" customHeight="1">
      <c r="A144" s="834">
        <v>45795.0</v>
      </c>
      <c r="B144" s="603"/>
      <c r="C144" s="822" t="s">
        <v>10154</v>
      </c>
      <c r="D144" s="835" t="s">
        <v>3302</v>
      </c>
      <c r="E144" s="594" t="str">
        <f>IFERROR(VLOOKUP(D144,Stock,3,FALSE),"")</f>
        <v>Nissan Livina 07-18 L10/L11</v>
      </c>
      <c r="F144" s="822">
        <v>1.0</v>
      </c>
      <c r="G144" s="769"/>
      <c r="H144" s="824">
        <f t="shared" si="5"/>
        <v>0</v>
      </c>
      <c r="I144" s="825"/>
      <c r="J144" s="826"/>
      <c r="K144" s="827"/>
      <c r="L144" s="828"/>
    </row>
    <row r="145" ht="15.0" customHeight="1">
      <c r="A145" s="786">
        <v>45795.0</v>
      </c>
      <c r="B145" s="787" t="s">
        <v>10201</v>
      </c>
      <c r="C145" s="788" t="s">
        <v>10139</v>
      </c>
      <c r="D145" s="789" t="s">
        <v>3324</v>
      </c>
      <c r="E145" s="790" t="str">
        <f>IFERROR(VLOOKUP(D145,Stock,3,FALSE),"")</f>
        <v>Nissan X-Trail 01-07 T30</v>
      </c>
      <c r="F145" s="788">
        <v>1.0</v>
      </c>
      <c r="G145" s="811">
        <v>992925.0</v>
      </c>
      <c r="H145" s="799">
        <f t="shared" si="5"/>
        <v>992925</v>
      </c>
      <c r="I145" s="800"/>
      <c r="J145" s="812"/>
      <c r="K145" s="848" t="s">
        <v>3191</v>
      </c>
      <c r="L145" s="802" t="s">
        <v>10137</v>
      </c>
      <c r="M145" s="806" t="s">
        <v>2763</v>
      </c>
      <c r="N145" s="807">
        <v>45797.0</v>
      </c>
      <c r="O145" s="803"/>
    </row>
    <row r="146" ht="15.0" customHeight="1">
      <c r="A146" s="786">
        <v>45795.0</v>
      </c>
      <c r="B146" s="787" t="s">
        <v>10201</v>
      </c>
      <c r="C146" s="788" t="s">
        <v>10139</v>
      </c>
      <c r="D146" s="789" t="s">
        <v>2962</v>
      </c>
      <c r="E146" s="790" t="str">
        <f>IFERROR(VLOOKUP(D146,Stock,3,FALSE),"")</f>
        <v>Lembur</v>
      </c>
      <c r="F146" s="788">
        <v>1.0</v>
      </c>
      <c r="G146" s="811">
        <v>100000.0</v>
      </c>
      <c r="H146" s="799">
        <f t="shared" si="5"/>
        <v>100000</v>
      </c>
      <c r="I146" s="800"/>
      <c r="J146" s="812"/>
      <c r="K146" s="848" t="s">
        <v>3191</v>
      </c>
      <c r="L146" s="802" t="s">
        <v>10137</v>
      </c>
      <c r="M146" s="806" t="s">
        <v>2763</v>
      </c>
      <c r="N146" s="807">
        <v>45797.0</v>
      </c>
      <c r="O146" s="803"/>
    </row>
    <row r="147" ht="15.0" customHeight="1">
      <c r="A147" s="786">
        <v>45796.0</v>
      </c>
      <c r="B147" s="787" t="s">
        <v>10202</v>
      </c>
      <c r="C147" s="788" t="s">
        <v>10139</v>
      </c>
      <c r="D147" s="789" t="s">
        <v>3306</v>
      </c>
      <c r="E147" s="790" t="str">
        <f>IFERROR(VLOOKUP(D147,Stock,3,FALSE),"")</f>
        <v>Toyota Sienta 15-</v>
      </c>
      <c r="F147" s="788">
        <v>1.0</v>
      </c>
      <c r="G147" s="811">
        <v>345000.0</v>
      </c>
      <c r="H147" s="799">
        <f t="shared" si="5"/>
        <v>345000</v>
      </c>
      <c r="I147" s="800"/>
      <c r="J147" s="812"/>
      <c r="K147" s="848" t="s">
        <v>3191</v>
      </c>
      <c r="L147" s="802" t="s">
        <v>10137</v>
      </c>
      <c r="M147" s="806" t="s">
        <v>2763</v>
      </c>
      <c r="N147" s="807">
        <v>45797.0</v>
      </c>
      <c r="O147" s="803"/>
    </row>
    <row r="148" ht="15.0" customHeight="1">
      <c r="A148" s="786">
        <v>45796.0</v>
      </c>
      <c r="B148" s="787" t="s">
        <v>10202</v>
      </c>
      <c r="C148" s="788" t="s">
        <v>10139</v>
      </c>
      <c r="D148" s="789" t="s">
        <v>3329</v>
      </c>
      <c r="E148" s="790" t="str">
        <f>IFERROR(VLOOKUP(D148,Stock,3,FALSE),"")</f>
        <v>Toyota Avanza / Xenia 21- 4th Gen</v>
      </c>
      <c r="F148" s="788">
        <v>1.0</v>
      </c>
      <c r="G148" s="811">
        <v>230000.0</v>
      </c>
      <c r="H148" s="799">
        <f t="shared" si="5"/>
        <v>230000</v>
      </c>
      <c r="I148" s="800"/>
      <c r="J148" s="812"/>
      <c r="K148" s="848" t="s">
        <v>3191</v>
      </c>
      <c r="L148" s="802" t="s">
        <v>10137</v>
      </c>
      <c r="M148" s="806" t="s">
        <v>2763</v>
      </c>
      <c r="N148" s="807">
        <v>45797.0</v>
      </c>
      <c r="O148" s="803"/>
    </row>
    <row r="149" ht="15.0" customHeight="1">
      <c r="A149" s="786">
        <v>45797.0</v>
      </c>
      <c r="B149" s="787">
        <v>2505593.0</v>
      </c>
      <c r="C149" s="788" t="s">
        <v>10136</v>
      </c>
      <c r="D149" s="789" t="s">
        <v>2869</v>
      </c>
      <c r="E149" s="790" t="str">
        <f>IFERROR(VLOOKUP(D149,Stock,3,FALSE),"")</f>
        <v>Daihatsu Gran Max / Luxio 07-</v>
      </c>
      <c r="F149" s="788">
        <v>2.0</v>
      </c>
      <c r="G149" s="811">
        <v>513000.0</v>
      </c>
      <c r="H149" s="799">
        <f t="shared" si="5"/>
        <v>1026000</v>
      </c>
      <c r="I149" s="800"/>
      <c r="J149" s="812"/>
      <c r="K149" s="848" t="s">
        <v>3191</v>
      </c>
      <c r="L149" s="802" t="s">
        <v>10137</v>
      </c>
      <c r="M149" s="806" t="s">
        <v>2763</v>
      </c>
      <c r="N149" s="837">
        <v>45846.0</v>
      </c>
      <c r="O149" s="803"/>
    </row>
    <row r="150" ht="15.0" customHeight="1">
      <c r="A150" s="786">
        <v>45797.0</v>
      </c>
      <c r="B150" s="787">
        <v>2505602.0</v>
      </c>
      <c r="C150" s="788" t="s">
        <v>10136</v>
      </c>
      <c r="D150" s="789" t="s">
        <v>3073</v>
      </c>
      <c r="E150" s="790" t="str">
        <f>IFERROR(VLOOKUP(D150,Stock,3,FALSE),"")</f>
        <v>Toyota Innova 15- 2nd Gen</v>
      </c>
      <c r="F150" s="788">
        <v>1.0</v>
      </c>
      <c r="G150" s="811">
        <v>581400.0</v>
      </c>
      <c r="H150" s="799">
        <f t="shared" si="5"/>
        <v>581400</v>
      </c>
      <c r="I150" s="800"/>
      <c r="J150" s="812"/>
      <c r="K150" s="848" t="s">
        <v>3191</v>
      </c>
      <c r="L150" s="802" t="s">
        <v>10137</v>
      </c>
      <c r="M150" s="806" t="s">
        <v>2763</v>
      </c>
      <c r="N150" s="837">
        <v>45853.0</v>
      </c>
      <c r="O150" s="803"/>
    </row>
    <row r="151" ht="15.0" customHeight="1">
      <c r="A151" s="786">
        <v>45797.0</v>
      </c>
      <c r="B151" s="787">
        <v>2505602.0</v>
      </c>
      <c r="C151" s="788" t="s">
        <v>10136</v>
      </c>
      <c r="D151" s="789" t="s">
        <v>3318</v>
      </c>
      <c r="E151" s="790" t="str">
        <f>IFERROR(VLOOKUP(D151,Stock,3,FALSE),"")</f>
        <v>Suzuki Swift 11-17 2nd Gen</v>
      </c>
      <c r="F151" s="788">
        <v>1.0</v>
      </c>
      <c r="G151" s="811">
        <v>777600.0</v>
      </c>
      <c r="H151" s="799">
        <f t="shared" si="5"/>
        <v>777600</v>
      </c>
      <c r="I151" s="800"/>
      <c r="J151" s="812"/>
      <c r="K151" s="848" t="s">
        <v>3191</v>
      </c>
      <c r="L151" s="802" t="s">
        <v>10137</v>
      </c>
      <c r="M151" s="806" t="s">
        <v>2763</v>
      </c>
      <c r="N151" s="837">
        <v>45853.0</v>
      </c>
      <c r="O151" s="803"/>
    </row>
    <row r="152" ht="15.0" customHeight="1">
      <c r="A152" s="786">
        <v>45798.0</v>
      </c>
      <c r="B152" s="787" t="s">
        <v>10203</v>
      </c>
      <c r="C152" s="788" t="s">
        <v>10148</v>
      </c>
      <c r="D152" s="789" t="s">
        <v>3338</v>
      </c>
      <c r="E152" s="790" t="str">
        <f>IFERROR(VLOOKUP(D152,Stock,3,FALSE),"")</f>
        <v>Toyota Innova 15-22 2nd Gen (Toyota)</v>
      </c>
      <c r="F152" s="788">
        <v>1.0</v>
      </c>
      <c r="G152" s="811"/>
      <c r="H152" s="799">
        <f t="shared" si="5"/>
        <v>0</v>
      </c>
      <c r="I152" s="800"/>
      <c r="J152" s="812"/>
      <c r="K152" s="813"/>
      <c r="L152" s="805"/>
      <c r="M152" s="803"/>
      <c r="N152" s="803"/>
      <c r="O152" s="803"/>
    </row>
    <row r="153" ht="15.0" customHeight="1">
      <c r="A153" s="786">
        <v>45798.0</v>
      </c>
      <c r="B153" s="787">
        <v>2505631.0</v>
      </c>
      <c r="C153" s="788" t="s">
        <v>10136</v>
      </c>
      <c r="D153" s="789" t="s">
        <v>2944</v>
      </c>
      <c r="E153" s="790" t="str">
        <f>IFERROR(VLOOKUP(D153,Stock,3,FALSE),"")</f>
        <v>Toyota Innova 04-15 1st Gen</v>
      </c>
      <c r="F153" s="788">
        <v>1.0</v>
      </c>
      <c r="G153" s="811">
        <v>669600.0</v>
      </c>
      <c r="H153" s="799">
        <f t="shared" si="5"/>
        <v>669600</v>
      </c>
      <c r="I153" s="800"/>
      <c r="J153" s="812"/>
      <c r="K153" s="848" t="s">
        <v>3191</v>
      </c>
      <c r="L153" s="802" t="s">
        <v>10137</v>
      </c>
      <c r="M153" s="806" t="s">
        <v>2763</v>
      </c>
      <c r="N153" s="837">
        <v>45846.0</v>
      </c>
      <c r="O153" s="803"/>
    </row>
    <row r="154" ht="15.0" customHeight="1">
      <c r="A154" s="786">
        <v>45798.0</v>
      </c>
      <c r="B154" s="787">
        <v>2505631.0</v>
      </c>
      <c r="C154" s="788" t="s">
        <v>10136</v>
      </c>
      <c r="D154" s="789" t="s">
        <v>3333</v>
      </c>
      <c r="E154" s="790" t="str">
        <f>IFERROR(VLOOKUP(D154,Stock,3,FALSE),"")</f>
        <v>Toyota Alphard 18- ANH30 3rd Gen (Sensor bwh keramik)</v>
      </c>
      <c r="F154" s="788">
        <v>1.0</v>
      </c>
      <c r="G154" s="811">
        <v>2016600.0</v>
      </c>
      <c r="H154" s="799">
        <f t="shared" si="5"/>
        <v>2016600</v>
      </c>
      <c r="I154" s="800"/>
      <c r="J154" s="812"/>
      <c r="K154" s="848" t="s">
        <v>3191</v>
      </c>
      <c r="L154" s="802" t="s">
        <v>10137</v>
      </c>
      <c r="M154" s="806" t="s">
        <v>2763</v>
      </c>
      <c r="N154" s="837">
        <v>45846.0</v>
      </c>
      <c r="O154" s="803"/>
    </row>
    <row r="155" ht="15.0" customHeight="1">
      <c r="A155" s="786">
        <v>45798.0</v>
      </c>
      <c r="B155" s="787">
        <v>2505631.0</v>
      </c>
      <c r="C155" s="788" t="s">
        <v>10136</v>
      </c>
      <c r="D155" s="789" t="s">
        <v>3343</v>
      </c>
      <c r="E155" s="790" t="str">
        <f>IFERROR(VLOOKUP(D155,Stock,3,FALSE),"")</f>
        <v>Toyota NAV1/Noah 07-17</v>
      </c>
      <c r="F155" s="788">
        <v>1.0</v>
      </c>
      <c r="G155" s="811">
        <v>1613400.0</v>
      </c>
      <c r="H155" s="799">
        <f t="shared" si="5"/>
        <v>1613400</v>
      </c>
      <c r="I155" s="800"/>
      <c r="J155" s="812"/>
      <c r="K155" s="848" t="s">
        <v>3191</v>
      </c>
      <c r="L155" s="802" t="s">
        <v>10137</v>
      </c>
      <c r="M155" s="806" t="s">
        <v>2763</v>
      </c>
      <c r="N155" s="837">
        <v>45846.0</v>
      </c>
      <c r="O155" s="803"/>
    </row>
    <row r="156" ht="15.0" customHeight="1">
      <c r="A156" s="786">
        <v>45799.0</v>
      </c>
      <c r="B156" s="787">
        <v>2505746.0</v>
      </c>
      <c r="C156" s="788" t="s">
        <v>10136</v>
      </c>
      <c r="D156" s="789" t="s">
        <v>3348</v>
      </c>
      <c r="E156" s="790" t="str">
        <f>IFERROR(VLOOKUP(D156,Stock,3,FALSE),"")</f>
        <v>Ford Fiesta 09-17</v>
      </c>
      <c r="F156" s="788">
        <v>1.0</v>
      </c>
      <c r="G156" s="811">
        <v>781200.0</v>
      </c>
      <c r="H156" s="799">
        <f t="shared" si="5"/>
        <v>781200</v>
      </c>
      <c r="I156" s="800"/>
      <c r="J156" s="812"/>
      <c r="K156" s="848" t="s">
        <v>10198</v>
      </c>
      <c r="L156" s="802" t="s">
        <v>10137</v>
      </c>
      <c r="M156" s="806" t="s">
        <v>2763</v>
      </c>
      <c r="N156" s="837">
        <v>45853.0</v>
      </c>
      <c r="O156" s="803"/>
    </row>
    <row r="157" ht="15.0" customHeight="1">
      <c r="A157" s="786">
        <v>45800.0</v>
      </c>
      <c r="B157" s="787" t="s">
        <v>10204</v>
      </c>
      <c r="C157" s="788" t="s">
        <v>10139</v>
      </c>
      <c r="D157" s="789" t="s">
        <v>3358</v>
      </c>
      <c r="E157" s="790" t="str">
        <f>IFERROR(VLOOKUP(D157,Stock,3,FALSE),"")</f>
        <v>Toyota Avanza / Xenia 11-15 2nd Gen / 15-21 3rd Gen</v>
      </c>
      <c r="F157" s="788">
        <v>1.0</v>
      </c>
      <c r="G157" s="811">
        <v>404325.0</v>
      </c>
      <c r="H157" s="799">
        <f t="shared" si="5"/>
        <v>404325</v>
      </c>
      <c r="I157" s="800"/>
      <c r="J157" s="812"/>
      <c r="K157" s="848" t="s">
        <v>10198</v>
      </c>
      <c r="L157" s="802" t="s">
        <v>10137</v>
      </c>
      <c r="M157" s="806" t="s">
        <v>2763</v>
      </c>
      <c r="N157" s="837">
        <v>45800.0</v>
      </c>
      <c r="O157" s="803"/>
    </row>
    <row r="158" ht="15.0" customHeight="1">
      <c r="A158" s="786">
        <v>45803.0</v>
      </c>
      <c r="B158" s="787">
        <v>2505827.0</v>
      </c>
      <c r="C158" s="788" t="s">
        <v>10136</v>
      </c>
      <c r="D158" s="789" t="s">
        <v>3234</v>
      </c>
      <c r="E158" s="790" t="str">
        <f>IFERROR(VLOOKUP(D158,Stock,3,FALSE),"")</f>
        <v>Toyota Avanza / Xenia 21- 4th Gen (Non sensor)</v>
      </c>
      <c r="F158" s="788">
        <v>1.0</v>
      </c>
      <c r="G158" s="811">
        <v>714000.0</v>
      </c>
      <c r="H158" s="799">
        <f t="shared" si="5"/>
        <v>714000</v>
      </c>
      <c r="I158" s="800"/>
      <c r="J158" s="812"/>
      <c r="K158" s="848" t="s">
        <v>10198</v>
      </c>
      <c r="L158" s="802" t="s">
        <v>10137</v>
      </c>
      <c r="M158" s="833" t="s">
        <v>10205</v>
      </c>
      <c r="N158" s="849">
        <v>45846.0</v>
      </c>
      <c r="O158" s="803"/>
    </row>
    <row r="159" ht="15.0" customHeight="1">
      <c r="A159" s="786">
        <v>45803.0</v>
      </c>
      <c r="B159" s="787" t="s">
        <v>10206</v>
      </c>
      <c r="C159" s="788" t="s">
        <v>10139</v>
      </c>
      <c r="D159" s="789" t="s">
        <v>3358</v>
      </c>
      <c r="E159" s="790" t="str">
        <f>IFERROR(VLOOKUP(D159,Stock,3,FALSE),"")</f>
        <v>Toyota Avanza / Xenia 11-15 2nd Gen / 15-21 3rd Gen</v>
      </c>
      <c r="F159" s="788">
        <v>1.0</v>
      </c>
      <c r="G159" s="811">
        <v>404325.0</v>
      </c>
      <c r="H159" s="799">
        <f t="shared" si="5"/>
        <v>404325</v>
      </c>
      <c r="I159" s="800"/>
      <c r="J159" s="812"/>
      <c r="K159" s="848" t="s">
        <v>3191</v>
      </c>
      <c r="L159" s="802" t="s">
        <v>10137</v>
      </c>
      <c r="M159" s="806" t="s">
        <v>2763</v>
      </c>
      <c r="N159" s="837">
        <v>45813.0</v>
      </c>
      <c r="O159" s="803"/>
    </row>
    <row r="160" ht="15.0" customHeight="1">
      <c r="A160" s="786">
        <v>45743.0</v>
      </c>
      <c r="B160" s="787">
        <v>2503835.0</v>
      </c>
      <c r="C160" s="788" t="s">
        <v>10136</v>
      </c>
      <c r="D160" s="789" t="s">
        <v>3009</v>
      </c>
      <c r="E160" s="790" t="str">
        <f>IFERROR(VLOOKUP(D160,Stock,3,FALSE),"")</f>
        <v>Honda Mobilio 14-</v>
      </c>
      <c r="F160" s="788">
        <v>1.0</v>
      </c>
      <c r="G160" s="811">
        <v>630700.0</v>
      </c>
      <c r="H160" s="799">
        <f t="shared" si="5"/>
        <v>630700</v>
      </c>
      <c r="I160" s="800"/>
      <c r="J160" s="812"/>
      <c r="K160" s="848" t="s">
        <v>3191</v>
      </c>
      <c r="L160" s="802" t="s">
        <v>10137</v>
      </c>
      <c r="M160" s="806" t="s">
        <v>2763</v>
      </c>
      <c r="N160" s="807">
        <v>45797.0</v>
      </c>
      <c r="O160" s="803"/>
    </row>
    <row r="161" ht="15.0" customHeight="1">
      <c r="A161" s="786">
        <v>45743.0</v>
      </c>
      <c r="B161" s="787">
        <v>2503835.0</v>
      </c>
      <c r="C161" s="788" t="s">
        <v>10136</v>
      </c>
      <c r="D161" s="789" t="s">
        <v>2952</v>
      </c>
      <c r="E161" s="790" t="str">
        <f>IFERROR(VLOOKUP(D161,Stock,3,FALSE),"")</f>
        <v/>
      </c>
      <c r="F161" s="788">
        <v>1.0</v>
      </c>
      <c r="G161" s="811">
        <v>530600.0</v>
      </c>
      <c r="H161" s="799">
        <f t="shared" si="5"/>
        <v>530600</v>
      </c>
      <c r="I161" s="800"/>
      <c r="J161" s="812"/>
      <c r="K161" s="848" t="s">
        <v>3191</v>
      </c>
      <c r="L161" s="802" t="s">
        <v>10137</v>
      </c>
      <c r="M161" s="806" t="s">
        <v>2763</v>
      </c>
      <c r="N161" s="807">
        <v>45797.0</v>
      </c>
      <c r="O161" s="803"/>
    </row>
    <row r="162" ht="15.0" customHeight="1">
      <c r="A162" s="786">
        <v>45804.0</v>
      </c>
      <c r="B162" s="787">
        <v>2505876.0</v>
      </c>
      <c r="C162" s="788" t="s">
        <v>10136</v>
      </c>
      <c r="D162" s="789" t="s">
        <v>3378</v>
      </c>
      <c r="E162" s="790" t="str">
        <f>IFERROR(VLOOKUP(D162,Stock,3,FALSE),"")</f>
        <v>Suzuki APV 03- Pickup/ Van</v>
      </c>
      <c r="F162" s="788">
        <v>1.0</v>
      </c>
      <c r="G162" s="811">
        <v>536400.0</v>
      </c>
      <c r="H162" s="799">
        <f t="shared" si="5"/>
        <v>536400</v>
      </c>
      <c r="I162" s="800"/>
      <c r="J162" s="812"/>
      <c r="K162" s="848" t="s">
        <v>3191</v>
      </c>
      <c r="L162" s="802" t="s">
        <v>10137</v>
      </c>
      <c r="M162" s="806" t="s">
        <v>2763</v>
      </c>
      <c r="N162" s="837">
        <v>45853.0</v>
      </c>
      <c r="O162" s="803"/>
    </row>
    <row r="163" ht="15.0" customHeight="1">
      <c r="A163" s="786">
        <v>45805.0</v>
      </c>
      <c r="B163" s="787">
        <v>2505922.0</v>
      </c>
      <c r="C163" s="788" t="s">
        <v>10136</v>
      </c>
      <c r="D163" s="789" t="s">
        <v>3382</v>
      </c>
      <c r="E163" s="790" t="str">
        <f>IFERROR(VLOOKUP(D163,Stock,3,FALSE),"")</f>
        <v>Mitsubishi Outlander 10-21 GA3</v>
      </c>
      <c r="F163" s="788">
        <v>1.0</v>
      </c>
      <c r="G163" s="811">
        <v>654600.0</v>
      </c>
      <c r="H163" s="799">
        <f t="shared" si="5"/>
        <v>654600</v>
      </c>
      <c r="I163" s="800"/>
      <c r="J163" s="812"/>
      <c r="K163" s="848" t="s">
        <v>10198</v>
      </c>
      <c r="L163" s="802" t="s">
        <v>10137</v>
      </c>
      <c r="M163" s="806" t="s">
        <v>2763</v>
      </c>
      <c r="N163" s="837">
        <v>45853.0</v>
      </c>
      <c r="O163" s="803"/>
    </row>
    <row r="164" ht="15.0" customHeight="1">
      <c r="A164" s="786">
        <v>45805.0</v>
      </c>
      <c r="B164" s="787">
        <v>2505922.0</v>
      </c>
      <c r="C164" s="788" t="s">
        <v>10136</v>
      </c>
      <c r="D164" s="789" t="s">
        <v>2944</v>
      </c>
      <c r="E164" s="790" t="str">
        <f>IFERROR(VLOOKUP(D164,Stock,3,FALSE),"")</f>
        <v>Toyota Innova 04-15 1st Gen</v>
      </c>
      <c r="F164" s="788">
        <v>1.0</v>
      </c>
      <c r="G164" s="811">
        <v>669600.0</v>
      </c>
      <c r="H164" s="799">
        <f t="shared" si="5"/>
        <v>669600</v>
      </c>
      <c r="I164" s="800"/>
      <c r="J164" s="812"/>
      <c r="K164" s="848" t="s">
        <v>10198</v>
      </c>
      <c r="L164" s="802" t="s">
        <v>10137</v>
      </c>
      <c r="M164" s="806" t="s">
        <v>2763</v>
      </c>
      <c r="N164" s="837">
        <v>45853.0</v>
      </c>
      <c r="O164" s="803"/>
    </row>
    <row r="165" ht="15.0" customHeight="1">
      <c r="A165" s="786">
        <v>45807.0</v>
      </c>
      <c r="B165" s="787">
        <v>2505969.0</v>
      </c>
      <c r="C165" s="788" t="s">
        <v>10136</v>
      </c>
      <c r="D165" s="789" t="s">
        <v>3391</v>
      </c>
      <c r="E165" s="790" t="str">
        <f>IFERROR(VLOOKUP(D165,Stock,3,FALSE),"")</f>
        <v>Mers-Benz S-Class 13-20 W222 4D</v>
      </c>
      <c r="F165" s="788">
        <v>1.0</v>
      </c>
      <c r="G165" s="811">
        <v>6180000.0</v>
      </c>
      <c r="H165" s="799">
        <f t="shared" si="5"/>
        <v>6180000</v>
      </c>
      <c r="I165" s="800"/>
      <c r="J165" s="812"/>
      <c r="K165" s="848" t="s">
        <v>3191</v>
      </c>
      <c r="L165" s="802" t="s">
        <v>10137</v>
      </c>
      <c r="M165" s="806" t="s">
        <v>2763</v>
      </c>
      <c r="N165" s="837">
        <v>45853.0</v>
      </c>
      <c r="O165" s="803"/>
    </row>
    <row r="166" ht="15.0" customHeight="1">
      <c r="A166" s="786">
        <v>45803.0</v>
      </c>
      <c r="B166" s="787" t="s">
        <v>10207</v>
      </c>
      <c r="C166" s="788" t="s">
        <v>10148</v>
      </c>
      <c r="D166" s="789" t="s">
        <v>3414</v>
      </c>
      <c r="E166" s="790" t="str">
        <f>IFERROR(VLOOKUP(D166,Stock,3,FALSE),"")</f>
        <v>Honda Mobilio 11-</v>
      </c>
      <c r="F166" s="788">
        <v>1.0</v>
      </c>
      <c r="G166" s="811">
        <v>0.0</v>
      </c>
      <c r="H166" s="799">
        <f t="shared" si="5"/>
        <v>0</v>
      </c>
      <c r="I166" s="800"/>
      <c r="J166" s="812"/>
      <c r="K166" s="848" t="s">
        <v>3191</v>
      </c>
      <c r="L166" s="805"/>
      <c r="M166" s="803"/>
      <c r="N166" s="803"/>
      <c r="O166" s="803"/>
    </row>
    <row r="167" ht="15.0" customHeight="1">
      <c r="A167" s="786">
        <v>45834.0</v>
      </c>
      <c r="B167" s="787" t="s">
        <v>10208</v>
      </c>
      <c r="C167" s="788" t="s">
        <v>10148</v>
      </c>
      <c r="D167" s="789" t="s">
        <v>7214</v>
      </c>
      <c r="E167" s="790" t="str">
        <f>IFERROR(VLOOKUP(D167,Stock,3,FALSE),"")</f>
        <v>Toyota Alphard 08-15 ANH20 2nd Gen</v>
      </c>
      <c r="F167" s="788">
        <v>1.0</v>
      </c>
      <c r="G167" s="811">
        <v>0.0</v>
      </c>
      <c r="H167" s="799">
        <f t="shared" si="5"/>
        <v>0</v>
      </c>
      <c r="I167" s="800"/>
      <c r="J167" s="812"/>
      <c r="K167" s="848" t="s">
        <v>3191</v>
      </c>
      <c r="L167" s="802" t="s">
        <v>10137</v>
      </c>
      <c r="M167" s="803"/>
      <c r="N167" s="803"/>
      <c r="O167" s="803"/>
    </row>
    <row r="168" ht="15.0" customHeight="1">
      <c r="A168" s="786">
        <v>45810.0</v>
      </c>
      <c r="B168" s="787" t="s">
        <v>10209</v>
      </c>
      <c r="C168" s="788" t="s">
        <v>10148</v>
      </c>
      <c r="D168" s="789" t="s">
        <v>3354</v>
      </c>
      <c r="E168" s="790" t="str">
        <f>IFERROR(VLOOKUP(D168,Stock,3,FALSE),"")</f>
        <v>Honda Brio 10- / Mobilio 11- (Honda)</v>
      </c>
      <c r="F168" s="788">
        <v>1.0</v>
      </c>
      <c r="G168" s="811">
        <v>0.0</v>
      </c>
      <c r="H168" s="799">
        <f t="shared" si="5"/>
        <v>0</v>
      </c>
      <c r="I168" s="800"/>
      <c r="J168" s="812"/>
      <c r="K168" s="848" t="s">
        <v>10198</v>
      </c>
      <c r="L168" s="802" t="s">
        <v>10137</v>
      </c>
      <c r="M168" s="803"/>
      <c r="N168" s="803"/>
      <c r="O168" s="803"/>
    </row>
    <row r="169" ht="15.0" customHeight="1">
      <c r="A169" s="786">
        <v>45810.0</v>
      </c>
      <c r="B169" s="787" t="s">
        <v>10210</v>
      </c>
      <c r="C169" s="788" t="s">
        <v>10148</v>
      </c>
      <c r="D169" s="789" t="s">
        <v>3424</v>
      </c>
      <c r="E169" s="790" t="str">
        <f>IFERROR(VLOOKUP(D169,Stock,3,FALSE),"")</f>
        <v>Mitsubishi Xpander 22-  (Mitsubishi)</v>
      </c>
      <c r="F169" s="788">
        <v>1.0</v>
      </c>
      <c r="G169" s="811">
        <v>0.0</v>
      </c>
      <c r="H169" s="799">
        <f t="shared" si="5"/>
        <v>0</v>
      </c>
      <c r="I169" s="800"/>
      <c r="J169" s="812"/>
      <c r="K169" s="848" t="s">
        <v>10198</v>
      </c>
      <c r="L169" s="802" t="s">
        <v>10137</v>
      </c>
      <c r="M169" s="803"/>
      <c r="N169" s="803"/>
      <c r="O169" s="803"/>
    </row>
    <row r="170" ht="15.0" customHeight="1">
      <c r="A170" s="786">
        <v>45810.0</v>
      </c>
      <c r="B170" s="787" t="s">
        <v>10211</v>
      </c>
      <c r="C170" s="788" t="s">
        <v>10139</v>
      </c>
      <c r="D170" s="789" t="s">
        <v>3439</v>
      </c>
      <c r="E170" s="790" t="str">
        <f>IFERROR(VLOOKUP(D170,Stock,3,FALSE),"")</f>
        <v>Toyota LandCruiser 90-97 FJ80</v>
      </c>
      <c r="F170" s="788">
        <v>1.0</v>
      </c>
      <c r="G170" s="811">
        <v>489375.0</v>
      </c>
      <c r="H170" s="799">
        <f t="shared" si="5"/>
        <v>489375</v>
      </c>
      <c r="I170" s="800"/>
      <c r="J170" s="812"/>
      <c r="K170" s="848" t="s">
        <v>10198</v>
      </c>
      <c r="L170" s="802" t="s">
        <v>10137</v>
      </c>
      <c r="M170" s="806" t="s">
        <v>2763</v>
      </c>
      <c r="N170" s="837">
        <v>45811.0</v>
      </c>
      <c r="O170" s="803"/>
    </row>
    <row r="171" ht="15.0" customHeight="1">
      <c r="A171" s="786">
        <v>45810.0</v>
      </c>
      <c r="B171" s="787" t="s">
        <v>10211</v>
      </c>
      <c r="C171" s="788" t="s">
        <v>10139</v>
      </c>
      <c r="D171" s="789" t="s">
        <v>10212</v>
      </c>
      <c r="E171" s="790" t="str">
        <f>IFERROR(VLOOKUP(D171,Stock,3,FALSE),"")</f>
        <v/>
      </c>
      <c r="F171" s="788">
        <v>1.0</v>
      </c>
      <c r="G171" s="811">
        <v>15000.0</v>
      </c>
      <c r="H171" s="799">
        <f t="shared" si="5"/>
        <v>15000</v>
      </c>
      <c r="I171" s="800"/>
      <c r="J171" s="812"/>
      <c r="K171" s="848" t="s">
        <v>10198</v>
      </c>
      <c r="L171" s="802" t="s">
        <v>10137</v>
      </c>
      <c r="M171" s="806" t="s">
        <v>2763</v>
      </c>
      <c r="N171" s="837">
        <v>45811.0</v>
      </c>
      <c r="O171" s="803"/>
    </row>
    <row r="172" ht="15.0" customHeight="1">
      <c r="A172" s="786">
        <v>45810.0</v>
      </c>
      <c r="B172" s="787" t="s">
        <v>10211</v>
      </c>
      <c r="C172" s="788" t="s">
        <v>10139</v>
      </c>
      <c r="D172" s="789" t="s">
        <v>2770</v>
      </c>
      <c r="E172" s="790" t="str">
        <f>IFERROR(VLOOKUP(D172,Stock,3,FALSE),"")</f>
        <v>Transport</v>
      </c>
      <c r="F172" s="788">
        <v>1.0</v>
      </c>
      <c r="G172" s="811">
        <v>100000.0</v>
      </c>
      <c r="H172" s="799">
        <f t="shared" si="5"/>
        <v>100000</v>
      </c>
      <c r="I172" s="800"/>
      <c r="J172" s="812"/>
      <c r="K172" s="848" t="s">
        <v>10198</v>
      </c>
      <c r="L172" s="802" t="s">
        <v>10137</v>
      </c>
      <c r="M172" s="806" t="s">
        <v>2763</v>
      </c>
      <c r="N172" s="837">
        <v>45811.0</v>
      </c>
      <c r="O172" s="803"/>
    </row>
    <row r="173" ht="15.0" customHeight="1">
      <c r="A173" s="786">
        <v>45808.0</v>
      </c>
      <c r="B173" s="787" t="s">
        <v>10213</v>
      </c>
      <c r="C173" s="788" t="s">
        <v>10139</v>
      </c>
      <c r="D173" s="789" t="s">
        <v>3220</v>
      </c>
      <c r="E173" s="790" t="str">
        <f>IFERROR(VLOOKUP(D173,Stock,3,FALSE),"")</f>
        <v>BMW 3 Series 12-18 F30/F35 (1 Sensor / O )</v>
      </c>
      <c r="F173" s="788">
        <v>1.0</v>
      </c>
      <c r="G173" s="811">
        <v>2836350.0</v>
      </c>
      <c r="H173" s="799">
        <f t="shared" si="5"/>
        <v>2836350</v>
      </c>
      <c r="I173" s="800"/>
      <c r="J173" s="812"/>
      <c r="K173" s="848" t="s">
        <v>10198</v>
      </c>
      <c r="L173" s="802" t="s">
        <v>10137</v>
      </c>
      <c r="M173" s="806" t="s">
        <v>2763</v>
      </c>
      <c r="N173" s="837">
        <v>45811.0</v>
      </c>
      <c r="O173" s="803"/>
    </row>
    <row r="174" ht="15.0" customHeight="1">
      <c r="A174" s="786">
        <v>45810.0</v>
      </c>
      <c r="B174" s="787">
        <v>2506033.0</v>
      </c>
      <c r="C174" s="788" t="s">
        <v>10136</v>
      </c>
      <c r="D174" s="789" t="s">
        <v>3246</v>
      </c>
      <c r="E174" s="790" t="str">
        <f>IFERROR(VLOOKUP(D174,Stock,3,FALSE),"")</f>
        <v>Toyota Calya / Sigra 16-</v>
      </c>
      <c r="F174" s="788">
        <v>2.0</v>
      </c>
      <c r="G174" s="811">
        <v>551400.0</v>
      </c>
      <c r="H174" s="799">
        <f t="shared" si="5"/>
        <v>1102800</v>
      </c>
      <c r="I174" s="800"/>
      <c r="J174" s="812"/>
      <c r="K174" s="848" t="s">
        <v>10198</v>
      </c>
      <c r="L174" s="802" t="s">
        <v>10137</v>
      </c>
      <c r="M174" s="833" t="s">
        <v>2763</v>
      </c>
      <c r="N174" s="849">
        <v>45873.0</v>
      </c>
      <c r="O174" s="803"/>
    </row>
    <row r="175" ht="15.0" customHeight="1">
      <c r="A175" s="786">
        <v>45810.0</v>
      </c>
      <c r="B175" s="787">
        <v>2506033.0</v>
      </c>
      <c r="C175" s="788" t="s">
        <v>10136</v>
      </c>
      <c r="D175" s="789" t="s">
        <v>3400</v>
      </c>
      <c r="E175" s="790" t="str">
        <f>IFERROR(VLOOKUP(D175,Stock,3,FALSE),"")</f>
        <v>Mers-Benz B-Class 11-17 W246</v>
      </c>
      <c r="F175" s="788">
        <v>1.0</v>
      </c>
      <c r="G175" s="811">
        <v>3325800.0</v>
      </c>
      <c r="H175" s="799">
        <f t="shared" si="5"/>
        <v>3325800</v>
      </c>
      <c r="I175" s="800"/>
      <c r="J175" s="812"/>
      <c r="K175" s="848" t="s">
        <v>10198</v>
      </c>
      <c r="L175" s="802" t="s">
        <v>10137</v>
      </c>
      <c r="M175" s="833" t="s">
        <v>2763</v>
      </c>
      <c r="N175" s="849">
        <v>45873.0</v>
      </c>
      <c r="O175" s="803"/>
    </row>
    <row r="176" ht="15.0" customHeight="1">
      <c r="A176" s="786">
        <v>45810.0</v>
      </c>
      <c r="B176" s="787">
        <v>2506033.0</v>
      </c>
      <c r="C176" s="788" t="s">
        <v>10136</v>
      </c>
      <c r="D176" s="789" t="s">
        <v>2995</v>
      </c>
      <c r="E176" s="790" t="str">
        <f>IFERROR(VLOOKUP(D176,Stock,3,FALSE),"")</f>
        <v>Honda CR-V 02-04 2nd Gen (Spion Jepit)</v>
      </c>
      <c r="F176" s="788">
        <v>1.0</v>
      </c>
      <c r="G176" s="811">
        <v>889200.0</v>
      </c>
      <c r="H176" s="799">
        <f t="shared" si="5"/>
        <v>889200</v>
      </c>
      <c r="I176" s="800"/>
      <c r="J176" s="812"/>
      <c r="K176" s="848" t="s">
        <v>10198</v>
      </c>
      <c r="L176" s="802" t="s">
        <v>10137</v>
      </c>
      <c r="M176" s="833" t="s">
        <v>2763</v>
      </c>
      <c r="N176" s="849">
        <v>45873.0</v>
      </c>
      <c r="O176" s="803"/>
    </row>
    <row r="177" ht="15.0" customHeight="1">
      <c r="A177" s="786">
        <v>45810.0</v>
      </c>
      <c r="B177" s="787">
        <v>2506093.0</v>
      </c>
      <c r="C177" s="788" t="s">
        <v>10136</v>
      </c>
      <c r="D177" s="789" t="s">
        <v>2869</v>
      </c>
      <c r="E177" s="790" t="str">
        <f>IFERROR(VLOOKUP(D177,Stock,3,FALSE),"")</f>
        <v>Daihatsu Gran Max / Luxio 07-</v>
      </c>
      <c r="F177" s="788">
        <v>3.0</v>
      </c>
      <c r="G177" s="811">
        <v>513000.0</v>
      </c>
      <c r="H177" s="799">
        <f t="shared" si="5"/>
        <v>1539000</v>
      </c>
      <c r="I177" s="800"/>
      <c r="J177" s="812"/>
      <c r="K177" s="848" t="s">
        <v>10198</v>
      </c>
      <c r="L177" s="802" t="s">
        <v>10137</v>
      </c>
      <c r="M177" s="833" t="s">
        <v>2763</v>
      </c>
      <c r="N177" s="849">
        <v>45873.0</v>
      </c>
      <c r="O177" s="803"/>
    </row>
    <row r="178" ht="15.0" customHeight="1">
      <c r="A178" s="786">
        <v>45810.0</v>
      </c>
      <c r="B178" s="787">
        <v>2506093.0</v>
      </c>
      <c r="C178" s="788" t="s">
        <v>10136</v>
      </c>
      <c r="D178" s="789" t="s">
        <v>2952</v>
      </c>
      <c r="E178" s="790" t="str">
        <f>IFERROR(VLOOKUP(D178,Stock,3,FALSE),"")</f>
        <v/>
      </c>
      <c r="F178" s="788">
        <v>3.0</v>
      </c>
      <c r="G178" s="811">
        <v>454800.0</v>
      </c>
      <c r="H178" s="799">
        <f t="shared" si="5"/>
        <v>1364400</v>
      </c>
      <c r="I178" s="800"/>
      <c r="J178" s="812"/>
      <c r="K178" s="848" t="s">
        <v>10198</v>
      </c>
      <c r="L178" s="802" t="s">
        <v>10137</v>
      </c>
      <c r="M178" s="833" t="s">
        <v>2763</v>
      </c>
      <c r="N178" s="849">
        <v>45873.0</v>
      </c>
      <c r="O178" s="803"/>
    </row>
    <row r="179" ht="15.0" customHeight="1">
      <c r="A179" s="786">
        <v>45811.0</v>
      </c>
      <c r="B179" s="787">
        <v>2506116.0</v>
      </c>
      <c r="C179" s="788" t="s">
        <v>10136</v>
      </c>
      <c r="D179" s="789" t="s">
        <v>3709</v>
      </c>
      <c r="E179" s="790" t="str">
        <f>IFERROR(VLOOKUP(D179,Stock,3,FALSE),"")</f>
        <v>Nissan Frontier Navara  97-04 D22 1st Gen</v>
      </c>
      <c r="F179" s="788">
        <v>1.0</v>
      </c>
      <c r="G179" s="811">
        <v>1012200.0</v>
      </c>
      <c r="H179" s="799">
        <f t="shared" si="5"/>
        <v>1012200</v>
      </c>
      <c r="I179" s="800"/>
      <c r="J179" s="812"/>
      <c r="K179" s="848" t="s">
        <v>10198</v>
      </c>
      <c r="L179" s="802" t="s">
        <v>10137</v>
      </c>
      <c r="M179" s="833" t="s">
        <v>2763</v>
      </c>
      <c r="N179" s="849">
        <v>45873.0</v>
      </c>
      <c r="O179" s="803"/>
    </row>
    <row r="180" ht="15.0" customHeight="1">
      <c r="A180" s="786">
        <v>45812.0</v>
      </c>
      <c r="B180" s="787">
        <v>2506140.0</v>
      </c>
      <c r="C180" s="788" t="s">
        <v>10136</v>
      </c>
      <c r="D180" s="789" t="s">
        <v>3671</v>
      </c>
      <c r="E180" s="790" t="str">
        <f>IFERROR(VLOOKUP(D180,Stock,3,FALSE),"")</f>
        <v>Toyota Camry 06-11 XV40 4th Gen</v>
      </c>
      <c r="F180" s="788">
        <v>1.0</v>
      </c>
      <c r="G180" s="811">
        <v>1552200.0</v>
      </c>
      <c r="H180" s="799">
        <f t="shared" si="5"/>
        <v>1552200</v>
      </c>
      <c r="I180" s="800"/>
      <c r="J180" s="812"/>
      <c r="K180" s="848" t="s">
        <v>10198</v>
      </c>
      <c r="L180" s="843" t="s">
        <v>10137</v>
      </c>
      <c r="M180" s="833" t="s">
        <v>2763</v>
      </c>
      <c r="N180" s="849">
        <v>45873.0</v>
      </c>
      <c r="O180" s="803"/>
    </row>
    <row r="181" ht="15.0" customHeight="1">
      <c r="A181" s="786">
        <v>45812.0</v>
      </c>
      <c r="B181" s="787">
        <v>2506140.0</v>
      </c>
      <c r="C181" s="788" t="s">
        <v>10136</v>
      </c>
      <c r="D181" s="789" t="s">
        <v>3443</v>
      </c>
      <c r="E181" s="790" t="str">
        <f>IFERROR(VLOOKUP(D181,Stock,3,FALSE),"")</f>
        <v>Toyota Vios 07-13 XP90 2nd Gen</v>
      </c>
      <c r="F181" s="788">
        <v>1.0</v>
      </c>
      <c r="G181" s="811">
        <v>812400.0</v>
      </c>
      <c r="H181" s="799">
        <f t="shared" si="5"/>
        <v>812400</v>
      </c>
      <c r="I181" s="800"/>
      <c r="J181" s="812"/>
      <c r="K181" s="848" t="s">
        <v>10198</v>
      </c>
      <c r="L181" s="843" t="s">
        <v>10137</v>
      </c>
      <c r="M181" s="833" t="s">
        <v>2763</v>
      </c>
      <c r="N181" s="849">
        <v>45873.0</v>
      </c>
      <c r="O181" s="803"/>
    </row>
    <row r="182" ht="15.0" customHeight="1">
      <c r="A182" s="786">
        <v>45813.0</v>
      </c>
      <c r="B182" s="787">
        <v>2506171.0</v>
      </c>
      <c r="C182" s="788" t="s">
        <v>10136</v>
      </c>
      <c r="D182" s="789" t="s">
        <v>2990</v>
      </c>
      <c r="E182" s="790" t="str">
        <f>IFERROR(VLOOKUP(D182,Stock,3,FALSE),"")</f>
        <v>Daihatsu Sirion 18- 3rd Gen</v>
      </c>
      <c r="F182" s="788">
        <v>1.0</v>
      </c>
      <c r="G182" s="811">
        <v>870000.0</v>
      </c>
      <c r="H182" s="799">
        <f t="shared" si="5"/>
        <v>870000</v>
      </c>
      <c r="I182" s="800"/>
      <c r="J182" s="812"/>
      <c r="K182" s="848" t="s">
        <v>10198</v>
      </c>
      <c r="L182" s="843" t="s">
        <v>10137</v>
      </c>
      <c r="M182" s="833" t="s">
        <v>2763</v>
      </c>
      <c r="N182" s="849">
        <v>45873.0</v>
      </c>
      <c r="O182" s="803"/>
    </row>
    <row r="183" ht="15.0" customHeight="1">
      <c r="A183" s="786">
        <v>45812.0</v>
      </c>
      <c r="B183" s="787" t="s">
        <v>10214</v>
      </c>
      <c r="C183" s="788" t="s">
        <v>10139</v>
      </c>
      <c r="D183" s="789" t="s">
        <v>3448</v>
      </c>
      <c r="E183" s="790" t="str">
        <f>IFERROR(VLOOKUP(D183,Stock,3,FALSE),"")</f>
        <v>Hyundai Getz 02-11</v>
      </c>
      <c r="F183" s="788">
        <v>1.0</v>
      </c>
      <c r="G183" s="811">
        <v>326700.0</v>
      </c>
      <c r="H183" s="799">
        <f t="shared" si="5"/>
        <v>326700</v>
      </c>
      <c r="I183" s="800"/>
      <c r="J183" s="812"/>
      <c r="K183" s="848" t="s">
        <v>3191</v>
      </c>
      <c r="L183" s="802" t="s">
        <v>10137</v>
      </c>
      <c r="M183" s="806" t="s">
        <v>2763</v>
      </c>
      <c r="N183" s="837">
        <v>45813.0</v>
      </c>
      <c r="O183" s="803"/>
    </row>
    <row r="184" ht="15.0" customHeight="1">
      <c r="A184" s="834">
        <v>45812.0</v>
      </c>
      <c r="B184" s="603" t="s">
        <v>10215</v>
      </c>
      <c r="C184" s="822" t="s">
        <v>10148</v>
      </c>
      <c r="D184" s="835" t="s">
        <v>7933</v>
      </c>
      <c r="E184" s="594" t="str">
        <f>IFERROR(VLOOKUP(D184,Stock,3,FALSE),"")</f>
        <v>Toyota Fortuner 05-15 1st Gen / Hilux Pickup 05-15 (Toyota)</v>
      </c>
      <c r="F184" s="822">
        <v>1.0</v>
      </c>
      <c r="G184" s="769"/>
      <c r="H184" s="824"/>
      <c r="I184" s="825"/>
      <c r="J184" s="826"/>
      <c r="K184" s="827"/>
      <c r="L184" s="828"/>
    </row>
    <row r="185" ht="15.0" customHeight="1">
      <c r="A185" s="786">
        <v>45813.0</v>
      </c>
      <c r="B185" s="787"/>
      <c r="C185" s="788" t="s">
        <v>10154</v>
      </c>
      <c r="D185" s="787" t="s">
        <v>3193</v>
      </c>
      <c r="E185" s="790" t="str">
        <f>IFERROR(VLOOKUP(D185,Stock,3,FALSE),"")</f>
        <v>Toyota Avanza / Xenia 11-15 2nd Gen</v>
      </c>
      <c r="F185" s="788">
        <v>1.0</v>
      </c>
      <c r="G185" s="811"/>
      <c r="H185" s="799">
        <f t="shared" ref="H185:H444" si="6">G185*F185</f>
        <v>0</v>
      </c>
      <c r="I185" s="800"/>
      <c r="J185" s="812"/>
      <c r="K185" s="848" t="s">
        <v>3191</v>
      </c>
      <c r="L185" s="802" t="s">
        <v>10137</v>
      </c>
      <c r="M185" s="803"/>
      <c r="N185" s="803"/>
      <c r="O185" s="803"/>
    </row>
    <row r="186" ht="15.0" customHeight="1">
      <c r="A186" s="786">
        <v>45813.0</v>
      </c>
      <c r="B186" s="787" t="s">
        <v>10216</v>
      </c>
      <c r="C186" s="788" t="s">
        <v>10139</v>
      </c>
      <c r="D186" s="789" t="s">
        <v>3462</v>
      </c>
      <c r="E186" s="790" t="str">
        <f>IFERROR(VLOOKUP(D186,Stock,3,FALSE),"")</f>
        <v>BMW X1 Series 15- F48</v>
      </c>
      <c r="F186" s="788">
        <v>1.0</v>
      </c>
      <c r="G186" s="811">
        <v>2494125.0</v>
      </c>
      <c r="H186" s="799">
        <f t="shared" si="6"/>
        <v>2494125</v>
      </c>
      <c r="I186" s="800"/>
      <c r="J186" s="812"/>
      <c r="K186" s="848" t="s">
        <v>3191</v>
      </c>
      <c r="L186" s="802" t="s">
        <v>10137</v>
      </c>
      <c r="M186" s="806" t="s">
        <v>2763</v>
      </c>
      <c r="N186" s="837">
        <v>45813.0</v>
      </c>
      <c r="O186" s="803"/>
    </row>
    <row r="187" ht="15.0" customHeight="1">
      <c r="A187" s="786">
        <v>45813.0</v>
      </c>
      <c r="B187" s="787" t="s">
        <v>10217</v>
      </c>
      <c r="C187" s="788" t="s">
        <v>10148</v>
      </c>
      <c r="D187" s="789" t="s">
        <v>3078</v>
      </c>
      <c r="E187" s="790" t="str">
        <f>IFERROR(VLOOKUP(D187,Stock,3,FALSE),"")</f>
        <v>Suzuki Ertiga 12-18 1st Gen MPV</v>
      </c>
      <c r="F187" s="788">
        <v>1.0</v>
      </c>
      <c r="G187" s="811">
        <v>0.0</v>
      </c>
      <c r="H187" s="799">
        <f t="shared" si="6"/>
        <v>0</v>
      </c>
      <c r="I187" s="800"/>
      <c r="J187" s="812"/>
      <c r="K187" s="848" t="s">
        <v>3191</v>
      </c>
      <c r="L187" s="802" t="s">
        <v>10137</v>
      </c>
      <c r="M187" s="803"/>
      <c r="N187" s="803"/>
      <c r="O187" s="803"/>
    </row>
    <row r="188" ht="15.0" customHeight="1">
      <c r="A188" s="786">
        <v>45813.0</v>
      </c>
      <c r="B188" s="787" t="s">
        <v>10217</v>
      </c>
      <c r="C188" s="788" t="s">
        <v>10148</v>
      </c>
      <c r="D188" s="789" t="s">
        <v>4783</v>
      </c>
      <c r="E188" s="790" t="str">
        <f>IFERROR(VLOOKUP(D188,Stock,3,FALSE),"")</f>
        <v>Toyota Avanza / Xenia 03-11 1st Gen</v>
      </c>
      <c r="F188" s="788">
        <v>1.0</v>
      </c>
      <c r="G188" s="811">
        <v>0.0</v>
      </c>
      <c r="H188" s="799">
        <f t="shared" si="6"/>
        <v>0</v>
      </c>
      <c r="I188" s="800"/>
      <c r="J188" s="812"/>
      <c r="K188" s="848" t="s">
        <v>3191</v>
      </c>
      <c r="L188" s="802" t="s">
        <v>10137</v>
      </c>
      <c r="M188" s="803"/>
      <c r="N188" s="803"/>
      <c r="O188" s="803"/>
    </row>
    <row r="189" ht="15.0" customHeight="1">
      <c r="A189" s="786">
        <v>45813.0</v>
      </c>
      <c r="B189" s="787">
        <v>2506223.0</v>
      </c>
      <c r="C189" s="788" t="s">
        <v>10136</v>
      </c>
      <c r="D189" s="789" t="s">
        <v>3466</v>
      </c>
      <c r="E189" s="790" t="str">
        <f>IFERROR(VLOOKUP(D189,Stock,3,FALSE),"")</f>
        <v>Honda Jazz 07-13 2nd Gen</v>
      </c>
      <c r="F189" s="788">
        <v>1.0</v>
      </c>
      <c r="G189" s="811">
        <v>592200.0</v>
      </c>
      <c r="H189" s="799">
        <f t="shared" si="6"/>
        <v>592200</v>
      </c>
      <c r="I189" s="800"/>
      <c r="J189" s="812"/>
      <c r="K189" s="848" t="s">
        <v>3191</v>
      </c>
      <c r="L189" s="802" t="s">
        <v>10137</v>
      </c>
      <c r="M189" s="833" t="s">
        <v>2763</v>
      </c>
      <c r="N189" s="849">
        <v>45873.0</v>
      </c>
      <c r="O189" s="803"/>
    </row>
    <row r="190" ht="15.0" customHeight="1">
      <c r="A190" s="786">
        <v>45813.0</v>
      </c>
      <c r="B190" s="787">
        <v>2506223.0</v>
      </c>
      <c r="C190" s="788" t="s">
        <v>10136</v>
      </c>
      <c r="D190" s="789" t="s">
        <v>3494</v>
      </c>
      <c r="E190" s="790" t="str">
        <f>IFERROR(VLOOKUP(D190,Stock,3,FALSE),"")</f>
        <v>Wuling Almaz</v>
      </c>
      <c r="F190" s="788">
        <v>1.0</v>
      </c>
      <c r="G190" s="811">
        <v>671400.0</v>
      </c>
      <c r="H190" s="799">
        <f t="shared" si="6"/>
        <v>671400</v>
      </c>
      <c r="I190" s="800"/>
      <c r="J190" s="812"/>
      <c r="K190" s="848" t="s">
        <v>3191</v>
      </c>
      <c r="L190" s="802" t="s">
        <v>10137</v>
      </c>
      <c r="M190" s="833" t="s">
        <v>2763</v>
      </c>
      <c r="N190" s="849">
        <v>45873.0</v>
      </c>
      <c r="O190" s="803"/>
    </row>
    <row r="191" ht="15.0" customHeight="1">
      <c r="A191" s="786">
        <v>45813.0</v>
      </c>
      <c r="B191" s="787">
        <v>2506209.0</v>
      </c>
      <c r="C191" s="788" t="s">
        <v>10136</v>
      </c>
      <c r="D191" s="789" t="s">
        <v>3523</v>
      </c>
      <c r="E191" s="790" t="str">
        <f>IFERROR(VLOOKUP(D191,Stock,3,FALSE),"")</f>
        <v>Toyota Hi-Ace 19- Premio</v>
      </c>
      <c r="F191" s="788">
        <v>1.0</v>
      </c>
      <c r="G191" s="811">
        <v>896400.0</v>
      </c>
      <c r="H191" s="799">
        <f t="shared" si="6"/>
        <v>896400</v>
      </c>
      <c r="I191" s="800"/>
      <c r="J191" s="812"/>
      <c r="K191" s="848" t="s">
        <v>3191</v>
      </c>
      <c r="L191" s="802" t="s">
        <v>10137</v>
      </c>
      <c r="M191" s="833" t="s">
        <v>2763</v>
      </c>
      <c r="N191" s="849">
        <v>45873.0</v>
      </c>
      <c r="O191" s="803"/>
    </row>
    <row r="192" ht="15.0" customHeight="1">
      <c r="A192" s="786">
        <v>45815.0</v>
      </c>
      <c r="B192" s="787" t="s">
        <v>10218</v>
      </c>
      <c r="C192" s="788" t="s">
        <v>10139</v>
      </c>
      <c r="D192" s="789" t="s">
        <v>2944</v>
      </c>
      <c r="E192" s="790" t="str">
        <f>IFERROR(VLOOKUP(D192,Stock,3,FALSE),"")</f>
        <v>Toyota Innova 04-15 1st Gen</v>
      </c>
      <c r="F192" s="788">
        <v>1.0</v>
      </c>
      <c r="G192" s="811">
        <v>753300.0</v>
      </c>
      <c r="H192" s="799">
        <f t="shared" si="6"/>
        <v>753300</v>
      </c>
      <c r="I192" s="800"/>
      <c r="J192" s="812"/>
      <c r="K192" s="848" t="s">
        <v>3191</v>
      </c>
      <c r="L192" s="802" t="s">
        <v>10137</v>
      </c>
      <c r="M192" s="806" t="s">
        <v>2763</v>
      </c>
      <c r="N192" s="837">
        <v>45815.0</v>
      </c>
      <c r="O192" s="803"/>
    </row>
    <row r="193" ht="15.0" customHeight="1">
      <c r="A193" s="834">
        <v>45816.0</v>
      </c>
      <c r="B193" s="821"/>
      <c r="C193" s="822" t="s">
        <v>10154</v>
      </c>
      <c r="D193" s="835" t="s">
        <v>3475</v>
      </c>
      <c r="E193" s="594" t="str">
        <f>IFERROR(VLOOKUP(D193,Stock,3,FALSE),"")</f>
        <v>Toyota Avanza / Xenia 03-11 1st Gen</v>
      </c>
      <c r="F193" s="822">
        <v>1.0</v>
      </c>
      <c r="G193" s="769"/>
      <c r="H193" s="824">
        <f t="shared" si="6"/>
        <v>0</v>
      </c>
      <c r="I193" s="825"/>
      <c r="J193" s="826"/>
      <c r="K193" s="850" t="s">
        <v>10198</v>
      </c>
      <c r="L193" s="828"/>
    </row>
    <row r="194" ht="15.0" customHeight="1">
      <c r="A194" s="786">
        <v>45817.0</v>
      </c>
      <c r="B194" s="787" t="s">
        <v>10219</v>
      </c>
      <c r="C194" s="788" t="s">
        <v>10139</v>
      </c>
      <c r="D194" s="789" t="s">
        <v>3483</v>
      </c>
      <c r="E194" s="790" t="str">
        <f>IFERROR(VLOOKUP(D194,Stock,3,FALSE),"")</f>
        <v>Honda HR-V 14-21 5D SUV</v>
      </c>
      <c r="F194" s="788">
        <v>1.0</v>
      </c>
      <c r="G194" s="811">
        <v>1023280.0</v>
      </c>
      <c r="H194" s="799">
        <f t="shared" si="6"/>
        <v>1023280</v>
      </c>
      <c r="I194" s="800"/>
      <c r="J194" s="812"/>
      <c r="K194" s="848" t="s">
        <v>3191</v>
      </c>
      <c r="L194" s="802" t="s">
        <v>10137</v>
      </c>
      <c r="M194" s="806" t="s">
        <v>2763</v>
      </c>
      <c r="N194" s="806" t="s">
        <v>10220</v>
      </c>
      <c r="O194" s="803"/>
    </row>
    <row r="195" ht="15.0" customHeight="1">
      <c r="A195" s="786">
        <v>45817.0</v>
      </c>
      <c r="B195" s="787">
        <v>2506249.0</v>
      </c>
      <c r="C195" s="788" t="s">
        <v>10136</v>
      </c>
      <c r="D195" s="789" t="s">
        <v>3489</v>
      </c>
      <c r="E195" s="790" t="str">
        <f>IFERROR(VLOOKUP(D195,Stock,3,FALSE),"")</f>
        <v>Mazda 6 12- GJ1/GL 3rd Gen</v>
      </c>
      <c r="F195" s="788">
        <v>1.0</v>
      </c>
      <c r="G195" s="811">
        <v>521400.0</v>
      </c>
      <c r="H195" s="799">
        <f t="shared" si="6"/>
        <v>521400</v>
      </c>
      <c r="I195" s="800"/>
      <c r="J195" s="812"/>
      <c r="K195" s="848" t="s">
        <v>3191</v>
      </c>
      <c r="L195" s="802" t="s">
        <v>10137</v>
      </c>
      <c r="M195" s="833" t="s">
        <v>2763</v>
      </c>
      <c r="N195" s="849">
        <v>45873.0</v>
      </c>
      <c r="O195" s="803"/>
    </row>
    <row r="196" ht="15.0" customHeight="1">
      <c r="A196" s="834">
        <v>45818.0</v>
      </c>
      <c r="B196" s="603" t="s">
        <v>10221</v>
      </c>
      <c r="C196" s="822" t="s">
        <v>10154</v>
      </c>
      <c r="D196" s="835" t="s">
        <v>3475</v>
      </c>
      <c r="E196" s="594" t="str">
        <f>IFERROR(VLOOKUP(D196,Stock,3,FALSE),"")</f>
        <v>Toyota Avanza / Xenia 03-11 1st Gen</v>
      </c>
      <c r="F196" s="822">
        <v>9.0</v>
      </c>
      <c r="G196" s="769"/>
      <c r="H196" s="824">
        <f t="shared" si="6"/>
        <v>0</v>
      </c>
      <c r="I196" s="825"/>
      <c r="J196" s="826"/>
      <c r="K196" s="850" t="s">
        <v>10198</v>
      </c>
      <c r="L196" s="828"/>
    </row>
    <row r="197" ht="15.0" customHeight="1">
      <c r="A197" s="834">
        <v>45818.0</v>
      </c>
      <c r="B197" s="603" t="s">
        <v>10221</v>
      </c>
      <c r="C197" s="822" t="s">
        <v>10154</v>
      </c>
      <c r="D197" s="835" t="s">
        <v>4144</v>
      </c>
      <c r="E197" s="594" t="str">
        <f>IFERROR(VLOOKUP(D197,Stock,3,FALSE),"")</f>
        <v>Toyota Rush / Terios 06-17</v>
      </c>
      <c r="F197" s="822">
        <v>4.0</v>
      </c>
      <c r="G197" s="769"/>
      <c r="H197" s="824">
        <f t="shared" si="6"/>
        <v>0</v>
      </c>
      <c r="I197" s="825"/>
      <c r="J197" s="826"/>
      <c r="K197" s="850" t="s">
        <v>10198</v>
      </c>
      <c r="L197" s="828"/>
    </row>
    <row r="198" ht="15.0" customHeight="1">
      <c r="A198" s="834">
        <v>45818.0</v>
      </c>
      <c r="B198" s="603" t="s">
        <v>10221</v>
      </c>
      <c r="C198" s="822" t="s">
        <v>10154</v>
      </c>
      <c r="D198" s="835" t="s">
        <v>3225</v>
      </c>
      <c r="E198" s="594" t="str">
        <f>IFERROR(VLOOKUP(D198,Stock,3,FALSE),"")</f>
        <v>Toyota Rush / Terios 18-</v>
      </c>
      <c r="F198" s="822">
        <v>1.0</v>
      </c>
      <c r="G198" s="769"/>
      <c r="H198" s="824">
        <f t="shared" si="6"/>
        <v>0</v>
      </c>
      <c r="I198" s="825"/>
      <c r="J198" s="826"/>
      <c r="K198" s="850" t="s">
        <v>10198</v>
      </c>
      <c r="L198" s="828"/>
    </row>
    <row r="199" ht="15.0" customHeight="1">
      <c r="A199" s="834">
        <v>45818.0</v>
      </c>
      <c r="B199" s="603" t="s">
        <v>10221</v>
      </c>
      <c r="C199" s="822" t="s">
        <v>10154</v>
      </c>
      <c r="D199" s="835" t="s">
        <v>3302</v>
      </c>
      <c r="E199" s="594" t="str">
        <f>IFERROR(VLOOKUP(D199,Stock,3,FALSE),"")</f>
        <v>Nissan Livina 07-18 L10/L11</v>
      </c>
      <c r="F199" s="822">
        <v>2.0</v>
      </c>
      <c r="G199" s="769"/>
      <c r="H199" s="824">
        <f t="shared" si="6"/>
        <v>0</v>
      </c>
      <c r="I199" s="825"/>
      <c r="J199" s="826"/>
      <c r="K199" s="850" t="s">
        <v>10198</v>
      </c>
      <c r="L199" s="828"/>
    </row>
    <row r="200" ht="15.0" customHeight="1">
      <c r="A200" s="834">
        <v>45818.0</v>
      </c>
      <c r="B200" s="603" t="s">
        <v>10221</v>
      </c>
      <c r="C200" s="822" t="s">
        <v>10154</v>
      </c>
      <c r="D200" s="835" t="s">
        <v>2869</v>
      </c>
      <c r="E200" s="594" t="str">
        <f>IFERROR(VLOOKUP(D200,Stock,3,FALSE),"")</f>
        <v>Daihatsu Gran Max / Luxio 07-</v>
      </c>
      <c r="F200" s="822">
        <v>1.0</v>
      </c>
      <c r="G200" s="769"/>
      <c r="H200" s="824">
        <f t="shared" si="6"/>
        <v>0</v>
      </c>
      <c r="I200" s="825"/>
      <c r="J200" s="826"/>
      <c r="K200" s="850" t="s">
        <v>10198</v>
      </c>
      <c r="L200" s="828"/>
    </row>
    <row r="201" ht="15.0" customHeight="1">
      <c r="A201" s="834">
        <v>45818.0</v>
      </c>
      <c r="B201" s="603" t="s">
        <v>10221</v>
      </c>
      <c r="C201" s="822" t="s">
        <v>10154</v>
      </c>
      <c r="D201" s="835" t="s">
        <v>2924</v>
      </c>
      <c r="E201" s="594" t="str">
        <f>IFERROR(VLOOKUP(D201,Stock,3,FALSE),"")</f>
        <v>Suzuki Ertiga 12-18 1st Gen MPV</v>
      </c>
      <c r="F201" s="822">
        <v>2.0</v>
      </c>
      <c r="G201" s="769"/>
      <c r="H201" s="824">
        <f t="shared" si="6"/>
        <v>0</v>
      </c>
      <c r="I201" s="825"/>
      <c r="J201" s="826"/>
      <c r="K201" s="850" t="s">
        <v>10198</v>
      </c>
      <c r="L201" s="828"/>
    </row>
    <row r="202" ht="15.0" customHeight="1">
      <c r="A202" s="834">
        <v>45818.0</v>
      </c>
      <c r="B202" s="603" t="s">
        <v>10221</v>
      </c>
      <c r="C202" s="822" t="s">
        <v>10154</v>
      </c>
      <c r="D202" s="835" t="s">
        <v>3193</v>
      </c>
      <c r="E202" s="594" t="str">
        <f>IFERROR(VLOOKUP(D202,Stock,3,FALSE),"")</f>
        <v>Toyota Avanza / Xenia 11-15 2nd Gen</v>
      </c>
      <c r="F202" s="822">
        <v>3.0</v>
      </c>
      <c r="G202" s="769"/>
      <c r="H202" s="824">
        <f t="shared" si="6"/>
        <v>0</v>
      </c>
      <c r="I202" s="825"/>
      <c r="J202" s="826"/>
      <c r="K202" s="850" t="s">
        <v>10198</v>
      </c>
      <c r="L202" s="828"/>
    </row>
    <row r="203" ht="15.0" customHeight="1">
      <c r="A203" s="786">
        <v>45818.0</v>
      </c>
      <c r="B203" s="787">
        <v>2506273.0</v>
      </c>
      <c r="C203" s="788" t="s">
        <v>10136</v>
      </c>
      <c r="D203" s="789" t="s">
        <v>3499</v>
      </c>
      <c r="E203" s="790" t="str">
        <f>IFERROR(VLOOKUP(D203,Stock,3,FALSE),"")</f>
        <v>Honda Brio 10- / Mobilio 11-</v>
      </c>
      <c r="F203" s="788">
        <v>1.0</v>
      </c>
      <c r="G203" s="811">
        <v>625200.0</v>
      </c>
      <c r="H203" s="799">
        <f t="shared" si="6"/>
        <v>625200</v>
      </c>
      <c r="I203" s="800"/>
      <c r="J203" s="812"/>
      <c r="K203" s="848" t="s">
        <v>10198</v>
      </c>
      <c r="L203" s="802" t="s">
        <v>10137</v>
      </c>
      <c r="M203" s="833" t="s">
        <v>2763</v>
      </c>
      <c r="N203" s="849">
        <v>45873.0</v>
      </c>
      <c r="O203" s="803"/>
    </row>
    <row r="204" ht="15.0" customHeight="1">
      <c r="A204" s="786">
        <v>45818.0</v>
      </c>
      <c r="B204" s="787">
        <v>2506273.0</v>
      </c>
      <c r="C204" s="788" t="s">
        <v>10136</v>
      </c>
      <c r="D204" s="789" t="s">
        <v>3727</v>
      </c>
      <c r="E204" s="790" t="str">
        <f>IFERROR(VLOOKUP(D204,Stock,3,FALSE),"")</f>
        <v>Toyota Innova 15- 2nd Gen</v>
      </c>
      <c r="F204" s="788">
        <v>1.0</v>
      </c>
      <c r="G204" s="811">
        <v>818400.0</v>
      </c>
      <c r="H204" s="799">
        <f t="shared" si="6"/>
        <v>818400</v>
      </c>
      <c r="I204" s="800"/>
      <c r="J204" s="812"/>
      <c r="K204" s="848" t="s">
        <v>10198</v>
      </c>
      <c r="L204" s="802" t="s">
        <v>10137</v>
      </c>
      <c r="M204" s="833" t="s">
        <v>2763</v>
      </c>
      <c r="N204" s="849">
        <v>45873.0</v>
      </c>
      <c r="O204" s="803"/>
    </row>
    <row r="205" ht="15.0" customHeight="1">
      <c r="A205" s="786">
        <v>45818.0</v>
      </c>
      <c r="B205" s="787">
        <v>2506283.0</v>
      </c>
      <c r="C205" s="788" t="s">
        <v>10136</v>
      </c>
      <c r="D205" s="789" t="s">
        <v>3130</v>
      </c>
      <c r="E205" s="790" t="str">
        <f>IFERROR(VLOOKUP(D205,Stock,3,FALSE),"")</f>
        <v>Toyota Innova 04-15 1st Gen</v>
      </c>
      <c r="F205" s="788">
        <v>1.0</v>
      </c>
      <c r="G205" s="811">
        <v>655200.0</v>
      </c>
      <c r="H205" s="799">
        <f t="shared" si="6"/>
        <v>655200</v>
      </c>
      <c r="I205" s="800"/>
      <c r="J205" s="812"/>
      <c r="K205" s="848" t="s">
        <v>10198</v>
      </c>
      <c r="L205" s="802" t="s">
        <v>10137</v>
      </c>
      <c r="M205" s="833" t="s">
        <v>2763</v>
      </c>
      <c r="N205" s="849">
        <v>45873.0</v>
      </c>
      <c r="O205" s="803"/>
    </row>
    <row r="206" ht="15.0" customHeight="1">
      <c r="A206" s="786">
        <v>45818.0</v>
      </c>
      <c r="B206" s="787" t="s">
        <v>10222</v>
      </c>
      <c r="C206" s="788" t="s">
        <v>10139</v>
      </c>
      <c r="D206" s="789" t="s">
        <v>3090</v>
      </c>
      <c r="E206" s="790" t="str">
        <f>IFERROR(VLOOKUP(D206,Stock,3,FALSE),"")</f>
        <v>Toyota Alphard 08-15 ANH20 2nd Gen</v>
      </c>
      <c r="F206" s="788">
        <v>1.0</v>
      </c>
      <c r="G206" s="811">
        <v>314550.0</v>
      </c>
      <c r="H206" s="799">
        <f t="shared" si="6"/>
        <v>314550</v>
      </c>
      <c r="I206" s="800"/>
      <c r="J206" s="812"/>
      <c r="K206" s="848" t="s">
        <v>3191</v>
      </c>
      <c r="L206" s="802" t="s">
        <v>10137</v>
      </c>
      <c r="M206" s="806" t="s">
        <v>2763</v>
      </c>
      <c r="N206" s="837">
        <v>45822.0</v>
      </c>
      <c r="O206" s="803"/>
    </row>
    <row r="207" ht="15.0" customHeight="1">
      <c r="A207" s="786">
        <v>45819.0</v>
      </c>
      <c r="B207" s="787" t="s">
        <v>10223</v>
      </c>
      <c r="C207" s="788" t="s">
        <v>10139</v>
      </c>
      <c r="D207" s="789" t="s">
        <v>3511</v>
      </c>
      <c r="E207" s="790" t="str">
        <f>IFERROR(VLOOKUP(D207,Stock,3,FALSE),"")</f>
        <v>Toyota Rush / Terios 06-17</v>
      </c>
      <c r="F207" s="788">
        <v>1.0</v>
      </c>
      <c r="G207" s="811">
        <v>230000.0</v>
      </c>
      <c r="H207" s="799">
        <f t="shared" si="6"/>
        <v>230000</v>
      </c>
      <c r="I207" s="800"/>
      <c r="J207" s="812"/>
      <c r="K207" s="848" t="s">
        <v>3191</v>
      </c>
      <c r="L207" s="802" t="s">
        <v>10137</v>
      </c>
      <c r="M207" s="806" t="s">
        <v>2763</v>
      </c>
      <c r="N207" s="837">
        <v>45822.0</v>
      </c>
      <c r="O207" s="803"/>
    </row>
    <row r="208" ht="15.0" customHeight="1">
      <c r="A208" s="786">
        <v>45819.0</v>
      </c>
      <c r="B208" s="787">
        <v>2506354.0</v>
      </c>
      <c r="C208" s="788" t="s">
        <v>10136</v>
      </c>
      <c r="D208" s="789" t="s">
        <v>2916</v>
      </c>
      <c r="E208" s="790" t="str">
        <f>IFERROR(VLOOKUP(D208,Stock,3,FALSE),"")</f>
        <v>Toyota Alphard 08-15 ANH20 2nd Gen (Hitam)</v>
      </c>
      <c r="F208" s="788">
        <v>1.0</v>
      </c>
      <c r="G208" s="811">
        <v>1526400.0</v>
      </c>
      <c r="H208" s="799">
        <f t="shared" si="6"/>
        <v>1526400</v>
      </c>
      <c r="I208" s="800"/>
      <c r="J208" s="812"/>
      <c r="K208" s="848" t="s">
        <v>10198</v>
      </c>
      <c r="L208" s="802" t="s">
        <v>10137</v>
      </c>
      <c r="M208" s="806" t="s">
        <v>2763</v>
      </c>
      <c r="N208" s="837">
        <v>45878.0</v>
      </c>
      <c r="O208" s="803"/>
    </row>
    <row r="209" ht="15.0" customHeight="1">
      <c r="A209" s="834">
        <v>45819.0</v>
      </c>
      <c r="B209" s="603" t="s">
        <v>10224</v>
      </c>
      <c r="C209" s="822" t="s">
        <v>10148</v>
      </c>
      <c r="D209" s="835" t="s">
        <v>3515</v>
      </c>
      <c r="E209" s="594" t="str">
        <f>IFERROR(VLOOKUP(D209,Stock,3,FALSE),"")</f>
        <v>Suzuki Ertiga 18- 2nd Gen / XL7 (Suzuki)</v>
      </c>
      <c r="F209" s="822">
        <v>2.0</v>
      </c>
      <c r="G209" s="769"/>
      <c r="H209" s="824">
        <f t="shared" si="6"/>
        <v>0</v>
      </c>
      <c r="I209" s="825"/>
      <c r="J209" s="826"/>
      <c r="K209" s="827"/>
      <c r="L209" s="828"/>
    </row>
    <row r="210" ht="15.0" customHeight="1">
      <c r="A210" s="834">
        <v>45819.0</v>
      </c>
      <c r="B210" s="603" t="s">
        <v>10224</v>
      </c>
      <c r="C210" s="822" t="s">
        <v>10148</v>
      </c>
      <c r="D210" s="835" t="s">
        <v>5800</v>
      </c>
      <c r="E210" s="594" t="str">
        <f>IFERROR(VLOOKUP(D210,Stock,3,FALSE),"")</f>
        <v>Toyota Fortuner 15-  2nd Gen (Toyota)</v>
      </c>
      <c r="F210" s="822">
        <v>1.0</v>
      </c>
      <c r="G210" s="769"/>
      <c r="H210" s="824">
        <f t="shared" si="6"/>
        <v>0</v>
      </c>
      <c r="I210" s="825"/>
      <c r="J210" s="826"/>
      <c r="K210" s="827"/>
      <c r="L210" s="828"/>
    </row>
    <row r="211" ht="15.0" customHeight="1">
      <c r="A211" s="786">
        <v>45820.0</v>
      </c>
      <c r="B211" s="787" t="s">
        <v>10225</v>
      </c>
      <c r="C211" s="788" t="s">
        <v>10139</v>
      </c>
      <c r="D211" s="789" t="s">
        <v>2881</v>
      </c>
      <c r="E211" s="790" t="str">
        <f>IFERROR(VLOOKUP(D211,Stock,3,FALSE),"")</f>
        <v>Mitsubishi Outlander 10-21 GA3</v>
      </c>
      <c r="F211" s="788">
        <v>1.0</v>
      </c>
      <c r="G211" s="811">
        <v>1206900.0</v>
      </c>
      <c r="H211" s="799">
        <f t="shared" si="6"/>
        <v>1206900</v>
      </c>
      <c r="I211" s="800"/>
      <c r="J211" s="812"/>
      <c r="K211" s="848" t="s">
        <v>3191</v>
      </c>
      <c r="L211" s="802" t="s">
        <v>10137</v>
      </c>
      <c r="M211" s="806" t="s">
        <v>2763</v>
      </c>
      <c r="N211" s="837">
        <v>45822.0</v>
      </c>
      <c r="O211" s="803"/>
    </row>
    <row r="212" ht="15.0" customHeight="1">
      <c r="A212" s="786">
        <v>45821.0</v>
      </c>
      <c r="B212" s="787" t="s">
        <v>10226</v>
      </c>
      <c r="C212" s="788" t="s">
        <v>10139</v>
      </c>
      <c r="D212" s="789" t="s">
        <v>3528</v>
      </c>
      <c r="E212" s="790" t="str">
        <f>IFERROR(VLOOKUP(D212,Stock,3,FALSE),"")</f>
        <v>Hyundai Stargazer 22-</v>
      </c>
      <c r="F212" s="788">
        <v>1.0</v>
      </c>
      <c r="G212" s="811">
        <v>911250.0</v>
      </c>
      <c r="H212" s="799">
        <f t="shared" si="6"/>
        <v>911250</v>
      </c>
      <c r="I212" s="800"/>
      <c r="J212" s="812"/>
      <c r="K212" s="848" t="s">
        <v>3191</v>
      </c>
      <c r="L212" s="802" t="s">
        <v>10137</v>
      </c>
      <c r="M212" s="806" t="s">
        <v>2763</v>
      </c>
      <c r="N212" s="837">
        <v>45822.0</v>
      </c>
      <c r="O212" s="803"/>
    </row>
    <row r="213" ht="15.0" customHeight="1">
      <c r="A213" s="786">
        <v>45822.0</v>
      </c>
      <c r="B213" s="787" t="s">
        <v>10227</v>
      </c>
      <c r="C213" s="788" t="s">
        <v>10139</v>
      </c>
      <c r="D213" s="789" t="s">
        <v>2832</v>
      </c>
      <c r="E213" s="790" t="str">
        <f>IFERROR(VLOOKUP(D213,Stock,3,FALSE),"")</f>
        <v>Toyota Avanza / Xenia 21- 4th Gen</v>
      </c>
      <c r="F213" s="788">
        <v>1.0</v>
      </c>
      <c r="G213" s="811">
        <v>675000.0</v>
      </c>
      <c r="H213" s="799">
        <f t="shared" si="6"/>
        <v>675000</v>
      </c>
      <c r="I213" s="800"/>
      <c r="J213" s="812"/>
      <c r="K213" s="848" t="s">
        <v>3191</v>
      </c>
      <c r="L213" s="802" t="s">
        <v>10137</v>
      </c>
      <c r="M213" s="806" t="s">
        <v>2763</v>
      </c>
      <c r="N213" s="837">
        <v>45822.0</v>
      </c>
      <c r="O213" s="803"/>
    </row>
    <row r="214" ht="15.0" customHeight="1">
      <c r="A214" s="786">
        <v>45822.0</v>
      </c>
      <c r="B214" s="787" t="s">
        <v>10227</v>
      </c>
      <c r="C214" s="788" t="s">
        <v>10139</v>
      </c>
      <c r="D214" s="789" t="s">
        <v>2973</v>
      </c>
      <c r="E214" s="790" t="str">
        <f>IFERROR(VLOOKUP(D214,Stock,3,FALSE),"")</f>
        <v>Suzuki Carry New 19-</v>
      </c>
      <c r="F214" s="788">
        <v>1.0</v>
      </c>
      <c r="G214" s="811">
        <v>567000.0</v>
      </c>
      <c r="H214" s="799">
        <f t="shared" si="6"/>
        <v>567000</v>
      </c>
      <c r="I214" s="800"/>
      <c r="J214" s="812"/>
      <c r="K214" s="848" t="s">
        <v>3191</v>
      </c>
      <c r="L214" s="802" t="s">
        <v>10137</v>
      </c>
      <c r="M214" s="806" t="s">
        <v>2763</v>
      </c>
      <c r="N214" s="837">
        <v>45822.0</v>
      </c>
      <c r="O214" s="803"/>
    </row>
    <row r="215" ht="15.0" customHeight="1">
      <c r="A215" s="786">
        <v>45822.0</v>
      </c>
      <c r="B215" s="787" t="s">
        <v>10227</v>
      </c>
      <c r="C215" s="788" t="s">
        <v>10139</v>
      </c>
      <c r="D215" s="789" t="s">
        <v>3538</v>
      </c>
      <c r="E215" s="790" t="str">
        <f>IFERROR(VLOOKUP(D215,Stock,3,FALSE),"")</f>
        <v>Toyota Innova 22- Zenyx 3rd Gen</v>
      </c>
      <c r="F215" s="788">
        <v>1.0</v>
      </c>
      <c r="G215" s="811">
        <v>776250.0</v>
      </c>
      <c r="H215" s="799">
        <f t="shared" si="6"/>
        <v>776250</v>
      </c>
      <c r="I215" s="800"/>
      <c r="J215" s="812"/>
      <c r="K215" s="848" t="s">
        <v>3191</v>
      </c>
      <c r="L215" s="802" t="s">
        <v>10137</v>
      </c>
      <c r="M215" s="806" t="s">
        <v>2763</v>
      </c>
      <c r="N215" s="837">
        <v>45822.0</v>
      </c>
      <c r="O215" s="803"/>
    </row>
    <row r="216" ht="15.0" customHeight="1">
      <c r="A216" s="786">
        <v>45822.0</v>
      </c>
      <c r="B216" s="787" t="s">
        <v>10227</v>
      </c>
      <c r="C216" s="788" t="s">
        <v>10139</v>
      </c>
      <c r="D216" s="789" t="s">
        <v>3557</v>
      </c>
      <c r="E216" s="790" t="str">
        <f>IFERROR(VLOOKUP(D216,Stock,3,FALSE),"")</f>
        <v>Wuling Cortez</v>
      </c>
      <c r="F216" s="788">
        <v>1.0</v>
      </c>
      <c r="G216" s="811">
        <v>1455000.0</v>
      </c>
      <c r="H216" s="799">
        <f t="shared" si="6"/>
        <v>1455000</v>
      </c>
      <c r="I216" s="800"/>
      <c r="J216" s="812"/>
      <c r="K216" s="848" t="s">
        <v>3191</v>
      </c>
      <c r="L216" s="802" t="s">
        <v>10137</v>
      </c>
      <c r="M216" s="806" t="s">
        <v>2763</v>
      </c>
      <c r="N216" s="837">
        <v>45822.0</v>
      </c>
      <c r="O216" s="803"/>
    </row>
    <row r="217" ht="15.0" customHeight="1">
      <c r="A217" s="786">
        <v>45822.0</v>
      </c>
      <c r="B217" s="787" t="s">
        <v>10228</v>
      </c>
      <c r="C217" s="788" t="s">
        <v>10152</v>
      </c>
      <c r="D217" s="789" t="s">
        <v>3396</v>
      </c>
      <c r="E217" s="790" t="str">
        <f>IFERROR(VLOOKUP(D217,Stock,3,FALSE),"")</f>
        <v>Honda HR-V 22- 5D SUV (Honda)</v>
      </c>
      <c r="F217" s="788">
        <v>1.0</v>
      </c>
      <c r="G217" s="811">
        <v>358000.0</v>
      </c>
      <c r="H217" s="799">
        <f t="shared" si="6"/>
        <v>358000</v>
      </c>
      <c r="I217" s="800"/>
      <c r="J217" s="812"/>
      <c r="K217" s="848" t="s">
        <v>3191</v>
      </c>
      <c r="L217" s="802" t="s">
        <v>10137</v>
      </c>
      <c r="M217" s="806" t="s">
        <v>2763</v>
      </c>
      <c r="N217" s="837">
        <v>45822.0</v>
      </c>
      <c r="O217" s="803"/>
    </row>
    <row r="218" ht="15.0" customHeight="1">
      <c r="A218" s="786">
        <v>45824.0</v>
      </c>
      <c r="B218" s="787">
        <v>2506469.0</v>
      </c>
      <c r="C218" s="788" t="s">
        <v>10136</v>
      </c>
      <c r="D218" s="789" t="s">
        <v>3343</v>
      </c>
      <c r="E218" s="790" t="str">
        <f>IFERROR(VLOOKUP(D218,Stock,3,FALSE),"")</f>
        <v>Toyota NAV1/Noah 07-17</v>
      </c>
      <c r="F218" s="788">
        <v>1.0</v>
      </c>
      <c r="G218" s="811">
        <v>1613400.0</v>
      </c>
      <c r="H218" s="799">
        <f t="shared" si="6"/>
        <v>1613400</v>
      </c>
      <c r="I218" s="800"/>
      <c r="J218" s="812"/>
      <c r="K218" s="848" t="s">
        <v>10198</v>
      </c>
      <c r="L218" s="802" t="s">
        <v>10137</v>
      </c>
      <c r="M218" s="806" t="s">
        <v>2763</v>
      </c>
      <c r="N218" s="837">
        <v>45878.0</v>
      </c>
      <c r="O218" s="803"/>
    </row>
    <row r="219" ht="15.0" customHeight="1">
      <c r="A219" s="786">
        <v>45824.0</v>
      </c>
      <c r="B219" s="787">
        <v>2506498.0</v>
      </c>
      <c r="C219" s="788" t="s">
        <v>10136</v>
      </c>
      <c r="D219" s="789" t="s">
        <v>3580</v>
      </c>
      <c r="E219" s="790" t="str">
        <f>IFERROR(VLOOKUP(D219,Stock,3,FALSE),"")</f>
        <v>BMW X5 Series 07-13  E70 (1 Sensor / ꓳ)</v>
      </c>
      <c r="F219" s="788">
        <v>1.0</v>
      </c>
      <c r="G219" s="811">
        <v>2721000.0</v>
      </c>
      <c r="H219" s="799">
        <f t="shared" si="6"/>
        <v>2721000</v>
      </c>
      <c r="I219" s="800"/>
      <c r="J219" s="812"/>
      <c r="K219" s="848" t="s">
        <v>3191</v>
      </c>
      <c r="L219" s="802" t="s">
        <v>10137</v>
      </c>
      <c r="M219" s="833" t="s">
        <v>2763</v>
      </c>
      <c r="N219" s="849">
        <v>45873.0</v>
      </c>
      <c r="O219" s="803"/>
    </row>
    <row r="220" ht="15.0" customHeight="1">
      <c r="A220" s="786">
        <v>45824.0</v>
      </c>
      <c r="B220" s="787" t="s">
        <v>10229</v>
      </c>
      <c r="C220" s="788" t="s">
        <v>10139</v>
      </c>
      <c r="D220" s="789" t="s">
        <v>3572</v>
      </c>
      <c r="E220" s="790" t="str">
        <f>IFERROR(VLOOKUP(D220,Stock,3,FALSE),"")</f>
        <v>Toyota Innova 15- 2nd Gen</v>
      </c>
      <c r="F220" s="788">
        <v>1.0</v>
      </c>
      <c r="G220" s="811">
        <v>440000.0</v>
      </c>
      <c r="H220" s="799">
        <f t="shared" si="6"/>
        <v>440000</v>
      </c>
      <c r="I220" s="800"/>
      <c r="J220" s="812"/>
      <c r="K220" s="848" t="s">
        <v>3191</v>
      </c>
      <c r="L220" s="802" t="s">
        <v>10137</v>
      </c>
      <c r="M220" s="806" t="s">
        <v>2763</v>
      </c>
      <c r="N220" s="837">
        <v>45825.0</v>
      </c>
      <c r="O220" s="803"/>
    </row>
    <row r="221" ht="15.0" customHeight="1">
      <c r="A221" s="786">
        <v>45825.0</v>
      </c>
      <c r="B221" s="787" t="s">
        <v>10230</v>
      </c>
      <c r="C221" s="788" t="s">
        <v>10139</v>
      </c>
      <c r="D221" s="789" t="s">
        <v>3588</v>
      </c>
      <c r="E221" s="790" t="str">
        <f>IFERROR(VLOOKUP(D221,Stock,3,FALSE),"")</f>
        <v>Toyota Fortuner 15- 2nd Gen</v>
      </c>
      <c r="F221" s="788">
        <v>1.0</v>
      </c>
      <c r="G221" s="811">
        <v>215325.0</v>
      </c>
      <c r="H221" s="799">
        <f t="shared" si="6"/>
        <v>215325</v>
      </c>
      <c r="I221" s="800"/>
      <c r="J221" s="812"/>
      <c r="K221" s="848" t="s">
        <v>3191</v>
      </c>
      <c r="L221" s="802" t="s">
        <v>10137</v>
      </c>
      <c r="M221" s="806" t="s">
        <v>2763</v>
      </c>
      <c r="N221" s="837">
        <v>45825.0</v>
      </c>
      <c r="O221" s="803"/>
    </row>
    <row r="222" ht="15.0" customHeight="1">
      <c r="A222" s="786">
        <v>45825.0</v>
      </c>
      <c r="B222" s="787">
        <v>2506557.0</v>
      </c>
      <c r="C222" s="788" t="s">
        <v>10136</v>
      </c>
      <c r="D222" s="789" t="s">
        <v>3584</v>
      </c>
      <c r="E222" s="790" t="str">
        <f>IFERROR(VLOOKUP(D222,Stock,3,FALSE),"")</f>
        <v>Hino Ranger Louhan 03- / Hino 500</v>
      </c>
      <c r="F222" s="788">
        <v>2.0</v>
      </c>
      <c r="G222" s="811">
        <v>942600.0</v>
      </c>
      <c r="H222" s="799">
        <f t="shared" si="6"/>
        <v>1885200</v>
      </c>
      <c r="I222" s="800"/>
      <c r="J222" s="812"/>
      <c r="K222" s="848" t="s">
        <v>10198</v>
      </c>
      <c r="L222" s="802" t="s">
        <v>10137</v>
      </c>
      <c r="M222" s="806" t="s">
        <v>2763</v>
      </c>
      <c r="N222" s="837">
        <v>45878.0</v>
      </c>
      <c r="O222" s="803"/>
    </row>
    <row r="223" ht="15.0" customHeight="1">
      <c r="A223" s="786">
        <v>45825.0</v>
      </c>
      <c r="B223" s="787">
        <v>2506559.0</v>
      </c>
      <c r="C223" s="788" t="s">
        <v>10136</v>
      </c>
      <c r="D223" s="789" t="s">
        <v>3043</v>
      </c>
      <c r="E223" s="790" t="str">
        <f>IFERROR(VLOOKUP(D223,Stock,3,FALSE),"")</f>
        <v>Honda CR-V 17- 5th Gen</v>
      </c>
      <c r="F223" s="788">
        <v>1.0</v>
      </c>
      <c r="G223" s="811">
        <v>931200.0</v>
      </c>
      <c r="H223" s="799">
        <f t="shared" si="6"/>
        <v>931200</v>
      </c>
      <c r="I223" s="800"/>
      <c r="J223" s="812"/>
      <c r="K223" s="848" t="s">
        <v>10198</v>
      </c>
      <c r="L223" s="802" t="s">
        <v>10137</v>
      </c>
      <c r="M223" s="833" t="s">
        <v>2763</v>
      </c>
      <c r="N223" s="849">
        <v>45878.0</v>
      </c>
      <c r="O223" s="803"/>
    </row>
    <row r="224" ht="15.0" customHeight="1">
      <c r="A224" s="786">
        <v>45826.0</v>
      </c>
      <c r="B224" s="787" t="s">
        <v>10231</v>
      </c>
      <c r="C224" s="788" t="s">
        <v>10139</v>
      </c>
      <c r="D224" s="789" t="s">
        <v>2881</v>
      </c>
      <c r="E224" s="790" t="str">
        <f>IFERROR(VLOOKUP(D224,Stock,3,FALSE),"")</f>
        <v>Mitsubishi Outlander 10-21 GA3</v>
      </c>
      <c r="F224" s="788">
        <v>1.0</v>
      </c>
      <c r="G224" s="811">
        <v>1206900.0</v>
      </c>
      <c r="H224" s="799">
        <f t="shared" si="6"/>
        <v>1206900</v>
      </c>
      <c r="I224" s="800"/>
      <c r="J224" s="812"/>
      <c r="K224" s="848" t="s">
        <v>10198</v>
      </c>
      <c r="L224" s="802" t="s">
        <v>10137</v>
      </c>
      <c r="M224" s="806" t="s">
        <v>2763</v>
      </c>
      <c r="N224" s="837">
        <v>45833.0</v>
      </c>
      <c r="O224" s="803"/>
    </row>
    <row r="225" ht="15.0" customHeight="1">
      <c r="A225" s="786">
        <v>45826.0</v>
      </c>
      <c r="B225" s="787" t="s">
        <v>10232</v>
      </c>
      <c r="C225" s="788" t="s">
        <v>10148</v>
      </c>
      <c r="D225" s="789" t="s">
        <v>3354</v>
      </c>
      <c r="E225" s="790" t="str">
        <f>IFERROR(VLOOKUP(D225,Stock,3,FALSE),"")</f>
        <v>Honda Brio 10- / Mobilio 11- (Honda)</v>
      </c>
      <c r="F225" s="788">
        <v>1.0</v>
      </c>
      <c r="G225" s="811"/>
      <c r="H225" s="799">
        <f t="shared" si="6"/>
        <v>0</v>
      </c>
      <c r="I225" s="800"/>
      <c r="J225" s="812"/>
      <c r="K225" s="848" t="s">
        <v>3191</v>
      </c>
      <c r="L225" s="802" t="s">
        <v>10137</v>
      </c>
      <c r="M225" s="803"/>
      <c r="N225" s="803"/>
      <c r="O225" s="803"/>
    </row>
    <row r="226" ht="15.0" customHeight="1">
      <c r="A226" s="786">
        <v>45828.0</v>
      </c>
      <c r="B226" s="787">
        <v>2506692.0</v>
      </c>
      <c r="C226" s="788" t="s">
        <v>10136</v>
      </c>
      <c r="D226" s="789" t="s">
        <v>3246</v>
      </c>
      <c r="E226" s="790" t="str">
        <f>IFERROR(VLOOKUP(D226,Stock,3,FALSE),"")</f>
        <v>Toyota Calya / Sigra 16-</v>
      </c>
      <c r="F226" s="788">
        <v>1.0</v>
      </c>
      <c r="G226" s="811">
        <v>551400.0</v>
      </c>
      <c r="H226" s="799">
        <f t="shared" si="6"/>
        <v>551400</v>
      </c>
      <c r="I226" s="800"/>
      <c r="J226" s="812"/>
      <c r="K226" s="848" t="s">
        <v>10198</v>
      </c>
      <c r="L226" s="851" t="s">
        <v>10137</v>
      </c>
      <c r="M226" s="833" t="s">
        <v>2763</v>
      </c>
      <c r="N226" s="849">
        <v>45878.0</v>
      </c>
      <c r="O226" s="803"/>
    </row>
    <row r="227" ht="15.0" customHeight="1">
      <c r="A227" s="786">
        <v>45828.0</v>
      </c>
      <c r="B227" s="787">
        <v>2506692.0</v>
      </c>
      <c r="C227" s="788" t="s">
        <v>10136</v>
      </c>
      <c r="D227" s="789" t="s">
        <v>3595</v>
      </c>
      <c r="E227" s="790" t="str">
        <f>IFERROR(VLOOKUP(D227,Stock,3,FALSE),"")</f>
        <v>Nissan X-Trail 07-13 T31</v>
      </c>
      <c r="F227" s="788">
        <v>1.0</v>
      </c>
      <c r="G227" s="811">
        <v>856800.0</v>
      </c>
      <c r="H227" s="799">
        <f t="shared" si="6"/>
        <v>856800</v>
      </c>
      <c r="I227" s="800"/>
      <c r="J227" s="812"/>
      <c r="K227" s="848" t="s">
        <v>10198</v>
      </c>
      <c r="L227" s="851" t="s">
        <v>10137</v>
      </c>
      <c r="M227" s="833" t="s">
        <v>2763</v>
      </c>
      <c r="N227" s="849">
        <v>45878.0</v>
      </c>
      <c r="O227" s="803"/>
    </row>
    <row r="228" ht="15.0" customHeight="1">
      <c r="A228" s="786">
        <v>45829.0</v>
      </c>
      <c r="B228" s="787" t="s">
        <v>10233</v>
      </c>
      <c r="C228" s="788" t="s">
        <v>10139</v>
      </c>
      <c r="D228" s="789" t="s">
        <v>3605</v>
      </c>
      <c r="E228" s="790" t="str">
        <f>IFERROR(VLOOKUP(D228,Stock,3,FALSE),"")</f>
        <v>Isuzu Elf  93- NKR NHR </v>
      </c>
      <c r="F228" s="788">
        <v>1.0</v>
      </c>
      <c r="G228" s="811">
        <v>365000.0</v>
      </c>
      <c r="H228" s="799">
        <f t="shared" si="6"/>
        <v>365000</v>
      </c>
      <c r="I228" s="800"/>
      <c r="J228" s="812"/>
      <c r="K228" s="848" t="s">
        <v>3191</v>
      </c>
      <c r="L228" s="802" t="s">
        <v>10137</v>
      </c>
      <c r="M228" s="806" t="s">
        <v>2763</v>
      </c>
      <c r="N228" s="807">
        <v>45833.0</v>
      </c>
      <c r="O228" s="803"/>
    </row>
    <row r="229" ht="15.0" customHeight="1">
      <c r="A229" s="786">
        <v>45829.0</v>
      </c>
      <c r="B229" s="787" t="s">
        <v>10233</v>
      </c>
      <c r="C229" s="788" t="s">
        <v>10139</v>
      </c>
      <c r="D229" s="789" t="s">
        <v>3610</v>
      </c>
      <c r="E229" s="790" t="str">
        <f>IFERROR(VLOOKUP(D229,Stock,3,FALSE),"")</f>
        <v>Mers-Benz Axor 98- Truck / Fuso FJ25</v>
      </c>
      <c r="F229" s="788">
        <v>1.0</v>
      </c>
      <c r="G229" s="811">
        <v>1950000.0</v>
      </c>
      <c r="H229" s="799">
        <f t="shared" si="6"/>
        <v>1950000</v>
      </c>
      <c r="I229" s="800"/>
      <c r="J229" s="812"/>
      <c r="K229" s="848" t="s">
        <v>3191</v>
      </c>
      <c r="L229" s="802" t="s">
        <v>10137</v>
      </c>
      <c r="M229" s="806" t="s">
        <v>2763</v>
      </c>
      <c r="N229" s="807">
        <v>45833.0</v>
      </c>
      <c r="O229" s="803"/>
    </row>
    <row r="230" ht="15.0" customHeight="1">
      <c r="A230" s="786">
        <v>45829.0</v>
      </c>
      <c r="B230" s="787" t="s">
        <v>10233</v>
      </c>
      <c r="C230" s="788" t="s">
        <v>10139</v>
      </c>
      <c r="D230" s="789" t="s">
        <v>2003</v>
      </c>
      <c r="E230" s="790" t="str">
        <f>IFERROR(VLOOKUP(D230,Stock,3,FALSE),"")</f>
        <v>Toyota Agya/Ayla 13-22 1st Gen</v>
      </c>
      <c r="F230" s="788">
        <v>1.0</v>
      </c>
      <c r="G230" s="811">
        <v>472500.0</v>
      </c>
      <c r="H230" s="799">
        <f t="shared" si="6"/>
        <v>472500</v>
      </c>
      <c r="I230" s="800"/>
      <c r="J230" s="812"/>
      <c r="K230" s="848" t="s">
        <v>3191</v>
      </c>
      <c r="L230" s="802" t="s">
        <v>10137</v>
      </c>
      <c r="M230" s="806" t="s">
        <v>2763</v>
      </c>
      <c r="N230" s="807">
        <v>45833.0</v>
      </c>
      <c r="O230" s="803"/>
    </row>
    <row r="231" ht="15.0" customHeight="1">
      <c r="A231" s="786">
        <v>45830.0</v>
      </c>
      <c r="B231" s="787" t="s">
        <v>10234</v>
      </c>
      <c r="C231" s="788" t="s">
        <v>10139</v>
      </c>
      <c r="D231" s="789" t="s">
        <v>3621</v>
      </c>
      <c r="E231" s="790" t="str">
        <f>IFERROR(VLOOKUP(D231,Stock,3,FALSE),"")</f>
        <v>Mitsubishi Pajero 08-16</v>
      </c>
      <c r="F231" s="788">
        <v>1.0</v>
      </c>
      <c r="G231" s="811">
        <v>948375.0</v>
      </c>
      <c r="H231" s="799">
        <f t="shared" si="6"/>
        <v>948375</v>
      </c>
      <c r="I231" s="800"/>
      <c r="J231" s="812"/>
      <c r="K231" s="848" t="s">
        <v>3191</v>
      </c>
      <c r="L231" s="802" t="s">
        <v>10137</v>
      </c>
      <c r="M231" s="806" t="s">
        <v>2763</v>
      </c>
      <c r="N231" s="807">
        <v>45833.0</v>
      </c>
      <c r="O231" s="803"/>
    </row>
    <row r="232" ht="15.0" customHeight="1">
      <c r="A232" s="786">
        <v>45830.0</v>
      </c>
      <c r="B232" s="787" t="s">
        <v>10234</v>
      </c>
      <c r="C232" s="788" t="s">
        <v>10139</v>
      </c>
      <c r="D232" s="789" t="s">
        <v>2962</v>
      </c>
      <c r="E232" s="790" t="str">
        <f>IFERROR(VLOOKUP(D232,Stock,3,FALSE),"")</f>
        <v>Lembur</v>
      </c>
      <c r="F232" s="788">
        <v>1.0</v>
      </c>
      <c r="G232" s="811">
        <v>100000.0</v>
      </c>
      <c r="H232" s="799">
        <f t="shared" si="6"/>
        <v>100000</v>
      </c>
      <c r="I232" s="800"/>
      <c r="J232" s="812"/>
      <c r="K232" s="848" t="s">
        <v>3191</v>
      </c>
      <c r="L232" s="802" t="s">
        <v>10137</v>
      </c>
      <c r="M232" s="806" t="s">
        <v>2763</v>
      </c>
      <c r="N232" s="807">
        <v>45833.0</v>
      </c>
      <c r="O232" s="803"/>
    </row>
    <row r="233" ht="15.0" customHeight="1">
      <c r="A233" s="786">
        <v>45831.0</v>
      </c>
      <c r="B233" s="787">
        <v>2506708.0</v>
      </c>
      <c r="C233" s="788" t="s">
        <v>10136</v>
      </c>
      <c r="D233" s="789" t="s">
        <v>3626</v>
      </c>
      <c r="E233" s="790" t="str">
        <f>IFERROR(VLOOKUP(D233,Stock,3,FALSE),"")</f>
        <v>BMW 3 Series 05-12 E90</v>
      </c>
      <c r="F233" s="788">
        <v>1.0</v>
      </c>
      <c r="G233" s="811">
        <v>1545600.0</v>
      </c>
      <c r="H233" s="799">
        <f t="shared" si="6"/>
        <v>1545600</v>
      </c>
      <c r="I233" s="800"/>
      <c r="J233" s="812"/>
      <c r="K233" s="848" t="s">
        <v>10198</v>
      </c>
      <c r="L233" s="802" t="s">
        <v>10137</v>
      </c>
      <c r="M233" s="833" t="s">
        <v>2763</v>
      </c>
      <c r="N233" s="849">
        <v>45878.0</v>
      </c>
      <c r="O233" s="803"/>
    </row>
    <row r="234" ht="15.0" customHeight="1">
      <c r="A234" s="786">
        <v>45831.0</v>
      </c>
      <c r="B234" s="787" t="s">
        <v>10235</v>
      </c>
      <c r="C234" s="788" t="s">
        <v>10139</v>
      </c>
      <c r="D234" s="789" t="s">
        <v>5539</v>
      </c>
      <c r="E234" s="790" t="str">
        <f>IFERROR(VLOOKUP(D234,Stock,3,FALSE),"")</f>
        <v>Honda Jazz 13- 3rd Gen</v>
      </c>
      <c r="F234" s="788">
        <v>1.0</v>
      </c>
      <c r="G234" s="811">
        <v>825000.0</v>
      </c>
      <c r="H234" s="799">
        <f t="shared" si="6"/>
        <v>825000</v>
      </c>
      <c r="I234" s="800"/>
      <c r="J234" s="812"/>
      <c r="K234" s="848" t="s">
        <v>3191</v>
      </c>
      <c r="L234" s="802" t="s">
        <v>10137</v>
      </c>
      <c r="M234" s="806" t="s">
        <v>2763</v>
      </c>
      <c r="N234" s="807">
        <v>45833.0</v>
      </c>
      <c r="O234" s="803"/>
    </row>
    <row r="235" ht="15.0" customHeight="1">
      <c r="A235" s="786">
        <v>45835.0</v>
      </c>
      <c r="B235" s="787" t="s">
        <v>10236</v>
      </c>
      <c r="C235" s="788" t="s">
        <v>10139</v>
      </c>
      <c r="D235" s="789" t="s">
        <v>2939</v>
      </c>
      <c r="E235" s="790" t="str">
        <f>IFERROR(VLOOKUP(D235,Stock,3,FALSE),"")</f>
        <v>Honda CR-V 17- 5th Gen</v>
      </c>
      <c r="F235" s="788">
        <v>1.0</v>
      </c>
      <c r="G235" s="811">
        <v>699975.0</v>
      </c>
      <c r="H235" s="799">
        <f t="shared" si="6"/>
        <v>699975</v>
      </c>
      <c r="I235" s="800"/>
      <c r="J235" s="812"/>
      <c r="K235" s="848" t="s">
        <v>3191</v>
      </c>
      <c r="L235" s="802" t="s">
        <v>10137</v>
      </c>
      <c r="M235" s="806" t="s">
        <v>2763</v>
      </c>
      <c r="N235" s="807">
        <v>45839.0</v>
      </c>
      <c r="O235" s="803"/>
    </row>
    <row r="236" ht="15.0" customHeight="1">
      <c r="A236" s="786">
        <v>45835.0</v>
      </c>
      <c r="B236" s="787" t="s">
        <v>10236</v>
      </c>
      <c r="C236" s="788" t="s">
        <v>10139</v>
      </c>
      <c r="D236" s="789" t="s">
        <v>2962</v>
      </c>
      <c r="E236" s="790" t="str">
        <f>IFERROR(VLOOKUP(D236,Stock,3,FALSE),"")</f>
        <v>Lembur</v>
      </c>
      <c r="F236" s="788">
        <v>1.0</v>
      </c>
      <c r="G236" s="811">
        <v>100000.0</v>
      </c>
      <c r="H236" s="799">
        <f t="shared" si="6"/>
        <v>100000</v>
      </c>
      <c r="I236" s="800"/>
      <c r="J236" s="812"/>
      <c r="K236" s="848" t="s">
        <v>3191</v>
      </c>
      <c r="L236" s="802" t="s">
        <v>10137</v>
      </c>
      <c r="M236" s="806" t="s">
        <v>2763</v>
      </c>
      <c r="N236" s="807">
        <v>45839.0</v>
      </c>
      <c r="O236" s="803"/>
    </row>
    <row r="237" ht="15.0" customHeight="1">
      <c r="A237" s="786">
        <v>45834.0</v>
      </c>
      <c r="B237" s="787">
        <v>2506802.0</v>
      </c>
      <c r="C237" s="788" t="s">
        <v>10136</v>
      </c>
      <c r="D237" s="789" t="s">
        <v>3643</v>
      </c>
      <c r="E237" s="790" t="str">
        <f>IFERROR(VLOOKUP(D237,Stock,3,FALSE),"")</f>
        <v>Honda Jazz 01-07 1st Gen</v>
      </c>
      <c r="F237" s="788">
        <v>1.0</v>
      </c>
      <c r="G237" s="811">
        <v>734400.0</v>
      </c>
      <c r="H237" s="799">
        <f t="shared" si="6"/>
        <v>734400</v>
      </c>
      <c r="I237" s="800"/>
      <c r="J237" s="812"/>
      <c r="K237" s="813"/>
      <c r="L237" s="802" t="s">
        <v>10137</v>
      </c>
      <c r="M237" s="833" t="s">
        <v>2763</v>
      </c>
      <c r="N237" s="849">
        <v>45878.0</v>
      </c>
      <c r="O237" s="803"/>
    </row>
    <row r="238" ht="15.0" customHeight="1">
      <c r="A238" s="786">
        <v>45834.0</v>
      </c>
      <c r="B238" s="787">
        <v>2506802.0</v>
      </c>
      <c r="C238" s="788" t="s">
        <v>10136</v>
      </c>
      <c r="D238" s="789" t="s">
        <v>3142</v>
      </c>
      <c r="E238" s="790" t="str">
        <f>IFERROR(VLOOKUP(D238,Stock,3,FALSE),"")</f>
        <v>Mitsubishi Xpander 17-</v>
      </c>
      <c r="F238" s="788">
        <v>1.0</v>
      </c>
      <c r="G238" s="811">
        <v>806400.0</v>
      </c>
      <c r="H238" s="799">
        <f t="shared" si="6"/>
        <v>806400</v>
      </c>
      <c r="I238" s="800"/>
      <c r="J238" s="812"/>
      <c r="K238" s="813"/>
      <c r="L238" s="802" t="s">
        <v>10137</v>
      </c>
      <c r="M238" s="833" t="s">
        <v>2763</v>
      </c>
      <c r="N238" s="849">
        <v>45878.0</v>
      </c>
      <c r="O238" s="803"/>
    </row>
    <row r="239" ht="15.0" customHeight="1">
      <c r="A239" s="786">
        <v>45831.0</v>
      </c>
      <c r="B239" s="787" t="s">
        <v>10237</v>
      </c>
      <c r="C239" s="788" t="s">
        <v>10148</v>
      </c>
      <c r="D239" s="789" t="s">
        <v>3638</v>
      </c>
      <c r="E239" s="790" t="str">
        <f>IFERROR(VLOOKUP(D239,Stock,3,FALSE),"")</f>
        <v>Mazda CX-5 12-17 1st Gen KE Pre - (1 Sensor/ □ )</v>
      </c>
      <c r="F239" s="788">
        <v>1.0</v>
      </c>
      <c r="G239" s="811"/>
      <c r="H239" s="799">
        <f t="shared" si="6"/>
        <v>0</v>
      </c>
      <c r="I239" s="800"/>
      <c r="J239" s="812"/>
      <c r="K239" s="848" t="s">
        <v>3191</v>
      </c>
      <c r="L239" s="802" t="s">
        <v>10137</v>
      </c>
      <c r="M239" s="803"/>
      <c r="N239" s="803"/>
      <c r="O239" s="803"/>
    </row>
    <row r="240" ht="15.0" customHeight="1">
      <c r="A240" s="786">
        <v>45836.0</v>
      </c>
      <c r="B240" s="787" t="s">
        <v>10238</v>
      </c>
      <c r="C240" s="788" t="s">
        <v>10148</v>
      </c>
      <c r="D240" s="789" t="s">
        <v>3680</v>
      </c>
      <c r="E240" s="790" t="str">
        <f>IFERROR(VLOOKUP(D240,Stock,3,FALSE),"")</f>
        <v>Wuling Almaz (Orisinil)</v>
      </c>
      <c r="F240" s="788">
        <v>1.0</v>
      </c>
      <c r="G240" s="811"/>
      <c r="H240" s="799">
        <f t="shared" si="6"/>
        <v>0</v>
      </c>
      <c r="I240" s="800"/>
      <c r="J240" s="812"/>
      <c r="K240" s="848" t="s">
        <v>3191</v>
      </c>
      <c r="L240" s="802" t="s">
        <v>10137</v>
      </c>
      <c r="M240" s="803"/>
      <c r="N240" s="803"/>
      <c r="O240" s="803"/>
    </row>
    <row r="241" ht="15.0" customHeight="1">
      <c r="A241" s="786">
        <v>45836.0</v>
      </c>
      <c r="B241" s="787" t="s">
        <v>10238</v>
      </c>
      <c r="C241" s="788" t="s">
        <v>10148</v>
      </c>
      <c r="D241" s="789" t="s">
        <v>3354</v>
      </c>
      <c r="E241" s="790" t="str">
        <f>IFERROR(VLOOKUP(D241,Stock,3,FALSE),"")</f>
        <v>Honda Brio 10- / Mobilio 11- (Honda)</v>
      </c>
      <c r="F241" s="788">
        <v>1.0</v>
      </c>
      <c r="G241" s="811"/>
      <c r="H241" s="799">
        <f t="shared" si="6"/>
        <v>0</v>
      </c>
      <c r="I241" s="800"/>
      <c r="J241" s="812"/>
      <c r="K241" s="848" t="s">
        <v>3191</v>
      </c>
      <c r="L241" s="802" t="s">
        <v>10137</v>
      </c>
      <c r="M241" s="803"/>
      <c r="N241" s="803"/>
      <c r="O241" s="803"/>
    </row>
    <row r="242" ht="15.0" customHeight="1">
      <c r="A242" s="786">
        <v>45831.0</v>
      </c>
      <c r="B242" s="787">
        <v>2506728.0</v>
      </c>
      <c r="C242" s="788" t="s">
        <v>10136</v>
      </c>
      <c r="D242" s="789" t="s">
        <v>3634</v>
      </c>
      <c r="E242" s="790" t="str">
        <f>IFERROR(VLOOKUP(D242,Stock,3,FALSE),"")</f>
        <v>Toyota Agya/Ayla 13-22 1st Gen (Toyota/Daihatsu)</v>
      </c>
      <c r="F242" s="788">
        <v>1.0</v>
      </c>
      <c r="G242" s="811">
        <v>362400.0</v>
      </c>
      <c r="H242" s="799">
        <f t="shared" si="6"/>
        <v>362400</v>
      </c>
      <c r="I242" s="800"/>
      <c r="J242" s="812"/>
      <c r="K242" s="848" t="s">
        <v>9900</v>
      </c>
      <c r="L242" s="802" t="s">
        <v>10137</v>
      </c>
      <c r="M242" s="806" t="s">
        <v>2763</v>
      </c>
      <c r="N242" s="849">
        <v>45878.0</v>
      </c>
      <c r="O242" s="803"/>
    </row>
    <row r="243" ht="15.0" customHeight="1">
      <c r="A243" s="786">
        <v>45838.0</v>
      </c>
      <c r="B243" s="787">
        <v>2506875.0</v>
      </c>
      <c r="C243" s="788" t="s">
        <v>10136</v>
      </c>
      <c r="D243" s="789" t="s">
        <v>3700</v>
      </c>
      <c r="E243" s="790" t="str">
        <f>IFERROR(VLOOKUP(D243,Stock,3,FALSE),"")</f>
        <v>Toyota Avanza / Xenia 11-15 2nd Gen / 15-21 3rd Gen</v>
      </c>
      <c r="F243" s="788">
        <v>1.0</v>
      </c>
      <c r="G243" s="811">
        <v>359400.0</v>
      </c>
      <c r="H243" s="799">
        <f t="shared" si="6"/>
        <v>359400</v>
      </c>
      <c r="I243" s="800"/>
      <c r="J243" s="812"/>
      <c r="K243" s="848" t="s">
        <v>9900</v>
      </c>
      <c r="L243" s="802" t="s">
        <v>10137</v>
      </c>
      <c r="M243" s="806" t="s">
        <v>2763</v>
      </c>
      <c r="N243" s="849">
        <v>45878.0</v>
      </c>
      <c r="O243" s="803"/>
    </row>
    <row r="244" ht="15.0" customHeight="1">
      <c r="A244" s="786">
        <v>45836.0</v>
      </c>
      <c r="B244" s="787" t="s">
        <v>10239</v>
      </c>
      <c r="C244" s="788" t="s">
        <v>10139</v>
      </c>
      <c r="D244" s="789" t="s">
        <v>2877</v>
      </c>
      <c r="E244" s="790" t="str">
        <f>IFERROR(VLOOKUP(D244,Stock,3,FALSE),"")</f>
        <v>Toyota Dyna/Hino Dutro 00-</v>
      </c>
      <c r="F244" s="788">
        <v>1.0</v>
      </c>
      <c r="G244" s="811">
        <v>641250.0</v>
      </c>
      <c r="H244" s="799">
        <f t="shared" si="6"/>
        <v>641250</v>
      </c>
      <c r="I244" s="800"/>
      <c r="J244" s="812"/>
      <c r="K244" s="848" t="s">
        <v>3191</v>
      </c>
      <c r="L244" s="833" t="s">
        <v>10137</v>
      </c>
      <c r="M244" s="833" t="s">
        <v>2763</v>
      </c>
      <c r="N244" s="849">
        <v>45839.0</v>
      </c>
      <c r="O244" s="803"/>
    </row>
    <row r="245" ht="15.0" customHeight="1">
      <c r="A245" s="786">
        <v>45836.0</v>
      </c>
      <c r="B245" s="787" t="s">
        <v>10239</v>
      </c>
      <c r="C245" s="788" t="s">
        <v>10139</v>
      </c>
      <c r="D245" s="789" t="s">
        <v>3483</v>
      </c>
      <c r="E245" s="790" t="str">
        <f>IFERROR(VLOOKUP(D245,Stock,3,FALSE),"")</f>
        <v>Honda HR-V 14-21 5D SUV</v>
      </c>
      <c r="F245" s="788">
        <v>1.0</v>
      </c>
      <c r="G245" s="811">
        <v>1100000.0</v>
      </c>
      <c r="H245" s="799">
        <f t="shared" si="6"/>
        <v>1100000</v>
      </c>
      <c r="I245" s="800"/>
      <c r="J245" s="812"/>
      <c r="K245" s="848" t="s">
        <v>3191</v>
      </c>
      <c r="L245" s="833" t="s">
        <v>10137</v>
      </c>
      <c r="M245" s="833" t="s">
        <v>2763</v>
      </c>
      <c r="N245" s="849">
        <v>45839.0</v>
      </c>
      <c r="O245" s="803"/>
    </row>
    <row r="246" ht="15.0" customHeight="1">
      <c r="A246" s="786">
        <v>45836.0</v>
      </c>
      <c r="B246" s="787" t="s">
        <v>10240</v>
      </c>
      <c r="C246" s="788" t="s">
        <v>10148</v>
      </c>
      <c r="D246" s="789" t="s">
        <v>3354</v>
      </c>
      <c r="E246" s="790" t="str">
        <f>IFERROR(VLOOKUP(D246,Stock,3,FALSE),"")</f>
        <v>Honda Brio 10- / Mobilio 11- (Honda)</v>
      </c>
      <c r="F246" s="788">
        <v>1.0</v>
      </c>
      <c r="G246" s="811"/>
      <c r="H246" s="799">
        <f t="shared" si="6"/>
        <v>0</v>
      </c>
      <c r="I246" s="800"/>
      <c r="J246" s="812"/>
      <c r="K246" s="813"/>
      <c r="L246" s="805"/>
      <c r="M246" s="803"/>
      <c r="N246" s="803"/>
      <c r="O246" s="803"/>
    </row>
    <row r="247" ht="15.0" customHeight="1">
      <c r="A247" s="786">
        <v>45836.0</v>
      </c>
      <c r="B247" s="787" t="s">
        <v>10240</v>
      </c>
      <c r="C247" s="788" t="s">
        <v>10148</v>
      </c>
      <c r="D247" s="789" t="s">
        <v>3662</v>
      </c>
      <c r="E247" s="790" t="str">
        <f>IFERROR(VLOOKUP(D247,Stock,3,FALSE),"")</f>
        <v>Toyota Innova 15-22 2nd Gen (Toyota)</v>
      </c>
      <c r="F247" s="788">
        <v>1.0</v>
      </c>
      <c r="G247" s="811"/>
      <c r="H247" s="799">
        <f t="shared" si="6"/>
        <v>0</v>
      </c>
      <c r="I247" s="800"/>
      <c r="J247" s="812"/>
      <c r="K247" s="813"/>
      <c r="L247" s="805"/>
      <c r="M247" s="803"/>
      <c r="N247" s="803"/>
      <c r="O247" s="803"/>
    </row>
    <row r="248" ht="15.0" customHeight="1">
      <c r="A248" s="786">
        <v>45836.0</v>
      </c>
      <c r="B248" s="787" t="s">
        <v>10240</v>
      </c>
      <c r="C248" s="788" t="s">
        <v>10148</v>
      </c>
      <c r="D248" s="789" t="s">
        <v>3696</v>
      </c>
      <c r="E248" s="790" t="str">
        <f>IFERROR(VLOOKUP(D248,Stock,3,FALSE),"")</f>
        <v>Suzuki Carry New 19- (Suzuki)</v>
      </c>
      <c r="F248" s="788">
        <v>1.0</v>
      </c>
      <c r="G248" s="811"/>
      <c r="H248" s="799">
        <f t="shared" si="6"/>
        <v>0</v>
      </c>
      <c r="I248" s="800"/>
      <c r="J248" s="812"/>
      <c r="K248" s="813"/>
      <c r="L248" s="805"/>
      <c r="M248" s="803"/>
      <c r="N248" s="803"/>
      <c r="O248" s="803"/>
    </row>
    <row r="249" ht="15.0" customHeight="1">
      <c r="A249" s="786">
        <v>45838.0</v>
      </c>
      <c r="B249" s="787" t="s">
        <v>10241</v>
      </c>
      <c r="C249" s="788" t="s">
        <v>10139</v>
      </c>
      <c r="D249" s="789" t="s">
        <v>3686</v>
      </c>
      <c r="E249" s="790" t="str">
        <f>IFERROR(VLOOKUP(D249,Stock,3,FALSE),"")</f>
        <v>Honda Jazz 01-07 1st Gen</v>
      </c>
      <c r="F249" s="788">
        <v>1.0</v>
      </c>
      <c r="G249" s="811">
        <v>677025.0</v>
      </c>
      <c r="H249" s="799">
        <f t="shared" si="6"/>
        <v>677025</v>
      </c>
      <c r="I249" s="800"/>
      <c r="J249" s="812"/>
      <c r="K249" s="848" t="s">
        <v>10242</v>
      </c>
      <c r="L249" s="802" t="s">
        <v>10137</v>
      </c>
      <c r="M249" s="833" t="s">
        <v>2763</v>
      </c>
      <c r="N249" s="849">
        <v>45839.0</v>
      </c>
      <c r="O249" s="803"/>
    </row>
    <row r="250" ht="15.0" customHeight="1">
      <c r="A250" s="786">
        <v>45838.0</v>
      </c>
      <c r="B250" s="787" t="s">
        <v>10241</v>
      </c>
      <c r="C250" s="788" t="s">
        <v>10139</v>
      </c>
      <c r="D250" s="789" t="s">
        <v>3691</v>
      </c>
      <c r="E250" s="790" t="str">
        <f>IFERROR(VLOOKUP(D250,Stock,3,FALSE),"")</f>
        <v>Daihatsu Gran Max</v>
      </c>
      <c r="F250" s="788">
        <v>1.0</v>
      </c>
      <c r="G250" s="811">
        <v>190000.0</v>
      </c>
      <c r="H250" s="799">
        <f t="shared" si="6"/>
        <v>190000</v>
      </c>
      <c r="I250" s="800"/>
      <c r="J250" s="812"/>
      <c r="K250" s="848" t="s">
        <v>10242</v>
      </c>
      <c r="L250" s="802" t="s">
        <v>10137</v>
      </c>
      <c r="M250" s="833" t="s">
        <v>2763</v>
      </c>
      <c r="N250" s="849">
        <v>45839.0</v>
      </c>
      <c r="O250" s="803"/>
    </row>
    <row r="251" ht="15.0" customHeight="1">
      <c r="A251" s="786">
        <v>45838.0</v>
      </c>
      <c r="B251" s="787" t="s">
        <v>10241</v>
      </c>
      <c r="C251" s="788" t="s">
        <v>10139</v>
      </c>
      <c r="D251" s="789" t="s">
        <v>2962</v>
      </c>
      <c r="E251" s="790" t="str">
        <f>IFERROR(VLOOKUP(D251,Stock,3,FALSE),"")</f>
        <v>Lembur</v>
      </c>
      <c r="F251" s="788">
        <v>2.0</v>
      </c>
      <c r="G251" s="811">
        <v>100000.0</v>
      </c>
      <c r="H251" s="799">
        <f t="shared" si="6"/>
        <v>200000</v>
      </c>
      <c r="I251" s="800"/>
      <c r="J251" s="812"/>
      <c r="K251" s="848" t="s">
        <v>10242</v>
      </c>
      <c r="L251" s="802" t="s">
        <v>10137</v>
      </c>
      <c r="M251" s="833" t="s">
        <v>2763</v>
      </c>
      <c r="N251" s="849">
        <v>45839.0</v>
      </c>
      <c r="O251" s="803"/>
    </row>
    <row r="252" ht="15.0" customHeight="1">
      <c r="A252" s="786">
        <v>45839.0</v>
      </c>
      <c r="B252" s="787" t="s">
        <v>10243</v>
      </c>
      <c r="C252" s="788" t="s">
        <v>10139</v>
      </c>
      <c r="D252" s="789" t="s">
        <v>3732</v>
      </c>
      <c r="E252" s="790" t="str">
        <f>IFERROR(VLOOKUP(D252,Stock,3,FALSE),"")</f>
        <v>Honda Jazz 01-07 1st Gen</v>
      </c>
      <c r="F252" s="788">
        <v>1.0</v>
      </c>
      <c r="G252" s="811">
        <v>390000.0</v>
      </c>
      <c r="H252" s="799">
        <f t="shared" si="6"/>
        <v>390000</v>
      </c>
      <c r="I252" s="800"/>
      <c r="J252" s="812"/>
      <c r="K252" s="848" t="s">
        <v>10242</v>
      </c>
      <c r="L252" s="802" t="s">
        <v>10137</v>
      </c>
      <c r="M252" s="833" t="s">
        <v>2763</v>
      </c>
      <c r="N252" s="837">
        <v>45840.0</v>
      </c>
      <c r="O252" s="803"/>
    </row>
    <row r="253" ht="15.0" customHeight="1">
      <c r="A253" s="786">
        <v>45840.0</v>
      </c>
      <c r="B253" s="787" t="s">
        <v>10244</v>
      </c>
      <c r="C253" s="788" t="s">
        <v>10139</v>
      </c>
      <c r="D253" s="789" t="s">
        <v>3147</v>
      </c>
      <c r="E253" s="790" t="str">
        <f>IFERROR(VLOOKUP(D253,Stock,3,FALSE),"")</f>
        <v>Chevrolet Spin 12-</v>
      </c>
      <c r="F253" s="788">
        <v>1.0</v>
      </c>
      <c r="G253" s="811">
        <v>911250.0</v>
      </c>
      <c r="H253" s="799">
        <f t="shared" si="6"/>
        <v>911250</v>
      </c>
      <c r="I253" s="800"/>
      <c r="J253" s="812"/>
      <c r="K253" s="848" t="s">
        <v>10242</v>
      </c>
      <c r="L253" s="802" t="s">
        <v>10137</v>
      </c>
      <c r="M253" s="806" t="s">
        <v>2763</v>
      </c>
      <c r="N253" s="837">
        <v>45840.0</v>
      </c>
      <c r="O253" s="803"/>
    </row>
    <row r="254" ht="15.0" customHeight="1">
      <c r="A254" s="786">
        <v>45839.0</v>
      </c>
      <c r="B254" s="787">
        <v>2507030.0</v>
      </c>
      <c r="C254" s="788" t="s">
        <v>10136</v>
      </c>
      <c r="D254" s="789" t="s">
        <v>3621</v>
      </c>
      <c r="E254" s="790" t="str">
        <f>IFERROR(VLOOKUP(D254,Stock,3,FALSE),"")</f>
        <v>Mitsubishi Pajero 08-16</v>
      </c>
      <c r="F254" s="788">
        <v>1.0</v>
      </c>
      <c r="G254" s="811">
        <v>772750.0</v>
      </c>
      <c r="H254" s="799">
        <f t="shared" si="6"/>
        <v>772750</v>
      </c>
      <c r="I254" s="800"/>
      <c r="J254" s="812"/>
      <c r="K254" s="848" t="s">
        <v>10242</v>
      </c>
      <c r="L254" s="802" t="s">
        <v>10137</v>
      </c>
      <c r="M254" s="806" t="s">
        <v>2763</v>
      </c>
      <c r="N254" s="837">
        <v>45892.0</v>
      </c>
      <c r="O254" s="803"/>
    </row>
    <row r="255" ht="15.0" customHeight="1">
      <c r="A255" s="786">
        <v>45839.0</v>
      </c>
      <c r="B255" s="787">
        <v>2507030.0</v>
      </c>
      <c r="C255" s="788" t="s">
        <v>10136</v>
      </c>
      <c r="D255" s="789" t="s">
        <v>3715</v>
      </c>
      <c r="E255" s="790" t="str">
        <f>IFERROR(VLOOKUP(D255,Stock,3,FALSE),"")</f>
        <v>Suzuki Grand Escudo 00-05</v>
      </c>
      <c r="F255" s="788">
        <v>1.0</v>
      </c>
      <c r="G255" s="811">
        <v>837650.0</v>
      </c>
      <c r="H255" s="799">
        <f t="shared" si="6"/>
        <v>837650</v>
      </c>
      <c r="I255" s="800"/>
      <c r="J255" s="812"/>
      <c r="K255" s="848" t="s">
        <v>10242</v>
      </c>
      <c r="L255" s="802" t="s">
        <v>10137</v>
      </c>
      <c r="M255" s="806" t="s">
        <v>2763</v>
      </c>
      <c r="N255" s="837">
        <v>45892.0</v>
      </c>
      <c r="O255" s="803"/>
    </row>
    <row r="256" ht="15.0" customHeight="1">
      <c r="A256" s="786">
        <v>45840.0</v>
      </c>
      <c r="B256" s="787">
        <v>2507071.0</v>
      </c>
      <c r="C256" s="788" t="s">
        <v>10136</v>
      </c>
      <c r="D256" s="789" t="s">
        <v>3246</v>
      </c>
      <c r="E256" s="790" t="str">
        <f>IFERROR(VLOOKUP(D256,Stock,3,FALSE),"")</f>
        <v>Toyota Calya / Sigra 16-</v>
      </c>
      <c r="F256" s="788">
        <v>3.0</v>
      </c>
      <c r="G256" s="811">
        <v>505450.0</v>
      </c>
      <c r="H256" s="799">
        <f t="shared" si="6"/>
        <v>1516350</v>
      </c>
      <c r="I256" s="800"/>
      <c r="J256" s="812"/>
      <c r="K256" s="848" t="s">
        <v>10242</v>
      </c>
      <c r="L256" s="802" t="s">
        <v>10137</v>
      </c>
      <c r="M256" s="806" t="s">
        <v>2763</v>
      </c>
      <c r="N256" s="837">
        <v>45892.0</v>
      </c>
      <c r="O256" s="803"/>
    </row>
    <row r="257" ht="15.0" customHeight="1">
      <c r="A257" s="786">
        <v>45840.0</v>
      </c>
      <c r="B257" s="787">
        <v>2507071.0</v>
      </c>
      <c r="C257" s="788" t="s">
        <v>10136</v>
      </c>
      <c r="D257" s="789" t="s">
        <v>2003</v>
      </c>
      <c r="E257" s="790" t="str">
        <f>IFERROR(VLOOKUP(D257,Stock,3,FALSE),"")</f>
        <v>Toyota Agya/Ayla 13-22 1st Gen</v>
      </c>
      <c r="F257" s="788">
        <v>3.0</v>
      </c>
      <c r="G257" s="811">
        <v>385000.0</v>
      </c>
      <c r="H257" s="799">
        <f t="shared" si="6"/>
        <v>1155000</v>
      </c>
      <c r="I257" s="800"/>
      <c r="J257" s="812"/>
      <c r="K257" s="848" t="s">
        <v>10242</v>
      </c>
      <c r="L257" s="802" t="s">
        <v>10137</v>
      </c>
      <c r="M257" s="806" t="s">
        <v>2763</v>
      </c>
      <c r="N257" s="837">
        <v>45892.0</v>
      </c>
      <c r="O257" s="803"/>
    </row>
    <row r="258" ht="15.0" customHeight="1">
      <c r="A258" s="786">
        <v>45840.0</v>
      </c>
      <c r="B258" s="787">
        <v>2507071.0</v>
      </c>
      <c r="C258" s="788" t="s">
        <v>10136</v>
      </c>
      <c r="D258" s="789" t="s">
        <v>3029</v>
      </c>
      <c r="E258" s="790" t="str">
        <f>IFERROR(VLOOKUP(D258,Stock,3,FALSE),"")</f>
        <v>Mitsubishi Canter FE700 01- (PS110,125)</v>
      </c>
      <c r="F258" s="788">
        <v>1.0</v>
      </c>
      <c r="G258" s="811">
        <v>464200.0</v>
      </c>
      <c r="H258" s="799">
        <f t="shared" si="6"/>
        <v>464200</v>
      </c>
      <c r="I258" s="800"/>
      <c r="J258" s="812"/>
      <c r="K258" s="848" t="s">
        <v>10242</v>
      </c>
      <c r="L258" s="802" t="s">
        <v>10137</v>
      </c>
      <c r="M258" s="806" t="s">
        <v>2763</v>
      </c>
      <c r="N258" s="837">
        <v>45892.0</v>
      </c>
      <c r="O258" s="803"/>
    </row>
    <row r="259" ht="15.0" customHeight="1">
      <c r="A259" s="786">
        <v>45843.0</v>
      </c>
      <c r="B259" s="787" t="s">
        <v>10245</v>
      </c>
      <c r="C259" s="788" t="s">
        <v>10148</v>
      </c>
      <c r="D259" s="789" t="s">
        <v>4439</v>
      </c>
      <c r="E259" s="790" t="str">
        <f>IFERROR(VLOOKUP(D259,Stock,3,FALSE),"")</f>
        <v>Toyota Innova 04-15 1st Gen (Toyota)</v>
      </c>
      <c r="F259" s="788">
        <v>1.0</v>
      </c>
      <c r="G259" s="811"/>
      <c r="H259" s="799">
        <f t="shared" si="6"/>
        <v>0</v>
      </c>
      <c r="I259" s="800"/>
      <c r="J259" s="812"/>
      <c r="K259" s="813"/>
      <c r="L259" s="805"/>
      <c r="M259" s="803"/>
      <c r="N259" s="803"/>
      <c r="O259" s="803"/>
    </row>
    <row r="260" ht="15.0" customHeight="1">
      <c r="A260" s="786">
        <v>45843.0</v>
      </c>
      <c r="B260" s="787" t="s">
        <v>10245</v>
      </c>
      <c r="C260" s="788" t="s">
        <v>10148</v>
      </c>
      <c r="D260" s="789" t="s">
        <v>3662</v>
      </c>
      <c r="E260" s="790" t="str">
        <f>IFERROR(VLOOKUP(D260,Stock,3,FALSE),"")</f>
        <v>Toyota Innova 15-22 2nd Gen (Toyota)</v>
      </c>
      <c r="F260" s="788">
        <v>1.0</v>
      </c>
      <c r="G260" s="811"/>
      <c r="H260" s="799">
        <f t="shared" si="6"/>
        <v>0</v>
      </c>
      <c r="I260" s="800"/>
      <c r="J260" s="812"/>
      <c r="K260" s="813"/>
      <c r="L260" s="805"/>
      <c r="M260" s="803"/>
      <c r="N260" s="803"/>
      <c r="O260" s="803"/>
    </row>
    <row r="261" ht="15.0" customHeight="1">
      <c r="A261" s="786">
        <v>45843.0</v>
      </c>
      <c r="B261" s="787" t="s">
        <v>10245</v>
      </c>
      <c r="C261" s="788" t="s">
        <v>10148</v>
      </c>
      <c r="D261" s="789" t="s">
        <v>5326</v>
      </c>
      <c r="E261" s="790" t="str">
        <f>IFERROR(VLOOKUP(D261,Stock,3,FALSE),"")</f>
        <v>Toyota Innova 04-15 1st Gen (Toyota)</v>
      </c>
      <c r="F261" s="788">
        <v>1.0</v>
      </c>
      <c r="G261" s="811"/>
      <c r="H261" s="799">
        <f t="shared" si="6"/>
        <v>0</v>
      </c>
      <c r="I261" s="800"/>
      <c r="J261" s="812"/>
      <c r="K261" s="813"/>
      <c r="L261" s="805"/>
      <c r="M261" s="803"/>
      <c r="N261" s="803"/>
      <c r="O261" s="803"/>
    </row>
    <row r="262" ht="15.0" customHeight="1">
      <c r="A262" s="786">
        <v>45840.0</v>
      </c>
      <c r="B262" s="787">
        <v>2507079.0</v>
      </c>
      <c r="C262" s="788" t="s">
        <v>10136</v>
      </c>
      <c r="D262" s="789" t="s">
        <v>3737</v>
      </c>
      <c r="E262" s="790" t="str">
        <f>IFERROR(VLOOKUP(D262,Stock,3,FALSE),"")</f>
        <v>DFSK Supercab 20-</v>
      </c>
      <c r="F262" s="788">
        <v>1.0</v>
      </c>
      <c r="G262" s="811">
        <v>825000.0</v>
      </c>
      <c r="H262" s="799">
        <f t="shared" si="6"/>
        <v>825000</v>
      </c>
      <c r="I262" s="800"/>
      <c r="J262" s="812"/>
      <c r="K262" s="848" t="s">
        <v>3481</v>
      </c>
      <c r="L262" s="802" t="s">
        <v>10137</v>
      </c>
      <c r="M262" s="806" t="s">
        <v>2763</v>
      </c>
      <c r="N262" s="837">
        <v>45892.0</v>
      </c>
      <c r="O262" s="803"/>
    </row>
    <row r="263" ht="15.0" customHeight="1">
      <c r="A263" s="786">
        <v>45840.0</v>
      </c>
      <c r="B263" s="787">
        <v>2507079.0</v>
      </c>
      <c r="C263" s="788" t="s">
        <v>10136</v>
      </c>
      <c r="D263" s="789" t="s">
        <v>3234</v>
      </c>
      <c r="E263" s="790" t="str">
        <f>IFERROR(VLOOKUP(D263,Stock,3,FALSE),"")</f>
        <v>Toyota Avanza / Xenia 21- 4th Gen (Non sensor)</v>
      </c>
      <c r="F263" s="788">
        <v>1.0</v>
      </c>
      <c r="G263" s="811">
        <v>654500.0</v>
      </c>
      <c r="H263" s="799">
        <f t="shared" si="6"/>
        <v>654500</v>
      </c>
      <c r="I263" s="800"/>
      <c r="J263" s="812"/>
      <c r="K263" s="848" t="s">
        <v>3481</v>
      </c>
      <c r="L263" s="802" t="s">
        <v>10137</v>
      </c>
      <c r="M263" s="806" t="s">
        <v>2763</v>
      </c>
      <c r="N263" s="837">
        <v>45892.0</v>
      </c>
      <c r="O263" s="803"/>
    </row>
    <row r="264" ht="15.0" customHeight="1">
      <c r="A264" s="786">
        <v>45840.0</v>
      </c>
      <c r="B264" s="787">
        <v>2507083.0</v>
      </c>
      <c r="C264" s="788" t="s">
        <v>10136</v>
      </c>
      <c r="D264" s="789" t="s">
        <v>3727</v>
      </c>
      <c r="E264" s="790" t="str">
        <f>IFERROR(VLOOKUP(D264,Stock,3,FALSE),"")</f>
        <v>Toyota Innova 15- 2nd Gen</v>
      </c>
      <c r="F264" s="788">
        <v>1.0</v>
      </c>
      <c r="G264" s="811">
        <v>750200.0</v>
      </c>
      <c r="H264" s="799">
        <f t="shared" si="6"/>
        <v>750200</v>
      </c>
      <c r="I264" s="800"/>
      <c r="J264" s="812"/>
      <c r="K264" s="848" t="s">
        <v>3481</v>
      </c>
      <c r="L264" s="802" t="s">
        <v>10137</v>
      </c>
      <c r="M264" s="806" t="s">
        <v>2763</v>
      </c>
      <c r="N264" s="837">
        <v>45892.0</v>
      </c>
      <c r="O264" s="803"/>
    </row>
    <row r="265" ht="15.0" customHeight="1">
      <c r="A265" s="786">
        <v>45840.0</v>
      </c>
      <c r="B265" s="787">
        <v>2507090.0</v>
      </c>
      <c r="C265" s="788" t="s">
        <v>10136</v>
      </c>
      <c r="D265" s="789" t="s">
        <v>3747</v>
      </c>
      <c r="E265" s="790" t="str">
        <f>IFERROR(VLOOKUP(D265,Stock,3,FALSE),"")</f>
        <v>Honda Civic 16- 10th Gen Hatchback (Hitam)</v>
      </c>
      <c r="F265" s="788">
        <v>1.0</v>
      </c>
      <c r="G265" s="811">
        <v>1498750.0</v>
      </c>
      <c r="H265" s="799">
        <f t="shared" si="6"/>
        <v>1498750</v>
      </c>
      <c r="I265" s="800"/>
      <c r="J265" s="812"/>
      <c r="K265" s="848" t="s">
        <v>3481</v>
      </c>
      <c r="L265" s="802" t="s">
        <v>10137</v>
      </c>
      <c r="M265" s="806" t="s">
        <v>2763</v>
      </c>
      <c r="N265" s="837">
        <v>45892.0</v>
      </c>
      <c r="O265" s="803"/>
    </row>
    <row r="266" ht="15.0" customHeight="1">
      <c r="A266" s="786">
        <v>45841.0</v>
      </c>
      <c r="B266" s="787">
        <v>2507111.0</v>
      </c>
      <c r="C266" s="788" t="s">
        <v>10136</v>
      </c>
      <c r="D266" s="789" t="s">
        <v>3499</v>
      </c>
      <c r="E266" s="790" t="str">
        <f>IFERROR(VLOOKUP(D266,Stock,3,FALSE),"")</f>
        <v>Honda Brio 10- / Mobilio 11-</v>
      </c>
      <c r="F266" s="788">
        <v>1.0</v>
      </c>
      <c r="G266" s="811">
        <v>573100.0</v>
      </c>
      <c r="H266" s="799">
        <f t="shared" si="6"/>
        <v>573100</v>
      </c>
      <c r="I266" s="800"/>
      <c r="J266" s="812"/>
      <c r="K266" s="848" t="s">
        <v>3481</v>
      </c>
      <c r="L266" s="802" t="s">
        <v>10137</v>
      </c>
      <c r="M266" s="806" t="s">
        <v>2763</v>
      </c>
      <c r="N266" s="837">
        <v>45892.0</v>
      </c>
      <c r="O266" s="803"/>
    </row>
    <row r="267" ht="15.0" customHeight="1">
      <c r="A267" s="786">
        <v>45842.0</v>
      </c>
      <c r="B267" s="787">
        <v>2507139.0</v>
      </c>
      <c r="C267" s="788" t="s">
        <v>10136</v>
      </c>
      <c r="D267" s="789" t="s">
        <v>3806</v>
      </c>
      <c r="E267" s="790" t="str">
        <f>IFERROR(VLOOKUP(D267,Stock,3,FALSE),"")</f>
        <v>Honda CR-V 12-16 4th Gen [Lengkung]</v>
      </c>
      <c r="F267" s="788">
        <v>1.0</v>
      </c>
      <c r="G267" s="811">
        <v>657800.0</v>
      </c>
      <c r="H267" s="799">
        <f t="shared" si="6"/>
        <v>657800</v>
      </c>
      <c r="I267" s="800"/>
      <c r="J267" s="812"/>
      <c r="K267" s="848" t="s">
        <v>3481</v>
      </c>
      <c r="L267" s="802" t="s">
        <v>10137</v>
      </c>
      <c r="M267" s="806" t="s">
        <v>2763</v>
      </c>
      <c r="N267" s="837">
        <v>45892.0</v>
      </c>
      <c r="O267" s="803"/>
    </row>
    <row r="268" ht="15.0" customHeight="1">
      <c r="A268" s="786">
        <v>45842.0</v>
      </c>
      <c r="B268" s="787">
        <v>2507148.0</v>
      </c>
      <c r="C268" s="788" t="s">
        <v>10136</v>
      </c>
      <c r="D268" s="789" t="s">
        <v>3727</v>
      </c>
      <c r="E268" s="790" t="str">
        <f>IFERROR(VLOOKUP(D268,Stock,3,FALSE),"")</f>
        <v>Toyota Innova 15- 2nd Gen</v>
      </c>
      <c r="F268" s="788">
        <v>1.0</v>
      </c>
      <c r="G268" s="811">
        <v>750200.0</v>
      </c>
      <c r="H268" s="799">
        <f t="shared" si="6"/>
        <v>750200</v>
      </c>
      <c r="I268" s="800"/>
      <c r="J268" s="812"/>
      <c r="K268" s="848" t="s">
        <v>3481</v>
      </c>
      <c r="L268" s="802" t="s">
        <v>10137</v>
      </c>
      <c r="M268" s="806" t="s">
        <v>2763</v>
      </c>
      <c r="N268" s="837">
        <v>45892.0</v>
      </c>
      <c r="O268" s="803"/>
    </row>
    <row r="269" ht="15.0" customHeight="1">
      <c r="A269" s="786">
        <v>45842.0</v>
      </c>
      <c r="B269" s="787">
        <v>2507148.0</v>
      </c>
      <c r="C269" s="788" t="s">
        <v>10136</v>
      </c>
      <c r="D269" s="789" t="s">
        <v>3795</v>
      </c>
      <c r="E269" s="790" t="str">
        <f>IFERROR(VLOOKUP(D269,Stock,3,FALSE),"")</f>
        <v>Toyota Agya/Ayla 23- 2nd Gen</v>
      </c>
      <c r="F269" s="788">
        <v>1.0</v>
      </c>
      <c r="G269" s="811">
        <v>522500.0</v>
      </c>
      <c r="H269" s="799">
        <f t="shared" si="6"/>
        <v>522500</v>
      </c>
      <c r="I269" s="800"/>
      <c r="J269" s="812"/>
      <c r="K269" s="848" t="s">
        <v>3481</v>
      </c>
      <c r="L269" s="802" t="s">
        <v>10137</v>
      </c>
      <c r="M269" s="806" t="s">
        <v>2763</v>
      </c>
      <c r="N269" s="837">
        <v>45892.0</v>
      </c>
      <c r="O269" s="803"/>
    </row>
    <row r="270" ht="15.0" customHeight="1">
      <c r="A270" s="786">
        <v>45842.0</v>
      </c>
      <c r="B270" s="787">
        <v>2507148.0</v>
      </c>
      <c r="C270" s="788" t="s">
        <v>10136</v>
      </c>
      <c r="D270" s="789" t="s">
        <v>5294</v>
      </c>
      <c r="E270" s="790" t="str">
        <f>IFERROR(VLOOKUP(D270,Stock,3,FALSE),"")</f>
        <v>Mers-Benz E-Class 02-09 W211</v>
      </c>
      <c r="F270" s="788">
        <v>1.0</v>
      </c>
      <c r="G270" s="811">
        <v>1664300.0</v>
      </c>
      <c r="H270" s="799">
        <f t="shared" si="6"/>
        <v>1664300</v>
      </c>
      <c r="I270" s="800"/>
      <c r="J270" s="812"/>
      <c r="K270" s="848" t="s">
        <v>3481</v>
      </c>
      <c r="L270" s="802" t="s">
        <v>10137</v>
      </c>
      <c r="M270" s="806" t="s">
        <v>2763</v>
      </c>
      <c r="N270" s="837">
        <v>45892.0</v>
      </c>
      <c r="O270" s="803"/>
    </row>
    <row r="271" ht="15.0" customHeight="1">
      <c r="A271" s="786">
        <v>45842.0</v>
      </c>
      <c r="B271" s="787">
        <v>2507166.0</v>
      </c>
      <c r="C271" s="788" t="s">
        <v>10136</v>
      </c>
      <c r="D271" s="789" t="s">
        <v>3234</v>
      </c>
      <c r="E271" s="790" t="str">
        <f>IFERROR(VLOOKUP(D271,Stock,3,FALSE),"")</f>
        <v>Toyota Avanza / Xenia 21- 4th Gen (Non sensor)</v>
      </c>
      <c r="F271" s="788">
        <v>1.0</v>
      </c>
      <c r="G271" s="811">
        <v>654500.0</v>
      </c>
      <c r="H271" s="799">
        <f t="shared" si="6"/>
        <v>654500</v>
      </c>
      <c r="I271" s="800"/>
      <c r="J271" s="812"/>
      <c r="K271" s="848" t="s">
        <v>3481</v>
      </c>
      <c r="L271" s="802" t="s">
        <v>10137</v>
      </c>
      <c r="M271" s="806" t="s">
        <v>2763</v>
      </c>
      <c r="N271" s="837">
        <v>45892.0</v>
      </c>
      <c r="O271" s="803"/>
    </row>
    <row r="272" ht="15.0" customHeight="1">
      <c r="A272" s="786">
        <v>45845.0</v>
      </c>
      <c r="B272" s="787">
        <v>2507182.0</v>
      </c>
      <c r="C272" s="788" t="s">
        <v>10136</v>
      </c>
      <c r="D272" s="789" t="s">
        <v>2869</v>
      </c>
      <c r="E272" s="790" t="str">
        <f>IFERROR(VLOOKUP(D272,Stock,3,FALSE),"")</f>
        <v>Daihatsu Gran Max / Luxio 07-</v>
      </c>
      <c r="F272" s="788">
        <v>1.0</v>
      </c>
      <c r="G272" s="811">
        <v>470250.0</v>
      </c>
      <c r="H272" s="799">
        <f t="shared" si="6"/>
        <v>470250</v>
      </c>
      <c r="I272" s="800"/>
      <c r="J272" s="812"/>
      <c r="K272" s="848" t="s">
        <v>3481</v>
      </c>
      <c r="L272" s="802" t="s">
        <v>10137</v>
      </c>
      <c r="M272" s="833" t="s">
        <v>2763</v>
      </c>
      <c r="N272" s="837">
        <v>45902.0</v>
      </c>
      <c r="O272" s="803"/>
    </row>
    <row r="273" ht="15.0" customHeight="1">
      <c r="A273" s="786">
        <v>45845.0</v>
      </c>
      <c r="B273" s="787">
        <v>2507182.0</v>
      </c>
      <c r="C273" s="788" t="s">
        <v>10136</v>
      </c>
      <c r="D273" s="789" t="s">
        <v>3197</v>
      </c>
      <c r="E273" s="790" t="str">
        <f>IFERROR(VLOOKUP(D273,Stock,3,FALSE),"")</f>
        <v>Mitsubishi Strada Triton 16-</v>
      </c>
      <c r="F273" s="788">
        <v>1.0</v>
      </c>
      <c r="G273" s="811">
        <v>611600.0</v>
      </c>
      <c r="H273" s="799">
        <f t="shared" si="6"/>
        <v>611600</v>
      </c>
      <c r="I273" s="800"/>
      <c r="J273" s="812"/>
      <c r="K273" s="848" t="s">
        <v>3481</v>
      </c>
      <c r="L273" s="802" t="s">
        <v>10137</v>
      </c>
      <c r="M273" s="833" t="s">
        <v>2763</v>
      </c>
      <c r="N273" s="837">
        <v>45902.0</v>
      </c>
      <c r="O273" s="803"/>
    </row>
    <row r="274" ht="15.0" customHeight="1">
      <c r="A274" s="786">
        <v>45841.0</v>
      </c>
      <c r="B274" s="787" t="s">
        <v>10246</v>
      </c>
      <c r="C274" s="788" t="s">
        <v>10139</v>
      </c>
      <c r="D274" s="789" t="s">
        <v>3758</v>
      </c>
      <c r="E274" s="790" t="str">
        <f>IFERROR(VLOOKUP(D274,Stock,3,FALSE),"")</f>
        <v>Honda HR-V 14-21 5D SUV</v>
      </c>
      <c r="F274" s="788">
        <v>1.0</v>
      </c>
      <c r="G274" s="811">
        <v>360000.0</v>
      </c>
      <c r="H274" s="799">
        <f t="shared" si="6"/>
        <v>360000</v>
      </c>
      <c r="I274" s="800"/>
      <c r="J274" s="812"/>
      <c r="K274" s="848" t="s">
        <v>3481</v>
      </c>
      <c r="L274" s="802" t="s">
        <v>10137</v>
      </c>
      <c r="M274" s="833" t="s">
        <v>2763</v>
      </c>
      <c r="N274" s="837">
        <v>45846.0</v>
      </c>
      <c r="O274" s="803"/>
    </row>
    <row r="275" ht="15.0" customHeight="1">
      <c r="A275" s="786">
        <v>45841.0</v>
      </c>
      <c r="B275" s="787" t="s">
        <v>10246</v>
      </c>
      <c r="C275" s="788" t="s">
        <v>10139</v>
      </c>
      <c r="D275" s="789" t="s">
        <v>3756</v>
      </c>
      <c r="E275" s="790" t="str">
        <f>IFERROR(VLOOKUP(D275,Stock,3,FALSE),"")</f>
        <v>Daihatsu Gran Max / Luxio 07-</v>
      </c>
      <c r="F275" s="788">
        <v>1.0</v>
      </c>
      <c r="G275" s="811">
        <v>170000.0</v>
      </c>
      <c r="H275" s="799">
        <f t="shared" si="6"/>
        <v>170000</v>
      </c>
      <c r="I275" s="800"/>
      <c r="J275" s="812"/>
      <c r="K275" s="848" t="s">
        <v>3481</v>
      </c>
      <c r="L275" s="802" t="s">
        <v>10137</v>
      </c>
      <c r="M275" s="833" t="s">
        <v>2763</v>
      </c>
      <c r="N275" s="837">
        <v>45846.0</v>
      </c>
      <c r="O275" s="803"/>
    </row>
    <row r="276" ht="15.0" customHeight="1">
      <c r="A276" s="786">
        <v>45841.0</v>
      </c>
      <c r="B276" s="787" t="s">
        <v>10246</v>
      </c>
      <c r="C276" s="788" t="s">
        <v>10139</v>
      </c>
      <c r="D276" s="789" t="s">
        <v>3766</v>
      </c>
      <c r="E276" s="790" t="str">
        <f>IFERROR(VLOOKUP(D276,Stock,3,FALSE),"")</f>
        <v>Toyota Avanza / Xenia 21- 4th Gen</v>
      </c>
      <c r="F276" s="788">
        <v>1.0</v>
      </c>
      <c r="G276" s="811">
        <v>320000.0</v>
      </c>
      <c r="H276" s="799">
        <f t="shared" si="6"/>
        <v>320000</v>
      </c>
      <c r="I276" s="800"/>
      <c r="J276" s="812"/>
      <c r="K276" s="848" t="s">
        <v>3481</v>
      </c>
      <c r="L276" s="802" t="s">
        <v>10137</v>
      </c>
      <c r="M276" s="833" t="s">
        <v>2763</v>
      </c>
      <c r="N276" s="837">
        <v>45846.0</v>
      </c>
      <c r="O276" s="803"/>
    </row>
    <row r="277" ht="15.0" customHeight="1">
      <c r="A277" s="786">
        <v>45842.0</v>
      </c>
      <c r="B277" s="787" t="s">
        <v>10247</v>
      </c>
      <c r="C277" s="788" t="s">
        <v>10139</v>
      </c>
      <c r="D277" s="789" t="s">
        <v>3775</v>
      </c>
      <c r="E277" s="790" t="str">
        <f>IFERROR(VLOOKUP(D277,Stock,3,FALSE),"")</f>
        <v>Toyota Fortuner 15-  2nd Gen / Toyota Hilux Pickup 15- (Revo)</v>
      </c>
      <c r="F277" s="788">
        <v>1.0</v>
      </c>
      <c r="G277" s="811">
        <v>440000.0</v>
      </c>
      <c r="H277" s="799">
        <f t="shared" si="6"/>
        <v>440000</v>
      </c>
      <c r="I277" s="800"/>
      <c r="J277" s="812"/>
      <c r="K277" s="848" t="s">
        <v>3481</v>
      </c>
      <c r="L277" s="802" t="s">
        <v>10137</v>
      </c>
      <c r="M277" s="833" t="s">
        <v>2763</v>
      </c>
      <c r="N277" s="837">
        <v>45848.0</v>
      </c>
      <c r="O277" s="803"/>
    </row>
    <row r="278" ht="15.0" customHeight="1">
      <c r="A278" s="786">
        <v>45842.0</v>
      </c>
      <c r="B278" s="787" t="s">
        <v>10247</v>
      </c>
      <c r="C278" s="788" t="s">
        <v>10139</v>
      </c>
      <c r="D278" s="789" t="s">
        <v>3770</v>
      </c>
      <c r="E278" s="790" t="str">
        <f>IFERROR(VLOOKUP(D278,Stock,3,FALSE),"")</f>
        <v>Nissan Serena 99-10 MKII C24</v>
      </c>
      <c r="F278" s="788">
        <v>1.0</v>
      </c>
      <c r="G278" s="811">
        <v>1853550.0</v>
      </c>
      <c r="H278" s="799">
        <f t="shared" si="6"/>
        <v>1853550</v>
      </c>
      <c r="I278" s="800"/>
      <c r="J278" s="812"/>
      <c r="K278" s="848" t="s">
        <v>3481</v>
      </c>
      <c r="L278" s="802" t="s">
        <v>10137</v>
      </c>
      <c r="M278" s="833" t="s">
        <v>2763</v>
      </c>
      <c r="N278" s="837">
        <v>45848.0</v>
      </c>
      <c r="O278" s="803"/>
    </row>
    <row r="279" ht="15.0" customHeight="1">
      <c r="A279" s="786">
        <v>45842.0</v>
      </c>
      <c r="B279" s="787" t="s">
        <v>10247</v>
      </c>
      <c r="C279" s="788" t="s">
        <v>10139</v>
      </c>
      <c r="D279" s="789" t="s">
        <v>3025</v>
      </c>
      <c r="E279" s="790" t="str">
        <f>IFERROR(VLOOKUP(D279,Stock,3,FALSE),"")</f>
        <v>Toyota Innova 15- 2nd Gen</v>
      </c>
      <c r="F279" s="788">
        <v>1.0</v>
      </c>
      <c r="G279" s="811">
        <v>285000.0</v>
      </c>
      <c r="H279" s="799">
        <f t="shared" si="6"/>
        <v>285000</v>
      </c>
      <c r="I279" s="800"/>
      <c r="J279" s="812"/>
      <c r="K279" s="848" t="s">
        <v>3481</v>
      </c>
      <c r="L279" s="802" t="s">
        <v>10137</v>
      </c>
      <c r="M279" s="833" t="s">
        <v>2763</v>
      </c>
      <c r="N279" s="837">
        <v>45848.0</v>
      </c>
      <c r="O279" s="803"/>
    </row>
    <row r="280" ht="15.0" customHeight="1">
      <c r="A280" s="786">
        <v>45842.0</v>
      </c>
      <c r="B280" s="787" t="s">
        <v>10247</v>
      </c>
      <c r="C280" s="788" t="s">
        <v>10139</v>
      </c>
      <c r="D280" s="789" t="s">
        <v>3798</v>
      </c>
      <c r="E280" s="790" t="str">
        <f>IFERROR(VLOOKUP(D280,Stock,3,FALSE),"")</f>
        <v>Daihatsu Taruna</v>
      </c>
      <c r="F280" s="788">
        <v>1.0</v>
      </c>
      <c r="G280" s="811">
        <v>375000.0</v>
      </c>
      <c r="H280" s="799">
        <f t="shared" si="6"/>
        <v>375000</v>
      </c>
      <c r="I280" s="800"/>
      <c r="J280" s="812"/>
      <c r="K280" s="848" t="s">
        <v>3481</v>
      </c>
      <c r="L280" s="802" t="s">
        <v>10137</v>
      </c>
      <c r="M280" s="833" t="s">
        <v>2763</v>
      </c>
      <c r="N280" s="837">
        <v>45848.0</v>
      </c>
      <c r="O280" s="803"/>
    </row>
    <row r="281" ht="15.0" customHeight="1">
      <c r="A281" s="786">
        <v>45842.0</v>
      </c>
      <c r="B281" s="787" t="s">
        <v>10247</v>
      </c>
      <c r="C281" s="788" t="s">
        <v>10139</v>
      </c>
      <c r="D281" s="789" t="s">
        <v>3790</v>
      </c>
      <c r="E281" s="790" t="str">
        <f>IFERROR(VLOOKUP(D281,Stock,3,FALSE),"")</f>
        <v>Nissan Serena 99-10 MKII C24</v>
      </c>
      <c r="F281" s="788">
        <v>1.0</v>
      </c>
      <c r="G281" s="811">
        <v>1206900.0</v>
      </c>
      <c r="H281" s="799">
        <f t="shared" si="6"/>
        <v>1206900</v>
      </c>
      <c r="I281" s="800"/>
      <c r="J281" s="812"/>
      <c r="K281" s="848" t="s">
        <v>3481</v>
      </c>
      <c r="L281" s="802" t="s">
        <v>10137</v>
      </c>
      <c r="M281" s="833" t="s">
        <v>2763</v>
      </c>
      <c r="N281" s="837">
        <v>45848.0</v>
      </c>
      <c r="O281" s="803"/>
    </row>
    <row r="282" ht="15.0" customHeight="1">
      <c r="A282" s="786">
        <v>45843.0</v>
      </c>
      <c r="B282" s="787" t="s">
        <v>10248</v>
      </c>
      <c r="C282" s="788" t="s">
        <v>10139</v>
      </c>
      <c r="D282" s="789" t="s">
        <v>3829</v>
      </c>
      <c r="E282" s="790" t="str">
        <f>IFERROR(VLOOKUP(D282,Stock,3,FALSE),"")</f>
        <v>Hyundai Accent Verna / Avega 01-12 Sedan</v>
      </c>
      <c r="F282" s="788">
        <v>1.0</v>
      </c>
      <c r="G282" s="811">
        <v>925000.0</v>
      </c>
      <c r="H282" s="799">
        <f t="shared" si="6"/>
        <v>925000</v>
      </c>
      <c r="I282" s="800"/>
      <c r="J282" s="812"/>
      <c r="K282" s="848" t="s">
        <v>3481</v>
      </c>
      <c r="L282" s="802" t="s">
        <v>10137</v>
      </c>
      <c r="M282" s="833" t="s">
        <v>2763</v>
      </c>
      <c r="N282" s="837">
        <v>45848.0</v>
      </c>
      <c r="O282" s="803"/>
    </row>
    <row r="283" ht="15.0" customHeight="1">
      <c r="A283" s="786">
        <v>45845.0</v>
      </c>
      <c r="B283" s="787" t="s">
        <v>10249</v>
      </c>
      <c r="C283" s="788" t="s">
        <v>10139</v>
      </c>
      <c r="D283" s="789" t="s">
        <v>3838</v>
      </c>
      <c r="E283" s="790" t="str">
        <f>IFERROR(VLOOKUP(D283,Stock,3,FALSE),"")</f>
        <v>Mers-Benz C-Class 07-14 W204 (2 Sensor/ □Δ)</v>
      </c>
      <c r="F283" s="788">
        <v>1.0</v>
      </c>
      <c r="G283" s="811">
        <v>2411100.0</v>
      </c>
      <c r="H283" s="799">
        <f t="shared" si="6"/>
        <v>2411100</v>
      </c>
      <c r="I283" s="800"/>
      <c r="J283" s="812"/>
      <c r="K283" s="848" t="s">
        <v>3481</v>
      </c>
      <c r="L283" s="802" t="s">
        <v>10137</v>
      </c>
      <c r="M283" s="833" t="s">
        <v>2763</v>
      </c>
      <c r="N283" s="837">
        <v>45848.0</v>
      </c>
      <c r="O283" s="803"/>
    </row>
    <row r="284" ht="15.0" customHeight="1">
      <c r="A284" s="786">
        <v>45846.0</v>
      </c>
      <c r="B284" s="787">
        <v>2507235.0</v>
      </c>
      <c r="C284" s="788" t="s">
        <v>10136</v>
      </c>
      <c r="D284" s="789" t="s">
        <v>3867</v>
      </c>
      <c r="E284" s="790" t="str">
        <f>IFERROR(VLOOKUP(D284,Stock,3,FALSE),"")</f>
        <v>Mazda 2 14- Skyactiv 4th Gen (3 Sensor/ /\8 )</v>
      </c>
      <c r="F284" s="788">
        <v>1.0</v>
      </c>
      <c r="G284" s="811">
        <v>1786950.0</v>
      </c>
      <c r="H284" s="799">
        <f t="shared" si="6"/>
        <v>1786950</v>
      </c>
      <c r="I284" s="800"/>
      <c r="J284" s="812"/>
      <c r="K284" s="848" t="s">
        <v>3810</v>
      </c>
      <c r="L284" s="802" t="s">
        <v>10137</v>
      </c>
      <c r="M284" s="833" t="s">
        <v>2763</v>
      </c>
      <c r="N284" s="837">
        <v>45892.0</v>
      </c>
      <c r="O284" s="803"/>
    </row>
    <row r="285" ht="15.0" customHeight="1">
      <c r="A285" s="786">
        <v>45846.0</v>
      </c>
      <c r="B285" s="787">
        <v>2507235.0</v>
      </c>
      <c r="C285" s="788" t="s">
        <v>10136</v>
      </c>
      <c r="D285" s="789" t="s">
        <v>3197</v>
      </c>
      <c r="E285" s="790" t="str">
        <f>IFERROR(VLOOKUP(D285,Stock,3,FALSE),"")</f>
        <v>Mitsubishi Strada Triton 16-</v>
      </c>
      <c r="F285" s="788">
        <v>1.0</v>
      </c>
      <c r="G285" s="811">
        <v>611600.0</v>
      </c>
      <c r="H285" s="799">
        <f t="shared" si="6"/>
        <v>611600</v>
      </c>
      <c r="I285" s="800"/>
      <c r="J285" s="812"/>
      <c r="K285" s="848" t="s">
        <v>3810</v>
      </c>
      <c r="L285" s="802" t="s">
        <v>10137</v>
      </c>
      <c r="M285" s="833" t="s">
        <v>2763</v>
      </c>
      <c r="N285" s="837">
        <v>45892.0</v>
      </c>
      <c r="O285" s="803"/>
    </row>
    <row r="286" ht="15.0" customHeight="1">
      <c r="A286" s="786">
        <v>45846.0</v>
      </c>
      <c r="B286" s="787">
        <v>2507235.0</v>
      </c>
      <c r="C286" s="788" t="s">
        <v>10136</v>
      </c>
      <c r="D286" s="789" t="s">
        <v>3849</v>
      </c>
      <c r="E286" s="790" t="str">
        <f>IFERROR(VLOOKUP(D286,Stock,3,FALSE),"")</f>
        <v>Toyota Yaris 13- 2nd Gen / Vios 14- 3rd Gen</v>
      </c>
      <c r="F286" s="788">
        <v>1.0</v>
      </c>
      <c r="G286" s="811">
        <v>725450.0</v>
      </c>
      <c r="H286" s="799">
        <f t="shared" si="6"/>
        <v>725450</v>
      </c>
      <c r="I286" s="800"/>
      <c r="J286" s="812"/>
      <c r="K286" s="848" t="s">
        <v>3810</v>
      </c>
      <c r="L286" s="802" t="s">
        <v>10137</v>
      </c>
      <c r="M286" s="833" t="s">
        <v>2763</v>
      </c>
      <c r="N286" s="837">
        <v>45892.0</v>
      </c>
      <c r="O286" s="803"/>
    </row>
    <row r="287" ht="15.0" customHeight="1">
      <c r="A287" s="786">
        <v>45846.0</v>
      </c>
      <c r="B287" s="787" t="s">
        <v>10250</v>
      </c>
      <c r="C287" s="788" t="s">
        <v>10139</v>
      </c>
      <c r="D287" s="789" t="s">
        <v>9530</v>
      </c>
      <c r="E287" s="790" t="str">
        <f>IFERROR(VLOOKUP(D287,Stock,3,FALSE),"")</f>
        <v>Toyota Fortuner 05-15 1st Gen </v>
      </c>
      <c r="F287" s="788">
        <v>1.0</v>
      </c>
      <c r="G287" s="811">
        <v>1125225.0</v>
      </c>
      <c r="H287" s="799">
        <f t="shared" si="6"/>
        <v>1125225</v>
      </c>
      <c r="I287" s="800"/>
      <c r="J287" s="812"/>
      <c r="K287" s="848" t="s">
        <v>3191</v>
      </c>
      <c r="L287" s="802" t="s">
        <v>10137</v>
      </c>
      <c r="M287" s="833" t="s">
        <v>2763</v>
      </c>
      <c r="N287" s="837">
        <v>45848.0</v>
      </c>
      <c r="O287" s="803"/>
    </row>
    <row r="288" ht="15.0" customHeight="1">
      <c r="A288" s="786">
        <v>45846.0</v>
      </c>
      <c r="B288" s="787" t="s">
        <v>10250</v>
      </c>
      <c r="C288" s="788" t="s">
        <v>10139</v>
      </c>
      <c r="D288" s="789" t="s">
        <v>2973</v>
      </c>
      <c r="E288" s="790" t="str">
        <f>IFERROR(VLOOKUP(D288,Stock,3,FALSE),"")</f>
        <v>Suzuki Carry New 19-</v>
      </c>
      <c r="F288" s="788">
        <v>1.0</v>
      </c>
      <c r="G288" s="811">
        <v>617000.0</v>
      </c>
      <c r="H288" s="799">
        <f t="shared" si="6"/>
        <v>617000</v>
      </c>
      <c r="I288" s="800"/>
      <c r="J288" s="812"/>
      <c r="K288" s="848" t="s">
        <v>3191</v>
      </c>
      <c r="L288" s="802" t="s">
        <v>10137</v>
      </c>
      <c r="M288" s="833" t="s">
        <v>2763</v>
      </c>
      <c r="N288" s="837">
        <v>45848.0</v>
      </c>
      <c r="O288" s="803"/>
    </row>
    <row r="289" ht="15.0" customHeight="1">
      <c r="A289" s="786">
        <v>45846.0</v>
      </c>
      <c r="B289" s="787" t="s">
        <v>10250</v>
      </c>
      <c r="C289" s="788" t="s">
        <v>10139</v>
      </c>
      <c r="D289" s="789" t="s">
        <v>3858</v>
      </c>
      <c r="E289" s="790" t="str">
        <f>IFERROR(VLOOKUP(D289,Stock,3,FALSE),"")</f>
        <v>Daihatsu Luxio 07-</v>
      </c>
      <c r="F289" s="788">
        <v>1.0</v>
      </c>
      <c r="G289" s="830">
        <v>475000.0</v>
      </c>
      <c r="H289" s="799">
        <f t="shared" si="6"/>
        <v>475000</v>
      </c>
      <c r="I289" s="800"/>
      <c r="J289" s="812"/>
      <c r="K289" s="848" t="s">
        <v>3191</v>
      </c>
      <c r="L289" s="802" t="s">
        <v>10137</v>
      </c>
      <c r="M289" s="833" t="s">
        <v>2763</v>
      </c>
      <c r="N289" s="837">
        <v>45848.0</v>
      </c>
      <c r="O289" s="803"/>
    </row>
    <row r="290" ht="15.0" customHeight="1">
      <c r="A290" s="786">
        <v>45846.0</v>
      </c>
      <c r="B290" s="787" t="s">
        <v>10250</v>
      </c>
      <c r="C290" s="788" t="s">
        <v>10139</v>
      </c>
      <c r="D290" s="789" t="s">
        <v>3873</v>
      </c>
      <c r="E290" s="790" t="str">
        <f>IFERROR(VLOOKUP(D290,Stock,3,FALSE),"")</f>
        <v>Nissan X-Trail 13- T32 (1 Sensor / O )</v>
      </c>
      <c r="F290" s="788">
        <v>1.0</v>
      </c>
      <c r="G290" s="830">
        <v>1850000.0</v>
      </c>
      <c r="H290" s="799">
        <f t="shared" si="6"/>
        <v>1850000</v>
      </c>
      <c r="I290" s="800"/>
      <c r="J290" s="812"/>
      <c r="K290" s="848" t="s">
        <v>3191</v>
      </c>
      <c r="L290" s="802" t="s">
        <v>10137</v>
      </c>
      <c r="M290" s="833" t="s">
        <v>2763</v>
      </c>
      <c r="N290" s="837">
        <v>45848.0</v>
      </c>
      <c r="O290" s="803"/>
    </row>
    <row r="291" ht="15.0" customHeight="1">
      <c r="A291" s="786">
        <v>45847.0</v>
      </c>
      <c r="B291" s="787">
        <v>2507287.0</v>
      </c>
      <c r="C291" s="788" t="s">
        <v>10136</v>
      </c>
      <c r="D291" s="789" t="s">
        <v>3878</v>
      </c>
      <c r="E291" s="790" t="str">
        <f>IFERROR(VLOOKUP(D291,Stock,3,FALSE),"")</f>
        <v>Honda CR-V 12-16 4th Gen [Rata]</v>
      </c>
      <c r="F291" s="788">
        <v>1.0</v>
      </c>
      <c r="G291" s="811">
        <v>657800.0</v>
      </c>
      <c r="H291" s="799">
        <f t="shared" si="6"/>
        <v>657800</v>
      </c>
      <c r="I291" s="800"/>
      <c r="J291" s="812"/>
      <c r="K291" s="848" t="s">
        <v>9900</v>
      </c>
      <c r="L291" s="802" t="s">
        <v>10137</v>
      </c>
      <c r="M291" s="833" t="s">
        <v>2763</v>
      </c>
      <c r="N291" s="837">
        <v>45892.0</v>
      </c>
      <c r="O291" s="803"/>
    </row>
    <row r="292" ht="15.0" customHeight="1">
      <c r="A292" s="786">
        <v>45848.0</v>
      </c>
      <c r="B292" s="787" t="s">
        <v>10251</v>
      </c>
      <c r="C292" s="788" t="s">
        <v>10139</v>
      </c>
      <c r="D292" s="789" t="s">
        <v>3891</v>
      </c>
      <c r="E292" s="790" t="str">
        <f>IFERROR(VLOOKUP(D292,Stock,3,FALSE),"")</f>
        <v>Toyota Rush / Terios 06-17</v>
      </c>
      <c r="F292" s="788">
        <v>1.0</v>
      </c>
      <c r="G292" s="811">
        <v>475875.0</v>
      </c>
      <c r="H292" s="799">
        <f t="shared" si="6"/>
        <v>475875</v>
      </c>
      <c r="I292" s="800"/>
      <c r="J292" s="812"/>
      <c r="K292" s="848" t="s">
        <v>3191</v>
      </c>
      <c r="L292" s="802" t="s">
        <v>10137</v>
      </c>
      <c r="M292" s="833" t="s">
        <v>2763</v>
      </c>
      <c r="N292" s="849">
        <v>45853.0</v>
      </c>
      <c r="O292" s="803"/>
    </row>
    <row r="293" ht="15.0" customHeight="1">
      <c r="A293" s="786">
        <v>45848.0</v>
      </c>
      <c r="B293" s="787" t="s">
        <v>10251</v>
      </c>
      <c r="C293" s="788" t="s">
        <v>10139</v>
      </c>
      <c r="D293" s="789" t="s">
        <v>3858</v>
      </c>
      <c r="E293" s="790" t="str">
        <f>IFERROR(VLOOKUP(D293,Stock,3,FALSE),"")</f>
        <v>Daihatsu Luxio 07-</v>
      </c>
      <c r="F293" s="788">
        <v>1.0</v>
      </c>
      <c r="G293" s="811">
        <v>475000.0</v>
      </c>
      <c r="H293" s="799">
        <f t="shared" si="6"/>
        <v>475000</v>
      </c>
      <c r="I293" s="800"/>
      <c r="J293" s="812"/>
      <c r="K293" s="848" t="s">
        <v>3191</v>
      </c>
      <c r="L293" s="802" t="s">
        <v>10137</v>
      </c>
      <c r="M293" s="833" t="s">
        <v>2763</v>
      </c>
      <c r="N293" s="849">
        <v>45853.0</v>
      </c>
      <c r="O293" s="803"/>
    </row>
    <row r="294" ht="15.0" customHeight="1">
      <c r="A294" s="786">
        <v>45849.0</v>
      </c>
      <c r="B294" s="787" t="s">
        <v>10252</v>
      </c>
      <c r="C294" s="788" t="s">
        <v>10139</v>
      </c>
      <c r="D294" s="789" t="s">
        <v>3904</v>
      </c>
      <c r="E294" s="790" t="str">
        <f>IFERROR(VLOOKUP(D294,Stock,3,FALSE),"")</f>
        <v>Lexus RX (Harrier) 13- CU6 [2 Sensor / /\ [] ]</v>
      </c>
      <c r="F294" s="788">
        <v>1.0</v>
      </c>
      <c r="G294" s="811">
        <v>3024000.0</v>
      </c>
      <c r="H294" s="799">
        <f t="shared" si="6"/>
        <v>3024000</v>
      </c>
      <c r="I294" s="800"/>
      <c r="J294" s="812"/>
      <c r="K294" s="848" t="s">
        <v>3191</v>
      </c>
      <c r="L294" s="802" t="s">
        <v>10137</v>
      </c>
      <c r="M294" s="833" t="s">
        <v>2763</v>
      </c>
      <c r="N294" s="849">
        <v>45853.0</v>
      </c>
      <c r="O294" s="803"/>
    </row>
    <row r="295" ht="15.0" customHeight="1">
      <c r="A295" s="786">
        <v>45847.0</v>
      </c>
      <c r="B295" s="787" t="s">
        <v>10253</v>
      </c>
      <c r="C295" s="788" t="s">
        <v>10139</v>
      </c>
      <c r="D295" s="789" t="s">
        <v>3722</v>
      </c>
      <c r="E295" s="790" t="str">
        <f>IFERROR(VLOOKUP(D295,Stock,3,FALSE),"")</f>
        <v>Hyundai Santa Fe 12-18</v>
      </c>
      <c r="F295" s="788">
        <v>1.0</v>
      </c>
      <c r="G295" s="811">
        <v>1588500.0</v>
      </c>
      <c r="H295" s="799">
        <f t="shared" si="6"/>
        <v>1588500</v>
      </c>
      <c r="I295" s="800"/>
      <c r="J295" s="812"/>
      <c r="K295" s="848" t="s">
        <v>3191</v>
      </c>
      <c r="L295" s="802" t="s">
        <v>10137</v>
      </c>
      <c r="M295" s="833" t="s">
        <v>2763</v>
      </c>
      <c r="N295" s="849">
        <v>45853.0</v>
      </c>
      <c r="O295" s="803"/>
    </row>
    <row r="296" ht="15.0" customHeight="1">
      <c r="A296" s="786">
        <v>45847.0</v>
      </c>
      <c r="B296" s="787" t="s">
        <v>10253</v>
      </c>
      <c r="C296" s="788" t="s">
        <v>10139</v>
      </c>
      <c r="D296" s="789" t="s">
        <v>3944</v>
      </c>
      <c r="E296" s="790" t="str">
        <f>IFERROR(VLOOKUP(D296,Stock,3,FALSE),"")</f>
        <v>Mazda 3 19- 5D Hatchback</v>
      </c>
      <c r="F296" s="788">
        <v>1.0</v>
      </c>
      <c r="G296" s="811">
        <v>1462500.0</v>
      </c>
      <c r="H296" s="799">
        <f t="shared" si="6"/>
        <v>1462500</v>
      </c>
      <c r="I296" s="800"/>
      <c r="J296" s="812"/>
      <c r="K296" s="848" t="s">
        <v>3191</v>
      </c>
      <c r="L296" s="802" t="s">
        <v>10137</v>
      </c>
      <c r="M296" s="833" t="s">
        <v>2763</v>
      </c>
      <c r="N296" s="849">
        <v>45853.0</v>
      </c>
      <c r="O296" s="803"/>
    </row>
    <row r="297" ht="15.0" customHeight="1">
      <c r="A297" s="786">
        <v>45850.0</v>
      </c>
      <c r="B297" s="787" t="s">
        <v>10254</v>
      </c>
      <c r="C297" s="788" t="s">
        <v>10139</v>
      </c>
      <c r="D297" s="789" t="s">
        <v>3935</v>
      </c>
      <c r="E297" s="790" t="str">
        <f>IFERROR(VLOOKUP(D297,Stock,3,FALSE),"")</f>
        <v>Hyundai Creta 22- </v>
      </c>
      <c r="F297" s="788">
        <v>1.0</v>
      </c>
      <c r="G297" s="811">
        <v>1316250.0</v>
      </c>
      <c r="H297" s="799">
        <f t="shared" si="6"/>
        <v>1316250</v>
      </c>
      <c r="I297" s="800"/>
      <c r="J297" s="812"/>
      <c r="K297" s="848" t="s">
        <v>3191</v>
      </c>
      <c r="L297" s="802" t="s">
        <v>10137</v>
      </c>
      <c r="M297" s="833" t="s">
        <v>2763</v>
      </c>
      <c r="N297" s="849">
        <v>45853.0</v>
      </c>
      <c r="O297" s="803"/>
    </row>
    <row r="298" ht="15.0" customHeight="1">
      <c r="A298" s="786">
        <v>45850.0</v>
      </c>
      <c r="B298" s="787" t="s">
        <v>10254</v>
      </c>
      <c r="C298" s="788" t="s">
        <v>10139</v>
      </c>
      <c r="D298" s="789" t="s">
        <v>3483</v>
      </c>
      <c r="E298" s="790" t="str">
        <f>IFERROR(VLOOKUP(D298,Stock,3,FALSE),"")</f>
        <v>Honda HR-V 14-21 5D SUV</v>
      </c>
      <c r="F298" s="788">
        <v>1.0</v>
      </c>
      <c r="G298" s="811">
        <v>1100000.0</v>
      </c>
      <c r="H298" s="799">
        <f t="shared" si="6"/>
        <v>1100000</v>
      </c>
      <c r="I298" s="800"/>
      <c r="J298" s="812"/>
      <c r="K298" s="848" t="s">
        <v>3191</v>
      </c>
      <c r="L298" s="802" t="s">
        <v>10137</v>
      </c>
      <c r="M298" s="833" t="s">
        <v>2763</v>
      </c>
      <c r="N298" s="849">
        <v>45853.0</v>
      </c>
      <c r="O298" s="803"/>
    </row>
    <row r="299" ht="15.0" customHeight="1">
      <c r="A299" s="786">
        <v>45850.0</v>
      </c>
      <c r="B299" s="787" t="s">
        <v>10254</v>
      </c>
      <c r="C299" s="788" t="s">
        <v>10139</v>
      </c>
      <c r="D299" s="789" t="s">
        <v>3958</v>
      </c>
      <c r="E299" s="790" t="str">
        <f>IFERROR(VLOOKUP(D299,Stock,3,FALSE),"")</f>
        <v>Wuling Almaz</v>
      </c>
      <c r="F299" s="788">
        <v>1.0</v>
      </c>
      <c r="G299" s="811">
        <v>1247400.0</v>
      </c>
      <c r="H299" s="799">
        <f t="shared" si="6"/>
        <v>1247400</v>
      </c>
      <c r="I299" s="800"/>
      <c r="J299" s="812"/>
      <c r="K299" s="848" t="s">
        <v>3191</v>
      </c>
      <c r="L299" s="802" t="s">
        <v>10137</v>
      </c>
      <c r="M299" s="833" t="s">
        <v>2763</v>
      </c>
      <c r="N299" s="849">
        <v>45853.0</v>
      </c>
      <c r="O299" s="803"/>
    </row>
    <row r="300" ht="15.0" customHeight="1">
      <c r="A300" s="786">
        <v>45850.0</v>
      </c>
      <c r="B300" s="787" t="s">
        <v>10254</v>
      </c>
      <c r="C300" s="788" t="s">
        <v>10139</v>
      </c>
      <c r="D300" s="789" t="s">
        <v>3930</v>
      </c>
      <c r="E300" s="790" t="str">
        <f>IFERROR(VLOOKUP(D300,Stock,3,FALSE),"")</f>
        <v>Suzuki Ertiga 18- 2nd Gen / XL7</v>
      </c>
      <c r="F300" s="788">
        <v>1.0</v>
      </c>
      <c r="G300" s="811">
        <v>778950.0</v>
      </c>
      <c r="H300" s="799">
        <f t="shared" si="6"/>
        <v>778950</v>
      </c>
      <c r="I300" s="800"/>
      <c r="J300" s="812"/>
      <c r="K300" s="848" t="s">
        <v>3191</v>
      </c>
      <c r="L300" s="802" t="s">
        <v>10137</v>
      </c>
      <c r="M300" s="833" t="s">
        <v>2763</v>
      </c>
      <c r="N300" s="849">
        <v>45853.0</v>
      </c>
      <c r="O300" s="803"/>
    </row>
    <row r="301" ht="15.0" customHeight="1">
      <c r="A301" s="786">
        <v>45850.0</v>
      </c>
      <c r="B301" s="787" t="s">
        <v>10254</v>
      </c>
      <c r="C301" s="788" t="s">
        <v>10139</v>
      </c>
      <c r="D301" s="789" t="s">
        <v>2973</v>
      </c>
      <c r="E301" s="790" t="str">
        <f>IFERROR(VLOOKUP(D301,Stock,3,FALSE),"")</f>
        <v>Suzuki Carry New 19-</v>
      </c>
      <c r="F301" s="788">
        <v>1.0</v>
      </c>
      <c r="G301" s="811">
        <v>617000.0</v>
      </c>
      <c r="H301" s="799">
        <f t="shared" si="6"/>
        <v>617000</v>
      </c>
      <c r="I301" s="800"/>
      <c r="J301" s="812"/>
      <c r="K301" s="848" t="s">
        <v>3191</v>
      </c>
      <c r="L301" s="802" t="s">
        <v>10137</v>
      </c>
      <c r="M301" s="833" t="s">
        <v>2763</v>
      </c>
      <c r="N301" s="849">
        <v>45853.0</v>
      </c>
      <c r="O301" s="803"/>
    </row>
    <row r="302" ht="15.0" customHeight="1">
      <c r="A302" s="786">
        <v>45852.0</v>
      </c>
      <c r="B302" s="787" t="s">
        <v>10255</v>
      </c>
      <c r="C302" s="788" t="s">
        <v>10139</v>
      </c>
      <c r="D302" s="789" t="s">
        <v>3953</v>
      </c>
      <c r="E302" s="790" t="str">
        <f>IFERROR(VLOOKUP(D302,Stock,3,FALSE),"")</f>
        <v>Honda Brio 18-</v>
      </c>
      <c r="F302" s="788">
        <v>1.0</v>
      </c>
      <c r="G302" s="811">
        <v>567000.0</v>
      </c>
      <c r="H302" s="799">
        <f t="shared" si="6"/>
        <v>567000</v>
      </c>
      <c r="I302" s="800"/>
      <c r="J302" s="812"/>
      <c r="K302" s="848" t="s">
        <v>3191</v>
      </c>
      <c r="L302" s="802" t="s">
        <v>10137</v>
      </c>
      <c r="M302" s="833" t="s">
        <v>2763</v>
      </c>
      <c r="N302" s="849">
        <v>45853.0</v>
      </c>
      <c r="O302" s="803"/>
    </row>
    <row r="303" ht="15.0" customHeight="1">
      <c r="A303" s="786">
        <v>45852.0</v>
      </c>
      <c r="B303" s="787" t="s">
        <v>10255</v>
      </c>
      <c r="C303" s="788" t="s">
        <v>10139</v>
      </c>
      <c r="D303" s="789" t="s">
        <v>3269</v>
      </c>
      <c r="E303" s="790" t="str">
        <f>IFERROR(VLOOKUP(D303,Stock,3,FALSE),"")</f>
        <v>Mitsubishi Pajero 16-</v>
      </c>
      <c r="F303" s="788">
        <v>1.0</v>
      </c>
      <c r="G303" s="811">
        <v>395000.0</v>
      </c>
      <c r="H303" s="799">
        <f t="shared" si="6"/>
        <v>395000</v>
      </c>
      <c r="I303" s="800"/>
      <c r="J303" s="812"/>
      <c r="K303" s="848" t="s">
        <v>3191</v>
      </c>
      <c r="L303" s="802" t="s">
        <v>10137</v>
      </c>
      <c r="M303" s="833" t="s">
        <v>2763</v>
      </c>
      <c r="N303" s="849">
        <v>45853.0</v>
      </c>
      <c r="O303" s="803"/>
    </row>
    <row r="304" ht="15.0" customHeight="1">
      <c r="A304" s="786">
        <v>45852.0</v>
      </c>
      <c r="B304" s="787" t="s">
        <v>10255</v>
      </c>
      <c r="C304" s="788" t="s">
        <v>10139</v>
      </c>
      <c r="D304" s="789" t="s">
        <v>3963</v>
      </c>
      <c r="E304" s="790" t="str">
        <f>IFERROR(VLOOKUP(D304,Stock,3,FALSE),"")</f>
        <v>Suzuki Carry New 19-</v>
      </c>
      <c r="F304" s="788">
        <v>1.0</v>
      </c>
      <c r="G304" s="811">
        <v>285000.0</v>
      </c>
      <c r="H304" s="799">
        <f t="shared" si="6"/>
        <v>285000</v>
      </c>
      <c r="I304" s="800"/>
      <c r="J304" s="812"/>
      <c r="K304" s="848" t="s">
        <v>3191</v>
      </c>
      <c r="L304" s="802" t="s">
        <v>10137</v>
      </c>
      <c r="M304" s="833" t="s">
        <v>2763</v>
      </c>
      <c r="N304" s="849">
        <v>45853.0</v>
      </c>
      <c r="O304" s="803"/>
    </row>
    <row r="305" ht="15.0" customHeight="1">
      <c r="A305" s="786">
        <v>45853.0</v>
      </c>
      <c r="B305" s="787" t="s">
        <v>10256</v>
      </c>
      <c r="C305" s="788" t="s">
        <v>10139</v>
      </c>
      <c r="D305" s="789" t="s">
        <v>3829</v>
      </c>
      <c r="E305" s="790" t="str">
        <f>IFERROR(VLOOKUP(D305,Stock,3,FALSE),"")</f>
        <v>Hyundai Accent Verna / Avega 01-12 Sedan</v>
      </c>
      <c r="F305" s="788">
        <v>1.0</v>
      </c>
      <c r="G305" s="811">
        <v>925000.0</v>
      </c>
      <c r="H305" s="799">
        <f t="shared" si="6"/>
        <v>925000</v>
      </c>
      <c r="I305" s="800"/>
      <c r="J305" s="812"/>
      <c r="K305" s="848" t="s">
        <v>3191</v>
      </c>
      <c r="L305" s="802" t="s">
        <v>10137</v>
      </c>
      <c r="M305" s="833" t="s">
        <v>2763</v>
      </c>
      <c r="N305" s="837">
        <v>45854.0</v>
      </c>
      <c r="O305" s="803"/>
    </row>
    <row r="306" ht="15.0" customHeight="1">
      <c r="A306" s="786">
        <v>45853.0</v>
      </c>
      <c r="B306" s="787" t="s">
        <v>10256</v>
      </c>
      <c r="C306" s="788" t="s">
        <v>10139</v>
      </c>
      <c r="D306" s="789" t="s">
        <v>3996</v>
      </c>
      <c r="E306" s="790" t="str">
        <f>IFERROR(VLOOKUP(D306,Stock,3,FALSE),"")</f>
        <v>Mazda 2 09-14 3rd Gen</v>
      </c>
      <c r="F306" s="788">
        <v>1.0</v>
      </c>
      <c r="G306" s="811">
        <v>1079325.0</v>
      </c>
      <c r="H306" s="799">
        <f t="shared" si="6"/>
        <v>1079325</v>
      </c>
      <c r="I306" s="800"/>
      <c r="J306" s="812"/>
      <c r="K306" s="848" t="s">
        <v>3191</v>
      </c>
      <c r="L306" s="802" t="s">
        <v>10137</v>
      </c>
      <c r="M306" s="833" t="s">
        <v>2763</v>
      </c>
      <c r="N306" s="837">
        <v>45854.0</v>
      </c>
      <c r="O306" s="803"/>
    </row>
    <row r="307" ht="15.0" customHeight="1">
      <c r="A307" s="786">
        <v>45853.0</v>
      </c>
      <c r="B307" s="787">
        <v>2507473.0</v>
      </c>
      <c r="C307" s="788" t="s">
        <v>10136</v>
      </c>
      <c r="D307" s="789" t="s">
        <v>3975</v>
      </c>
      <c r="E307" s="790" t="str">
        <f>IFERROR(VLOOKUP(D307,Stock,3,FALSE),"")</f>
        <v>Nissan Terrano 95-06</v>
      </c>
      <c r="F307" s="788">
        <v>1.0</v>
      </c>
      <c r="G307" s="811">
        <v>659450.0</v>
      </c>
      <c r="H307" s="799">
        <f t="shared" si="6"/>
        <v>659450</v>
      </c>
      <c r="I307" s="800"/>
      <c r="J307" s="812"/>
      <c r="K307" s="848" t="s">
        <v>3191</v>
      </c>
      <c r="L307" s="802" t="s">
        <v>10137</v>
      </c>
      <c r="M307" s="806" t="s">
        <v>2763</v>
      </c>
      <c r="N307" s="837">
        <v>45892.0</v>
      </c>
      <c r="O307" s="803"/>
    </row>
    <row r="308" ht="15.0" customHeight="1">
      <c r="A308" s="786">
        <v>45853.0</v>
      </c>
      <c r="B308" s="787">
        <v>2507473.0</v>
      </c>
      <c r="C308" s="788" t="s">
        <v>10136</v>
      </c>
      <c r="D308" s="789" t="s">
        <v>3043</v>
      </c>
      <c r="E308" s="790" t="str">
        <f>IFERROR(VLOOKUP(D308,Stock,3,FALSE),"")</f>
        <v>Honda CR-V 17- 5th Gen</v>
      </c>
      <c r="F308" s="788">
        <v>1.0</v>
      </c>
      <c r="G308" s="811">
        <v>853600.0</v>
      </c>
      <c r="H308" s="799">
        <f t="shared" si="6"/>
        <v>853600</v>
      </c>
      <c r="I308" s="800"/>
      <c r="J308" s="812"/>
      <c r="K308" s="848" t="s">
        <v>3191</v>
      </c>
      <c r="L308" s="802" t="s">
        <v>10137</v>
      </c>
      <c r="M308" s="806" t="s">
        <v>2763</v>
      </c>
      <c r="N308" s="837">
        <v>45892.0</v>
      </c>
      <c r="O308" s="803"/>
    </row>
    <row r="309" ht="15.0" customHeight="1">
      <c r="A309" s="786">
        <v>45852.0</v>
      </c>
      <c r="B309" s="787">
        <v>2507402.0</v>
      </c>
      <c r="C309" s="788" t="s">
        <v>10136</v>
      </c>
      <c r="D309" s="789" t="s">
        <v>4287</v>
      </c>
      <c r="E309" s="790" t="str">
        <f>IFERROR(VLOOKUP(D309,Stock,3,FALSE),"")</f>
        <v>Toyota Altis 18- E210 12th Gen</v>
      </c>
      <c r="F309" s="788">
        <v>1.0</v>
      </c>
      <c r="G309" s="811">
        <v>1210000.0</v>
      </c>
      <c r="H309" s="799">
        <f t="shared" si="6"/>
        <v>1210000</v>
      </c>
      <c r="I309" s="800"/>
      <c r="J309" s="812"/>
      <c r="K309" s="848" t="s">
        <v>3191</v>
      </c>
      <c r="L309" s="802" t="s">
        <v>10137</v>
      </c>
      <c r="M309" s="806" t="s">
        <v>2763</v>
      </c>
      <c r="N309" s="837">
        <v>45892.0</v>
      </c>
      <c r="O309" s="803"/>
    </row>
    <row r="310" ht="15.0" customHeight="1">
      <c r="A310" s="786">
        <v>45849.0</v>
      </c>
      <c r="B310" s="787">
        <v>2507386.0</v>
      </c>
      <c r="C310" s="788" t="s">
        <v>10136</v>
      </c>
      <c r="D310" s="789" t="s">
        <v>2952</v>
      </c>
      <c r="E310" s="790" t="str">
        <f>IFERROR(VLOOKUP(D310,Stock,3,FALSE),"")</f>
        <v/>
      </c>
      <c r="F310" s="788">
        <v>2.0</v>
      </c>
      <c r="G310" s="811">
        <v>416900.0</v>
      </c>
      <c r="H310" s="799">
        <f t="shared" si="6"/>
        <v>833800</v>
      </c>
      <c r="I310" s="800"/>
      <c r="J310" s="812"/>
      <c r="K310" s="848" t="s">
        <v>3191</v>
      </c>
      <c r="L310" s="802" t="s">
        <v>10137</v>
      </c>
      <c r="M310" s="806" t="s">
        <v>2763</v>
      </c>
      <c r="N310" s="837">
        <v>45892.0</v>
      </c>
      <c r="O310" s="803"/>
    </row>
    <row r="311" ht="15.0" customHeight="1">
      <c r="A311" s="786">
        <v>45849.0</v>
      </c>
      <c r="B311" s="787">
        <v>2507386.0</v>
      </c>
      <c r="C311" s="788" t="s">
        <v>10136</v>
      </c>
      <c r="D311" s="789" t="s">
        <v>8881</v>
      </c>
      <c r="E311" s="790" t="str">
        <f>IFERROR(VLOOKUP(D311,Stock,3,FALSE),"")</f>
        <v>Nissan Datsun Go/Go+ 14- (5-Seater)</v>
      </c>
      <c r="F311" s="788">
        <v>1.0</v>
      </c>
      <c r="G311" s="811">
        <v>561000.0</v>
      </c>
      <c r="H311" s="799">
        <f t="shared" si="6"/>
        <v>561000</v>
      </c>
      <c r="I311" s="800"/>
      <c r="J311" s="812"/>
      <c r="K311" s="848" t="s">
        <v>3191</v>
      </c>
      <c r="L311" s="802" t="s">
        <v>10137</v>
      </c>
      <c r="M311" s="806" t="s">
        <v>2763</v>
      </c>
      <c r="N311" s="837">
        <v>45892.0</v>
      </c>
      <c r="O311" s="803"/>
    </row>
    <row r="312" ht="15.0" customHeight="1">
      <c r="A312" s="786">
        <v>45849.0</v>
      </c>
      <c r="B312" s="787">
        <v>2507386.0</v>
      </c>
      <c r="C312" s="788" t="s">
        <v>10136</v>
      </c>
      <c r="D312" s="789" t="s">
        <v>2869</v>
      </c>
      <c r="E312" s="790" t="str">
        <f>IFERROR(VLOOKUP(D312,Stock,3,FALSE),"")</f>
        <v>Daihatsu Gran Max / Luxio 07-</v>
      </c>
      <c r="F312" s="788">
        <v>2.0</v>
      </c>
      <c r="G312" s="811">
        <v>470250.0</v>
      </c>
      <c r="H312" s="799">
        <f t="shared" si="6"/>
        <v>940500</v>
      </c>
      <c r="I312" s="800"/>
      <c r="J312" s="812"/>
      <c r="K312" s="848" t="s">
        <v>3191</v>
      </c>
      <c r="L312" s="802" t="s">
        <v>10137</v>
      </c>
      <c r="M312" s="806" t="s">
        <v>2763</v>
      </c>
      <c r="N312" s="837">
        <v>45892.0</v>
      </c>
      <c r="O312" s="803"/>
    </row>
    <row r="313" ht="15.0" customHeight="1">
      <c r="A313" s="786">
        <v>45848.0</v>
      </c>
      <c r="B313" s="787">
        <v>2507312.0</v>
      </c>
      <c r="C313" s="788" t="s">
        <v>10136</v>
      </c>
      <c r="D313" s="789" t="s">
        <v>2877</v>
      </c>
      <c r="E313" s="790" t="str">
        <f>IFERROR(VLOOKUP(D313,Stock,3,FALSE),"")</f>
        <v>Toyota Dyna/Hino Dutro 00-</v>
      </c>
      <c r="F313" s="788">
        <v>2.0</v>
      </c>
      <c r="G313" s="811">
        <v>522500.0</v>
      </c>
      <c r="H313" s="799">
        <f t="shared" si="6"/>
        <v>1045000</v>
      </c>
      <c r="I313" s="800">
        <v>-4683250.0</v>
      </c>
      <c r="J313" s="812"/>
      <c r="K313" s="848" t="s">
        <v>3191</v>
      </c>
      <c r="L313" s="802" t="s">
        <v>10137</v>
      </c>
      <c r="M313" s="806" t="s">
        <v>2763</v>
      </c>
      <c r="N313" s="837">
        <v>45892.0</v>
      </c>
      <c r="O313" s="803"/>
    </row>
    <row r="314" ht="15.0" customHeight="1">
      <c r="A314" s="786">
        <v>45848.0</v>
      </c>
      <c r="B314" s="787">
        <v>2507312.0</v>
      </c>
      <c r="C314" s="788" t="s">
        <v>10136</v>
      </c>
      <c r="D314" s="789" t="s">
        <v>3913</v>
      </c>
      <c r="E314" s="790" t="str">
        <f>IFERROR(VLOOKUP(D314,Stock,3,FALSE),"")</f>
        <v>BYD Seal 23- (2 Sensor / /\ O )</v>
      </c>
      <c r="F314" s="788">
        <v>1.0</v>
      </c>
      <c r="G314" s="811">
        <v>2145000.0</v>
      </c>
      <c r="H314" s="799">
        <f t="shared" si="6"/>
        <v>2145000</v>
      </c>
      <c r="I314" s="800"/>
      <c r="J314" s="812"/>
      <c r="K314" s="848" t="s">
        <v>3191</v>
      </c>
      <c r="L314" s="802" t="s">
        <v>10137</v>
      </c>
      <c r="M314" s="806" t="s">
        <v>2763</v>
      </c>
      <c r="N314" s="837">
        <v>45892.0</v>
      </c>
      <c r="O314" s="803"/>
    </row>
    <row r="315" ht="15.0" customHeight="1">
      <c r="A315" s="786">
        <v>45848.0</v>
      </c>
      <c r="B315" s="787">
        <v>2507312.0</v>
      </c>
      <c r="C315" s="788" t="s">
        <v>10136</v>
      </c>
      <c r="D315" s="789" t="s">
        <v>10257</v>
      </c>
      <c r="E315" s="790" t="str">
        <f>IFERROR(VLOOKUP(D315,Stock,3,FALSE),"")</f>
        <v>Audi A4 08-15 B8 [08-11] (1 Sensor / O Air Hujan)</v>
      </c>
      <c r="F315" s="788">
        <v>1.0</v>
      </c>
      <c r="G315" s="811">
        <v>2574550.0</v>
      </c>
      <c r="H315" s="799">
        <f t="shared" si="6"/>
        <v>2574550</v>
      </c>
      <c r="I315" s="800"/>
      <c r="J315" s="812"/>
      <c r="K315" s="848" t="s">
        <v>3191</v>
      </c>
      <c r="L315" s="802" t="s">
        <v>10137</v>
      </c>
      <c r="M315" s="806" t="s">
        <v>2763</v>
      </c>
      <c r="N315" s="837">
        <v>45892.0</v>
      </c>
      <c r="O315" s="803"/>
    </row>
    <row r="316" ht="15.0" customHeight="1">
      <c r="A316" s="786">
        <v>45848.0</v>
      </c>
      <c r="B316" s="787">
        <v>2507312.0</v>
      </c>
      <c r="C316" s="788" t="s">
        <v>10136</v>
      </c>
      <c r="D316" s="789" t="s">
        <v>2803</v>
      </c>
      <c r="E316" s="790" t="str">
        <f>IFERROR(VLOOKUP(D316,Stock,3,FALSE),"")</f>
        <v>Audi A4 08-15 B8 [11-15] (1 Sensor / O Sempurna)</v>
      </c>
      <c r="F316" s="788">
        <v>1.0</v>
      </c>
      <c r="G316" s="811">
        <v>2574550.0</v>
      </c>
      <c r="H316" s="799">
        <f t="shared" si="6"/>
        <v>2574550</v>
      </c>
      <c r="I316" s="800"/>
      <c r="J316" s="812"/>
      <c r="K316" s="848" t="s">
        <v>3191</v>
      </c>
      <c r="L316" s="802" t="s">
        <v>10137</v>
      </c>
      <c r="M316" s="806" t="s">
        <v>2763</v>
      </c>
      <c r="N316" s="837">
        <v>45892.0</v>
      </c>
      <c r="O316" s="803"/>
    </row>
    <row r="317" ht="15.0" customHeight="1">
      <c r="A317" s="786">
        <v>45854.0</v>
      </c>
      <c r="B317" s="787">
        <v>2507500.0</v>
      </c>
      <c r="C317" s="788" t="s">
        <v>10136</v>
      </c>
      <c r="D317" s="789" t="s">
        <v>2968</v>
      </c>
      <c r="E317" s="790" t="str">
        <f>IFERROR(VLOOKUP(D317,Stock,3,FALSE),"")</f>
        <v>Toyota Rush / Terios 18-</v>
      </c>
      <c r="F317" s="788">
        <v>1.0</v>
      </c>
      <c r="G317" s="811">
        <v>413600.0</v>
      </c>
      <c r="H317" s="799">
        <f t="shared" si="6"/>
        <v>413600</v>
      </c>
      <c r="I317" s="800"/>
      <c r="J317" s="812"/>
      <c r="K317" s="848" t="s">
        <v>3191</v>
      </c>
      <c r="L317" s="802" t="s">
        <v>10137</v>
      </c>
      <c r="M317" s="806" t="s">
        <v>2763</v>
      </c>
      <c r="N317" s="837">
        <v>45892.0</v>
      </c>
      <c r="O317" s="803"/>
    </row>
    <row r="318" ht="15.0" customHeight="1">
      <c r="A318" s="786">
        <v>45854.0</v>
      </c>
      <c r="B318" s="787">
        <v>2507512.0</v>
      </c>
      <c r="C318" s="788" t="s">
        <v>10136</v>
      </c>
      <c r="D318" s="789" t="s">
        <v>4001</v>
      </c>
      <c r="E318" s="790" t="str">
        <f>IFERROR(VLOOKUP(D318,Stock,3,FALSE),"")</f>
        <v>Daihatsu Gran Max Minibus/Van</v>
      </c>
      <c r="F318" s="788">
        <v>1.0</v>
      </c>
      <c r="G318" s="811">
        <v>254100.0</v>
      </c>
      <c r="H318" s="799">
        <f t="shared" si="6"/>
        <v>254100</v>
      </c>
      <c r="I318" s="800"/>
      <c r="J318" s="812"/>
      <c r="K318" s="848" t="s">
        <v>3191</v>
      </c>
      <c r="L318" s="802" t="s">
        <v>10137</v>
      </c>
      <c r="M318" s="806" t="s">
        <v>2763</v>
      </c>
      <c r="N318" s="837">
        <v>45892.0</v>
      </c>
      <c r="O318" s="803"/>
    </row>
    <row r="319" ht="15.0" customHeight="1">
      <c r="A319" s="786">
        <v>45854.0</v>
      </c>
      <c r="B319" s="787">
        <v>2507512.0</v>
      </c>
      <c r="C319" s="788" t="s">
        <v>10136</v>
      </c>
      <c r="D319" s="789" t="s">
        <v>10258</v>
      </c>
      <c r="E319" s="790" t="str">
        <f>IFERROR(VLOOKUP(D319,Stock,3,FALSE),"")</f>
        <v>Honda Accord 13-17 9th Gen (1 Sensor / I )</v>
      </c>
      <c r="F319" s="788">
        <v>1.0</v>
      </c>
      <c r="G319" s="811">
        <v>1355200.0</v>
      </c>
      <c r="H319" s="799">
        <f t="shared" si="6"/>
        <v>1355200</v>
      </c>
      <c r="I319" s="800"/>
      <c r="J319" s="812"/>
      <c r="K319" s="848" t="s">
        <v>3191</v>
      </c>
      <c r="L319" s="802" t="s">
        <v>10137</v>
      </c>
      <c r="M319" s="806" t="s">
        <v>2763</v>
      </c>
      <c r="N319" s="837">
        <v>45892.0</v>
      </c>
      <c r="O319" s="803"/>
    </row>
    <row r="320" ht="15.0" customHeight="1">
      <c r="A320" s="786">
        <v>45854.0</v>
      </c>
      <c r="B320" s="787">
        <v>2507505.0</v>
      </c>
      <c r="C320" s="788" t="s">
        <v>10136</v>
      </c>
      <c r="D320" s="789" t="s">
        <v>3849</v>
      </c>
      <c r="E320" s="790" t="str">
        <f>IFERROR(VLOOKUP(D320,Stock,3,FALSE),"")</f>
        <v>Toyota Yaris 13- 2nd Gen / Vios 14- 3rd Gen</v>
      </c>
      <c r="F320" s="788">
        <v>1.0</v>
      </c>
      <c r="G320" s="811">
        <v>725450.0</v>
      </c>
      <c r="H320" s="799">
        <f t="shared" si="6"/>
        <v>725450</v>
      </c>
      <c r="I320" s="800"/>
      <c r="J320" s="812"/>
      <c r="K320" s="848" t="s">
        <v>3191</v>
      </c>
      <c r="L320" s="802" t="s">
        <v>10137</v>
      </c>
      <c r="M320" s="806" t="s">
        <v>2763</v>
      </c>
      <c r="N320" s="837">
        <v>45892.0</v>
      </c>
      <c r="O320" s="803"/>
    </row>
    <row r="321" ht="15.0" customHeight="1">
      <c r="A321" s="786">
        <v>45855.0</v>
      </c>
      <c r="B321" s="787" t="s">
        <v>10259</v>
      </c>
      <c r="C321" s="788" t="s">
        <v>66</v>
      </c>
      <c r="D321" s="789" t="s">
        <v>3638</v>
      </c>
      <c r="E321" s="790" t="str">
        <f>IFERROR(VLOOKUP(D321,Stock,3,FALSE),"")</f>
        <v>Mazda CX-5 12-17 1st Gen KE Pre - (1 Sensor/ □ )</v>
      </c>
      <c r="F321" s="788">
        <v>1.0</v>
      </c>
      <c r="G321" s="811">
        <v>2500000.0</v>
      </c>
      <c r="H321" s="799">
        <f t="shared" si="6"/>
        <v>2500000</v>
      </c>
      <c r="I321" s="800"/>
      <c r="J321" s="812"/>
      <c r="K321" s="848" t="s">
        <v>9900</v>
      </c>
      <c r="L321" s="802" t="s">
        <v>10137</v>
      </c>
      <c r="M321" s="833" t="s">
        <v>2763</v>
      </c>
      <c r="N321" s="837">
        <v>45859.0</v>
      </c>
      <c r="O321" s="803"/>
    </row>
    <row r="322" ht="15.0" customHeight="1">
      <c r="A322" s="786">
        <v>45855.0</v>
      </c>
      <c r="B322" s="787" t="s">
        <v>10259</v>
      </c>
      <c r="C322" s="788" t="s">
        <v>66</v>
      </c>
      <c r="D322" s="789" t="s">
        <v>4024</v>
      </c>
      <c r="E322" s="790" t="str">
        <f>IFERROR(VLOOKUP(D322,Stock,3,FALSE),"")</f>
        <v>Mazda CX-5 12-17 1st Gen KE Facelift - (2 Sensor / [] /\  )</v>
      </c>
      <c r="F322" s="788">
        <v>1.0</v>
      </c>
      <c r="G322" s="811">
        <v>2950000.0</v>
      </c>
      <c r="H322" s="799">
        <f t="shared" si="6"/>
        <v>2950000</v>
      </c>
      <c r="I322" s="800"/>
      <c r="J322" s="812"/>
      <c r="K322" s="848" t="s">
        <v>9900</v>
      </c>
      <c r="L322" s="802" t="s">
        <v>10137</v>
      </c>
      <c r="M322" s="833" t="s">
        <v>2763</v>
      </c>
      <c r="N322" s="837">
        <v>45859.0</v>
      </c>
      <c r="O322" s="803"/>
    </row>
    <row r="323" ht="15.0" customHeight="1">
      <c r="A323" s="786">
        <v>45856.0</v>
      </c>
      <c r="B323" s="787">
        <v>2507572.0</v>
      </c>
      <c r="C323" s="788" t="s">
        <v>10136</v>
      </c>
      <c r="D323" s="789" t="s">
        <v>4019</v>
      </c>
      <c r="E323" s="790" t="str">
        <f>IFERROR(VLOOKUP(D323,Stock,3,FALSE),"")</f>
        <v>Mers-Benz E-Class 09-16 W212</v>
      </c>
      <c r="F323" s="788">
        <v>1.0</v>
      </c>
      <c r="G323" s="811">
        <v>1648350.0</v>
      </c>
      <c r="H323" s="799">
        <f t="shared" si="6"/>
        <v>1648350</v>
      </c>
      <c r="I323" s="800"/>
      <c r="J323" s="812"/>
      <c r="K323" s="848" t="s">
        <v>3191</v>
      </c>
      <c r="L323" s="802" t="s">
        <v>10137</v>
      </c>
      <c r="M323" s="806" t="s">
        <v>2763</v>
      </c>
      <c r="N323" s="837">
        <v>45892.0</v>
      </c>
      <c r="O323" s="803"/>
    </row>
    <row r="324" ht="15.0" customHeight="1">
      <c r="A324" s="786">
        <v>45855.0</v>
      </c>
      <c r="B324" s="787">
        <v>2507542.0</v>
      </c>
      <c r="C324" s="788" t="s">
        <v>10136</v>
      </c>
      <c r="D324" s="789" t="s">
        <v>2772</v>
      </c>
      <c r="E324" s="790" t="str">
        <f>IFERROR(VLOOKUP(D324,Stock,3,FALSE),"")</f>
        <v>Suzuki Ignis 17-</v>
      </c>
      <c r="F324" s="788">
        <v>1.0</v>
      </c>
      <c r="G324" s="811">
        <v>466950.0</v>
      </c>
      <c r="H324" s="799">
        <f t="shared" si="6"/>
        <v>466950</v>
      </c>
      <c r="I324" s="800"/>
      <c r="J324" s="812"/>
      <c r="K324" s="848" t="s">
        <v>3191</v>
      </c>
      <c r="L324" s="802" t="s">
        <v>10137</v>
      </c>
      <c r="M324" s="806" t="s">
        <v>2763</v>
      </c>
      <c r="N324" s="837">
        <v>45892.0</v>
      </c>
      <c r="O324" s="803"/>
    </row>
    <row r="325" ht="15.0" customHeight="1">
      <c r="A325" s="786">
        <v>45855.0</v>
      </c>
      <c r="B325" s="787">
        <v>2507542.0</v>
      </c>
      <c r="C325" s="788" t="s">
        <v>10136</v>
      </c>
      <c r="D325" s="789" t="s">
        <v>4013</v>
      </c>
      <c r="E325" s="790" t="str">
        <f>IFERROR(VLOOKUP(D325,Stock,3,FALSE),"")</f>
        <v>Toyota Sienta 15-</v>
      </c>
      <c r="F325" s="788">
        <v>1.0</v>
      </c>
      <c r="G325" s="811">
        <v>568150.0</v>
      </c>
      <c r="H325" s="799">
        <f t="shared" si="6"/>
        <v>568150</v>
      </c>
      <c r="I325" s="800"/>
      <c r="J325" s="812"/>
      <c r="K325" s="848" t="s">
        <v>3191</v>
      </c>
      <c r="L325" s="802" t="s">
        <v>10137</v>
      </c>
      <c r="M325" s="806" t="s">
        <v>2763</v>
      </c>
      <c r="N325" s="837">
        <v>45892.0</v>
      </c>
      <c r="O325" s="803"/>
    </row>
    <row r="326" ht="15.0" customHeight="1">
      <c r="A326" s="786">
        <v>45854.0</v>
      </c>
      <c r="B326" s="787">
        <v>2507531.0</v>
      </c>
      <c r="C326" s="788" t="s">
        <v>10136</v>
      </c>
      <c r="D326" s="789" t="s">
        <v>3499</v>
      </c>
      <c r="E326" s="790" t="str">
        <f>IFERROR(VLOOKUP(D326,Stock,3,FALSE),"")</f>
        <v>Honda Brio 10- / Mobilio 11-</v>
      </c>
      <c r="F326" s="788">
        <v>2.0</v>
      </c>
      <c r="G326" s="811">
        <v>573100.0</v>
      </c>
      <c r="H326" s="799">
        <f t="shared" si="6"/>
        <v>1146200</v>
      </c>
      <c r="I326" s="800"/>
      <c r="J326" s="812"/>
      <c r="K326" s="848" t="s">
        <v>3191</v>
      </c>
      <c r="L326" s="802" t="s">
        <v>10137</v>
      </c>
      <c r="M326" s="806" t="s">
        <v>2763</v>
      </c>
      <c r="N326" s="837">
        <v>45892.0</v>
      </c>
      <c r="O326" s="803"/>
    </row>
    <row r="327" ht="15.0" customHeight="1">
      <c r="A327" s="786">
        <v>45854.0</v>
      </c>
      <c r="B327" s="787">
        <v>2507531.0</v>
      </c>
      <c r="C327" s="788" t="s">
        <v>10136</v>
      </c>
      <c r="D327" s="789" t="s">
        <v>3193</v>
      </c>
      <c r="E327" s="790" t="str">
        <f>IFERROR(VLOOKUP(D327,Stock,3,FALSE),"")</f>
        <v>Toyota Avanza / Xenia 11-15 2nd Gen</v>
      </c>
      <c r="F327" s="788">
        <v>2.0</v>
      </c>
      <c r="G327" s="811">
        <v>416900.0</v>
      </c>
      <c r="H327" s="799">
        <f t="shared" si="6"/>
        <v>833800</v>
      </c>
      <c r="I327" s="800"/>
      <c r="J327" s="812"/>
      <c r="K327" s="848" t="s">
        <v>3191</v>
      </c>
      <c r="L327" s="802" t="s">
        <v>10137</v>
      </c>
      <c r="M327" s="806" t="s">
        <v>2763</v>
      </c>
      <c r="N327" s="837">
        <v>45892.0</v>
      </c>
      <c r="O327" s="803"/>
    </row>
    <row r="328" ht="15.0" customHeight="1">
      <c r="A328" s="786">
        <v>45854.0</v>
      </c>
      <c r="B328" s="787">
        <v>2507531.0</v>
      </c>
      <c r="C328" s="788" t="s">
        <v>10136</v>
      </c>
      <c r="D328" s="789" t="s">
        <v>4001</v>
      </c>
      <c r="E328" s="790" t="str">
        <f>IFERROR(VLOOKUP(D328,Stock,3,FALSE),"")</f>
        <v>Daihatsu Gran Max Minibus/Van</v>
      </c>
      <c r="F328" s="788">
        <v>1.0</v>
      </c>
      <c r="G328" s="811">
        <v>254100.0</v>
      </c>
      <c r="H328" s="799">
        <f t="shared" si="6"/>
        <v>254100</v>
      </c>
      <c r="I328" s="800"/>
      <c r="J328" s="812"/>
      <c r="K328" s="848" t="s">
        <v>3191</v>
      </c>
      <c r="L328" s="802" t="s">
        <v>10137</v>
      </c>
      <c r="M328" s="806" t="s">
        <v>2763</v>
      </c>
      <c r="N328" s="837">
        <v>45892.0</v>
      </c>
      <c r="O328" s="803"/>
    </row>
    <row r="329" ht="15.0" customHeight="1">
      <c r="A329" s="786">
        <v>45854.0</v>
      </c>
      <c r="B329" s="787">
        <v>2507531.0</v>
      </c>
      <c r="C329" s="788" t="s">
        <v>10136</v>
      </c>
      <c r="D329" s="789" t="s">
        <v>2792</v>
      </c>
      <c r="E329" s="790" t="str">
        <f>IFERROR(VLOOKUP(D329,Stock,3,FALSE),"")</f>
        <v>Toyota Calya / Sigra 16-</v>
      </c>
      <c r="F329" s="788">
        <v>1.0</v>
      </c>
      <c r="G329" s="811">
        <v>339900.0</v>
      </c>
      <c r="H329" s="799">
        <f t="shared" si="6"/>
        <v>339900</v>
      </c>
      <c r="I329" s="800"/>
      <c r="J329" s="812"/>
      <c r="K329" s="848" t="s">
        <v>3191</v>
      </c>
      <c r="L329" s="802" t="s">
        <v>10137</v>
      </c>
      <c r="M329" s="806" t="s">
        <v>2763</v>
      </c>
      <c r="N329" s="837">
        <v>45892.0</v>
      </c>
      <c r="O329" s="803"/>
    </row>
    <row r="330" ht="15.0" customHeight="1">
      <c r="A330" s="786">
        <v>45854.0</v>
      </c>
      <c r="B330" s="787">
        <v>2507531.0</v>
      </c>
      <c r="C330" s="788" t="s">
        <v>10136</v>
      </c>
      <c r="D330" s="789" t="s">
        <v>3634</v>
      </c>
      <c r="E330" s="790" t="str">
        <f>IFERROR(VLOOKUP(D330,Stock,3,FALSE),"")</f>
        <v>Toyota Agya/Ayla 13-22 1st Gen (Toyota/Daihatsu)</v>
      </c>
      <c r="F330" s="788">
        <v>1.0</v>
      </c>
      <c r="G330" s="811">
        <v>332200.0</v>
      </c>
      <c r="H330" s="799">
        <f t="shared" si="6"/>
        <v>332200</v>
      </c>
      <c r="I330" s="800"/>
      <c r="J330" s="812"/>
      <c r="K330" s="848" t="s">
        <v>3191</v>
      </c>
      <c r="L330" s="802" t="s">
        <v>10137</v>
      </c>
      <c r="M330" s="806" t="s">
        <v>2763</v>
      </c>
      <c r="N330" s="837">
        <v>45892.0</v>
      </c>
      <c r="O330" s="803"/>
    </row>
    <row r="331" ht="15.0" customHeight="1">
      <c r="A331" s="786">
        <v>45856.0</v>
      </c>
      <c r="B331" s="787" t="s">
        <v>10260</v>
      </c>
      <c r="C331" s="788" t="s">
        <v>2643</v>
      </c>
      <c r="D331" s="789" t="s">
        <v>4304</v>
      </c>
      <c r="E331" s="790" t="str">
        <f>IFERROR(VLOOKUP(D331,Stock,3,FALSE),"")</f>
        <v>Honda Mobilio 14- (Honda)</v>
      </c>
      <c r="F331" s="788">
        <v>1.0</v>
      </c>
      <c r="G331" s="811">
        <v>766788.0</v>
      </c>
      <c r="H331" s="799">
        <f t="shared" si="6"/>
        <v>766788</v>
      </c>
      <c r="I331" s="800"/>
      <c r="J331" s="812"/>
      <c r="K331" s="848" t="s">
        <v>3191</v>
      </c>
      <c r="L331" s="802" t="s">
        <v>10137</v>
      </c>
      <c r="M331" s="806" t="s">
        <v>2763</v>
      </c>
      <c r="N331" s="837">
        <v>45895.0</v>
      </c>
      <c r="O331" s="803"/>
    </row>
    <row r="332" ht="15.0" customHeight="1">
      <c r="A332" s="786">
        <v>45856.0</v>
      </c>
      <c r="B332" s="787" t="s">
        <v>10261</v>
      </c>
      <c r="C332" s="788" t="s">
        <v>2643</v>
      </c>
      <c r="D332" s="789" t="s">
        <v>3354</v>
      </c>
      <c r="E332" s="790" t="str">
        <f>IFERROR(VLOOKUP(D332,Stock,3,FALSE),"")</f>
        <v>Honda Brio 10- / Mobilio 11- (Honda)</v>
      </c>
      <c r="F332" s="788">
        <v>2.0</v>
      </c>
      <c r="G332" s="811">
        <v>717948.0</v>
      </c>
      <c r="H332" s="799">
        <f t="shared" si="6"/>
        <v>1435896</v>
      </c>
      <c r="I332" s="800"/>
      <c r="J332" s="812"/>
      <c r="K332" s="848" t="s">
        <v>3191</v>
      </c>
      <c r="L332" s="802" t="s">
        <v>10137</v>
      </c>
      <c r="M332" s="806" t="s">
        <v>2763</v>
      </c>
      <c r="N332" s="837">
        <v>45895.0</v>
      </c>
      <c r="O332" s="803"/>
    </row>
    <row r="333" ht="15.0" customHeight="1">
      <c r="A333" s="786">
        <v>45857.0</v>
      </c>
      <c r="B333" s="787" t="s">
        <v>10262</v>
      </c>
      <c r="C333" s="788" t="s">
        <v>10139</v>
      </c>
      <c r="D333" s="789" t="s">
        <v>2901</v>
      </c>
      <c r="E333" s="790" t="str">
        <f>IFERROR(VLOOKUP(D333,Stock,3,FALSE),"")</f>
        <v>Honda CR-V 12-16 4th Gen</v>
      </c>
      <c r="F333" s="788">
        <v>1.0</v>
      </c>
      <c r="G333" s="811">
        <v>1079325.0</v>
      </c>
      <c r="H333" s="799">
        <f t="shared" si="6"/>
        <v>1079325</v>
      </c>
      <c r="I333" s="800"/>
      <c r="J333" s="812"/>
      <c r="K333" s="848" t="s">
        <v>3191</v>
      </c>
      <c r="L333" s="802" t="s">
        <v>10137</v>
      </c>
      <c r="M333" s="806" t="s">
        <v>2763</v>
      </c>
      <c r="N333" s="837">
        <v>45862.0</v>
      </c>
      <c r="O333" s="803"/>
    </row>
    <row r="334" ht="15.0" customHeight="1">
      <c r="A334" s="786">
        <v>45857.0</v>
      </c>
      <c r="B334" s="787" t="s">
        <v>10262</v>
      </c>
      <c r="C334" s="788" t="s">
        <v>10139</v>
      </c>
      <c r="D334" s="789" t="s">
        <v>4046</v>
      </c>
      <c r="E334" s="790" t="str">
        <f>IFERROR(VLOOKUP(D334,Stock,3,FALSE),"")</f>
        <v>Mitsubishi L300</v>
      </c>
      <c r="F334" s="788">
        <v>1.0</v>
      </c>
      <c r="G334" s="811">
        <v>175000.0</v>
      </c>
      <c r="H334" s="799">
        <f t="shared" si="6"/>
        <v>175000</v>
      </c>
      <c r="I334" s="800"/>
      <c r="J334" s="812"/>
      <c r="K334" s="848" t="s">
        <v>3191</v>
      </c>
      <c r="L334" s="802" t="s">
        <v>10137</v>
      </c>
      <c r="M334" s="806" t="s">
        <v>2763</v>
      </c>
      <c r="N334" s="837">
        <v>45862.0</v>
      </c>
      <c r="O334" s="803"/>
    </row>
    <row r="335" ht="15.0" customHeight="1">
      <c r="A335" s="786">
        <v>45857.0</v>
      </c>
      <c r="B335" s="787" t="s">
        <v>10263</v>
      </c>
      <c r="C335" s="788" t="s">
        <v>66</v>
      </c>
      <c r="D335" s="789" t="s">
        <v>4037</v>
      </c>
      <c r="E335" s="790" t="str">
        <f>IFERROR(VLOOKUP(D335,Stock,3,FALSE),"")</f>
        <v>Lexus RX (Harrier) 13- CU6 [2 Sensor / /\ [] ]</v>
      </c>
      <c r="F335" s="788">
        <v>1.0</v>
      </c>
      <c r="G335" s="811">
        <v>3450000.0</v>
      </c>
      <c r="H335" s="799">
        <f t="shared" si="6"/>
        <v>3450000</v>
      </c>
      <c r="I335" s="800"/>
      <c r="J335" s="812"/>
      <c r="K335" s="848" t="s">
        <v>3481</v>
      </c>
      <c r="L335" s="802" t="s">
        <v>10137</v>
      </c>
      <c r="M335" s="833" t="s">
        <v>2763</v>
      </c>
      <c r="N335" s="837">
        <v>45859.0</v>
      </c>
      <c r="O335" s="803"/>
    </row>
    <row r="336" ht="15.0" customHeight="1">
      <c r="A336" s="786">
        <v>45857.0</v>
      </c>
      <c r="B336" s="787" t="s">
        <v>10264</v>
      </c>
      <c r="C336" s="788" t="s">
        <v>2643</v>
      </c>
      <c r="D336" s="789" t="s">
        <v>6828</v>
      </c>
      <c r="E336" s="790" t="str">
        <f>IFERROR(VLOOKUP(D336,Stock,3,FALSE),"")</f>
        <v>Honda Brio 10-17 [Tanpa Lubang] (Honda)</v>
      </c>
      <c r="F336" s="788">
        <v>1.0</v>
      </c>
      <c r="G336" s="811">
        <v>678876.0</v>
      </c>
      <c r="H336" s="799">
        <f t="shared" si="6"/>
        <v>678876</v>
      </c>
      <c r="I336" s="800"/>
      <c r="J336" s="812"/>
      <c r="K336" s="848" t="s">
        <v>3191</v>
      </c>
      <c r="L336" s="802" t="s">
        <v>10137</v>
      </c>
      <c r="M336" s="833" t="s">
        <v>2763</v>
      </c>
      <c r="N336" s="837">
        <v>45895.0</v>
      </c>
      <c r="O336" s="803"/>
    </row>
    <row r="337" ht="15.0" customHeight="1">
      <c r="A337" s="814">
        <v>45857.0</v>
      </c>
      <c r="B337" s="816" t="s">
        <v>10265</v>
      </c>
      <c r="C337" s="788" t="s">
        <v>79</v>
      </c>
      <c r="D337" s="789" t="s">
        <v>4017</v>
      </c>
      <c r="E337" s="790" t="str">
        <f>IFERROR(VLOOKUP(D337,Stock,3,FALSE),"")</f>
        <v>Black Phantom Solar Gard</v>
      </c>
      <c r="F337" s="788">
        <v>1.0</v>
      </c>
      <c r="G337" s="817">
        <v>3399000.0</v>
      </c>
      <c r="H337" s="799">
        <f t="shared" si="6"/>
        <v>3399000</v>
      </c>
      <c r="I337" s="800"/>
      <c r="J337" s="812"/>
      <c r="K337" s="848" t="s">
        <v>3191</v>
      </c>
      <c r="L337" s="802" t="s">
        <v>10137</v>
      </c>
      <c r="M337" s="806" t="s">
        <v>2763</v>
      </c>
      <c r="N337" s="837">
        <v>45880.0</v>
      </c>
      <c r="O337" s="803"/>
    </row>
    <row r="338" ht="15.0" customHeight="1">
      <c r="A338" s="786">
        <v>45859.0</v>
      </c>
      <c r="B338" s="787" t="s">
        <v>10266</v>
      </c>
      <c r="C338" s="788" t="s">
        <v>10139</v>
      </c>
      <c r="D338" s="789" t="s">
        <v>3434</v>
      </c>
      <c r="E338" s="790" t="str">
        <f>IFERROR(VLOOKUP(D338,Stock,3,FALSE),"")</f>
        <v>List Kaca Depan Code 04</v>
      </c>
      <c r="F338" s="788">
        <v>5.0</v>
      </c>
      <c r="G338" s="811">
        <v>65000.0</v>
      </c>
      <c r="H338" s="799">
        <f t="shared" si="6"/>
        <v>325000</v>
      </c>
      <c r="I338" s="800"/>
      <c r="J338" s="812"/>
      <c r="K338" s="848" t="s">
        <v>3191</v>
      </c>
      <c r="L338" s="802" t="s">
        <v>10137</v>
      </c>
      <c r="M338" s="806" t="s">
        <v>2763</v>
      </c>
      <c r="N338" s="837">
        <v>45862.0</v>
      </c>
      <c r="O338" s="803"/>
    </row>
    <row r="339" ht="15.0" customHeight="1">
      <c r="A339" s="786">
        <v>45859.0</v>
      </c>
      <c r="B339" s="787" t="s">
        <v>10266</v>
      </c>
      <c r="C339" s="788" t="s">
        <v>10139</v>
      </c>
      <c r="D339" s="789" t="s">
        <v>3456</v>
      </c>
      <c r="E339" s="790" t="str">
        <f>IFERROR(VLOOKUP(D339,Stock,3,FALSE),"")</f>
        <v>List Kaca Depan Code 11</v>
      </c>
      <c r="F339" s="788">
        <v>5.0</v>
      </c>
      <c r="G339" s="811">
        <v>65000.0</v>
      </c>
      <c r="H339" s="799">
        <f t="shared" si="6"/>
        <v>325000</v>
      </c>
      <c r="I339" s="800"/>
      <c r="J339" s="812"/>
      <c r="K339" s="848" t="s">
        <v>3191</v>
      </c>
      <c r="L339" s="802" t="s">
        <v>10137</v>
      </c>
      <c r="M339" s="806" t="s">
        <v>2763</v>
      </c>
      <c r="N339" s="837">
        <v>45862.0</v>
      </c>
      <c r="O339" s="803"/>
    </row>
    <row r="340" ht="15.0" customHeight="1">
      <c r="A340" s="786">
        <v>45859.0</v>
      </c>
      <c r="B340" s="787" t="s">
        <v>10266</v>
      </c>
      <c r="C340" s="788" t="s">
        <v>10139</v>
      </c>
      <c r="D340" s="789" t="s">
        <v>3352</v>
      </c>
      <c r="E340" s="790" t="str">
        <f>IFERROR(VLOOKUP(D340,Stock,3,FALSE),"")</f>
        <v>List Kaca Depan INV</v>
      </c>
      <c r="F340" s="788">
        <v>5.0</v>
      </c>
      <c r="G340" s="811">
        <v>100000.0</v>
      </c>
      <c r="H340" s="799">
        <f t="shared" si="6"/>
        <v>500000</v>
      </c>
      <c r="I340" s="800"/>
      <c r="J340" s="812"/>
      <c r="K340" s="848" t="s">
        <v>3191</v>
      </c>
      <c r="L340" s="802" t="s">
        <v>10137</v>
      </c>
      <c r="M340" s="806" t="s">
        <v>2763</v>
      </c>
      <c r="N340" s="837">
        <v>45862.0</v>
      </c>
      <c r="O340" s="803"/>
    </row>
    <row r="341" ht="15.0" customHeight="1">
      <c r="A341" s="786">
        <v>45859.0</v>
      </c>
      <c r="B341" s="787" t="s">
        <v>10266</v>
      </c>
      <c r="C341" s="788" t="s">
        <v>10139</v>
      </c>
      <c r="D341" s="789" t="s">
        <v>3858</v>
      </c>
      <c r="E341" s="790" t="str">
        <f>IFERROR(VLOOKUP(D341,Stock,3,FALSE),"")</f>
        <v>Daihatsu Luxio 07-</v>
      </c>
      <c r="F341" s="788">
        <v>1.0</v>
      </c>
      <c r="G341" s="811">
        <v>475000.0</v>
      </c>
      <c r="H341" s="799">
        <f t="shared" si="6"/>
        <v>475000</v>
      </c>
      <c r="I341" s="800"/>
      <c r="J341" s="812"/>
      <c r="K341" s="848" t="s">
        <v>3191</v>
      </c>
      <c r="L341" s="802" t="s">
        <v>10137</v>
      </c>
      <c r="M341" s="806" t="s">
        <v>2763</v>
      </c>
      <c r="N341" s="837">
        <v>45862.0</v>
      </c>
      <c r="O341" s="803"/>
    </row>
    <row r="342" ht="15.0" customHeight="1">
      <c r="A342" s="786">
        <v>45860.0</v>
      </c>
      <c r="B342" s="787" t="s">
        <v>10267</v>
      </c>
      <c r="C342" s="788" t="s">
        <v>2643</v>
      </c>
      <c r="D342" s="789" t="s">
        <v>4176</v>
      </c>
      <c r="E342" s="790" t="str">
        <f>IFERROR(VLOOKUP(D342,Stock,3,FALSE),"")</f>
        <v>Honda HR-V 22- 5D SUV (Honda)</v>
      </c>
      <c r="F342" s="788">
        <v>1.0</v>
      </c>
      <c r="G342" s="811">
        <v>2031744.0</v>
      </c>
      <c r="H342" s="799">
        <f t="shared" si="6"/>
        <v>2031744</v>
      </c>
      <c r="I342" s="800"/>
      <c r="J342" s="812"/>
      <c r="K342" s="848" t="s">
        <v>3191</v>
      </c>
      <c r="L342" s="802" t="s">
        <v>10137</v>
      </c>
      <c r="M342" s="833" t="s">
        <v>2763</v>
      </c>
      <c r="N342" s="837">
        <v>45895.0</v>
      </c>
      <c r="O342" s="803"/>
    </row>
    <row r="343" ht="15.0" customHeight="1">
      <c r="A343" s="786">
        <v>45860.0</v>
      </c>
      <c r="B343" s="787" t="s">
        <v>10267</v>
      </c>
      <c r="C343" s="788" t="s">
        <v>2643</v>
      </c>
      <c r="D343" s="789" t="s">
        <v>9378</v>
      </c>
      <c r="E343" s="790" t="str">
        <f>IFERROR(VLOOKUP(D343,Stock,3,FALSE),"")</f>
        <v>Honda Brio 18- (Honda)</v>
      </c>
      <c r="F343" s="788">
        <v>1.0</v>
      </c>
      <c r="G343" s="811">
        <v>146520.0</v>
      </c>
      <c r="H343" s="799">
        <f t="shared" si="6"/>
        <v>146520</v>
      </c>
      <c r="I343" s="800"/>
      <c r="J343" s="812"/>
      <c r="K343" s="848" t="s">
        <v>3191</v>
      </c>
      <c r="L343" s="802" t="s">
        <v>10137</v>
      </c>
      <c r="M343" s="833" t="s">
        <v>2763</v>
      </c>
      <c r="N343" s="837">
        <v>45895.0</v>
      </c>
      <c r="O343" s="803"/>
    </row>
    <row r="344" ht="15.0" customHeight="1">
      <c r="A344" s="786">
        <v>45860.0</v>
      </c>
      <c r="B344" s="787" t="s">
        <v>10267</v>
      </c>
      <c r="C344" s="788" t="s">
        <v>2643</v>
      </c>
      <c r="D344" s="789" t="s">
        <v>4627</v>
      </c>
      <c r="E344" s="790" t="str">
        <f>IFERROR(VLOOKUP(D344,Stock,3,FALSE),"")</f>
        <v>Honda Brio 18- (Honda)</v>
      </c>
      <c r="F344" s="788">
        <v>1.0</v>
      </c>
      <c r="G344" s="811">
        <v>146520.0</v>
      </c>
      <c r="H344" s="799">
        <f t="shared" si="6"/>
        <v>146520</v>
      </c>
      <c r="I344" s="800"/>
      <c r="J344" s="812"/>
      <c r="K344" s="848" t="s">
        <v>3191</v>
      </c>
      <c r="L344" s="802" t="s">
        <v>10137</v>
      </c>
      <c r="M344" s="833" t="s">
        <v>2763</v>
      </c>
      <c r="N344" s="837">
        <v>45895.0</v>
      </c>
      <c r="O344" s="803"/>
    </row>
    <row r="345" ht="15.0" customHeight="1">
      <c r="A345" s="786">
        <v>45860.0</v>
      </c>
      <c r="B345" s="787" t="s">
        <v>10267</v>
      </c>
      <c r="C345" s="788" t="s">
        <v>2643</v>
      </c>
      <c r="D345" s="789" t="s">
        <v>10268</v>
      </c>
      <c r="E345" s="790" t="str">
        <f>IFERROR(VLOOKUP(D345,Stock,3,FALSE),"")</f>
        <v>Honda Brio 10- (Honda)</v>
      </c>
      <c r="F345" s="788">
        <v>1.0</v>
      </c>
      <c r="G345" s="811">
        <v>180708.0</v>
      </c>
      <c r="H345" s="799">
        <f t="shared" si="6"/>
        <v>180708</v>
      </c>
      <c r="I345" s="800"/>
      <c r="J345" s="812"/>
      <c r="K345" s="848" t="s">
        <v>3191</v>
      </c>
      <c r="L345" s="802" t="s">
        <v>10137</v>
      </c>
      <c r="M345" s="833" t="s">
        <v>2763</v>
      </c>
      <c r="N345" s="837">
        <v>45895.0</v>
      </c>
      <c r="O345" s="803"/>
    </row>
    <row r="346" ht="15.0" customHeight="1">
      <c r="A346" s="786">
        <v>45860.0</v>
      </c>
      <c r="B346" s="787" t="s">
        <v>10267</v>
      </c>
      <c r="C346" s="788" t="s">
        <v>2643</v>
      </c>
      <c r="D346" s="789" t="s">
        <v>4884</v>
      </c>
      <c r="E346" s="790" t="str">
        <f>IFERROR(VLOOKUP(D346,Stock,3,FALSE),"")</f>
        <v>Honda Brio 18- (Honda)</v>
      </c>
      <c r="F346" s="788">
        <v>2.0</v>
      </c>
      <c r="G346" s="811">
        <v>527472.0</v>
      </c>
      <c r="H346" s="799">
        <f t="shared" si="6"/>
        <v>1054944</v>
      </c>
      <c r="I346" s="800"/>
      <c r="J346" s="812"/>
      <c r="K346" s="848" t="s">
        <v>3191</v>
      </c>
      <c r="L346" s="802" t="s">
        <v>10137</v>
      </c>
      <c r="M346" s="833" t="s">
        <v>2763</v>
      </c>
      <c r="N346" s="837">
        <v>45895.0</v>
      </c>
      <c r="O346" s="803"/>
    </row>
    <row r="347" ht="15.0" customHeight="1">
      <c r="A347" s="786">
        <v>45860.0</v>
      </c>
      <c r="B347" s="787" t="s">
        <v>10269</v>
      </c>
      <c r="C347" s="788" t="s">
        <v>10148</v>
      </c>
      <c r="D347" s="789" t="s">
        <v>2797</v>
      </c>
      <c r="E347" s="790" t="str">
        <f>IFERROR(VLOOKUP(D347,Stock,3,FALSE),"")</f>
        <v>Toyota Calya / Sigra 16-</v>
      </c>
      <c r="F347" s="788">
        <v>1.0</v>
      </c>
      <c r="G347" s="811"/>
      <c r="H347" s="799">
        <f t="shared" si="6"/>
        <v>0</v>
      </c>
      <c r="I347" s="800"/>
      <c r="J347" s="812"/>
      <c r="K347" s="848" t="s">
        <v>3191</v>
      </c>
      <c r="L347" s="805"/>
      <c r="M347" s="803"/>
      <c r="N347" s="803"/>
      <c r="O347" s="803"/>
    </row>
    <row r="348" ht="15.0" customHeight="1">
      <c r="A348" s="814">
        <v>45860.0</v>
      </c>
      <c r="B348" s="816" t="s">
        <v>10270</v>
      </c>
      <c r="C348" s="788" t="s">
        <v>79</v>
      </c>
      <c r="D348" s="789" t="s">
        <v>4017</v>
      </c>
      <c r="E348" s="790" t="str">
        <f>IFERROR(VLOOKUP(D348,Stock,3,FALSE),"")</f>
        <v>Black Phantom Solar Gard</v>
      </c>
      <c r="F348" s="788">
        <v>1.0</v>
      </c>
      <c r="G348" s="817">
        <v>658000.0</v>
      </c>
      <c r="H348" s="799">
        <f t="shared" si="6"/>
        <v>658000</v>
      </c>
      <c r="I348" s="800"/>
      <c r="J348" s="812"/>
      <c r="K348" s="848" t="s">
        <v>3191</v>
      </c>
      <c r="L348" s="802" t="s">
        <v>10137</v>
      </c>
      <c r="M348" s="806" t="s">
        <v>2763</v>
      </c>
      <c r="N348" s="837">
        <v>45880.0</v>
      </c>
      <c r="O348" s="803"/>
    </row>
    <row r="349" ht="15.0" customHeight="1">
      <c r="A349" s="786">
        <v>45861.0</v>
      </c>
      <c r="B349" s="787" t="s">
        <v>10271</v>
      </c>
      <c r="C349" s="788" t="s">
        <v>10139</v>
      </c>
      <c r="D349" s="789" t="s">
        <v>4085</v>
      </c>
      <c r="E349" s="790" t="str">
        <f>IFERROR(VLOOKUP(D349,Stock,3,FALSE),"")</f>
        <v>Toyota Rush / Terios 06-17</v>
      </c>
      <c r="F349" s="788">
        <v>1.0</v>
      </c>
      <c r="G349" s="811">
        <v>437400.0</v>
      </c>
      <c r="H349" s="799">
        <f t="shared" si="6"/>
        <v>437400</v>
      </c>
      <c r="I349" s="800"/>
      <c r="J349" s="812"/>
      <c r="K349" s="848" t="s">
        <v>3191</v>
      </c>
      <c r="L349" s="802" t="s">
        <v>10137</v>
      </c>
      <c r="M349" s="806" t="s">
        <v>2763</v>
      </c>
      <c r="N349" s="837">
        <v>45862.0</v>
      </c>
      <c r="O349" s="803"/>
    </row>
    <row r="350" ht="15.0" customHeight="1">
      <c r="A350" s="786">
        <v>45861.0</v>
      </c>
      <c r="B350" s="787" t="s">
        <v>10271</v>
      </c>
      <c r="C350" s="788" t="s">
        <v>10139</v>
      </c>
      <c r="D350" s="789" t="s">
        <v>4080</v>
      </c>
      <c r="E350" s="790" t="str">
        <f>IFERROR(VLOOKUP(D350,Stock,3,FALSE),"")</f>
        <v>Isuzu Panther 00- 2nd Gen</v>
      </c>
      <c r="F350" s="788">
        <v>1.0</v>
      </c>
      <c r="G350" s="811">
        <v>855000.0</v>
      </c>
      <c r="H350" s="799">
        <f t="shared" si="6"/>
        <v>855000</v>
      </c>
      <c r="I350" s="800"/>
      <c r="J350" s="812"/>
      <c r="K350" s="848" t="s">
        <v>3191</v>
      </c>
      <c r="L350" s="802" t="s">
        <v>10137</v>
      </c>
      <c r="M350" s="806" t="s">
        <v>2763</v>
      </c>
      <c r="N350" s="837">
        <v>45862.0</v>
      </c>
      <c r="O350" s="803"/>
    </row>
    <row r="351" ht="15.0" customHeight="1">
      <c r="A351" s="786">
        <v>45861.0</v>
      </c>
      <c r="B351" s="787" t="s">
        <v>10272</v>
      </c>
      <c r="C351" s="788" t="s">
        <v>2643</v>
      </c>
      <c r="D351" s="789" t="s">
        <v>6654</v>
      </c>
      <c r="E351" s="790" t="str">
        <f>IFERROR(VLOOKUP(D351,Stock,3,FALSE),"")</f>
        <v>Honda CR-V 12-16  4th Gen (Honda)</v>
      </c>
      <c r="F351" s="788">
        <v>1.0</v>
      </c>
      <c r="G351" s="811">
        <v>2378508.0</v>
      </c>
      <c r="H351" s="799">
        <f t="shared" si="6"/>
        <v>2378508</v>
      </c>
      <c r="I351" s="800"/>
      <c r="J351" s="812"/>
      <c r="K351" s="848" t="s">
        <v>3191</v>
      </c>
      <c r="L351" s="802" t="s">
        <v>10137</v>
      </c>
      <c r="M351" s="833" t="s">
        <v>2763</v>
      </c>
      <c r="N351" s="837">
        <v>45895.0</v>
      </c>
      <c r="O351" s="803"/>
    </row>
    <row r="352" ht="15.0" customHeight="1">
      <c r="A352" s="786">
        <v>45861.0</v>
      </c>
      <c r="B352" s="787">
        <v>2507686.0</v>
      </c>
      <c r="C352" s="788" t="s">
        <v>10136</v>
      </c>
      <c r="D352" s="789" t="s">
        <v>3849</v>
      </c>
      <c r="E352" s="790" t="str">
        <f>IFERROR(VLOOKUP(D352,Stock,3,FALSE),"")</f>
        <v>Toyota Yaris 13- 2nd Gen / Vios 14- 3rd Gen</v>
      </c>
      <c r="F352" s="788">
        <v>2.0</v>
      </c>
      <c r="G352" s="811">
        <v>725450.0</v>
      </c>
      <c r="H352" s="799">
        <f t="shared" si="6"/>
        <v>1450900</v>
      </c>
      <c r="I352" s="800"/>
      <c r="J352" s="812"/>
      <c r="K352" s="848" t="s">
        <v>3191</v>
      </c>
      <c r="L352" s="802" t="s">
        <v>10137</v>
      </c>
      <c r="M352" s="833" t="s">
        <v>2763</v>
      </c>
      <c r="N352" s="837">
        <v>45909.0</v>
      </c>
      <c r="O352" s="803"/>
    </row>
    <row r="353" ht="15.0" customHeight="1">
      <c r="A353" s="786">
        <v>45861.0</v>
      </c>
      <c r="B353" s="787">
        <v>2507689.0</v>
      </c>
      <c r="C353" s="788" t="s">
        <v>10136</v>
      </c>
      <c r="D353" s="789" t="s">
        <v>4089</v>
      </c>
      <c r="E353" s="790" t="str">
        <f>IFERROR(VLOOKUP(D353,Stock,3,FALSE),"")</f>
        <v>Hyundai Ioniq 5 SUV 22- (2 Sensor / O /\ )</v>
      </c>
      <c r="F353" s="788">
        <v>1.0</v>
      </c>
      <c r="G353" s="811">
        <v>1800000.0</v>
      </c>
      <c r="H353" s="799">
        <f t="shared" si="6"/>
        <v>1800000</v>
      </c>
      <c r="I353" s="800"/>
      <c r="J353" s="812"/>
      <c r="K353" s="848" t="s">
        <v>3191</v>
      </c>
      <c r="L353" s="802" t="s">
        <v>10137</v>
      </c>
      <c r="M353" s="833" t="s">
        <v>2763</v>
      </c>
      <c r="N353" s="837">
        <v>45909.0</v>
      </c>
      <c r="O353" s="803"/>
    </row>
    <row r="354" ht="15.0" customHeight="1">
      <c r="A354" s="786">
        <v>45861.0</v>
      </c>
      <c r="B354" s="787">
        <v>2507689.0</v>
      </c>
      <c r="C354" s="788" t="s">
        <v>10136</v>
      </c>
      <c r="D354" s="789" t="s">
        <v>2968</v>
      </c>
      <c r="E354" s="790" t="str">
        <f>IFERROR(VLOOKUP(D354,Stock,3,FALSE),"")</f>
        <v>Toyota Rush / Terios 18-</v>
      </c>
      <c r="F354" s="788">
        <v>2.0</v>
      </c>
      <c r="G354" s="811">
        <v>413600.0</v>
      </c>
      <c r="H354" s="799">
        <f t="shared" si="6"/>
        <v>827200</v>
      </c>
      <c r="I354" s="800"/>
      <c r="J354" s="812"/>
      <c r="K354" s="848" t="s">
        <v>3191</v>
      </c>
      <c r="L354" s="802" t="s">
        <v>10137</v>
      </c>
      <c r="M354" s="833" t="s">
        <v>2763</v>
      </c>
      <c r="N354" s="837">
        <v>45909.0</v>
      </c>
      <c r="O354" s="803"/>
    </row>
    <row r="355" ht="15.0" customHeight="1">
      <c r="A355" s="786">
        <v>45861.0</v>
      </c>
      <c r="B355" s="787">
        <v>2507708.0</v>
      </c>
      <c r="C355" s="788" t="s">
        <v>10136</v>
      </c>
      <c r="D355" s="789" t="s">
        <v>4094</v>
      </c>
      <c r="E355" s="790" t="str">
        <f>IFERROR(VLOOKUP(D355,Stock,3,FALSE),"")</f>
        <v>Lexus RX (Harrier) 16- AL20</v>
      </c>
      <c r="F355" s="788">
        <v>1.0</v>
      </c>
      <c r="G355" s="811">
        <v>2778050.0</v>
      </c>
      <c r="H355" s="799">
        <f t="shared" si="6"/>
        <v>2778050</v>
      </c>
      <c r="I355" s="800"/>
      <c r="J355" s="812"/>
      <c r="K355" s="848" t="s">
        <v>3191</v>
      </c>
      <c r="L355" s="802" t="s">
        <v>10137</v>
      </c>
      <c r="M355" s="833" t="s">
        <v>2763</v>
      </c>
      <c r="N355" s="837">
        <v>45909.0</v>
      </c>
      <c r="O355" s="803"/>
    </row>
    <row r="356" ht="15.0" customHeight="1">
      <c r="A356" s="786">
        <v>45861.0</v>
      </c>
      <c r="B356" s="787">
        <v>2507708.0</v>
      </c>
      <c r="C356" s="788" t="s">
        <v>10136</v>
      </c>
      <c r="D356" s="789" t="s">
        <v>2916</v>
      </c>
      <c r="E356" s="790" t="str">
        <f>IFERROR(VLOOKUP(D356,Stock,3,FALSE),"")</f>
        <v>Toyota Alphard 08-15 ANH20 2nd Gen (Hitam)</v>
      </c>
      <c r="F356" s="788">
        <v>1.0</v>
      </c>
      <c r="G356" s="811"/>
      <c r="H356" s="799">
        <f t="shared" si="6"/>
        <v>0</v>
      </c>
      <c r="I356" s="800"/>
      <c r="J356" s="812"/>
      <c r="K356" s="848" t="s">
        <v>3191</v>
      </c>
      <c r="L356" s="802" t="s">
        <v>10137</v>
      </c>
      <c r="M356" s="803"/>
      <c r="N356" s="803"/>
      <c r="O356" s="803"/>
    </row>
    <row r="357" ht="15.0" customHeight="1">
      <c r="A357" s="852">
        <v>45862.0</v>
      </c>
      <c r="B357" s="816" t="s">
        <v>10273</v>
      </c>
      <c r="C357" s="788" t="s">
        <v>79</v>
      </c>
      <c r="D357" s="789" t="s">
        <v>4017</v>
      </c>
      <c r="E357" s="790" t="str">
        <f>IFERROR(VLOOKUP(D357,Stock,3,FALSE),"")</f>
        <v>Black Phantom Solar Gard</v>
      </c>
      <c r="F357" s="788">
        <v>1.0</v>
      </c>
      <c r="G357" s="817">
        <v>800000.0</v>
      </c>
      <c r="H357" s="799">
        <f t="shared" si="6"/>
        <v>800000</v>
      </c>
      <c r="I357" s="800"/>
      <c r="J357" s="812"/>
      <c r="K357" s="848" t="s">
        <v>3191</v>
      </c>
      <c r="L357" s="802" t="s">
        <v>10137</v>
      </c>
      <c r="M357" s="806" t="s">
        <v>2763</v>
      </c>
      <c r="N357" s="837">
        <v>45880.0</v>
      </c>
      <c r="O357" s="803"/>
    </row>
    <row r="358" ht="15.0" customHeight="1">
      <c r="A358" s="786">
        <v>45862.0</v>
      </c>
      <c r="B358" s="787" t="s">
        <v>10274</v>
      </c>
      <c r="C358" s="788" t="s">
        <v>2643</v>
      </c>
      <c r="D358" s="789" t="s">
        <v>3704</v>
      </c>
      <c r="E358" s="790" t="str">
        <f>IFERROR(VLOOKUP(D358,Stock,3,FALSE),"")</f>
        <v>Honda BR-V 16-21 (Honda)</v>
      </c>
      <c r="F358" s="788">
        <v>1.0</v>
      </c>
      <c r="G358" s="811">
        <v>1167276.0</v>
      </c>
      <c r="H358" s="799">
        <f t="shared" si="6"/>
        <v>1167276</v>
      </c>
      <c r="I358" s="800"/>
      <c r="J358" s="812"/>
      <c r="K358" s="848" t="s">
        <v>3191</v>
      </c>
      <c r="L358" s="802" t="s">
        <v>10137</v>
      </c>
      <c r="M358" s="833" t="s">
        <v>2763</v>
      </c>
      <c r="N358" s="837">
        <v>45895.0</v>
      </c>
      <c r="O358" s="803"/>
    </row>
    <row r="359" ht="15.0" customHeight="1">
      <c r="A359" s="786">
        <v>45862.0</v>
      </c>
      <c r="B359" s="787" t="s">
        <v>10274</v>
      </c>
      <c r="C359" s="788" t="s">
        <v>2643</v>
      </c>
      <c r="D359" s="789" t="s">
        <v>4778</v>
      </c>
      <c r="E359" s="790" t="str">
        <f>IFERROR(VLOOKUP(D359,Stock,3,FALSE),"")</f>
        <v>Honda BR-V 22- 2nd Gen / WRV 23- (1 Sensor / Big /\ ) (Honda)</v>
      </c>
      <c r="F359" s="788">
        <v>1.0</v>
      </c>
      <c r="G359" s="811">
        <v>1572648.0</v>
      </c>
      <c r="H359" s="799">
        <f t="shared" si="6"/>
        <v>1572648</v>
      </c>
      <c r="I359" s="800"/>
      <c r="J359" s="812"/>
      <c r="K359" s="848" t="s">
        <v>3191</v>
      </c>
      <c r="L359" s="802" t="s">
        <v>10137</v>
      </c>
      <c r="M359" s="833" t="s">
        <v>2763</v>
      </c>
      <c r="N359" s="837">
        <v>45895.0</v>
      </c>
      <c r="O359" s="803"/>
    </row>
    <row r="360" ht="15.0" customHeight="1">
      <c r="A360" s="786">
        <v>45862.0</v>
      </c>
      <c r="B360" s="787">
        <v>2507746.0</v>
      </c>
      <c r="C360" s="788" t="s">
        <v>10136</v>
      </c>
      <c r="D360" s="789" t="s">
        <v>3176</v>
      </c>
      <c r="E360" s="790" t="str">
        <f>IFERROR(VLOOKUP(D360,Stock,3,FALSE),"")</f>
        <v>Mazda 2 09-14 3rd Gen</v>
      </c>
      <c r="F360" s="788">
        <v>1.0</v>
      </c>
      <c r="G360" s="811">
        <v>879450.0</v>
      </c>
      <c r="H360" s="799">
        <f t="shared" si="6"/>
        <v>879450</v>
      </c>
      <c r="I360" s="800"/>
      <c r="J360" s="812"/>
      <c r="K360" s="848" t="s">
        <v>3191</v>
      </c>
      <c r="L360" s="802" t="s">
        <v>10137</v>
      </c>
      <c r="M360" s="833" t="s">
        <v>2763</v>
      </c>
      <c r="N360" s="837">
        <v>45909.0</v>
      </c>
      <c r="O360" s="803"/>
    </row>
    <row r="361" ht="15.0" customHeight="1">
      <c r="A361" s="786">
        <v>45862.0</v>
      </c>
      <c r="B361" s="787">
        <v>2507746.0</v>
      </c>
      <c r="C361" s="788" t="s">
        <v>10136</v>
      </c>
      <c r="D361" s="789" t="s">
        <v>4112</v>
      </c>
      <c r="E361" s="790" t="str">
        <f>IFERROR(VLOOKUP(D361,Stock,3,FALSE),"")</f>
        <v>Wuling Air EV 22-</v>
      </c>
      <c r="F361" s="788">
        <v>1.0</v>
      </c>
      <c r="G361" s="811">
        <v>852500.0</v>
      </c>
      <c r="H361" s="799">
        <f t="shared" si="6"/>
        <v>852500</v>
      </c>
      <c r="I361" s="800"/>
      <c r="J361" s="812"/>
      <c r="K361" s="848" t="s">
        <v>3191</v>
      </c>
      <c r="L361" s="802" t="s">
        <v>10137</v>
      </c>
      <c r="M361" s="833" t="s">
        <v>2763</v>
      </c>
      <c r="N361" s="837">
        <v>45909.0</v>
      </c>
      <c r="O361" s="803"/>
    </row>
    <row r="362" ht="15.0" customHeight="1">
      <c r="A362" s="786">
        <v>45862.0</v>
      </c>
      <c r="B362" s="787" t="s">
        <v>10275</v>
      </c>
      <c r="C362" s="788" t="s">
        <v>2643</v>
      </c>
      <c r="D362" s="789" t="s">
        <v>4176</v>
      </c>
      <c r="E362" s="790" t="str">
        <f>IFERROR(VLOOKUP(D362,Stock,3,FALSE),"")</f>
        <v>Honda HR-V 22- 5D SUV (Honda)</v>
      </c>
      <c r="F362" s="788">
        <v>1.0</v>
      </c>
      <c r="G362" s="811">
        <v>2031744.0</v>
      </c>
      <c r="H362" s="799">
        <f t="shared" si="6"/>
        <v>2031744</v>
      </c>
      <c r="I362" s="800"/>
      <c r="J362" s="812"/>
      <c r="K362" s="848" t="s">
        <v>3191</v>
      </c>
      <c r="L362" s="802" t="s">
        <v>10137</v>
      </c>
      <c r="M362" s="833" t="s">
        <v>2763</v>
      </c>
      <c r="N362" s="837">
        <v>45895.0</v>
      </c>
      <c r="O362" s="803"/>
    </row>
    <row r="363" ht="15.0" customHeight="1">
      <c r="A363" s="786">
        <v>45862.0</v>
      </c>
      <c r="B363" s="787" t="s">
        <v>10275</v>
      </c>
      <c r="C363" s="788" t="s">
        <v>2643</v>
      </c>
      <c r="D363" s="789" t="s">
        <v>3160</v>
      </c>
      <c r="E363" s="790" t="str">
        <f>IFERROR(VLOOKUP(D363,Stock,3,FALSE),"")</f>
        <v>Honda Brio 10- (Honda)</v>
      </c>
      <c r="F363" s="788">
        <v>1.0</v>
      </c>
      <c r="G363" s="811">
        <v>180708.0</v>
      </c>
      <c r="H363" s="799">
        <f t="shared" si="6"/>
        <v>180708</v>
      </c>
      <c r="I363" s="800"/>
      <c r="J363" s="803"/>
      <c r="K363" s="848" t="s">
        <v>3191</v>
      </c>
      <c r="L363" s="802" t="s">
        <v>10137</v>
      </c>
      <c r="M363" s="833" t="s">
        <v>2763</v>
      </c>
      <c r="N363" s="837">
        <v>45895.0</v>
      </c>
      <c r="O363" s="803"/>
    </row>
    <row r="364" ht="15.0" customHeight="1">
      <c r="A364" s="786">
        <v>45862.0</v>
      </c>
      <c r="B364" s="787" t="s">
        <v>10276</v>
      </c>
      <c r="C364" s="788" t="s">
        <v>10139</v>
      </c>
      <c r="D364" s="789" t="s">
        <v>4103</v>
      </c>
      <c r="E364" s="790" t="str">
        <f>IFERROR(VLOOKUP(D364,Stock,3,FALSE),"")</f>
        <v>Toyota Hi-Ace 04-20 Commuter</v>
      </c>
      <c r="F364" s="788">
        <v>1.0</v>
      </c>
      <c r="G364" s="811">
        <v>294975.0</v>
      </c>
      <c r="H364" s="799">
        <f t="shared" si="6"/>
        <v>294975</v>
      </c>
      <c r="I364" s="800"/>
      <c r="J364" s="812"/>
      <c r="K364" s="848" t="s">
        <v>3191</v>
      </c>
      <c r="L364" s="802" t="s">
        <v>10137</v>
      </c>
      <c r="M364" s="806" t="s">
        <v>2763</v>
      </c>
      <c r="N364" s="837">
        <v>45866.0</v>
      </c>
      <c r="O364" s="803"/>
    </row>
    <row r="365" ht="15.0" customHeight="1">
      <c r="A365" s="786">
        <v>45863.0</v>
      </c>
      <c r="B365" s="787">
        <v>2507758.0</v>
      </c>
      <c r="C365" s="788" t="s">
        <v>10136</v>
      </c>
      <c r="D365" s="789" t="s">
        <v>3930</v>
      </c>
      <c r="E365" s="790" t="str">
        <f>IFERROR(VLOOKUP(D365,Stock,3,FALSE),"")</f>
        <v>Suzuki Ertiga 18- 2nd Gen / XL7</v>
      </c>
      <c r="F365" s="788">
        <v>1.0</v>
      </c>
      <c r="G365" s="811">
        <v>634700.0</v>
      </c>
      <c r="H365" s="799">
        <f t="shared" si="6"/>
        <v>634700</v>
      </c>
      <c r="I365" s="800"/>
      <c r="J365" s="812"/>
      <c r="K365" s="848" t="s">
        <v>3191</v>
      </c>
      <c r="L365" s="802" t="s">
        <v>10137</v>
      </c>
      <c r="M365" s="833" t="s">
        <v>2763</v>
      </c>
      <c r="N365" s="837">
        <v>45909.0</v>
      </c>
      <c r="O365" s="803"/>
    </row>
    <row r="366" ht="15.0" customHeight="1">
      <c r="A366" s="786">
        <v>45863.0</v>
      </c>
      <c r="B366" s="787">
        <v>2507758.0</v>
      </c>
      <c r="C366" s="788" t="s">
        <v>10136</v>
      </c>
      <c r="D366" s="789" t="s">
        <v>4121</v>
      </c>
      <c r="E366" s="790" t="str">
        <f>IFERROR(VLOOKUP(D366,Stock,3,FALSE),"")</f>
        <v>Kia Seltos 20-</v>
      </c>
      <c r="F366" s="788">
        <v>1.0</v>
      </c>
      <c r="G366" s="811">
        <v>1072500.0</v>
      </c>
      <c r="H366" s="799">
        <f t="shared" si="6"/>
        <v>1072500</v>
      </c>
      <c r="I366" s="800"/>
      <c r="J366" s="812"/>
      <c r="K366" s="848" t="s">
        <v>3191</v>
      </c>
      <c r="L366" s="802" t="s">
        <v>10137</v>
      </c>
      <c r="M366" s="833" t="s">
        <v>2763</v>
      </c>
      <c r="N366" s="837">
        <v>45909.0</v>
      </c>
      <c r="O366" s="803"/>
    </row>
    <row r="367" ht="15.0" customHeight="1">
      <c r="A367" s="786">
        <v>45863.0</v>
      </c>
      <c r="B367" s="787">
        <v>2507762.0</v>
      </c>
      <c r="C367" s="788" t="s">
        <v>10136</v>
      </c>
      <c r="D367" s="789" t="s">
        <v>3009</v>
      </c>
      <c r="E367" s="790" t="str">
        <f>IFERROR(VLOOKUP(D367,Stock,3,FALSE),"")</f>
        <v>Honda Mobilio 14-</v>
      </c>
      <c r="F367" s="788">
        <v>1.0</v>
      </c>
      <c r="G367" s="811">
        <v>495550.0</v>
      </c>
      <c r="H367" s="799">
        <f t="shared" si="6"/>
        <v>495550</v>
      </c>
      <c r="I367" s="800"/>
      <c r="J367" s="812"/>
      <c r="K367" s="848" t="s">
        <v>3191</v>
      </c>
      <c r="L367" s="802" t="s">
        <v>10137</v>
      </c>
      <c r="M367" s="833" t="s">
        <v>2763</v>
      </c>
      <c r="N367" s="837">
        <v>45909.0</v>
      </c>
      <c r="O367" s="803"/>
    </row>
    <row r="368" ht="15.0" customHeight="1">
      <c r="A368" s="786">
        <v>45863.0</v>
      </c>
      <c r="B368" s="787">
        <v>2507770.0</v>
      </c>
      <c r="C368" s="788" t="s">
        <v>10136</v>
      </c>
      <c r="D368" s="789" t="s">
        <v>7663</v>
      </c>
      <c r="E368" s="790" t="str">
        <f>IFERROR(VLOOKUP(D368,Stock,3,FALSE),"")</f>
        <v>Suzuki Carry Futura (1300cc) / Mitsubishi Colt T120</v>
      </c>
      <c r="F368" s="788">
        <v>1.0</v>
      </c>
      <c r="G368" s="811">
        <v>402600.0</v>
      </c>
      <c r="H368" s="799">
        <f t="shared" si="6"/>
        <v>402600</v>
      </c>
      <c r="I368" s="800"/>
      <c r="J368" s="812"/>
      <c r="K368" s="848" t="s">
        <v>3191</v>
      </c>
      <c r="L368" s="802" t="s">
        <v>10137</v>
      </c>
      <c r="M368" s="833" t="s">
        <v>2763</v>
      </c>
      <c r="N368" s="837">
        <v>45909.0</v>
      </c>
      <c r="O368" s="803"/>
    </row>
    <row r="369" ht="15.0" customHeight="1">
      <c r="A369" s="786">
        <v>45863.0</v>
      </c>
      <c r="B369" s="787">
        <v>2507770.0</v>
      </c>
      <c r="C369" s="788" t="s">
        <v>10136</v>
      </c>
      <c r="D369" s="789" t="s">
        <v>3142</v>
      </c>
      <c r="E369" s="790" t="str">
        <f>IFERROR(VLOOKUP(D369,Stock,3,FALSE),"")</f>
        <v>Mitsubishi Xpander 17-</v>
      </c>
      <c r="F369" s="788">
        <v>2.0</v>
      </c>
      <c r="G369" s="811">
        <v>739200.0</v>
      </c>
      <c r="H369" s="799">
        <f t="shared" si="6"/>
        <v>1478400</v>
      </c>
      <c r="I369" s="800"/>
      <c r="J369" s="812"/>
      <c r="K369" s="848" t="s">
        <v>3191</v>
      </c>
      <c r="L369" s="802" t="s">
        <v>10137</v>
      </c>
      <c r="M369" s="833" t="s">
        <v>2763</v>
      </c>
      <c r="N369" s="837">
        <v>45909.0</v>
      </c>
      <c r="O369" s="803"/>
    </row>
    <row r="370" ht="15.0" customHeight="1">
      <c r="A370" s="786">
        <v>45863.0</v>
      </c>
      <c r="B370" s="787">
        <v>2507770.0</v>
      </c>
      <c r="C370" s="788" t="s">
        <v>10136</v>
      </c>
      <c r="D370" s="789" t="s">
        <v>4317</v>
      </c>
      <c r="E370" s="790" t="str">
        <f>IFERROR(VLOOKUP(D370,Stock,3,FALSE),"")</f>
        <v>Wuling Confero (Tanpa Spionnya)</v>
      </c>
      <c r="F370" s="788">
        <v>1.0</v>
      </c>
      <c r="G370" s="811">
        <v>627000.0</v>
      </c>
      <c r="H370" s="799">
        <f t="shared" si="6"/>
        <v>627000</v>
      </c>
      <c r="I370" s="800"/>
      <c r="J370" s="812"/>
      <c r="K370" s="848" t="s">
        <v>3191</v>
      </c>
      <c r="L370" s="802" t="s">
        <v>10137</v>
      </c>
      <c r="M370" s="833" t="s">
        <v>2763</v>
      </c>
      <c r="N370" s="837">
        <v>45909.0</v>
      </c>
      <c r="O370" s="803"/>
    </row>
    <row r="371" ht="15.0" customHeight="1">
      <c r="A371" s="786">
        <v>45863.0</v>
      </c>
      <c r="B371" s="787">
        <v>2507770.0</v>
      </c>
      <c r="C371" s="788" t="s">
        <v>10136</v>
      </c>
      <c r="D371" s="789" t="s">
        <v>7419</v>
      </c>
      <c r="E371" s="790" t="str">
        <f>IFERROR(VLOOKUP(D371,Stock,3,FALSE),"")</f>
        <v>Mitsubishi Canter FE800 01- (PS136)</v>
      </c>
      <c r="F371" s="788">
        <v>1.0</v>
      </c>
      <c r="G371" s="811">
        <v>589600.0</v>
      </c>
      <c r="H371" s="799">
        <f t="shared" si="6"/>
        <v>589600</v>
      </c>
      <c r="I371" s="800"/>
      <c r="J371" s="812"/>
      <c r="K371" s="848" t="s">
        <v>3191</v>
      </c>
      <c r="L371" s="802" t="s">
        <v>10137</v>
      </c>
      <c r="M371" s="833" t="s">
        <v>2763</v>
      </c>
      <c r="N371" s="837">
        <v>45909.0</v>
      </c>
      <c r="O371" s="803"/>
    </row>
    <row r="372" ht="15.0" customHeight="1">
      <c r="A372" s="786">
        <v>45863.0</v>
      </c>
      <c r="B372" s="787">
        <v>2507770.0</v>
      </c>
      <c r="C372" s="788" t="s">
        <v>10136</v>
      </c>
      <c r="D372" s="789" t="s">
        <v>5346</v>
      </c>
      <c r="E372" s="790" t="str">
        <f>IFERROR(VLOOKUP(D372,Stock,3,FALSE),"")</f>
        <v>Isuzu Traga</v>
      </c>
      <c r="F372" s="788">
        <v>1.0</v>
      </c>
      <c r="G372" s="811">
        <v>561000.0</v>
      </c>
      <c r="H372" s="799">
        <f t="shared" si="6"/>
        <v>561000</v>
      </c>
      <c r="I372" s="800"/>
      <c r="J372" s="812"/>
      <c r="K372" s="848" t="s">
        <v>3191</v>
      </c>
      <c r="L372" s="802" t="s">
        <v>10137</v>
      </c>
      <c r="M372" s="833" t="s">
        <v>2763</v>
      </c>
      <c r="N372" s="837">
        <v>45909.0</v>
      </c>
      <c r="O372" s="803"/>
    </row>
    <row r="373" ht="15.0" customHeight="1">
      <c r="A373" s="786">
        <v>45863.0</v>
      </c>
      <c r="B373" s="787">
        <v>2507770.0</v>
      </c>
      <c r="C373" s="788" t="s">
        <v>10136</v>
      </c>
      <c r="D373" s="789" t="s">
        <v>4112</v>
      </c>
      <c r="E373" s="790" t="str">
        <f>IFERROR(VLOOKUP(D373,Stock,3,FALSE),"")</f>
        <v>Wuling Air EV 22-</v>
      </c>
      <c r="F373" s="788">
        <v>1.0</v>
      </c>
      <c r="G373" s="811">
        <v>852500.0</v>
      </c>
      <c r="H373" s="799">
        <f t="shared" si="6"/>
        <v>852500</v>
      </c>
      <c r="I373" s="800"/>
      <c r="J373" s="812"/>
      <c r="K373" s="848" t="s">
        <v>3191</v>
      </c>
      <c r="L373" s="802" t="s">
        <v>10137</v>
      </c>
      <c r="M373" s="833" t="s">
        <v>2763</v>
      </c>
      <c r="N373" s="837">
        <v>45909.0</v>
      </c>
      <c r="O373" s="803"/>
    </row>
    <row r="374" ht="15.0" customHeight="1">
      <c r="A374" s="786">
        <v>45863.0</v>
      </c>
      <c r="B374" s="787">
        <v>2507770.0</v>
      </c>
      <c r="C374" s="788" t="s">
        <v>10136</v>
      </c>
      <c r="D374" s="789" t="s">
        <v>2029</v>
      </c>
      <c r="E374" s="790" t="str">
        <f>IFERROR(VLOOKUP(D374,Stock,3,FALSE),"")</f>
        <v>Toyota Fortuner 05-15 1st Gen</v>
      </c>
      <c r="F374" s="788">
        <v>1.0</v>
      </c>
      <c r="G374" s="811">
        <v>600600.0</v>
      </c>
      <c r="H374" s="799">
        <f t="shared" si="6"/>
        <v>600600</v>
      </c>
      <c r="I374" s="800"/>
      <c r="J374" s="812"/>
      <c r="K374" s="848" t="s">
        <v>3191</v>
      </c>
      <c r="L374" s="802" t="s">
        <v>10137</v>
      </c>
      <c r="M374" s="833" t="s">
        <v>2763</v>
      </c>
      <c r="N374" s="837">
        <v>45909.0</v>
      </c>
      <c r="O374" s="803"/>
    </row>
    <row r="375" ht="15.0" customHeight="1">
      <c r="A375" s="786">
        <v>45863.0</v>
      </c>
      <c r="B375" s="787">
        <v>2507770.0</v>
      </c>
      <c r="C375" s="788" t="s">
        <v>10136</v>
      </c>
      <c r="D375" s="789" t="s">
        <v>6759</v>
      </c>
      <c r="E375" s="790" t="str">
        <f>IFERROR(VLOOKUP(D375,Stock,3,FALSE),"")</f>
        <v>Suzuki Ignis 17-</v>
      </c>
      <c r="F375" s="788">
        <v>1.0</v>
      </c>
      <c r="G375" s="811">
        <v>656150.0</v>
      </c>
      <c r="H375" s="799">
        <f t="shared" si="6"/>
        <v>656150</v>
      </c>
      <c r="I375" s="800"/>
      <c r="J375" s="812"/>
      <c r="K375" s="848" t="s">
        <v>3191</v>
      </c>
      <c r="L375" s="802" t="s">
        <v>10137</v>
      </c>
      <c r="M375" s="833" t="s">
        <v>2763</v>
      </c>
      <c r="N375" s="837">
        <v>45909.0</v>
      </c>
      <c r="O375" s="803"/>
    </row>
    <row r="376" ht="15.0" customHeight="1">
      <c r="A376" s="786">
        <v>45863.0</v>
      </c>
      <c r="B376" s="787">
        <v>2507771.0</v>
      </c>
      <c r="C376" s="788" t="s">
        <v>10136</v>
      </c>
      <c r="D376" s="789" t="s">
        <v>3878</v>
      </c>
      <c r="E376" s="790" t="str">
        <f>IFERROR(VLOOKUP(D376,Stock,3,FALSE),"")</f>
        <v>Honda CR-V 12-16 4th Gen [Rata]</v>
      </c>
      <c r="F376" s="788">
        <v>1.0</v>
      </c>
      <c r="G376" s="811">
        <v>657800.0</v>
      </c>
      <c r="H376" s="799">
        <f t="shared" si="6"/>
        <v>657800</v>
      </c>
      <c r="I376" s="800"/>
      <c r="J376" s="812"/>
      <c r="K376" s="848" t="s">
        <v>3191</v>
      </c>
      <c r="L376" s="802" t="s">
        <v>10137</v>
      </c>
      <c r="M376" s="833" t="s">
        <v>2763</v>
      </c>
      <c r="N376" s="837">
        <v>45909.0</v>
      </c>
      <c r="O376" s="803"/>
    </row>
    <row r="377" ht="15.0" customHeight="1">
      <c r="A377" s="786">
        <v>45863.0</v>
      </c>
      <c r="B377" s="787">
        <v>2507771.0</v>
      </c>
      <c r="C377" s="788" t="s">
        <v>10136</v>
      </c>
      <c r="D377" s="789" t="s">
        <v>3806</v>
      </c>
      <c r="E377" s="790" t="str">
        <f>IFERROR(VLOOKUP(D377,Stock,3,FALSE),"")</f>
        <v>Honda CR-V 12-16 4th Gen [Lengkung]</v>
      </c>
      <c r="F377" s="788">
        <v>1.0</v>
      </c>
      <c r="G377" s="811">
        <v>657800.0</v>
      </c>
      <c r="H377" s="799">
        <f t="shared" si="6"/>
        <v>657800</v>
      </c>
      <c r="I377" s="800"/>
      <c r="J377" s="812"/>
      <c r="K377" s="848" t="s">
        <v>3191</v>
      </c>
      <c r="L377" s="802" t="s">
        <v>10137</v>
      </c>
      <c r="M377" s="833" t="s">
        <v>2763</v>
      </c>
      <c r="N377" s="837">
        <v>45909.0</v>
      </c>
      <c r="O377" s="803"/>
    </row>
    <row r="378" ht="15.0" customHeight="1">
      <c r="A378" s="786">
        <v>45863.0</v>
      </c>
      <c r="B378" s="787">
        <v>2507771.0</v>
      </c>
      <c r="C378" s="788" t="s">
        <v>10136</v>
      </c>
      <c r="D378" s="789" t="s">
        <v>2939</v>
      </c>
      <c r="E378" s="790" t="str">
        <f>IFERROR(VLOOKUP(D378,Stock,3,FALSE),"")</f>
        <v>Honda CR-V 17- 5th Gen</v>
      </c>
      <c r="F378" s="788">
        <v>1.0</v>
      </c>
      <c r="G378" s="811">
        <v>570350.0</v>
      </c>
      <c r="H378" s="799">
        <f t="shared" si="6"/>
        <v>570350</v>
      </c>
      <c r="I378" s="800"/>
      <c r="J378" s="812"/>
      <c r="K378" s="848" t="s">
        <v>3191</v>
      </c>
      <c r="L378" s="802" t="s">
        <v>10137</v>
      </c>
      <c r="M378" s="833" t="s">
        <v>2763</v>
      </c>
      <c r="N378" s="837">
        <v>45909.0</v>
      </c>
      <c r="O378" s="803"/>
    </row>
    <row r="379" ht="15.0" customHeight="1">
      <c r="A379" s="786">
        <v>45863.0</v>
      </c>
      <c r="B379" s="787">
        <v>2507771.0</v>
      </c>
      <c r="C379" s="788" t="s">
        <v>10136</v>
      </c>
      <c r="D379" s="789" t="s">
        <v>3634</v>
      </c>
      <c r="E379" s="790" t="str">
        <f>IFERROR(VLOOKUP(D379,Stock,3,FALSE),"")</f>
        <v>Toyota Agya/Ayla 13-22 1st Gen (Toyota/Daihatsu)</v>
      </c>
      <c r="F379" s="788">
        <v>2.0</v>
      </c>
      <c r="G379" s="811">
        <v>332200.0</v>
      </c>
      <c r="H379" s="799">
        <f t="shared" si="6"/>
        <v>664400</v>
      </c>
      <c r="I379" s="800"/>
      <c r="J379" s="812"/>
      <c r="K379" s="848" t="s">
        <v>3191</v>
      </c>
      <c r="L379" s="802" t="s">
        <v>10137</v>
      </c>
      <c r="M379" s="833" t="s">
        <v>2763</v>
      </c>
      <c r="N379" s="837">
        <v>45909.0</v>
      </c>
      <c r="O379" s="803"/>
    </row>
    <row r="380" ht="15.0" customHeight="1">
      <c r="A380" s="786">
        <v>45863.0</v>
      </c>
      <c r="B380" s="787">
        <v>2507771.0</v>
      </c>
      <c r="C380" s="788" t="s">
        <v>10136</v>
      </c>
      <c r="D380" s="789" t="s">
        <v>5548</v>
      </c>
      <c r="E380" s="790" t="str">
        <f>IFERROR(VLOOKUP(D380,Stock,3,FALSE),"")</f>
        <v>Toyota Innova 15- 2nd Gen</v>
      </c>
      <c r="F380" s="788">
        <v>1.0</v>
      </c>
      <c r="G380" s="811">
        <v>553850.0</v>
      </c>
      <c r="H380" s="799">
        <f t="shared" si="6"/>
        <v>553850</v>
      </c>
      <c r="I380" s="800"/>
      <c r="J380" s="812"/>
      <c r="K380" s="848" t="s">
        <v>3191</v>
      </c>
      <c r="L380" s="802" t="s">
        <v>10137</v>
      </c>
      <c r="M380" s="833" t="s">
        <v>2763</v>
      </c>
      <c r="N380" s="837">
        <v>45909.0</v>
      </c>
      <c r="O380" s="803"/>
    </row>
    <row r="381" ht="15.0" customHeight="1">
      <c r="A381" s="786">
        <v>45863.0</v>
      </c>
      <c r="B381" s="787">
        <v>2507771.0</v>
      </c>
      <c r="C381" s="788" t="s">
        <v>10136</v>
      </c>
      <c r="D381" s="789" t="s">
        <v>3130</v>
      </c>
      <c r="E381" s="790" t="str">
        <f>IFERROR(VLOOKUP(D381,Stock,3,FALSE),"")</f>
        <v>Toyota Innova 04-15 1st Gen</v>
      </c>
      <c r="F381" s="788">
        <v>1.0</v>
      </c>
      <c r="G381" s="811">
        <v>600600.0</v>
      </c>
      <c r="H381" s="799">
        <f t="shared" si="6"/>
        <v>600600</v>
      </c>
      <c r="I381" s="800"/>
      <c r="J381" s="812"/>
      <c r="K381" s="848" t="s">
        <v>3191</v>
      </c>
      <c r="L381" s="802" t="s">
        <v>10137</v>
      </c>
      <c r="M381" s="833" t="s">
        <v>2763</v>
      </c>
      <c r="N381" s="837">
        <v>45909.0</v>
      </c>
      <c r="O381" s="803"/>
    </row>
    <row r="382" ht="15.0" customHeight="1">
      <c r="A382" s="786">
        <v>45863.0</v>
      </c>
      <c r="B382" s="787">
        <v>2507771.0</v>
      </c>
      <c r="C382" s="788" t="s">
        <v>10136</v>
      </c>
      <c r="D382" s="789" t="s">
        <v>10277</v>
      </c>
      <c r="E382" s="790" t="str">
        <f>IFERROR(VLOOKUP(D382,Stock,3,FALSE),"")</f>
        <v>Toyota Fortuner 15- 2nd Gen (Hitam)</v>
      </c>
      <c r="F382" s="788">
        <v>1.0</v>
      </c>
      <c r="G382" s="811">
        <v>772750.0</v>
      </c>
      <c r="H382" s="799">
        <f t="shared" si="6"/>
        <v>772750</v>
      </c>
      <c r="I382" s="800"/>
      <c r="J382" s="812"/>
      <c r="K382" s="848" t="s">
        <v>3191</v>
      </c>
      <c r="L382" s="802" t="s">
        <v>10137</v>
      </c>
      <c r="M382" s="833" t="s">
        <v>2763</v>
      </c>
      <c r="N382" s="837">
        <v>45909.0</v>
      </c>
      <c r="O382" s="803"/>
    </row>
    <row r="383" ht="15.0" customHeight="1">
      <c r="A383" s="786">
        <v>45863.0</v>
      </c>
      <c r="B383" s="787" t="s">
        <v>10278</v>
      </c>
      <c r="C383" s="788" t="s">
        <v>10139</v>
      </c>
      <c r="D383" s="789" t="s">
        <v>3121</v>
      </c>
      <c r="E383" s="790" t="str">
        <f>IFERROR(VLOOKUP(D383,Stock,3,FALSE),"")</f>
        <v>Toyota Camry 02-06 ACV30 3rd Gen</v>
      </c>
      <c r="F383" s="788">
        <v>1.0</v>
      </c>
      <c r="G383" s="811">
        <v>1497150.0</v>
      </c>
      <c r="H383" s="799">
        <f t="shared" si="6"/>
        <v>1497150</v>
      </c>
      <c r="I383" s="800"/>
      <c r="J383" s="812"/>
      <c r="K383" s="848" t="s">
        <v>3191</v>
      </c>
      <c r="L383" s="802" t="s">
        <v>10137</v>
      </c>
      <c r="M383" s="806" t="s">
        <v>2763</v>
      </c>
      <c r="N383" s="837">
        <v>45866.0</v>
      </c>
      <c r="O383" s="803"/>
    </row>
    <row r="384" ht="15.0" customHeight="1">
      <c r="A384" s="786">
        <v>45863.0</v>
      </c>
      <c r="B384" s="787" t="s">
        <v>10279</v>
      </c>
      <c r="C384" s="788" t="s">
        <v>10139</v>
      </c>
      <c r="D384" s="789" t="s">
        <v>2869</v>
      </c>
      <c r="E384" s="790" t="str">
        <f>IFERROR(VLOOKUP(D384,Stock,3,FALSE),"")</f>
        <v>Daihatsu Gran Max / Luxio 07-</v>
      </c>
      <c r="F384" s="788">
        <v>10.0</v>
      </c>
      <c r="G384" s="811">
        <v>435750.0</v>
      </c>
      <c r="H384" s="799">
        <f t="shared" si="6"/>
        <v>4357500</v>
      </c>
      <c r="I384" s="800"/>
      <c r="J384" s="812"/>
      <c r="K384" s="848" t="s">
        <v>3191</v>
      </c>
      <c r="L384" s="802" t="s">
        <v>10137</v>
      </c>
      <c r="M384" s="806" t="s">
        <v>2763</v>
      </c>
      <c r="N384" s="837">
        <v>45866.0</v>
      </c>
      <c r="O384" s="803"/>
    </row>
    <row r="385" ht="15.0" customHeight="1">
      <c r="A385" s="786">
        <v>45863.0</v>
      </c>
      <c r="B385" s="787" t="s">
        <v>10279</v>
      </c>
      <c r="C385" s="788" t="s">
        <v>10139</v>
      </c>
      <c r="D385" s="789" t="s">
        <v>3246</v>
      </c>
      <c r="E385" s="790" t="str">
        <f>IFERROR(VLOOKUP(D385,Stock,3,FALSE),"")</f>
        <v>Toyota Calya / Sigra 16-</v>
      </c>
      <c r="F385" s="788">
        <v>10.0</v>
      </c>
      <c r="G385" s="811">
        <v>493500.0</v>
      </c>
      <c r="H385" s="799">
        <f t="shared" si="6"/>
        <v>4935000</v>
      </c>
      <c r="I385" s="800"/>
      <c r="J385" s="812"/>
      <c r="K385" s="848" t="s">
        <v>3191</v>
      </c>
      <c r="L385" s="802" t="s">
        <v>10137</v>
      </c>
      <c r="M385" s="806" t="s">
        <v>2763</v>
      </c>
      <c r="N385" s="837">
        <v>45866.0</v>
      </c>
      <c r="O385" s="803"/>
    </row>
    <row r="386" ht="15.0" customHeight="1">
      <c r="A386" s="786">
        <v>45863.0</v>
      </c>
      <c r="B386" s="787" t="s">
        <v>10280</v>
      </c>
      <c r="C386" s="788" t="s">
        <v>10139</v>
      </c>
      <c r="D386" s="789" t="s">
        <v>2865</v>
      </c>
      <c r="E386" s="790" t="str">
        <f>IFERROR(VLOOKUP(D386,Stock,3,FALSE),"")</f>
        <v>Toyota Fortuner 15- 2nd Gen</v>
      </c>
      <c r="F386" s="788">
        <v>10.0</v>
      </c>
      <c r="G386" s="811">
        <v>575400.0</v>
      </c>
      <c r="H386" s="799">
        <f t="shared" si="6"/>
        <v>5754000</v>
      </c>
      <c r="I386" s="800"/>
      <c r="J386" s="812"/>
      <c r="K386" s="848" t="s">
        <v>3191</v>
      </c>
      <c r="L386" s="802" t="s">
        <v>10137</v>
      </c>
      <c r="M386" s="806" t="s">
        <v>2763</v>
      </c>
      <c r="N386" s="837">
        <v>45866.0</v>
      </c>
      <c r="O386" s="803"/>
    </row>
    <row r="387" ht="15.0" customHeight="1">
      <c r="A387" s="786">
        <v>45863.0</v>
      </c>
      <c r="B387" s="787" t="s">
        <v>10280</v>
      </c>
      <c r="C387" s="788" t="s">
        <v>10139</v>
      </c>
      <c r="D387" s="789" t="s">
        <v>3029</v>
      </c>
      <c r="E387" s="790" t="str">
        <f>IFERROR(VLOOKUP(D387,Stock,3,FALSE),"")</f>
        <v>Mitsubishi Canter FE700 01- (PS110,125)</v>
      </c>
      <c r="F387" s="788">
        <v>10.0</v>
      </c>
      <c r="G387" s="811">
        <v>435750.0</v>
      </c>
      <c r="H387" s="799">
        <f t="shared" si="6"/>
        <v>4357500</v>
      </c>
      <c r="I387" s="800"/>
      <c r="J387" s="812"/>
      <c r="K387" s="848" t="s">
        <v>3191</v>
      </c>
      <c r="L387" s="802" t="s">
        <v>10137</v>
      </c>
      <c r="M387" s="806" t="s">
        <v>2763</v>
      </c>
      <c r="N387" s="837">
        <v>45866.0</v>
      </c>
      <c r="O387" s="803"/>
    </row>
    <row r="388" ht="15.0" customHeight="1">
      <c r="A388" s="786">
        <v>45864.0</v>
      </c>
      <c r="B388" s="787" t="s">
        <v>10281</v>
      </c>
      <c r="C388" s="788" t="s">
        <v>10139</v>
      </c>
      <c r="D388" s="789" t="s">
        <v>4125</v>
      </c>
      <c r="E388" s="790" t="str">
        <f>IFERROR(VLOOKUP(D388,Stock,3,FALSE),"")</f>
        <v>Hyundai Stargazer 22-</v>
      </c>
      <c r="F388" s="788">
        <v>1.0</v>
      </c>
      <c r="G388" s="811">
        <v>1417500.0</v>
      </c>
      <c r="H388" s="799">
        <f t="shared" si="6"/>
        <v>1417500</v>
      </c>
      <c r="I388" s="800"/>
      <c r="J388" s="812"/>
      <c r="K388" s="848" t="s">
        <v>3191</v>
      </c>
      <c r="L388" s="802" t="s">
        <v>10137</v>
      </c>
      <c r="M388" s="806" t="s">
        <v>2763</v>
      </c>
      <c r="N388" s="837">
        <v>45866.0</v>
      </c>
      <c r="O388" s="803"/>
    </row>
    <row r="389" ht="15.0" customHeight="1">
      <c r="A389" s="786">
        <v>45864.0</v>
      </c>
      <c r="B389" s="787" t="s">
        <v>10282</v>
      </c>
      <c r="C389" s="788" t="s">
        <v>10148</v>
      </c>
      <c r="D389" s="789" t="s">
        <v>3953</v>
      </c>
      <c r="E389" s="790" t="str">
        <f>IFERROR(VLOOKUP(D389,Stock,3,FALSE),"")</f>
        <v>Honda Brio 18-</v>
      </c>
      <c r="F389" s="788">
        <v>1.0</v>
      </c>
      <c r="G389" s="811"/>
      <c r="H389" s="799">
        <f t="shared" si="6"/>
        <v>0</v>
      </c>
      <c r="I389" s="800"/>
      <c r="J389" s="812"/>
      <c r="K389" s="848" t="s">
        <v>3191</v>
      </c>
      <c r="L389" s="802" t="s">
        <v>10137</v>
      </c>
      <c r="M389" s="803"/>
      <c r="N389" s="803"/>
      <c r="O389" s="803"/>
    </row>
    <row r="390" ht="15.0" customHeight="1">
      <c r="A390" s="786">
        <v>45864.0</v>
      </c>
      <c r="B390" s="787" t="s">
        <v>10283</v>
      </c>
      <c r="C390" s="788" t="s">
        <v>10284</v>
      </c>
      <c r="D390" s="789" t="s">
        <v>4134</v>
      </c>
      <c r="E390" s="790" t="str">
        <f>IFERROR(VLOOKUP(D390,Stock,3,FALSE),"")</f>
        <v>Mazda 2 14- Skyactiv 4th Gen</v>
      </c>
      <c r="F390" s="788">
        <v>1.0</v>
      </c>
      <c r="G390" s="811">
        <v>1675000.0</v>
      </c>
      <c r="H390" s="799">
        <f t="shared" si="6"/>
        <v>1675000</v>
      </c>
      <c r="I390" s="800"/>
      <c r="J390" s="812"/>
      <c r="K390" s="848" t="s">
        <v>3481</v>
      </c>
      <c r="L390" s="802" t="s">
        <v>10137</v>
      </c>
      <c r="M390" s="833" t="s">
        <v>2763</v>
      </c>
      <c r="N390" s="837">
        <v>45875.0</v>
      </c>
      <c r="O390" s="803"/>
    </row>
    <row r="391" ht="15.0" customHeight="1">
      <c r="A391" s="786">
        <v>45865.0</v>
      </c>
      <c r="B391" s="787" t="s">
        <v>10285</v>
      </c>
      <c r="C391" s="788" t="s">
        <v>10139</v>
      </c>
      <c r="D391" s="789" t="s">
        <v>4129</v>
      </c>
      <c r="E391" s="790" t="str">
        <f>IFERROR(VLOOKUP(D391,Stock,3,FALSE),"")</f>
        <v>Honda Civic 05-11 8th Gen (Civic Batman FD)</v>
      </c>
      <c r="F391" s="788">
        <v>1.0</v>
      </c>
      <c r="G391" s="811">
        <v>1100000.0</v>
      </c>
      <c r="H391" s="799">
        <f t="shared" si="6"/>
        <v>1100000</v>
      </c>
      <c r="I391" s="800"/>
      <c r="J391" s="812"/>
      <c r="K391" s="848" t="s">
        <v>3191</v>
      </c>
      <c r="L391" s="802" t="s">
        <v>10137</v>
      </c>
      <c r="M391" s="806" t="s">
        <v>2763</v>
      </c>
      <c r="N391" s="837">
        <v>45868.0</v>
      </c>
      <c r="O391" s="803"/>
    </row>
    <row r="392" ht="15.0" customHeight="1">
      <c r="A392" s="786">
        <v>45865.0</v>
      </c>
      <c r="B392" s="787" t="s">
        <v>10285</v>
      </c>
      <c r="C392" s="788" t="s">
        <v>10139</v>
      </c>
      <c r="D392" s="789" t="s">
        <v>2962</v>
      </c>
      <c r="E392" s="790" t="str">
        <f>IFERROR(VLOOKUP(D392,Stock,3,FALSE),"")</f>
        <v>Lembur</v>
      </c>
      <c r="F392" s="788">
        <v>1.0</v>
      </c>
      <c r="G392" s="811">
        <v>100000.0</v>
      </c>
      <c r="H392" s="799">
        <f t="shared" si="6"/>
        <v>100000</v>
      </c>
      <c r="I392" s="800"/>
      <c r="J392" s="803"/>
      <c r="K392" s="848" t="s">
        <v>3191</v>
      </c>
      <c r="L392" s="802" t="s">
        <v>10137</v>
      </c>
      <c r="M392" s="806" t="s">
        <v>2763</v>
      </c>
      <c r="N392" s="837">
        <v>45868.0</v>
      </c>
      <c r="O392" s="803"/>
    </row>
    <row r="393" ht="15.0" customHeight="1">
      <c r="A393" s="786">
        <v>45866.0</v>
      </c>
      <c r="B393" s="787" t="s">
        <v>10286</v>
      </c>
      <c r="C393" s="788" t="s">
        <v>24</v>
      </c>
      <c r="D393" s="789" t="s">
        <v>3446</v>
      </c>
      <c r="E393" s="790" t="str">
        <f>IFERROR(VLOOKUP(D393,Stock,3,FALSE),"")</f>
        <v>501 Sealant Application</v>
      </c>
      <c r="F393" s="788">
        <v>400.0</v>
      </c>
      <c r="G393" s="811">
        <v>37000.0</v>
      </c>
      <c r="H393" s="799">
        <f t="shared" si="6"/>
        <v>14800000</v>
      </c>
      <c r="I393" s="800"/>
      <c r="J393" s="812"/>
      <c r="K393" s="848" t="s">
        <v>3191</v>
      </c>
      <c r="L393" s="802" t="s">
        <v>10137</v>
      </c>
      <c r="M393" s="806" t="s">
        <v>2763</v>
      </c>
      <c r="N393" s="837">
        <v>45888.0</v>
      </c>
      <c r="O393" s="803"/>
    </row>
    <row r="394" ht="15.0" customHeight="1">
      <c r="A394" s="786">
        <v>45866.0</v>
      </c>
      <c r="B394" s="787" t="s">
        <v>10286</v>
      </c>
      <c r="C394" s="788" t="s">
        <v>24</v>
      </c>
      <c r="D394" s="789" t="s">
        <v>10287</v>
      </c>
      <c r="E394" s="790" t="str">
        <f>IFERROR(VLOOKUP(D394,Stock,3,FALSE),"")</f>
        <v/>
      </c>
      <c r="F394" s="788">
        <v>24.0</v>
      </c>
      <c r="G394" s="811">
        <v>28000.0</v>
      </c>
      <c r="H394" s="799">
        <f t="shared" si="6"/>
        <v>672000</v>
      </c>
      <c r="I394" s="800"/>
      <c r="J394" s="812"/>
      <c r="K394" s="848" t="s">
        <v>3191</v>
      </c>
      <c r="L394" s="802" t="s">
        <v>10137</v>
      </c>
      <c r="M394" s="806" t="s">
        <v>2763</v>
      </c>
      <c r="N394" s="837">
        <v>45888.0</v>
      </c>
      <c r="O394" s="803"/>
    </row>
    <row r="395" ht="15.0" customHeight="1">
      <c r="A395" s="786">
        <v>45866.0</v>
      </c>
      <c r="B395" s="787" t="s">
        <v>10286</v>
      </c>
      <c r="C395" s="788" t="s">
        <v>24</v>
      </c>
      <c r="D395" s="789" t="s">
        <v>10164</v>
      </c>
      <c r="E395" s="790" t="str">
        <f>IFERROR(VLOOKUP(D395,Stock,3,FALSE),"")</f>
        <v/>
      </c>
      <c r="F395" s="788">
        <v>5.0</v>
      </c>
      <c r="G395" s="811">
        <v>135000.0</v>
      </c>
      <c r="H395" s="799">
        <f t="shared" si="6"/>
        <v>675000</v>
      </c>
      <c r="I395" s="800"/>
      <c r="J395" s="812"/>
      <c r="K395" s="848" t="s">
        <v>3191</v>
      </c>
      <c r="L395" s="802" t="s">
        <v>10137</v>
      </c>
      <c r="M395" s="806" t="s">
        <v>2763</v>
      </c>
      <c r="N395" s="837">
        <v>45888.0</v>
      </c>
      <c r="O395" s="803"/>
    </row>
    <row r="396" ht="15.0" customHeight="1">
      <c r="A396" s="786">
        <v>45866.0</v>
      </c>
      <c r="B396" s="787">
        <v>2507800.0</v>
      </c>
      <c r="C396" s="788" t="s">
        <v>10136</v>
      </c>
      <c r="D396" s="789" t="s">
        <v>4144</v>
      </c>
      <c r="E396" s="790" t="str">
        <f>IFERROR(VLOOKUP(D396,Stock,3,FALSE),"")</f>
        <v>Toyota Rush / Terios 06-17</v>
      </c>
      <c r="F396" s="788">
        <v>2.0</v>
      </c>
      <c r="G396" s="811">
        <v>576400.0</v>
      </c>
      <c r="H396" s="799">
        <f t="shared" si="6"/>
        <v>1152800</v>
      </c>
      <c r="I396" s="800"/>
      <c r="J396" s="812"/>
      <c r="K396" s="848" t="s">
        <v>3191</v>
      </c>
      <c r="L396" s="802" t="s">
        <v>10137</v>
      </c>
      <c r="M396" s="833" t="s">
        <v>2763</v>
      </c>
      <c r="N396" s="837">
        <v>45909.0</v>
      </c>
      <c r="O396" s="803"/>
    </row>
    <row r="397" ht="15.0" customHeight="1">
      <c r="A397" s="786">
        <v>45866.0</v>
      </c>
      <c r="B397" s="787" t="s">
        <v>10288</v>
      </c>
      <c r="C397" s="788" t="s">
        <v>66</v>
      </c>
      <c r="D397" s="789" t="s">
        <v>4139</v>
      </c>
      <c r="E397" s="790" t="str">
        <f>IFERROR(VLOOKUP(D397,Stock,3,FALSE),"")</f>
        <v>Nissan Serena 10-19 C26</v>
      </c>
      <c r="F397" s="788">
        <v>1.0</v>
      </c>
      <c r="G397" s="811">
        <v>2200000.0</v>
      </c>
      <c r="H397" s="799">
        <f t="shared" si="6"/>
        <v>2200000</v>
      </c>
      <c r="I397" s="800"/>
      <c r="J397" s="812"/>
      <c r="K397" s="848" t="s">
        <v>3481</v>
      </c>
      <c r="L397" s="802" t="s">
        <v>10137</v>
      </c>
      <c r="M397" s="833" t="s">
        <v>2763</v>
      </c>
      <c r="N397" s="837">
        <v>45875.0</v>
      </c>
      <c r="O397" s="803"/>
    </row>
    <row r="398" ht="15.0" customHeight="1">
      <c r="A398" s="786">
        <v>45867.0</v>
      </c>
      <c r="B398" s="787">
        <v>2507848.0</v>
      </c>
      <c r="C398" s="788" t="s">
        <v>10136</v>
      </c>
      <c r="D398" s="789" t="s">
        <v>4157</v>
      </c>
      <c r="E398" s="790" t="str">
        <f>IFERROR(VLOOKUP(D398,Stock,3,FALSE),"")</f>
        <v>Toyota Yaris 05-13 XP90 1st Gen</v>
      </c>
      <c r="F398" s="788">
        <v>1.0</v>
      </c>
      <c r="G398" s="811">
        <v>515900.0</v>
      </c>
      <c r="H398" s="799">
        <f t="shared" si="6"/>
        <v>515900</v>
      </c>
      <c r="I398" s="800"/>
      <c r="J398" s="812"/>
      <c r="K398" s="848" t="s">
        <v>3481</v>
      </c>
      <c r="L398" s="802" t="s">
        <v>10137</v>
      </c>
      <c r="M398" s="833" t="s">
        <v>2763</v>
      </c>
      <c r="N398" s="837">
        <v>45909.0</v>
      </c>
      <c r="O398" s="803"/>
    </row>
    <row r="399" ht="15.0" customHeight="1">
      <c r="A399" s="786">
        <v>45867.0</v>
      </c>
      <c r="B399" s="787">
        <v>2507857.0</v>
      </c>
      <c r="C399" s="788" t="s">
        <v>10136</v>
      </c>
      <c r="D399" s="789" t="s">
        <v>3494</v>
      </c>
      <c r="E399" s="790" t="str">
        <f>IFERROR(VLOOKUP(D399,Stock,3,FALSE),"")</f>
        <v>Wuling Almaz</v>
      </c>
      <c r="F399" s="788">
        <v>1.0</v>
      </c>
      <c r="G399" s="811">
        <v>615450.0</v>
      </c>
      <c r="H399" s="799">
        <f t="shared" si="6"/>
        <v>615450</v>
      </c>
      <c r="I399" s="800"/>
      <c r="J399" s="812"/>
      <c r="K399" s="848" t="s">
        <v>3191</v>
      </c>
      <c r="L399" s="802" t="s">
        <v>10137</v>
      </c>
      <c r="M399" s="833" t="s">
        <v>2763</v>
      </c>
      <c r="N399" s="837">
        <v>45909.0</v>
      </c>
      <c r="O399" s="803"/>
    </row>
    <row r="400" ht="15.0" customHeight="1">
      <c r="A400" s="786">
        <v>45867.0</v>
      </c>
      <c r="B400" s="787">
        <v>2507857.0</v>
      </c>
      <c r="C400" s="788" t="s">
        <v>10136</v>
      </c>
      <c r="D400" s="789" t="s">
        <v>4161</v>
      </c>
      <c r="E400" s="790" t="str">
        <f>IFERROR(VLOOKUP(D400,Stock,3,FALSE),"")</f>
        <v>Toyota Altis 06-13 E140 10th Gen (DZ055)</v>
      </c>
      <c r="F400" s="788">
        <v>1.0</v>
      </c>
      <c r="G400" s="811">
        <v>755400.0</v>
      </c>
      <c r="H400" s="799">
        <f t="shared" si="6"/>
        <v>755400</v>
      </c>
      <c r="I400" s="800"/>
      <c r="J400" s="812"/>
      <c r="K400" s="848" t="s">
        <v>3191</v>
      </c>
      <c r="L400" s="802" t="s">
        <v>10137</v>
      </c>
      <c r="M400" s="833" t="s">
        <v>2763</v>
      </c>
      <c r="N400" s="837">
        <v>45909.0</v>
      </c>
      <c r="O400" s="803"/>
    </row>
    <row r="401" ht="15.0" customHeight="1">
      <c r="A401" s="786">
        <v>45867.0</v>
      </c>
      <c r="B401" s="787" t="s">
        <v>10289</v>
      </c>
      <c r="C401" s="788" t="s">
        <v>10139</v>
      </c>
      <c r="D401" s="789" t="s">
        <v>4178</v>
      </c>
      <c r="E401" s="790" t="str">
        <f>IFERROR(VLOOKUP(D401,Stock,3,FALSE),"")</f>
        <v>Toyota Alphard 15-17 ANH30 3rd Gen (Sensor atas keramik)</v>
      </c>
      <c r="F401" s="788">
        <v>1.0</v>
      </c>
      <c r="G401" s="811">
        <v>2205900.0</v>
      </c>
      <c r="H401" s="799">
        <f t="shared" si="6"/>
        <v>2205900</v>
      </c>
      <c r="I401" s="800"/>
      <c r="J401" s="812"/>
      <c r="K401" s="848" t="s">
        <v>3191</v>
      </c>
      <c r="L401" s="802" t="s">
        <v>10137</v>
      </c>
      <c r="M401" s="833" t="s">
        <v>2763</v>
      </c>
      <c r="N401" s="849">
        <v>45874.0</v>
      </c>
      <c r="O401" s="803"/>
    </row>
    <row r="402" ht="15.0" customHeight="1">
      <c r="A402" s="786">
        <v>45867.0</v>
      </c>
      <c r="B402" s="787" t="s">
        <v>10289</v>
      </c>
      <c r="C402" s="788" t="s">
        <v>10139</v>
      </c>
      <c r="D402" s="789" t="s">
        <v>4166</v>
      </c>
      <c r="E402" s="790" t="str">
        <f>IFERROR(VLOOKUP(D402,Stock,3,FALSE),"")</f>
        <v>Wuling Confero</v>
      </c>
      <c r="F402" s="788">
        <v>1.0</v>
      </c>
      <c r="G402" s="811">
        <v>676350.0</v>
      </c>
      <c r="H402" s="799">
        <f t="shared" si="6"/>
        <v>676350</v>
      </c>
      <c r="I402" s="800"/>
      <c r="J402" s="812"/>
      <c r="K402" s="848" t="s">
        <v>3191</v>
      </c>
      <c r="L402" s="802" t="s">
        <v>10137</v>
      </c>
      <c r="M402" s="833" t="s">
        <v>2763</v>
      </c>
      <c r="N402" s="849">
        <v>45874.0</v>
      </c>
      <c r="O402" s="803"/>
    </row>
    <row r="403" ht="15.0" customHeight="1">
      <c r="A403" s="786">
        <v>45867.0</v>
      </c>
      <c r="B403" s="787" t="s">
        <v>10290</v>
      </c>
      <c r="C403" s="788" t="s">
        <v>66</v>
      </c>
      <c r="D403" s="789" t="s">
        <v>10291</v>
      </c>
      <c r="E403" s="790" t="str">
        <f>IFERROR(VLOOKUP(D403,Stock,3,FALSE),"")</f>
        <v>Wuling Confero (Heater)</v>
      </c>
      <c r="F403" s="788">
        <v>1.0</v>
      </c>
      <c r="G403" s="811">
        <v>875000.0</v>
      </c>
      <c r="H403" s="799">
        <f t="shared" si="6"/>
        <v>875000</v>
      </c>
      <c r="I403" s="800"/>
      <c r="J403" s="812"/>
      <c r="K403" s="848" t="s">
        <v>3481</v>
      </c>
      <c r="L403" s="802" t="s">
        <v>10137</v>
      </c>
      <c r="M403" s="833" t="s">
        <v>2763</v>
      </c>
      <c r="N403" s="837">
        <v>45875.0</v>
      </c>
      <c r="O403" s="803"/>
    </row>
    <row r="404" ht="15.0" customHeight="1">
      <c r="A404" s="786">
        <v>45867.0</v>
      </c>
      <c r="B404" s="787" t="s">
        <v>10292</v>
      </c>
      <c r="C404" s="788" t="s">
        <v>10152</v>
      </c>
      <c r="D404" s="789" t="s">
        <v>10293</v>
      </c>
      <c r="E404" s="790" t="str">
        <f>IFERROR(VLOOKUP(D404,Stock,3,FALSE),"")</f>
        <v/>
      </c>
      <c r="F404" s="788">
        <v>1.0</v>
      </c>
      <c r="G404" s="811">
        <v>745000.0</v>
      </c>
      <c r="H404" s="799">
        <f t="shared" si="6"/>
        <v>745000</v>
      </c>
      <c r="I404" s="800"/>
      <c r="J404" s="812"/>
      <c r="K404" s="848" t="s">
        <v>3191</v>
      </c>
      <c r="L404" s="802" t="s">
        <v>10137</v>
      </c>
      <c r="M404" s="806" t="s">
        <v>2763</v>
      </c>
      <c r="N404" s="806" t="s">
        <v>10294</v>
      </c>
      <c r="O404" s="803"/>
    </row>
    <row r="405" ht="15.0" customHeight="1">
      <c r="A405" s="786">
        <v>45868.0</v>
      </c>
      <c r="B405" s="787">
        <v>2507867.0</v>
      </c>
      <c r="C405" s="788" t="s">
        <v>10136</v>
      </c>
      <c r="D405" s="789" t="s">
        <v>2944</v>
      </c>
      <c r="E405" s="790" t="str">
        <f>IFERROR(VLOOKUP(D405,Stock,3,FALSE),"")</f>
        <v>Toyota Innova 04-15 1st Gen</v>
      </c>
      <c r="F405" s="788">
        <v>1.0</v>
      </c>
      <c r="G405" s="811">
        <v>613800.0</v>
      </c>
      <c r="H405" s="799">
        <f t="shared" si="6"/>
        <v>613800</v>
      </c>
      <c r="I405" s="800"/>
      <c r="J405" s="812"/>
      <c r="K405" s="848" t="s">
        <v>3191</v>
      </c>
      <c r="L405" s="802" t="s">
        <v>10137</v>
      </c>
      <c r="M405" s="833" t="s">
        <v>2763</v>
      </c>
      <c r="N405" s="837">
        <v>45917.0</v>
      </c>
      <c r="O405" s="803"/>
    </row>
    <row r="406" ht="15.0" customHeight="1">
      <c r="A406" s="786">
        <v>45868.0</v>
      </c>
      <c r="B406" s="787">
        <v>2507867.0</v>
      </c>
      <c r="C406" s="788" t="s">
        <v>10136</v>
      </c>
      <c r="D406" s="789" t="s">
        <v>10295</v>
      </c>
      <c r="E406" s="790" t="str">
        <f>IFERROR(VLOOKUP(D406,Stock,3,FALSE),"")</f>
        <v>Kia Picanto 11-16 2nd Gen</v>
      </c>
      <c r="F406" s="788">
        <v>1.0</v>
      </c>
      <c r="G406" s="811">
        <v>1081850.0</v>
      </c>
      <c r="H406" s="799">
        <f t="shared" si="6"/>
        <v>1081850</v>
      </c>
      <c r="I406" s="800"/>
      <c r="J406" s="812"/>
      <c r="K406" s="848" t="s">
        <v>3191</v>
      </c>
      <c r="L406" s="802" t="s">
        <v>10137</v>
      </c>
      <c r="M406" s="833" t="s">
        <v>2763</v>
      </c>
      <c r="N406" s="837">
        <v>45917.0</v>
      </c>
      <c r="O406" s="803"/>
    </row>
    <row r="407" ht="15.0" customHeight="1">
      <c r="A407" s="786">
        <v>45868.0</v>
      </c>
      <c r="B407" s="787">
        <v>2507880.0</v>
      </c>
      <c r="C407" s="788" t="s">
        <v>10136</v>
      </c>
      <c r="D407" s="789" t="s">
        <v>10296</v>
      </c>
      <c r="E407" s="790" t="str">
        <f>IFERROR(VLOOKUP(D407,Stock,3,FALSE),"")</f>
        <v>Honda Civic 16- 10th Gen</v>
      </c>
      <c r="F407" s="788">
        <v>1.0</v>
      </c>
      <c r="G407" s="811">
        <v>1287550.0</v>
      </c>
      <c r="H407" s="799">
        <f t="shared" si="6"/>
        <v>1287550</v>
      </c>
      <c r="I407" s="800"/>
      <c r="J407" s="812"/>
      <c r="K407" s="848" t="s">
        <v>3191</v>
      </c>
      <c r="L407" s="802" t="s">
        <v>10137</v>
      </c>
      <c r="M407" s="833" t="s">
        <v>2763</v>
      </c>
      <c r="N407" s="837">
        <v>45917.0</v>
      </c>
      <c r="O407" s="803"/>
    </row>
    <row r="408" ht="15.0" customHeight="1">
      <c r="A408" s="786">
        <v>45868.0</v>
      </c>
      <c r="B408" s="787">
        <v>2507880.0</v>
      </c>
      <c r="C408" s="788" t="s">
        <v>10136</v>
      </c>
      <c r="D408" s="789" t="s">
        <v>4192</v>
      </c>
      <c r="E408" s="790" t="str">
        <f>IFERROR(VLOOKUP(D408,Stock,3,FALSE),"")</f>
        <v>Kia Sonet 21-</v>
      </c>
      <c r="F408" s="788">
        <v>1.0</v>
      </c>
      <c r="G408" s="811">
        <v>907500.0</v>
      </c>
      <c r="H408" s="799">
        <f t="shared" si="6"/>
        <v>907500</v>
      </c>
      <c r="I408" s="800"/>
      <c r="J408" s="812"/>
      <c r="K408" s="848" t="s">
        <v>3191</v>
      </c>
      <c r="L408" s="802" t="s">
        <v>10137</v>
      </c>
      <c r="M408" s="833" t="s">
        <v>2763</v>
      </c>
      <c r="N408" s="837">
        <v>45917.0</v>
      </c>
      <c r="O408" s="803"/>
    </row>
    <row r="409" ht="15.0" customHeight="1">
      <c r="A409" s="786">
        <v>45868.0</v>
      </c>
      <c r="B409" s="787">
        <v>2507880.0</v>
      </c>
      <c r="C409" s="788" t="s">
        <v>10136</v>
      </c>
      <c r="D409" s="789" t="s">
        <v>3958</v>
      </c>
      <c r="E409" s="790" t="str">
        <f>IFERROR(VLOOKUP(D409,Stock,3,FALSE),"")</f>
        <v>Wuling Almaz</v>
      </c>
      <c r="F409" s="788">
        <v>1.0</v>
      </c>
      <c r="G409" s="811">
        <v>1016400.0</v>
      </c>
      <c r="H409" s="799">
        <f t="shared" si="6"/>
        <v>1016400</v>
      </c>
      <c r="I409" s="800"/>
      <c r="J409" s="812"/>
      <c r="K409" s="848" t="s">
        <v>3191</v>
      </c>
      <c r="L409" s="802" t="s">
        <v>10137</v>
      </c>
      <c r="M409" s="833" t="s">
        <v>2763</v>
      </c>
      <c r="N409" s="837">
        <v>45917.0</v>
      </c>
      <c r="O409" s="803"/>
    </row>
    <row r="410" ht="15.0" customHeight="1">
      <c r="A410" s="786">
        <v>45869.0</v>
      </c>
      <c r="B410" s="787">
        <v>2507905.0</v>
      </c>
      <c r="C410" s="788" t="s">
        <v>10136</v>
      </c>
      <c r="D410" s="789" t="s">
        <v>3727</v>
      </c>
      <c r="E410" s="790" t="str">
        <f>IFERROR(VLOOKUP(D410,Stock,3,FALSE),"")</f>
        <v>Toyota Innova 15- 2nd Gen</v>
      </c>
      <c r="F410" s="788">
        <v>2.0</v>
      </c>
      <c r="G410" s="811">
        <v>750200.0</v>
      </c>
      <c r="H410" s="799">
        <f t="shared" si="6"/>
        <v>1500400</v>
      </c>
      <c r="I410" s="800"/>
      <c r="J410" s="812"/>
      <c r="K410" s="848" t="s">
        <v>3191</v>
      </c>
      <c r="L410" s="802" t="s">
        <v>10137</v>
      </c>
      <c r="M410" s="833" t="s">
        <v>2763</v>
      </c>
      <c r="N410" s="837">
        <v>45917.0</v>
      </c>
      <c r="O410" s="803"/>
    </row>
    <row r="411" ht="15.0" customHeight="1">
      <c r="A411" s="786">
        <v>45869.0</v>
      </c>
      <c r="B411" s="787" t="s">
        <v>10297</v>
      </c>
      <c r="C411" s="788" t="s">
        <v>2643</v>
      </c>
      <c r="D411" s="789" t="s">
        <v>6761</v>
      </c>
      <c r="E411" s="790" t="str">
        <f>IFERROR(VLOOKUP(D411,Stock,3,FALSE),"")</f>
        <v>Honda CR-V 17-23 5th Gen (2 Sensor / O /\ ) (Honda)</v>
      </c>
      <c r="F411" s="788">
        <v>1.0</v>
      </c>
      <c r="G411" s="811">
        <v>3062268.0</v>
      </c>
      <c r="H411" s="799">
        <f t="shared" si="6"/>
        <v>3062268</v>
      </c>
      <c r="I411" s="800"/>
      <c r="J411" s="812"/>
      <c r="K411" s="848" t="s">
        <v>3191</v>
      </c>
      <c r="L411" s="802" t="s">
        <v>10137</v>
      </c>
      <c r="M411" s="833" t="s">
        <v>2763</v>
      </c>
      <c r="N411" s="837">
        <v>45895.0</v>
      </c>
      <c r="O411" s="803"/>
    </row>
    <row r="412" ht="15.0" customHeight="1">
      <c r="A412" s="786">
        <v>45869.0</v>
      </c>
      <c r="B412" s="787" t="s">
        <v>10297</v>
      </c>
      <c r="C412" s="788" t="s">
        <v>2643</v>
      </c>
      <c r="D412" s="789" t="s">
        <v>4468</v>
      </c>
      <c r="E412" s="790" t="str">
        <f>IFERROR(VLOOKUP(D412,Stock,3,FALSE),"")</f>
        <v>Honda CR-V 17-23 5th Gen (Honda)</v>
      </c>
      <c r="F412" s="788">
        <v>1.0</v>
      </c>
      <c r="G412" s="811">
        <v>2002440.0</v>
      </c>
      <c r="H412" s="799">
        <f t="shared" si="6"/>
        <v>2002440</v>
      </c>
      <c r="I412" s="800"/>
      <c r="J412" s="812"/>
      <c r="K412" s="848" t="s">
        <v>3191</v>
      </c>
      <c r="L412" s="802" t="s">
        <v>10137</v>
      </c>
      <c r="M412" s="833" t="s">
        <v>2763</v>
      </c>
      <c r="N412" s="837">
        <v>45895.0</v>
      </c>
      <c r="O412" s="803"/>
    </row>
    <row r="413" ht="15.0" customHeight="1">
      <c r="A413" s="786">
        <v>45869.0</v>
      </c>
      <c r="B413" s="787" t="s">
        <v>10297</v>
      </c>
      <c r="C413" s="788" t="s">
        <v>2643</v>
      </c>
      <c r="D413" s="789" t="s">
        <v>4226</v>
      </c>
      <c r="E413" s="790" t="str">
        <f>IFERROR(VLOOKUP(D413,Stock,3,FALSE),"")</f>
        <v>Honda HR-V 14-21 5D SUV (Honda)</v>
      </c>
      <c r="F413" s="788">
        <v>1.0</v>
      </c>
      <c r="G413" s="811">
        <v>1904760.0</v>
      </c>
      <c r="H413" s="799">
        <f t="shared" si="6"/>
        <v>1904760</v>
      </c>
      <c r="I413" s="800"/>
      <c r="J413" s="812"/>
      <c r="K413" s="848" t="s">
        <v>3191</v>
      </c>
      <c r="L413" s="802" t="s">
        <v>10137</v>
      </c>
      <c r="M413" s="833" t="s">
        <v>2763</v>
      </c>
      <c r="N413" s="837">
        <v>45895.0</v>
      </c>
      <c r="O413" s="803"/>
    </row>
    <row r="414" ht="15.0" customHeight="1">
      <c r="A414" s="786">
        <v>45869.0</v>
      </c>
      <c r="B414" s="787" t="s">
        <v>10298</v>
      </c>
      <c r="C414" s="788" t="s">
        <v>10156</v>
      </c>
      <c r="D414" s="789" t="s">
        <v>4196</v>
      </c>
      <c r="E414" s="790" t="str">
        <f>IFERROR(VLOOKUP(D414,Stock,3,FALSE),"")</f>
        <v>Hyundai Creta 22-</v>
      </c>
      <c r="F414" s="788">
        <v>1.0</v>
      </c>
      <c r="G414" s="811">
        <v>390000.0</v>
      </c>
      <c r="H414" s="799">
        <f t="shared" si="6"/>
        <v>390000</v>
      </c>
      <c r="I414" s="800"/>
      <c r="J414" s="812"/>
      <c r="K414" s="848" t="s">
        <v>3481</v>
      </c>
      <c r="L414" s="802" t="s">
        <v>10137</v>
      </c>
      <c r="M414" s="833" t="s">
        <v>2763</v>
      </c>
      <c r="N414" s="837">
        <v>45875.0</v>
      </c>
      <c r="O414" s="803"/>
    </row>
    <row r="415" ht="15.0" customHeight="1">
      <c r="A415" s="786">
        <v>45870.0</v>
      </c>
      <c r="B415" s="787" t="s">
        <v>10299</v>
      </c>
      <c r="C415" s="788" t="s">
        <v>10300</v>
      </c>
      <c r="D415" s="789" t="s">
        <v>4750</v>
      </c>
      <c r="E415" s="790" t="str">
        <f>IFERROR(VLOOKUP(D415,Stock,3,FALSE),"")</f>
        <v>Toyota Rush / Terios 06-17 (Toyota/Daihatsu)</v>
      </c>
      <c r="F415" s="788">
        <v>1.0</v>
      </c>
      <c r="G415" s="811">
        <v>650750.0</v>
      </c>
      <c r="H415" s="799">
        <f t="shared" si="6"/>
        <v>650750</v>
      </c>
      <c r="I415" s="800"/>
      <c r="J415" s="812"/>
      <c r="K415" s="848" t="s">
        <v>3191</v>
      </c>
      <c r="L415" s="802" t="s">
        <v>10137</v>
      </c>
      <c r="M415" s="806" t="s">
        <v>2763</v>
      </c>
      <c r="N415" s="837">
        <v>45870.0</v>
      </c>
      <c r="O415" s="803"/>
    </row>
    <row r="416" ht="15.0" customHeight="1">
      <c r="A416" s="786">
        <v>45869.0</v>
      </c>
      <c r="B416" s="787" t="s">
        <v>10301</v>
      </c>
      <c r="C416" s="788" t="s">
        <v>2643</v>
      </c>
      <c r="D416" s="789" t="s">
        <v>5062</v>
      </c>
      <c r="E416" s="790" t="str">
        <f>IFERROR(VLOOKUP(D416,Stock,3,FALSE),"")</f>
        <v>Honda CR-V 17-23 5th Gen (Honda)</v>
      </c>
      <c r="F416" s="788">
        <v>1.0</v>
      </c>
      <c r="G416" s="811">
        <v>1142856.0</v>
      </c>
      <c r="H416" s="799">
        <f t="shared" si="6"/>
        <v>1142856</v>
      </c>
      <c r="I416" s="800"/>
      <c r="J416" s="812"/>
      <c r="K416" s="848" t="s">
        <v>3191</v>
      </c>
      <c r="L416" s="802" t="s">
        <v>10137</v>
      </c>
      <c r="M416" s="833" t="s">
        <v>2763</v>
      </c>
      <c r="N416" s="837">
        <v>45895.0</v>
      </c>
      <c r="O416" s="803"/>
    </row>
    <row r="417" ht="15.0" customHeight="1">
      <c r="A417" s="786">
        <v>45870.0</v>
      </c>
      <c r="B417" s="787" t="s">
        <v>10302</v>
      </c>
      <c r="C417" s="788" t="s">
        <v>2643</v>
      </c>
      <c r="D417" s="789" t="s">
        <v>4720</v>
      </c>
      <c r="E417" s="790" t="str">
        <f>IFERROR(VLOOKUP(D417,Stock,3,FALSE),"")</f>
        <v>Honda Jazz 13-  3rd Gen (Honda)</v>
      </c>
      <c r="F417" s="788">
        <v>1.0</v>
      </c>
      <c r="G417" s="811">
        <v>1597068.0</v>
      </c>
      <c r="H417" s="799">
        <f t="shared" si="6"/>
        <v>1597068</v>
      </c>
      <c r="I417" s="800"/>
      <c r="J417" s="812"/>
      <c r="K417" s="848" t="s">
        <v>3191</v>
      </c>
      <c r="L417" s="802" t="s">
        <v>10137</v>
      </c>
      <c r="M417" s="833" t="s">
        <v>2763</v>
      </c>
      <c r="N417" s="837">
        <v>45930.0</v>
      </c>
      <c r="O417" s="803"/>
    </row>
    <row r="418" ht="15.0" customHeight="1">
      <c r="A418" s="786">
        <v>45870.0</v>
      </c>
      <c r="B418" s="787" t="s">
        <v>10302</v>
      </c>
      <c r="C418" s="788" t="s">
        <v>2643</v>
      </c>
      <c r="D418" s="789" t="s">
        <v>10303</v>
      </c>
      <c r="E418" s="790" t="str">
        <f>IFERROR(VLOOKUP(D418,Stock,3,FALSE),"")</f>
        <v>Honda City 19- GN (Honda)</v>
      </c>
      <c r="F418" s="788">
        <v>1.0</v>
      </c>
      <c r="G418" s="811">
        <v>937728.0</v>
      </c>
      <c r="H418" s="799">
        <f t="shared" si="6"/>
        <v>937728</v>
      </c>
      <c r="I418" s="800"/>
      <c r="J418" s="812"/>
      <c r="K418" s="848" t="s">
        <v>3191</v>
      </c>
      <c r="L418" s="802" t="s">
        <v>10137</v>
      </c>
      <c r="M418" s="833" t="s">
        <v>2763</v>
      </c>
      <c r="N418" s="837">
        <v>45930.0</v>
      </c>
      <c r="O418" s="803"/>
    </row>
    <row r="419" ht="15.0" customHeight="1">
      <c r="A419" s="786">
        <v>45870.0</v>
      </c>
      <c r="B419" s="787" t="s">
        <v>10304</v>
      </c>
      <c r="C419" s="788" t="s">
        <v>2643</v>
      </c>
      <c r="D419" s="789" t="s">
        <v>5062</v>
      </c>
      <c r="E419" s="790" t="str">
        <f>IFERROR(VLOOKUP(D419,Stock,3,FALSE),"")</f>
        <v>Honda CR-V 17-23 5th Gen (Honda)</v>
      </c>
      <c r="F419" s="788">
        <v>1.0</v>
      </c>
      <c r="G419" s="811">
        <v>1142856.0</v>
      </c>
      <c r="H419" s="799">
        <f t="shared" si="6"/>
        <v>1142856</v>
      </c>
      <c r="I419" s="800"/>
      <c r="J419" s="812"/>
      <c r="K419" s="848" t="s">
        <v>3191</v>
      </c>
      <c r="L419" s="802" t="s">
        <v>10137</v>
      </c>
      <c r="M419" s="833" t="s">
        <v>2763</v>
      </c>
      <c r="N419" s="837">
        <v>45930.0</v>
      </c>
      <c r="O419" s="803"/>
    </row>
    <row r="420" ht="15.0" customHeight="1">
      <c r="A420" s="786">
        <v>45870.0</v>
      </c>
      <c r="B420" s="787">
        <v>2508012.0</v>
      </c>
      <c r="C420" s="788" t="s">
        <v>10136</v>
      </c>
      <c r="D420" s="789" t="s">
        <v>4209</v>
      </c>
      <c r="E420" s="790" t="str">
        <f>IFERROR(VLOOKUP(D420,Stock,3,FALSE),"")</f>
        <v>Mitsubishi Galant 96-03 YC/EA2A 8th Gen (Hiu)</v>
      </c>
      <c r="F420" s="788">
        <v>1.0</v>
      </c>
      <c r="G420" s="811">
        <v>1059300.0</v>
      </c>
      <c r="H420" s="799">
        <f t="shared" si="6"/>
        <v>1059300</v>
      </c>
      <c r="I420" s="800"/>
      <c r="J420" s="812"/>
      <c r="K420" s="848" t="s">
        <v>3191</v>
      </c>
      <c r="L420" s="802" t="s">
        <v>10137</v>
      </c>
      <c r="M420" s="833" t="s">
        <v>2763</v>
      </c>
      <c r="N420" s="837">
        <v>45917.0</v>
      </c>
      <c r="O420" s="803"/>
    </row>
    <row r="421" ht="15.0" customHeight="1">
      <c r="A421" s="786">
        <v>45870.0</v>
      </c>
      <c r="B421" s="787" t="s">
        <v>10305</v>
      </c>
      <c r="C421" s="788" t="s">
        <v>10139</v>
      </c>
      <c r="D421" s="789" t="s">
        <v>4220</v>
      </c>
      <c r="E421" s="790" t="str">
        <f>IFERROR(VLOOKUP(D421,Stock,3,FALSE),"")</f>
        <v>Mitsubishi Outlander 10-21</v>
      </c>
      <c r="F421" s="788">
        <v>1.0</v>
      </c>
      <c r="G421" s="811">
        <v>1905000.0</v>
      </c>
      <c r="H421" s="799">
        <f t="shared" si="6"/>
        <v>1905000</v>
      </c>
      <c r="I421" s="800"/>
      <c r="J421" s="812"/>
      <c r="K421" s="848" t="s">
        <v>3191</v>
      </c>
      <c r="L421" s="802" t="s">
        <v>10137</v>
      </c>
      <c r="M421" s="833" t="s">
        <v>2763</v>
      </c>
      <c r="N421" s="849">
        <v>45874.0</v>
      </c>
      <c r="O421" s="803"/>
    </row>
    <row r="422" ht="15.0" customHeight="1">
      <c r="A422" s="786">
        <v>45871.0</v>
      </c>
      <c r="B422" s="787" t="s">
        <v>10306</v>
      </c>
      <c r="C422" s="788" t="s">
        <v>10139</v>
      </c>
      <c r="D422" s="789" t="s">
        <v>4231</v>
      </c>
      <c r="E422" s="790" t="str">
        <f>IFERROR(VLOOKUP(D422,Stock,3,FALSE),"")</f>
        <v>Nissan X-Trail 07-13 T31</v>
      </c>
      <c r="F422" s="788">
        <v>1.0</v>
      </c>
      <c r="G422" s="811">
        <v>963900.0</v>
      </c>
      <c r="H422" s="799">
        <f t="shared" si="6"/>
        <v>963900</v>
      </c>
      <c r="I422" s="800"/>
      <c r="J422" s="812"/>
      <c r="K422" s="848" t="s">
        <v>3191</v>
      </c>
      <c r="L422" s="802" t="s">
        <v>10137</v>
      </c>
      <c r="M422" s="806" t="s">
        <v>2763</v>
      </c>
      <c r="N422" s="837">
        <v>45874.0</v>
      </c>
      <c r="O422" s="803"/>
    </row>
    <row r="423" ht="15.0" customHeight="1">
      <c r="A423" s="786">
        <v>45871.0</v>
      </c>
      <c r="B423" s="787" t="s">
        <v>10306</v>
      </c>
      <c r="C423" s="788" t="s">
        <v>10139</v>
      </c>
      <c r="D423" s="789" t="s">
        <v>3891</v>
      </c>
      <c r="E423" s="790" t="str">
        <f>IFERROR(VLOOKUP(D423,Stock,3,FALSE),"")</f>
        <v>Toyota Rush / Terios 06-17</v>
      </c>
      <c r="F423" s="788">
        <v>1.0</v>
      </c>
      <c r="G423" s="811">
        <v>475875.0</v>
      </c>
      <c r="H423" s="799">
        <f t="shared" si="6"/>
        <v>475875</v>
      </c>
      <c r="I423" s="800"/>
      <c r="J423" s="812"/>
      <c r="K423" s="848" t="s">
        <v>3191</v>
      </c>
      <c r="L423" s="802" t="s">
        <v>10137</v>
      </c>
      <c r="M423" s="806" t="s">
        <v>2763</v>
      </c>
      <c r="N423" s="837">
        <v>45874.0</v>
      </c>
      <c r="O423" s="803"/>
    </row>
    <row r="424" ht="15.0" customHeight="1">
      <c r="A424" s="786">
        <v>45873.0</v>
      </c>
      <c r="B424" s="787" t="s">
        <v>10307</v>
      </c>
      <c r="C424" s="788" t="s">
        <v>2643</v>
      </c>
      <c r="D424" s="789" t="s">
        <v>4579</v>
      </c>
      <c r="E424" s="790" t="str">
        <f>IFERROR(VLOOKUP(D424,Stock,3,FALSE),"")</f>
        <v>Honda HR-V 14-21 5D SUV (Honda)</v>
      </c>
      <c r="F424" s="788">
        <v>1.0</v>
      </c>
      <c r="G424" s="811">
        <v>405372.0</v>
      </c>
      <c r="H424" s="799">
        <f t="shared" si="6"/>
        <v>405372</v>
      </c>
      <c r="I424" s="800"/>
      <c r="J424" s="812"/>
      <c r="K424" s="848" t="s">
        <v>3191</v>
      </c>
      <c r="L424" s="802" t="s">
        <v>10137</v>
      </c>
      <c r="M424" s="833" t="s">
        <v>2763</v>
      </c>
      <c r="N424" s="837">
        <v>45930.0</v>
      </c>
      <c r="O424" s="803"/>
    </row>
    <row r="425" ht="15.0" customHeight="1">
      <c r="A425" s="786">
        <v>45873.0</v>
      </c>
      <c r="B425" s="787" t="s">
        <v>10307</v>
      </c>
      <c r="C425" s="788" t="s">
        <v>2643</v>
      </c>
      <c r="D425" s="789" t="s">
        <v>4714</v>
      </c>
      <c r="E425" s="790" t="str">
        <f>IFERROR(VLOOKUP(D425,Stock,3,FALSE),"")</f>
        <v>Honda HR-V 14-21 5D SUV (Honda)</v>
      </c>
      <c r="F425" s="788">
        <v>1.0</v>
      </c>
      <c r="G425" s="811">
        <v>405372.0</v>
      </c>
      <c r="H425" s="799">
        <f t="shared" si="6"/>
        <v>405372</v>
      </c>
      <c r="I425" s="800"/>
      <c r="J425" s="812"/>
      <c r="K425" s="848" t="s">
        <v>3191</v>
      </c>
      <c r="L425" s="802" t="s">
        <v>10137</v>
      </c>
      <c r="M425" s="833" t="s">
        <v>2763</v>
      </c>
      <c r="N425" s="837">
        <v>45930.0</v>
      </c>
      <c r="O425" s="803"/>
    </row>
    <row r="426" ht="15.0" customHeight="1">
      <c r="A426" s="786">
        <v>45873.0</v>
      </c>
      <c r="B426" s="787" t="s">
        <v>10308</v>
      </c>
      <c r="C426" s="788" t="s">
        <v>2643</v>
      </c>
      <c r="D426" s="789" t="s">
        <v>3662</v>
      </c>
      <c r="E426" s="790" t="str">
        <f>IFERROR(VLOOKUP(D426,Stock,3,FALSE),"")</f>
        <v>Toyota Innova 15-22 2nd Gen (Toyota)</v>
      </c>
      <c r="F426" s="788">
        <v>3.0</v>
      </c>
      <c r="G426" s="811">
        <v>1766999.2</v>
      </c>
      <c r="H426" s="799">
        <f t="shared" si="6"/>
        <v>5300997.6</v>
      </c>
      <c r="I426" s="800"/>
      <c r="J426" s="812"/>
      <c r="K426" s="848" t="s">
        <v>3191</v>
      </c>
      <c r="L426" s="802" t="s">
        <v>10137</v>
      </c>
      <c r="M426" s="833" t="s">
        <v>2763</v>
      </c>
      <c r="N426" s="837">
        <v>45930.0</v>
      </c>
      <c r="O426" s="803"/>
    </row>
    <row r="427" ht="15.0" customHeight="1">
      <c r="A427" s="786">
        <v>45873.0</v>
      </c>
      <c r="B427" s="787" t="s">
        <v>10309</v>
      </c>
      <c r="C427" s="788" t="s">
        <v>10139</v>
      </c>
      <c r="D427" s="789" t="s">
        <v>4262</v>
      </c>
      <c r="E427" s="790" t="str">
        <f>IFERROR(VLOOKUP(D427,Stock,3,FALSE),"")</f>
        <v>Toyota Avanza / Xenia 11-15 2nd Gen / 15-21 3rd Gen</v>
      </c>
      <c r="F427" s="788">
        <v>1.0</v>
      </c>
      <c r="G427" s="811">
        <v>175000.0</v>
      </c>
      <c r="H427" s="799">
        <f t="shared" si="6"/>
        <v>175000</v>
      </c>
      <c r="I427" s="800"/>
      <c r="J427" s="812"/>
      <c r="K427" s="848" t="s">
        <v>3191</v>
      </c>
      <c r="L427" s="802" t="s">
        <v>10137</v>
      </c>
      <c r="M427" s="833" t="s">
        <v>2763</v>
      </c>
      <c r="N427" s="849">
        <v>45874.0</v>
      </c>
      <c r="O427" s="803"/>
    </row>
    <row r="428" ht="15.0" customHeight="1">
      <c r="A428" s="786">
        <v>45874.0</v>
      </c>
      <c r="B428" s="787" t="s">
        <v>10310</v>
      </c>
      <c r="C428" s="788" t="s">
        <v>2643</v>
      </c>
      <c r="D428" s="789" t="s">
        <v>4482</v>
      </c>
      <c r="E428" s="790" t="str">
        <f>IFERROR(VLOOKUP(D428,Stock,3,FALSE),"")</f>
        <v>Mitsubishi X-Force 23- (RS) (Mitsubishi)</v>
      </c>
      <c r="F428" s="788">
        <v>1.0</v>
      </c>
      <c r="G428" s="811">
        <v>2735999.0</v>
      </c>
      <c r="H428" s="799">
        <f t="shared" si="6"/>
        <v>2735999</v>
      </c>
      <c r="I428" s="800"/>
      <c r="J428" s="812"/>
      <c r="K428" s="848" t="s">
        <v>3191</v>
      </c>
      <c r="L428" s="802" t="s">
        <v>10137</v>
      </c>
      <c r="M428" s="833" t="s">
        <v>2763</v>
      </c>
      <c r="N428" s="837">
        <v>45930.0</v>
      </c>
      <c r="O428" s="803"/>
    </row>
    <row r="429" ht="15.0" customHeight="1">
      <c r="A429" s="786">
        <v>45874.0</v>
      </c>
      <c r="B429" s="787">
        <v>2508097.0</v>
      </c>
      <c r="C429" s="788" t="s">
        <v>10136</v>
      </c>
      <c r="D429" s="789" t="s">
        <v>4272</v>
      </c>
      <c r="E429" s="790" t="str">
        <f>IFERROR(VLOOKUP(D429,Stock,3,FALSE),"")</f>
        <v>Kia Picanto 04-11 1st Gen</v>
      </c>
      <c r="F429" s="788">
        <v>1.0</v>
      </c>
      <c r="G429" s="811">
        <v>398750.0</v>
      </c>
      <c r="H429" s="799">
        <f t="shared" si="6"/>
        <v>398750</v>
      </c>
      <c r="I429" s="800"/>
      <c r="J429" s="812"/>
      <c r="K429" s="848" t="s">
        <v>3191</v>
      </c>
      <c r="L429" s="802" t="s">
        <v>10137</v>
      </c>
      <c r="M429" s="833" t="s">
        <v>2763</v>
      </c>
      <c r="N429" s="837">
        <v>45917.0</v>
      </c>
      <c r="O429" s="803"/>
    </row>
    <row r="430" ht="15.0" customHeight="1">
      <c r="A430" s="786">
        <v>45874.0</v>
      </c>
      <c r="B430" s="787">
        <v>2508097.0</v>
      </c>
      <c r="C430" s="788" t="s">
        <v>10136</v>
      </c>
      <c r="D430" s="789" t="s">
        <v>4257</v>
      </c>
      <c r="E430" s="790" t="str">
        <f>IFERROR(VLOOKUP(D430,Stock,3,FALSE),"")</f>
        <v>Toyota LandCruiser Prado FJ150W 09-</v>
      </c>
      <c r="F430" s="788">
        <v>1.0</v>
      </c>
      <c r="G430" s="811">
        <v>1664300.0</v>
      </c>
      <c r="H430" s="799">
        <f t="shared" si="6"/>
        <v>1664300</v>
      </c>
      <c r="I430" s="800"/>
      <c r="J430" s="812"/>
      <c r="K430" s="848" t="s">
        <v>3191</v>
      </c>
      <c r="L430" s="802" t="s">
        <v>10137</v>
      </c>
      <c r="M430" s="833" t="s">
        <v>2763</v>
      </c>
      <c r="N430" s="837">
        <v>45917.0</v>
      </c>
      <c r="O430" s="803"/>
    </row>
    <row r="431" ht="15.0" customHeight="1">
      <c r="A431" s="786">
        <v>45874.0</v>
      </c>
      <c r="B431" s="787" t="s">
        <v>10311</v>
      </c>
      <c r="C431" s="788" t="s">
        <v>10146</v>
      </c>
      <c r="D431" s="789" t="s">
        <v>4277</v>
      </c>
      <c r="E431" s="790" t="str">
        <f>IFERROR(VLOOKUP(D431,Stock,3,FALSE),"")</f>
        <v>Toyota Fortuner 15-  2nd Gen</v>
      </c>
      <c r="F431" s="788">
        <v>1.0</v>
      </c>
      <c r="G431" s="811">
        <v>270000.0</v>
      </c>
      <c r="H431" s="799">
        <f t="shared" si="6"/>
        <v>270000</v>
      </c>
      <c r="I431" s="800"/>
      <c r="J431" s="812"/>
      <c r="K431" s="848" t="s">
        <v>3481</v>
      </c>
      <c r="L431" s="802" t="s">
        <v>10137</v>
      </c>
      <c r="M431" s="833" t="s">
        <v>2763</v>
      </c>
      <c r="N431" s="837">
        <v>45877.0</v>
      </c>
      <c r="O431" s="803"/>
    </row>
    <row r="432" ht="15.0" customHeight="1">
      <c r="A432" s="786">
        <v>45874.0</v>
      </c>
      <c r="B432" s="787">
        <v>2508120.0</v>
      </c>
      <c r="C432" s="788" t="s">
        <v>10136</v>
      </c>
      <c r="D432" s="789" t="s">
        <v>4303</v>
      </c>
      <c r="E432" s="790" t="str">
        <f>IFERROR(VLOOKUP(D432,Stock,3,FALSE),"")</f>
        <v>Mers-Benz C-Class 00-07 W203 (2 Sensor/ □ Pinggir)</v>
      </c>
      <c r="F432" s="788">
        <v>1.0</v>
      </c>
      <c r="G432" s="811">
        <v>1848550.0</v>
      </c>
      <c r="H432" s="799">
        <f t="shared" si="6"/>
        <v>1848550</v>
      </c>
      <c r="I432" s="800"/>
      <c r="J432" s="812"/>
      <c r="K432" s="848" t="s">
        <v>3191</v>
      </c>
      <c r="L432" s="802" t="s">
        <v>10137</v>
      </c>
      <c r="M432" s="833" t="s">
        <v>2763</v>
      </c>
      <c r="N432" s="837">
        <v>45917.0</v>
      </c>
      <c r="O432" s="803"/>
    </row>
    <row r="433" ht="15.0" customHeight="1">
      <c r="A433" s="786">
        <v>45874.0</v>
      </c>
      <c r="B433" s="787">
        <v>2508120.0</v>
      </c>
      <c r="C433" s="788" t="s">
        <v>10136</v>
      </c>
      <c r="D433" s="789" t="s">
        <v>3126</v>
      </c>
      <c r="E433" s="790" t="str">
        <f>IFERROR(VLOOKUP(D433,Stock,3,FALSE),"")</f>
        <v>Suzuki Carry New 19-</v>
      </c>
      <c r="F433" s="788">
        <v>2.0</v>
      </c>
      <c r="G433" s="811">
        <v>462000.0</v>
      </c>
      <c r="H433" s="799">
        <f t="shared" si="6"/>
        <v>924000</v>
      </c>
      <c r="I433" s="800"/>
      <c r="J433" s="812"/>
      <c r="K433" s="848" t="s">
        <v>3191</v>
      </c>
      <c r="L433" s="802" t="s">
        <v>10137</v>
      </c>
      <c r="M433" s="833" t="s">
        <v>2763</v>
      </c>
      <c r="N433" s="837">
        <v>45917.0</v>
      </c>
      <c r="O433" s="803"/>
    </row>
    <row r="434" ht="15.0" customHeight="1">
      <c r="A434" s="786">
        <v>45874.0</v>
      </c>
      <c r="B434" s="787">
        <v>2508120.0</v>
      </c>
      <c r="C434" s="788" t="s">
        <v>10136</v>
      </c>
      <c r="D434" s="789" t="s">
        <v>4302</v>
      </c>
      <c r="E434" s="790" t="str">
        <f>IFERROR(VLOOKUP(D434,Stock,3,FALSE),"")</f>
        <v>Mitsubishi Fuso Super Great FV100 96-</v>
      </c>
      <c r="F434" s="788">
        <v>1.0</v>
      </c>
      <c r="G434" s="811">
        <v>1233650.0</v>
      </c>
      <c r="H434" s="799">
        <f t="shared" si="6"/>
        <v>1233650</v>
      </c>
      <c r="I434" s="800"/>
      <c r="J434" s="812"/>
      <c r="K434" s="848" t="s">
        <v>3191</v>
      </c>
      <c r="L434" s="802" t="s">
        <v>10137</v>
      </c>
      <c r="M434" s="833" t="s">
        <v>2763</v>
      </c>
      <c r="N434" s="837">
        <v>45917.0</v>
      </c>
      <c r="O434" s="803"/>
    </row>
    <row r="435" ht="15.0" customHeight="1">
      <c r="A435" s="786">
        <v>45874.0</v>
      </c>
      <c r="B435" s="787">
        <v>2508120.0</v>
      </c>
      <c r="C435" s="788" t="s">
        <v>10136</v>
      </c>
      <c r="D435" s="789" t="s">
        <v>4305</v>
      </c>
      <c r="E435" s="790" t="str">
        <f>IFERROR(VLOOKUP(D435,Stock,3,FALSE),"")</f>
        <v>Honda City 96-02 3rdGen (City Z)</v>
      </c>
      <c r="F435" s="788">
        <v>1.0</v>
      </c>
      <c r="G435" s="811">
        <v>654500.0</v>
      </c>
      <c r="H435" s="799">
        <f t="shared" si="6"/>
        <v>654500</v>
      </c>
      <c r="I435" s="800"/>
      <c r="J435" s="812"/>
      <c r="K435" s="848" t="s">
        <v>3191</v>
      </c>
      <c r="L435" s="802" t="s">
        <v>10137</v>
      </c>
      <c r="M435" s="833" t="s">
        <v>2763</v>
      </c>
      <c r="N435" s="837">
        <v>45917.0</v>
      </c>
      <c r="O435" s="803"/>
    </row>
    <row r="436" ht="15.0" customHeight="1">
      <c r="A436" s="786">
        <v>45874.0</v>
      </c>
      <c r="B436" s="787" t="s">
        <v>10312</v>
      </c>
      <c r="C436" s="788" t="s">
        <v>10139</v>
      </c>
      <c r="D436" s="789" t="s">
        <v>4267</v>
      </c>
      <c r="E436" s="790" t="str">
        <f>IFERROR(VLOOKUP(D436,Stock,3,FALSE),"")</f>
        <v>Honda Mobilio 14- / Honda BR-V 16-21</v>
      </c>
      <c r="F436" s="788">
        <v>1.0</v>
      </c>
      <c r="G436" s="811">
        <v>235000.0</v>
      </c>
      <c r="H436" s="799">
        <f t="shared" si="6"/>
        <v>235000</v>
      </c>
      <c r="I436" s="800"/>
      <c r="J436" s="812"/>
      <c r="K436" s="848" t="s">
        <v>3191</v>
      </c>
      <c r="L436" s="802" t="s">
        <v>10137</v>
      </c>
      <c r="M436" s="806" t="s">
        <v>2763</v>
      </c>
      <c r="N436" s="837">
        <v>45878.0</v>
      </c>
      <c r="O436" s="803"/>
    </row>
    <row r="437" ht="15.0" customHeight="1">
      <c r="A437" s="786">
        <v>45875.0</v>
      </c>
      <c r="B437" s="787" t="s">
        <v>10313</v>
      </c>
      <c r="C437" s="788" t="s">
        <v>66</v>
      </c>
      <c r="D437" s="789" t="s">
        <v>4297</v>
      </c>
      <c r="E437" s="790" t="str">
        <f>IFERROR(VLOOKUP(D437,Stock,3,FALSE),"")</f>
        <v>Mers-Benz E-Class 09-16 W212 (1 Sensor/ □)</v>
      </c>
      <c r="F437" s="788">
        <v>1.0</v>
      </c>
      <c r="G437" s="811">
        <v>3350000.0</v>
      </c>
      <c r="H437" s="799">
        <f t="shared" si="6"/>
        <v>3350000</v>
      </c>
      <c r="I437" s="800"/>
      <c r="J437" s="812"/>
      <c r="K437" s="848" t="s">
        <v>3481</v>
      </c>
      <c r="L437" s="802" t="s">
        <v>10137</v>
      </c>
      <c r="M437" s="833" t="s">
        <v>2763</v>
      </c>
      <c r="N437" s="837">
        <v>45875.0</v>
      </c>
      <c r="O437" s="803"/>
    </row>
    <row r="438" ht="15.0" customHeight="1">
      <c r="A438" s="786">
        <v>45875.0</v>
      </c>
      <c r="B438" s="787" t="s">
        <v>10314</v>
      </c>
      <c r="C438" s="788" t="s">
        <v>10148</v>
      </c>
      <c r="D438" s="853" t="s">
        <v>2916</v>
      </c>
      <c r="E438" s="790" t="str">
        <f>IFERROR(VLOOKUP(D438,Stock,3,FALSE),"")</f>
        <v>Toyota Alphard 08-15 ANH20 2nd Gen (Hitam)</v>
      </c>
      <c r="F438" s="788">
        <v>1.0</v>
      </c>
      <c r="G438" s="811"/>
      <c r="H438" s="799">
        <f t="shared" si="6"/>
        <v>0</v>
      </c>
      <c r="I438" s="800"/>
      <c r="J438" s="812"/>
      <c r="K438" s="848" t="s">
        <v>9863</v>
      </c>
      <c r="L438" s="805"/>
      <c r="M438" s="803"/>
      <c r="N438" s="803"/>
      <c r="O438" s="803"/>
    </row>
    <row r="439" ht="15.0" customHeight="1">
      <c r="A439" s="786">
        <v>45875.0</v>
      </c>
      <c r="B439" s="787" t="s">
        <v>10315</v>
      </c>
      <c r="C439" s="788" t="s">
        <v>2643</v>
      </c>
      <c r="D439" s="789" t="s">
        <v>4292</v>
      </c>
      <c r="E439" s="790" t="str">
        <f>IFERROR(VLOOKUP(D439,Stock,3,FALSE),"")</f>
        <v>Honda BR-V 22- 2nd Gen / WRV 23- (Honda)</v>
      </c>
      <c r="F439" s="788">
        <v>2.0</v>
      </c>
      <c r="G439" s="811">
        <v>1050060.0</v>
      </c>
      <c r="H439" s="799">
        <f t="shared" si="6"/>
        <v>2100120</v>
      </c>
      <c r="I439" s="800"/>
      <c r="J439" s="812"/>
      <c r="K439" s="848" t="s">
        <v>3191</v>
      </c>
      <c r="L439" s="802" t="s">
        <v>10137</v>
      </c>
      <c r="M439" s="833" t="s">
        <v>2763</v>
      </c>
      <c r="N439" s="837">
        <v>45930.0</v>
      </c>
      <c r="O439" s="803"/>
    </row>
    <row r="440" ht="15.0" customHeight="1">
      <c r="A440" s="786">
        <v>45875.0</v>
      </c>
      <c r="B440" s="787" t="s">
        <v>10316</v>
      </c>
      <c r="C440" s="788" t="s">
        <v>2643</v>
      </c>
      <c r="D440" s="789" t="s">
        <v>10317</v>
      </c>
      <c r="E440" s="790" t="str">
        <f>IFERROR(VLOOKUP(D440,Stock,3,FALSE),"")</f>
        <v>Honda City 02-08 4th Gen Idsi GD8 (Honda)</v>
      </c>
      <c r="F440" s="788">
        <v>1.0</v>
      </c>
      <c r="G440" s="811">
        <v>444000.0</v>
      </c>
      <c r="H440" s="799">
        <f t="shared" si="6"/>
        <v>444000</v>
      </c>
      <c r="I440" s="800"/>
      <c r="J440" s="812"/>
      <c r="K440" s="848" t="s">
        <v>3191</v>
      </c>
      <c r="L440" s="802" t="s">
        <v>10137</v>
      </c>
      <c r="M440" s="833" t="s">
        <v>2763</v>
      </c>
      <c r="N440" s="837">
        <v>45930.0</v>
      </c>
      <c r="O440" s="803"/>
    </row>
    <row r="441" ht="15.0" customHeight="1">
      <c r="A441" s="786">
        <v>45875.0</v>
      </c>
      <c r="B441" s="787" t="s">
        <v>10316</v>
      </c>
      <c r="C441" s="788" t="s">
        <v>2643</v>
      </c>
      <c r="D441" s="789" t="s">
        <v>10318</v>
      </c>
      <c r="E441" s="790" t="str">
        <f>IFERROR(VLOOKUP(D441,Stock,3,FALSE),"")</f>
        <v>Honda City 02-08 4th Gen Idsi GD8 (Honda)</v>
      </c>
      <c r="F441" s="788">
        <v>1.0</v>
      </c>
      <c r="G441" s="811">
        <v>444000.0</v>
      </c>
      <c r="H441" s="799">
        <f t="shared" si="6"/>
        <v>444000</v>
      </c>
      <c r="I441" s="800"/>
      <c r="J441" s="812"/>
      <c r="K441" s="848" t="s">
        <v>3191</v>
      </c>
      <c r="L441" s="802" t="s">
        <v>10137</v>
      </c>
      <c r="M441" s="833" t="s">
        <v>2763</v>
      </c>
      <c r="N441" s="837">
        <v>45930.0</v>
      </c>
      <c r="O441" s="803"/>
    </row>
    <row r="442" ht="15.0" customHeight="1">
      <c r="A442" s="786">
        <v>45875.0</v>
      </c>
      <c r="B442" s="787" t="s">
        <v>10316</v>
      </c>
      <c r="C442" s="788" t="s">
        <v>2643</v>
      </c>
      <c r="D442" s="789" t="s">
        <v>4337</v>
      </c>
      <c r="E442" s="790" t="str">
        <f>IFERROR(VLOOKUP(D442,Stock,3,FALSE),"")</f>
        <v>Mitsubishi Pajero 16- (Mitsubishi)</v>
      </c>
      <c r="F442" s="788">
        <v>2.0</v>
      </c>
      <c r="G442" s="811">
        <v>513000.0</v>
      </c>
      <c r="H442" s="799">
        <f t="shared" si="6"/>
        <v>1026000</v>
      </c>
      <c r="I442" s="800"/>
      <c r="J442" s="812"/>
      <c r="K442" s="848" t="s">
        <v>3191</v>
      </c>
      <c r="L442" s="802" t="s">
        <v>10137</v>
      </c>
      <c r="M442" s="833" t="s">
        <v>2763</v>
      </c>
      <c r="N442" s="837">
        <v>45930.0</v>
      </c>
      <c r="O442" s="803"/>
    </row>
    <row r="443" ht="15.0" customHeight="1">
      <c r="A443" s="786">
        <v>45875.0</v>
      </c>
      <c r="B443" s="787" t="s">
        <v>10319</v>
      </c>
      <c r="C443" s="788" t="s">
        <v>10139</v>
      </c>
      <c r="D443" s="789" t="s">
        <v>4282</v>
      </c>
      <c r="E443" s="790" t="str">
        <f>IFERROR(VLOOKUP(D443,Stock,3,FALSE),"")</f>
        <v>Mazda CX-5 12-17 1st Gen KE</v>
      </c>
      <c r="F443" s="788">
        <v>1.0</v>
      </c>
      <c r="G443" s="811">
        <v>489375.0</v>
      </c>
      <c r="H443" s="799">
        <f t="shared" si="6"/>
        <v>489375</v>
      </c>
      <c r="I443" s="800"/>
      <c r="J443" s="812"/>
      <c r="K443" s="848" t="s">
        <v>3191</v>
      </c>
      <c r="L443" s="802" t="s">
        <v>10137</v>
      </c>
      <c r="M443" s="806" t="s">
        <v>2763</v>
      </c>
      <c r="N443" s="837">
        <v>45878.0</v>
      </c>
      <c r="O443" s="803"/>
    </row>
    <row r="444" ht="15.0" customHeight="1">
      <c r="A444" s="786">
        <v>45876.0</v>
      </c>
      <c r="B444" s="787" t="s">
        <v>10320</v>
      </c>
      <c r="C444" s="788" t="s">
        <v>2643</v>
      </c>
      <c r="D444" s="789" t="s">
        <v>10321</v>
      </c>
      <c r="E444" s="790" t="str">
        <f>IFERROR(VLOOKUP(D444,Stock,3,FALSE),"")</f>
        <v>Honda WR-V 23- (Honda)</v>
      </c>
      <c r="F444" s="788">
        <v>1.0</v>
      </c>
      <c r="G444" s="811">
        <v>634920.0</v>
      </c>
      <c r="H444" s="799">
        <f t="shared" si="6"/>
        <v>634920</v>
      </c>
      <c r="I444" s="800"/>
      <c r="J444" s="812"/>
      <c r="K444" s="848" t="s">
        <v>3191</v>
      </c>
      <c r="L444" s="802" t="s">
        <v>10137</v>
      </c>
      <c r="M444" s="833" t="s">
        <v>2763</v>
      </c>
      <c r="N444" s="837">
        <v>45930.0</v>
      </c>
      <c r="O444" s="803"/>
    </row>
    <row r="445" ht="15.0" customHeight="1">
      <c r="A445" s="786">
        <v>45876.0</v>
      </c>
      <c r="B445" s="787">
        <v>2508196.0</v>
      </c>
      <c r="C445" s="788" t="s">
        <v>10136</v>
      </c>
      <c r="D445" s="789" t="s">
        <v>4377</v>
      </c>
      <c r="E445" s="790" t="str">
        <f>IFERROR(VLOOKUP(D445,Stock,3,FALSE),"")</f>
        <v>Nissan Serena 19- MKV C27</v>
      </c>
      <c r="F445" s="788">
        <v>1.0</v>
      </c>
      <c r="G445" s="811">
        <v>1427350.0</v>
      </c>
      <c r="H445" s="800">
        <v>1472350.0</v>
      </c>
      <c r="I445" s="800"/>
      <c r="J445" s="812"/>
      <c r="K445" s="848" t="s">
        <v>3191</v>
      </c>
      <c r="L445" s="802" t="s">
        <v>10137</v>
      </c>
      <c r="M445" s="833" t="s">
        <v>2763</v>
      </c>
      <c r="N445" s="837">
        <v>45917.0</v>
      </c>
      <c r="O445" s="803"/>
    </row>
    <row r="446" ht="15.0" customHeight="1">
      <c r="A446" s="786">
        <v>45876.0</v>
      </c>
      <c r="B446" s="787">
        <v>2508196.0</v>
      </c>
      <c r="C446" s="788" t="s">
        <v>10136</v>
      </c>
      <c r="D446" s="789" t="s">
        <v>2952</v>
      </c>
      <c r="E446" s="790" t="str">
        <f>IFERROR(VLOOKUP(D446,Stock,3,FALSE),"")</f>
        <v/>
      </c>
      <c r="F446" s="788">
        <v>1.0</v>
      </c>
      <c r="G446" s="811">
        <v>416900.0</v>
      </c>
      <c r="H446" s="799">
        <f t="shared" ref="H446:H1460" si="7">G446*F446</f>
        <v>416900</v>
      </c>
      <c r="I446" s="800"/>
      <c r="J446" s="812"/>
      <c r="K446" s="848" t="s">
        <v>3191</v>
      </c>
      <c r="L446" s="802" t="s">
        <v>10137</v>
      </c>
      <c r="M446" s="833" t="s">
        <v>2763</v>
      </c>
      <c r="N446" s="837">
        <v>45917.0</v>
      </c>
      <c r="O446" s="803"/>
    </row>
    <row r="447" ht="15.0" customHeight="1">
      <c r="A447" s="786">
        <v>45876.0</v>
      </c>
      <c r="B447" s="787">
        <v>2508196.0</v>
      </c>
      <c r="C447" s="788" t="s">
        <v>10136</v>
      </c>
      <c r="D447" s="789" t="s">
        <v>4317</v>
      </c>
      <c r="E447" s="790" t="str">
        <f>IFERROR(VLOOKUP(D447,Stock,3,FALSE),"")</f>
        <v>Wuling Confero (Tanpa Spionnya)</v>
      </c>
      <c r="F447" s="788">
        <v>2.0</v>
      </c>
      <c r="G447" s="811">
        <v>627000.0</v>
      </c>
      <c r="H447" s="799">
        <f t="shared" si="7"/>
        <v>1254000</v>
      </c>
      <c r="I447" s="800"/>
      <c r="J447" s="812"/>
      <c r="K447" s="848" t="s">
        <v>3191</v>
      </c>
      <c r="L447" s="802" t="s">
        <v>10137</v>
      </c>
      <c r="M447" s="833" t="s">
        <v>2763</v>
      </c>
      <c r="N447" s="837">
        <v>45917.0</v>
      </c>
      <c r="O447" s="803"/>
    </row>
    <row r="448" ht="15.0" customHeight="1">
      <c r="A448" s="786">
        <v>45876.0</v>
      </c>
      <c r="B448" s="787">
        <v>2508196.0</v>
      </c>
      <c r="C448" s="788" t="s">
        <v>10136</v>
      </c>
      <c r="D448" s="789" t="s">
        <v>2792</v>
      </c>
      <c r="E448" s="790" t="str">
        <f>IFERROR(VLOOKUP(D448,Stock,3,FALSE),"")</f>
        <v>Toyota Calya / Sigra 16-</v>
      </c>
      <c r="F448" s="788">
        <v>1.0</v>
      </c>
      <c r="G448" s="811">
        <v>339900.0</v>
      </c>
      <c r="H448" s="799">
        <f t="shared" si="7"/>
        <v>339900</v>
      </c>
      <c r="I448" s="800"/>
      <c r="J448" s="812"/>
      <c r="K448" s="848" t="s">
        <v>3191</v>
      </c>
      <c r="L448" s="802" t="s">
        <v>10137</v>
      </c>
      <c r="M448" s="833" t="s">
        <v>2763</v>
      </c>
      <c r="N448" s="837">
        <v>45917.0</v>
      </c>
      <c r="O448" s="803"/>
    </row>
    <row r="449" ht="15.0" customHeight="1">
      <c r="A449" s="786">
        <v>45876.0</v>
      </c>
      <c r="B449" s="787">
        <v>2508196.0</v>
      </c>
      <c r="C449" s="788" t="s">
        <v>10136</v>
      </c>
      <c r="D449" s="789" t="s">
        <v>3727</v>
      </c>
      <c r="E449" s="790" t="str">
        <f>IFERROR(VLOOKUP(D449,Stock,3,FALSE),"")</f>
        <v>Toyota Innova 15- 2nd Gen</v>
      </c>
      <c r="F449" s="788">
        <v>1.0</v>
      </c>
      <c r="G449" s="811">
        <v>750200.0</v>
      </c>
      <c r="H449" s="799">
        <f t="shared" si="7"/>
        <v>750200</v>
      </c>
      <c r="I449" s="800"/>
      <c r="J449" s="812"/>
      <c r="K449" s="848" t="s">
        <v>3191</v>
      </c>
      <c r="L449" s="802" t="s">
        <v>10137</v>
      </c>
      <c r="M449" s="833" t="s">
        <v>2763</v>
      </c>
      <c r="N449" s="837">
        <v>45917.0</v>
      </c>
      <c r="O449" s="803"/>
    </row>
    <row r="450" ht="15.0" customHeight="1">
      <c r="A450" s="786">
        <v>45876.0</v>
      </c>
      <c r="B450" s="787">
        <v>2508196.0</v>
      </c>
      <c r="C450" s="788" t="s">
        <v>10136</v>
      </c>
      <c r="D450" s="789" t="s">
        <v>4380</v>
      </c>
      <c r="E450" s="790" t="str">
        <f>IFERROR(VLOOKUP(D450,Stock,3,FALSE),"")</f>
        <v>Nissan Livina 07-12 L10 (Tanpa Lubang)</v>
      </c>
      <c r="F450" s="788">
        <v>1.0</v>
      </c>
      <c r="G450" s="811">
        <v>466950.0</v>
      </c>
      <c r="H450" s="799">
        <f t="shared" si="7"/>
        <v>466950</v>
      </c>
      <c r="I450" s="800"/>
      <c r="J450" s="812"/>
      <c r="K450" s="848" t="s">
        <v>3191</v>
      </c>
      <c r="L450" s="802" t="s">
        <v>10137</v>
      </c>
      <c r="M450" s="833" t="s">
        <v>2763</v>
      </c>
      <c r="N450" s="837">
        <v>45917.0</v>
      </c>
      <c r="O450" s="803"/>
    </row>
    <row r="451" ht="15.0" customHeight="1">
      <c r="A451" s="786">
        <v>45876.0</v>
      </c>
      <c r="B451" s="787">
        <v>2508196.0</v>
      </c>
      <c r="C451" s="788" t="s">
        <v>10136</v>
      </c>
      <c r="D451" s="789" t="s">
        <v>4322</v>
      </c>
      <c r="E451" s="790" t="str">
        <f>IFERROR(VLOOKUP(D451,Stock,3,FALSE),"")</f>
        <v>Nissan Livina 13-18 L11 (Lubang)</v>
      </c>
      <c r="F451" s="788">
        <v>1.0</v>
      </c>
      <c r="G451" s="811">
        <v>525250.0</v>
      </c>
      <c r="H451" s="799">
        <f t="shared" si="7"/>
        <v>525250</v>
      </c>
      <c r="I451" s="800"/>
      <c r="J451" s="812"/>
      <c r="K451" s="848" t="s">
        <v>3191</v>
      </c>
      <c r="L451" s="802" t="s">
        <v>10137</v>
      </c>
      <c r="M451" s="833" t="s">
        <v>2763</v>
      </c>
      <c r="N451" s="837">
        <v>45917.0</v>
      </c>
      <c r="O451" s="803"/>
    </row>
    <row r="452" ht="15.0" customHeight="1">
      <c r="A452" s="786">
        <v>45877.0</v>
      </c>
      <c r="B452" s="787">
        <v>2508226.0</v>
      </c>
      <c r="C452" s="788" t="s">
        <v>10136</v>
      </c>
      <c r="D452" s="789" t="s">
        <v>4327</v>
      </c>
      <c r="E452" s="790" t="str">
        <f>IFERROR(VLOOKUP(D452,Stock,3,FALSE),"")</f>
        <v>Isuzu Giga Long (PS240,285) FVR34 (Lebar 215cm)</v>
      </c>
      <c r="F452" s="788">
        <v>1.0</v>
      </c>
      <c r="G452" s="811">
        <v>1043900.0</v>
      </c>
      <c r="H452" s="799">
        <f t="shared" si="7"/>
        <v>1043900</v>
      </c>
      <c r="I452" s="800"/>
      <c r="J452" s="812"/>
      <c r="K452" s="848" t="s">
        <v>3191</v>
      </c>
      <c r="L452" s="802" t="s">
        <v>10137</v>
      </c>
      <c r="M452" s="833" t="s">
        <v>2763</v>
      </c>
      <c r="N452" s="837">
        <v>45917.0</v>
      </c>
      <c r="O452" s="803"/>
    </row>
    <row r="453" ht="15.0" customHeight="1">
      <c r="A453" s="786">
        <v>45877.0</v>
      </c>
      <c r="B453" s="787" t="s">
        <v>10322</v>
      </c>
      <c r="C453" s="788" t="s">
        <v>2643</v>
      </c>
      <c r="D453" s="789" t="s">
        <v>4375</v>
      </c>
      <c r="E453" s="790" t="str">
        <f>IFERROR(VLOOKUP(D453,Stock,3,FALSE),"")</f>
        <v>Mitsubishi Pajero 16- (Mitsubishi)</v>
      </c>
      <c r="F453" s="788">
        <v>3.0</v>
      </c>
      <c r="G453" s="811">
        <v>1080000.0</v>
      </c>
      <c r="H453" s="799">
        <f t="shared" si="7"/>
        <v>3240000</v>
      </c>
      <c r="I453" s="800"/>
      <c r="J453" s="812"/>
      <c r="K453" s="848" t="s">
        <v>3191</v>
      </c>
      <c r="L453" s="802" t="s">
        <v>10137</v>
      </c>
      <c r="M453" s="833" t="s">
        <v>2763</v>
      </c>
      <c r="N453" s="837">
        <v>45930.0</v>
      </c>
      <c r="O453" s="803"/>
    </row>
    <row r="454" ht="15.0" customHeight="1">
      <c r="A454" s="786">
        <v>45876.0</v>
      </c>
      <c r="B454" s="787" t="s">
        <v>10323</v>
      </c>
      <c r="C454" s="788" t="s">
        <v>10139</v>
      </c>
      <c r="D454" s="789" t="s">
        <v>4307</v>
      </c>
      <c r="E454" s="790" t="str">
        <f>IFERROR(VLOOKUP(D454,Stock,3,FALSE),"")</f>
        <v>Honda City 02-08 4th Gen Idsi GD8 (4 Colokan)</v>
      </c>
      <c r="F454" s="788">
        <v>1.0</v>
      </c>
      <c r="G454" s="811">
        <v>1041525.0</v>
      </c>
      <c r="H454" s="799">
        <f t="shared" si="7"/>
        <v>1041525</v>
      </c>
      <c r="I454" s="800"/>
      <c r="J454" s="812"/>
      <c r="K454" s="848" t="s">
        <v>3191</v>
      </c>
      <c r="L454" s="802" t="s">
        <v>10137</v>
      </c>
      <c r="M454" s="806" t="s">
        <v>2763</v>
      </c>
      <c r="N454" s="837">
        <v>45878.0</v>
      </c>
      <c r="O454" s="803"/>
    </row>
    <row r="455" ht="15.0" customHeight="1">
      <c r="A455" s="786">
        <v>45876.0</v>
      </c>
      <c r="B455" s="787" t="s">
        <v>10323</v>
      </c>
      <c r="C455" s="788" t="s">
        <v>10139</v>
      </c>
      <c r="D455" s="789" t="s">
        <v>4312</v>
      </c>
      <c r="E455" s="790" t="str">
        <f>IFERROR(VLOOKUP(D455,Stock,3,FALSE),"")</f>
        <v>Toyota Rush / Terios 06-17</v>
      </c>
      <c r="F455" s="788">
        <v>1.0</v>
      </c>
      <c r="G455" s="811">
        <v>230000.0</v>
      </c>
      <c r="H455" s="799">
        <f t="shared" si="7"/>
        <v>230000</v>
      </c>
      <c r="I455" s="800"/>
      <c r="J455" s="812"/>
      <c r="K455" s="848" t="s">
        <v>3191</v>
      </c>
      <c r="L455" s="802" t="s">
        <v>10137</v>
      </c>
      <c r="M455" s="806" t="s">
        <v>2763</v>
      </c>
      <c r="N455" s="837">
        <v>45878.0</v>
      </c>
      <c r="O455" s="803"/>
    </row>
    <row r="456" ht="15.0" customHeight="1">
      <c r="A456" s="786">
        <v>45880.0</v>
      </c>
      <c r="B456" s="787" t="s">
        <v>10324</v>
      </c>
      <c r="C456" s="788" t="s">
        <v>10139</v>
      </c>
      <c r="D456" s="789" t="s">
        <v>3858</v>
      </c>
      <c r="E456" s="790" t="str">
        <f>IFERROR(VLOOKUP(D456,Stock,3,FALSE),"")</f>
        <v>Daihatsu Luxio 07-</v>
      </c>
      <c r="F456" s="788">
        <v>1.0</v>
      </c>
      <c r="G456" s="811">
        <v>475000.0</v>
      </c>
      <c r="H456" s="799">
        <f t="shared" si="7"/>
        <v>475000</v>
      </c>
      <c r="I456" s="800"/>
      <c r="J456" s="812"/>
      <c r="K456" s="848" t="s">
        <v>3191</v>
      </c>
      <c r="L456" s="802" t="s">
        <v>10137</v>
      </c>
      <c r="M456" s="806" t="s">
        <v>2763</v>
      </c>
      <c r="N456" s="837">
        <v>45882.0</v>
      </c>
      <c r="O456" s="803"/>
    </row>
    <row r="457" ht="15.0" customHeight="1">
      <c r="A457" s="786">
        <v>45877.0</v>
      </c>
      <c r="B457" s="787">
        <v>2508214.0</v>
      </c>
      <c r="C457" s="788" t="s">
        <v>10136</v>
      </c>
      <c r="D457" s="789" t="s">
        <v>3595</v>
      </c>
      <c r="E457" s="790" t="str">
        <f>IFERROR(VLOOKUP(D457,Stock,3,FALSE),"")</f>
        <v>Nissan X-Trail 07-13 T31</v>
      </c>
      <c r="F457" s="788">
        <v>1.0</v>
      </c>
      <c r="G457" s="811">
        <v>785400.0</v>
      </c>
      <c r="H457" s="799">
        <f t="shared" si="7"/>
        <v>785400</v>
      </c>
      <c r="I457" s="800"/>
      <c r="J457" s="812"/>
      <c r="K457" s="813"/>
      <c r="L457" s="802" t="s">
        <v>10137</v>
      </c>
      <c r="M457" s="806" t="s">
        <v>2763</v>
      </c>
      <c r="N457" s="837">
        <v>45930.0</v>
      </c>
      <c r="O457" s="803"/>
    </row>
    <row r="458" ht="15.0" customHeight="1">
      <c r="A458" s="786">
        <v>45877.0</v>
      </c>
      <c r="B458" s="787">
        <v>2508214.0</v>
      </c>
      <c r="C458" s="788" t="s">
        <v>10136</v>
      </c>
      <c r="D458" s="789" t="s">
        <v>4379</v>
      </c>
      <c r="E458" s="790" t="str">
        <f>IFERROR(VLOOKUP(D458,Stock,3,FALSE),"")</f>
        <v>Toyota Yaris 13- 2nd Gen / Vios 14- 3rd Gen</v>
      </c>
      <c r="F458" s="788">
        <v>1.0</v>
      </c>
      <c r="G458" s="811">
        <v>725450.0</v>
      </c>
      <c r="H458" s="799">
        <f t="shared" si="7"/>
        <v>725450</v>
      </c>
      <c r="I458" s="800"/>
      <c r="J458" s="812"/>
      <c r="K458" s="813"/>
      <c r="L458" s="802" t="s">
        <v>10137</v>
      </c>
      <c r="M458" s="806" t="s">
        <v>2763</v>
      </c>
      <c r="N458" s="837">
        <v>45930.0</v>
      </c>
      <c r="O458" s="803"/>
    </row>
    <row r="459" ht="15.0" customHeight="1">
      <c r="A459" s="786">
        <v>45877.0</v>
      </c>
      <c r="B459" s="787">
        <v>2508214.0</v>
      </c>
      <c r="C459" s="788" t="s">
        <v>10136</v>
      </c>
      <c r="D459" s="789" t="s">
        <v>4381</v>
      </c>
      <c r="E459" s="790" t="str">
        <f>IFERROR(VLOOKUP(D459,Stock,3,FALSE),"")</f>
        <v>Toyota Fortuner 15- 2nd Gen</v>
      </c>
      <c r="F459" s="788">
        <v>1.0</v>
      </c>
      <c r="G459" s="811">
        <v>459250.0</v>
      </c>
      <c r="H459" s="799">
        <f t="shared" si="7"/>
        <v>459250</v>
      </c>
      <c r="I459" s="800"/>
      <c r="J459" s="812"/>
      <c r="K459" s="813"/>
      <c r="L459" s="802" t="s">
        <v>10137</v>
      </c>
      <c r="M459" s="806" t="s">
        <v>2763</v>
      </c>
      <c r="N459" s="837">
        <v>45930.0</v>
      </c>
      <c r="O459" s="803"/>
    </row>
    <row r="460" ht="15.0" customHeight="1">
      <c r="A460" s="786">
        <v>45877.0</v>
      </c>
      <c r="B460" s="787">
        <v>2508214.0</v>
      </c>
      <c r="C460" s="788" t="s">
        <v>10136</v>
      </c>
      <c r="D460" s="789" t="s">
        <v>3935</v>
      </c>
      <c r="E460" s="790" t="str">
        <f>IFERROR(VLOOKUP(D460,Stock,3,FALSE),"")</f>
        <v>Hyundai Creta 22- </v>
      </c>
      <c r="F460" s="788">
        <v>1.0</v>
      </c>
      <c r="G460" s="811">
        <v>1072500.0</v>
      </c>
      <c r="H460" s="799">
        <f t="shared" si="7"/>
        <v>1072500</v>
      </c>
      <c r="I460" s="800"/>
      <c r="J460" s="812"/>
      <c r="K460" s="813"/>
      <c r="L460" s="802" t="s">
        <v>10137</v>
      </c>
      <c r="M460" s="806" t="s">
        <v>2763</v>
      </c>
      <c r="N460" s="837">
        <v>45930.0</v>
      </c>
      <c r="O460" s="803"/>
    </row>
    <row r="461" ht="15.0" customHeight="1">
      <c r="A461" s="786">
        <v>45877.0</v>
      </c>
      <c r="B461" s="787">
        <v>2508214.0</v>
      </c>
      <c r="C461" s="788" t="s">
        <v>10136</v>
      </c>
      <c r="D461" s="789" t="s">
        <v>4342</v>
      </c>
      <c r="E461" s="790" t="str">
        <f>IFERROR(VLOOKUP(D461,Stock,3,FALSE),"")</f>
        <v>Toyota Voxy 17- (Hitam)</v>
      </c>
      <c r="F461" s="788">
        <v>1.0</v>
      </c>
      <c r="G461" s="811">
        <v>1521850.0</v>
      </c>
      <c r="H461" s="799">
        <f t="shared" si="7"/>
        <v>1521850</v>
      </c>
      <c r="I461" s="800"/>
      <c r="J461" s="812"/>
      <c r="K461" s="813"/>
      <c r="L461" s="802" t="s">
        <v>10137</v>
      </c>
      <c r="M461" s="806" t="s">
        <v>2763</v>
      </c>
      <c r="N461" s="837">
        <v>45930.0</v>
      </c>
      <c r="O461" s="803"/>
    </row>
    <row r="462" ht="15.0" customHeight="1">
      <c r="A462" s="786">
        <v>45877.0</v>
      </c>
      <c r="B462" s="787">
        <v>2508214.0</v>
      </c>
      <c r="C462" s="788" t="s">
        <v>10136</v>
      </c>
      <c r="D462" s="789" t="s">
        <v>4380</v>
      </c>
      <c r="E462" s="790" t="str">
        <f>IFERROR(VLOOKUP(D462,Stock,3,FALSE),"")</f>
        <v>Nissan Livina 07-12 L10 (Tanpa Lubang)</v>
      </c>
      <c r="F462" s="788">
        <v>1.0</v>
      </c>
      <c r="G462" s="811">
        <v>466950.0</v>
      </c>
      <c r="H462" s="799">
        <f t="shared" si="7"/>
        <v>466950</v>
      </c>
      <c r="I462" s="800"/>
      <c r="J462" s="812"/>
      <c r="K462" s="813"/>
      <c r="L462" s="802" t="s">
        <v>10137</v>
      </c>
      <c r="M462" s="806" t="s">
        <v>2763</v>
      </c>
      <c r="N462" s="837">
        <v>45930.0</v>
      </c>
      <c r="O462" s="803"/>
    </row>
    <row r="463" ht="15.0" customHeight="1">
      <c r="A463" s="786">
        <v>45878.0</v>
      </c>
      <c r="B463" s="787" t="s">
        <v>10325</v>
      </c>
      <c r="C463" s="788" t="s">
        <v>2643</v>
      </c>
      <c r="D463" s="789" t="s">
        <v>7321</v>
      </c>
      <c r="E463" s="790" t="str">
        <f>IFERROR(VLOOKUP(D463,Stock,3,FALSE),"")</f>
        <v>Honda HR-V 14-21 5D SUV (Honda)</v>
      </c>
      <c r="F463" s="788">
        <v>1.0</v>
      </c>
      <c r="G463" s="811">
        <v>405372.0</v>
      </c>
      <c r="H463" s="799">
        <f t="shared" si="7"/>
        <v>405372</v>
      </c>
      <c r="I463" s="800"/>
      <c r="J463" s="812"/>
      <c r="K463" s="848" t="s">
        <v>3191</v>
      </c>
      <c r="L463" s="802" t="s">
        <v>10137</v>
      </c>
      <c r="M463" s="806" t="s">
        <v>2763</v>
      </c>
      <c r="N463" s="854">
        <v>45944.0</v>
      </c>
      <c r="O463" s="803"/>
    </row>
    <row r="464" ht="15.0" customHeight="1">
      <c r="A464" s="786">
        <v>45878.0</v>
      </c>
      <c r="B464" s="787" t="s">
        <v>10325</v>
      </c>
      <c r="C464" s="788" t="s">
        <v>2643</v>
      </c>
      <c r="D464" s="789" t="s">
        <v>3354</v>
      </c>
      <c r="E464" s="790" t="str">
        <f>IFERROR(VLOOKUP(D464,Stock,3,FALSE),"")</f>
        <v>Honda Brio 10- / Mobilio 11- (Honda)</v>
      </c>
      <c r="F464" s="788">
        <v>5.0</v>
      </c>
      <c r="G464" s="811">
        <v>717948.0</v>
      </c>
      <c r="H464" s="799">
        <f t="shared" si="7"/>
        <v>3589740</v>
      </c>
      <c r="I464" s="800"/>
      <c r="J464" s="812"/>
      <c r="K464" s="848" t="s">
        <v>3191</v>
      </c>
      <c r="L464" s="802" t="s">
        <v>10137</v>
      </c>
      <c r="M464" s="806" t="s">
        <v>2763</v>
      </c>
      <c r="N464" s="854">
        <v>45944.0</v>
      </c>
      <c r="O464" s="803"/>
    </row>
    <row r="465" ht="15.0" customHeight="1">
      <c r="A465" s="786">
        <v>45878.0</v>
      </c>
      <c r="B465" s="787" t="s">
        <v>10325</v>
      </c>
      <c r="C465" s="788" t="s">
        <v>2643</v>
      </c>
      <c r="D465" s="789" t="s">
        <v>5473</v>
      </c>
      <c r="E465" s="790" t="str">
        <f>IFERROR(VLOOKUP(D465,Stock,3,FALSE),"")</f>
        <v>Honda HR-V 14-21 5D SUV (Honda)</v>
      </c>
      <c r="F465" s="788">
        <v>1.0</v>
      </c>
      <c r="G465" s="811">
        <v>371184.0</v>
      </c>
      <c r="H465" s="799">
        <f t="shared" si="7"/>
        <v>371184</v>
      </c>
      <c r="I465" s="800"/>
      <c r="J465" s="812"/>
      <c r="K465" s="848" t="s">
        <v>3191</v>
      </c>
      <c r="L465" s="802" t="s">
        <v>10137</v>
      </c>
      <c r="M465" s="806" t="s">
        <v>2763</v>
      </c>
      <c r="N465" s="854">
        <v>45944.0</v>
      </c>
      <c r="O465" s="803"/>
    </row>
    <row r="466" ht="15.0" customHeight="1">
      <c r="A466" s="786">
        <v>45878.0</v>
      </c>
      <c r="B466" s="787" t="s">
        <v>10325</v>
      </c>
      <c r="C466" s="788" t="s">
        <v>2643</v>
      </c>
      <c r="D466" s="789" t="s">
        <v>6482</v>
      </c>
      <c r="E466" s="790" t="str">
        <f>IFERROR(VLOOKUP(D466,Stock,3,FALSE),"")</f>
        <v>Honda Mobilio 14- / Honda BR-V 16-21 (Honda)</v>
      </c>
      <c r="F466" s="788">
        <v>1.0</v>
      </c>
      <c r="G466" s="811">
        <v>214896.0</v>
      </c>
      <c r="H466" s="799">
        <f t="shared" si="7"/>
        <v>214896</v>
      </c>
      <c r="I466" s="800"/>
      <c r="J466" s="812"/>
      <c r="K466" s="848" t="s">
        <v>3191</v>
      </c>
      <c r="L466" s="802" t="s">
        <v>10137</v>
      </c>
      <c r="M466" s="806" t="s">
        <v>2763</v>
      </c>
      <c r="N466" s="854">
        <v>45944.0</v>
      </c>
      <c r="O466" s="803"/>
    </row>
    <row r="467" ht="15.0" customHeight="1">
      <c r="A467" s="786">
        <v>45880.0</v>
      </c>
      <c r="B467" s="787" t="s">
        <v>10326</v>
      </c>
      <c r="C467" s="788" t="s">
        <v>10148</v>
      </c>
      <c r="D467" s="789" t="s">
        <v>4375</v>
      </c>
      <c r="E467" s="790" t="str">
        <f>IFERROR(VLOOKUP(D467,Stock,3,FALSE),"")</f>
        <v>Mitsubishi Pajero 16- (Mitsubishi)</v>
      </c>
      <c r="F467" s="788">
        <v>1.0</v>
      </c>
      <c r="G467" s="811"/>
      <c r="H467" s="799">
        <f t="shared" si="7"/>
        <v>0</v>
      </c>
      <c r="I467" s="800"/>
      <c r="J467" s="812"/>
      <c r="K467" s="813"/>
      <c r="L467" s="805"/>
      <c r="M467" s="803"/>
      <c r="N467" s="803"/>
      <c r="O467" s="803"/>
    </row>
    <row r="468" ht="15.0" customHeight="1">
      <c r="A468" s="786">
        <v>45880.0</v>
      </c>
      <c r="B468" s="787" t="s">
        <v>10326</v>
      </c>
      <c r="C468" s="788" t="s">
        <v>10148</v>
      </c>
      <c r="D468" s="789" t="s">
        <v>3515</v>
      </c>
      <c r="E468" s="790" t="str">
        <f>IFERROR(VLOOKUP(D468,Stock,3,FALSE),"")</f>
        <v>Suzuki Ertiga 18- 2nd Gen / XL7 (Suzuki)</v>
      </c>
      <c r="F468" s="788">
        <v>2.0</v>
      </c>
      <c r="G468" s="811"/>
      <c r="H468" s="799">
        <f t="shared" si="7"/>
        <v>0</v>
      </c>
      <c r="I468" s="800"/>
      <c r="J468" s="812"/>
      <c r="K468" s="813"/>
      <c r="L468" s="805"/>
      <c r="M468" s="803"/>
      <c r="N468" s="803"/>
      <c r="O468" s="803"/>
    </row>
    <row r="469" ht="15.0" customHeight="1">
      <c r="A469" s="786">
        <v>45880.0</v>
      </c>
      <c r="B469" s="787" t="s">
        <v>10326</v>
      </c>
      <c r="C469" s="788" t="s">
        <v>10148</v>
      </c>
      <c r="D469" s="789" t="s">
        <v>6230</v>
      </c>
      <c r="E469" s="790" t="str">
        <f>IFERROR(VLOOKUP(D469,Stock,3,FALSE),"")</f>
        <v>Mitsubishi Canter FE700 01- (PS110,125)</v>
      </c>
      <c r="F469" s="788">
        <v>1.0</v>
      </c>
      <c r="G469" s="811"/>
      <c r="H469" s="799">
        <f t="shared" si="7"/>
        <v>0</v>
      </c>
      <c r="I469" s="800"/>
      <c r="J469" s="812"/>
      <c r="K469" s="813"/>
      <c r="L469" s="805"/>
      <c r="M469" s="803"/>
      <c r="N469" s="803"/>
      <c r="O469" s="803"/>
    </row>
    <row r="470" ht="15.0" customHeight="1">
      <c r="A470" s="786">
        <v>45880.0</v>
      </c>
      <c r="B470" s="787" t="s">
        <v>10326</v>
      </c>
      <c r="C470" s="788" t="s">
        <v>10148</v>
      </c>
      <c r="D470" s="789" t="s">
        <v>3354</v>
      </c>
      <c r="E470" s="790" t="str">
        <f>IFERROR(VLOOKUP(D470,Stock,3,FALSE),"")</f>
        <v>Honda Brio 10- / Mobilio 11- (Honda)</v>
      </c>
      <c r="F470" s="788">
        <v>2.0</v>
      </c>
      <c r="G470" s="811"/>
      <c r="H470" s="799">
        <f t="shared" si="7"/>
        <v>0</v>
      </c>
      <c r="I470" s="800"/>
      <c r="J470" s="812"/>
      <c r="K470" s="813"/>
      <c r="L470" s="805"/>
      <c r="M470" s="803"/>
      <c r="N470" s="803"/>
      <c r="O470" s="803"/>
    </row>
    <row r="471" ht="15.0" customHeight="1">
      <c r="A471" s="786">
        <v>45880.0</v>
      </c>
      <c r="B471" s="787" t="s">
        <v>10326</v>
      </c>
      <c r="C471" s="788" t="s">
        <v>10148</v>
      </c>
      <c r="D471" s="789" t="s">
        <v>3052</v>
      </c>
      <c r="E471" s="790" t="str">
        <f>IFERROR(VLOOKUP(D471,Stock,3,FALSE),"")</f>
        <v>Honda City 19- GN</v>
      </c>
      <c r="F471" s="788">
        <v>1.0</v>
      </c>
      <c r="G471" s="811"/>
      <c r="H471" s="799">
        <f t="shared" si="7"/>
        <v>0</v>
      </c>
      <c r="I471" s="800"/>
      <c r="J471" s="812"/>
      <c r="K471" s="813"/>
      <c r="L471" s="805"/>
      <c r="M471" s="803"/>
      <c r="N471" s="803"/>
      <c r="O471" s="803"/>
    </row>
    <row r="472" ht="15.0" customHeight="1">
      <c r="A472" s="786">
        <v>45880.0</v>
      </c>
      <c r="B472" s="787" t="s">
        <v>10327</v>
      </c>
      <c r="C472" s="788" t="s">
        <v>2643</v>
      </c>
      <c r="D472" s="789" t="s">
        <v>4504</v>
      </c>
      <c r="E472" s="790" t="str">
        <f>IFERROR(VLOOKUP(D472,Stock,3,FALSE),"")</f>
        <v>Mitsubishi Xpander 17-21 / Livina 19- 2nd Gen (Mitsubishi)</v>
      </c>
      <c r="F472" s="788">
        <v>2.0</v>
      </c>
      <c r="G472" s="811">
        <v>423000.7</v>
      </c>
      <c r="H472" s="799">
        <f t="shared" si="7"/>
        <v>846001.4</v>
      </c>
      <c r="I472" s="800"/>
      <c r="J472" s="812"/>
      <c r="K472" s="848" t="s">
        <v>3191</v>
      </c>
      <c r="L472" s="802" t="s">
        <v>10137</v>
      </c>
      <c r="M472" s="806" t="s">
        <v>2763</v>
      </c>
      <c r="N472" s="854">
        <v>45944.0</v>
      </c>
      <c r="O472" s="803"/>
    </row>
    <row r="473" ht="15.0" customHeight="1">
      <c r="A473" s="786">
        <v>45880.0</v>
      </c>
      <c r="B473" s="787" t="s">
        <v>10327</v>
      </c>
      <c r="C473" s="788" t="s">
        <v>2643</v>
      </c>
      <c r="D473" s="789" t="s">
        <v>4434</v>
      </c>
      <c r="E473" s="790" t="str">
        <f>IFERROR(VLOOKUP(D473,Stock,3,FALSE),"")</f>
        <v>Mitsubishi Xpander 17-21 / Livina 19- 2nd Gen</v>
      </c>
      <c r="F473" s="788">
        <v>2.0</v>
      </c>
      <c r="G473" s="811">
        <v>377999.5</v>
      </c>
      <c r="H473" s="799">
        <f t="shared" si="7"/>
        <v>755999</v>
      </c>
      <c r="I473" s="800"/>
      <c r="J473" s="812"/>
      <c r="K473" s="848" t="s">
        <v>3191</v>
      </c>
      <c r="L473" s="802" t="s">
        <v>10137</v>
      </c>
      <c r="M473" s="806" t="s">
        <v>2763</v>
      </c>
      <c r="N473" s="854">
        <v>45944.0</v>
      </c>
      <c r="O473" s="803"/>
    </row>
    <row r="474" ht="15.0" customHeight="1">
      <c r="A474" s="786">
        <v>45880.0</v>
      </c>
      <c r="B474" s="787" t="s">
        <v>10327</v>
      </c>
      <c r="C474" s="788" t="s">
        <v>2643</v>
      </c>
      <c r="D474" s="789" t="s">
        <v>3424</v>
      </c>
      <c r="E474" s="790" t="str">
        <f>IFERROR(VLOOKUP(D474,Stock,3,FALSE),"")</f>
        <v>Mitsubishi Xpander 22-  (Mitsubishi)</v>
      </c>
      <c r="F474" s="788">
        <v>2.0</v>
      </c>
      <c r="G474" s="811">
        <v>435600.0</v>
      </c>
      <c r="H474" s="799">
        <f t="shared" si="7"/>
        <v>871200</v>
      </c>
      <c r="I474" s="800"/>
      <c r="J474" s="812"/>
      <c r="K474" s="848" t="s">
        <v>3191</v>
      </c>
      <c r="L474" s="802" t="s">
        <v>10137</v>
      </c>
      <c r="M474" s="806" t="s">
        <v>2763</v>
      </c>
      <c r="N474" s="854">
        <v>45944.0</v>
      </c>
      <c r="O474" s="803"/>
    </row>
    <row r="475" ht="15.0" customHeight="1">
      <c r="A475" s="786">
        <v>45881.0</v>
      </c>
      <c r="B475" s="787">
        <v>2508321.0</v>
      </c>
      <c r="C475" s="788" t="s">
        <v>10136</v>
      </c>
      <c r="D475" s="789" t="s">
        <v>4383</v>
      </c>
      <c r="E475" s="790" t="str">
        <f>IFERROR(VLOOKUP(D475,Stock,3,FALSE),"")</f>
        <v>Honda HR-V 14-21 5D SUV</v>
      </c>
      <c r="F475" s="788">
        <v>1.0</v>
      </c>
      <c r="G475" s="811">
        <v>883300.0</v>
      </c>
      <c r="H475" s="799">
        <f t="shared" si="7"/>
        <v>883300</v>
      </c>
      <c r="I475" s="800"/>
      <c r="J475" s="812"/>
      <c r="K475" s="848" t="s">
        <v>10328</v>
      </c>
      <c r="L475" s="802" t="s">
        <v>10137</v>
      </c>
      <c r="M475" s="806" t="s">
        <v>2763</v>
      </c>
      <c r="N475" s="837">
        <v>45930.0</v>
      </c>
      <c r="O475" s="803"/>
    </row>
    <row r="476" ht="15.0" customHeight="1">
      <c r="A476" s="786">
        <v>45881.0</v>
      </c>
      <c r="B476" s="787">
        <v>2508321.0</v>
      </c>
      <c r="C476" s="788" t="s">
        <v>10136</v>
      </c>
      <c r="D476" s="789" t="s">
        <v>2944</v>
      </c>
      <c r="E476" s="790" t="str">
        <f>IFERROR(VLOOKUP(D476,Stock,3,FALSE),"")</f>
        <v>Toyota Innova 04-15 1st Gen</v>
      </c>
      <c r="F476" s="788">
        <v>1.0</v>
      </c>
      <c r="G476" s="811">
        <v>613800.0</v>
      </c>
      <c r="H476" s="799">
        <f t="shared" si="7"/>
        <v>613800</v>
      </c>
      <c r="I476" s="800"/>
      <c r="J476" s="812"/>
      <c r="K476" s="848" t="s">
        <v>10328</v>
      </c>
      <c r="L476" s="802" t="s">
        <v>10137</v>
      </c>
      <c r="M476" s="806" t="s">
        <v>2763</v>
      </c>
      <c r="N476" s="837">
        <v>45930.0</v>
      </c>
      <c r="O476" s="803"/>
    </row>
    <row r="477" ht="15.0" customHeight="1">
      <c r="A477" s="786">
        <v>45881.0</v>
      </c>
      <c r="B477" s="787">
        <v>2508321.0</v>
      </c>
      <c r="C477" s="788" t="s">
        <v>10136</v>
      </c>
      <c r="D477" s="789" t="s">
        <v>4392</v>
      </c>
      <c r="E477" s="790" t="str">
        <f>IFERROR(VLOOKUP(D477,Stock,3,FALSE),"")</f>
        <v>Mitsubishi Grandis 03-11 EZ45/NA4W</v>
      </c>
      <c r="F477" s="788">
        <v>1.0</v>
      </c>
      <c r="G477" s="811">
        <v>1325500.0</v>
      </c>
      <c r="H477" s="799">
        <f t="shared" si="7"/>
        <v>1325500</v>
      </c>
      <c r="I477" s="800"/>
      <c r="J477" s="812"/>
      <c r="K477" s="813"/>
      <c r="L477" s="802" t="s">
        <v>10137</v>
      </c>
      <c r="M477" s="806" t="s">
        <v>2763</v>
      </c>
      <c r="N477" s="837">
        <v>45930.0</v>
      </c>
      <c r="O477" s="803"/>
    </row>
    <row r="478" ht="15.0" customHeight="1">
      <c r="A478" s="786">
        <v>45881.0</v>
      </c>
      <c r="B478" s="787" t="s">
        <v>10329</v>
      </c>
      <c r="C478" s="788" t="s">
        <v>10139</v>
      </c>
      <c r="D478" s="789" t="s">
        <v>4367</v>
      </c>
      <c r="E478" s="790" t="str">
        <f>IFERROR(VLOOKUP(D478,Stock,3,FALSE),"")</f>
        <v>Isuzu Panther 00- 2nd Gen</v>
      </c>
      <c r="F478" s="788">
        <v>1.0</v>
      </c>
      <c r="G478" s="811">
        <v>210000.0</v>
      </c>
      <c r="H478" s="799">
        <f t="shared" si="7"/>
        <v>210000</v>
      </c>
      <c r="I478" s="800"/>
      <c r="J478" s="812"/>
      <c r="K478" s="848" t="s">
        <v>3191</v>
      </c>
      <c r="L478" s="802" t="s">
        <v>10137</v>
      </c>
      <c r="M478" s="806" t="s">
        <v>2763</v>
      </c>
      <c r="N478" s="837">
        <v>45882.0</v>
      </c>
      <c r="O478" s="803"/>
    </row>
    <row r="479" ht="15.0" customHeight="1">
      <c r="A479" s="786">
        <v>45881.0</v>
      </c>
      <c r="B479" s="787" t="s">
        <v>10330</v>
      </c>
      <c r="C479" s="788" t="s">
        <v>2643</v>
      </c>
      <c r="D479" s="789" t="s">
        <v>4226</v>
      </c>
      <c r="E479" s="790" t="str">
        <f>IFERROR(VLOOKUP(D479,Stock,3,FALSE),"")</f>
        <v>Honda HR-V 14-21 5D SUV (Honda)</v>
      </c>
      <c r="F479" s="788">
        <v>2.0</v>
      </c>
      <c r="G479" s="811">
        <v>1611720.0</v>
      </c>
      <c r="H479" s="799">
        <f t="shared" si="7"/>
        <v>3223440</v>
      </c>
      <c r="I479" s="800"/>
      <c r="J479" s="812"/>
      <c r="K479" s="848" t="s">
        <v>3191</v>
      </c>
      <c r="L479" s="802" t="s">
        <v>10137</v>
      </c>
      <c r="M479" s="806" t="s">
        <v>2763</v>
      </c>
      <c r="N479" s="854">
        <v>45944.0</v>
      </c>
      <c r="O479" s="803"/>
    </row>
    <row r="480" ht="15.0" customHeight="1">
      <c r="A480" s="786">
        <v>45881.0</v>
      </c>
      <c r="B480" s="787" t="s">
        <v>10331</v>
      </c>
      <c r="C480" s="788" t="s">
        <v>2643</v>
      </c>
      <c r="D480" s="789" t="s">
        <v>4226</v>
      </c>
      <c r="E480" s="790" t="str">
        <f>IFERROR(VLOOKUP(D480,Stock,3,FALSE),"")</f>
        <v>Honda HR-V 14-21 5D SUV (Honda)</v>
      </c>
      <c r="F480" s="788">
        <v>1.0</v>
      </c>
      <c r="G480" s="811">
        <v>1611720.0</v>
      </c>
      <c r="H480" s="799">
        <f t="shared" si="7"/>
        <v>1611720</v>
      </c>
      <c r="I480" s="800"/>
      <c r="J480" s="812"/>
      <c r="K480" s="848" t="s">
        <v>3191</v>
      </c>
      <c r="L480" s="802" t="s">
        <v>10137</v>
      </c>
      <c r="M480" s="806" t="s">
        <v>2763</v>
      </c>
      <c r="N480" s="854">
        <v>45944.0</v>
      </c>
      <c r="O480" s="803"/>
    </row>
    <row r="481" ht="15.0" customHeight="1">
      <c r="A481" s="786">
        <v>45881.0</v>
      </c>
      <c r="B481" s="787">
        <v>2508361.0</v>
      </c>
      <c r="C481" s="788" t="s">
        <v>10136</v>
      </c>
      <c r="D481" s="789" t="s">
        <v>2952</v>
      </c>
      <c r="E481" s="790" t="str">
        <f>IFERROR(VLOOKUP(D481,Stock,3,FALSE),"")</f>
        <v/>
      </c>
      <c r="F481" s="788">
        <v>2.0</v>
      </c>
      <c r="G481" s="811">
        <v>416900.0</v>
      </c>
      <c r="H481" s="799">
        <f t="shared" si="7"/>
        <v>833800</v>
      </c>
      <c r="I481" s="800"/>
      <c r="J481" s="812"/>
      <c r="K481" s="848" t="s">
        <v>10328</v>
      </c>
      <c r="L481" s="802" t="s">
        <v>10137</v>
      </c>
      <c r="M481" s="806" t="s">
        <v>2763</v>
      </c>
      <c r="N481" s="837">
        <v>45930.0</v>
      </c>
      <c r="O481" s="803"/>
    </row>
    <row r="482" ht="15.0" customHeight="1">
      <c r="A482" s="786">
        <v>45881.0</v>
      </c>
      <c r="B482" s="787">
        <v>2508361.0</v>
      </c>
      <c r="C482" s="788" t="s">
        <v>10136</v>
      </c>
      <c r="D482" s="789" t="s">
        <v>3225</v>
      </c>
      <c r="E482" s="790" t="str">
        <f>IFERROR(VLOOKUP(D482,Stock,3,FALSE),"")</f>
        <v>Toyota Rush / Terios 18-</v>
      </c>
      <c r="F482" s="788">
        <v>2.0</v>
      </c>
      <c r="G482" s="811">
        <v>528000.0</v>
      </c>
      <c r="H482" s="799">
        <f t="shared" si="7"/>
        <v>1056000</v>
      </c>
      <c r="I482" s="800"/>
      <c r="J482" s="812"/>
      <c r="K482" s="848" t="s">
        <v>10328</v>
      </c>
      <c r="L482" s="802" t="s">
        <v>10137</v>
      </c>
      <c r="M482" s="806" t="s">
        <v>2763</v>
      </c>
      <c r="N482" s="837">
        <v>45930.0</v>
      </c>
      <c r="O482" s="803"/>
    </row>
    <row r="483" ht="15.0" customHeight="1">
      <c r="A483" s="786">
        <v>45881.0</v>
      </c>
      <c r="B483" s="787">
        <v>2508361.0</v>
      </c>
      <c r="C483" s="788" t="s">
        <v>10136</v>
      </c>
      <c r="D483" s="789" t="s">
        <v>3700</v>
      </c>
      <c r="E483" s="790" t="str">
        <f>IFERROR(VLOOKUP(D483,Stock,3,FALSE),"")</f>
        <v>Toyota Avanza / Xenia 11-15 2nd Gen / 15-21 3rd Gen</v>
      </c>
      <c r="F483" s="788">
        <v>2.0</v>
      </c>
      <c r="G483" s="811">
        <v>329450.0</v>
      </c>
      <c r="H483" s="799">
        <f t="shared" si="7"/>
        <v>658900</v>
      </c>
      <c r="I483" s="800"/>
      <c r="J483" s="812"/>
      <c r="K483" s="848" t="s">
        <v>10328</v>
      </c>
      <c r="L483" s="802" t="s">
        <v>10137</v>
      </c>
      <c r="M483" s="806" t="s">
        <v>2763</v>
      </c>
      <c r="N483" s="837">
        <v>45930.0</v>
      </c>
      <c r="O483" s="803"/>
    </row>
    <row r="484" ht="15.0" customHeight="1">
      <c r="A484" s="786">
        <v>45881.0</v>
      </c>
      <c r="B484" s="787">
        <v>2508361.0</v>
      </c>
      <c r="C484" s="788" t="s">
        <v>10136</v>
      </c>
      <c r="D484" s="789" t="s">
        <v>4590</v>
      </c>
      <c r="E484" s="790" t="str">
        <f>IFERROR(VLOOKUP(D484,Stock,3,FALSE),"")</f>
        <v>Toyota Avanza / Xenia 11-15 2nd Gen / 15-21 3rd Gen</v>
      </c>
      <c r="F484" s="788">
        <v>1.0</v>
      </c>
      <c r="G484" s="811">
        <v>350350.0</v>
      </c>
      <c r="H484" s="799">
        <f t="shared" si="7"/>
        <v>350350</v>
      </c>
      <c r="I484" s="800"/>
      <c r="J484" s="812"/>
      <c r="K484" s="848" t="s">
        <v>10328</v>
      </c>
      <c r="L484" s="802" t="s">
        <v>10137</v>
      </c>
      <c r="M484" s="806" t="s">
        <v>2763</v>
      </c>
      <c r="N484" s="837">
        <v>45930.0</v>
      </c>
      <c r="O484" s="803"/>
    </row>
    <row r="485" ht="15.0" customHeight="1">
      <c r="A485" s="786">
        <v>45881.0</v>
      </c>
      <c r="B485" s="787">
        <v>2508361.0</v>
      </c>
      <c r="C485" s="788" t="s">
        <v>10136</v>
      </c>
      <c r="D485" s="789" t="s">
        <v>2944</v>
      </c>
      <c r="E485" s="790" t="str">
        <f>IFERROR(VLOOKUP(D485,Stock,3,FALSE),"")</f>
        <v>Toyota Innova 04-15 1st Gen</v>
      </c>
      <c r="F485" s="788">
        <v>1.0</v>
      </c>
      <c r="G485" s="811">
        <v>613800.0</v>
      </c>
      <c r="H485" s="799">
        <f t="shared" si="7"/>
        <v>613800</v>
      </c>
      <c r="I485" s="800"/>
      <c r="J485" s="812"/>
      <c r="K485" s="848" t="s">
        <v>10328</v>
      </c>
      <c r="L485" s="802" t="s">
        <v>10137</v>
      </c>
      <c r="M485" s="806" t="s">
        <v>2763</v>
      </c>
      <c r="N485" s="837">
        <v>45930.0</v>
      </c>
      <c r="O485" s="803"/>
    </row>
    <row r="486" ht="15.0" customHeight="1">
      <c r="A486" s="786">
        <v>45882.0</v>
      </c>
      <c r="B486" s="787">
        <v>2508379.0</v>
      </c>
      <c r="C486" s="788" t="s">
        <v>10136</v>
      </c>
      <c r="D486" s="789" t="s">
        <v>5021</v>
      </c>
      <c r="E486" s="790" t="str">
        <f>IFERROR(VLOOKUP(D486,Stock,3,FALSE),"")</f>
        <v>Toyota Alphard 15-17 ANH30 3rd Gen (Sensor atas keramik)</v>
      </c>
      <c r="F486" s="788">
        <v>1.0</v>
      </c>
      <c r="G486" s="811">
        <v>1797400.0</v>
      </c>
      <c r="H486" s="799">
        <f t="shared" si="7"/>
        <v>1797400</v>
      </c>
      <c r="I486" s="800"/>
      <c r="J486" s="812"/>
      <c r="K486" s="848" t="s">
        <v>10328</v>
      </c>
      <c r="L486" s="802" t="s">
        <v>10137</v>
      </c>
      <c r="M486" s="806" t="s">
        <v>2763</v>
      </c>
      <c r="N486" s="837">
        <v>45930.0</v>
      </c>
      <c r="O486" s="803"/>
    </row>
    <row r="487" ht="15.0" customHeight="1">
      <c r="A487" s="786">
        <v>45882.0</v>
      </c>
      <c r="B487" s="787">
        <v>2508379.0</v>
      </c>
      <c r="C487" s="788" t="s">
        <v>10136</v>
      </c>
      <c r="D487" s="789" t="s">
        <v>3142</v>
      </c>
      <c r="E487" s="790" t="str">
        <f>IFERROR(VLOOKUP(D487,Stock,3,FALSE),"")</f>
        <v>Mitsubishi Xpander 17-</v>
      </c>
      <c r="F487" s="788">
        <v>2.0</v>
      </c>
      <c r="G487" s="811">
        <v>739200.0</v>
      </c>
      <c r="H487" s="799">
        <f t="shared" si="7"/>
        <v>1478400</v>
      </c>
      <c r="I487" s="800"/>
      <c r="J487" s="812"/>
      <c r="K487" s="848" t="s">
        <v>10328</v>
      </c>
      <c r="L487" s="802" t="s">
        <v>10137</v>
      </c>
      <c r="M487" s="806" t="s">
        <v>2763</v>
      </c>
      <c r="N487" s="837">
        <v>45930.0</v>
      </c>
      <c r="O487" s="803"/>
    </row>
    <row r="488" ht="15.0" customHeight="1">
      <c r="A488" s="786">
        <v>45882.0</v>
      </c>
      <c r="B488" s="787">
        <v>2508379.0</v>
      </c>
      <c r="C488" s="788" t="s">
        <v>10136</v>
      </c>
      <c r="D488" s="789" t="s">
        <v>2952</v>
      </c>
      <c r="E488" s="790" t="str">
        <f>IFERROR(VLOOKUP(D488,Stock,3,FALSE),"")</f>
        <v/>
      </c>
      <c r="F488" s="788">
        <v>2.0</v>
      </c>
      <c r="G488" s="811">
        <v>416900.0</v>
      </c>
      <c r="H488" s="799">
        <f t="shared" si="7"/>
        <v>833800</v>
      </c>
      <c r="I488" s="800"/>
      <c r="J488" s="812"/>
      <c r="K488" s="848" t="s">
        <v>10328</v>
      </c>
      <c r="L488" s="802" t="s">
        <v>10137</v>
      </c>
      <c r="M488" s="806" t="s">
        <v>2763</v>
      </c>
      <c r="N488" s="837">
        <v>45930.0</v>
      </c>
      <c r="O488" s="803"/>
    </row>
    <row r="489" ht="15.0" customHeight="1">
      <c r="A489" s="786">
        <v>45882.0</v>
      </c>
      <c r="B489" s="787">
        <v>2508379.0</v>
      </c>
      <c r="C489" s="788" t="s">
        <v>10136</v>
      </c>
      <c r="D489" s="789" t="s">
        <v>4418</v>
      </c>
      <c r="E489" s="790" t="str">
        <f>IFERROR(VLOOKUP(D489,Stock,3,FALSE),"")</f>
        <v>Isuzu Elf 93- NKR NHR</v>
      </c>
      <c r="F489" s="788">
        <v>1.0</v>
      </c>
      <c r="G489" s="811">
        <v>502700.0</v>
      </c>
      <c r="H489" s="799">
        <f t="shared" si="7"/>
        <v>502700</v>
      </c>
      <c r="I489" s="800"/>
      <c r="J489" s="812"/>
      <c r="K489" s="848" t="s">
        <v>10328</v>
      </c>
      <c r="L489" s="802" t="s">
        <v>10137</v>
      </c>
      <c r="M489" s="806" t="s">
        <v>2763</v>
      </c>
      <c r="N489" s="837">
        <v>45930.0</v>
      </c>
      <c r="O489" s="803"/>
    </row>
    <row r="490" ht="15.0" customHeight="1">
      <c r="A490" s="786">
        <v>45882.0</v>
      </c>
      <c r="B490" s="787" t="s">
        <v>10332</v>
      </c>
      <c r="C490" s="788" t="s">
        <v>10139</v>
      </c>
      <c r="D490" s="789" t="s">
        <v>4402</v>
      </c>
      <c r="E490" s="790" t="str">
        <f>IFERROR(VLOOKUP(D490,Stock,3,FALSE),"")</f>
        <v>Mitsubishi Canter FE300 85- (PS100,120,135 kabin kecil)</v>
      </c>
      <c r="F490" s="788">
        <v>10.0</v>
      </c>
      <c r="G490" s="811">
        <v>455700.0</v>
      </c>
      <c r="H490" s="799">
        <f t="shared" si="7"/>
        <v>4557000</v>
      </c>
      <c r="I490" s="800"/>
      <c r="J490" s="812"/>
      <c r="K490" s="848" t="s">
        <v>3191</v>
      </c>
      <c r="L490" s="802" t="s">
        <v>10137</v>
      </c>
      <c r="M490" s="806" t="s">
        <v>2763</v>
      </c>
      <c r="N490" s="837">
        <v>45883.0</v>
      </c>
      <c r="O490" s="803"/>
    </row>
    <row r="491" ht="15.0" customHeight="1">
      <c r="A491" s="786">
        <v>45882.0</v>
      </c>
      <c r="B491" s="787" t="s">
        <v>10333</v>
      </c>
      <c r="C491" s="788" t="s">
        <v>10139</v>
      </c>
      <c r="D491" s="789" t="s">
        <v>4405</v>
      </c>
      <c r="E491" s="790" t="str">
        <f>IFERROR(VLOOKUP(D491,Stock,3,FALSE),"")</f>
        <v>Mitsubishi Canter FE300 85- (PS100,120,135 kabin kecil)</v>
      </c>
      <c r="F491" s="788">
        <v>1.0</v>
      </c>
      <c r="G491" s="811">
        <v>295000.0</v>
      </c>
      <c r="H491" s="799">
        <f t="shared" si="7"/>
        <v>295000</v>
      </c>
      <c r="I491" s="800"/>
      <c r="J491" s="812"/>
      <c r="K491" s="848" t="s">
        <v>3191</v>
      </c>
      <c r="L491" s="802" t="s">
        <v>10137</v>
      </c>
      <c r="M491" s="806" t="s">
        <v>2763</v>
      </c>
      <c r="N491" s="837">
        <v>45883.0</v>
      </c>
      <c r="O491" s="803"/>
    </row>
    <row r="492" ht="15.0" customHeight="1">
      <c r="A492" s="786">
        <v>45882.0</v>
      </c>
      <c r="B492" s="787" t="s">
        <v>10334</v>
      </c>
      <c r="C492" s="788" t="s">
        <v>2643</v>
      </c>
      <c r="D492" s="789" t="s">
        <v>4375</v>
      </c>
      <c r="E492" s="790" t="str">
        <f>IFERROR(VLOOKUP(D492,Stock,3,FALSE),"")</f>
        <v>Mitsubishi Pajero 16- (Mitsubishi)</v>
      </c>
      <c r="F492" s="788">
        <v>2.0</v>
      </c>
      <c r="G492" s="811">
        <v>1080000.0</v>
      </c>
      <c r="H492" s="799">
        <f t="shared" si="7"/>
        <v>2160000</v>
      </c>
      <c r="I492" s="800"/>
      <c r="J492" s="812"/>
      <c r="K492" s="848" t="s">
        <v>3191</v>
      </c>
      <c r="L492" s="802" t="s">
        <v>10137</v>
      </c>
      <c r="M492" s="806" t="s">
        <v>2763</v>
      </c>
      <c r="N492" s="854">
        <v>45944.0</v>
      </c>
      <c r="O492" s="803"/>
    </row>
    <row r="493" ht="15.0" customHeight="1">
      <c r="A493" s="786">
        <v>45883.0</v>
      </c>
      <c r="B493" s="787" t="s">
        <v>10335</v>
      </c>
      <c r="C493" s="788" t="s">
        <v>10336</v>
      </c>
      <c r="D493" s="789" t="s">
        <v>5254</v>
      </c>
      <c r="E493" s="790" t="str">
        <f>IFERROR(VLOOKUP(D493,Stock,3,FALSE),"")</f>
        <v>Automotive Film Standard - Black 40%				</v>
      </c>
      <c r="F493" s="788">
        <v>33.0</v>
      </c>
      <c r="G493" s="811">
        <v>45454.55</v>
      </c>
      <c r="H493" s="799">
        <f t="shared" si="7"/>
        <v>1500000.15</v>
      </c>
      <c r="I493" s="800"/>
      <c r="J493" s="812"/>
      <c r="K493" s="848" t="s">
        <v>3191</v>
      </c>
      <c r="L493" s="802" t="s">
        <v>10137</v>
      </c>
      <c r="M493" s="806" t="s">
        <v>2763</v>
      </c>
      <c r="N493" s="837">
        <v>45883.0</v>
      </c>
      <c r="O493" s="803"/>
    </row>
    <row r="494" ht="15.0" customHeight="1">
      <c r="A494" s="786">
        <v>45883.0</v>
      </c>
      <c r="B494" s="787" t="s">
        <v>10337</v>
      </c>
      <c r="C494" s="788" t="s">
        <v>10139</v>
      </c>
      <c r="D494" s="789" t="s">
        <v>2869</v>
      </c>
      <c r="E494" s="790" t="str">
        <f>IFERROR(VLOOKUP(D494,Stock,3,FALSE),"")</f>
        <v>Daihatsu Gran Max / Luxio 07-</v>
      </c>
      <c r="F494" s="788">
        <v>10.0</v>
      </c>
      <c r="G494" s="811">
        <v>435750.0</v>
      </c>
      <c r="H494" s="799">
        <f t="shared" si="7"/>
        <v>4357500</v>
      </c>
      <c r="I494" s="800"/>
      <c r="J494" s="812"/>
      <c r="K494" s="848" t="s">
        <v>10328</v>
      </c>
      <c r="L494" s="802" t="s">
        <v>10137</v>
      </c>
      <c r="M494" s="806" t="s">
        <v>2763</v>
      </c>
      <c r="N494" s="837">
        <v>45883.0</v>
      </c>
      <c r="O494" s="803"/>
    </row>
    <row r="495" ht="15.0" customHeight="1">
      <c r="A495" s="786">
        <v>45883.0</v>
      </c>
      <c r="B495" s="787" t="s">
        <v>10337</v>
      </c>
      <c r="C495" s="788" t="s">
        <v>10139</v>
      </c>
      <c r="D495" s="789" t="s">
        <v>3113</v>
      </c>
      <c r="E495" s="790" t="str">
        <f>IFERROR(VLOOKUP(D495,Stock,3,FALSE),"")</f>
        <v>Mitsubishi Pajero 16-</v>
      </c>
      <c r="F495" s="788">
        <v>10.0</v>
      </c>
      <c r="G495" s="811">
        <v>533400.0</v>
      </c>
      <c r="H495" s="799">
        <f t="shared" si="7"/>
        <v>5334000</v>
      </c>
      <c r="I495" s="800"/>
      <c r="J495" s="812"/>
      <c r="K495" s="848" t="s">
        <v>10338</v>
      </c>
      <c r="L495" s="802" t="s">
        <v>10137</v>
      </c>
      <c r="M495" s="806" t="s">
        <v>2763</v>
      </c>
      <c r="N495" s="837">
        <v>45883.0</v>
      </c>
      <c r="O495" s="803"/>
    </row>
    <row r="496" ht="15.0" customHeight="1">
      <c r="A496" s="786">
        <v>45883.0</v>
      </c>
      <c r="B496" s="787">
        <v>2508407.0</v>
      </c>
      <c r="C496" s="788" t="s">
        <v>10136</v>
      </c>
      <c r="D496" s="789" t="s">
        <v>4447</v>
      </c>
      <c r="E496" s="790" t="str">
        <f>IFERROR(VLOOKUP(D496,Stock,3,FALSE),"")</f>
        <v>Isuzu Elf 17- New NMR NLR</v>
      </c>
      <c r="F496" s="788">
        <v>1.0</v>
      </c>
      <c r="G496" s="811">
        <v>502700.0</v>
      </c>
      <c r="H496" s="799">
        <f t="shared" si="7"/>
        <v>502700</v>
      </c>
      <c r="I496" s="800"/>
      <c r="J496" s="812"/>
      <c r="K496" s="848" t="s">
        <v>10242</v>
      </c>
      <c r="L496" s="802" t="s">
        <v>10137</v>
      </c>
      <c r="M496" s="806" t="s">
        <v>2763</v>
      </c>
      <c r="N496" s="837">
        <v>45930.0</v>
      </c>
      <c r="O496" s="803"/>
    </row>
    <row r="497" ht="15.0" customHeight="1">
      <c r="A497" s="786">
        <v>45884.0</v>
      </c>
      <c r="B497" s="787" t="s">
        <v>10339</v>
      </c>
      <c r="C497" s="788" t="s">
        <v>2643</v>
      </c>
      <c r="D497" s="789" t="s">
        <v>4226</v>
      </c>
      <c r="E497" s="790" t="str">
        <f>IFERROR(VLOOKUP(D497,Stock,3,FALSE),"")</f>
        <v>Honda HR-V 14-21 5D SUV (Honda)</v>
      </c>
      <c r="F497" s="788">
        <v>3.0</v>
      </c>
      <c r="G497" s="811">
        <v>1611720.0</v>
      </c>
      <c r="H497" s="799">
        <f t="shared" si="7"/>
        <v>4835160</v>
      </c>
      <c r="I497" s="800"/>
      <c r="J497" s="812"/>
      <c r="K497" s="848" t="s">
        <v>3810</v>
      </c>
      <c r="L497" s="802" t="s">
        <v>10137</v>
      </c>
      <c r="M497" s="806" t="s">
        <v>2763</v>
      </c>
      <c r="N497" s="837">
        <v>45883.0</v>
      </c>
      <c r="O497" s="803"/>
    </row>
    <row r="498" ht="15.0" customHeight="1">
      <c r="A498" s="786">
        <v>45884.0</v>
      </c>
      <c r="B498" s="787" t="s">
        <v>10340</v>
      </c>
      <c r="C498" s="788" t="s">
        <v>10341</v>
      </c>
      <c r="D498" s="789" t="s">
        <v>4979</v>
      </c>
      <c r="E498" s="790" t="str">
        <f>IFERROR(VLOOKUP(D498,Stock,3,FALSE),"")</f>
        <v>255 Ultra + Actv-100 Application</v>
      </c>
      <c r="F498" s="788">
        <v>40.0</v>
      </c>
      <c r="G498" s="811">
        <v>125000.0</v>
      </c>
      <c r="H498" s="799">
        <f t="shared" si="7"/>
        <v>5000000</v>
      </c>
      <c r="I498" s="800"/>
      <c r="J498" s="812"/>
      <c r="K498" s="848" t="s">
        <v>3191</v>
      </c>
      <c r="L498" s="802" t="s">
        <v>10137</v>
      </c>
      <c r="M498" s="806" t="s">
        <v>2763</v>
      </c>
      <c r="N498" s="837">
        <v>45884.0</v>
      </c>
      <c r="O498" s="803"/>
    </row>
    <row r="499" ht="15.0" customHeight="1">
      <c r="A499" s="786">
        <v>45884.0</v>
      </c>
      <c r="B499" s="787" t="s">
        <v>10340</v>
      </c>
      <c r="C499" s="788" t="s">
        <v>10341</v>
      </c>
      <c r="D499" s="789" t="s">
        <v>10342</v>
      </c>
      <c r="E499" s="790" t="str">
        <f>IFERROR(VLOOKUP(D499,Stock,3,FALSE),"")</f>
        <v/>
      </c>
      <c r="F499" s="788">
        <v>1.0</v>
      </c>
      <c r="G499" s="811"/>
      <c r="H499" s="799">
        <f t="shared" si="7"/>
        <v>0</v>
      </c>
      <c r="I499" s="800"/>
      <c r="J499" s="812"/>
      <c r="K499" s="848" t="s">
        <v>3191</v>
      </c>
      <c r="L499" s="802" t="s">
        <v>10137</v>
      </c>
      <c r="M499" s="806" t="s">
        <v>2763</v>
      </c>
      <c r="N499" s="837">
        <v>45884.0</v>
      </c>
      <c r="O499" s="803"/>
    </row>
    <row r="500" ht="15.0" customHeight="1">
      <c r="A500" s="786">
        <v>45884.0</v>
      </c>
      <c r="B500" s="787" t="s">
        <v>10343</v>
      </c>
      <c r="C500" s="788" t="s">
        <v>2643</v>
      </c>
      <c r="D500" s="789" t="s">
        <v>5492</v>
      </c>
      <c r="E500" s="790" t="str">
        <f>IFERROR(VLOOKUP(D500,Stock,3,FALSE),"")</f>
        <v>Moulding List Honda HR-V 14-21 5D SUV (Upper)</v>
      </c>
      <c r="F500" s="788">
        <v>2.0</v>
      </c>
      <c r="G500" s="811">
        <v>146242.5</v>
      </c>
      <c r="H500" s="799">
        <f t="shared" si="7"/>
        <v>292485</v>
      </c>
      <c r="I500" s="800"/>
      <c r="J500" s="812"/>
      <c r="K500" s="848" t="s">
        <v>3191</v>
      </c>
      <c r="L500" s="802" t="s">
        <v>10137</v>
      </c>
      <c r="M500" s="806" t="s">
        <v>2763</v>
      </c>
      <c r="N500" s="854">
        <v>45944.0</v>
      </c>
      <c r="O500" s="803"/>
    </row>
    <row r="501" ht="15.0" customHeight="1">
      <c r="A501" s="786">
        <v>45884.0</v>
      </c>
      <c r="B501" s="787" t="s">
        <v>10343</v>
      </c>
      <c r="C501" s="788" t="s">
        <v>2643</v>
      </c>
      <c r="D501" s="789" t="s">
        <v>5493</v>
      </c>
      <c r="E501" s="790" t="str">
        <f>IFERROR(VLOOKUP(D501,Stock,3,FALSE),"")</f>
        <v>Moulding List Honda HR-V 14-21 5D SUV (Side)</v>
      </c>
      <c r="F501" s="788">
        <v>4.0</v>
      </c>
      <c r="G501" s="811">
        <v>75480.0</v>
      </c>
      <c r="H501" s="799">
        <f t="shared" si="7"/>
        <v>301920</v>
      </c>
      <c r="I501" s="800"/>
      <c r="J501" s="812"/>
      <c r="K501" s="848" t="s">
        <v>3191</v>
      </c>
      <c r="L501" s="802" t="s">
        <v>10137</v>
      </c>
      <c r="M501" s="806" t="s">
        <v>2763</v>
      </c>
      <c r="N501" s="854">
        <v>45944.0</v>
      </c>
      <c r="O501" s="803"/>
    </row>
    <row r="502" ht="15.0" customHeight="1">
      <c r="A502" s="786">
        <v>45884.0</v>
      </c>
      <c r="B502" s="787" t="s">
        <v>10344</v>
      </c>
      <c r="C502" s="788" t="s">
        <v>2643</v>
      </c>
      <c r="D502" s="789" t="s">
        <v>3160</v>
      </c>
      <c r="E502" s="790" t="str">
        <f>IFERROR(VLOOKUP(D502,Stock,3,FALSE),"")</f>
        <v>Honda Brio 10- (Honda)</v>
      </c>
      <c r="F502" s="788">
        <v>1.0</v>
      </c>
      <c r="G502" s="811">
        <v>180708.0</v>
      </c>
      <c r="H502" s="799">
        <f t="shared" si="7"/>
        <v>180708</v>
      </c>
      <c r="I502" s="800"/>
      <c r="J502" s="812"/>
      <c r="K502" s="848" t="s">
        <v>3191</v>
      </c>
      <c r="L502" s="802" t="s">
        <v>10137</v>
      </c>
      <c r="M502" s="806" t="s">
        <v>2763</v>
      </c>
      <c r="N502" s="854">
        <v>45944.0</v>
      </c>
      <c r="O502" s="803"/>
    </row>
    <row r="503" ht="15.0" customHeight="1">
      <c r="A503" s="786">
        <v>45884.0</v>
      </c>
      <c r="B503" s="787">
        <v>2508491.0</v>
      </c>
      <c r="C503" s="788" t="s">
        <v>10136</v>
      </c>
      <c r="D503" s="789" t="s">
        <v>4499</v>
      </c>
      <c r="E503" s="790" t="str">
        <f>IFERROR(VLOOKUP(D503,Stock,3,FALSE),"")</f>
        <v>Toyota Camry 11-17 XV50 5th Gen</v>
      </c>
      <c r="F503" s="788">
        <v>1.0</v>
      </c>
      <c r="G503" s="811">
        <v>1799050.0</v>
      </c>
      <c r="H503" s="799">
        <f t="shared" si="7"/>
        <v>1799050</v>
      </c>
      <c r="I503" s="800"/>
      <c r="J503" s="812"/>
      <c r="K503" s="848" t="s">
        <v>3191</v>
      </c>
      <c r="L503" s="802" t="s">
        <v>10137</v>
      </c>
      <c r="M503" s="806" t="s">
        <v>2763</v>
      </c>
      <c r="N503" s="854">
        <v>45941.0</v>
      </c>
      <c r="O503" s="803"/>
    </row>
    <row r="504" ht="15.0" customHeight="1">
      <c r="A504" s="786">
        <v>45885.0</v>
      </c>
      <c r="B504" s="787" t="s">
        <v>10345</v>
      </c>
      <c r="C504" s="788" t="s">
        <v>10148</v>
      </c>
      <c r="D504" s="789" t="s">
        <v>4473</v>
      </c>
      <c r="E504" s="790" t="str">
        <f>IFERROR(VLOOKUP(D504,Stock,3,FALSE),"")</f>
        <v>Mitsubishi Xpander 17- / Livina 19- 2nd Gen (Mitsubishi)</v>
      </c>
      <c r="F504" s="788">
        <v>1.0</v>
      </c>
      <c r="G504" s="811">
        <v>0.0</v>
      </c>
      <c r="H504" s="799">
        <f t="shared" si="7"/>
        <v>0</v>
      </c>
      <c r="I504" s="800"/>
      <c r="J504" s="812"/>
      <c r="K504" s="848" t="s">
        <v>3810</v>
      </c>
      <c r="L504" s="802" t="s">
        <v>10137</v>
      </c>
      <c r="M504" s="803"/>
      <c r="N504" s="803"/>
      <c r="O504" s="803"/>
    </row>
    <row r="505" ht="15.0" customHeight="1">
      <c r="A505" s="786">
        <v>45887.0</v>
      </c>
      <c r="B505" s="787">
        <v>2508508.0</v>
      </c>
      <c r="C505" s="788" t="s">
        <v>10136</v>
      </c>
      <c r="D505" s="789" t="s">
        <v>3528</v>
      </c>
      <c r="E505" s="790" t="str">
        <f>IFERROR(VLOOKUP(D505,Stock,3,FALSE),"")</f>
        <v>Hyundai Stargazer 22-</v>
      </c>
      <c r="F505" s="788">
        <v>1.0</v>
      </c>
      <c r="G505" s="811">
        <v>742500.0</v>
      </c>
      <c r="H505" s="799">
        <f t="shared" si="7"/>
        <v>742500</v>
      </c>
      <c r="I505" s="800"/>
      <c r="J505" s="812"/>
      <c r="K505" s="848" t="s">
        <v>10328</v>
      </c>
      <c r="L505" s="802" t="s">
        <v>10137</v>
      </c>
      <c r="M505" s="833" t="s">
        <v>2763</v>
      </c>
      <c r="N505" s="855">
        <v>45941.0</v>
      </c>
      <c r="O505" s="803"/>
    </row>
    <row r="506" ht="15.0" customHeight="1">
      <c r="A506" s="786">
        <v>45887.0</v>
      </c>
      <c r="B506" s="787">
        <v>2508508.0</v>
      </c>
      <c r="C506" s="788" t="s">
        <v>10136</v>
      </c>
      <c r="D506" s="789" t="s">
        <v>3643</v>
      </c>
      <c r="E506" s="790" t="str">
        <f>IFERROR(VLOOKUP(D506,Stock,3,FALSE),"")</f>
        <v>Honda Jazz 01-07 1st Gen</v>
      </c>
      <c r="F506" s="788">
        <v>1.0</v>
      </c>
      <c r="G506" s="811">
        <v>673200.0</v>
      </c>
      <c r="H506" s="799">
        <f t="shared" si="7"/>
        <v>673200</v>
      </c>
      <c r="I506" s="800"/>
      <c r="J506" s="812"/>
      <c r="K506" s="848" t="s">
        <v>10328</v>
      </c>
      <c r="L506" s="802" t="s">
        <v>10137</v>
      </c>
      <c r="M506" s="833" t="s">
        <v>2763</v>
      </c>
      <c r="N506" s="855">
        <v>45941.0</v>
      </c>
      <c r="O506" s="803"/>
    </row>
    <row r="507" ht="15.0" customHeight="1">
      <c r="A507" s="786">
        <v>45885.0</v>
      </c>
      <c r="B507" s="787" t="s">
        <v>10346</v>
      </c>
      <c r="C507" s="788" t="s">
        <v>2643</v>
      </c>
      <c r="D507" s="789" t="s">
        <v>4527</v>
      </c>
      <c r="E507" s="790" t="str">
        <f>IFERROR(VLOOKUP(D507,Stock,3,FALSE),"")</f>
        <v>Honda BR-V 22- 2nd Gen (Honda)</v>
      </c>
      <c r="F507" s="788">
        <v>2.0</v>
      </c>
      <c r="G507" s="811">
        <v>859584.0</v>
      </c>
      <c r="H507" s="799">
        <f t="shared" si="7"/>
        <v>1719168</v>
      </c>
      <c r="I507" s="800"/>
      <c r="J507" s="812"/>
      <c r="K507" s="848" t="s">
        <v>3191</v>
      </c>
      <c r="L507" s="802" t="s">
        <v>10137</v>
      </c>
      <c r="M507" s="806" t="s">
        <v>2763</v>
      </c>
      <c r="N507" s="854">
        <v>45944.0</v>
      </c>
      <c r="O507" s="803"/>
    </row>
    <row r="508" ht="15.0" customHeight="1">
      <c r="A508" s="786">
        <v>45885.0</v>
      </c>
      <c r="B508" s="787" t="s">
        <v>10347</v>
      </c>
      <c r="C508" s="788" t="s">
        <v>10139</v>
      </c>
      <c r="D508" s="789" t="s">
        <v>2003</v>
      </c>
      <c r="E508" s="790" t="str">
        <f>IFERROR(VLOOKUP(D508,Stock,3,FALSE),"")</f>
        <v>Toyota Agya/Ayla 13-22 1st Gen</v>
      </c>
      <c r="F508" s="788">
        <v>10.0</v>
      </c>
      <c r="G508" s="811">
        <v>371350.0</v>
      </c>
      <c r="H508" s="799">
        <f t="shared" si="7"/>
        <v>3713500</v>
      </c>
      <c r="I508" s="800"/>
      <c r="J508" s="812"/>
      <c r="K508" s="848" t="s">
        <v>3191</v>
      </c>
      <c r="L508" s="802" t="s">
        <v>10137</v>
      </c>
      <c r="M508" s="806" t="s">
        <v>2763</v>
      </c>
      <c r="N508" s="837">
        <v>45888.0</v>
      </c>
      <c r="O508" s="803"/>
    </row>
    <row r="509" ht="15.0" customHeight="1">
      <c r="A509" s="786">
        <v>45885.0</v>
      </c>
      <c r="B509" s="787" t="s">
        <v>10348</v>
      </c>
      <c r="C509" s="788" t="s">
        <v>10284</v>
      </c>
      <c r="D509" s="789" t="s">
        <v>3528</v>
      </c>
      <c r="E509" s="790" t="str">
        <f>IFERROR(VLOOKUP(D509,Stock,3,FALSE),"")</f>
        <v>Hyundai Stargazer 22-</v>
      </c>
      <c r="F509" s="788">
        <v>1.0</v>
      </c>
      <c r="G509" s="811">
        <v>950000.0</v>
      </c>
      <c r="H509" s="799">
        <f t="shared" si="7"/>
        <v>950000</v>
      </c>
      <c r="I509" s="800"/>
      <c r="J509" s="812"/>
      <c r="K509" s="813"/>
      <c r="L509" s="802" t="s">
        <v>10137</v>
      </c>
      <c r="M509" s="806" t="s">
        <v>2763</v>
      </c>
      <c r="N509" s="837">
        <v>45889.0</v>
      </c>
      <c r="O509" s="803"/>
    </row>
    <row r="510" ht="15.0" customHeight="1">
      <c r="A510" s="786">
        <v>45887.0</v>
      </c>
      <c r="B510" s="787" t="s">
        <v>10349</v>
      </c>
      <c r="C510" s="788" t="s">
        <v>2643</v>
      </c>
      <c r="D510" s="789" t="s">
        <v>5800</v>
      </c>
      <c r="E510" s="790" t="str">
        <f>IFERROR(VLOOKUP(D510,Stock,3,FALSE),"")</f>
        <v>Toyota Fortuner 15-  2nd Gen (Toyota)</v>
      </c>
      <c r="F510" s="788">
        <v>2.0</v>
      </c>
      <c r="G510" s="811">
        <v>738000.5</v>
      </c>
      <c r="H510" s="799">
        <f t="shared" si="7"/>
        <v>1476001</v>
      </c>
      <c r="I510" s="800"/>
      <c r="J510" s="812"/>
      <c r="K510" s="848" t="s">
        <v>3191</v>
      </c>
      <c r="L510" s="802" t="s">
        <v>10137</v>
      </c>
      <c r="M510" s="806" t="s">
        <v>2763</v>
      </c>
      <c r="N510" s="854">
        <v>45944.0</v>
      </c>
      <c r="O510" s="803"/>
    </row>
    <row r="511" ht="15.0" customHeight="1">
      <c r="A511" s="786">
        <v>45887.0</v>
      </c>
      <c r="B511" s="787" t="s">
        <v>10349</v>
      </c>
      <c r="C511" s="788" t="s">
        <v>2643</v>
      </c>
      <c r="D511" s="789" t="s">
        <v>4468</v>
      </c>
      <c r="E511" s="790" t="str">
        <f>IFERROR(VLOOKUP(D511,Stock,3,FALSE),"")</f>
        <v>Honda CR-V 17-23 5th Gen (Honda)</v>
      </c>
      <c r="F511" s="788">
        <v>1.0</v>
      </c>
      <c r="G511" s="811">
        <v>2002440.0</v>
      </c>
      <c r="H511" s="799">
        <f t="shared" si="7"/>
        <v>2002440</v>
      </c>
      <c r="I511" s="800"/>
      <c r="J511" s="812"/>
      <c r="K511" s="848" t="s">
        <v>3191</v>
      </c>
      <c r="L511" s="802" t="s">
        <v>10137</v>
      </c>
      <c r="M511" s="806" t="s">
        <v>2763</v>
      </c>
      <c r="N511" s="854">
        <v>45944.0</v>
      </c>
      <c r="O511" s="803"/>
    </row>
    <row r="512" ht="15.0" customHeight="1">
      <c r="A512" s="786">
        <v>45889.0</v>
      </c>
      <c r="B512" s="787">
        <v>2508609.0</v>
      </c>
      <c r="C512" s="788" t="s">
        <v>10136</v>
      </c>
      <c r="D512" s="789" t="s">
        <v>4511</v>
      </c>
      <c r="E512" s="790" t="str">
        <f>IFERROR(VLOOKUP(D512,Stock,3,FALSE),"")</f>
        <v>Isuzu D-Max 12-19 2nd Gen</v>
      </c>
      <c r="F512" s="788">
        <v>1.0</v>
      </c>
      <c r="G512" s="811">
        <v>906400.0</v>
      </c>
      <c r="H512" s="799">
        <f t="shared" si="7"/>
        <v>906400</v>
      </c>
      <c r="I512" s="800"/>
      <c r="J512" s="812"/>
      <c r="K512" s="848" t="s">
        <v>3191</v>
      </c>
      <c r="L512" s="802" t="s">
        <v>10137</v>
      </c>
      <c r="M512" s="833" t="s">
        <v>2763</v>
      </c>
      <c r="N512" s="855">
        <v>45941.0</v>
      </c>
      <c r="O512" s="803"/>
    </row>
    <row r="513" ht="15.0" customHeight="1">
      <c r="A513" s="786">
        <v>45889.0</v>
      </c>
      <c r="B513" s="787" t="s">
        <v>10350</v>
      </c>
      <c r="C513" s="788" t="s">
        <v>10139</v>
      </c>
      <c r="D513" s="789" t="s">
        <v>4521</v>
      </c>
      <c r="E513" s="790" t="str">
        <f>IFERROR(VLOOKUP(D513,Stock,3,FALSE),"")</f>
        <v>Nissan X-Trail 13- T32 </v>
      </c>
      <c r="F513" s="788">
        <v>1.0</v>
      </c>
      <c r="G513" s="811">
        <v>1505925.0</v>
      </c>
      <c r="H513" s="799">
        <f t="shared" si="7"/>
        <v>1505925</v>
      </c>
      <c r="I513" s="800"/>
      <c r="J513" s="812"/>
      <c r="K513" s="848" t="s">
        <v>3191</v>
      </c>
      <c r="L513" s="802" t="s">
        <v>10137</v>
      </c>
      <c r="M513" s="806" t="s">
        <v>2763</v>
      </c>
      <c r="N513" s="837">
        <v>45892.0</v>
      </c>
      <c r="O513" s="803"/>
    </row>
    <row r="514" ht="15.0" customHeight="1">
      <c r="A514" s="786">
        <v>45889.0</v>
      </c>
      <c r="B514" s="787" t="s">
        <v>10351</v>
      </c>
      <c r="C514" s="788" t="s">
        <v>2643</v>
      </c>
      <c r="D514" s="789" t="s">
        <v>7075</v>
      </c>
      <c r="E514" s="790" t="str">
        <f>IFERROR(VLOOKUP(D514,Stock,3,FALSE),"")</f>
        <v>Honda Mobilio 11-</v>
      </c>
      <c r="F514" s="788">
        <v>1.0</v>
      </c>
      <c r="G514" s="811">
        <v>297202.5</v>
      </c>
      <c r="H514" s="799">
        <f t="shared" si="7"/>
        <v>297202.5</v>
      </c>
      <c r="I514" s="800"/>
      <c r="J514" s="812"/>
      <c r="K514" s="848" t="s">
        <v>3191</v>
      </c>
      <c r="L514" s="802" t="s">
        <v>10137</v>
      </c>
      <c r="M514" s="806" t="s">
        <v>2763</v>
      </c>
      <c r="N514" s="854">
        <v>45944.0</v>
      </c>
      <c r="O514" s="803"/>
    </row>
    <row r="515" ht="15.0" customHeight="1">
      <c r="A515" s="786">
        <v>45889.0</v>
      </c>
      <c r="B515" s="787" t="s">
        <v>10351</v>
      </c>
      <c r="C515" s="788" t="s">
        <v>2643</v>
      </c>
      <c r="D515" s="789" t="s">
        <v>3414</v>
      </c>
      <c r="E515" s="790" t="str">
        <f>IFERROR(VLOOKUP(D515,Stock,3,FALSE),"")</f>
        <v>Honda Mobilio 11-</v>
      </c>
      <c r="F515" s="788">
        <v>1.0</v>
      </c>
      <c r="G515" s="811">
        <v>297202.5</v>
      </c>
      <c r="H515" s="799">
        <f t="shared" si="7"/>
        <v>297202.5</v>
      </c>
      <c r="I515" s="800"/>
      <c r="J515" s="812"/>
      <c r="K515" s="848" t="s">
        <v>3191</v>
      </c>
      <c r="L515" s="802" t="s">
        <v>10137</v>
      </c>
      <c r="M515" s="806" t="s">
        <v>2763</v>
      </c>
      <c r="N515" s="854">
        <v>45944.0</v>
      </c>
      <c r="O515" s="803"/>
    </row>
    <row r="516" ht="15.0" customHeight="1">
      <c r="A516" s="786">
        <v>45890.0</v>
      </c>
      <c r="B516" s="787" t="s">
        <v>10352</v>
      </c>
      <c r="C516" s="788" t="s">
        <v>2643</v>
      </c>
      <c r="D516" s="789" t="s">
        <v>4482</v>
      </c>
      <c r="E516" s="790" t="str">
        <f>IFERROR(VLOOKUP(D516,Stock,3,FALSE),"")</f>
        <v>Mitsubishi X-Force 23- (RS) (Mitsubishi)</v>
      </c>
      <c r="F516" s="788">
        <v>1.0</v>
      </c>
      <c r="G516" s="811">
        <v>2735999.0</v>
      </c>
      <c r="H516" s="799">
        <f t="shared" si="7"/>
        <v>2735999</v>
      </c>
      <c r="I516" s="800"/>
      <c r="J516" s="812"/>
      <c r="K516" s="848" t="s">
        <v>3191</v>
      </c>
      <c r="L516" s="802" t="s">
        <v>10137</v>
      </c>
      <c r="M516" s="806" t="s">
        <v>2763</v>
      </c>
      <c r="N516" s="854">
        <v>45944.0</v>
      </c>
      <c r="O516" s="803"/>
    </row>
    <row r="517" ht="15.0" customHeight="1">
      <c r="A517" s="786">
        <v>45891.0</v>
      </c>
      <c r="B517" s="787" t="s">
        <v>10353</v>
      </c>
      <c r="C517" s="788" t="s">
        <v>2643</v>
      </c>
      <c r="D517" s="789" t="s">
        <v>4439</v>
      </c>
      <c r="E517" s="790" t="str">
        <f>IFERROR(VLOOKUP(D517,Stock,3,FALSE),"")</f>
        <v>Toyota Innova 04-15 1st Gen (Toyota)</v>
      </c>
      <c r="F517" s="788">
        <v>2.0</v>
      </c>
      <c r="G517" s="811">
        <v>1673999.5</v>
      </c>
      <c r="H517" s="799">
        <f t="shared" si="7"/>
        <v>3347999</v>
      </c>
      <c r="I517" s="800"/>
      <c r="J517" s="812"/>
      <c r="K517" s="848" t="s">
        <v>3191</v>
      </c>
      <c r="L517" s="802" t="s">
        <v>10137</v>
      </c>
      <c r="M517" s="806" t="s">
        <v>2763</v>
      </c>
      <c r="N517" s="854">
        <v>45944.0</v>
      </c>
      <c r="O517" s="803"/>
    </row>
    <row r="518" ht="15.0" customHeight="1">
      <c r="A518" s="786">
        <v>45891.0</v>
      </c>
      <c r="B518" s="787" t="s">
        <v>10354</v>
      </c>
      <c r="C518" s="788" t="s">
        <v>2643</v>
      </c>
      <c r="D518" s="789" t="s">
        <v>3858</v>
      </c>
      <c r="E518" s="790" t="str">
        <f>IFERROR(VLOOKUP(D518,Stock,3,FALSE),"")</f>
        <v>Daihatsu Luxio 07-</v>
      </c>
      <c r="F518" s="788">
        <v>2.0</v>
      </c>
      <c r="G518" s="811">
        <v>298150.0</v>
      </c>
      <c r="H518" s="799">
        <f t="shared" si="7"/>
        <v>596300</v>
      </c>
      <c r="I518" s="800"/>
      <c r="J518" s="812"/>
      <c r="K518" s="848" t="s">
        <v>3191</v>
      </c>
      <c r="L518" s="802" t="s">
        <v>10137</v>
      </c>
      <c r="M518" s="806" t="s">
        <v>2763</v>
      </c>
      <c r="N518" s="854">
        <v>45944.0</v>
      </c>
      <c r="O518" s="803"/>
    </row>
    <row r="519" ht="15.0" customHeight="1">
      <c r="A519" s="786">
        <v>45894.0</v>
      </c>
      <c r="B519" s="856" t="s">
        <v>10355</v>
      </c>
      <c r="C519" s="788" t="s">
        <v>10139</v>
      </c>
      <c r="D519" s="789" t="s">
        <v>3021</v>
      </c>
      <c r="E519" s="790" t="str">
        <f>IFERROR(VLOOKUP(D519,Stock,3,FALSE),"")</f>
        <v>Honda Freed 08-16 1st gen</v>
      </c>
      <c r="F519" s="788">
        <v>1.0</v>
      </c>
      <c r="G519" s="811">
        <v>807300.0</v>
      </c>
      <c r="H519" s="799">
        <f t="shared" si="7"/>
        <v>807300</v>
      </c>
      <c r="I519" s="800"/>
      <c r="J519" s="812"/>
      <c r="K519" s="848" t="s">
        <v>3191</v>
      </c>
      <c r="L519" s="802" t="s">
        <v>10137</v>
      </c>
      <c r="M519" s="806" t="s">
        <v>2763</v>
      </c>
      <c r="N519" s="854">
        <v>45895.0</v>
      </c>
      <c r="O519" s="803"/>
    </row>
    <row r="520" ht="15.0" customHeight="1">
      <c r="A520" s="786">
        <v>45894.0</v>
      </c>
      <c r="B520" s="856" t="s">
        <v>10355</v>
      </c>
      <c r="C520" s="788" t="s">
        <v>10139</v>
      </c>
      <c r="D520" s="789" t="s">
        <v>4575</v>
      </c>
      <c r="E520" s="790" t="str">
        <f>IFERROR(VLOOKUP(D520,Stock,3,FALSE),"")</f>
        <v>Toyota Sienta 15-</v>
      </c>
      <c r="F520" s="788">
        <v>1.0</v>
      </c>
      <c r="G520" s="811">
        <v>265000.0</v>
      </c>
      <c r="H520" s="799">
        <f t="shared" si="7"/>
        <v>265000</v>
      </c>
      <c r="I520" s="800"/>
      <c r="J520" s="803"/>
      <c r="K520" s="848" t="s">
        <v>3191</v>
      </c>
      <c r="L520" s="802" t="s">
        <v>10137</v>
      </c>
      <c r="M520" s="806" t="s">
        <v>2763</v>
      </c>
      <c r="N520" s="854">
        <v>45895.0</v>
      </c>
      <c r="O520" s="803"/>
    </row>
    <row r="521" ht="15.0" customHeight="1">
      <c r="A521" s="786">
        <v>45894.0</v>
      </c>
      <c r="B521" s="787" t="s">
        <v>10356</v>
      </c>
      <c r="C521" s="788" t="s">
        <v>10146</v>
      </c>
      <c r="D521" s="789" t="s">
        <v>4547</v>
      </c>
      <c r="E521" s="790" t="str">
        <f>IFERROR(VLOOKUP(D521,Stock,3,FALSE),"")</f>
        <v>Mitsubishi L300</v>
      </c>
      <c r="F521" s="788">
        <v>1.0</v>
      </c>
      <c r="G521" s="811">
        <v>180000.0</v>
      </c>
      <c r="H521" s="799">
        <f t="shared" si="7"/>
        <v>180000</v>
      </c>
      <c r="I521" s="800"/>
      <c r="J521" s="812"/>
      <c r="K521" s="848" t="s">
        <v>3191</v>
      </c>
      <c r="L521" s="802" t="s">
        <v>10137</v>
      </c>
      <c r="M521" s="806" t="s">
        <v>2763</v>
      </c>
      <c r="N521" s="854">
        <v>45895.0</v>
      </c>
      <c r="O521" s="803"/>
    </row>
    <row r="522" ht="15.0" customHeight="1">
      <c r="A522" s="786">
        <v>45895.0</v>
      </c>
      <c r="B522" s="787" t="s">
        <v>10357</v>
      </c>
      <c r="C522" s="788" t="s">
        <v>10156</v>
      </c>
      <c r="D522" s="789" t="s">
        <v>4547</v>
      </c>
      <c r="E522" s="790" t="str">
        <f>IFERROR(VLOOKUP(D522,Stock,3,FALSE),"")</f>
        <v>Mitsubishi L300</v>
      </c>
      <c r="F522" s="788">
        <v>1.0</v>
      </c>
      <c r="G522" s="811">
        <v>175000.0</v>
      </c>
      <c r="H522" s="799">
        <f t="shared" si="7"/>
        <v>175000</v>
      </c>
      <c r="I522" s="800"/>
      <c r="J522" s="812"/>
      <c r="K522" s="848" t="s">
        <v>3191</v>
      </c>
      <c r="L522" s="802" t="s">
        <v>10137</v>
      </c>
      <c r="M522" s="806" t="s">
        <v>2763</v>
      </c>
      <c r="N522" s="854">
        <v>45895.0</v>
      </c>
      <c r="O522" s="803"/>
    </row>
    <row r="523" ht="15.0" customHeight="1">
      <c r="A523" s="786">
        <v>45891.0</v>
      </c>
      <c r="B523" s="787">
        <v>2508719.0</v>
      </c>
      <c r="C523" s="788" t="s">
        <v>10136</v>
      </c>
      <c r="D523" s="789" t="s">
        <v>2756</v>
      </c>
      <c r="E523" s="790" t="str">
        <f>IFERROR(VLOOKUP(D523,Stock,3,FALSE),"")</f>
        <v>Wuling Almaz (Sensor)</v>
      </c>
      <c r="F523" s="788">
        <v>1.0</v>
      </c>
      <c r="G523" s="811">
        <v>1485000.0</v>
      </c>
      <c r="H523" s="799">
        <f t="shared" si="7"/>
        <v>1485000</v>
      </c>
      <c r="I523" s="800"/>
      <c r="J523" s="812"/>
      <c r="K523" s="813"/>
      <c r="L523" s="802" t="s">
        <v>10137</v>
      </c>
      <c r="M523" s="833" t="s">
        <v>2763</v>
      </c>
      <c r="N523" s="855">
        <v>45941.0</v>
      </c>
      <c r="O523" s="803"/>
    </row>
    <row r="524" ht="15.0" customHeight="1">
      <c r="A524" s="786">
        <v>45891.0</v>
      </c>
      <c r="B524" s="787">
        <v>2508719.0</v>
      </c>
      <c r="C524" s="788" t="s">
        <v>10136</v>
      </c>
      <c r="D524" s="789" t="s">
        <v>5256</v>
      </c>
      <c r="E524" s="790" t="str">
        <f>IFERROR(VLOOKUP(D524,Stock,3,FALSE),"")</f>
        <v>Suzuki Baleno 08-15 SX4 Hatchback</v>
      </c>
      <c r="F524" s="788">
        <v>1.0</v>
      </c>
      <c r="G524" s="811">
        <v>234300.0</v>
      </c>
      <c r="H524" s="799">
        <f t="shared" si="7"/>
        <v>234300</v>
      </c>
      <c r="I524" s="800"/>
      <c r="J524" s="812"/>
      <c r="K524" s="813"/>
      <c r="L524" s="802" t="s">
        <v>10137</v>
      </c>
      <c r="M524" s="833" t="s">
        <v>2763</v>
      </c>
      <c r="N524" s="855">
        <v>45941.0</v>
      </c>
      <c r="O524" s="803"/>
    </row>
    <row r="525" ht="15.0" customHeight="1">
      <c r="A525" s="786">
        <v>45891.0</v>
      </c>
      <c r="B525" s="787">
        <v>2508719.0</v>
      </c>
      <c r="C525" s="788" t="s">
        <v>10136</v>
      </c>
      <c r="D525" s="789" t="s">
        <v>4674</v>
      </c>
      <c r="E525" s="790" t="str">
        <f>IFERROR(VLOOKUP(D525,Stock,3,FALSE),"")</f>
        <v>Toyota Alphard 08-15 ANH20 2nd Gen</v>
      </c>
      <c r="F525" s="788">
        <v>1.0</v>
      </c>
      <c r="G525" s="811">
        <v>2311100.0</v>
      </c>
      <c r="H525" s="799">
        <f t="shared" si="7"/>
        <v>2311100</v>
      </c>
      <c r="I525" s="800"/>
      <c r="J525" s="812"/>
      <c r="K525" s="813"/>
      <c r="L525" s="802" t="s">
        <v>10137</v>
      </c>
      <c r="M525" s="833" t="s">
        <v>2763</v>
      </c>
      <c r="N525" s="855">
        <v>45941.0</v>
      </c>
      <c r="O525" s="803"/>
    </row>
    <row r="526" ht="15.0" customHeight="1">
      <c r="A526" s="786">
        <v>45891.0</v>
      </c>
      <c r="B526" s="787">
        <v>2508719.0</v>
      </c>
      <c r="C526" s="788" t="s">
        <v>10136</v>
      </c>
      <c r="D526" s="789" t="s">
        <v>6760</v>
      </c>
      <c r="E526" s="790" t="str">
        <f>IFERROR(VLOOKUP(D526,Stock,3,FALSE),"")</f>
        <v>Nissan Teana 08-12 J32</v>
      </c>
      <c r="F526" s="788">
        <v>1.0</v>
      </c>
      <c r="G526" s="811">
        <v>1185800.0</v>
      </c>
      <c r="H526" s="799">
        <f t="shared" si="7"/>
        <v>1185800</v>
      </c>
      <c r="I526" s="800"/>
      <c r="J526" s="812"/>
      <c r="K526" s="813"/>
      <c r="L526" s="802" t="s">
        <v>10137</v>
      </c>
      <c r="M526" s="833" t="s">
        <v>2763</v>
      </c>
      <c r="N526" s="855">
        <v>45941.0</v>
      </c>
      <c r="O526" s="803"/>
    </row>
    <row r="527" ht="15.0" customHeight="1">
      <c r="A527" s="786">
        <v>45894.0</v>
      </c>
      <c r="B527" s="787">
        <v>2508740.0</v>
      </c>
      <c r="C527" s="788" t="s">
        <v>10136</v>
      </c>
      <c r="D527" s="789" t="s">
        <v>4671</v>
      </c>
      <c r="E527" s="790" t="str">
        <f>IFERROR(VLOOKUP(D527,Stock,3,FALSE),"")</f>
        <v>Chevrolet Spark 98-05 M100 1stGen (800cc)</v>
      </c>
      <c r="F527" s="788">
        <v>1.0</v>
      </c>
      <c r="G527" s="811">
        <v>737000.0</v>
      </c>
      <c r="H527" s="799">
        <f t="shared" si="7"/>
        <v>737000</v>
      </c>
      <c r="I527" s="800"/>
      <c r="J527" s="812"/>
      <c r="K527" s="813"/>
      <c r="L527" s="802" t="s">
        <v>10137</v>
      </c>
      <c r="M527" s="833" t="s">
        <v>2763</v>
      </c>
      <c r="N527" s="855">
        <v>45941.0</v>
      </c>
      <c r="O527" s="803"/>
    </row>
    <row r="528" ht="15.0" customHeight="1">
      <c r="A528" s="786">
        <v>45890.0</v>
      </c>
      <c r="B528" s="787">
        <v>2508667.0</v>
      </c>
      <c r="C528" s="788" t="s">
        <v>10136</v>
      </c>
      <c r="D528" s="789" t="s">
        <v>4529</v>
      </c>
      <c r="E528" s="790" t="str">
        <f>IFERROR(VLOOKUP(D528,Stock,3,FALSE),"")</f>
        <v>Mitsubishi Pajero 16-</v>
      </c>
      <c r="F528" s="788">
        <v>1.0</v>
      </c>
      <c r="G528" s="851">
        <v>302500.0</v>
      </c>
      <c r="H528" s="799">
        <f t="shared" si="7"/>
        <v>302500</v>
      </c>
      <c r="I528" s="800"/>
      <c r="J528" s="812"/>
      <c r="K528" s="813"/>
      <c r="L528" s="802" t="s">
        <v>10137</v>
      </c>
      <c r="M528" s="833" t="s">
        <v>2763</v>
      </c>
      <c r="N528" s="855">
        <v>45941.0</v>
      </c>
      <c r="O528" s="803"/>
    </row>
    <row r="529" ht="15.0" customHeight="1">
      <c r="A529" s="786">
        <v>45889.0</v>
      </c>
      <c r="B529" s="787">
        <v>2508634.0</v>
      </c>
      <c r="C529" s="788" t="s">
        <v>10136</v>
      </c>
      <c r="D529" s="789" t="s">
        <v>3142</v>
      </c>
      <c r="E529" s="790" t="str">
        <f>IFERROR(VLOOKUP(D529,Stock,3,FALSE),"")</f>
        <v>Mitsubishi Xpander 17-</v>
      </c>
      <c r="F529" s="788">
        <v>1.0</v>
      </c>
      <c r="G529" s="811">
        <v>739200.0</v>
      </c>
      <c r="H529" s="799">
        <f t="shared" si="7"/>
        <v>739200</v>
      </c>
      <c r="I529" s="800"/>
      <c r="J529" s="812"/>
      <c r="K529" s="813"/>
      <c r="L529" s="802" t="s">
        <v>10137</v>
      </c>
      <c r="M529" s="833" t="s">
        <v>2763</v>
      </c>
      <c r="N529" s="855">
        <v>45941.0</v>
      </c>
      <c r="O529" s="803"/>
    </row>
    <row r="530" ht="15.0" customHeight="1">
      <c r="A530" s="786">
        <v>45895.0</v>
      </c>
      <c r="B530" s="787">
        <v>2508820.0</v>
      </c>
      <c r="C530" s="788" t="s">
        <v>10136</v>
      </c>
      <c r="D530" s="789" t="s">
        <v>3265</v>
      </c>
      <c r="E530" s="790" t="str">
        <f>IFERROR(VLOOKUP(D530,Stock,3,FALSE),"")</f>
        <v>Honda Jazz 07-13 2nd Gen</v>
      </c>
      <c r="F530" s="788">
        <v>1.0</v>
      </c>
      <c r="G530" s="811">
        <v>779900.0</v>
      </c>
      <c r="H530" s="799">
        <f t="shared" si="7"/>
        <v>779900</v>
      </c>
      <c r="I530" s="800"/>
      <c r="J530" s="812"/>
      <c r="K530" s="813"/>
      <c r="L530" s="802" t="s">
        <v>10137</v>
      </c>
      <c r="M530" s="833" t="s">
        <v>2763</v>
      </c>
      <c r="N530" s="855">
        <v>45941.0</v>
      </c>
      <c r="O530" s="803"/>
    </row>
    <row r="531" ht="15.0" customHeight="1">
      <c r="A531" s="786">
        <v>45895.0</v>
      </c>
      <c r="B531" s="787">
        <v>2508820.0</v>
      </c>
      <c r="C531" s="788" t="s">
        <v>10136</v>
      </c>
      <c r="D531" s="789" t="s">
        <v>2029</v>
      </c>
      <c r="E531" s="790" t="str">
        <f>IFERROR(VLOOKUP(D531,Stock,3,FALSE),"")</f>
        <v>Toyota Fortuner 05-15 1st Gen</v>
      </c>
      <c r="F531" s="788">
        <v>1.0</v>
      </c>
      <c r="G531" s="811">
        <v>600600.0</v>
      </c>
      <c r="H531" s="799">
        <f t="shared" si="7"/>
        <v>600600</v>
      </c>
      <c r="I531" s="800"/>
      <c r="J531" s="812"/>
      <c r="K531" s="813"/>
      <c r="L531" s="802" t="s">
        <v>10137</v>
      </c>
      <c r="M531" s="833" t="s">
        <v>2763</v>
      </c>
      <c r="N531" s="855">
        <v>45941.0</v>
      </c>
      <c r="O531" s="803"/>
    </row>
    <row r="532" ht="15.0" customHeight="1">
      <c r="A532" s="786">
        <v>45895.0</v>
      </c>
      <c r="B532" s="787" t="s">
        <v>10358</v>
      </c>
      <c r="C532" s="788" t="s">
        <v>2643</v>
      </c>
      <c r="D532" s="789" t="s">
        <v>4468</v>
      </c>
      <c r="E532" s="790" t="str">
        <f>IFERROR(VLOOKUP(D532,Stock,3,FALSE),"")</f>
        <v>Honda CR-V 17-23 5th Gen (Honda)</v>
      </c>
      <c r="F532" s="788">
        <v>2.0</v>
      </c>
      <c r="G532" s="811">
        <v>2002440.0</v>
      </c>
      <c r="H532" s="799">
        <f t="shared" si="7"/>
        <v>4004880</v>
      </c>
      <c r="I532" s="800"/>
      <c r="J532" s="812"/>
      <c r="K532" s="848" t="s">
        <v>3191</v>
      </c>
      <c r="L532" s="802" t="s">
        <v>10137</v>
      </c>
      <c r="M532" s="806" t="s">
        <v>2763</v>
      </c>
      <c r="N532" s="854">
        <v>45944.0</v>
      </c>
      <c r="O532" s="803"/>
    </row>
    <row r="533" ht="15.0" customHeight="1">
      <c r="A533" s="834">
        <v>45881.0</v>
      </c>
      <c r="B533" s="603" t="s">
        <v>10359</v>
      </c>
      <c r="C533" s="822" t="s">
        <v>3713</v>
      </c>
      <c r="D533" s="835" t="s">
        <v>8951</v>
      </c>
      <c r="E533" s="594" t="str">
        <f>IFERROR(VLOOKUP(D533,Stock,3,FALSE),"")</f>
        <v>Honda BR-V 22-</v>
      </c>
      <c r="F533" s="822">
        <v>2.0</v>
      </c>
      <c r="G533" s="769"/>
      <c r="H533" s="824">
        <f t="shared" si="7"/>
        <v>0</v>
      </c>
      <c r="I533" s="825"/>
      <c r="J533" s="826"/>
      <c r="K533" s="827"/>
      <c r="L533" s="828"/>
    </row>
    <row r="534" ht="15.0" customHeight="1">
      <c r="A534" s="834">
        <v>45881.0</v>
      </c>
      <c r="B534" s="603" t="s">
        <v>10359</v>
      </c>
      <c r="C534" s="822" t="s">
        <v>3713</v>
      </c>
      <c r="D534" s="835" t="s">
        <v>5689</v>
      </c>
      <c r="E534" s="594" t="str">
        <f>IFERROR(VLOOKUP(D534,Stock,3,FALSE),"")</f>
        <v>Toyota Avanza / Xenia 21- 4th Gen ( Sensor)</v>
      </c>
      <c r="F534" s="822">
        <v>2.0</v>
      </c>
      <c r="G534" s="769"/>
      <c r="H534" s="824">
        <f t="shared" si="7"/>
        <v>0</v>
      </c>
      <c r="I534" s="825"/>
      <c r="J534" s="826"/>
      <c r="K534" s="827"/>
      <c r="L534" s="828"/>
    </row>
    <row r="535" ht="15.0" customHeight="1">
      <c r="A535" s="834">
        <v>45888.0</v>
      </c>
      <c r="B535" s="603" t="s">
        <v>10360</v>
      </c>
      <c r="C535" s="822" t="s">
        <v>3713</v>
      </c>
      <c r="D535" s="835" t="s">
        <v>4080</v>
      </c>
      <c r="E535" s="594" t="str">
        <f>IFERROR(VLOOKUP(D535,Stock,3,FALSE),"")</f>
        <v>Isuzu Panther 00- 2nd Gen</v>
      </c>
      <c r="F535" s="822">
        <v>1.0</v>
      </c>
      <c r="G535" s="769"/>
      <c r="H535" s="824">
        <f t="shared" si="7"/>
        <v>0</v>
      </c>
      <c r="I535" s="825"/>
      <c r="J535" s="826"/>
      <c r="K535" s="827"/>
      <c r="L535" s="828"/>
    </row>
    <row r="536" ht="15.0" customHeight="1">
      <c r="A536" s="834">
        <v>45888.0</v>
      </c>
      <c r="B536" s="603" t="s">
        <v>10360</v>
      </c>
      <c r="C536" s="822" t="s">
        <v>3713</v>
      </c>
      <c r="D536" s="835" t="s">
        <v>3557</v>
      </c>
      <c r="E536" s="594" t="str">
        <f>IFERROR(VLOOKUP(D536,Stock,3,FALSE),"")</f>
        <v>Wuling Cortez</v>
      </c>
      <c r="F536" s="822">
        <v>1.0</v>
      </c>
      <c r="G536" s="769"/>
      <c r="H536" s="824">
        <f t="shared" si="7"/>
        <v>0</v>
      </c>
      <c r="I536" s="825"/>
      <c r="J536" s="826"/>
      <c r="K536" s="827"/>
      <c r="L536" s="828"/>
    </row>
    <row r="537" ht="15.0" customHeight="1">
      <c r="A537" s="834">
        <v>45888.0</v>
      </c>
      <c r="B537" s="603" t="s">
        <v>10360</v>
      </c>
      <c r="C537" s="822" t="s">
        <v>3713</v>
      </c>
      <c r="D537" s="835" t="s">
        <v>3680</v>
      </c>
      <c r="E537" s="594" t="str">
        <f>IFERROR(VLOOKUP(D537,Stock,3,FALSE),"")</f>
        <v>Wuling Almaz (Orisinil)</v>
      </c>
      <c r="F537" s="822">
        <v>1.0</v>
      </c>
      <c r="G537" s="769"/>
      <c r="H537" s="824">
        <f t="shared" si="7"/>
        <v>0</v>
      </c>
      <c r="I537" s="825"/>
      <c r="J537" s="826"/>
      <c r="K537" s="827"/>
      <c r="L537" s="828"/>
    </row>
    <row r="538" ht="15.0" customHeight="1">
      <c r="A538" s="834">
        <v>45888.0</v>
      </c>
      <c r="B538" s="603" t="s">
        <v>10360</v>
      </c>
      <c r="C538" s="822" t="s">
        <v>3713</v>
      </c>
      <c r="D538" s="835" t="s">
        <v>2832</v>
      </c>
      <c r="E538" s="594" t="str">
        <f>IFERROR(VLOOKUP(D538,Stock,3,FALSE),"")</f>
        <v>Toyota Avanza / Xenia 21- 4th Gen</v>
      </c>
      <c r="F538" s="822">
        <v>1.0</v>
      </c>
      <c r="G538" s="769"/>
      <c r="H538" s="824">
        <f t="shared" si="7"/>
        <v>0</v>
      </c>
      <c r="I538" s="825"/>
      <c r="J538" s="826"/>
      <c r="K538" s="827"/>
      <c r="L538" s="828"/>
    </row>
    <row r="539" ht="15.0" customHeight="1">
      <c r="A539" s="834">
        <v>45888.0</v>
      </c>
      <c r="B539" s="603" t="s">
        <v>10360</v>
      </c>
      <c r="C539" s="822" t="s">
        <v>3713</v>
      </c>
      <c r="D539" s="835" t="s">
        <v>7281</v>
      </c>
      <c r="E539" s="594" t="str">
        <f>IFERROR(VLOOKUP(D539,Stock,3,FALSE),"")</f>
        <v>Toyota Kijang 02-04 Kapsul Lem Efi </v>
      </c>
      <c r="F539" s="822">
        <v>1.0</v>
      </c>
      <c r="G539" s="769"/>
      <c r="H539" s="824">
        <f t="shared" si="7"/>
        <v>0</v>
      </c>
      <c r="I539" s="825"/>
      <c r="J539" s="826"/>
      <c r="K539" s="827"/>
      <c r="L539" s="828"/>
    </row>
    <row r="540" ht="15.0" customHeight="1">
      <c r="A540" s="834">
        <v>45888.0</v>
      </c>
      <c r="B540" s="603" t="s">
        <v>10360</v>
      </c>
      <c r="C540" s="822" t="s">
        <v>3713</v>
      </c>
      <c r="D540" s="835" t="s">
        <v>8634</v>
      </c>
      <c r="E540" s="594" t="str">
        <f>IFERROR(VLOOKUP(D540,Stock,3,FALSE),"")</f>
        <v>Isuzu Panther 00- 2nd Gen (Sealant)</v>
      </c>
      <c r="F540" s="822">
        <v>2.0</v>
      </c>
      <c r="G540" s="769"/>
      <c r="H540" s="824">
        <f t="shared" si="7"/>
        <v>0</v>
      </c>
      <c r="I540" s="825"/>
      <c r="J540" s="826"/>
      <c r="K540" s="827"/>
      <c r="L540" s="828"/>
    </row>
    <row r="541" ht="15.0" customHeight="1">
      <c r="A541" s="834">
        <v>45888.0</v>
      </c>
      <c r="B541" s="603" t="s">
        <v>10360</v>
      </c>
      <c r="C541" s="822" t="s">
        <v>3713</v>
      </c>
      <c r="D541" s="835" t="s">
        <v>7020</v>
      </c>
      <c r="E541" s="594" t="str">
        <f>IFERROR(VLOOKUP(D541,Stock,3,FALSE),"")</f>
        <v>Toyota Fortuner 15-  2nd Gen</v>
      </c>
      <c r="F541" s="822">
        <v>2.0</v>
      </c>
      <c r="G541" s="769"/>
      <c r="H541" s="824">
        <f t="shared" si="7"/>
        <v>0</v>
      </c>
      <c r="I541" s="825"/>
      <c r="J541" s="826"/>
      <c r="K541" s="827"/>
      <c r="L541" s="828"/>
    </row>
    <row r="542" ht="15.0" customHeight="1">
      <c r="A542" s="834">
        <v>45888.0</v>
      </c>
      <c r="B542" s="603" t="s">
        <v>10361</v>
      </c>
      <c r="C542" s="822" t="s">
        <v>3713</v>
      </c>
      <c r="D542" s="835" t="s">
        <v>4405</v>
      </c>
      <c r="E542" s="594" t="str">
        <f>IFERROR(VLOOKUP(D542,Stock,3,FALSE),"")</f>
        <v>Mitsubishi Canter FE300 85- (PS100,120,135 kabin kecil)</v>
      </c>
      <c r="F542" s="822">
        <v>2.0</v>
      </c>
      <c r="G542" s="769"/>
      <c r="H542" s="824">
        <f t="shared" si="7"/>
        <v>0</v>
      </c>
      <c r="I542" s="825"/>
      <c r="J542" s="826"/>
      <c r="K542" s="827"/>
      <c r="L542" s="828"/>
    </row>
    <row r="543" ht="15.0" customHeight="1">
      <c r="A543" s="834">
        <v>45888.0</v>
      </c>
      <c r="B543" s="603" t="s">
        <v>10361</v>
      </c>
      <c r="C543" s="822" t="s">
        <v>3713</v>
      </c>
      <c r="D543" s="835" t="s">
        <v>5740</v>
      </c>
      <c r="E543" s="594" t="str">
        <f>IFERROR(VLOOKUP(D543,Stock,3,FALSE),"")</f>
        <v>Isuzu Elf  93- NKR NHR </v>
      </c>
      <c r="F543" s="822">
        <v>2.0</v>
      </c>
      <c r="G543" s="769"/>
      <c r="H543" s="824">
        <f t="shared" si="7"/>
        <v>0</v>
      </c>
      <c r="I543" s="825"/>
      <c r="J543" s="826"/>
      <c r="K543" s="827"/>
      <c r="L543" s="828"/>
    </row>
    <row r="544" ht="15.0" customHeight="1">
      <c r="A544" s="834">
        <v>45888.0</v>
      </c>
      <c r="B544" s="603" t="s">
        <v>10361</v>
      </c>
      <c r="C544" s="822" t="s">
        <v>3713</v>
      </c>
      <c r="D544" s="835" t="s">
        <v>10362</v>
      </c>
      <c r="E544" s="594" t="str">
        <f>IFERROR(VLOOKUP(D544,Stock,3,FALSE),"")</f>
        <v>Mitsubishi Canter FE700 01- (PS110,125)</v>
      </c>
      <c r="F544" s="822">
        <v>2.0</v>
      </c>
      <c r="G544" s="769"/>
      <c r="H544" s="824">
        <f t="shared" si="7"/>
        <v>0</v>
      </c>
      <c r="I544" s="825"/>
      <c r="J544" s="826"/>
      <c r="K544" s="827"/>
      <c r="L544" s="828"/>
    </row>
    <row r="545" ht="15.0" customHeight="1">
      <c r="A545" s="834">
        <v>45888.0</v>
      </c>
      <c r="B545" s="603" t="s">
        <v>10361</v>
      </c>
      <c r="C545" s="822" t="s">
        <v>3713</v>
      </c>
      <c r="D545" s="835" t="s">
        <v>5576</v>
      </c>
      <c r="E545" s="594" t="str">
        <f>IFERROR(VLOOKUP(D545,Stock,3,FALSE),"")</f>
        <v>Mitsubishi Canter FE300 85- (PS100,120,135 kabin kecil)</v>
      </c>
      <c r="F545" s="822">
        <v>2.0</v>
      </c>
      <c r="G545" s="769"/>
      <c r="H545" s="824">
        <f t="shared" si="7"/>
        <v>0</v>
      </c>
      <c r="I545" s="825"/>
      <c r="J545" s="826"/>
      <c r="K545" s="827"/>
      <c r="L545" s="828"/>
    </row>
    <row r="546" ht="15.0" customHeight="1">
      <c r="A546" s="834">
        <v>45888.0</v>
      </c>
      <c r="B546" s="603" t="s">
        <v>10361</v>
      </c>
      <c r="C546" s="822" t="s">
        <v>3713</v>
      </c>
      <c r="D546" s="835" t="s">
        <v>6850</v>
      </c>
      <c r="E546" s="594" t="str">
        <f>IFERROR(VLOOKUP(D546,Stock,3,FALSE),"")</f>
        <v>Isuzu Elf 17- New NMR NLR / Isuzu Giga </v>
      </c>
      <c r="F546" s="822">
        <v>1.0</v>
      </c>
      <c r="G546" s="769"/>
      <c r="H546" s="824">
        <f t="shared" si="7"/>
        <v>0</v>
      </c>
      <c r="I546" s="825"/>
      <c r="J546" s="826"/>
      <c r="K546" s="827"/>
      <c r="L546" s="828"/>
    </row>
    <row r="547" ht="15.0" customHeight="1">
      <c r="A547" s="834">
        <v>45888.0</v>
      </c>
      <c r="B547" s="603" t="s">
        <v>10361</v>
      </c>
      <c r="C547" s="822" t="s">
        <v>3713</v>
      </c>
      <c r="D547" s="835" t="s">
        <v>6853</v>
      </c>
      <c r="E547" s="594" t="str">
        <f>IFERROR(VLOOKUP(D547,Stock,3,FALSE),"")</f>
        <v>Isuzu Elf 17- New NMR NLR / Isuzu Giga </v>
      </c>
      <c r="F547" s="822">
        <v>2.0</v>
      </c>
      <c r="G547" s="769"/>
      <c r="H547" s="824">
        <f t="shared" si="7"/>
        <v>0</v>
      </c>
      <c r="I547" s="825"/>
      <c r="J547" s="826"/>
      <c r="K547" s="827"/>
      <c r="L547" s="828"/>
    </row>
    <row r="548" ht="15.0" customHeight="1">
      <c r="A548" s="834">
        <v>45888.0</v>
      </c>
      <c r="B548" s="603" t="s">
        <v>10361</v>
      </c>
      <c r="C548" s="822" t="s">
        <v>3713</v>
      </c>
      <c r="D548" s="835" t="s">
        <v>8836</v>
      </c>
      <c r="E548" s="594" t="str">
        <f>IFERROR(VLOOKUP(D548,Stock,3,FALSE),"")</f>
        <v>Toyota Dyna/Hino Dutro 00-</v>
      </c>
      <c r="F548" s="822">
        <v>2.0</v>
      </c>
      <c r="G548" s="769"/>
      <c r="H548" s="824">
        <f t="shared" si="7"/>
        <v>0</v>
      </c>
      <c r="I548" s="825"/>
      <c r="J548" s="826"/>
      <c r="K548" s="827"/>
      <c r="L548" s="828"/>
    </row>
    <row r="549" ht="15.0" customHeight="1">
      <c r="A549" s="834">
        <v>45888.0</v>
      </c>
      <c r="B549" s="603" t="s">
        <v>10361</v>
      </c>
      <c r="C549" s="822" t="s">
        <v>3713</v>
      </c>
      <c r="D549" s="835" t="s">
        <v>4829</v>
      </c>
      <c r="E549" s="594" t="str">
        <f>IFERROR(VLOOKUP(D549,Stock,3,FALSE),"")</f>
        <v>Daihatsu Gran Max</v>
      </c>
      <c r="F549" s="822">
        <v>3.0</v>
      </c>
      <c r="G549" s="769"/>
      <c r="H549" s="824">
        <f t="shared" si="7"/>
        <v>0</v>
      </c>
      <c r="I549" s="825"/>
      <c r="J549" s="826"/>
      <c r="K549" s="827"/>
      <c r="L549" s="828"/>
    </row>
    <row r="550" ht="15.0" customHeight="1">
      <c r="A550" s="834">
        <v>45888.0</v>
      </c>
      <c r="B550" s="603" t="s">
        <v>10361</v>
      </c>
      <c r="C550" s="822" t="s">
        <v>3713</v>
      </c>
      <c r="D550" s="835" t="s">
        <v>3691</v>
      </c>
      <c r="E550" s="594" t="str">
        <f>IFERROR(VLOOKUP(D550,Stock,3,FALSE),"")</f>
        <v>Daihatsu Gran Max</v>
      </c>
      <c r="F550" s="822">
        <v>1.0</v>
      </c>
      <c r="G550" s="769"/>
      <c r="H550" s="824">
        <f t="shared" si="7"/>
        <v>0</v>
      </c>
      <c r="I550" s="825"/>
      <c r="J550" s="826"/>
      <c r="K550" s="827"/>
      <c r="L550" s="828"/>
    </row>
    <row r="551" ht="15.0" customHeight="1">
      <c r="A551" s="834">
        <v>45888.0</v>
      </c>
      <c r="B551" s="603" t="s">
        <v>10363</v>
      </c>
      <c r="C551" s="822" t="s">
        <v>3713</v>
      </c>
      <c r="D551" s="835" t="s">
        <v>10364</v>
      </c>
      <c r="E551" s="594" t="str">
        <f>IFERROR(VLOOKUP(D551,Stock,3,FALSE),"")</f>
        <v>Suzuki Ertiga 12-18 1st Gen MPV</v>
      </c>
      <c r="F551" s="822">
        <v>1.0</v>
      </c>
      <c r="G551" s="769"/>
      <c r="H551" s="824">
        <f t="shared" si="7"/>
        <v>0</v>
      </c>
      <c r="I551" s="825"/>
      <c r="J551" s="826"/>
      <c r="K551" s="827"/>
      <c r="L551" s="828"/>
    </row>
    <row r="552" ht="15.0" customHeight="1">
      <c r="A552" s="834">
        <v>45888.0</v>
      </c>
      <c r="B552" s="603" t="s">
        <v>10363</v>
      </c>
      <c r="C552" s="822" t="s">
        <v>3713</v>
      </c>
      <c r="D552" s="835" t="s">
        <v>5535</v>
      </c>
      <c r="E552" s="594" t="str">
        <f>IFERROR(VLOOKUP(D552,Stock,3,FALSE),"")</f>
        <v>Nissan Livina   07-18 L10/L11</v>
      </c>
      <c r="F552" s="822">
        <v>1.0</v>
      </c>
      <c r="G552" s="769"/>
      <c r="H552" s="824">
        <f t="shared" si="7"/>
        <v>0</v>
      </c>
      <c r="I552" s="825"/>
      <c r="J552" s="826"/>
      <c r="K552" s="827"/>
      <c r="L552" s="828"/>
    </row>
    <row r="553" ht="15.0" customHeight="1">
      <c r="A553" s="834">
        <v>45888.0</v>
      </c>
      <c r="B553" s="603" t="s">
        <v>10363</v>
      </c>
      <c r="C553" s="822" t="s">
        <v>3713</v>
      </c>
      <c r="D553" s="835" t="s">
        <v>5460</v>
      </c>
      <c r="E553" s="594" t="str">
        <f>IFERROR(VLOOKUP(D553,Stock,3,FALSE),"")</f>
        <v>Toyota Avanza / Xenia 11-15 2nd Gen / 15-21 3rd Gen</v>
      </c>
      <c r="F553" s="822">
        <v>1.0</v>
      </c>
      <c r="G553" s="769"/>
      <c r="H553" s="824">
        <f t="shared" si="7"/>
        <v>0</v>
      </c>
      <c r="I553" s="825"/>
      <c r="J553" s="826"/>
      <c r="K553" s="827"/>
      <c r="L553" s="828"/>
    </row>
    <row r="554" ht="15.0" customHeight="1">
      <c r="A554" s="834">
        <v>45888.0</v>
      </c>
      <c r="B554" s="603" t="s">
        <v>10363</v>
      </c>
      <c r="C554" s="822" t="s">
        <v>3713</v>
      </c>
      <c r="D554" s="835" t="s">
        <v>7154</v>
      </c>
      <c r="E554" s="594" t="str">
        <f>IFERROR(VLOOKUP(D554,Stock,3,FALSE),"")</f>
        <v>Toyota Avanza / Xenia 03-11 1st Gen</v>
      </c>
      <c r="F554" s="822">
        <v>3.0</v>
      </c>
      <c r="G554" s="769"/>
      <c r="H554" s="824">
        <f t="shared" si="7"/>
        <v>0</v>
      </c>
      <c r="I554" s="825"/>
      <c r="J554" s="826"/>
      <c r="K554" s="827"/>
      <c r="L554" s="828"/>
    </row>
    <row r="555" ht="15.0" customHeight="1">
      <c r="A555" s="834">
        <v>45888.0</v>
      </c>
      <c r="B555" s="603" t="s">
        <v>10363</v>
      </c>
      <c r="C555" s="822" t="s">
        <v>3713</v>
      </c>
      <c r="D555" s="835" t="s">
        <v>3511</v>
      </c>
      <c r="E555" s="594" t="str">
        <f>IFERROR(VLOOKUP(D555,Stock,3,FALSE),"")</f>
        <v>Toyota Rush / Terios 06-17</v>
      </c>
      <c r="F555" s="822">
        <v>1.0</v>
      </c>
      <c r="G555" s="769"/>
      <c r="H555" s="824">
        <f t="shared" si="7"/>
        <v>0</v>
      </c>
      <c r="I555" s="825"/>
      <c r="J555" s="826"/>
      <c r="K555" s="827"/>
      <c r="L555" s="828"/>
    </row>
    <row r="556" ht="15.0" customHeight="1">
      <c r="A556" s="834">
        <v>45888.0</v>
      </c>
      <c r="B556" s="603" t="s">
        <v>10363</v>
      </c>
      <c r="C556" s="822" t="s">
        <v>3713</v>
      </c>
      <c r="D556" s="835" t="s">
        <v>3329</v>
      </c>
      <c r="E556" s="594" t="str">
        <f>IFERROR(VLOOKUP(D556,Stock,3,FALSE),"")</f>
        <v>Toyota Avanza / Xenia 21- 4th Gen</v>
      </c>
      <c r="F556" s="822">
        <v>2.0</v>
      </c>
      <c r="G556" s="769"/>
      <c r="H556" s="824">
        <f t="shared" si="7"/>
        <v>0</v>
      </c>
      <c r="I556" s="825"/>
      <c r="J556" s="826"/>
      <c r="K556" s="827"/>
      <c r="L556" s="828"/>
    </row>
    <row r="557" ht="15.0" customHeight="1">
      <c r="A557" s="834">
        <v>45888.0</v>
      </c>
      <c r="B557" s="603" t="s">
        <v>10363</v>
      </c>
      <c r="C557" s="822" t="s">
        <v>3713</v>
      </c>
      <c r="D557" s="835" t="s">
        <v>3269</v>
      </c>
      <c r="E557" s="594" t="str">
        <f>IFERROR(VLOOKUP(D557,Stock,3,FALSE),"")</f>
        <v>Mitsubishi Pajero 16-</v>
      </c>
      <c r="F557" s="822">
        <v>2.0</v>
      </c>
      <c r="G557" s="769"/>
      <c r="H557" s="824">
        <f t="shared" si="7"/>
        <v>0</v>
      </c>
      <c r="I557" s="825"/>
      <c r="J557" s="826"/>
      <c r="K557" s="827"/>
      <c r="L557" s="828"/>
    </row>
    <row r="558" ht="15.0" customHeight="1">
      <c r="A558" s="834">
        <v>45888.0</v>
      </c>
      <c r="B558" s="603" t="s">
        <v>10363</v>
      </c>
      <c r="C558" s="822" t="s">
        <v>3713</v>
      </c>
      <c r="D558" s="835" t="s">
        <v>10365</v>
      </c>
      <c r="E558" s="594" t="str">
        <f>IFERROR(VLOOKUP(D558,Stock,3,FALSE),"")</f>
        <v>Daihatsu Gran Max / Luxio 07-</v>
      </c>
      <c r="F558" s="822">
        <v>4.0</v>
      </c>
      <c r="G558" s="769"/>
      <c r="H558" s="824">
        <f t="shared" si="7"/>
        <v>0</v>
      </c>
      <c r="I558" s="825"/>
      <c r="J558" s="826"/>
      <c r="K558" s="827"/>
      <c r="L558" s="828"/>
    </row>
    <row r="559" ht="15.0" customHeight="1">
      <c r="A559" s="834">
        <v>45888.0</v>
      </c>
      <c r="B559" s="603" t="s">
        <v>10363</v>
      </c>
      <c r="C559" s="822" t="s">
        <v>3713</v>
      </c>
      <c r="D559" s="835" t="s">
        <v>5225</v>
      </c>
      <c r="E559" s="594" t="str">
        <f>IFERROR(VLOOKUP(D559,Stock,3,FALSE),"")</f>
        <v>Toyota Avanza / Xenia 11-15 2nd Gen/3rd Gen</v>
      </c>
      <c r="F559" s="822">
        <v>4.0</v>
      </c>
      <c r="G559" s="769"/>
      <c r="H559" s="824">
        <f t="shared" si="7"/>
        <v>0</v>
      </c>
      <c r="I559" s="825"/>
      <c r="J559" s="826"/>
      <c r="K559" s="827"/>
      <c r="L559" s="828"/>
    </row>
    <row r="560" ht="15.0" customHeight="1">
      <c r="A560" s="834">
        <v>45888.0</v>
      </c>
      <c r="B560" s="603" t="s">
        <v>10363</v>
      </c>
      <c r="C560" s="822" t="s">
        <v>3713</v>
      </c>
      <c r="D560" s="835" t="s">
        <v>4721</v>
      </c>
      <c r="E560" s="594" t="str">
        <f>IFERROR(VLOOKUP(D560,Stock,3,FALSE),"")</f>
        <v>Toyota Avanza / Xenia 21- 4th Gen</v>
      </c>
      <c r="F560" s="822">
        <v>2.0</v>
      </c>
      <c r="G560" s="769"/>
      <c r="H560" s="824">
        <f t="shared" si="7"/>
        <v>0</v>
      </c>
      <c r="I560" s="825"/>
      <c r="J560" s="826"/>
      <c r="K560" s="827"/>
      <c r="L560" s="828"/>
    </row>
    <row r="561" ht="15.0" customHeight="1">
      <c r="A561" s="834">
        <v>45888.0</v>
      </c>
      <c r="B561" s="603" t="s">
        <v>10363</v>
      </c>
      <c r="C561" s="822" t="s">
        <v>3713</v>
      </c>
      <c r="D561" s="835" t="s">
        <v>3756</v>
      </c>
      <c r="E561" s="594" t="str">
        <f>IFERROR(VLOOKUP(D561,Stock,3,FALSE),"")</f>
        <v>Daihatsu Gran Max / Luxio 07-</v>
      </c>
      <c r="F561" s="822">
        <v>4.0</v>
      </c>
      <c r="G561" s="769"/>
      <c r="H561" s="824">
        <f t="shared" si="7"/>
        <v>0</v>
      </c>
      <c r="I561" s="825"/>
      <c r="J561" s="826"/>
      <c r="K561" s="827"/>
      <c r="L561" s="828"/>
    </row>
    <row r="562" ht="15.0" customHeight="1">
      <c r="A562" s="834">
        <v>45888.0</v>
      </c>
      <c r="B562" s="603" t="s">
        <v>10363</v>
      </c>
      <c r="C562" s="822" t="s">
        <v>3713</v>
      </c>
      <c r="D562" s="835" t="s">
        <v>10366</v>
      </c>
      <c r="E562" s="594" t="str">
        <f>IFERROR(VLOOKUP(D562,Stock,3,FALSE),"")</f>
        <v>Toyota Rush / Terios 18-</v>
      </c>
      <c r="F562" s="822">
        <v>1.0</v>
      </c>
      <c r="G562" s="769"/>
      <c r="H562" s="824">
        <f t="shared" si="7"/>
        <v>0</v>
      </c>
      <c r="I562" s="825"/>
      <c r="J562" s="826"/>
      <c r="K562" s="827"/>
      <c r="L562" s="828"/>
    </row>
    <row r="563" ht="15.0" customHeight="1">
      <c r="A563" s="834">
        <v>45888.0</v>
      </c>
      <c r="B563" s="603" t="s">
        <v>10363</v>
      </c>
      <c r="C563" s="822" t="s">
        <v>3713</v>
      </c>
      <c r="D563" s="835" t="s">
        <v>5935</v>
      </c>
      <c r="E563" s="594" t="str">
        <f>IFERROR(VLOOKUP(D563,Stock,3,FALSE),"")</f>
        <v>Toyota Innova 04-15 1st Gen</v>
      </c>
      <c r="F563" s="822">
        <v>1.0</v>
      </c>
      <c r="G563" s="769"/>
      <c r="H563" s="824">
        <f t="shared" si="7"/>
        <v>0</v>
      </c>
      <c r="I563" s="825"/>
      <c r="J563" s="826"/>
      <c r="K563" s="827"/>
      <c r="L563" s="828"/>
    </row>
    <row r="564" ht="15.0" customHeight="1">
      <c r="A564" s="834">
        <v>45888.0</v>
      </c>
      <c r="B564" s="603" t="s">
        <v>10363</v>
      </c>
      <c r="C564" s="822" t="s">
        <v>3713</v>
      </c>
      <c r="D564" s="835" t="s">
        <v>3057</v>
      </c>
      <c r="E564" s="594" t="str">
        <f>IFERROR(VLOOKUP(D564,Stock,3,FALSE),"")</f>
        <v>Toyota Innova 04-15 1st Gen</v>
      </c>
      <c r="F564" s="822">
        <v>1.0</v>
      </c>
      <c r="G564" s="769"/>
      <c r="H564" s="824">
        <f t="shared" si="7"/>
        <v>0</v>
      </c>
      <c r="I564" s="825"/>
      <c r="J564" s="826"/>
      <c r="K564" s="827"/>
      <c r="L564" s="828"/>
    </row>
    <row r="565" ht="15.0" customHeight="1">
      <c r="A565" s="834">
        <v>45888.0</v>
      </c>
      <c r="B565" s="603" t="s">
        <v>10363</v>
      </c>
      <c r="C565" s="822" t="s">
        <v>3713</v>
      </c>
      <c r="D565" s="835" t="s">
        <v>10367</v>
      </c>
      <c r="E565" s="594" t="str">
        <f>IFERROR(VLOOKUP(D565,Stock,3,FALSE),"")</f>
        <v>Toyota Agya/Ayla 13-22 1st Gen</v>
      </c>
      <c r="F565" s="822">
        <v>1.0</v>
      </c>
      <c r="G565" s="769"/>
      <c r="H565" s="824">
        <f t="shared" si="7"/>
        <v>0</v>
      </c>
      <c r="I565" s="825"/>
      <c r="J565" s="826"/>
      <c r="K565" s="827"/>
      <c r="L565" s="828"/>
    </row>
    <row r="566" ht="15.0" customHeight="1">
      <c r="A566" s="834">
        <v>45888.0</v>
      </c>
      <c r="B566" s="603" t="s">
        <v>10363</v>
      </c>
      <c r="C566" s="822" t="s">
        <v>3713</v>
      </c>
      <c r="D566" s="835" t="s">
        <v>10368</v>
      </c>
      <c r="E566" s="594" t="str">
        <f>IFERROR(VLOOKUP(D566,Stock,3,FALSE),"")</f>
        <v>Mitsubishi Kuda 99-06</v>
      </c>
      <c r="F566" s="822">
        <v>1.0</v>
      </c>
      <c r="G566" s="769"/>
      <c r="H566" s="824">
        <f t="shared" si="7"/>
        <v>0</v>
      </c>
      <c r="I566" s="825"/>
      <c r="J566" s="826"/>
      <c r="K566" s="827"/>
      <c r="L566" s="828"/>
    </row>
    <row r="567" ht="15.0" customHeight="1">
      <c r="A567" s="834">
        <v>45888.0</v>
      </c>
      <c r="B567" s="603" t="s">
        <v>10363</v>
      </c>
      <c r="C567" s="822" t="s">
        <v>3713</v>
      </c>
      <c r="D567" s="835" t="s">
        <v>10369</v>
      </c>
      <c r="E567" s="594" t="str">
        <f>IFERROR(VLOOKUP(D567,Stock,3,FALSE),"")</f>
        <v>Suzuki Carry (1000cc)</v>
      </c>
      <c r="F567" s="822">
        <v>1.0</v>
      </c>
      <c r="G567" s="769"/>
      <c r="H567" s="824">
        <f t="shared" si="7"/>
        <v>0</v>
      </c>
      <c r="I567" s="825"/>
      <c r="J567" s="826"/>
      <c r="K567" s="827"/>
      <c r="L567" s="828"/>
    </row>
    <row r="568" ht="15.0" customHeight="1">
      <c r="A568" s="834">
        <v>45888.0</v>
      </c>
      <c r="B568" s="603" t="s">
        <v>10363</v>
      </c>
      <c r="C568" s="822" t="s">
        <v>3713</v>
      </c>
      <c r="D568" s="835" t="s">
        <v>7502</v>
      </c>
      <c r="E568" s="594" t="str">
        <f>IFERROR(VLOOKUP(D568,Stock,3,FALSE),"")</f>
        <v>Toyota Avanza / Xenia 03-11 1st Gen</v>
      </c>
      <c r="F568" s="822">
        <v>1.0</v>
      </c>
      <c r="G568" s="769"/>
      <c r="H568" s="824">
        <f t="shared" si="7"/>
        <v>0</v>
      </c>
      <c r="I568" s="825"/>
      <c r="J568" s="826"/>
      <c r="K568" s="827"/>
      <c r="L568" s="828"/>
    </row>
    <row r="569" ht="15.0" customHeight="1">
      <c r="A569" s="786">
        <v>45891.0</v>
      </c>
      <c r="B569" s="856" t="s">
        <v>10370</v>
      </c>
      <c r="C569" s="788" t="s">
        <v>10139</v>
      </c>
      <c r="D569" s="789" t="s">
        <v>4544</v>
      </c>
      <c r="E569" s="790" t="str">
        <f>IFERROR(VLOOKUP(D569,Stock,3,FALSE),"")</f>
        <v>Toyota Avanza / Xenia 03-11 1st Gen</v>
      </c>
      <c r="F569" s="788">
        <v>1.0</v>
      </c>
      <c r="G569" s="811">
        <v>365175.0</v>
      </c>
      <c r="H569" s="799">
        <f t="shared" si="7"/>
        <v>365175</v>
      </c>
      <c r="I569" s="800"/>
      <c r="J569" s="812"/>
      <c r="K569" s="813"/>
      <c r="L569" s="802" t="s">
        <v>10137</v>
      </c>
      <c r="M569" s="806" t="s">
        <v>10371</v>
      </c>
      <c r="N569" s="837">
        <v>45917.0</v>
      </c>
      <c r="O569" s="803"/>
    </row>
    <row r="570" ht="15.0" customHeight="1">
      <c r="A570" s="786">
        <v>45891.0</v>
      </c>
      <c r="B570" s="787" t="s">
        <v>10372</v>
      </c>
      <c r="C570" s="788" t="s">
        <v>66</v>
      </c>
      <c r="D570" s="789" t="s">
        <v>4534</v>
      </c>
      <c r="E570" s="790" t="str">
        <f>IFERROR(VLOOKUP(D570,Stock,3,FALSE),"")</f>
        <v>Suzuki Ertiga 12-18 1st Gen MPV</v>
      </c>
      <c r="F570" s="788">
        <v>1.0</v>
      </c>
      <c r="G570" s="811">
        <v>200000.0</v>
      </c>
      <c r="H570" s="799">
        <f t="shared" si="7"/>
        <v>200000</v>
      </c>
      <c r="I570" s="800"/>
      <c r="J570" s="812"/>
      <c r="K570" s="813"/>
      <c r="L570" s="802" t="s">
        <v>10137</v>
      </c>
      <c r="M570" s="806" t="s">
        <v>10371</v>
      </c>
      <c r="N570" s="837">
        <v>45906.0</v>
      </c>
      <c r="O570" s="803"/>
    </row>
    <row r="571" ht="15.0" customHeight="1">
      <c r="A571" s="786">
        <v>45891.0</v>
      </c>
      <c r="B571" s="787" t="s">
        <v>10372</v>
      </c>
      <c r="C571" s="788" t="s">
        <v>66</v>
      </c>
      <c r="D571" s="789" t="s">
        <v>4547</v>
      </c>
      <c r="E571" s="790" t="str">
        <f>IFERROR(VLOOKUP(D571,Stock,3,FALSE),"")</f>
        <v>Mitsubishi L300</v>
      </c>
      <c r="F571" s="788">
        <v>1.0</v>
      </c>
      <c r="G571" s="811">
        <v>200000.0</v>
      </c>
      <c r="H571" s="799">
        <f t="shared" si="7"/>
        <v>200000</v>
      </c>
      <c r="I571" s="800"/>
      <c r="J571" s="812"/>
      <c r="K571" s="813"/>
      <c r="L571" s="802" t="s">
        <v>10137</v>
      </c>
      <c r="M571" s="806" t="s">
        <v>10371</v>
      </c>
      <c r="N571" s="837">
        <v>45906.0</v>
      </c>
      <c r="O571" s="803"/>
    </row>
    <row r="572" ht="15.0" customHeight="1">
      <c r="A572" s="786">
        <v>45894.0</v>
      </c>
      <c r="B572" s="787" t="s">
        <v>10373</v>
      </c>
      <c r="C572" s="788" t="s">
        <v>66</v>
      </c>
      <c r="D572" s="789" t="s">
        <v>4277</v>
      </c>
      <c r="E572" s="790" t="str">
        <f>IFERROR(VLOOKUP(D572,Stock,3,FALSE),"")</f>
        <v>Toyota Fortuner 15-  2nd Gen</v>
      </c>
      <c r="F572" s="788">
        <v>1.0</v>
      </c>
      <c r="G572" s="811">
        <v>300000.0</v>
      </c>
      <c r="H572" s="799">
        <f t="shared" si="7"/>
        <v>300000</v>
      </c>
      <c r="I572" s="800"/>
      <c r="J572" s="812"/>
      <c r="K572" s="813"/>
      <c r="L572" s="802" t="s">
        <v>10137</v>
      </c>
      <c r="M572" s="806" t="s">
        <v>10371</v>
      </c>
      <c r="N572" s="837">
        <v>45909.0</v>
      </c>
      <c r="O572" s="803"/>
    </row>
    <row r="573" ht="15.0" customHeight="1">
      <c r="A573" s="786">
        <v>45895.0</v>
      </c>
      <c r="B573" s="787">
        <v>2508862.0</v>
      </c>
      <c r="C573" s="788" t="s">
        <v>10136</v>
      </c>
      <c r="D573" s="789" t="s">
        <v>3333</v>
      </c>
      <c r="E573" s="790" t="str">
        <f>IFERROR(VLOOKUP(D573,Stock,3,FALSE),"")</f>
        <v>Toyota Alphard 18- ANH30 3rd Gen (Sensor bwh keramik)</v>
      </c>
      <c r="F573" s="788">
        <v>1.0</v>
      </c>
      <c r="G573" s="811">
        <v>1848550.0</v>
      </c>
      <c r="H573" s="799">
        <f t="shared" si="7"/>
        <v>1848550</v>
      </c>
      <c r="I573" s="800"/>
      <c r="J573" s="812"/>
      <c r="K573" s="813"/>
      <c r="L573" s="802" t="s">
        <v>10137</v>
      </c>
      <c r="M573" s="806" t="s">
        <v>2763</v>
      </c>
      <c r="N573" s="854">
        <v>45951.0</v>
      </c>
      <c r="O573" s="803"/>
    </row>
    <row r="574" ht="15.0" customHeight="1">
      <c r="A574" s="786">
        <v>45895.0</v>
      </c>
      <c r="B574" s="787">
        <v>2508862.0</v>
      </c>
      <c r="C574" s="788" t="s">
        <v>10136</v>
      </c>
      <c r="D574" s="789" t="s">
        <v>3246</v>
      </c>
      <c r="E574" s="790" t="str">
        <f>IFERROR(VLOOKUP(D574,Stock,3,FALSE),"")</f>
        <v>Toyota Calya / Sigra 16-</v>
      </c>
      <c r="F574" s="788">
        <v>3.0</v>
      </c>
      <c r="G574" s="811">
        <v>505450.0</v>
      </c>
      <c r="H574" s="799">
        <f t="shared" si="7"/>
        <v>1516350</v>
      </c>
      <c r="I574" s="800"/>
      <c r="J574" s="812"/>
      <c r="K574" s="813"/>
      <c r="L574" s="802" t="s">
        <v>10137</v>
      </c>
      <c r="M574" s="806" t="s">
        <v>2763</v>
      </c>
      <c r="N574" s="854">
        <v>45951.0</v>
      </c>
      <c r="O574" s="803"/>
    </row>
    <row r="575" ht="15.0" customHeight="1">
      <c r="A575" s="786">
        <v>45895.0</v>
      </c>
      <c r="B575" s="787">
        <v>2508862.0</v>
      </c>
      <c r="C575" s="788" t="s">
        <v>10136</v>
      </c>
      <c r="D575" s="789" t="s">
        <v>4644</v>
      </c>
      <c r="E575" s="790" t="str">
        <f>IFERROR(VLOOKUP(D575,Stock,3,FALSE),"")</f>
        <v>Toyota Raize / Daihatsu Rocky 20-</v>
      </c>
      <c r="F575" s="788">
        <v>1.0</v>
      </c>
      <c r="G575" s="811">
        <v>659450.0</v>
      </c>
      <c r="H575" s="799">
        <f t="shared" si="7"/>
        <v>659450</v>
      </c>
      <c r="I575" s="800"/>
      <c r="J575" s="812"/>
      <c r="K575" s="813"/>
      <c r="L575" s="802" t="s">
        <v>10137</v>
      </c>
      <c r="M575" s="806" t="s">
        <v>2763</v>
      </c>
      <c r="N575" s="854">
        <v>45951.0</v>
      </c>
      <c r="O575" s="803"/>
    </row>
    <row r="576" ht="15.0" customHeight="1">
      <c r="A576" s="786">
        <v>45896.0</v>
      </c>
      <c r="B576" s="787" t="s">
        <v>10374</v>
      </c>
      <c r="C576" s="788" t="s">
        <v>79</v>
      </c>
      <c r="D576" s="789" t="s">
        <v>4017</v>
      </c>
      <c r="E576" s="790" t="str">
        <f>IFERROR(VLOOKUP(D576,Stock,3,FALSE),"")</f>
        <v>Black Phantom Solar Gard</v>
      </c>
      <c r="F576" s="788">
        <v>1.0</v>
      </c>
      <c r="G576" s="811">
        <v>800000.0</v>
      </c>
      <c r="H576" s="799">
        <f t="shared" si="7"/>
        <v>800000</v>
      </c>
      <c r="I576" s="800"/>
      <c r="J576" s="812"/>
      <c r="K576" s="813"/>
      <c r="L576" s="802" t="s">
        <v>10137</v>
      </c>
      <c r="M576" s="806" t="s">
        <v>2763</v>
      </c>
      <c r="N576" s="854">
        <v>45944.0</v>
      </c>
      <c r="O576" s="803"/>
    </row>
    <row r="577" ht="15.0" customHeight="1">
      <c r="A577" s="786">
        <v>45897.0</v>
      </c>
      <c r="B577" s="787" t="s">
        <v>10375</v>
      </c>
      <c r="C577" s="788" t="s">
        <v>2643</v>
      </c>
      <c r="D577" s="789" t="s">
        <v>6682</v>
      </c>
      <c r="E577" s="790" t="str">
        <f>IFERROR(VLOOKUP(D577,Stock,3,FALSE),"")</f>
        <v>Toyota Raize / Daihatsu Rocky 20- (2 Sensor / /\/\ ) (Toyota/Daihasu)</v>
      </c>
      <c r="F577" s="788">
        <v>1.0</v>
      </c>
      <c r="G577" s="811">
        <v>1505119.0</v>
      </c>
      <c r="H577" s="799">
        <f t="shared" si="7"/>
        <v>1505119</v>
      </c>
      <c r="I577" s="800"/>
      <c r="J577" s="812"/>
      <c r="K577" s="813"/>
      <c r="L577" s="802" t="s">
        <v>10137</v>
      </c>
      <c r="M577" s="806" t="s">
        <v>2763</v>
      </c>
      <c r="N577" s="854">
        <v>45951.0</v>
      </c>
      <c r="O577" s="803"/>
    </row>
    <row r="578" ht="15.0" customHeight="1">
      <c r="A578" s="786">
        <v>45897.0</v>
      </c>
      <c r="B578" s="787" t="s">
        <v>10376</v>
      </c>
      <c r="C578" s="788" t="s">
        <v>2643</v>
      </c>
      <c r="D578" s="789" t="s">
        <v>4639</v>
      </c>
      <c r="E578" s="790" t="str">
        <f>IFERROR(VLOOKUP(D578,Stock,3,FALSE),"")</f>
        <v>Toyota Innova 22- Zenyx 3rd Gen (Toyota)</v>
      </c>
      <c r="F578" s="788">
        <v>2.0</v>
      </c>
      <c r="G578" s="811">
        <v>157699.0</v>
      </c>
      <c r="H578" s="799">
        <f t="shared" si="7"/>
        <v>315398</v>
      </c>
      <c r="I578" s="800"/>
      <c r="J578" s="812"/>
      <c r="K578" s="813"/>
      <c r="L578" s="802" t="s">
        <v>10137</v>
      </c>
      <c r="M578" s="806" t="s">
        <v>2763</v>
      </c>
      <c r="N578" s="854">
        <v>45951.0</v>
      </c>
      <c r="O578" s="803"/>
    </row>
    <row r="579" ht="15.0" customHeight="1">
      <c r="A579" s="786">
        <v>45897.0</v>
      </c>
      <c r="B579" s="787" t="s">
        <v>10376</v>
      </c>
      <c r="C579" s="788" t="s">
        <v>2643</v>
      </c>
      <c r="D579" s="789" t="s">
        <v>4641</v>
      </c>
      <c r="E579" s="790" t="str">
        <f>IFERROR(VLOOKUP(D579,Stock,3,FALSE),"")</f>
        <v>Toyota Innova 22- Zenyx 3rd Gen (Toyota)</v>
      </c>
      <c r="F579" s="788">
        <v>2.0</v>
      </c>
      <c r="G579" s="811">
        <v>142500.0</v>
      </c>
      <c r="H579" s="799">
        <f t="shared" si="7"/>
        <v>285000</v>
      </c>
      <c r="I579" s="800"/>
      <c r="J579" s="812"/>
      <c r="K579" s="813"/>
      <c r="L579" s="802" t="s">
        <v>10137</v>
      </c>
      <c r="M579" s="806" t="s">
        <v>2763</v>
      </c>
      <c r="N579" s="854">
        <v>45951.0</v>
      </c>
      <c r="O579" s="803"/>
    </row>
    <row r="580" ht="15.0" customHeight="1">
      <c r="A580" s="786">
        <v>45897.0</v>
      </c>
      <c r="B580" s="787" t="s">
        <v>10376</v>
      </c>
      <c r="C580" s="788" t="s">
        <v>2643</v>
      </c>
      <c r="D580" s="789" t="s">
        <v>4642</v>
      </c>
      <c r="E580" s="790" t="str">
        <f>IFERROR(VLOOKUP(D580,Stock,3,FALSE),"")</f>
        <v>Toyota Innova 22- Zenyx 3rd Gen (Toyota)</v>
      </c>
      <c r="F580" s="788">
        <v>2.0</v>
      </c>
      <c r="G580" s="811">
        <v>313500.0</v>
      </c>
      <c r="H580" s="799">
        <f t="shared" si="7"/>
        <v>627000</v>
      </c>
      <c r="I580" s="800"/>
      <c r="J580" s="812"/>
      <c r="K580" s="813"/>
      <c r="L580" s="802" t="s">
        <v>10137</v>
      </c>
      <c r="M580" s="806" t="s">
        <v>2763</v>
      </c>
      <c r="N580" s="854">
        <v>45951.0</v>
      </c>
      <c r="O580" s="803"/>
    </row>
    <row r="581" ht="15.0" customHeight="1">
      <c r="A581" s="786">
        <v>45897.0</v>
      </c>
      <c r="B581" s="787" t="s">
        <v>10376</v>
      </c>
      <c r="C581" s="788" t="s">
        <v>2643</v>
      </c>
      <c r="D581" s="789" t="s">
        <v>5063</v>
      </c>
      <c r="E581" s="790" t="str">
        <f>IFERROR(VLOOKUP(D581,Stock,3,FALSE),"")</f>
        <v>Toyota Innova 22- Zenyx 3rd Gen (Toyota)</v>
      </c>
      <c r="F581" s="788">
        <v>1.0</v>
      </c>
      <c r="G581" s="811">
        <v>157699.0</v>
      </c>
      <c r="H581" s="799">
        <f t="shared" si="7"/>
        <v>157699</v>
      </c>
      <c r="I581" s="800"/>
      <c r="J581" s="812"/>
      <c r="K581" s="813"/>
      <c r="L581" s="802" t="s">
        <v>10137</v>
      </c>
      <c r="M581" s="806" t="s">
        <v>2763</v>
      </c>
      <c r="N581" s="854">
        <v>45951.0</v>
      </c>
      <c r="O581" s="803"/>
    </row>
    <row r="582" ht="15.0" customHeight="1">
      <c r="A582" s="786">
        <v>45898.0</v>
      </c>
      <c r="B582" s="787">
        <v>2508903.0</v>
      </c>
      <c r="C582" s="788" t="s">
        <v>10136</v>
      </c>
      <c r="D582" s="789" t="s">
        <v>3727</v>
      </c>
      <c r="E582" s="790" t="str">
        <f>IFERROR(VLOOKUP(D582,Stock,3,FALSE),"")</f>
        <v>Toyota Innova 15- 2nd Gen</v>
      </c>
      <c r="F582" s="788">
        <v>2.0</v>
      </c>
      <c r="G582" s="811">
        <v>750200.0</v>
      </c>
      <c r="H582" s="799">
        <f t="shared" si="7"/>
        <v>1500400</v>
      </c>
      <c r="I582" s="800"/>
      <c r="J582" s="812"/>
      <c r="K582" s="813"/>
      <c r="L582" s="802" t="s">
        <v>10137</v>
      </c>
      <c r="M582" s="806" t="s">
        <v>10371</v>
      </c>
      <c r="N582" s="854">
        <v>45951.0</v>
      </c>
      <c r="O582" s="803"/>
    </row>
    <row r="583" ht="15.0" customHeight="1">
      <c r="A583" s="786">
        <v>45898.0</v>
      </c>
      <c r="B583" s="787" t="s">
        <v>10377</v>
      </c>
      <c r="C583" s="788" t="s">
        <v>10156</v>
      </c>
      <c r="D583" s="789" t="s">
        <v>4669</v>
      </c>
      <c r="E583" s="790" t="str">
        <f>IFERROR(VLOOKUP(D583,Stock,3,FALSE),"")</f>
        <v>Wuling Almaz (Wuling)</v>
      </c>
      <c r="F583" s="788">
        <v>1.0</v>
      </c>
      <c r="G583" s="811">
        <v>550000.0</v>
      </c>
      <c r="H583" s="799">
        <f t="shared" si="7"/>
        <v>550000</v>
      </c>
      <c r="I583" s="800"/>
      <c r="J583" s="812"/>
      <c r="K583" s="813"/>
      <c r="L583" s="802" t="s">
        <v>10137</v>
      </c>
      <c r="M583" s="806" t="s">
        <v>10371</v>
      </c>
      <c r="N583" s="837">
        <v>45909.0</v>
      </c>
      <c r="O583" s="803"/>
    </row>
    <row r="584" ht="15.0" customHeight="1">
      <c r="A584" s="786">
        <v>45898.0</v>
      </c>
      <c r="B584" s="787">
        <v>2508917.0</v>
      </c>
      <c r="C584" s="788" t="s">
        <v>10136</v>
      </c>
      <c r="D584" s="789" t="s">
        <v>5346</v>
      </c>
      <c r="E584" s="790" t="str">
        <f>IFERROR(VLOOKUP(D584,Stock,3,FALSE),"")</f>
        <v>Isuzu Traga</v>
      </c>
      <c r="F584" s="788">
        <v>1.0</v>
      </c>
      <c r="G584" s="811">
        <v>561000.0</v>
      </c>
      <c r="H584" s="799">
        <f t="shared" si="7"/>
        <v>561000</v>
      </c>
      <c r="I584" s="800"/>
      <c r="J584" s="812"/>
      <c r="K584" s="848" t="s">
        <v>9900</v>
      </c>
      <c r="L584" s="802" t="s">
        <v>10137</v>
      </c>
      <c r="M584" s="806" t="s">
        <v>10371</v>
      </c>
      <c r="N584" s="854">
        <v>45951.0</v>
      </c>
      <c r="O584" s="803"/>
    </row>
    <row r="585" ht="15.0" customHeight="1">
      <c r="A585" s="786">
        <v>45898.0</v>
      </c>
      <c r="B585" s="787">
        <v>2508917.0</v>
      </c>
      <c r="C585" s="788" t="s">
        <v>10136</v>
      </c>
      <c r="D585" s="789" t="s">
        <v>4381</v>
      </c>
      <c r="E585" s="790" t="str">
        <f>IFERROR(VLOOKUP(D585,Stock,3,FALSE),"")</f>
        <v>Toyota Fortuner 15- 2nd Gen</v>
      </c>
      <c r="F585" s="788">
        <v>1.0</v>
      </c>
      <c r="G585" s="811">
        <v>459250.0</v>
      </c>
      <c r="H585" s="799">
        <f t="shared" si="7"/>
        <v>459250</v>
      </c>
      <c r="I585" s="800"/>
      <c r="J585" s="812"/>
      <c r="K585" s="848" t="s">
        <v>9900</v>
      </c>
      <c r="L585" s="802" t="s">
        <v>10137</v>
      </c>
      <c r="M585" s="806" t="s">
        <v>10371</v>
      </c>
      <c r="N585" s="854">
        <v>45951.0</v>
      </c>
      <c r="O585" s="803"/>
    </row>
    <row r="586" ht="15.0" customHeight="1">
      <c r="A586" s="786">
        <v>45897.0</v>
      </c>
      <c r="B586" s="787" t="s">
        <v>10378</v>
      </c>
      <c r="C586" s="788" t="s">
        <v>66</v>
      </c>
      <c r="D586" s="789" t="s">
        <v>4609</v>
      </c>
      <c r="E586" s="790" t="str">
        <f>IFERROR(VLOOKUP(D586,Stock,3,FALSE),"")</f>
        <v>Mazda Biante 08- (Hitam)</v>
      </c>
      <c r="F586" s="788">
        <v>1.0</v>
      </c>
      <c r="G586" s="811">
        <v>2650000.0</v>
      </c>
      <c r="H586" s="799">
        <f t="shared" si="7"/>
        <v>2650000</v>
      </c>
      <c r="I586" s="800"/>
      <c r="J586" s="812"/>
      <c r="K586" s="813"/>
      <c r="L586" s="802" t="s">
        <v>10137</v>
      </c>
      <c r="M586" s="806" t="s">
        <v>10371</v>
      </c>
      <c r="N586" s="837">
        <v>45909.0</v>
      </c>
      <c r="O586" s="803"/>
    </row>
    <row r="587" ht="15.0" customHeight="1">
      <c r="A587" s="786">
        <v>45898.0</v>
      </c>
      <c r="B587" s="856" t="s">
        <v>10379</v>
      </c>
      <c r="C587" s="788" t="s">
        <v>10139</v>
      </c>
      <c r="D587" s="789" t="s">
        <v>2756</v>
      </c>
      <c r="E587" s="790" t="str">
        <f>IFERROR(VLOOKUP(D587,Stock,3,FALSE),"")</f>
        <v>Wuling Almaz (Sensor)</v>
      </c>
      <c r="F587" s="788">
        <v>1.0</v>
      </c>
      <c r="G587" s="811">
        <v>1822500.0</v>
      </c>
      <c r="H587" s="799">
        <f t="shared" si="7"/>
        <v>1822500</v>
      </c>
      <c r="I587" s="800"/>
      <c r="J587" s="812"/>
      <c r="K587" s="848" t="s">
        <v>9900</v>
      </c>
      <c r="L587" s="802" t="s">
        <v>10137</v>
      </c>
      <c r="M587" s="806" t="s">
        <v>10371</v>
      </c>
      <c r="N587" s="837">
        <v>45906.0</v>
      </c>
      <c r="O587" s="803"/>
    </row>
    <row r="588" ht="15.0" customHeight="1">
      <c r="A588" s="786">
        <v>45898.0</v>
      </c>
      <c r="B588" s="856" t="s">
        <v>10379</v>
      </c>
      <c r="C588" s="788" t="s">
        <v>10139</v>
      </c>
      <c r="D588" s="789" t="s">
        <v>3829</v>
      </c>
      <c r="E588" s="790" t="str">
        <f>IFERROR(VLOOKUP(D588,Stock,3,FALSE),"")</f>
        <v>Hyundai Accent Verna / Avega 01-12 Sedan</v>
      </c>
      <c r="F588" s="788">
        <v>1.0</v>
      </c>
      <c r="G588" s="811">
        <v>925000.0</v>
      </c>
      <c r="H588" s="799">
        <f t="shared" si="7"/>
        <v>925000</v>
      </c>
      <c r="I588" s="800"/>
      <c r="J588" s="812"/>
      <c r="K588" s="848" t="s">
        <v>9900</v>
      </c>
      <c r="L588" s="802" t="s">
        <v>10137</v>
      </c>
      <c r="M588" s="806" t="s">
        <v>10371</v>
      </c>
      <c r="N588" s="837">
        <v>45906.0</v>
      </c>
      <c r="O588" s="803"/>
    </row>
    <row r="589" ht="15.0" customHeight="1">
      <c r="A589" s="786">
        <v>45899.0</v>
      </c>
      <c r="B589" s="787" t="s">
        <v>10380</v>
      </c>
      <c r="C589" s="788" t="s">
        <v>66</v>
      </c>
      <c r="D589" s="789" t="s">
        <v>4653</v>
      </c>
      <c r="E589" s="790" t="str">
        <f>IFERROR(VLOOKUP(D589,Stock,3,FALSE),"")</f>
        <v>Toyota Sienta 15-</v>
      </c>
      <c r="F589" s="788">
        <v>1.0</v>
      </c>
      <c r="G589" s="811">
        <v>1200000.0</v>
      </c>
      <c r="H589" s="799">
        <f t="shared" si="7"/>
        <v>1200000</v>
      </c>
      <c r="I589" s="800"/>
      <c r="J589" s="812"/>
      <c r="K589" s="813"/>
      <c r="L589" s="802" t="s">
        <v>10137</v>
      </c>
      <c r="M589" s="806" t="s">
        <v>10371</v>
      </c>
      <c r="N589" s="837">
        <v>45909.0</v>
      </c>
      <c r="O589" s="803"/>
    </row>
    <row r="590" ht="15.0" customHeight="1">
      <c r="A590" s="786">
        <v>45899.0</v>
      </c>
      <c r="B590" s="787" t="s">
        <v>10380</v>
      </c>
      <c r="C590" s="788" t="s">
        <v>66</v>
      </c>
      <c r="D590" s="789" t="s">
        <v>4649</v>
      </c>
      <c r="E590" s="790" t="str">
        <f>IFERROR(VLOOKUP(D590,Stock,3,FALSE),"")</f>
        <v>Nissan Evalia 10- X11M</v>
      </c>
      <c r="F590" s="788">
        <v>1.0</v>
      </c>
      <c r="G590" s="811">
        <v>550000.0</v>
      </c>
      <c r="H590" s="799">
        <f t="shared" si="7"/>
        <v>550000</v>
      </c>
      <c r="I590" s="800"/>
      <c r="J590" s="812"/>
      <c r="K590" s="813"/>
      <c r="L590" s="802" t="s">
        <v>10137</v>
      </c>
      <c r="M590" s="806" t="s">
        <v>10371</v>
      </c>
      <c r="N590" s="837">
        <v>45909.0</v>
      </c>
      <c r="O590" s="803"/>
    </row>
    <row r="591" ht="15.0" customHeight="1">
      <c r="A591" s="786">
        <v>45899.0</v>
      </c>
      <c r="B591" s="856" t="s">
        <v>10381</v>
      </c>
      <c r="C591" s="788" t="s">
        <v>10139</v>
      </c>
      <c r="D591" s="789" t="s">
        <v>4658</v>
      </c>
      <c r="E591" s="790" t="str">
        <f>IFERROR(VLOOKUP(D591,Stock,3,FALSE),"")</f>
        <v>Mers-Benz E-Class 02-09 W211</v>
      </c>
      <c r="F591" s="788">
        <v>1.0</v>
      </c>
      <c r="G591" s="811">
        <v>2184975.0</v>
      </c>
      <c r="H591" s="799">
        <f t="shared" si="7"/>
        <v>2184975</v>
      </c>
      <c r="I591" s="800"/>
      <c r="J591" s="812"/>
      <c r="K591" s="813"/>
      <c r="L591" s="802" t="s">
        <v>10137</v>
      </c>
      <c r="M591" s="806" t="s">
        <v>10371</v>
      </c>
      <c r="N591" s="837">
        <v>45906.0</v>
      </c>
      <c r="O591" s="803"/>
    </row>
    <row r="592" ht="15.0" customHeight="1">
      <c r="A592" s="786">
        <v>45899.0</v>
      </c>
      <c r="B592" s="787" t="s">
        <v>10382</v>
      </c>
      <c r="C592" s="788" t="s">
        <v>10148</v>
      </c>
      <c r="D592" s="789" t="s">
        <v>4663</v>
      </c>
      <c r="E592" s="790" t="str">
        <f>IFERROR(VLOOKUP(D592,Stock,3,FALSE),"")</f>
        <v>Toyota Raize / Daihatsu Rocky 20- (Toyota/Daihatsu)</v>
      </c>
      <c r="F592" s="788">
        <v>1.0</v>
      </c>
      <c r="G592" s="811"/>
      <c r="H592" s="799">
        <f t="shared" si="7"/>
        <v>0</v>
      </c>
      <c r="I592" s="800"/>
      <c r="J592" s="812"/>
      <c r="K592" s="813"/>
      <c r="L592" s="802" t="s">
        <v>10137</v>
      </c>
      <c r="M592" s="803"/>
      <c r="N592" s="803"/>
      <c r="O592" s="803"/>
    </row>
    <row r="593" ht="15.0" customHeight="1">
      <c r="A593" s="786">
        <v>45901.0</v>
      </c>
      <c r="B593" s="787" t="s">
        <v>10383</v>
      </c>
      <c r="C593" s="788" t="s">
        <v>10300</v>
      </c>
      <c r="D593" s="789" t="s">
        <v>4678</v>
      </c>
      <c r="E593" s="790" t="str">
        <f>IFERROR(VLOOKUP(D593,Stock,3,FALSE),"")</f>
        <v>Moulding List Alphard ANH20 AGH30 (Upper)</v>
      </c>
      <c r="F593" s="788">
        <v>1.0</v>
      </c>
      <c r="G593" s="811">
        <v>211200.0</v>
      </c>
      <c r="H593" s="799">
        <f t="shared" si="7"/>
        <v>211200</v>
      </c>
      <c r="I593" s="800"/>
      <c r="J593" s="812"/>
      <c r="K593" s="813"/>
      <c r="L593" s="802" t="s">
        <v>10137</v>
      </c>
      <c r="M593" s="806" t="s">
        <v>10371</v>
      </c>
      <c r="N593" s="837">
        <v>45901.0</v>
      </c>
      <c r="O593" s="803"/>
    </row>
    <row r="594" ht="15.0" customHeight="1">
      <c r="A594" s="786">
        <v>45901.0</v>
      </c>
      <c r="B594" s="787" t="s">
        <v>10384</v>
      </c>
      <c r="C594" s="788" t="s">
        <v>2643</v>
      </c>
      <c r="D594" s="789" t="s">
        <v>5064</v>
      </c>
      <c r="E594" s="790" t="str">
        <f>IFERROR(VLOOKUP(D594,Stock,3,FALSE),"")</f>
        <v>Honda Freed 08-16 1st Gen (Honda)</v>
      </c>
      <c r="F594" s="788">
        <v>1.0</v>
      </c>
      <c r="G594" s="811">
        <v>420024.0</v>
      </c>
      <c r="H594" s="799">
        <f t="shared" si="7"/>
        <v>420024</v>
      </c>
      <c r="I594" s="800"/>
      <c r="J594" s="812"/>
      <c r="K594" s="848" t="s">
        <v>3191</v>
      </c>
      <c r="L594" s="802" t="s">
        <v>10137</v>
      </c>
      <c r="M594" s="806" t="s">
        <v>10371</v>
      </c>
      <c r="N594" s="854">
        <v>45951.0</v>
      </c>
      <c r="O594" s="803"/>
    </row>
    <row r="595" ht="15.0" customHeight="1">
      <c r="A595" s="786">
        <v>45901.0</v>
      </c>
      <c r="B595" s="787" t="s">
        <v>10384</v>
      </c>
      <c r="C595" s="788" t="s">
        <v>2643</v>
      </c>
      <c r="D595" s="789" t="s">
        <v>4763</v>
      </c>
      <c r="E595" s="790" t="str">
        <f>IFERROR(VLOOKUP(D595,Stock,3,FALSE),"")</f>
        <v>Honda Freed 08-16 1st Gen (Honda)</v>
      </c>
      <c r="F595" s="788">
        <v>1.0</v>
      </c>
      <c r="G595" s="811">
        <v>400488.0</v>
      </c>
      <c r="H595" s="799">
        <f t="shared" si="7"/>
        <v>400488</v>
      </c>
      <c r="I595" s="800"/>
      <c r="J595" s="812"/>
      <c r="K595" s="848" t="s">
        <v>3191</v>
      </c>
      <c r="L595" s="802" t="s">
        <v>10137</v>
      </c>
      <c r="M595" s="806" t="s">
        <v>10371</v>
      </c>
      <c r="N595" s="854">
        <v>45951.0</v>
      </c>
      <c r="O595" s="803"/>
    </row>
    <row r="596" ht="15.0" customHeight="1">
      <c r="A596" s="786">
        <v>45902.0</v>
      </c>
      <c r="B596" s="787" t="s">
        <v>10385</v>
      </c>
      <c r="C596" s="788" t="s">
        <v>2643</v>
      </c>
      <c r="D596" s="789" t="s">
        <v>4731</v>
      </c>
      <c r="E596" s="790" t="str">
        <f>IFERROR(VLOOKUP(D596,Stock,3,FALSE),"")</f>
        <v>Honda CR-V 17-23 5th Gen (Honda)</v>
      </c>
      <c r="F596" s="788">
        <v>4.0</v>
      </c>
      <c r="G596" s="811">
        <v>263736.0</v>
      </c>
      <c r="H596" s="799">
        <f t="shared" si="7"/>
        <v>1054944</v>
      </c>
      <c r="I596" s="800"/>
      <c r="J596" s="812"/>
      <c r="K596" s="848" t="s">
        <v>3191</v>
      </c>
      <c r="L596" s="802" t="s">
        <v>10137</v>
      </c>
      <c r="M596" s="806" t="s">
        <v>10371</v>
      </c>
      <c r="N596" s="854">
        <v>45951.0</v>
      </c>
      <c r="O596" s="803"/>
    </row>
    <row r="597" ht="15.0" customHeight="1">
      <c r="A597" s="786">
        <v>45902.0</v>
      </c>
      <c r="B597" s="787" t="s">
        <v>10385</v>
      </c>
      <c r="C597" s="788" t="s">
        <v>2643</v>
      </c>
      <c r="D597" s="789" t="s">
        <v>4732</v>
      </c>
      <c r="E597" s="790" t="str">
        <f>IFERROR(VLOOKUP(D597,Stock,3,FALSE),"")</f>
        <v>Honda CR-V 17-23 5th Gen (Honda)</v>
      </c>
      <c r="F597" s="788">
        <v>4.0</v>
      </c>
      <c r="G597" s="811">
        <v>263736.0</v>
      </c>
      <c r="H597" s="799">
        <f t="shared" si="7"/>
        <v>1054944</v>
      </c>
      <c r="I597" s="800"/>
      <c r="J597" s="812"/>
      <c r="K597" s="848" t="s">
        <v>3191</v>
      </c>
      <c r="L597" s="802" t="s">
        <v>10137</v>
      </c>
      <c r="M597" s="806" t="s">
        <v>10371</v>
      </c>
      <c r="N597" s="854">
        <v>45951.0</v>
      </c>
      <c r="O597" s="803"/>
    </row>
    <row r="598" ht="15.0" customHeight="1">
      <c r="A598" s="786">
        <v>45902.0</v>
      </c>
      <c r="B598" s="787" t="s">
        <v>10385</v>
      </c>
      <c r="C598" s="788" t="s">
        <v>2643</v>
      </c>
      <c r="D598" s="789" t="s">
        <v>4733</v>
      </c>
      <c r="E598" s="790" t="str">
        <f>IFERROR(VLOOKUP(D598,Stock,3,FALSE),"")</f>
        <v>Honda CR-V 17-23 5th Gen (Honda)</v>
      </c>
      <c r="F598" s="788">
        <v>4.0</v>
      </c>
      <c r="G598" s="811">
        <v>307692.0</v>
      </c>
      <c r="H598" s="799">
        <f t="shared" si="7"/>
        <v>1230768</v>
      </c>
      <c r="I598" s="800"/>
      <c r="J598" s="812"/>
      <c r="K598" s="848" t="s">
        <v>3191</v>
      </c>
      <c r="L598" s="802" t="s">
        <v>10137</v>
      </c>
      <c r="M598" s="806" t="s">
        <v>10371</v>
      </c>
      <c r="N598" s="854">
        <v>45951.0</v>
      </c>
      <c r="O598" s="803"/>
    </row>
    <row r="599" ht="15.0" customHeight="1">
      <c r="A599" s="786">
        <v>45902.0</v>
      </c>
      <c r="B599" s="787" t="s">
        <v>10385</v>
      </c>
      <c r="C599" s="788" t="s">
        <v>2643</v>
      </c>
      <c r="D599" s="789" t="s">
        <v>4734</v>
      </c>
      <c r="E599" s="790" t="str">
        <f>IFERROR(VLOOKUP(D599,Stock,3,FALSE),"")</f>
        <v>Honda CR-V 17-23 5th Gen (Honda)</v>
      </c>
      <c r="F599" s="788">
        <v>4.0</v>
      </c>
      <c r="G599" s="811">
        <v>307692.0</v>
      </c>
      <c r="H599" s="799">
        <f t="shared" si="7"/>
        <v>1230768</v>
      </c>
      <c r="I599" s="800"/>
      <c r="J599" s="812"/>
      <c r="K599" s="848" t="s">
        <v>3191</v>
      </c>
      <c r="L599" s="802" t="s">
        <v>10137</v>
      </c>
      <c r="M599" s="806" t="s">
        <v>10371</v>
      </c>
      <c r="N599" s="854">
        <v>45951.0</v>
      </c>
      <c r="O599" s="803"/>
    </row>
    <row r="600" ht="15.0" customHeight="1">
      <c r="A600" s="786">
        <v>45902.0</v>
      </c>
      <c r="B600" s="787" t="s">
        <v>10386</v>
      </c>
      <c r="C600" s="788" t="s">
        <v>2643</v>
      </c>
      <c r="D600" s="789" t="s">
        <v>4714</v>
      </c>
      <c r="E600" s="790" t="str">
        <f>IFERROR(VLOOKUP(D600,Stock,3,FALSE),"")</f>
        <v>Honda HR-V 14-21 5D SUV (Honda)</v>
      </c>
      <c r="F600" s="788">
        <v>2.0</v>
      </c>
      <c r="G600" s="811">
        <v>444444.0</v>
      </c>
      <c r="H600" s="799">
        <f t="shared" si="7"/>
        <v>888888</v>
      </c>
      <c r="I600" s="800"/>
      <c r="J600" s="812"/>
      <c r="K600" s="848" t="s">
        <v>3191</v>
      </c>
      <c r="L600" s="802" t="s">
        <v>10137</v>
      </c>
      <c r="M600" s="806" t="s">
        <v>10371</v>
      </c>
      <c r="N600" s="854">
        <v>45951.0</v>
      </c>
      <c r="O600" s="803"/>
    </row>
    <row r="601" ht="15.0" customHeight="1">
      <c r="A601" s="786">
        <v>45902.0</v>
      </c>
      <c r="B601" s="787" t="s">
        <v>10386</v>
      </c>
      <c r="C601" s="788" t="s">
        <v>2643</v>
      </c>
      <c r="D601" s="789" t="s">
        <v>4579</v>
      </c>
      <c r="E601" s="790" t="str">
        <f>IFERROR(VLOOKUP(D601,Stock,3,FALSE),"")</f>
        <v>Honda HR-V 14-21 5D SUV (Honda)</v>
      </c>
      <c r="F601" s="788">
        <v>2.0</v>
      </c>
      <c r="G601" s="811">
        <v>444444.0</v>
      </c>
      <c r="H601" s="799">
        <f t="shared" si="7"/>
        <v>888888</v>
      </c>
      <c r="I601" s="800"/>
      <c r="J601" s="812"/>
      <c r="K601" s="848" t="s">
        <v>3191</v>
      </c>
      <c r="L601" s="802" t="s">
        <v>10137</v>
      </c>
      <c r="M601" s="806" t="s">
        <v>10371</v>
      </c>
      <c r="N601" s="854">
        <v>45951.0</v>
      </c>
      <c r="O601" s="803"/>
    </row>
    <row r="602" ht="15.0" customHeight="1">
      <c r="A602" s="786">
        <v>45903.0</v>
      </c>
      <c r="B602" s="787" t="s">
        <v>10387</v>
      </c>
      <c r="C602" s="788" t="s">
        <v>2643</v>
      </c>
      <c r="D602" s="789" t="s">
        <v>4855</v>
      </c>
      <c r="E602" s="790" t="str">
        <f>IFERROR(VLOOKUP(D602,Stock,3,FALSE),"")</f>
        <v>Honda WR-V 23- (Honda)</v>
      </c>
      <c r="F602" s="788">
        <v>1.0</v>
      </c>
      <c r="G602" s="811">
        <v>190476.0</v>
      </c>
      <c r="H602" s="799">
        <f t="shared" si="7"/>
        <v>190476</v>
      </c>
      <c r="I602" s="800"/>
      <c r="J602" s="812"/>
      <c r="K602" s="848" t="s">
        <v>3191</v>
      </c>
      <c r="L602" s="802" t="s">
        <v>10137</v>
      </c>
      <c r="M602" s="806" t="s">
        <v>10371</v>
      </c>
      <c r="N602" s="854">
        <v>45951.0</v>
      </c>
      <c r="O602" s="803"/>
    </row>
    <row r="603" ht="15.0" customHeight="1">
      <c r="A603" s="786">
        <v>45903.0</v>
      </c>
      <c r="B603" s="787" t="s">
        <v>10387</v>
      </c>
      <c r="C603" s="788" t="s">
        <v>2643</v>
      </c>
      <c r="D603" s="789" t="s">
        <v>4856</v>
      </c>
      <c r="E603" s="790" t="str">
        <f>IFERROR(VLOOKUP(D603,Stock,3,FALSE),"")</f>
        <v>Honda WR-V 23- (Honda)</v>
      </c>
      <c r="F603" s="788">
        <v>1.0</v>
      </c>
      <c r="G603" s="811">
        <v>190476.0</v>
      </c>
      <c r="H603" s="799">
        <f t="shared" si="7"/>
        <v>190476</v>
      </c>
      <c r="I603" s="800"/>
      <c r="J603" s="812"/>
      <c r="K603" s="848" t="s">
        <v>3191</v>
      </c>
      <c r="L603" s="802" t="s">
        <v>10137</v>
      </c>
      <c r="M603" s="806" t="s">
        <v>10371</v>
      </c>
      <c r="N603" s="854">
        <v>45951.0</v>
      </c>
      <c r="O603" s="803"/>
    </row>
    <row r="604" ht="15.0" customHeight="1">
      <c r="A604" s="786">
        <v>45903.0</v>
      </c>
      <c r="B604" s="787" t="s">
        <v>10387</v>
      </c>
      <c r="C604" s="788" t="s">
        <v>2643</v>
      </c>
      <c r="D604" s="789" t="s">
        <v>4858</v>
      </c>
      <c r="E604" s="790" t="str">
        <f>IFERROR(VLOOKUP(D604,Stock,3,FALSE),"")</f>
        <v>Honda WR-V 23- (Honda)</v>
      </c>
      <c r="F604" s="788">
        <v>1.0</v>
      </c>
      <c r="G604" s="811">
        <v>126984.0</v>
      </c>
      <c r="H604" s="799">
        <f t="shared" si="7"/>
        <v>126984</v>
      </c>
      <c r="I604" s="800"/>
      <c r="J604" s="812"/>
      <c r="K604" s="848" t="s">
        <v>3191</v>
      </c>
      <c r="L604" s="802" t="s">
        <v>10137</v>
      </c>
      <c r="M604" s="806" t="s">
        <v>10371</v>
      </c>
      <c r="N604" s="854">
        <v>45951.0</v>
      </c>
      <c r="O604" s="803"/>
    </row>
    <row r="605" ht="15.0" customHeight="1">
      <c r="A605" s="786">
        <v>45903.0</v>
      </c>
      <c r="B605" s="787" t="s">
        <v>10387</v>
      </c>
      <c r="C605" s="788" t="s">
        <v>2643</v>
      </c>
      <c r="D605" s="789" t="s">
        <v>3013</v>
      </c>
      <c r="E605" s="790" t="str">
        <f>IFERROR(VLOOKUP(D605,Stock,3,FALSE),"")</f>
        <v>Honda Freed 08-16 1st Gen (Honda)</v>
      </c>
      <c r="F605" s="788">
        <v>1.0</v>
      </c>
      <c r="G605" s="811">
        <v>2031744.0</v>
      </c>
      <c r="H605" s="799">
        <f t="shared" si="7"/>
        <v>2031744</v>
      </c>
      <c r="I605" s="800"/>
      <c r="J605" s="812"/>
      <c r="K605" s="848" t="s">
        <v>3191</v>
      </c>
      <c r="L605" s="802" t="s">
        <v>10137</v>
      </c>
      <c r="M605" s="806" t="s">
        <v>10371</v>
      </c>
      <c r="N605" s="854">
        <v>45951.0</v>
      </c>
      <c r="O605" s="803"/>
    </row>
    <row r="606" ht="15.0" customHeight="1">
      <c r="A606" s="786">
        <v>45903.0</v>
      </c>
      <c r="B606" s="787" t="s">
        <v>10388</v>
      </c>
      <c r="C606" s="788" t="s">
        <v>2643</v>
      </c>
      <c r="D606" s="789" t="s">
        <v>3662</v>
      </c>
      <c r="E606" s="790" t="str">
        <f>IFERROR(VLOOKUP(D606,Stock,3,FALSE),"")</f>
        <v>Toyota Innova 15-22 2nd Gen (Toyota)</v>
      </c>
      <c r="F606" s="788">
        <v>4.0</v>
      </c>
      <c r="G606" s="811">
        <v>1711199.7</v>
      </c>
      <c r="H606" s="799">
        <f t="shared" si="7"/>
        <v>6844798.8</v>
      </c>
      <c r="I606" s="800"/>
      <c r="J606" s="812"/>
      <c r="K606" s="848" t="s">
        <v>3191</v>
      </c>
      <c r="L606" s="802" t="s">
        <v>10137</v>
      </c>
      <c r="M606" s="806" t="s">
        <v>10371</v>
      </c>
      <c r="N606" s="854">
        <v>45951.0</v>
      </c>
      <c r="O606" s="803"/>
    </row>
    <row r="607" ht="15.0" customHeight="1">
      <c r="A607" s="786">
        <v>45903.0</v>
      </c>
      <c r="B607" s="787" t="s">
        <v>10388</v>
      </c>
      <c r="C607" s="788" t="s">
        <v>2643</v>
      </c>
      <c r="D607" s="789" t="s">
        <v>4750</v>
      </c>
      <c r="E607" s="790" t="str">
        <f>IFERROR(VLOOKUP(D607,Stock,3,FALSE),"")</f>
        <v>Toyota Rush / Terios 06-17 (Toyota/Daihatsu)</v>
      </c>
      <c r="F607" s="788">
        <v>2.0</v>
      </c>
      <c r="G607" s="811">
        <v>630200.0</v>
      </c>
      <c r="H607" s="799">
        <f t="shared" si="7"/>
        <v>1260400</v>
      </c>
      <c r="I607" s="800"/>
      <c r="J607" s="812"/>
      <c r="K607" s="848" t="s">
        <v>3191</v>
      </c>
      <c r="L607" s="802" t="s">
        <v>10137</v>
      </c>
      <c r="M607" s="806" t="s">
        <v>10371</v>
      </c>
      <c r="N607" s="854">
        <v>45951.0</v>
      </c>
      <c r="O607" s="803"/>
    </row>
    <row r="608" ht="15.0" customHeight="1">
      <c r="A608" s="786">
        <v>45903.0</v>
      </c>
      <c r="B608" s="787" t="s">
        <v>10388</v>
      </c>
      <c r="C608" s="788" t="s">
        <v>2643</v>
      </c>
      <c r="D608" s="789" t="s">
        <v>4751</v>
      </c>
      <c r="E608" s="790" t="str">
        <f>IFERROR(VLOOKUP(D608,Stock,3,FALSE),"")</f>
        <v>Toyota Rush / Terios 18- (Toyota/Daihatsu)</v>
      </c>
      <c r="F608" s="788">
        <v>2.0</v>
      </c>
      <c r="G608" s="811">
        <v>827998.9</v>
      </c>
      <c r="H608" s="799">
        <f t="shared" si="7"/>
        <v>1655997.8</v>
      </c>
      <c r="I608" s="800"/>
      <c r="J608" s="812"/>
      <c r="K608" s="848" t="s">
        <v>3191</v>
      </c>
      <c r="L608" s="802" t="s">
        <v>10137</v>
      </c>
      <c r="M608" s="806" t="s">
        <v>10371</v>
      </c>
      <c r="N608" s="854">
        <v>45951.0</v>
      </c>
      <c r="O608" s="803"/>
    </row>
    <row r="609" ht="15.0" customHeight="1">
      <c r="A609" s="786">
        <v>45903.0</v>
      </c>
      <c r="B609" s="787" t="s">
        <v>10388</v>
      </c>
      <c r="C609" s="788" t="s">
        <v>2643</v>
      </c>
      <c r="D609" s="789" t="s">
        <v>4752</v>
      </c>
      <c r="E609" s="790" t="str">
        <f>IFERROR(VLOOKUP(D609,Stock,3,FALSE),"")</f>
        <v>Toyota Rush / Terios 18- (Toyota/Daihatsu)</v>
      </c>
      <c r="F609" s="788">
        <v>2.0</v>
      </c>
      <c r="G609" s="811">
        <v>827998.9</v>
      </c>
      <c r="H609" s="799">
        <f t="shared" si="7"/>
        <v>1655997.8</v>
      </c>
      <c r="I609" s="800"/>
      <c r="J609" s="812"/>
      <c r="K609" s="848" t="s">
        <v>3191</v>
      </c>
      <c r="L609" s="802" t="s">
        <v>10137</v>
      </c>
      <c r="M609" s="806" t="s">
        <v>10371</v>
      </c>
      <c r="N609" s="854">
        <v>45951.0</v>
      </c>
      <c r="O609" s="803"/>
    </row>
    <row r="610" ht="15.0" customHeight="1">
      <c r="A610" s="786">
        <v>45902.0</v>
      </c>
      <c r="B610" s="787" t="s">
        <v>10389</v>
      </c>
      <c r="C610" s="788" t="s">
        <v>2643</v>
      </c>
      <c r="D610" s="789" t="s">
        <v>5063</v>
      </c>
      <c r="E610" s="790" t="str">
        <f>IFERROR(VLOOKUP(D610,Stock,3,FALSE),"")</f>
        <v>Toyota Innova 22- Zenyx 3rd Gen (Toyota)</v>
      </c>
      <c r="F610" s="788">
        <v>1.0</v>
      </c>
      <c r="G610" s="811">
        <v>157699.0</v>
      </c>
      <c r="H610" s="799">
        <f t="shared" si="7"/>
        <v>157699</v>
      </c>
      <c r="I610" s="800"/>
      <c r="J610" s="812"/>
      <c r="K610" s="848" t="s">
        <v>3191</v>
      </c>
      <c r="L610" s="802" t="s">
        <v>10137</v>
      </c>
      <c r="M610" s="806" t="s">
        <v>10371</v>
      </c>
      <c r="N610" s="854">
        <v>45951.0</v>
      </c>
      <c r="O610" s="803"/>
    </row>
    <row r="611" ht="15.0" customHeight="1">
      <c r="A611" s="786">
        <v>45903.0</v>
      </c>
      <c r="B611" s="787" t="s">
        <v>10390</v>
      </c>
      <c r="C611" s="788" t="s">
        <v>2643</v>
      </c>
      <c r="D611" s="789" t="s">
        <v>4745</v>
      </c>
      <c r="E611" s="790" t="str">
        <f>IFERROR(VLOOKUP(D611,Stock,3,FALSE),"")</f>
        <v>Toyota Fortuner 15-  2nd Gen / Toyota Hilux Pickup 15- (Revo) (Toyota)</v>
      </c>
      <c r="F611" s="788">
        <v>2.0</v>
      </c>
      <c r="G611" s="811">
        <v>455400.0</v>
      </c>
      <c r="H611" s="799">
        <f t="shared" si="7"/>
        <v>910800</v>
      </c>
      <c r="I611" s="800"/>
      <c r="J611" s="812"/>
      <c r="K611" s="848" t="s">
        <v>3191</v>
      </c>
      <c r="L611" s="802" t="s">
        <v>10137</v>
      </c>
      <c r="M611" s="806" t="s">
        <v>10371</v>
      </c>
      <c r="N611" s="854">
        <v>45951.0</v>
      </c>
      <c r="O611" s="803"/>
    </row>
    <row r="612" ht="15.0" customHeight="1">
      <c r="A612" s="786">
        <v>45903.0</v>
      </c>
      <c r="B612" s="787" t="s">
        <v>10390</v>
      </c>
      <c r="C612" s="788" t="s">
        <v>2643</v>
      </c>
      <c r="D612" s="789" t="s">
        <v>4746</v>
      </c>
      <c r="E612" s="790" t="str">
        <f>IFERROR(VLOOKUP(D612,Stock,3,FALSE),"")</f>
        <v>Toyota Fortuner 15-  2nd Gen / Toyota Hilux Pickup 15- (Revo) (Toyota)</v>
      </c>
      <c r="F612" s="788">
        <v>2.0</v>
      </c>
      <c r="G612" s="811">
        <v>455400.0</v>
      </c>
      <c r="H612" s="799">
        <f t="shared" si="7"/>
        <v>910800</v>
      </c>
      <c r="I612" s="800"/>
      <c r="J612" s="812"/>
      <c r="K612" s="848" t="s">
        <v>3191</v>
      </c>
      <c r="L612" s="802" t="s">
        <v>10137</v>
      </c>
      <c r="M612" s="806" t="s">
        <v>10371</v>
      </c>
      <c r="N612" s="854">
        <v>45951.0</v>
      </c>
      <c r="O612" s="803"/>
    </row>
    <row r="613" ht="15.0" customHeight="1">
      <c r="A613" s="786">
        <v>45903.0</v>
      </c>
      <c r="B613" s="787" t="s">
        <v>10390</v>
      </c>
      <c r="C613" s="788" t="s">
        <v>2643</v>
      </c>
      <c r="D613" s="789" t="s">
        <v>4747</v>
      </c>
      <c r="E613" s="790" t="str">
        <f>IFERROR(VLOOKUP(D613,Stock,3,FALSE),"")</f>
        <v>Toyota Fortuner 15- 2nd Gen (Toyota)</v>
      </c>
      <c r="F613" s="788">
        <v>2.0</v>
      </c>
      <c r="G613" s="811">
        <v>275999.8</v>
      </c>
      <c r="H613" s="799">
        <f t="shared" si="7"/>
        <v>551999.6</v>
      </c>
      <c r="I613" s="800"/>
      <c r="J613" s="812"/>
      <c r="K613" s="848" t="s">
        <v>3191</v>
      </c>
      <c r="L613" s="802" t="s">
        <v>10137</v>
      </c>
      <c r="M613" s="806" t="s">
        <v>10371</v>
      </c>
      <c r="N613" s="854">
        <v>45951.0</v>
      </c>
      <c r="O613" s="803"/>
    </row>
    <row r="614" ht="15.0" customHeight="1">
      <c r="A614" s="786">
        <v>45903.0</v>
      </c>
      <c r="B614" s="787" t="s">
        <v>10390</v>
      </c>
      <c r="C614" s="788" t="s">
        <v>2643</v>
      </c>
      <c r="D614" s="789" t="s">
        <v>2964</v>
      </c>
      <c r="E614" s="790" t="str">
        <f>IFERROR(VLOOKUP(D614,Stock,3,FALSE),"")</f>
        <v>Toyota Fortuner 15- 2nd Gen (Toyota)</v>
      </c>
      <c r="F614" s="788">
        <v>2.0</v>
      </c>
      <c r="G614" s="811">
        <v>275999.7</v>
      </c>
      <c r="H614" s="799">
        <f t="shared" si="7"/>
        <v>551999.4</v>
      </c>
      <c r="I614" s="800"/>
      <c r="J614" s="812"/>
      <c r="K614" s="848" t="s">
        <v>3191</v>
      </c>
      <c r="L614" s="802" t="s">
        <v>10137</v>
      </c>
      <c r="M614" s="806" t="s">
        <v>10371</v>
      </c>
      <c r="N614" s="854">
        <v>45951.0</v>
      </c>
      <c r="O614" s="803"/>
    </row>
    <row r="615" ht="15.0" customHeight="1">
      <c r="A615" s="786">
        <v>45903.0</v>
      </c>
      <c r="B615" s="787" t="s">
        <v>10390</v>
      </c>
      <c r="C615" s="788" t="s">
        <v>2643</v>
      </c>
      <c r="D615" s="789" t="s">
        <v>4748</v>
      </c>
      <c r="E615" s="790" t="str">
        <f>IFERROR(VLOOKUP(D615,Stock,3,FALSE),"")</f>
        <v>Toyota Rush / Terios 06-17 (Toyota/Daihatsu)</v>
      </c>
      <c r="F615" s="788">
        <v>2.0</v>
      </c>
      <c r="G615" s="811">
        <v>450799.7</v>
      </c>
      <c r="H615" s="799">
        <f t="shared" si="7"/>
        <v>901599.4</v>
      </c>
      <c r="I615" s="800"/>
      <c r="J615" s="812"/>
      <c r="K615" s="848" t="s">
        <v>3191</v>
      </c>
      <c r="L615" s="802" t="s">
        <v>10137</v>
      </c>
      <c r="M615" s="806" t="s">
        <v>10371</v>
      </c>
      <c r="N615" s="854">
        <v>45951.0</v>
      </c>
      <c r="O615" s="803"/>
    </row>
    <row r="616" ht="15.0" customHeight="1">
      <c r="A616" s="786">
        <v>45903.0</v>
      </c>
      <c r="B616" s="787" t="s">
        <v>10390</v>
      </c>
      <c r="C616" s="788" t="s">
        <v>2643</v>
      </c>
      <c r="D616" s="789" t="s">
        <v>5764</v>
      </c>
      <c r="E616" s="790" t="str">
        <f>IFERROR(VLOOKUP(D616,Stock,3,FALSE),"")</f>
        <v>Toyota Fortuner 15-  2nd Gen (Toyota)</v>
      </c>
      <c r="F616" s="788">
        <v>1.0</v>
      </c>
      <c r="G616" s="811">
        <v>1223600.0</v>
      </c>
      <c r="H616" s="799">
        <f t="shared" si="7"/>
        <v>1223600</v>
      </c>
      <c r="I616" s="800"/>
      <c r="J616" s="812"/>
      <c r="K616" s="848" t="s">
        <v>3191</v>
      </c>
      <c r="L616" s="802" t="s">
        <v>10137</v>
      </c>
      <c r="M616" s="806" t="s">
        <v>10371</v>
      </c>
      <c r="N616" s="854">
        <v>45951.0</v>
      </c>
      <c r="O616" s="803"/>
    </row>
    <row r="617" ht="15.0" customHeight="1">
      <c r="A617" s="786">
        <v>45904.0</v>
      </c>
      <c r="B617" s="787">
        <v>2509162.0</v>
      </c>
      <c r="C617" s="788" t="s">
        <v>10136</v>
      </c>
      <c r="D617" s="789" t="s">
        <v>4740</v>
      </c>
      <c r="E617" s="790" t="str">
        <f>IFERROR(VLOOKUP(D617,Stock,3,FALSE),"")</f>
        <v>Nissan X-Trail 13- T32 (1 Sensor)</v>
      </c>
      <c r="F617" s="788">
        <v>1.0</v>
      </c>
      <c r="G617" s="811">
        <v>1170950.0</v>
      </c>
      <c r="H617" s="799">
        <f t="shared" si="7"/>
        <v>1170950</v>
      </c>
      <c r="I617" s="800"/>
      <c r="J617" s="812"/>
      <c r="K617" s="848" t="s">
        <v>9900</v>
      </c>
      <c r="L617" s="802" t="s">
        <v>10137</v>
      </c>
      <c r="M617" s="806" t="s">
        <v>10371</v>
      </c>
      <c r="N617" s="837">
        <v>45964.0</v>
      </c>
      <c r="O617" s="803"/>
    </row>
    <row r="618" ht="15.0" customHeight="1">
      <c r="A618" s="786">
        <v>45903.0</v>
      </c>
      <c r="B618" s="787">
        <v>2509127.0</v>
      </c>
      <c r="C618" s="788" t="s">
        <v>10136</v>
      </c>
      <c r="D618" s="789" t="s">
        <v>4754</v>
      </c>
      <c r="E618" s="790" t="str">
        <f>IFERROR(VLOOKUP(D618,Stock,3,FALSE),"")</f>
        <v>BMW 3 Series 18- G20/G21 (1 Sensor / O )</v>
      </c>
      <c r="F618" s="788">
        <v>1.0</v>
      </c>
      <c r="G618" s="811">
        <v>2311100.0</v>
      </c>
      <c r="H618" s="799">
        <f t="shared" si="7"/>
        <v>2311100</v>
      </c>
      <c r="I618" s="800"/>
      <c r="J618" s="812"/>
      <c r="K618" s="848" t="s">
        <v>9900</v>
      </c>
      <c r="L618" s="802" t="s">
        <v>10137</v>
      </c>
      <c r="M618" s="806" t="s">
        <v>10371</v>
      </c>
      <c r="N618" s="837">
        <v>45964.0</v>
      </c>
      <c r="O618" s="803"/>
    </row>
    <row r="619" ht="15.0" customHeight="1">
      <c r="A619" s="786">
        <v>45903.0</v>
      </c>
      <c r="B619" s="787">
        <v>2509119.0</v>
      </c>
      <c r="C619" s="788" t="s">
        <v>10136</v>
      </c>
      <c r="D619" s="789" t="s">
        <v>2995</v>
      </c>
      <c r="E619" s="790" t="str">
        <f>IFERROR(VLOOKUP(D619,Stock,3,FALSE),"")</f>
        <v>Honda CR-V 02-04 2nd Gen (Spion Jepit)</v>
      </c>
      <c r="F619" s="788">
        <v>1.0</v>
      </c>
      <c r="G619" s="811">
        <v>815100.0</v>
      </c>
      <c r="H619" s="799">
        <f t="shared" si="7"/>
        <v>815100</v>
      </c>
      <c r="I619" s="800"/>
      <c r="J619" s="812"/>
      <c r="K619" s="848" t="s">
        <v>9900</v>
      </c>
      <c r="L619" s="802" t="s">
        <v>10137</v>
      </c>
      <c r="M619" s="806" t="s">
        <v>10371</v>
      </c>
      <c r="N619" s="837">
        <v>45964.0</v>
      </c>
      <c r="O619" s="803"/>
    </row>
    <row r="620" ht="15.0" customHeight="1">
      <c r="A620" s="786">
        <v>45902.0</v>
      </c>
      <c r="B620" s="787" t="s">
        <v>10391</v>
      </c>
      <c r="C620" s="788" t="s">
        <v>10156</v>
      </c>
      <c r="D620" s="789" t="s">
        <v>4708</v>
      </c>
      <c r="E620" s="790" t="str">
        <f>IFERROR(VLOOKUP(D620,Stock,3,FALSE),"")</f>
        <v>Suzuki Baleno 16- SX4 Scross Hatchback</v>
      </c>
      <c r="F620" s="788">
        <v>1.0</v>
      </c>
      <c r="G620" s="811">
        <v>600000.0</v>
      </c>
      <c r="H620" s="799">
        <f t="shared" si="7"/>
        <v>600000</v>
      </c>
      <c r="I620" s="800"/>
      <c r="J620" s="812"/>
      <c r="K620" s="848" t="s">
        <v>9900</v>
      </c>
      <c r="L620" s="802" t="s">
        <v>10137</v>
      </c>
      <c r="M620" s="806" t="s">
        <v>10371</v>
      </c>
      <c r="N620" s="837">
        <v>45909.0</v>
      </c>
      <c r="O620" s="803"/>
    </row>
    <row r="621" ht="15.0" customHeight="1">
      <c r="A621" s="786">
        <v>45904.0</v>
      </c>
      <c r="B621" s="787" t="s">
        <v>10392</v>
      </c>
      <c r="C621" s="788" t="s">
        <v>66</v>
      </c>
      <c r="D621" s="789" t="s">
        <v>2937</v>
      </c>
      <c r="E621" s="790" t="str">
        <f>IFERROR(VLOOKUP(D621,Stock,3,FALSE),"")</f>
        <v>Mitsubishi Xpander 17- / Livina 19- 2nd Gen (Chrome)</v>
      </c>
      <c r="F621" s="788">
        <v>1.0</v>
      </c>
      <c r="G621" s="811">
        <v>775000.0</v>
      </c>
      <c r="H621" s="799">
        <f t="shared" si="7"/>
        <v>775000</v>
      </c>
      <c r="I621" s="800"/>
      <c r="J621" s="812"/>
      <c r="K621" s="848" t="s">
        <v>9900</v>
      </c>
      <c r="L621" s="802" t="s">
        <v>10137</v>
      </c>
      <c r="M621" s="806" t="s">
        <v>10371</v>
      </c>
      <c r="N621" s="837">
        <v>45909.0</v>
      </c>
      <c r="O621" s="803"/>
    </row>
    <row r="622" ht="15.0" customHeight="1">
      <c r="A622" s="786">
        <v>45906.0</v>
      </c>
      <c r="B622" s="787" t="s">
        <v>10393</v>
      </c>
      <c r="C622" s="788" t="s">
        <v>2643</v>
      </c>
      <c r="D622" s="789" t="s">
        <v>5143</v>
      </c>
      <c r="E622" s="790" t="str">
        <f>IFERROR(VLOOKUP(D622,Stock,3,FALSE),"")</f>
        <v>Honda Freed 08-16 1st Gen (Honda)</v>
      </c>
      <c r="F622" s="788">
        <v>1.0</v>
      </c>
      <c r="G622" s="811">
        <v>420024.0</v>
      </c>
      <c r="H622" s="799">
        <f t="shared" si="7"/>
        <v>420024</v>
      </c>
      <c r="I622" s="800"/>
      <c r="J622" s="812"/>
      <c r="K622" s="848" t="s">
        <v>3191</v>
      </c>
      <c r="L622" s="802" t="s">
        <v>10137</v>
      </c>
      <c r="M622" s="833" t="s">
        <v>2763</v>
      </c>
      <c r="N622" s="849">
        <v>45964.0</v>
      </c>
      <c r="O622" s="803"/>
    </row>
    <row r="623" ht="15.0" customHeight="1">
      <c r="A623" s="786">
        <v>45906.0</v>
      </c>
      <c r="B623" s="787" t="s">
        <v>10393</v>
      </c>
      <c r="C623" s="788" t="s">
        <v>2643</v>
      </c>
      <c r="D623" s="789" t="s">
        <v>10394</v>
      </c>
      <c r="E623" s="790" t="str">
        <f>IFERROR(VLOOKUP(D623,Stock,3,FALSE),"")</f>
        <v>Honda Freed 08-16 1st Gen (Honda)</v>
      </c>
      <c r="F623" s="788">
        <v>1.0</v>
      </c>
      <c r="G623" s="811">
        <v>400488.0</v>
      </c>
      <c r="H623" s="799">
        <f t="shared" si="7"/>
        <v>400488</v>
      </c>
      <c r="I623" s="800"/>
      <c r="J623" s="812"/>
      <c r="K623" s="848" t="s">
        <v>3191</v>
      </c>
      <c r="L623" s="802" t="s">
        <v>10137</v>
      </c>
      <c r="M623" s="833" t="s">
        <v>2763</v>
      </c>
      <c r="N623" s="849">
        <v>45964.0</v>
      </c>
      <c r="O623" s="803"/>
    </row>
    <row r="624" ht="15.0" customHeight="1">
      <c r="A624" s="786">
        <v>45906.0</v>
      </c>
      <c r="B624" s="787" t="s">
        <v>10395</v>
      </c>
      <c r="C624" s="788" t="s">
        <v>10300</v>
      </c>
      <c r="D624" s="789" t="s">
        <v>4936</v>
      </c>
      <c r="E624" s="790" t="str">
        <f>IFERROR(VLOOKUP(D624,Stock,3,FALSE),"")</f>
        <v>Toyota Sienta 15-</v>
      </c>
      <c r="F624" s="788">
        <v>1.0</v>
      </c>
      <c r="G624" s="811">
        <v>1593000.0</v>
      </c>
      <c r="H624" s="799">
        <f t="shared" si="7"/>
        <v>1593000</v>
      </c>
      <c r="I624" s="800"/>
      <c r="J624" s="812"/>
      <c r="K624" s="848" t="s">
        <v>3191</v>
      </c>
      <c r="L624" s="802" t="s">
        <v>10137</v>
      </c>
      <c r="M624" s="806" t="s">
        <v>2763</v>
      </c>
      <c r="N624" s="837">
        <v>45911.0</v>
      </c>
      <c r="O624" s="803"/>
    </row>
    <row r="625" ht="15.0" customHeight="1">
      <c r="A625" s="786">
        <v>45908.0</v>
      </c>
      <c r="B625" s="856" t="s">
        <v>10396</v>
      </c>
      <c r="C625" s="788" t="s">
        <v>10139</v>
      </c>
      <c r="D625" s="789" t="s">
        <v>4788</v>
      </c>
      <c r="E625" s="790" t="str">
        <f>IFERROR(VLOOKUP(D625,Stock,3,FALSE),"")</f>
        <v>Honda City 14-18 GM6</v>
      </c>
      <c r="F625" s="788">
        <v>1.0</v>
      </c>
      <c r="G625" s="811">
        <v>953775.0</v>
      </c>
      <c r="H625" s="799">
        <f t="shared" si="7"/>
        <v>953775</v>
      </c>
      <c r="I625" s="800"/>
      <c r="J625" s="812"/>
      <c r="K625" s="848" t="s">
        <v>3191</v>
      </c>
      <c r="L625" s="802" t="s">
        <v>10137</v>
      </c>
      <c r="M625" s="806" t="s">
        <v>10371</v>
      </c>
      <c r="N625" s="837">
        <v>45909.0</v>
      </c>
      <c r="O625" s="803"/>
    </row>
    <row r="626" ht="15.0" customHeight="1">
      <c r="A626" s="786">
        <v>45906.0</v>
      </c>
      <c r="B626" s="787" t="s">
        <v>10397</v>
      </c>
      <c r="C626" s="788" t="s">
        <v>10398</v>
      </c>
      <c r="D626" s="789" t="s">
        <v>4788</v>
      </c>
      <c r="E626" s="790" t="str">
        <f>IFERROR(VLOOKUP(D626,Stock,3,FALSE),"")</f>
        <v>Honda City 14-18 GM6</v>
      </c>
      <c r="F626" s="788">
        <v>1.0</v>
      </c>
      <c r="G626" s="811">
        <v>536200.0</v>
      </c>
      <c r="H626" s="799">
        <f t="shared" si="7"/>
        <v>536200</v>
      </c>
      <c r="I626" s="800"/>
      <c r="J626" s="812"/>
      <c r="K626" s="848" t="s">
        <v>3191</v>
      </c>
      <c r="L626" s="802" t="s">
        <v>10137</v>
      </c>
      <c r="M626" s="806" t="s">
        <v>10371</v>
      </c>
      <c r="N626" s="837">
        <v>45906.0</v>
      </c>
      <c r="O626" s="803"/>
    </row>
    <row r="627" ht="15.0" customHeight="1">
      <c r="A627" s="786">
        <v>45909.0</v>
      </c>
      <c r="B627" s="787" t="s">
        <v>10399</v>
      </c>
      <c r="C627" s="788" t="s">
        <v>24</v>
      </c>
      <c r="D627" s="789" t="s">
        <v>10400</v>
      </c>
      <c r="E627" s="790" t="str">
        <f>IFERROR(VLOOKUP(D627,Stock,3,FALSE),"")</f>
        <v/>
      </c>
      <c r="F627" s="788">
        <v>2.0</v>
      </c>
      <c r="G627" s="811">
        <v>435000.0</v>
      </c>
      <c r="H627" s="799">
        <f t="shared" si="7"/>
        <v>870000</v>
      </c>
      <c r="I627" s="800"/>
      <c r="J627" s="812"/>
      <c r="K627" s="848" t="s">
        <v>3191</v>
      </c>
      <c r="L627" s="802" t="s">
        <v>10137</v>
      </c>
      <c r="M627" s="806" t="s">
        <v>2763</v>
      </c>
      <c r="N627" s="837">
        <v>45934.0</v>
      </c>
      <c r="O627" s="803"/>
    </row>
    <row r="628" ht="15.0" customHeight="1">
      <c r="A628" s="786">
        <v>45909.0</v>
      </c>
      <c r="B628" s="787" t="s">
        <v>10399</v>
      </c>
      <c r="C628" s="788" t="s">
        <v>24</v>
      </c>
      <c r="D628" s="789" t="s">
        <v>10401</v>
      </c>
      <c r="E628" s="790" t="str">
        <f>IFERROR(VLOOKUP(D628,Stock,3,FALSE),"")</f>
        <v/>
      </c>
      <c r="F628" s="788">
        <v>2.0</v>
      </c>
      <c r="G628" s="811">
        <v>290000.0</v>
      </c>
      <c r="H628" s="799">
        <f t="shared" si="7"/>
        <v>580000</v>
      </c>
      <c r="I628" s="800"/>
      <c r="J628" s="812"/>
      <c r="K628" s="848" t="s">
        <v>3191</v>
      </c>
      <c r="L628" s="802" t="s">
        <v>10137</v>
      </c>
      <c r="M628" s="806" t="s">
        <v>2763</v>
      </c>
      <c r="N628" s="837">
        <v>45934.0</v>
      </c>
      <c r="O628" s="803"/>
    </row>
    <row r="629" ht="15.0" customHeight="1">
      <c r="A629" s="786">
        <v>45909.0</v>
      </c>
      <c r="B629" s="787" t="s">
        <v>10399</v>
      </c>
      <c r="C629" s="788" t="s">
        <v>24</v>
      </c>
      <c r="D629" s="789" t="s">
        <v>10402</v>
      </c>
      <c r="E629" s="790" t="str">
        <f>IFERROR(VLOOKUP(D629,Stock,3,FALSE),"")</f>
        <v/>
      </c>
      <c r="F629" s="788">
        <v>2.0</v>
      </c>
      <c r="G629" s="811">
        <v>1800000.0</v>
      </c>
      <c r="H629" s="799">
        <f t="shared" si="7"/>
        <v>3600000</v>
      </c>
      <c r="I629" s="800"/>
      <c r="J629" s="812"/>
      <c r="K629" s="848" t="s">
        <v>3191</v>
      </c>
      <c r="L629" s="802" t="s">
        <v>10137</v>
      </c>
      <c r="M629" s="806" t="s">
        <v>2763</v>
      </c>
      <c r="N629" s="837">
        <v>45934.0</v>
      </c>
      <c r="O629" s="803"/>
    </row>
    <row r="630" ht="15.0" customHeight="1">
      <c r="A630" s="786">
        <v>45908.0</v>
      </c>
      <c r="B630" s="787">
        <v>2509223.0</v>
      </c>
      <c r="C630" s="788" t="s">
        <v>10136</v>
      </c>
      <c r="D630" s="789" t="s">
        <v>2881</v>
      </c>
      <c r="E630" s="790" t="str">
        <f>IFERROR(VLOOKUP(D630,Stock,3,FALSE),"")</f>
        <v>Mitsubishi Outlander 10-21 GA3</v>
      </c>
      <c r="F630" s="788">
        <v>2.0</v>
      </c>
      <c r="G630" s="811">
        <v>983400.0</v>
      </c>
      <c r="H630" s="799">
        <f t="shared" si="7"/>
        <v>1966800</v>
      </c>
      <c r="I630" s="800"/>
      <c r="J630" s="812"/>
      <c r="K630" s="848" t="s">
        <v>3191</v>
      </c>
      <c r="L630" s="802" t="s">
        <v>10137</v>
      </c>
      <c r="M630" s="833" t="s">
        <v>2763</v>
      </c>
      <c r="N630" s="849">
        <v>45964.0</v>
      </c>
      <c r="O630" s="803"/>
    </row>
    <row r="631" ht="15.0" customHeight="1">
      <c r="A631" s="786">
        <v>45908.0</v>
      </c>
      <c r="B631" s="787">
        <v>2509223.0</v>
      </c>
      <c r="C631" s="788" t="s">
        <v>10136</v>
      </c>
      <c r="D631" s="789" t="s">
        <v>4793</v>
      </c>
      <c r="E631" s="790" t="str">
        <f>IFERROR(VLOOKUP(D631,Stock,3,FALSE),"")</f>
        <v>Mazda CX-5 17- 2nd Gen KF</v>
      </c>
      <c r="F631" s="788">
        <v>1.0</v>
      </c>
      <c r="G631" s="811">
        <v>1521850.0</v>
      </c>
      <c r="H631" s="799">
        <f t="shared" si="7"/>
        <v>1521850</v>
      </c>
      <c r="I631" s="800"/>
      <c r="J631" s="812"/>
      <c r="K631" s="848" t="s">
        <v>3191</v>
      </c>
      <c r="L631" s="802" t="s">
        <v>10137</v>
      </c>
      <c r="M631" s="833" t="s">
        <v>2763</v>
      </c>
      <c r="N631" s="849">
        <v>45964.0</v>
      </c>
      <c r="O631" s="803"/>
    </row>
    <row r="632" ht="15.0" customHeight="1">
      <c r="A632" s="786">
        <v>45908.0</v>
      </c>
      <c r="B632" s="787">
        <v>2509223.0</v>
      </c>
      <c r="C632" s="788" t="s">
        <v>10136</v>
      </c>
      <c r="D632" s="789" t="s">
        <v>3318</v>
      </c>
      <c r="E632" s="790" t="str">
        <f>IFERROR(VLOOKUP(D632,Stock,3,FALSE),"")</f>
        <v>Suzuki Swift 11-17 2nd Gen</v>
      </c>
      <c r="F632" s="788">
        <v>1.0</v>
      </c>
      <c r="G632" s="811">
        <v>712800.0</v>
      </c>
      <c r="H632" s="799">
        <f t="shared" si="7"/>
        <v>712800</v>
      </c>
      <c r="I632" s="800"/>
      <c r="J632" s="812"/>
      <c r="K632" s="848" t="s">
        <v>3191</v>
      </c>
      <c r="L632" s="802" t="s">
        <v>10137</v>
      </c>
      <c r="M632" s="833" t="s">
        <v>2763</v>
      </c>
      <c r="N632" s="849">
        <v>45964.0</v>
      </c>
      <c r="O632" s="803"/>
    </row>
    <row r="633" ht="15.0" customHeight="1">
      <c r="A633" s="786">
        <v>45908.0</v>
      </c>
      <c r="B633" s="787">
        <v>2509223.0</v>
      </c>
      <c r="C633" s="788" t="s">
        <v>10136</v>
      </c>
      <c r="D633" s="789" t="s">
        <v>4166</v>
      </c>
      <c r="E633" s="790" t="str">
        <f>IFERROR(VLOOKUP(D633,Stock,3,FALSE),"")</f>
        <v>Wuling Confero</v>
      </c>
      <c r="F633" s="788">
        <v>1.0</v>
      </c>
      <c r="G633" s="811">
        <v>551100.0</v>
      </c>
      <c r="H633" s="799">
        <f t="shared" si="7"/>
        <v>551100</v>
      </c>
      <c r="I633" s="800"/>
      <c r="J633" s="812"/>
      <c r="K633" s="848" t="s">
        <v>3191</v>
      </c>
      <c r="L633" s="802" t="s">
        <v>10137</v>
      </c>
      <c r="M633" s="833" t="s">
        <v>2763</v>
      </c>
      <c r="N633" s="849">
        <v>45964.0</v>
      </c>
      <c r="O633" s="803"/>
    </row>
    <row r="634" ht="15.0" customHeight="1">
      <c r="A634" s="786">
        <v>45909.0</v>
      </c>
      <c r="B634" s="787">
        <v>2509287.0</v>
      </c>
      <c r="C634" s="788" t="s">
        <v>10136</v>
      </c>
      <c r="D634" s="789" t="s">
        <v>3205</v>
      </c>
      <c r="E634" s="790" t="str">
        <f>IFERROR(VLOOKUP(D634,Stock,3,FALSE),"")</f>
        <v>Toyota Innova 04-15 1st Gen</v>
      </c>
      <c r="F634" s="788">
        <v>1.0</v>
      </c>
      <c r="G634" s="811">
        <v>562100.0</v>
      </c>
      <c r="H634" s="799">
        <f t="shared" si="7"/>
        <v>562100</v>
      </c>
      <c r="I634" s="800"/>
      <c r="J634" s="812"/>
      <c r="K634" s="848" t="s">
        <v>3191</v>
      </c>
      <c r="L634" s="802" t="s">
        <v>10137</v>
      </c>
      <c r="M634" s="833" t="s">
        <v>2763</v>
      </c>
      <c r="N634" s="849">
        <v>45964.0</v>
      </c>
      <c r="O634" s="803"/>
    </row>
    <row r="635" ht="15.0" customHeight="1">
      <c r="A635" s="786">
        <v>45909.0</v>
      </c>
      <c r="B635" s="787">
        <v>2509280.0</v>
      </c>
      <c r="C635" s="788" t="s">
        <v>10136</v>
      </c>
      <c r="D635" s="789" t="s">
        <v>2995</v>
      </c>
      <c r="E635" s="790" t="str">
        <f>IFERROR(VLOOKUP(D635,Stock,3,FALSE),"")</f>
        <v>Honda CR-V 02-04 2nd Gen (Spion Jepit)</v>
      </c>
      <c r="F635" s="788">
        <v>1.0</v>
      </c>
      <c r="G635" s="811">
        <v>815100.0</v>
      </c>
      <c r="H635" s="799">
        <f t="shared" si="7"/>
        <v>815100</v>
      </c>
      <c r="I635" s="800"/>
      <c r="J635" s="812"/>
      <c r="K635" s="848" t="s">
        <v>3191</v>
      </c>
      <c r="L635" s="802" t="s">
        <v>10137</v>
      </c>
      <c r="M635" s="833" t="s">
        <v>2763</v>
      </c>
      <c r="N635" s="849">
        <v>45964.0</v>
      </c>
      <c r="O635" s="803"/>
    </row>
    <row r="636" ht="15.0" customHeight="1">
      <c r="A636" s="786">
        <v>45909.0</v>
      </c>
      <c r="B636" s="787">
        <v>2509280.0</v>
      </c>
      <c r="C636" s="788" t="s">
        <v>10136</v>
      </c>
      <c r="D636" s="789" t="s">
        <v>3193</v>
      </c>
      <c r="E636" s="790" t="str">
        <f>IFERROR(VLOOKUP(D636,Stock,3,FALSE),"")</f>
        <v>Toyota Avanza / Xenia 11-15 2nd Gen</v>
      </c>
      <c r="F636" s="788">
        <v>1.0</v>
      </c>
      <c r="G636" s="811">
        <v>416900.0</v>
      </c>
      <c r="H636" s="799">
        <f t="shared" si="7"/>
        <v>416900</v>
      </c>
      <c r="I636" s="800"/>
      <c r="J636" s="812"/>
      <c r="K636" s="848" t="s">
        <v>3191</v>
      </c>
      <c r="L636" s="802" t="s">
        <v>10137</v>
      </c>
      <c r="M636" s="833" t="s">
        <v>2763</v>
      </c>
      <c r="N636" s="849">
        <v>45964.0</v>
      </c>
      <c r="O636" s="803"/>
    </row>
    <row r="637" ht="15.0" customHeight="1">
      <c r="A637" s="786">
        <v>45909.0</v>
      </c>
      <c r="B637" s="787">
        <v>2509280.0</v>
      </c>
      <c r="C637" s="788" t="s">
        <v>10136</v>
      </c>
      <c r="D637" s="789" t="s">
        <v>2952</v>
      </c>
      <c r="E637" s="790" t="str">
        <f>IFERROR(VLOOKUP(D637,Stock,3,FALSE),"")</f>
        <v/>
      </c>
      <c r="F637" s="788">
        <v>2.0</v>
      </c>
      <c r="G637" s="811">
        <v>416900.0</v>
      </c>
      <c r="H637" s="799">
        <f t="shared" si="7"/>
        <v>833800</v>
      </c>
      <c r="I637" s="800"/>
      <c r="J637" s="812"/>
      <c r="K637" s="848" t="s">
        <v>3191</v>
      </c>
      <c r="L637" s="802" t="s">
        <v>10137</v>
      </c>
      <c r="M637" s="833" t="s">
        <v>2763</v>
      </c>
      <c r="N637" s="849">
        <v>45964.0</v>
      </c>
      <c r="O637" s="803"/>
    </row>
    <row r="638" ht="15.0" customHeight="1">
      <c r="A638" s="786">
        <v>45909.0</v>
      </c>
      <c r="B638" s="787">
        <v>2509280.0</v>
      </c>
      <c r="C638" s="788" t="s">
        <v>10136</v>
      </c>
      <c r="D638" s="789" t="s">
        <v>4342</v>
      </c>
      <c r="E638" s="790" t="str">
        <f>IFERROR(VLOOKUP(D638,Stock,3,FALSE),"")</f>
        <v>Toyota Voxy 17- (Hitam)</v>
      </c>
      <c r="F638" s="788">
        <v>1.0</v>
      </c>
      <c r="G638" s="811">
        <v>1521850.0</v>
      </c>
      <c r="H638" s="799">
        <f t="shared" si="7"/>
        <v>1521850</v>
      </c>
      <c r="I638" s="800"/>
      <c r="J638" s="812"/>
      <c r="K638" s="848" t="s">
        <v>3191</v>
      </c>
      <c r="L638" s="802" t="s">
        <v>10137</v>
      </c>
      <c r="M638" s="833" t="s">
        <v>2763</v>
      </c>
      <c r="N638" s="849">
        <v>45964.0</v>
      </c>
      <c r="O638" s="803"/>
    </row>
    <row r="639" ht="15.0" customHeight="1">
      <c r="A639" s="857">
        <v>45909.0</v>
      </c>
      <c r="B639" s="843" t="s">
        <v>10403</v>
      </c>
      <c r="C639" s="858" t="s">
        <v>10300</v>
      </c>
      <c r="D639" s="789" t="s">
        <v>10404</v>
      </c>
      <c r="E639" s="790" t="str">
        <f>IFERROR(VLOOKUP(D639,Stock,3,FALSE),"")</f>
        <v>Toyota Innova 15-22 2nd Gen (Toyota)</v>
      </c>
      <c r="F639" s="788">
        <v>1.0</v>
      </c>
      <c r="G639" s="811">
        <v>715500.0</v>
      </c>
      <c r="H639" s="799">
        <f t="shared" si="7"/>
        <v>715500</v>
      </c>
      <c r="I639" s="800"/>
      <c r="J639" s="812"/>
      <c r="K639" s="848" t="s">
        <v>3191</v>
      </c>
      <c r="L639" s="802" t="s">
        <v>10137</v>
      </c>
      <c r="M639" s="833" t="s">
        <v>2763</v>
      </c>
      <c r="N639" s="803"/>
      <c r="O639" s="803"/>
    </row>
    <row r="640" ht="15.0" customHeight="1">
      <c r="A640" s="786">
        <v>45909.0</v>
      </c>
      <c r="B640" s="787" t="s">
        <v>10403</v>
      </c>
      <c r="C640" s="788" t="s">
        <v>10300</v>
      </c>
      <c r="D640" s="789" t="s">
        <v>5705</v>
      </c>
      <c r="E640" s="790" t="str">
        <f>IFERROR(VLOOKUP(D640,Stock,3,FALSE),"")</f>
        <v>Toyota Innova 15-22 2nd Gen (Toyota)</v>
      </c>
      <c r="F640" s="788">
        <v>2.0</v>
      </c>
      <c r="G640" s="811">
        <v>256500.0</v>
      </c>
      <c r="H640" s="799">
        <f t="shared" si="7"/>
        <v>513000</v>
      </c>
      <c r="I640" s="800"/>
      <c r="J640" s="812"/>
      <c r="K640" s="848" t="s">
        <v>3191</v>
      </c>
      <c r="L640" s="802" t="s">
        <v>10137</v>
      </c>
      <c r="M640" s="833" t="s">
        <v>2763</v>
      </c>
      <c r="N640" s="803"/>
      <c r="O640" s="803"/>
    </row>
    <row r="641" ht="15.0" customHeight="1">
      <c r="A641" s="786">
        <v>45909.0</v>
      </c>
      <c r="B641" s="787" t="s">
        <v>10403</v>
      </c>
      <c r="C641" s="788" t="s">
        <v>10300</v>
      </c>
      <c r="D641" s="789" t="s">
        <v>5047</v>
      </c>
      <c r="E641" s="790" t="str">
        <f>IFERROR(VLOOKUP(D641,Stock,3,FALSE),"")</f>
        <v>Toyota Innova 15-22 2nd Gen (Toyota)</v>
      </c>
      <c r="F641" s="788">
        <v>2.0</v>
      </c>
      <c r="G641" s="811">
        <v>256500.0</v>
      </c>
      <c r="H641" s="799">
        <f t="shared" si="7"/>
        <v>513000</v>
      </c>
      <c r="I641" s="800"/>
      <c r="J641" s="812"/>
      <c r="K641" s="848" t="s">
        <v>3191</v>
      </c>
      <c r="L641" s="802" t="s">
        <v>10137</v>
      </c>
      <c r="M641" s="833" t="s">
        <v>2763</v>
      </c>
      <c r="N641" s="803"/>
      <c r="O641" s="803"/>
    </row>
    <row r="642" ht="15.0" customHeight="1">
      <c r="A642" s="786">
        <v>45909.0</v>
      </c>
      <c r="B642" s="787" t="s">
        <v>10403</v>
      </c>
      <c r="C642" s="788" t="s">
        <v>10300</v>
      </c>
      <c r="D642" s="789" t="s">
        <v>6129</v>
      </c>
      <c r="E642" s="790" t="str">
        <f>IFERROR(VLOOKUP(D642,Stock,3,FALSE),"")</f>
        <v>Toyota Innova 04-15 1st Gen (Toyota)</v>
      </c>
      <c r="F642" s="788">
        <v>2.0</v>
      </c>
      <c r="G642" s="811">
        <v>1197000.0</v>
      </c>
      <c r="H642" s="799">
        <f t="shared" si="7"/>
        <v>2394000</v>
      </c>
      <c r="I642" s="800"/>
      <c r="J642" s="812"/>
      <c r="K642" s="848" t="s">
        <v>3191</v>
      </c>
      <c r="L642" s="802" t="s">
        <v>10137</v>
      </c>
      <c r="M642" s="833" t="s">
        <v>2763</v>
      </c>
      <c r="N642" s="803"/>
      <c r="O642" s="803"/>
    </row>
    <row r="643" ht="15.0" customHeight="1">
      <c r="A643" s="786">
        <v>45909.0</v>
      </c>
      <c r="B643" s="787" t="s">
        <v>10403</v>
      </c>
      <c r="C643" s="788" t="s">
        <v>10300</v>
      </c>
      <c r="D643" s="789" t="s">
        <v>3338</v>
      </c>
      <c r="E643" s="790" t="str">
        <f>IFERROR(VLOOKUP(D643,Stock,3,FALSE),"")</f>
        <v>Toyota Innova 15-22 2nd Gen (Toyota)</v>
      </c>
      <c r="F643" s="788">
        <v>2.0</v>
      </c>
      <c r="G643" s="811">
        <v>1197000.0</v>
      </c>
      <c r="H643" s="799">
        <f t="shared" si="7"/>
        <v>2394000</v>
      </c>
      <c r="I643" s="800"/>
      <c r="J643" s="812"/>
      <c r="K643" s="848" t="s">
        <v>3191</v>
      </c>
      <c r="L643" s="802" t="s">
        <v>10137</v>
      </c>
      <c r="M643" s="833" t="s">
        <v>2763</v>
      </c>
      <c r="N643" s="803"/>
      <c r="O643" s="803"/>
    </row>
    <row r="644" ht="15.0" customHeight="1">
      <c r="A644" s="786">
        <v>45909.0</v>
      </c>
      <c r="B644" s="787" t="s">
        <v>10405</v>
      </c>
      <c r="C644" s="788" t="s">
        <v>2643</v>
      </c>
      <c r="D644" s="789" t="s">
        <v>5064</v>
      </c>
      <c r="E644" s="790" t="str">
        <f>IFERROR(VLOOKUP(D644,Stock,3,FALSE),"")</f>
        <v>Honda Freed 08-16 1st Gen (Honda)</v>
      </c>
      <c r="F644" s="788">
        <v>1.0</v>
      </c>
      <c r="G644" s="811">
        <v>420024.0</v>
      </c>
      <c r="H644" s="799">
        <f t="shared" si="7"/>
        <v>420024</v>
      </c>
      <c r="I644" s="800"/>
      <c r="J644" s="812"/>
      <c r="K644" s="848" t="s">
        <v>3191</v>
      </c>
      <c r="L644" s="802" t="s">
        <v>10137</v>
      </c>
      <c r="M644" s="833" t="s">
        <v>2763</v>
      </c>
      <c r="N644" s="849">
        <v>45964.0</v>
      </c>
      <c r="O644" s="803"/>
    </row>
    <row r="645" ht="15.0" customHeight="1">
      <c r="A645" s="786">
        <v>45909.0</v>
      </c>
      <c r="B645" s="787" t="s">
        <v>10405</v>
      </c>
      <c r="C645" s="788" t="s">
        <v>2643</v>
      </c>
      <c r="D645" s="789" t="s">
        <v>4763</v>
      </c>
      <c r="E645" s="790" t="str">
        <f>IFERROR(VLOOKUP(D645,Stock,3,FALSE),"")</f>
        <v>Honda Freed 08-16 1st Gen (Honda)</v>
      </c>
      <c r="F645" s="788">
        <v>1.0</v>
      </c>
      <c r="G645" s="811">
        <v>400488.0</v>
      </c>
      <c r="H645" s="799">
        <f t="shared" si="7"/>
        <v>400488</v>
      </c>
      <c r="I645" s="800"/>
      <c r="J645" s="812"/>
      <c r="K645" s="848" t="s">
        <v>3191</v>
      </c>
      <c r="L645" s="802" t="s">
        <v>10137</v>
      </c>
      <c r="M645" s="833" t="s">
        <v>2763</v>
      </c>
      <c r="N645" s="849">
        <v>45964.0</v>
      </c>
      <c r="O645" s="803"/>
    </row>
    <row r="646" ht="15.0" customHeight="1">
      <c r="A646" s="786">
        <v>45908.0</v>
      </c>
      <c r="B646" s="787" t="s">
        <v>10406</v>
      </c>
      <c r="C646" s="788" t="s">
        <v>2643</v>
      </c>
      <c r="D646" s="789" t="s">
        <v>4292</v>
      </c>
      <c r="E646" s="790" t="str">
        <f>IFERROR(VLOOKUP(D646,Stock,3,FALSE),"")</f>
        <v>Honda BR-V 22- 2nd Gen / WRV 23- (Honda)</v>
      </c>
      <c r="F646" s="788">
        <v>1.0</v>
      </c>
      <c r="G646" s="811">
        <v>1050060.0</v>
      </c>
      <c r="H646" s="799">
        <f t="shared" si="7"/>
        <v>1050060</v>
      </c>
      <c r="I646" s="800"/>
      <c r="J646" s="812"/>
      <c r="K646" s="848" t="s">
        <v>3191</v>
      </c>
      <c r="L646" s="802" t="s">
        <v>10137</v>
      </c>
      <c r="M646" s="833" t="s">
        <v>2763</v>
      </c>
      <c r="N646" s="849">
        <v>45964.0</v>
      </c>
      <c r="O646" s="803"/>
    </row>
    <row r="647" ht="15.0" customHeight="1">
      <c r="A647" s="786">
        <v>45909.0</v>
      </c>
      <c r="B647" s="787" t="s">
        <v>10407</v>
      </c>
      <c r="C647" s="788" t="s">
        <v>2643</v>
      </c>
      <c r="D647" s="789" t="s">
        <v>3858</v>
      </c>
      <c r="E647" s="790" t="str">
        <f>IFERROR(VLOOKUP(D647,Stock,3,FALSE),"")</f>
        <v>Daihatsu Luxio 07-</v>
      </c>
      <c r="F647" s="788">
        <v>22.0</v>
      </c>
      <c r="G647" s="811">
        <v>298150.0</v>
      </c>
      <c r="H647" s="799">
        <f t="shared" si="7"/>
        <v>6559300</v>
      </c>
      <c r="I647" s="800"/>
      <c r="J647" s="812"/>
      <c r="K647" s="848" t="s">
        <v>3191</v>
      </c>
      <c r="L647" s="802" t="s">
        <v>10137</v>
      </c>
      <c r="M647" s="833" t="s">
        <v>2763</v>
      </c>
      <c r="N647" s="849">
        <v>45964.0</v>
      </c>
      <c r="O647" s="803"/>
    </row>
    <row r="648" ht="15.0" customHeight="1">
      <c r="A648" s="786">
        <v>45909.0</v>
      </c>
      <c r="B648" s="787" t="s">
        <v>10408</v>
      </c>
      <c r="C648" s="788" t="s">
        <v>2643</v>
      </c>
      <c r="D648" s="819" t="s">
        <v>4855</v>
      </c>
      <c r="E648" s="790" t="str">
        <f>IFERROR(VLOOKUP(D648,Stock,3,FALSE),"")</f>
        <v>Honda WR-V 23- (Honda)</v>
      </c>
      <c r="F648" s="788">
        <v>2.0</v>
      </c>
      <c r="G648" s="811">
        <v>190476.0</v>
      </c>
      <c r="H648" s="799">
        <f t="shared" si="7"/>
        <v>380952</v>
      </c>
      <c r="I648" s="800"/>
      <c r="J648" s="812"/>
      <c r="K648" s="848" t="s">
        <v>3191</v>
      </c>
      <c r="L648" s="802" t="s">
        <v>10137</v>
      </c>
      <c r="M648" s="833" t="s">
        <v>2763</v>
      </c>
      <c r="N648" s="849">
        <v>45964.0</v>
      </c>
      <c r="O648" s="803"/>
    </row>
    <row r="649" ht="15.0" customHeight="1">
      <c r="A649" s="786">
        <v>45909.0</v>
      </c>
      <c r="B649" s="787" t="s">
        <v>10408</v>
      </c>
      <c r="C649" s="788" t="s">
        <v>2643</v>
      </c>
      <c r="D649" s="816" t="s">
        <v>4856</v>
      </c>
      <c r="E649" s="790" t="str">
        <f>IFERROR(VLOOKUP(D649,Stock,3,FALSE),"")</f>
        <v>Honda WR-V 23- (Honda)</v>
      </c>
      <c r="F649" s="788">
        <v>2.0</v>
      </c>
      <c r="G649" s="811">
        <v>190476.0</v>
      </c>
      <c r="H649" s="799">
        <f t="shared" si="7"/>
        <v>380952</v>
      </c>
      <c r="I649" s="800"/>
      <c r="J649" s="812"/>
      <c r="K649" s="848" t="s">
        <v>3191</v>
      </c>
      <c r="L649" s="802" t="s">
        <v>10137</v>
      </c>
      <c r="M649" s="833" t="s">
        <v>2763</v>
      </c>
      <c r="N649" s="849">
        <v>45964.0</v>
      </c>
      <c r="O649" s="803"/>
    </row>
    <row r="650" ht="15.0" customHeight="1">
      <c r="A650" s="786">
        <v>45909.0</v>
      </c>
      <c r="B650" s="787" t="s">
        <v>10408</v>
      </c>
      <c r="C650" s="788" t="s">
        <v>2643</v>
      </c>
      <c r="D650" s="816" t="s">
        <v>4857</v>
      </c>
      <c r="E650" s="790" t="str">
        <f>IFERROR(VLOOKUP(D650,Stock,3,FALSE),"")</f>
        <v>Honda WR-V 23- (Honda)</v>
      </c>
      <c r="F650" s="788">
        <v>1.0</v>
      </c>
      <c r="G650" s="811">
        <v>126984.0</v>
      </c>
      <c r="H650" s="799">
        <f t="shared" si="7"/>
        <v>126984</v>
      </c>
      <c r="I650" s="800"/>
      <c r="J650" s="812"/>
      <c r="K650" s="848" t="s">
        <v>3191</v>
      </c>
      <c r="L650" s="802" t="s">
        <v>10137</v>
      </c>
      <c r="M650" s="833" t="s">
        <v>2763</v>
      </c>
      <c r="N650" s="849">
        <v>45964.0</v>
      </c>
      <c r="O650" s="803"/>
    </row>
    <row r="651" ht="15.0" customHeight="1">
      <c r="A651" s="786">
        <v>45909.0</v>
      </c>
      <c r="B651" s="787" t="s">
        <v>10408</v>
      </c>
      <c r="C651" s="788" t="s">
        <v>2643</v>
      </c>
      <c r="D651" s="816" t="s">
        <v>4858</v>
      </c>
      <c r="E651" s="790" t="str">
        <f>IFERROR(VLOOKUP(D651,Stock,3,FALSE),"")</f>
        <v>Honda WR-V 23- (Honda)</v>
      </c>
      <c r="F651" s="788">
        <v>2.0</v>
      </c>
      <c r="G651" s="811">
        <v>126984.0</v>
      </c>
      <c r="H651" s="799">
        <f t="shared" si="7"/>
        <v>253968</v>
      </c>
      <c r="I651" s="800"/>
      <c r="J651" s="812"/>
      <c r="K651" s="848" t="s">
        <v>3191</v>
      </c>
      <c r="L651" s="802" t="s">
        <v>10137</v>
      </c>
      <c r="M651" s="833" t="s">
        <v>2763</v>
      </c>
      <c r="N651" s="849">
        <v>45964.0</v>
      </c>
      <c r="O651" s="803"/>
    </row>
    <row r="652" ht="15.0" customHeight="1">
      <c r="A652" s="786">
        <v>45910.0</v>
      </c>
      <c r="B652" s="787">
        <v>2509341.0</v>
      </c>
      <c r="C652" s="788" t="s">
        <v>10136</v>
      </c>
      <c r="D652" s="789" t="s">
        <v>4842</v>
      </c>
      <c r="E652" s="790" t="str">
        <f>IFERROR(VLOOKUP(D652,Stock,3,FALSE),"")</f>
        <v>Mazda CX-5 17- 2nd Gen KF - (1 Sensor/ □ )</v>
      </c>
      <c r="F652" s="788">
        <v>1.0</v>
      </c>
      <c r="G652" s="811">
        <v>2554200.0</v>
      </c>
      <c r="H652" s="799">
        <f t="shared" si="7"/>
        <v>2554200</v>
      </c>
      <c r="I652" s="800"/>
      <c r="J652" s="812"/>
      <c r="K652" s="848" t="s">
        <v>9900</v>
      </c>
      <c r="L652" s="802" t="s">
        <v>10137</v>
      </c>
      <c r="M652" s="833" t="s">
        <v>2763</v>
      </c>
      <c r="N652" s="854">
        <v>45986.0</v>
      </c>
      <c r="O652" s="803"/>
    </row>
    <row r="653" ht="15.0" customHeight="1">
      <c r="A653" s="786">
        <v>45910.0</v>
      </c>
      <c r="B653" s="787">
        <v>2509324.0</v>
      </c>
      <c r="C653" s="788" t="s">
        <v>10136</v>
      </c>
      <c r="D653" s="789" t="s">
        <v>2995</v>
      </c>
      <c r="E653" s="790" t="str">
        <f>IFERROR(VLOOKUP(D653,Stock,3,FALSE),"")</f>
        <v>Honda CR-V 02-04 2nd Gen (Spion Jepit)</v>
      </c>
      <c r="F653" s="788">
        <v>1.0</v>
      </c>
      <c r="G653" s="811">
        <v>815100.0</v>
      </c>
      <c r="H653" s="799">
        <f t="shared" si="7"/>
        <v>815100</v>
      </c>
      <c r="I653" s="800"/>
      <c r="J653" s="812"/>
      <c r="K653" s="848" t="s">
        <v>3191</v>
      </c>
      <c r="L653" s="802" t="s">
        <v>10137</v>
      </c>
      <c r="M653" s="833" t="s">
        <v>2763</v>
      </c>
      <c r="N653" s="859">
        <v>45819.0</v>
      </c>
      <c r="O653" s="803"/>
    </row>
    <row r="654" ht="15.0" customHeight="1">
      <c r="A654" s="786">
        <v>45910.0</v>
      </c>
      <c r="B654" s="787">
        <v>2509324.0</v>
      </c>
      <c r="C654" s="788" t="s">
        <v>10136</v>
      </c>
      <c r="D654" s="789" t="s">
        <v>3737</v>
      </c>
      <c r="E654" s="790" t="str">
        <f>IFERROR(VLOOKUP(D654,Stock,3,FALSE),"")</f>
        <v>DFSK Supercab 20-</v>
      </c>
      <c r="F654" s="788">
        <v>1.0</v>
      </c>
      <c r="G654" s="811">
        <v>825000.0</v>
      </c>
      <c r="H654" s="799">
        <f t="shared" si="7"/>
        <v>825000</v>
      </c>
      <c r="I654" s="800"/>
      <c r="J654" s="812"/>
      <c r="K654" s="848" t="s">
        <v>3191</v>
      </c>
      <c r="L654" s="802" t="s">
        <v>10137</v>
      </c>
      <c r="M654" s="833" t="s">
        <v>2763</v>
      </c>
      <c r="N654" s="859">
        <v>45819.0</v>
      </c>
      <c r="O654" s="803"/>
    </row>
    <row r="655" ht="15.0" customHeight="1">
      <c r="A655" s="786">
        <v>45910.0</v>
      </c>
      <c r="B655" s="787">
        <v>2509324.0</v>
      </c>
      <c r="C655" s="788" t="s">
        <v>10136</v>
      </c>
      <c r="D655" s="789" t="s">
        <v>9120</v>
      </c>
      <c r="E655" s="790" t="str">
        <f>IFERROR(VLOOKUP(D655,Stock,3,FALSE),"")</f>
        <v>Mazda 2 14- Skyactiv 4th Gen Hatchback</v>
      </c>
      <c r="F655" s="788">
        <v>1.0</v>
      </c>
      <c r="G655" s="811">
        <v>398750.0</v>
      </c>
      <c r="H655" s="799">
        <f t="shared" si="7"/>
        <v>398750</v>
      </c>
      <c r="I655" s="800"/>
      <c r="J655" s="812"/>
      <c r="K655" s="848" t="s">
        <v>3191</v>
      </c>
      <c r="L655" s="802" t="s">
        <v>10137</v>
      </c>
      <c r="M655" s="833" t="s">
        <v>2763</v>
      </c>
      <c r="N655" s="859">
        <v>45819.0</v>
      </c>
      <c r="O655" s="803"/>
    </row>
    <row r="656" ht="15.0" customHeight="1">
      <c r="A656" s="786">
        <v>45910.0</v>
      </c>
      <c r="B656" s="787" t="s">
        <v>10409</v>
      </c>
      <c r="C656" s="788" t="s">
        <v>2643</v>
      </c>
      <c r="D656" s="789" t="s">
        <v>4936</v>
      </c>
      <c r="E656" s="790" t="str">
        <f>IFERROR(VLOOKUP(D656,Stock,3,FALSE),"")</f>
        <v>Toyota Sienta 15-</v>
      </c>
      <c r="F656" s="788">
        <v>1.0</v>
      </c>
      <c r="G656" s="811">
        <v>1628399.0</v>
      </c>
      <c r="H656" s="799">
        <f t="shared" si="7"/>
        <v>1628399</v>
      </c>
      <c r="I656" s="800"/>
      <c r="J656" s="812"/>
      <c r="K656" s="848" t="s">
        <v>3191</v>
      </c>
      <c r="L656" s="802" t="s">
        <v>10137</v>
      </c>
      <c r="M656" s="833" t="s">
        <v>2763</v>
      </c>
      <c r="N656" s="849">
        <v>45964.0</v>
      </c>
      <c r="O656" s="803"/>
    </row>
    <row r="657" ht="15.0" customHeight="1">
      <c r="A657" s="786">
        <v>45910.0</v>
      </c>
      <c r="B657" s="787" t="s">
        <v>10410</v>
      </c>
      <c r="C657" s="788" t="s">
        <v>2643</v>
      </c>
      <c r="D657" s="789" t="s">
        <v>4857</v>
      </c>
      <c r="E657" s="790" t="str">
        <f>IFERROR(VLOOKUP(D657,Stock,3,FALSE),"")</f>
        <v>Honda WR-V 23- (Honda)</v>
      </c>
      <c r="F657" s="788">
        <v>1.0</v>
      </c>
      <c r="G657" s="811">
        <v>126984.0</v>
      </c>
      <c r="H657" s="799">
        <f t="shared" si="7"/>
        <v>126984</v>
      </c>
      <c r="I657" s="800"/>
      <c r="J657" s="812"/>
      <c r="K657" s="848" t="s">
        <v>3191</v>
      </c>
      <c r="L657" s="802" t="s">
        <v>10137</v>
      </c>
      <c r="M657" s="833" t="s">
        <v>2763</v>
      </c>
      <c r="N657" s="849">
        <v>45964.0</v>
      </c>
      <c r="O657" s="803"/>
    </row>
    <row r="658" ht="15.0" customHeight="1">
      <c r="A658" s="786">
        <v>45911.0</v>
      </c>
      <c r="B658" s="787">
        <v>2509378.0</v>
      </c>
      <c r="C658" s="788" t="s">
        <v>10136</v>
      </c>
      <c r="D658" s="789" t="s">
        <v>4846</v>
      </c>
      <c r="E658" s="790" t="str">
        <f>IFERROR(VLOOKUP(D658,Stock,3,FALSE),"")</f>
        <v>Toyota LandCruiser Prado 02-09 FJ120</v>
      </c>
      <c r="F658" s="788">
        <v>1.0</v>
      </c>
      <c r="G658" s="811">
        <v>1755600.0</v>
      </c>
      <c r="H658" s="799">
        <f t="shared" si="7"/>
        <v>1755600</v>
      </c>
      <c r="I658" s="800"/>
      <c r="J658" s="812"/>
      <c r="K658" s="848" t="s">
        <v>9900</v>
      </c>
      <c r="L658" s="802" t="s">
        <v>10137</v>
      </c>
      <c r="M658" s="833" t="s">
        <v>2763</v>
      </c>
      <c r="N658" s="859">
        <v>45819.0</v>
      </c>
      <c r="O658" s="803"/>
    </row>
    <row r="659" ht="15.0" customHeight="1">
      <c r="A659" s="786">
        <v>45911.0</v>
      </c>
      <c r="B659" s="787">
        <v>2509378.0</v>
      </c>
      <c r="C659" s="788" t="s">
        <v>10136</v>
      </c>
      <c r="D659" s="789" t="s">
        <v>2952</v>
      </c>
      <c r="E659" s="790" t="str">
        <f>IFERROR(VLOOKUP(D659,Stock,3,FALSE),"")</f>
        <v/>
      </c>
      <c r="F659" s="788">
        <v>2.0</v>
      </c>
      <c r="G659" s="811">
        <v>416900.0</v>
      </c>
      <c r="H659" s="799">
        <f t="shared" si="7"/>
        <v>833800</v>
      </c>
      <c r="I659" s="800"/>
      <c r="J659" s="812"/>
      <c r="K659" s="848" t="s">
        <v>9900</v>
      </c>
      <c r="L659" s="802" t="s">
        <v>10137</v>
      </c>
      <c r="M659" s="833" t="s">
        <v>2763</v>
      </c>
      <c r="N659" s="859">
        <v>45819.0</v>
      </c>
      <c r="O659" s="803"/>
    </row>
    <row r="660" ht="15.0" customHeight="1">
      <c r="A660" s="786">
        <v>45911.0</v>
      </c>
      <c r="B660" s="787">
        <v>2509378.0</v>
      </c>
      <c r="C660" s="788" t="s">
        <v>10136</v>
      </c>
      <c r="D660" s="789" t="s">
        <v>3975</v>
      </c>
      <c r="E660" s="790" t="str">
        <f>IFERROR(VLOOKUP(D660,Stock,3,FALSE),"")</f>
        <v>Nissan Terrano 95-06</v>
      </c>
      <c r="F660" s="788">
        <v>1.0</v>
      </c>
      <c r="G660" s="811">
        <v>659450.0</v>
      </c>
      <c r="H660" s="799">
        <f t="shared" si="7"/>
        <v>659450</v>
      </c>
      <c r="I660" s="800"/>
      <c r="J660" s="812"/>
      <c r="K660" s="848" t="s">
        <v>9900</v>
      </c>
      <c r="L660" s="802" t="s">
        <v>10137</v>
      </c>
      <c r="M660" s="833" t="s">
        <v>2763</v>
      </c>
      <c r="N660" s="859">
        <v>45819.0</v>
      </c>
      <c r="O660" s="803"/>
    </row>
    <row r="661" ht="15.0" customHeight="1">
      <c r="A661" s="786">
        <v>45911.0</v>
      </c>
      <c r="B661" s="787">
        <v>2509378.0</v>
      </c>
      <c r="C661" s="788" t="s">
        <v>10136</v>
      </c>
      <c r="D661" s="789" t="s">
        <v>4544</v>
      </c>
      <c r="E661" s="790" t="str">
        <f>IFERROR(VLOOKUP(D661,Stock,3,FALSE),"")</f>
        <v>Toyota Avanza / Xenia 03-11 1st Gen</v>
      </c>
      <c r="F661" s="788">
        <v>1.0</v>
      </c>
      <c r="G661" s="811">
        <v>297550.0</v>
      </c>
      <c r="H661" s="799">
        <f t="shared" si="7"/>
        <v>297550</v>
      </c>
      <c r="I661" s="800"/>
      <c r="J661" s="812"/>
      <c r="K661" s="848" t="s">
        <v>9900</v>
      </c>
      <c r="L661" s="802" t="s">
        <v>10137</v>
      </c>
      <c r="M661" s="833" t="s">
        <v>2763</v>
      </c>
      <c r="N661" s="859">
        <v>45819.0</v>
      </c>
      <c r="O661" s="803"/>
    </row>
    <row r="662" ht="15.0" customHeight="1">
      <c r="A662" s="786">
        <v>45911.0</v>
      </c>
      <c r="B662" s="787">
        <v>2509378.0</v>
      </c>
      <c r="C662" s="788" t="s">
        <v>10136</v>
      </c>
      <c r="D662" s="789" t="s">
        <v>4783</v>
      </c>
      <c r="E662" s="790" t="str">
        <f>IFERROR(VLOOKUP(D662,Stock,3,FALSE),"")</f>
        <v>Toyota Avanza / Xenia 03-11 1st Gen</v>
      </c>
      <c r="F662" s="788">
        <v>1.0</v>
      </c>
      <c r="G662" s="811">
        <v>366850.0</v>
      </c>
      <c r="H662" s="799">
        <f t="shared" si="7"/>
        <v>366850</v>
      </c>
      <c r="I662" s="800"/>
      <c r="J662" s="812"/>
      <c r="K662" s="848" t="s">
        <v>9900</v>
      </c>
      <c r="L662" s="802" t="s">
        <v>10137</v>
      </c>
      <c r="M662" s="833" t="s">
        <v>2763</v>
      </c>
      <c r="N662" s="859">
        <v>45819.0</v>
      </c>
      <c r="O662" s="803"/>
    </row>
    <row r="663" ht="15.0" customHeight="1">
      <c r="A663" s="786">
        <v>45911.0</v>
      </c>
      <c r="B663" s="787">
        <v>2509378.0</v>
      </c>
      <c r="C663" s="788" t="s">
        <v>10136</v>
      </c>
      <c r="D663" s="789" t="s">
        <v>4590</v>
      </c>
      <c r="E663" s="790" t="str">
        <f>IFERROR(VLOOKUP(D663,Stock,3,FALSE),"")</f>
        <v>Toyota Avanza / Xenia 11-15 2nd Gen / 15-21 3rd Gen</v>
      </c>
      <c r="F663" s="788">
        <v>1.0</v>
      </c>
      <c r="G663" s="811">
        <v>350350.0</v>
      </c>
      <c r="H663" s="799">
        <f t="shared" si="7"/>
        <v>350350</v>
      </c>
      <c r="I663" s="800"/>
      <c r="J663" s="812"/>
      <c r="K663" s="848" t="s">
        <v>9900</v>
      </c>
      <c r="L663" s="802" t="s">
        <v>10137</v>
      </c>
      <c r="M663" s="833" t="s">
        <v>2763</v>
      </c>
      <c r="N663" s="859">
        <v>45819.0</v>
      </c>
      <c r="O663" s="803"/>
    </row>
    <row r="664" ht="15.0" customHeight="1">
      <c r="A664" s="786">
        <v>45911.0</v>
      </c>
      <c r="B664" s="787">
        <v>2509378.0</v>
      </c>
      <c r="C664" s="788" t="s">
        <v>10136</v>
      </c>
      <c r="D664" s="789" t="s">
        <v>3205</v>
      </c>
      <c r="E664" s="790" t="str">
        <f>IFERROR(VLOOKUP(D664,Stock,3,FALSE),"")</f>
        <v>Toyota Innova 04-15 1st Gen</v>
      </c>
      <c r="F664" s="788">
        <v>1.0</v>
      </c>
      <c r="G664" s="811">
        <v>562100.0</v>
      </c>
      <c r="H664" s="799">
        <f t="shared" si="7"/>
        <v>562100</v>
      </c>
      <c r="I664" s="800"/>
      <c r="J664" s="812"/>
      <c r="K664" s="848" t="s">
        <v>9900</v>
      </c>
      <c r="L664" s="802" t="s">
        <v>10137</v>
      </c>
      <c r="M664" s="833" t="s">
        <v>2763</v>
      </c>
      <c r="N664" s="859">
        <v>45819.0</v>
      </c>
      <c r="O664" s="803"/>
    </row>
    <row r="665" ht="15.0" customHeight="1">
      <c r="A665" s="786">
        <v>45911.0</v>
      </c>
      <c r="B665" s="787" t="s">
        <v>10411</v>
      </c>
      <c r="C665" s="788" t="s">
        <v>66</v>
      </c>
      <c r="D665" s="789" t="s">
        <v>3610</v>
      </c>
      <c r="E665" s="790" t="str">
        <f>IFERROR(VLOOKUP(D665,Stock,3,FALSE),"")</f>
        <v>Mers-Benz Axor 98- Truck / Fuso FJ25</v>
      </c>
      <c r="F665" s="788">
        <v>1.0</v>
      </c>
      <c r="G665" s="811">
        <v>1700000.0</v>
      </c>
      <c r="H665" s="799">
        <f t="shared" si="7"/>
        <v>1700000</v>
      </c>
      <c r="I665" s="800"/>
      <c r="J665" s="812"/>
      <c r="K665" s="848" t="s">
        <v>9900</v>
      </c>
      <c r="L665" s="802" t="s">
        <v>10137</v>
      </c>
      <c r="M665" s="806" t="s">
        <v>2763</v>
      </c>
      <c r="N665" s="837">
        <v>45917.0</v>
      </c>
      <c r="O665" s="803"/>
    </row>
    <row r="666" ht="15.0" customHeight="1">
      <c r="A666" s="786">
        <v>45911.0</v>
      </c>
      <c r="B666" s="787" t="s">
        <v>10412</v>
      </c>
      <c r="C666" s="788" t="s">
        <v>2643</v>
      </c>
      <c r="D666" s="789" t="s">
        <v>4720</v>
      </c>
      <c r="E666" s="790" t="str">
        <f>IFERROR(VLOOKUP(D666,Stock,3,FALSE),"")</f>
        <v>Honda Jazz 13-  3rd Gen (Honda)</v>
      </c>
      <c r="F666" s="788">
        <v>2.0</v>
      </c>
      <c r="G666" s="811">
        <v>1597068.0</v>
      </c>
      <c r="H666" s="799">
        <f t="shared" si="7"/>
        <v>3194136</v>
      </c>
      <c r="I666" s="800"/>
      <c r="J666" s="812"/>
      <c r="K666" s="848" t="s">
        <v>3191</v>
      </c>
      <c r="L666" s="802" t="s">
        <v>10137</v>
      </c>
      <c r="M666" s="806" t="s">
        <v>2763</v>
      </c>
      <c r="N666" s="837">
        <v>45966.0</v>
      </c>
      <c r="O666" s="803"/>
    </row>
    <row r="667" ht="15.0" customHeight="1">
      <c r="A667" s="786">
        <v>45911.0</v>
      </c>
      <c r="B667" s="856" t="s">
        <v>10413</v>
      </c>
      <c r="C667" s="788" t="s">
        <v>10139</v>
      </c>
      <c r="D667" s="789" t="s">
        <v>4879</v>
      </c>
      <c r="E667" s="790" t="str">
        <f>IFERROR(VLOOKUP(D667,Stock,3,FALSE),"")</f>
        <v>Kia Picanto 11-16 2nd Gen</v>
      </c>
      <c r="F667" s="788">
        <v>1.0</v>
      </c>
      <c r="G667" s="811">
        <v>868725.0</v>
      </c>
      <c r="H667" s="799">
        <f t="shared" si="7"/>
        <v>868725</v>
      </c>
      <c r="I667" s="800"/>
      <c r="J667" s="812"/>
      <c r="K667" s="848" t="s">
        <v>3481</v>
      </c>
      <c r="L667" s="802" t="s">
        <v>10137</v>
      </c>
      <c r="M667" s="806" t="s">
        <v>2763</v>
      </c>
      <c r="N667" s="854">
        <v>45950.0</v>
      </c>
      <c r="O667" s="803"/>
    </row>
    <row r="668" ht="15.0" customHeight="1">
      <c r="A668" s="786">
        <v>45911.0</v>
      </c>
      <c r="B668" s="856" t="s">
        <v>10414</v>
      </c>
      <c r="C668" s="788" t="s">
        <v>10139</v>
      </c>
      <c r="D668" s="789" t="s">
        <v>4860</v>
      </c>
      <c r="E668" s="790" t="str">
        <f>IFERROR(VLOOKUP(D668,Stock,3,FALSE),"")</f>
        <v>Toyota Agya/Ayla 23- 2nd Gen (Toyota/Daihatsu)</v>
      </c>
      <c r="F668" s="788">
        <v>1.0</v>
      </c>
      <c r="G668" s="811">
        <v>498000.0</v>
      </c>
      <c r="H668" s="799">
        <f t="shared" si="7"/>
        <v>498000</v>
      </c>
      <c r="I668" s="800"/>
      <c r="J668" s="812"/>
      <c r="K668" s="848" t="s">
        <v>9900</v>
      </c>
      <c r="L668" s="802" t="s">
        <v>10137</v>
      </c>
      <c r="M668" s="806" t="s">
        <v>2763</v>
      </c>
      <c r="N668" s="837">
        <v>45917.0</v>
      </c>
      <c r="O668" s="803"/>
    </row>
    <row r="669" ht="15.0" customHeight="1">
      <c r="A669" s="786">
        <v>45912.0</v>
      </c>
      <c r="B669" s="787">
        <v>2509177.0</v>
      </c>
      <c r="C669" s="788" t="s">
        <v>10136</v>
      </c>
      <c r="D669" s="789" t="s">
        <v>4392</v>
      </c>
      <c r="E669" s="790" t="str">
        <f>IFERROR(VLOOKUP(D669,Stock,3,FALSE),"")</f>
        <v>Mitsubishi Grandis 03-11 EZ45/NA4W</v>
      </c>
      <c r="F669" s="788">
        <v>1.0</v>
      </c>
      <c r="G669" s="811">
        <v>1325500.0</v>
      </c>
      <c r="H669" s="799">
        <f t="shared" si="7"/>
        <v>1325500</v>
      </c>
      <c r="I669" s="800"/>
      <c r="J669" s="812"/>
      <c r="K669" s="848" t="s">
        <v>9900</v>
      </c>
      <c r="L669" s="802" t="s">
        <v>10137</v>
      </c>
      <c r="M669" s="806" t="s">
        <v>10371</v>
      </c>
      <c r="N669" s="859">
        <v>45819.0</v>
      </c>
      <c r="O669" s="803"/>
    </row>
    <row r="670" ht="15.0" customHeight="1">
      <c r="A670" s="786">
        <v>45912.0</v>
      </c>
      <c r="B670" s="787">
        <v>2509439.0</v>
      </c>
      <c r="C670" s="788" t="s">
        <v>10136</v>
      </c>
      <c r="D670" s="789" t="s">
        <v>4922</v>
      </c>
      <c r="E670" s="790" t="str">
        <f>IFERROR(VLOOKUP(D670,Stock,3,FALSE),"")</f>
        <v>Toyota Camry 11-17 XV50 5th Gen</v>
      </c>
      <c r="F670" s="788">
        <v>1.0</v>
      </c>
      <c r="G670" s="811">
        <v>1047750.0</v>
      </c>
      <c r="H670" s="799">
        <f t="shared" si="7"/>
        <v>1047750</v>
      </c>
      <c r="I670" s="800"/>
      <c r="J670" s="812"/>
      <c r="K670" s="848" t="s">
        <v>9900</v>
      </c>
      <c r="L670" s="802" t="s">
        <v>10137</v>
      </c>
      <c r="M670" s="806" t="s">
        <v>10371</v>
      </c>
      <c r="N670" s="859">
        <v>45819.0</v>
      </c>
      <c r="O670" s="803"/>
    </row>
    <row r="671" ht="15.0" customHeight="1">
      <c r="A671" s="786">
        <v>45882.0</v>
      </c>
      <c r="B671" s="787" t="s">
        <v>10415</v>
      </c>
      <c r="C671" s="788" t="s">
        <v>79</v>
      </c>
      <c r="D671" s="789" t="s">
        <v>10416</v>
      </c>
      <c r="E671" s="790" t="str">
        <f>IFERROR(VLOOKUP(D671,Stock,3,FALSE),"")</f>
        <v/>
      </c>
      <c r="F671" s="788">
        <v>1.0</v>
      </c>
      <c r="G671" s="811">
        <v>1125000.0</v>
      </c>
      <c r="H671" s="799">
        <f t="shared" si="7"/>
        <v>1125000</v>
      </c>
      <c r="I671" s="800"/>
      <c r="J671" s="812"/>
      <c r="K671" s="848" t="s">
        <v>3191</v>
      </c>
      <c r="L671" s="802" t="s">
        <v>10137</v>
      </c>
      <c r="M671" s="806" t="s">
        <v>10371</v>
      </c>
      <c r="N671" s="837">
        <v>45910.0</v>
      </c>
      <c r="O671" s="803"/>
    </row>
    <row r="672" ht="15.0" customHeight="1">
      <c r="A672" s="786">
        <v>45913.0</v>
      </c>
      <c r="B672" s="806" t="s">
        <v>10417</v>
      </c>
      <c r="C672" s="788" t="s">
        <v>10148</v>
      </c>
      <c r="D672" s="789" t="s">
        <v>3686</v>
      </c>
      <c r="E672" s="790" t="str">
        <f>IFERROR(VLOOKUP(D672,Stock,3,FALSE),"")</f>
        <v>Honda Jazz 01-07 1st Gen</v>
      </c>
      <c r="F672" s="788">
        <v>1.0</v>
      </c>
      <c r="G672" s="811">
        <v>0.0</v>
      </c>
      <c r="H672" s="799">
        <f t="shared" si="7"/>
        <v>0</v>
      </c>
      <c r="I672" s="800"/>
      <c r="J672" s="812"/>
      <c r="K672" s="848" t="s">
        <v>3810</v>
      </c>
      <c r="L672" s="802" t="s">
        <v>10137</v>
      </c>
      <c r="M672" s="803"/>
      <c r="N672" s="803"/>
      <c r="O672" s="803"/>
    </row>
    <row r="673" ht="15.0" customHeight="1">
      <c r="A673" s="786">
        <v>45913.0</v>
      </c>
      <c r="B673" s="856" t="s">
        <v>10418</v>
      </c>
      <c r="C673" s="788" t="s">
        <v>10139</v>
      </c>
      <c r="D673" s="789" t="s">
        <v>4909</v>
      </c>
      <c r="E673" s="790" t="str">
        <f>IFERROR(VLOOKUP(D673,Stock,3,FALSE),"")</f>
        <v>Ford Ranger 11- (DC)</v>
      </c>
      <c r="F673" s="788">
        <v>1.0</v>
      </c>
      <c r="G673" s="811">
        <v>280000.0</v>
      </c>
      <c r="H673" s="799">
        <f t="shared" si="7"/>
        <v>280000</v>
      </c>
      <c r="I673" s="800"/>
      <c r="J673" s="812"/>
      <c r="K673" s="848" t="s">
        <v>3191</v>
      </c>
      <c r="L673" s="802" t="s">
        <v>10137</v>
      </c>
      <c r="M673" s="806" t="s">
        <v>2763</v>
      </c>
      <c r="N673" s="837">
        <v>45914.0</v>
      </c>
      <c r="O673" s="803"/>
    </row>
    <row r="674" ht="15.0" customHeight="1">
      <c r="A674" s="786">
        <v>45913.0</v>
      </c>
      <c r="B674" s="787" t="s">
        <v>10419</v>
      </c>
      <c r="C674" s="788" t="s">
        <v>2643</v>
      </c>
      <c r="D674" s="789" t="s">
        <v>10420</v>
      </c>
      <c r="E674" s="790" t="str">
        <f>IFERROR(VLOOKUP(D674,Stock,3,FALSE),"")</f>
        <v>Toyota Yaris 23- (Toyota)</v>
      </c>
      <c r="F674" s="788">
        <v>1.0</v>
      </c>
      <c r="G674" s="811">
        <v>550999.0</v>
      </c>
      <c r="H674" s="799">
        <f t="shared" si="7"/>
        <v>550999</v>
      </c>
      <c r="I674" s="800"/>
      <c r="J674" s="812"/>
      <c r="K674" s="848" t="s">
        <v>3191</v>
      </c>
      <c r="L674" s="802" t="s">
        <v>10137</v>
      </c>
      <c r="M674" s="806" t="s">
        <v>2763</v>
      </c>
      <c r="N674" s="837">
        <v>45966.0</v>
      </c>
      <c r="O674" s="803"/>
    </row>
    <row r="675" ht="15.0" customHeight="1">
      <c r="A675" s="786">
        <v>45915.0</v>
      </c>
      <c r="B675" s="787">
        <v>2509461.0</v>
      </c>
      <c r="C675" s="788" t="s">
        <v>10136</v>
      </c>
      <c r="D675" s="789" t="s">
        <v>3021</v>
      </c>
      <c r="E675" s="790" t="str">
        <f>IFERROR(VLOOKUP(D675,Stock,3,FALSE),"")</f>
        <v>Honda Freed 08-16 1st gen</v>
      </c>
      <c r="F675" s="788">
        <v>1.0</v>
      </c>
      <c r="G675" s="811">
        <v>657800.0</v>
      </c>
      <c r="H675" s="799">
        <f t="shared" si="7"/>
        <v>657800</v>
      </c>
      <c r="I675" s="800"/>
      <c r="J675" s="812"/>
      <c r="K675" s="848" t="s">
        <v>9900</v>
      </c>
      <c r="L675" s="802" t="s">
        <v>10137</v>
      </c>
      <c r="M675" s="806" t="s">
        <v>2763</v>
      </c>
      <c r="N675" s="859">
        <v>45819.0</v>
      </c>
      <c r="O675" s="803"/>
    </row>
    <row r="676" ht="15.0" customHeight="1">
      <c r="A676" s="786">
        <v>45915.0</v>
      </c>
      <c r="B676" s="787">
        <v>2509491.0</v>
      </c>
      <c r="C676" s="788" t="s">
        <v>10136</v>
      </c>
      <c r="D676" s="789" t="s">
        <v>4955</v>
      </c>
      <c r="E676" s="790" t="str">
        <f>IFERROR(VLOOKUP(D676,Stock,3,FALSE),"")</f>
        <v>Kia Sportage 04-10 JE/KM</v>
      </c>
      <c r="F676" s="788">
        <v>1.0</v>
      </c>
      <c r="G676" s="811">
        <v>1100000.0</v>
      </c>
      <c r="H676" s="799">
        <f t="shared" si="7"/>
        <v>1100000</v>
      </c>
      <c r="I676" s="800"/>
      <c r="J676" s="812"/>
      <c r="K676" s="848" t="s">
        <v>9900</v>
      </c>
      <c r="L676" s="802" t="s">
        <v>10137</v>
      </c>
      <c r="M676" s="806" t="s">
        <v>2763</v>
      </c>
      <c r="N676" s="806" t="s">
        <v>10421</v>
      </c>
      <c r="O676" s="803"/>
    </row>
    <row r="677" ht="15.0" customHeight="1">
      <c r="A677" s="786">
        <v>45915.0</v>
      </c>
      <c r="B677" s="787">
        <v>2509491.0</v>
      </c>
      <c r="C677" s="788" t="s">
        <v>10136</v>
      </c>
      <c r="D677" s="789" t="s">
        <v>3021</v>
      </c>
      <c r="E677" s="790" t="str">
        <f>IFERROR(VLOOKUP(D677,Stock,3,FALSE),"")</f>
        <v>Honda Freed 08-16 1st gen</v>
      </c>
      <c r="F677" s="788">
        <v>2.0</v>
      </c>
      <c r="G677" s="811">
        <v>657800.0</v>
      </c>
      <c r="H677" s="799">
        <f t="shared" si="7"/>
        <v>1315600</v>
      </c>
      <c r="I677" s="800"/>
      <c r="J677" s="812"/>
      <c r="K677" s="848" t="s">
        <v>9900</v>
      </c>
      <c r="L677" s="802" t="s">
        <v>10137</v>
      </c>
      <c r="M677" s="806" t="s">
        <v>2763</v>
      </c>
      <c r="N677" s="806" t="s">
        <v>10421</v>
      </c>
      <c r="O677" s="803"/>
    </row>
    <row r="678" ht="15.0" customHeight="1">
      <c r="A678" s="786">
        <v>45915.0</v>
      </c>
      <c r="B678" s="787">
        <v>2509491.0</v>
      </c>
      <c r="C678" s="788" t="s">
        <v>10136</v>
      </c>
      <c r="D678" s="789" t="s">
        <v>4975</v>
      </c>
      <c r="E678" s="790" t="str">
        <f>IFERROR(VLOOKUP(D678,Stock,3,FALSE),"")</f>
        <v>VW Scirocco III 3D Coupe 08-</v>
      </c>
      <c r="F678" s="788">
        <v>1.0</v>
      </c>
      <c r="G678" s="811">
        <v>2279200.0</v>
      </c>
      <c r="H678" s="799">
        <f t="shared" si="7"/>
        <v>2279200</v>
      </c>
      <c r="I678" s="800"/>
      <c r="J678" s="812"/>
      <c r="K678" s="848" t="s">
        <v>9900</v>
      </c>
      <c r="L678" s="802" t="s">
        <v>10137</v>
      </c>
      <c r="M678" s="806" t="s">
        <v>2763</v>
      </c>
      <c r="N678" s="806" t="s">
        <v>10421</v>
      </c>
      <c r="O678" s="803"/>
    </row>
    <row r="679" ht="15.0" customHeight="1">
      <c r="A679" s="786">
        <v>45915.0</v>
      </c>
      <c r="B679" s="787" t="s">
        <v>10422</v>
      </c>
      <c r="C679" s="788" t="s">
        <v>24</v>
      </c>
      <c r="D679" s="789" t="s">
        <v>10423</v>
      </c>
      <c r="E679" s="790" t="str">
        <f>IFERROR(VLOOKUP(D679,Stock,3,FALSE),"")</f>
        <v/>
      </c>
      <c r="F679" s="788">
        <v>200.0</v>
      </c>
      <c r="G679" s="811">
        <v>58000.0</v>
      </c>
      <c r="H679" s="799">
        <f t="shared" si="7"/>
        <v>11600000</v>
      </c>
      <c r="I679" s="800"/>
      <c r="J679" s="812"/>
      <c r="K679" s="848" t="s">
        <v>3191</v>
      </c>
      <c r="L679" s="802" t="s">
        <v>10137</v>
      </c>
      <c r="M679" s="806" t="s">
        <v>2763</v>
      </c>
      <c r="N679" s="837">
        <v>45917.0</v>
      </c>
      <c r="O679" s="803"/>
    </row>
    <row r="680" ht="15.0" customHeight="1">
      <c r="A680" s="786">
        <v>45915.0</v>
      </c>
      <c r="B680" s="787" t="s">
        <v>10424</v>
      </c>
      <c r="C680" s="788" t="s">
        <v>2643</v>
      </c>
      <c r="D680" s="789" t="s">
        <v>10425</v>
      </c>
      <c r="E680" s="790" t="str">
        <f>IFERROR(VLOOKUP(D680,Stock,3,FALSE),"")</f>
        <v>Honda Mobilio 14- / Honda BR-V 16-21 (Honda)</v>
      </c>
      <c r="F680" s="788">
        <v>1.0</v>
      </c>
      <c r="G680" s="811">
        <v>214896.0</v>
      </c>
      <c r="H680" s="799">
        <f t="shared" si="7"/>
        <v>214896</v>
      </c>
      <c r="I680" s="800"/>
      <c r="J680" s="812"/>
      <c r="K680" s="848" t="s">
        <v>3191</v>
      </c>
      <c r="L680" s="802" t="s">
        <v>10137</v>
      </c>
      <c r="M680" s="806" t="s">
        <v>2763</v>
      </c>
      <c r="N680" s="854">
        <v>45979.0</v>
      </c>
      <c r="O680" s="803"/>
    </row>
    <row r="681" ht="15.0" customHeight="1">
      <c r="A681" s="786">
        <v>45915.0</v>
      </c>
      <c r="B681" s="787" t="s">
        <v>10424</v>
      </c>
      <c r="C681" s="788" t="s">
        <v>2643</v>
      </c>
      <c r="D681" s="789" t="s">
        <v>3013</v>
      </c>
      <c r="E681" s="790" t="str">
        <f>IFERROR(VLOOKUP(D681,Stock,3,FALSE),"")</f>
        <v>Honda Freed 08-16 1st Gen (Honda)</v>
      </c>
      <c r="F681" s="788">
        <v>1.0</v>
      </c>
      <c r="G681" s="811">
        <v>2031744.0</v>
      </c>
      <c r="H681" s="799">
        <f t="shared" si="7"/>
        <v>2031744</v>
      </c>
      <c r="I681" s="800"/>
      <c r="J681" s="812"/>
      <c r="K681" s="848" t="s">
        <v>3191</v>
      </c>
      <c r="L681" s="802" t="s">
        <v>10137</v>
      </c>
      <c r="M681" s="806" t="s">
        <v>2763</v>
      </c>
      <c r="N681" s="854">
        <v>45979.0</v>
      </c>
      <c r="O681" s="803"/>
    </row>
    <row r="682" ht="15.0" customHeight="1">
      <c r="A682" s="786">
        <v>45915.0</v>
      </c>
      <c r="B682" s="787" t="s">
        <v>10424</v>
      </c>
      <c r="C682" s="788" t="s">
        <v>2643</v>
      </c>
      <c r="D682" s="789" t="s">
        <v>4778</v>
      </c>
      <c r="E682" s="790" t="str">
        <f>IFERROR(VLOOKUP(D682,Stock,3,FALSE),"")</f>
        <v>Honda BR-V 22- 2nd Gen / WRV 23- (1 Sensor / Big /\ ) (Honda)</v>
      </c>
      <c r="F682" s="788">
        <v>1.0</v>
      </c>
      <c r="G682" s="811">
        <v>1572648.0</v>
      </c>
      <c r="H682" s="799">
        <f t="shared" si="7"/>
        <v>1572648</v>
      </c>
      <c r="I682" s="800"/>
      <c r="J682" s="812"/>
      <c r="K682" s="848" t="s">
        <v>3191</v>
      </c>
      <c r="L682" s="802" t="s">
        <v>10137</v>
      </c>
      <c r="M682" s="806" t="s">
        <v>2763</v>
      </c>
      <c r="N682" s="854">
        <v>45979.0</v>
      </c>
      <c r="O682" s="803"/>
    </row>
    <row r="683" ht="15.0" customHeight="1">
      <c r="A683" s="786">
        <v>45915.0</v>
      </c>
      <c r="B683" s="856" t="s">
        <v>10426</v>
      </c>
      <c r="C683" s="788" t="s">
        <v>10139</v>
      </c>
      <c r="D683" s="789" t="s">
        <v>4938</v>
      </c>
      <c r="E683" s="790" t="str">
        <f>IFERROR(VLOOKUP(D683,Stock,3,FALSE),"")</f>
        <v>Toyota Dyna Rino BY40 / Delta</v>
      </c>
      <c r="F683" s="788">
        <v>1.0</v>
      </c>
      <c r="G683" s="811">
        <v>997500.0</v>
      </c>
      <c r="H683" s="799">
        <f t="shared" si="7"/>
        <v>997500</v>
      </c>
      <c r="I683" s="800"/>
      <c r="J683" s="812"/>
      <c r="K683" s="848" t="s">
        <v>3191</v>
      </c>
      <c r="L683" s="802" t="s">
        <v>10137</v>
      </c>
      <c r="M683" s="806" t="s">
        <v>2763</v>
      </c>
      <c r="N683" s="837">
        <v>45915.0</v>
      </c>
      <c r="O683" s="803"/>
    </row>
    <row r="684" ht="15.0" customHeight="1">
      <c r="A684" s="786">
        <v>45916.0</v>
      </c>
      <c r="B684" s="787">
        <v>2509538.0</v>
      </c>
      <c r="C684" s="788" t="s">
        <v>10136</v>
      </c>
      <c r="D684" s="789" t="s">
        <v>4973</v>
      </c>
      <c r="E684" s="790" t="str">
        <f>IFERROR(VLOOKUP(D684,Stock,3,FALSE),"")</f>
        <v>Chevrolet TrailBlazer 13- / Isuzu MUX 13-19</v>
      </c>
      <c r="F684" s="788">
        <v>1.0</v>
      </c>
      <c r="G684" s="811">
        <v>605000.0</v>
      </c>
      <c r="H684" s="799">
        <f t="shared" si="7"/>
        <v>605000</v>
      </c>
      <c r="I684" s="800"/>
      <c r="J684" s="812"/>
      <c r="K684" s="848" t="s">
        <v>3810</v>
      </c>
      <c r="L684" s="802" t="s">
        <v>10137</v>
      </c>
      <c r="M684" s="806" t="s">
        <v>2763</v>
      </c>
      <c r="N684" s="854">
        <v>45986.0</v>
      </c>
      <c r="O684" s="803"/>
    </row>
    <row r="685" ht="15.0" customHeight="1">
      <c r="A685" s="786">
        <v>45916.0</v>
      </c>
      <c r="B685" s="787">
        <v>2509538.0</v>
      </c>
      <c r="C685" s="788" t="s">
        <v>10136</v>
      </c>
      <c r="D685" s="789" t="s">
        <v>3265</v>
      </c>
      <c r="E685" s="790" t="str">
        <f>IFERROR(VLOOKUP(D685,Stock,3,FALSE),"")</f>
        <v>Honda Jazz 07-13 2nd Gen</v>
      </c>
      <c r="F685" s="788">
        <v>1.0</v>
      </c>
      <c r="G685" s="811">
        <v>779900.0</v>
      </c>
      <c r="H685" s="799">
        <f t="shared" si="7"/>
        <v>779900</v>
      </c>
      <c r="I685" s="800"/>
      <c r="J685" s="812"/>
      <c r="K685" s="848" t="s">
        <v>3810</v>
      </c>
      <c r="L685" s="802" t="s">
        <v>10137</v>
      </c>
      <c r="M685" s="806" t="s">
        <v>2763</v>
      </c>
      <c r="N685" s="854">
        <v>45986.0</v>
      </c>
      <c r="O685" s="803"/>
    </row>
    <row r="686" ht="15.0" customHeight="1">
      <c r="A686" s="786">
        <v>45916.0</v>
      </c>
      <c r="B686" s="856" t="s">
        <v>10427</v>
      </c>
      <c r="C686" s="788" t="s">
        <v>10139</v>
      </c>
      <c r="D686" s="789" t="s">
        <v>4970</v>
      </c>
      <c r="E686" s="790" t="str">
        <f>IFERROR(VLOOKUP(D686,Stock,3,FALSE),"")</f>
        <v>Chevrolet TrailBlazer 13- / Isuzu MUX</v>
      </c>
      <c r="F686" s="788">
        <v>1.0</v>
      </c>
      <c r="G686" s="811">
        <v>1301400.0</v>
      </c>
      <c r="H686" s="799">
        <f t="shared" si="7"/>
        <v>1301400</v>
      </c>
      <c r="I686" s="800"/>
      <c r="J686" s="812"/>
      <c r="K686" s="848" t="s">
        <v>9900</v>
      </c>
      <c r="L686" s="802" t="s">
        <v>10137</v>
      </c>
      <c r="M686" s="806" t="s">
        <v>2763</v>
      </c>
      <c r="N686" s="837">
        <v>45924.0</v>
      </c>
      <c r="O686" s="803"/>
    </row>
    <row r="687" ht="15.0" customHeight="1">
      <c r="A687" s="786">
        <v>45916.0</v>
      </c>
      <c r="B687" s="787">
        <v>2509531.0</v>
      </c>
      <c r="C687" s="788" t="s">
        <v>10136</v>
      </c>
      <c r="D687" s="789" t="s">
        <v>4965</v>
      </c>
      <c r="E687" s="790" t="str">
        <f>IFERROR(VLOOKUP(D687,Stock,3,FALSE),"")</f>
        <v>Nissan Serena 10-19 MKIV C26</v>
      </c>
      <c r="F687" s="788">
        <v>1.0</v>
      </c>
      <c r="G687" s="811">
        <v>507300.0</v>
      </c>
      <c r="H687" s="799">
        <f t="shared" si="7"/>
        <v>507300</v>
      </c>
      <c r="I687" s="800"/>
      <c r="J687" s="812"/>
      <c r="K687" s="848" t="s">
        <v>9900</v>
      </c>
      <c r="L687" s="802" t="s">
        <v>10137</v>
      </c>
      <c r="M687" s="806" t="s">
        <v>2763</v>
      </c>
      <c r="N687" s="806" t="s">
        <v>10421</v>
      </c>
      <c r="O687" s="806"/>
    </row>
    <row r="688" ht="15.0" customHeight="1">
      <c r="A688" s="786">
        <v>45917.0</v>
      </c>
      <c r="B688" s="856" t="s">
        <v>10428</v>
      </c>
      <c r="C688" s="788" t="s">
        <v>10139</v>
      </c>
      <c r="D688" s="789" t="s">
        <v>4981</v>
      </c>
      <c r="E688" s="790" t="str">
        <f>IFERROR(VLOOKUP(D688,Stock,3,FALSE),"")</f>
        <v>Toyota Hi-Ace 04-20 Commuter</v>
      </c>
      <c r="F688" s="788">
        <v>1.0</v>
      </c>
      <c r="G688" s="811">
        <v>715500.0</v>
      </c>
      <c r="H688" s="799">
        <f t="shared" si="7"/>
        <v>715500</v>
      </c>
      <c r="I688" s="800"/>
      <c r="J688" s="812"/>
      <c r="K688" s="848" t="s">
        <v>9900</v>
      </c>
      <c r="L688" s="802" t="s">
        <v>10137</v>
      </c>
      <c r="M688" s="806" t="s">
        <v>2763</v>
      </c>
      <c r="N688" s="837">
        <v>45920.0</v>
      </c>
      <c r="O688" s="803"/>
    </row>
    <row r="689" ht="15.0" customHeight="1">
      <c r="A689" s="786">
        <v>45917.0</v>
      </c>
      <c r="B689" s="787" t="s">
        <v>10429</v>
      </c>
      <c r="C689" s="788" t="s">
        <v>2643</v>
      </c>
      <c r="D689" s="789" t="s">
        <v>10430</v>
      </c>
      <c r="E689" s="790" t="str">
        <f>IFERROR(VLOOKUP(D689,Stock,3,FALSE),"")</f>
        <v>Toyota Avanza / Xenia 21- 4th Gen (Toyota/Daihatsu)</v>
      </c>
      <c r="F689" s="788">
        <v>1.0</v>
      </c>
      <c r="G689" s="811">
        <v>160999.0</v>
      </c>
      <c r="H689" s="799">
        <f t="shared" si="7"/>
        <v>160999</v>
      </c>
      <c r="I689" s="800"/>
      <c r="J689" s="812"/>
      <c r="K689" s="848" t="s">
        <v>9900</v>
      </c>
      <c r="L689" s="802" t="s">
        <v>10137</v>
      </c>
      <c r="M689" s="806" t="s">
        <v>2763</v>
      </c>
      <c r="N689" s="854">
        <v>45979.0</v>
      </c>
      <c r="O689" s="803"/>
    </row>
    <row r="690" ht="15.0" customHeight="1">
      <c r="A690" s="786">
        <v>45917.0</v>
      </c>
      <c r="B690" s="787" t="s">
        <v>10429</v>
      </c>
      <c r="C690" s="788" t="s">
        <v>2643</v>
      </c>
      <c r="D690" s="789" t="s">
        <v>10431</v>
      </c>
      <c r="E690" s="790" t="str">
        <f>IFERROR(VLOOKUP(D690,Stock,3,FALSE),"")</f>
        <v>Toyota Avanza / Xenia 21- 4th Gen (Toyota/Daihatsu)</v>
      </c>
      <c r="F690" s="788">
        <v>1.0</v>
      </c>
      <c r="G690" s="811">
        <v>160999.0</v>
      </c>
      <c r="H690" s="799">
        <f t="shared" si="7"/>
        <v>160999</v>
      </c>
      <c r="I690" s="800"/>
      <c r="J690" s="812"/>
      <c r="K690" s="848" t="s">
        <v>9900</v>
      </c>
      <c r="L690" s="802" t="s">
        <v>10137</v>
      </c>
      <c r="M690" s="806" t="s">
        <v>2763</v>
      </c>
      <c r="N690" s="854">
        <v>45979.0</v>
      </c>
      <c r="O690" s="803"/>
    </row>
    <row r="691" ht="15.0" customHeight="1">
      <c r="A691" s="786">
        <v>45917.0</v>
      </c>
      <c r="B691" s="787" t="s">
        <v>10429</v>
      </c>
      <c r="C691" s="788" t="s">
        <v>2643</v>
      </c>
      <c r="D691" s="789" t="s">
        <v>7592</v>
      </c>
      <c r="E691" s="790" t="str">
        <f>IFERROR(VLOOKUP(D691,Stock,3,FALSE),"")</f>
        <v>Toyota Avanza / Xenia 21- 4th Gen (Toyota/Daihatsu)</v>
      </c>
      <c r="F691" s="788">
        <v>1.0</v>
      </c>
      <c r="G691" s="811">
        <v>303600.0</v>
      </c>
      <c r="H691" s="799">
        <f t="shared" si="7"/>
        <v>303600</v>
      </c>
      <c r="I691" s="800"/>
      <c r="J691" s="812"/>
      <c r="K691" s="848" t="s">
        <v>9900</v>
      </c>
      <c r="L691" s="802" t="s">
        <v>10137</v>
      </c>
      <c r="M691" s="806" t="s">
        <v>2763</v>
      </c>
      <c r="N691" s="854">
        <v>45979.0</v>
      </c>
      <c r="O691" s="803"/>
    </row>
    <row r="692" ht="15.0" customHeight="1">
      <c r="A692" s="786">
        <v>45917.0</v>
      </c>
      <c r="B692" s="787" t="s">
        <v>10429</v>
      </c>
      <c r="C692" s="788" t="s">
        <v>2643</v>
      </c>
      <c r="D692" s="789" t="s">
        <v>7301</v>
      </c>
      <c r="E692" s="790" t="str">
        <f>IFERROR(VLOOKUP(D692,Stock,3,FALSE),"")</f>
        <v>Toyota Avanza / Xenia 21- 4th Gen (Toyota/Daihatsu)</v>
      </c>
      <c r="F692" s="788">
        <v>1.0</v>
      </c>
      <c r="G692" s="811">
        <v>303600.0</v>
      </c>
      <c r="H692" s="799">
        <f t="shared" si="7"/>
        <v>303600</v>
      </c>
      <c r="I692" s="800"/>
      <c r="J692" s="812"/>
      <c r="K692" s="848" t="s">
        <v>9900</v>
      </c>
      <c r="L692" s="802" t="s">
        <v>10137</v>
      </c>
      <c r="M692" s="806" t="s">
        <v>2763</v>
      </c>
      <c r="N692" s="854">
        <v>45979.0</v>
      </c>
      <c r="O692" s="803"/>
    </row>
    <row r="693" ht="15.0" customHeight="1">
      <c r="A693" s="786">
        <v>45917.0</v>
      </c>
      <c r="B693" s="787" t="s">
        <v>10429</v>
      </c>
      <c r="C693" s="788" t="s">
        <v>2643</v>
      </c>
      <c r="D693" s="789" t="s">
        <v>8903</v>
      </c>
      <c r="E693" s="790" t="str">
        <f>IFERROR(VLOOKUP(D693,Stock,3,FALSE),"")</f>
        <v>Toyota Avanza / Xenia 21- 4th Gen (Toyota/Daihatsu)</v>
      </c>
      <c r="F693" s="788">
        <v>1.0</v>
      </c>
      <c r="G693" s="811">
        <v>547400.0</v>
      </c>
      <c r="H693" s="799">
        <f t="shared" si="7"/>
        <v>547400</v>
      </c>
      <c r="I693" s="800"/>
      <c r="J693" s="812"/>
      <c r="K693" s="848" t="s">
        <v>9900</v>
      </c>
      <c r="L693" s="802" t="s">
        <v>10137</v>
      </c>
      <c r="M693" s="806" t="s">
        <v>2763</v>
      </c>
      <c r="N693" s="854">
        <v>45979.0</v>
      </c>
      <c r="O693" s="803"/>
    </row>
    <row r="694" ht="15.0" customHeight="1">
      <c r="A694" s="786">
        <v>45917.0</v>
      </c>
      <c r="B694" s="787" t="s">
        <v>10429</v>
      </c>
      <c r="C694" s="788" t="s">
        <v>2643</v>
      </c>
      <c r="D694" s="789" t="s">
        <v>10432</v>
      </c>
      <c r="E694" s="790" t="str">
        <f>IFERROR(VLOOKUP(D694,Stock,3,FALSE),"")</f>
        <v>Toyota Yaris 13- 2nd Gen XP150 / 18- 3rd Gen XP151</v>
      </c>
      <c r="F694" s="788">
        <v>1.0</v>
      </c>
      <c r="G694" s="811">
        <v>344999.0</v>
      </c>
      <c r="H694" s="799">
        <f t="shared" si="7"/>
        <v>344999</v>
      </c>
      <c r="I694" s="800"/>
      <c r="J694" s="812"/>
      <c r="K694" s="848" t="s">
        <v>9900</v>
      </c>
      <c r="L694" s="802" t="s">
        <v>10137</v>
      </c>
      <c r="M694" s="806" t="s">
        <v>2763</v>
      </c>
      <c r="N694" s="854">
        <v>45979.0</v>
      </c>
      <c r="O694" s="803"/>
    </row>
    <row r="695" ht="15.0" customHeight="1">
      <c r="A695" s="786">
        <v>45917.0</v>
      </c>
      <c r="B695" s="787" t="s">
        <v>10429</v>
      </c>
      <c r="C695" s="788" t="s">
        <v>2643</v>
      </c>
      <c r="D695" s="789" t="s">
        <v>10433</v>
      </c>
      <c r="E695" s="790" t="str">
        <f>IFERROR(VLOOKUP(D695,Stock,3,FALSE),"")</f>
        <v>Toyota Yaris 13- 2nd Gen XP150 / 18- 3rd Gen XP151</v>
      </c>
      <c r="F695" s="788">
        <v>1.0</v>
      </c>
      <c r="G695" s="811">
        <v>344999.0</v>
      </c>
      <c r="H695" s="799">
        <f t="shared" si="7"/>
        <v>344999</v>
      </c>
      <c r="I695" s="800"/>
      <c r="J695" s="812"/>
      <c r="K695" s="848" t="s">
        <v>9900</v>
      </c>
      <c r="L695" s="802" t="s">
        <v>10137</v>
      </c>
      <c r="M695" s="806" t="s">
        <v>2763</v>
      </c>
      <c r="N695" s="854">
        <v>45979.0</v>
      </c>
      <c r="O695" s="803"/>
    </row>
    <row r="696" ht="15.0" customHeight="1">
      <c r="A696" s="786">
        <v>45918.0</v>
      </c>
      <c r="B696" s="787">
        <v>2509605.0</v>
      </c>
      <c r="C696" s="788" t="s">
        <v>10136</v>
      </c>
      <c r="D696" s="789" t="s">
        <v>3302</v>
      </c>
      <c r="E696" s="790" t="str">
        <f>IFERROR(VLOOKUP(D696,Stock,3,FALSE),"")</f>
        <v>Nissan Livina 07-18 L10/L11</v>
      </c>
      <c r="F696" s="788">
        <v>2.0</v>
      </c>
      <c r="G696" s="811">
        <v>600600.0</v>
      </c>
      <c r="H696" s="799">
        <f t="shared" si="7"/>
        <v>1201200</v>
      </c>
      <c r="I696" s="800"/>
      <c r="J696" s="812"/>
      <c r="K696" s="848" t="s">
        <v>9900</v>
      </c>
      <c r="L696" s="802" t="s">
        <v>10137</v>
      </c>
      <c r="M696" s="806" t="s">
        <v>2763</v>
      </c>
      <c r="N696" s="806" t="s">
        <v>10421</v>
      </c>
      <c r="O696" s="803"/>
    </row>
    <row r="697" ht="15.0" customHeight="1">
      <c r="A697" s="786">
        <v>45918.0</v>
      </c>
      <c r="B697" s="787">
        <v>2509605.0</v>
      </c>
      <c r="C697" s="788" t="s">
        <v>10136</v>
      </c>
      <c r="D697" s="789" t="s">
        <v>5041</v>
      </c>
      <c r="E697" s="790" t="str">
        <f>IFERROR(VLOOKUP(D697,Stock,3,FALSE),"")</f>
        <v>Honda Freed 08-16 1st gen</v>
      </c>
      <c r="F697" s="788">
        <v>1.0</v>
      </c>
      <c r="G697" s="811">
        <v>779900.0</v>
      </c>
      <c r="H697" s="799">
        <f t="shared" si="7"/>
        <v>779900</v>
      </c>
      <c r="I697" s="800"/>
      <c r="J697" s="812"/>
      <c r="K697" s="848" t="s">
        <v>9900</v>
      </c>
      <c r="L697" s="802" t="s">
        <v>10137</v>
      </c>
      <c r="M697" s="806" t="s">
        <v>2763</v>
      </c>
      <c r="N697" s="806" t="s">
        <v>10421</v>
      </c>
      <c r="O697" s="803"/>
    </row>
    <row r="698" ht="15.0" customHeight="1">
      <c r="A698" s="786">
        <v>45918.0</v>
      </c>
      <c r="B698" s="787">
        <v>2509605.0</v>
      </c>
      <c r="C698" s="788" t="s">
        <v>10136</v>
      </c>
      <c r="D698" s="789" t="s">
        <v>3499</v>
      </c>
      <c r="E698" s="790" t="str">
        <f>IFERROR(VLOOKUP(D698,Stock,3,FALSE),"")</f>
        <v>Honda Brio 10- / Mobilio 11-</v>
      </c>
      <c r="F698" s="788">
        <v>1.0</v>
      </c>
      <c r="G698" s="811">
        <v>573100.0</v>
      </c>
      <c r="H698" s="799">
        <f t="shared" si="7"/>
        <v>573100</v>
      </c>
      <c r="I698" s="800"/>
      <c r="J698" s="812"/>
      <c r="K698" s="848" t="s">
        <v>9900</v>
      </c>
      <c r="L698" s="802" t="s">
        <v>10137</v>
      </c>
      <c r="M698" s="806" t="s">
        <v>2763</v>
      </c>
      <c r="N698" s="806" t="s">
        <v>10421</v>
      </c>
      <c r="O698" s="803"/>
    </row>
    <row r="699" ht="15.0" customHeight="1">
      <c r="A699" s="786">
        <v>45919.0</v>
      </c>
      <c r="B699" s="787">
        <v>2509657.0</v>
      </c>
      <c r="C699" s="788" t="s">
        <v>10136</v>
      </c>
      <c r="D699" s="789" t="s">
        <v>5007</v>
      </c>
      <c r="E699" s="790" t="str">
        <f>IFERROR(VLOOKUP(D699,Stock,3,FALSE),"")</f>
        <v>Toyota Hi-Ace 04-20 Commuter (Clear)</v>
      </c>
      <c r="F699" s="788">
        <v>1.0</v>
      </c>
      <c r="G699" s="811">
        <v>1230350.0</v>
      </c>
      <c r="H699" s="799">
        <f t="shared" si="7"/>
        <v>1230350</v>
      </c>
      <c r="I699" s="800"/>
      <c r="J699" s="812"/>
      <c r="K699" s="848" t="s">
        <v>9900</v>
      </c>
      <c r="L699" s="802" t="s">
        <v>10137</v>
      </c>
      <c r="M699" s="806" t="s">
        <v>2763</v>
      </c>
      <c r="N699" s="806" t="s">
        <v>10421</v>
      </c>
      <c r="O699" s="803"/>
    </row>
    <row r="700" ht="15.0" customHeight="1">
      <c r="A700" s="786">
        <v>45919.0</v>
      </c>
      <c r="B700" s="787">
        <v>2509665.0</v>
      </c>
      <c r="C700" s="788" t="s">
        <v>10136</v>
      </c>
      <c r="D700" s="789" t="s">
        <v>2792</v>
      </c>
      <c r="E700" s="790" t="str">
        <f>IFERROR(VLOOKUP(D700,Stock,3,FALSE),"")</f>
        <v>Toyota Calya / Sigra 16-</v>
      </c>
      <c r="F700" s="788">
        <v>2.0</v>
      </c>
      <c r="G700" s="811">
        <v>339900.0</v>
      </c>
      <c r="H700" s="799">
        <f t="shared" si="7"/>
        <v>679800</v>
      </c>
      <c r="I700" s="800"/>
      <c r="J700" s="812"/>
      <c r="K700" s="848" t="s">
        <v>9900</v>
      </c>
      <c r="L700" s="802" t="s">
        <v>10137</v>
      </c>
      <c r="M700" s="806" t="s">
        <v>2763</v>
      </c>
      <c r="N700" s="806" t="s">
        <v>10421</v>
      </c>
      <c r="O700" s="803"/>
    </row>
    <row r="701" ht="15.0" customHeight="1">
      <c r="A701" s="786">
        <v>45919.0</v>
      </c>
      <c r="B701" s="787">
        <v>2509649.0</v>
      </c>
      <c r="C701" s="788" t="s">
        <v>10136</v>
      </c>
      <c r="D701" s="789" t="s">
        <v>3052</v>
      </c>
      <c r="E701" s="790" t="str">
        <f>IFERROR(VLOOKUP(D701,Stock,3,FALSE),"")</f>
        <v>Honda City 19- GN</v>
      </c>
      <c r="F701" s="788">
        <v>1.0</v>
      </c>
      <c r="G701" s="811">
        <v>1277100.0</v>
      </c>
      <c r="H701" s="799">
        <f t="shared" si="7"/>
        <v>1277100</v>
      </c>
      <c r="I701" s="800"/>
      <c r="J701" s="812"/>
      <c r="K701" s="848" t="s">
        <v>9900</v>
      </c>
      <c r="L701" s="802" t="s">
        <v>10137</v>
      </c>
      <c r="M701" s="806" t="s">
        <v>2763</v>
      </c>
      <c r="N701" s="806" t="s">
        <v>10421</v>
      </c>
      <c r="O701" s="803"/>
    </row>
    <row r="702" ht="15.0" customHeight="1">
      <c r="A702" s="786">
        <v>45919.0</v>
      </c>
      <c r="B702" s="787">
        <v>2509649.0</v>
      </c>
      <c r="C702" s="788" t="s">
        <v>10136</v>
      </c>
      <c r="D702" s="789" t="s">
        <v>4089</v>
      </c>
      <c r="E702" s="790" t="str">
        <f>IFERROR(VLOOKUP(D702,Stock,3,FALSE),"")</f>
        <v>Hyundai Ioniq 5 SUV 22- (2 Sensor / O /\ )</v>
      </c>
      <c r="F702" s="788">
        <v>1.0</v>
      </c>
      <c r="G702" s="811">
        <v>2200000.0</v>
      </c>
      <c r="H702" s="799">
        <f t="shared" si="7"/>
        <v>2200000</v>
      </c>
      <c r="I702" s="800"/>
      <c r="J702" s="812"/>
      <c r="K702" s="848" t="s">
        <v>9900</v>
      </c>
      <c r="L702" s="802" t="s">
        <v>10137</v>
      </c>
      <c r="M702" s="806" t="s">
        <v>2763</v>
      </c>
      <c r="N702" s="806" t="s">
        <v>10421</v>
      </c>
      <c r="O702" s="803"/>
    </row>
    <row r="703" ht="15.0" customHeight="1">
      <c r="A703" s="786">
        <v>45919.0</v>
      </c>
      <c r="B703" s="787">
        <v>2509649.0</v>
      </c>
      <c r="C703" s="788" t="s">
        <v>10136</v>
      </c>
      <c r="D703" s="789" t="s">
        <v>4544</v>
      </c>
      <c r="E703" s="790" t="str">
        <f>IFERROR(VLOOKUP(D703,Stock,3,FALSE),"")</f>
        <v>Toyota Avanza / Xenia 03-11 1st Gen</v>
      </c>
      <c r="F703" s="788">
        <v>1.0</v>
      </c>
      <c r="G703" s="811">
        <v>297550.0</v>
      </c>
      <c r="H703" s="799">
        <f t="shared" si="7"/>
        <v>297550</v>
      </c>
      <c r="I703" s="800"/>
      <c r="J703" s="812"/>
      <c r="K703" s="848" t="s">
        <v>9900</v>
      </c>
      <c r="L703" s="802" t="s">
        <v>10137</v>
      </c>
      <c r="M703" s="806" t="s">
        <v>2763</v>
      </c>
      <c r="N703" s="806" t="s">
        <v>10421</v>
      </c>
      <c r="O703" s="803"/>
    </row>
    <row r="704" ht="15.0" customHeight="1">
      <c r="A704" s="786">
        <v>45919.0</v>
      </c>
      <c r="B704" s="787">
        <v>2509649.0</v>
      </c>
      <c r="C704" s="788" t="s">
        <v>10136</v>
      </c>
      <c r="D704" s="789" t="s">
        <v>5283</v>
      </c>
      <c r="E704" s="790" t="str">
        <f>IFERROR(VLOOKUP(D704,Stock,3,FALSE),"")</f>
        <v>BMW 3 Series 12-18 F30/F35</v>
      </c>
      <c r="F704" s="788">
        <v>1.0</v>
      </c>
      <c r="G704" s="811">
        <v>2311100.0</v>
      </c>
      <c r="H704" s="799">
        <f t="shared" si="7"/>
        <v>2311100</v>
      </c>
      <c r="I704" s="800"/>
      <c r="J704" s="812"/>
      <c r="K704" s="848" t="s">
        <v>9900</v>
      </c>
      <c r="L704" s="802" t="s">
        <v>10137</v>
      </c>
      <c r="M704" s="806" t="s">
        <v>2763</v>
      </c>
      <c r="N704" s="806" t="s">
        <v>10421</v>
      </c>
      <c r="O704" s="803"/>
    </row>
    <row r="705" ht="15.0" customHeight="1">
      <c r="A705" s="786">
        <v>45919.0</v>
      </c>
      <c r="B705" s="787">
        <v>2509649.0</v>
      </c>
      <c r="C705" s="788" t="s">
        <v>10136</v>
      </c>
      <c r="D705" s="789" t="s">
        <v>2792</v>
      </c>
      <c r="E705" s="790" t="str">
        <f>IFERROR(VLOOKUP(D705,Stock,3,FALSE),"")</f>
        <v>Toyota Calya / Sigra 16-</v>
      </c>
      <c r="F705" s="788">
        <v>1.0</v>
      </c>
      <c r="G705" s="811">
        <v>339900.0</v>
      </c>
      <c r="H705" s="799">
        <f t="shared" si="7"/>
        <v>339900</v>
      </c>
      <c r="I705" s="800"/>
      <c r="J705" s="812"/>
      <c r="K705" s="848" t="s">
        <v>9900</v>
      </c>
      <c r="L705" s="802" t="s">
        <v>10137</v>
      </c>
      <c r="M705" s="806" t="s">
        <v>2763</v>
      </c>
      <c r="N705" s="806" t="s">
        <v>10421</v>
      </c>
      <c r="O705" s="803"/>
    </row>
    <row r="706" ht="15.0" customHeight="1">
      <c r="A706" s="786">
        <v>45919.0</v>
      </c>
      <c r="B706" s="787">
        <v>2509649.0</v>
      </c>
      <c r="C706" s="788" t="s">
        <v>10136</v>
      </c>
      <c r="D706" s="789" t="s">
        <v>5080</v>
      </c>
      <c r="E706" s="790" t="str">
        <f>IFERROR(VLOOKUP(D706,Stock,3,FALSE),"")</f>
        <v>Lexus RX (Harrier) 03-08 XU30</v>
      </c>
      <c r="F706" s="788">
        <v>1.0</v>
      </c>
      <c r="G706" s="811">
        <v>2125750.0</v>
      </c>
      <c r="H706" s="799">
        <f t="shared" si="7"/>
        <v>2125750</v>
      </c>
      <c r="I706" s="800"/>
      <c r="J706" s="812"/>
      <c r="K706" s="848" t="s">
        <v>9900</v>
      </c>
      <c r="L706" s="802" t="s">
        <v>10137</v>
      </c>
      <c r="M706" s="806" t="s">
        <v>2763</v>
      </c>
      <c r="N706" s="806" t="s">
        <v>10421</v>
      </c>
      <c r="O706" s="803"/>
    </row>
    <row r="707" ht="15.0" customHeight="1">
      <c r="A707" s="786">
        <v>45920.0</v>
      </c>
      <c r="B707" s="787" t="s">
        <v>10434</v>
      </c>
      <c r="C707" s="788" t="s">
        <v>66</v>
      </c>
      <c r="D707" s="789" t="s">
        <v>3220</v>
      </c>
      <c r="E707" s="790" t="str">
        <f>IFERROR(VLOOKUP(D707,Stock,3,FALSE),"")</f>
        <v>BMW 3 Series 12-18 F30/F35 (1 Sensor / O )</v>
      </c>
      <c r="F707" s="788">
        <v>1.0</v>
      </c>
      <c r="G707" s="811">
        <v>3500000.0</v>
      </c>
      <c r="H707" s="799">
        <f t="shared" si="7"/>
        <v>3500000</v>
      </c>
      <c r="I707" s="800"/>
      <c r="J707" s="812"/>
      <c r="K707" s="848" t="s">
        <v>3191</v>
      </c>
      <c r="L707" s="802" t="s">
        <v>10137</v>
      </c>
      <c r="M707" s="806" t="s">
        <v>2763</v>
      </c>
      <c r="N707" s="837">
        <v>45920.0</v>
      </c>
      <c r="O707" s="803"/>
    </row>
    <row r="708" ht="15.0" customHeight="1">
      <c r="A708" s="786">
        <v>45920.0</v>
      </c>
      <c r="B708" s="787" t="s">
        <v>10435</v>
      </c>
      <c r="C708" s="788" t="s">
        <v>10148</v>
      </c>
      <c r="D708" s="789" t="s">
        <v>5015</v>
      </c>
      <c r="E708" s="790" t="str">
        <f>IFERROR(VLOOKUP(D708,Stock,3,FALSE),"")</f>
        <v>Toyota Raize / Daihatsu Rocky 20- (Toyota/Daihatsu)</v>
      </c>
      <c r="F708" s="788">
        <v>1.0</v>
      </c>
      <c r="G708" s="811"/>
      <c r="H708" s="799">
        <f t="shared" si="7"/>
        <v>0</v>
      </c>
      <c r="I708" s="800"/>
      <c r="J708" s="812"/>
      <c r="K708" s="848" t="s">
        <v>3810</v>
      </c>
      <c r="L708" s="805"/>
      <c r="M708" s="803"/>
      <c r="N708" s="803"/>
      <c r="O708" s="803"/>
    </row>
    <row r="709" ht="15.0" customHeight="1">
      <c r="A709" s="786">
        <v>45922.0</v>
      </c>
      <c r="B709" s="787">
        <v>2509679.0</v>
      </c>
      <c r="C709" s="788" t="s">
        <v>10136</v>
      </c>
      <c r="D709" s="789" t="s">
        <v>5052</v>
      </c>
      <c r="E709" s="790" t="str">
        <f>IFERROR(VLOOKUP(D709,Stock,3,FALSE),"")</f>
        <v>Suzuki Baleno 08-15 SX4 / Neo Baleno</v>
      </c>
      <c r="F709" s="788">
        <v>1.0</v>
      </c>
      <c r="G709" s="811">
        <v>679800.0</v>
      </c>
      <c r="H709" s="799">
        <f t="shared" si="7"/>
        <v>679800</v>
      </c>
      <c r="I709" s="800"/>
      <c r="J709" s="812"/>
      <c r="K709" s="848" t="s">
        <v>9900</v>
      </c>
      <c r="L709" s="802" t="s">
        <v>10137</v>
      </c>
      <c r="M709" s="806" t="s">
        <v>2763</v>
      </c>
      <c r="N709" s="806" t="s">
        <v>10421</v>
      </c>
      <c r="O709" s="803"/>
    </row>
    <row r="710" ht="15.0" customHeight="1">
      <c r="A710" s="786">
        <v>45922.0</v>
      </c>
      <c r="B710" s="787">
        <v>2509679.0</v>
      </c>
      <c r="C710" s="788" t="s">
        <v>10136</v>
      </c>
      <c r="D710" s="789" t="s">
        <v>5066</v>
      </c>
      <c r="E710" s="790" t="str">
        <f>IFERROR(VLOOKUP(D710,Stock,3,FALSE),"")</f>
        <v>Suzuki Baleno 96-01</v>
      </c>
      <c r="F710" s="788">
        <v>1.0</v>
      </c>
      <c r="G710" s="811">
        <v>546150.0</v>
      </c>
      <c r="H710" s="799">
        <f t="shared" si="7"/>
        <v>546150</v>
      </c>
      <c r="I710" s="800"/>
      <c r="J710" s="812"/>
      <c r="K710" s="848" t="s">
        <v>9900</v>
      </c>
      <c r="L710" s="802" t="s">
        <v>10137</v>
      </c>
      <c r="M710" s="806" t="s">
        <v>2763</v>
      </c>
      <c r="N710" s="806" t="s">
        <v>10421</v>
      </c>
      <c r="O710" s="803"/>
    </row>
    <row r="711" ht="15.0" customHeight="1">
      <c r="A711" s="786">
        <v>45923.0</v>
      </c>
      <c r="B711" s="787">
        <v>2509748.0</v>
      </c>
      <c r="C711" s="788" t="s">
        <v>10136</v>
      </c>
      <c r="D711" s="789" t="s">
        <v>5114</v>
      </c>
      <c r="E711" s="790" t="str">
        <f>IFERROR(VLOOKUP(D711,Stock,3,FALSE),"")</f>
        <v>Daihatsu Sirion 11-18 2nd Gen</v>
      </c>
      <c r="F711" s="788">
        <v>1.0</v>
      </c>
      <c r="G711" s="811">
        <v>791450.0</v>
      </c>
      <c r="H711" s="799">
        <f t="shared" si="7"/>
        <v>791450</v>
      </c>
      <c r="I711" s="800"/>
      <c r="J711" s="812"/>
      <c r="K711" s="848" t="s">
        <v>3810</v>
      </c>
      <c r="L711" s="802" t="s">
        <v>10137</v>
      </c>
      <c r="M711" s="806" t="s">
        <v>2763</v>
      </c>
      <c r="N711" s="806" t="s">
        <v>10421</v>
      </c>
      <c r="O711" s="803"/>
    </row>
    <row r="712" ht="15.0" customHeight="1">
      <c r="A712" s="786">
        <v>45923.0</v>
      </c>
      <c r="B712" s="787">
        <v>2509748.0</v>
      </c>
      <c r="C712" s="788" t="s">
        <v>10136</v>
      </c>
      <c r="D712" s="789" t="s">
        <v>5096</v>
      </c>
      <c r="E712" s="790" t="str">
        <f>IFERROR(VLOOKUP(D712,Stock,3,FALSE),"")</f>
        <v>Suzuki Baleno 16- SX4 Scross Hatchback (1 Sensor / I )</v>
      </c>
      <c r="F712" s="788">
        <v>1.0</v>
      </c>
      <c r="G712" s="811">
        <v>852500.0</v>
      </c>
      <c r="H712" s="799">
        <f t="shared" si="7"/>
        <v>852500</v>
      </c>
      <c r="I712" s="800"/>
      <c r="J712" s="812"/>
      <c r="K712" s="848" t="s">
        <v>3810</v>
      </c>
      <c r="L712" s="802" t="s">
        <v>10137</v>
      </c>
      <c r="M712" s="806" t="s">
        <v>2763</v>
      </c>
      <c r="N712" s="806" t="s">
        <v>10421</v>
      </c>
      <c r="O712" s="803"/>
    </row>
    <row r="713" ht="15.0" customHeight="1">
      <c r="A713" s="786">
        <v>45923.0</v>
      </c>
      <c r="B713" s="787">
        <v>2509729.0</v>
      </c>
      <c r="C713" s="788" t="s">
        <v>10136</v>
      </c>
      <c r="D713" s="789" t="s">
        <v>4740</v>
      </c>
      <c r="E713" s="790" t="str">
        <f>IFERROR(VLOOKUP(D713,Stock,3,FALSE),"")</f>
        <v>Nissan X-Trail 13- T32 (1 Sensor)</v>
      </c>
      <c r="F713" s="788">
        <v>1.0</v>
      </c>
      <c r="G713" s="811">
        <v>1170950.0</v>
      </c>
      <c r="H713" s="799">
        <f t="shared" si="7"/>
        <v>1170950</v>
      </c>
      <c r="I713" s="800"/>
      <c r="J713" s="812"/>
      <c r="K713" s="848" t="s">
        <v>3810</v>
      </c>
      <c r="L713" s="802" t="s">
        <v>10137</v>
      </c>
      <c r="M713" s="806" t="s">
        <v>2763</v>
      </c>
      <c r="N713" s="806" t="s">
        <v>10421</v>
      </c>
      <c r="O713" s="803"/>
    </row>
    <row r="714" ht="15.0" customHeight="1">
      <c r="A714" s="786">
        <v>45923.0</v>
      </c>
      <c r="B714" s="856" t="s">
        <v>10436</v>
      </c>
      <c r="C714" s="788" t="s">
        <v>10139</v>
      </c>
      <c r="D714" s="789" t="s">
        <v>5092</v>
      </c>
      <c r="E714" s="790" t="str">
        <f>IFERROR(VLOOKUP(D714,Stock,3,FALSE),"")</f>
        <v>Honda BR-V 16-</v>
      </c>
      <c r="F714" s="788">
        <v>1.0</v>
      </c>
      <c r="G714" s="811">
        <v>716175.0</v>
      </c>
      <c r="H714" s="799">
        <f t="shared" si="7"/>
        <v>716175</v>
      </c>
      <c r="I714" s="800"/>
      <c r="J714" s="812"/>
      <c r="K714" s="848" t="s">
        <v>3191</v>
      </c>
      <c r="L714" s="802" t="s">
        <v>10137</v>
      </c>
      <c r="M714" s="806" t="s">
        <v>2763</v>
      </c>
      <c r="N714" s="837">
        <v>45924.0</v>
      </c>
      <c r="O714" s="803"/>
    </row>
    <row r="715" ht="15.0" customHeight="1">
      <c r="A715" s="786">
        <v>45923.0</v>
      </c>
      <c r="B715" s="856" t="s">
        <v>10436</v>
      </c>
      <c r="C715" s="788" t="s">
        <v>10139</v>
      </c>
      <c r="D715" s="789" t="s">
        <v>4609</v>
      </c>
      <c r="E715" s="790" t="str">
        <f>IFERROR(VLOOKUP(D715,Stock,3,FALSE),"")</f>
        <v>Mazda Biante 08- (Hitam)</v>
      </c>
      <c r="F715" s="788">
        <v>1.0</v>
      </c>
      <c r="G715" s="811">
        <v>2087775.0</v>
      </c>
      <c r="H715" s="799">
        <f t="shared" si="7"/>
        <v>2087775</v>
      </c>
      <c r="I715" s="800"/>
      <c r="J715" s="812"/>
      <c r="K715" s="848" t="s">
        <v>3191</v>
      </c>
      <c r="L715" s="802" t="s">
        <v>10137</v>
      </c>
      <c r="M715" s="806" t="s">
        <v>2763</v>
      </c>
      <c r="N715" s="837">
        <v>45924.0</v>
      </c>
      <c r="O715" s="803"/>
    </row>
    <row r="716" ht="15.0" customHeight="1">
      <c r="A716" s="786">
        <v>45923.0</v>
      </c>
      <c r="B716" s="787" t="s">
        <v>10437</v>
      </c>
      <c r="C716" s="788" t="s">
        <v>24</v>
      </c>
      <c r="D716" s="789" t="s">
        <v>10287</v>
      </c>
      <c r="E716" s="790" t="str">
        <f>IFERROR(VLOOKUP(D716,Stock,3,FALSE),"")</f>
        <v/>
      </c>
      <c r="F716" s="788">
        <v>24.0</v>
      </c>
      <c r="G716" s="811">
        <v>28000.0</v>
      </c>
      <c r="H716" s="799">
        <f t="shared" si="7"/>
        <v>672000</v>
      </c>
      <c r="I716" s="800"/>
      <c r="J716" s="812"/>
      <c r="K716" s="848" t="s">
        <v>3191</v>
      </c>
      <c r="L716" s="802" t="s">
        <v>10137</v>
      </c>
      <c r="M716" s="806" t="s">
        <v>2763</v>
      </c>
      <c r="N716" s="837">
        <v>45934.0</v>
      </c>
      <c r="O716" s="803"/>
    </row>
    <row r="717" ht="15.0" customHeight="1">
      <c r="A717" s="786">
        <v>45923.0</v>
      </c>
      <c r="B717" s="787" t="s">
        <v>10437</v>
      </c>
      <c r="C717" s="788" t="s">
        <v>24</v>
      </c>
      <c r="D717" s="789" t="s">
        <v>10438</v>
      </c>
      <c r="E717" s="790" t="str">
        <f>IFERROR(VLOOKUP(D717,Stock,3,FALSE),"")</f>
        <v/>
      </c>
      <c r="F717" s="788">
        <v>30.0</v>
      </c>
      <c r="G717" s="811">
        <v>30000.0</v>
      </c>
      <c r="H717" s="799">
        <f t="shared" si="7"/>
        <v>900000</v>
      </c>
      <c r="I717" s="800"/>
      <c r="J717" s="812"/>
      <c r="K717" s="848" t="s">
        <v>3191</v>
      </c>
      <c r="L717" s="802" t="s">
        <v>10137</v>
      </c>
      <c r="M717" s="806" t="s">
        <v>2763</v>
      </c>
      <c r="N717" s="837">
        <v>45934.0</v>
      </c>
      <c r="O717" s="803"/>
    </row>
    <row r="718" ht="15.0" customHeight="1">
      <c r="A718" s="786">
        <v>45923.0</v>
      </c>
      <c r="B718" s="787" t="s">
        <v>10439</v>
      </c>
      <c r="C718" s="788" t="s">
        <v>2643</v>
      </c>
      <c r="D718" s="789" t="s">
        <v>5861</v>
      </c>
      <c r="E718" s="790" t="str">
        <f>IFERROR(VLOOKUP(D718,Stock,3,FALSE),"")</f>
        <v>Honda CR-V 07-11 3rd Gen (Honda)</v>
      </c>
      <c r="F718" s="788">
        <v>1.0</v>
      </c>
      <c r="G718" s="811">
        <v>2622708.0</v>
      </c>
      <c r="H718" s="799">
        <f t="shared" si="7"/>
        <v>2622708</v>
      </c>
      <c r="I718" s="800"/>
      <c r="J718" s="812"/>
      <c r="K718" s="848" t="s">
        <v>3191</v>
      </c>
      <c r="L718" s="802" t="s">
        <v>10137</v>
      </c>
      <c r="M718" s="806" t="s">
        <v>2763</v>
      </c>
      <c r="N718" s="854">
        <v>45979.0</v>
      </c>
      <c r="O718" s="803"/>
    </row>
    <row r="719" ht="15.0" customHeight="1">
      <c r="A719" s="786">
        <v>45923.0</v>
      </c>
      <c r="B719" s="787" t="s">
        <v>10439</v>
      </c>
      <c r="C719" s="788" t="s">
        <v>2643</v>
      </c>
      <c r="D719" s="789" t="s">
        <v>4778</v>
      </c>
      <c r="E719" s="790" t="str">
        <f>IFERROR(VLOOKUP(D719,Stock,3,FALSE),"")</f>
        <v>Honda BR-V 22- 2nd Gen / WRV 23- (1 Sensor / Big /\ ) (Honda)</v>
      </c>
      <c r="F719" s="788">
        <v>1.0</v>
      </c>
      <c r="G719" s="811">
        <v>1572648.0</v>
      </c>
      <c r="H719" s="799">
        <f t="shared" si="7"/>
        <v>1572648</v>
      </c>
      <c r="I719" s="800"/>
      <c r="J719" s="812"/>
      <c r="K719" s="848" t="s">
        <v>3191</v>
      </c>
      <c r="L719" s="802" t="s">
        <v>10137</v>
      </c>
      <c r="M719" s="806" t="s">
        <v>2763</v>
      </c>
      <c r="N719" s="854">
        <v>45979.0</v>
      </c>
      <c r="O719" s="803"/>
    </row>
    <row r="720" ht="15.0" customHeight="1">
      <c r="A720" s="786">
        <v>45923.0</v>
      </c>
      <c r="B720" s="787" t="s">
        <v>10439</v>
      </c>
      <c r="C720" s="788" t="s">
        <v>2643</v>
      </c>
      <c r="D720" s="789" t="s">
        <v>4714</v>
      </c>
      <c r="E720" s="790" t="str">
        <f>IFERROR(VLOOKUP(D720,Stock,3,FALSE),"")</f>
        <v>Honda HR-V 14-21 5D SUV (Honda)</v>
      </c>
      <c r="F720" s="788">
        <v>1.0</v>
      </c>
      <c r="G720" s="811">
        <v>405372.0</v>
      </c>
      <c r="H720" s="799">
        <f t="shared" si="7"/>
        <v>405372</v>
      </c>
      <c r="I720" s="800"/>
      <c r="J720" s="812"/>
      <c r="K720" s="848" t="s">
        <v>3191</v>
      </c>
      <c r="L720" s="802" t="s">
        <v>10137</v>
      </c>
      <c r="M720" s="806" t="s">
        <v>2763</v>
      </c>
      <c r="N720" s="854">
        <v>45979.0</v>
      </c>
      <c r="O720" s="803"/>
    </row>
    <row r="721" ht="15.0" customHeight="1">
      <c r="A721" s="786">
        <v>45923.0</v>
      </c>
      <c r="B721" s="787">
        <v>2509754.0</v>
      </c>
      <c r="C721" s="788" t="s">
        <v>10136</v>
      </c>
      <c r="D721" s="789" t="s">
        <v>5088</v>
      </c>
      <c r="E721" s="790" t="str">
        <f>IFERROR(VLOOKUP(D721,Stock,3,FALSE),"")</f>
        <v>Kia Travello / Big Up</v>
      </c>
      <c r="F721" s="788">
        <v>1.0</v>
      </c>
      <c r="G721" s="811">
        <v>890450.0</v>
      </c>
      <c r="H721" s="799">
        <f t="shared" si="7"/>
        <v>890450</v>
      </c>
      <c r="I721" s="800"/>
      <c r="J721" s="812"/>
      <c r="K721" s="848" t="s">
        <v>9900</v>
      </c>
      <c r="L721" s="802" t="s">
        <v>10137</v>
      </c>
      <c r="M721" s="806" t="s">
        <v>2763</v>
      </c>
      <c r="N721" s="854">
        <v>45986.0</v>
      </c>
      <c r="O721" s="803"/>
    </row>
    <row r="722" ht="15.0" customHeight="1">
      <c r="A722" s="786">
        <v>45923.0</v>
      </c>
      <c r="B722" s="787">
        <v>2509754.0</v>
      </c>
      <c r="C722" s="788" t="s">
        <v>10136</v>
      </c>
      <c r="D722" s="851" t="s">
        <v>5110</v>
      </c>
      <c r="E722" s="790" t="str">
        <f>IFERROR(VLOOKUP(D722,Stock,3,FALSE),"")</f>
        <v>Ford EcoSport 13- B515</v>
      </c>
      <c r="F722" s="788">
        <v>1.0</v>
      </c>
      <c r="G722" s="860">
        <v>1196250.0</v>
      </c>
      <c r="H722" s="799">
        <f t="shared" si="7"/>
        <v>1196250</v>
      </c>
      <c r="I722" s="800"/>
      <c r="J722" s="812"/>
      <c r="K722" s="848" t="s">
        <v>3481</v>
      </c>
      <c r="L722" s="806" t="s">
        <v>10137</v>
      </c>
      <c r="M722" s="806" t="s">
        <v>2763</v>
      </c>
      <c r="N722" s="854">
        <v>45986.0</v>
      </c>
      <c r="O722" s="803"/>
    </row>
    <row r="723" ht="15.0" customHeight="1">
      <c r="A723" s="786">
        <v>45924.0</v>
      </c>
      <c r="B723" s="787">
        <v>2509767.0</v>
      </c>
      <c r="C723" s="788" t="s">
        <v>10136</v>
      </c>
      <c r="D723" s="789" t="s">
        <v>5105</v>
      </c>
      <c r="E723" s="790" t="str">
        <f>IFERROR(VLOOKUP(D723,Stock,3,FALSE),"")</f>
        <v>MG ZS SUV 17-</v>
      </c>
      <c r="F723" s="788">
        <v>1.0</v>
      </c>
      <c r="G723" s="811">
        <v>1017500.0</v>
      </c>
      <c r="H723" s="799">
        <f t="shared" si="7"/>
        <v>1017500</v>
      </c>
      <c r="I723" s="800"/>
      <c r="J723" s="812"/>
      <c r="K723" s="848" t="s">
        <v>3810</v>
      </c>
      <c r="L723" s="802" t="s">
        <v>10137</v>
      </c>
      <c r="M723" s="806" t="s">
        <v>2763</v>
      </c>
      <c r="N723" s="806" t="s">
        <v>10421</v>
      </c>
      <c r="O723" s="803"/>
    </row>
    <row r="724" ht="15.0" customHeight="1">
      <c r="A724" s="786">
        <v>45924.0</v>
      </c>
      <c r="B724" s="787">
        <v>2509786.0</v>
      </c>
      <c r="C724" s="788" t="s">
        <v>10136</v>
      </c>
      <c r="D724" s="789" t="s">
        <v>5123</v>
      </c>
      <c r="E724" s="790" t="str">
        <f>IFERROR(VLOOKUP(D724,Stock,3,FALSE),"")</f>
        <v>BMW 3 Series 90-99 E36</v>
      </c>
      <c r="F724" s="788">
        <v>1.0</v>
      </c>
      <c r="G724" s="811">
        <v>832700.0</v>
      </c>
      <c r="H724" s="799">
        <f t="shared" si="7"/>
        <v>832700</v>
      </c>
      <c r="I724" s="800"/>
      <c r="J724" s="812"/>
      <c r="K724" s="848" t="s">
        <v>3810</v>
      </c>
      <c r="L724" s="802" t="s">
        <v>10137</v>
      </c>
      <c r="M724" s="806" t="s">
        <v>2763</v>
      </c>
      <c r="N724" s="854">
        <v>45986.0</v>
      </c>
      <c r="O724" s="803"/>
    </row>
    <row r="725" ht="15.0" customHeight="1">
      <c r="A725" s="786">
        <v>45924.0</v>
      </c>
      <c r="B725" s="787" t="s">
        <v>10440</v>
      </c>
      <c r="C725" s="788" t="s">
        <v>2643</v>
      </c>
      <c r="D725" s="789" t="s">
        <v>4663</v>
      </c>
      <c r="E725" s="790" t="str">
        <f>IFERROR(VLOOKUP(D725,Stock,3,FALSE),"")</f>
        <v>Toyota Raize / Daihatsu Rocky 20- (Toyota/Daihatsu)</v>
      </c>
      <c r="F725" s="788">
        <v>4.0</v>
      </c>
      <c r="G725" s="811">
        <v>195959.0</v>
      </c>
      <c r="H725" s="799">
        <f t="shared" si="7"/>
        <v>783836</v>
      </c>
      <c r="I725" s="800"/>
      <c r="J725" s="812"/>
      <c r="K725" s="848" t="s">
        <v>3191</v>
      </c>
      <c r="L725" s="802" t="s">
        <v>10137</v>
      </c>
      <c r="M725" s="806" t="s">
        <v>2763</v>
      </c>
      <c r="N725" s="854">
        <v>45979.0</v>
      </c>
      <c r="O725" s="803"/>
    </row>
    <row r="726" ht="15.0" customHeight="1">
      <c r="A726" s="786">
        <v>45924.0</v>
      </c>
      <c r="B726" s="787">
        <v>2509824.0</v>
      </c>
      <c r="C726" s="788" t="s">
        <v>10136</v>
      </c>
      <c r="D726" s="851" t="s">
        <v>5134</v>
      </c>
      <c r="E726" s="790" t="str">
        <f>IFERROR(VLOOKUP(D726,Stock,3,FALSE),"")</f>
        <v>BMW 3 Series 98-06 E46</v>
      </c>
      <c r="F726" s="788">
        <v>1.0</v>
      </c>
      <c r="G726" s="860">
        <v>992750.0</v>
      </c>
      <c r="H726" s="799">
        <f t="shared" si="7"/>
        <v>992750</v>
      </c>
      <c r="I726" s="800"/>
      <c r="J726" s="812"/>
      <c r="K726" s="848" t="s">
        <v>3481</v>
      </c>
      <c r="L726" s="806" t="s">
        <v>10137</v>
      </c>
      <c r="M726" s="806" t="s">
        <v>2763</v>
      </c>
      <c r="N726" s="854">
        <v>45986.0</v>
      </c>
      <c r="O726" s="803"/>
    </row>
    <row r="727" ht="15.0" customHeight="1">
      <c r="A727" s="786">
        <v>45924.0</v>
      </c>
      <c r="B727" s="787" t="s">
        <v>10441</v>
      </c>
      <c r="C727" s="788" t="s">
        <v>66</v>
      </c>
      <c r="D727" s="851" t="s">
        <v>3572</v>
      </c>
      <c r="E727" s="790" t="str">
        <f>IFERROR(VLOOKUP(D727,Stock,3,FALSE),"")</f>
        <v>Toyota Innova 15- 2nd Gen</v>
      </c>
      <c r="F727" s="788">
        <v>1.0</v>
      </c>
      <c r="G727" s="860">
        <v>500000.0</v>
      </c>
      <c r="H727" s="799">
        <f t="shared" si="7"/>
        <v>500000</v>
      </c>
      <c r="I727" s="800"/>
      <c r="J727" s="812"/>
      <c r="K727" s="848" t="s">
        <v>10328</v>
      </c>
      <c r="L727" s="806" t="s">
        <v>10137</v>
      </c>
      <c r="M727" s="806" t="s">
        <v>2763</v>
      </c>
      <c r="N727" s="837">
        <v>45930.0</v>
      </c>
      <c r="O727" s="803"/>
    </row>
    <row r="728" ht="15.0" customHeight="1">
      <c r="A728" s="786">
        <v>45924.0</v>
      </c>
      <c r="B728" s="856" t="s">
        <v>10442</v>
      </c>
      <c r="C728" s="788" t="s">
        <v>10139</v>
      </c>
      <c r="D728" s="789" t="s">
        <v>5119</v>
      </c>
      <c r="E728" s="790" t="str">
        <f>IFERROR(VLOOKUP(D728,Stock,3,FALSE),"")</f>
        <v>BMW E34 1987-96</v>
      </c>
      <c r="F728" s="788">
        <v>1.0</v>
      </c>
      <c r="G728" s="811">
        <v>995000.0</v>
      </c>
      <c r="H728" s="799">
        <f t="shared" si="7"/>
        <v>995000</v>
      </c>
      <c r="I728" s="800"/>
      <c r="J728" s="812"/>
      <c r="K728" s="848" t="s">
        <v>10328</v>
      </c>
      <c r="L728" s="802" t="s">
        <v>10137</v>
      </c>
      <c r="M728" s="806" t="s">
        <v>2763</v>
      </c>
      <c r="N728" s="837">
        <v>45930.0</v>
      </c>
      <c r="O728" s="803"/>
    </row>
    <row r="729" ht="15.0" customHeight="1">
      <c r="A729" s="786">
        <v>45925.0</v>
      </c>
      <c r="B729" s="787" t="s">
        <v>10443</v>
      </c>
      <c r="C729" s="788" t="s">
        <v>66</v>
      </c>
      <c r="D729" s="789" t="s">
        <v>5130</v>
      </c>
      <c r="E729" s="790" t="str">
        <f>IFERROR(VLOOKUP(D729,Stock,3,FALSE),"")</f>
        <v>Toyota Innova 04-15 1st Gen</v>
      </c>
      <c r="F729" s="788">
        <v>1.0</v>
      </c>
      <c r="G729" s="811">
        <v>1175000.0</v>
      </c>
      <c r="H729" s="799">
        <f t="shared" si="7"/>
        <v>1175000</v>
      </c>
      <c r="I729" s="800"/>
      <c r="J729" s="812"/>
      <c r="K729" s="848" t="s">
        <v>3191</v>
      </c>
      <c r="L729" s="802" t="s">
        <v>10137</v>
      </c>
      <c r="M729" s="806" t="s">
        <v>2763</v>
      </c>
      <c r="N729" s="837">
        <v>45930.0</v>
      </c>
      <c r="O729" s="803"/>
    </row>
    <row r="730" ht="15.0" customHeight="1">
      <c r="A730" s="786">
        <v>45925.0</v>
      </c>
      <c r="B730" s="787">
        <v>2509554.0</v>
      </c>
      <c r="C730" s="788" t="s">
        <v>10136</v>
      </c>
      <c r="D730" s="789" t="s">
        <v>5125</v>
      </c>
      <c r="E730" s="790" t="str">
        <f>IFERROR(VLOOKUP(D730,Stock,3,FALSE),"")</f>
        <v>Chevrolet Spin 12-</v>
      </c>
      <c r="F730" s="788">
        <v>1.0</v>
      </c>
      <c r="G730" s="811">
        <v>641300.0</v>
      </c>
      <c r="H730" s="799">
        <f t="shared" si="7"/>
        <v>641300</v>
      </c>
      <c r="I730" s="800"/>
      <c r="J730" s="812"/>
      <c r="K730" s="848" t="s">
        <v>3810</v>
      </c>
      <c r="L730" s="802" t="s">
        <v>10137</v>
      </c>
      <c r="M730" s="806" t="s">
        <v>2763</v>
      </c>
      <c r="N730" s="854">
        <v>45986.0</v>
      </c>
      <c r="O730" s="803"/>
    </row>
    <row r="731" ht="15.0" customHeight="1">
      <c r="A731" s="786">
        <v>45925.0</v>
      </c>
      <c r="B731" s="787" t="s">
        <v>10444</v>
      </c>
      <c r="C731" s="788" t="s">
        <v>2643</v>
      </c>
      <c r="D731" s="789" t="s">
        <v>10445</v>
      </c>
      <c r="E731" s="790" t="str">
        <f>IFERROR(VLOOKUP(D731,Stock,3,FALSE),"")</f>
        <v>Toyota Innova 22- Zenyx 3rd Gen (Toyota)</v>
      </c>
      <c r="F731" s="788">
        <v>1.0</v>
      </c>
      <c r="G731" s="811">
        <v>837199.0</v>
      </c>
      <c r="H731" s="799">
        <f t="shared" si="7"/>
        <v>837199</v>
      </c>
      <c r="I731" s="800"/>
      <c r="J731" s="812"/>
      <c r="K731" s="848" t="s">
        <v>3191</v>
      </c>
      <c r="L731" s="802" t="s">
        <v>10137</v>
      </c>
      <c r="M731" s="806" t="s">
        <v>2763</v>
      </c>
      <c r="N731" s="854">
        <v>45979.0</v>
      </c>
      <c r="O731" s="803"/>
    </row>
    <row r="732" ht="15.0" customHeight="1">
      <c r="A732" s="786">
        <v>45926.0</v>
      </c>
      <c r="B732" s="787">
        <v>2509848.0</v>
      </c>
      <c r="C732" s="788" t="s">
        <v>10136</v>
      </c>
      <c r="D732" s="789" t="s">
        <v>5160</v>
      </c>
      <c r="E732" s="790" t="str">
        <f>IFERROR(VLOOKUP(D732,Stock,3,FALSE),"")</f>
        <v>Honda City 14-18 GM6</v>
      </c>
      <c r="F732" s="788">
        <v>1.0</v>
      </c>
      <c r="G732" s="811">
        <v>970750.0</v>
      </c>
      <c r="H732" s="799">
        <f t="shared" si="7"/>
        <v>970750</v>
      </c>
      <c r="I732" s="800"/>
      <c r="J732" s="812"/>
      <c r="K732" s="848" t="s">
        <v>3810</v>
      </c>
      <c r="L732" s="802" t="s">
        <v>10137</v>
      </c>
      <c r="M732" s="806" t="s">
        <v>2763</v>
      </c>
      <c r="N732" s="806" t="s">
        <v>10421</v>
      </c>
      <c r="O732" s="803"/>
    </row>
    <row r="733" ht="15.0" customHeight="1">
      <c r="A733" s="786">
        <v>45926.0</v>
      </c>
      <c r="B733" s="787">
        <v>2509874.0</v>
      </c>
      <c r="C733" s="788" t="s">
        <v>10136</v>
      </c>
      <c r="D733" s="789" t="s">
        <v>3265</v>
      </c>
      <c r="E733" s="790" t="str">
        <f>IFERROR(VLOOKUP(D733,Stock,3,FALSE),"")</f>
        <v>Honda Jazz 07-13 2nd Gen</v>
      </c>
      <c r="F733" s="788">
        <v>1.0</v>
      </c>
      <c r="G733" s="811">
        <v>779900.0</v>
      </c>
      <c r="H733" s="799">
        <f t="shared" si="7"/>
        <v>779900</v>
      </c>
      <c r="I733" s="800"/>
      <c r="J733" s="812"/>
      <c r="K733" s="848" t="s">
        <v>3810</v>
      </c>
      <c r="L733" s="802" t="s">
        <v>10137</v>
      </c>
      <c r="M733" s="806" t="s">
        <v>2763</v>
      </c>
      <c r="N733" s="806" t="s">
        <v>10421</v>
      </c>
      <c r="O733" s="803"/>
    </row>
    <row r="734" ht="15.0" customHeight="1">
      <c r="A734" s="786">
        <v>45926.0</v>
      </c>
      <c r="B734" s="787">
        <v>2509874.0</v>
      </c>
      <c r="C734" s="788" t="s">
        <v>10136</v>
      </c>
      <c r="D734" s="789" t="s">
        <v>2944</v>
      </c>
      <c r="E734" s="790" t="str">
        <f>IFERROR(VLOOKUP(D734,Stock,3,FALSE),"")</f>
        <v>Toyota Innova 04-15 1st Gen</v>
      </c>
      <c r="F734" s="788">
        <v>2.0</v>
      </c>
      <c r="G734" s="811">
        <v>613800.0</v>
      </c>
      <c r="H734" s="799">
        <f t="shared" si="7"/>
        <v>1227600</v>
      </c>
      <c r="I734" s="800"/>
      <c r="J734" s="812"/>
      <c r="K734" s="848" t="s">
        <v>3810</v>
      </c>
      <c r="L734" s="802" t="s">
        <v>10137</v>
      </c>
      <c r="M734" s="806" t="s">
        <v>2763</v>
      </c>
      <c r="N734" s="806" t="s">
        <v>10421</v>
      </c>
      <c r="O734" s="803"/>
    </row>
    <row r="735" ht="15.0" customHeight="1">
      <c r="A735" s="786">
        <v>45926.0</v>
      </c>
      <c r="B735" s="787">
        <v>2509866.0</v>
      </c>
      <c r="C735" s="788" t="s">
        <v>10136</v>
      </c>
      <c r="D735" s="789" t="s">
        <v>5166</v>
      </c>
      <c r="E735" s="790" t="str">
        <f>IFERROR(VLOOKUP(D735,Stock,3,FALSE),"")</f>
        <v>Honda BR-V 16-</v>
      </c>
      <c r="F735" s="788">
        <v>1.0</v>
      </c>
      <c r="G735" s="811">
        <v>650650.0</v>
      </c>
      <c r="H735" s="799">
        <f t="shared" si="7"/>
        <v>650650</v>
      </c>
      <c r="I735" s="800"/>
      <c r="J735" s="812"/>
      <c r="K735" s="848" t="s">
        <v>3810</v>
      </c>
      <c r="L735" s="802" t="s">
        <v>10137</v>
      </c>
      <c r="M735" s="806" t="s">
        <v>2763</v>
      </c>
      <c r="N735" s="806" t="s">
        <v>10421</v>
      </c>
      <c r="O735" s="803"/>
    </row>
    <row r="736" ht="15.0" customHeight="1">
      <c r="A736" s="786">
        <v>45926.0</v>
      </c>
      <c r="B736" s="787">
        <v>2509866.0</v>
      </c>
      <c r="C736" s="788" t="s">
        <v>10136</v>
      </c>
      <c r="D736" s="789" t="s">
        <v>3727</v>
      </c>
      <c r="E736" s="790" t="str">
        <f>IFERROR(VLOOKUP(D736,Stock,3,FALSE),"")</f>
        <v>Toyota Innova 15- 2nd Gen</v>
      </c>
      <c r="F736" s="788">
        <v>1.0</v>
      </c>
      <c r="G736" s="811">
        <v>750200.0</v>
      </c>
      <c r="H736" s="799">
        <f t="shared" si="7"/>
        <v>750200</v>
      </c>
      <c r="I736" s="800"/>
      <c r="J736" s="812"/>
      <c r="K736" s="848" t="s">
        <v>3810</v>
      </c>
      <c r="L736" s="802" t="s">
        <v>10137</v>
      </c>
      <c r="M736" s="806" t="s">
        <v>2763</v>
      </c>
      <c r="N736" s="806" t="s">
        <v>10421</v>
      </c>
      <c r="O736" s="803"/>
    </row>
    <row r="737" ht="15.0" customHeight="1">
      <c r="A737" s="786">
        <v>45926.0</v>
      </c>
      <c r="B737" s="787">
        <v>2509844.0</v>
      </c>
      <c r="C737" s="788" t="s">
        <v>10136</v>
      </c>
      <c r="D737" s="789" t="s">
        <v>5021</v>
      </c>
      <c r="E737" s="790" t="str">
        <f>IFERROR(VLOOKUP(D737,Stock,3,FALSE),"")</f>
        <v>Toyota Alphard 15-17 ANH30 3rd Gen (Sensor atas keramik)</v>
      </c>
      <c r="F737" s="788">
        <v>1.0</v>
      </c>
      <c r="G737" s="811">
        <v>1797400.0</v>
      </c>
      <c r="H737" s="799">
        <f t="shared" si="7"/>
        <v>1797400</v>
      </c>
      <c r="I737" s="800"/>
      <c r="J737" s="812"/>
      <c r="K737" s="848" t="s">
        <v>3810</v>
      </c>
      <c r="L737" s="802" t="s">
        <v>10137</v>
      </c>
      <c r="M737" s="806" t="s">
        <v>2763</v>
      </c>
      <c r="N737" s="806" t="s">
        <v>10421</v>
      </c>
      <c r="O737" s="803"/>
    </row>
    <row r="738" ht="15.0" customHeight="1">
      <c r="A738" s="786">
        <v>45926.0</v>
      </c>
      <c r="B738" s="819" t="s">
        <v>10446</v>
      </c>
      <c r="C738" s="819" t="s">
        <v>79</v>
      </c>
      <c r="D738" s="816" t="s">
        <v>4017</v>
      </c>
      <c r="E738" s="816" t="str">
        <f>IFERROR(VLOOKUP(D738,Stock,3,FALSE),"")</f>
        <v>Black Phantom Solar Gard</v>
      </c>
      <c r="F738" s="861">
        <v>1.0</v>
      </c>
      <c r="G738" s="860">
        <v>1125000.0</v>
      </c>
      <c r="H738" s="799">
        <f t="shared" si="7"/>
        <v>1125000</v>
      </c>
      <c r="I738" s="800"/>
      <c r="J738" s="812"/>
      <c r="K738" s="848" t="s">
        <v>3191</v>
      </c>
      <c r="L738" s="806" t="s">
        <v>10137</v>
      </c>
      <c r="M738" s="806" t="s">
        <v>2763</v>
      </c>
      <c r="N738" s="854">
        <v>45946.0</v>
      </c>
      <c r="O738" s="803"/>
    </row>
    <row r="739" ht="15.0" customHeight="1">
      <c r="A739" s="786">
        <v>45926.0</v>
      </c>
      <c r="B739" s="787" t="s">
        <v>10447</v>
      </c>
      <c r="C739" s="788" t="s">
        <v>24</v>
      </c>
      <c r="D739" s="851" t="s">
        <v>3446</v>
      </c>
      <c r="E739" s="790" t="str">
        <f>IFERROR(VLOOKUP(D739,Stock,3,FALSE),"")</f>
        <v>501 Sealant Application</v>
      </c>
      <c r="F739" s="788">
        <v>20.0</v>
      </c>
      <c r="G739" s="860">
        <v>37000.0</v>
      </c>
      <c r="H739" s="799">
        <f t="shared" si="7"/>
        <v>740000</v>
      </c>
      <c r="I739" s="800"/>
      <c r="J739" s="812"/>
      <c r="K739" s="848" t="s">
        <v>3191</v>
      </c>
      <c r="L739" s="806" t="s">
        <v>10137</v>
      </c>
      <c r="M739" s="806" t="s">
        <v>2763</v>
      </c>
      <c r="N739" s="837">
        <v>45964.0</v>
      </c>
      <c r="O739" s="803"/>
    </row>
    <row r="740" ht="15.0" customHeight="1">
      <c r="A740" s="786">
        <v>45927.0</v>
      </c>
      <c r="B740" s="856" t="s">
        <v>10448</v>
      </c>
      <c r="C740" s="788" t="s">
        <v>10139</v>
      </c>
      <c r="D740" s="789" t="s">
        <v>5180</v>
      </c>
      <c r="E740" s="790" t="str">
        <f>IFERROR(VLOOKUP(D740,Stock,3,FALSE),"")</f>
        <v>Honda Mobilio 14- / Honda BR-V 16-21</v>
      </c>
      <c r="F740" s="788">
        <v>1.0</v>
      </c>
      <c r="G740" s="811">
        <v>255000.0</v>
      </c>
      <c r="H740" s="799">
        <f t="shared" si="7"/>
        <v>255000</v>
      </c>
      <c r="I740" s="800"/>
      <c r="J740" s="812"/>
      <c r="K740" s="848" t="s">
        <v>10328</v>
      </c>
      <c r="L740" s="802" t="s">
        <v>10137</v>
      </c>
      <c r="M740" s="806" t="s">
        <v>2763</v>
      </c>
      <c r="N740" s="837">
        <v>45930.0</v>
      </c>
      <c r="O740" s="803"/>
    </row>
    <row r="741" ht="15.0" customHeight="1">
      <c r="A741" s="786">
        <v>45927.0</v>
      </c>
      <c r="B741" s="856" t="s">
        <v>10448</v>
      </c>
      <c r="C741" s="788" t="s">
        <v>10139</v>
      </c>
      <c r="D741" s="789" t="s">
        <v>5179</v>
      </c>
      <c r="E741" s="790" t="str">
        <f>IFERROR(VLOOKUP(D741,Stock,3,FALSE),"")</f>
        <v>Honda Mobilio 14- / Honda BR-V 16-21</v>
      </c>
      <c r="F741" s="788">
        <v>1.0</v>
      </c>
      <c r="G741" s="811">
        <v>255000.0</v>
      </c>
      <c r="H741" s="799">
        <f t="shared" si="7"/>
        <v>255000</v>
      </c>
      <c r="I741" s="800"/>
      <c r="J741" s="812"/>
      <c r="K741" s="848" t="s">
        <v>10328</v>
      </c>
      <c r="L741" s="802" t="s">
        <v>10137</v>
      </c>
      <c r="M741" s="806" t="s">
        <v>2763</v>
      </c>
      <c r="N741" s="837">
        <v>45930.0</v>
      </c>
      <c r="O741" s="803"/>
    </row>
    <row r="742" ht="15.0" customHeight="1">
      <c r="A742" s="786">
        <v>45927.0</v>
      </c>
      <c r="B742" s="856" t="s">
        <v>10448</v>
      </c>
      <c r="C742" s="788" t="s">
        <v>10139</v>
      </c>
      <c r="D742" s="789" t="s">
        <v>4267</v>
      </c>
      <c r="E742" s="790" t="str">
        <f>IFERROR(VLOOKUP(D742,Stock,3,FALSE),"")</f>
        <v>Honda Mobilio 14- / Honda BR-V 16-21</v>
      </c>
      <c r="F742" s="788">
        <v>1.0</v>
      </c>
      <c r="G742" s="811">
        <v>235000.0</v>
      </c>
      <c r="H742" s="799">
        <f t="shared" si="7"/>
        <v>235000</v>
      </c>
      <c r="I742" s="800"/>
      <c r="J742" s="812"/>
      <c r="K742" s="848" t="s">
        <v>10328</v>
      </c>
      <c r="L742" s="802" t="s">
        <v>10137</v>
      </c>
      <c r="M742" s="806" t="s">
        <v>2763</v>
      </c>
      <c r="N742" s="837">
        <v>45930.0</v>
      </c>
      <c r="O742" s="803"/>
    </row>
    <row r="743" ht="15.0" customHeight="1">
      <c r="A743" s="786">
        <v>45927.0</v>
      </c>
      <c r="B743" s="856" t="s">
        <v>10448</v>
      </c>
      <c r="C743" s="788" t="s">
        <v>10139</v>
      </c>
      <c r="D743" s="789" t="s">
        <v>5181</v>
      </c>
      <c r="E743" s="790" t="str">
        <f>IFERROR(VLOOKUP(D743,Stock,3,FALSE),"")</f>
        <v>Honda Mobilio 14- / Honda BR-V 16-21</v>
      </c>
      <c r="F743" s="788">
        <v>1.0</v>
      </c>
      <c r="G743" s="811">
        <v>235000.0</v>
      </c>
      <c r="H743" s="799">
        <f t="shared" si="7"/>
        <v>235000</v>
      </c>
      <c r="I743" s="800"/>
      <c r="J743" s="812"/>
      <c r="K743" s="848" t="s">
        <v>10328</v>
      </c>
      <c r="L743" s="802" t="s">
        <v>10137</v>
      </c>
      <c r="M743" s="806" t="s">
        <v>2763</v>
      </c>
      <c r="N743" s="837">
        <v>45930.0</v>
      </c>
      <c r="O743" s="803"/>
    </row>
    <row r="744" ht="15.0" customHeight="1">
      <c r="A744" s="786">
        <v>45928.0</v>
      </c>
      <c r="B744" s="856" t="s">
        <v>10449</v>
      </c>
      <c r="C744" s="788" t="s">
        <v>10139</v>
      </c>
      <c r="D744" s="789" t="s">
        <v>5188</v>
      </c>
      <c r="E744" s="790" t="str">
        <f>IFERROR(VLOOKUP(D744,Stock,3,FALSE),"")</f>
        <v>Suzuki Ertiga 18- 2nd Gen / XL7</v>
      </c>
      <c r="F744" s="788">
        <v>1.0</v>
      </c>
      <c r="G744" s="811">
        <v>875000.0</v>
      </c>
      <c r="H744" s="799">
        <f t="shared" si="7"/>
        <v>875000</v>
      </c>
      <c r="I744" s="800"/>
      <c r="J744" s="812"/>
      <c r="K744" s="848" t="s">
        <v>10328</v>
      </c>
      <c r="L744" s="802" t="s">
        <v>10137</v>
      </c>
      <c r="M744" s="806" t="s">
        <v>2763</v>
      </c>
      <c r="N744" s="837">
        <v>45930.0</v>
      </c>
      <c r="O744" s="803"/>
    </row>
    <row r="745" ht="15.0" customHeight="1">
      <c r="A745" s="786">
        <v>45928.0</v>
      </c>
      <c r="B745" s="856" t="s">
        <v>10449</v>
      </c>
      <c r="C745" s="788" t="s">
        <v>10139</v>
      </c>
      <c r="D745" s="789" t="s">
        <v>5201</v>
      </c>
      <c r="E745" s="790" t="str">
        <f>IFERROR(VLOOKUP(D745,Stock,3,FALSE),"")</f>
        <v>Toyota Voxy 22- 2nd Gen (Hitam)</v>
      </c>
      <c r="F745" s="788">
        <v>1.0</v>
      </c>
      <c r="G745" s="811">
        <v>1957500.0</v>
      </c>
      <c r="H745" s="799">
        <f t="shared" si="7"/>
        <v>1957500</v>
      </c>
      <c r="I745" s="800"/>
      <c r="J745" s="812"/>
      <c r="K745" s="848" t="s">
        <v>10328</v>
      </c>
      <c r="L745" s="802" t="s">
        <v>10137</v>
      </c>
      <c r="M745" s="806" t="s">
        <v>2763</v>
      </c>
      <c r="N745" s="837">
        <v>45930.0</v>
      </c>
      <c r="O745" s="803"/>
    </row>
    <row r="746" ht="15.0" customHeight="1">
      <c r="A746" s="786">
        <v>45928.0</v>
      </c>
      <c r="B746" s="856" t="s">
        <v>10449</v>
      </c>
      <c r="C746" s="788" t="s">
        <v>10139</v>
      </c>
      <c r="D746" s="789" t="s">
        <v>5207</v>
      </c>
      <c r="E746" s="790" t="str">
        <f>IFERROR(VLOOKUP(D746,Stock,3,FALSE),"")</f>
        <v>Toyota Alphard 08-15 ANH20 2nd Gen</v>
      </c>
      <c r="F746" s="788">
        <v>1.0</v>
      </c>
      <c r="G746" s="811">
        <v>2836350.0</v>
      </c>
      <c r="H746" s="799">
        <f t="shared" si="7"/>
        <v>2836350</v>
      </c>
      <c r="I746" s="800"/>
      <c r="J746" s="812"/>
      <c r="K746" s="848" t="s">
        <v>10328</v>
      </c>
      <c r="L746" s="802" t="s">
        <v>10137</v>
      </c>
      <c r="M746" s="806" t="s">
        <v>2763</v>
      </c>
      <c r="N746" s="837">
        <v>45930.0</v>
      </c>
      <c r="O746" s="803"/>
    </row>
    <row r="747" ht="15.0" customHeight="1">
      <c r="A747" s="786">
        <v>45928.0</v>
      </c>
      <c r="B747" s="856" t="s">
        <v>10449</v>
      </c>
      <c r="C747" s="788" t="s">
        <v>10139</v>
      </c>
      <c r="D747" s="789" t="s">
        <v>2962</v>
      </c>
      <c r="E747" s="790" t="str">
        <f>IFERROR(VLOOKUP(D747,Stock,3,FALSE),"")</f>
        <v>Lembur</v>
      </c>
      <c r="F747" s="788">
        <v>3.0</v>
      </c>
      <c r="G747" s="811">
        <v>100000.0</v>
      </c>
      <c r="H747" s="799">
        <f t="shared" si="7"/>
        <v>300000</v>
      </c>
      <c r="I747" s="800"/>
      <c r="J747" s="812"/>
      <c r="K747" s="848" t="s">
        <v>3191</v>
      </c>
      <c r="L747" s="802" t="s">
        <v>10137</v>
      </c>
      <c r="M747" s="806" t="s">
        <v>2763</v>
      </c>
      <c r="N747" s="837">
        <v>45930.0</v>
      </c>
      <c r="O747" s="803"/>
    </row>
    <row r="748" ht="15.0" customHeight="1">
      <c r="A748" s="786">
        <v>45929.0</v>
      </c>
      <c r="B748" s="787">
        <v>2509887.0</v>
      </c>
      <c r="C748" s="788" t="s">
        <v>10136</v>
      </c>
      <c r="D748" s="789" t="s">
        <v>5216</v>
      </c>
      <c r="E748" s="790" t="str">
        <f>IFERROR(VLOOKUP(D748,Stock,3,FALSE),"")</f>
        <v>Honda Jazz 13- 3rd Gen</v>
      </c>
      <c r="F748" s="788">
        <v>1.0</v>
      </c>
      <c r="G748" s="811">
        <v>551650.0</v>
      </c>
      <c r="H748" s="799">
        <f t="shared" si="7"/>
        <v>551650</v>
      </c>
      <c r="I748" s="800"/>
      <c r="J748" s="812"/>
      <c r="K748" s="848" t="s">
        <v>10328</v>
      </c>
      <c r="L748" s="802" t="s">
        <v>10137</v>
      </c>
      <c r="M748" s="806" t="s">
        <v>2763</v>
      </c>
      <c r="N748" s="806" t="s">
        <v>10421</v>
      </c>
      <c r="O748" s="803"/>
    </row>
    <row r="749" ht="15.0" customHeight="1">
      <c r="A749" s="834">
        <v>45930.0</v>
      </c>
      <c r="B749" s="603" t="s">
        <v>10450</v>
      </c>
      <c r="C749" s="822" t="s">
        <v>10148</v>
      </c>
      <c r="D749" s="109" t="s">
        <v>3572</v>
      </c>
      <c r="E749" s="594" t="str">
        <f>IFERROR(VLOOKUP(D749,Stock,3,FALSE),"")</f>
        <v>Toyota Innova 15- 2nd Gen</v>
      </c>
      <c r="F749" s="822">
        <v>1.0</v>
      </c>
      <c r="G749" s="756"/>
      <c r="H749" s="824">
        <f t="shared" si="7"/>
        <v>0</v>
      </c>
      <c r="I749" s="825"/>
      <c r="J749" s="826"/>
      <c r="K749" s="850" t="s">
        <v>10451</v>
      </c>
    </row>
    <row r="750" ht="15.0" customHeight="1">
      <c r="A750" s="834">
        <v>45930.0</v>
      </c>
      <c r="B750" s="603" t="s">
        <v>10450</v>
      </c>
      <c r="C750" s="822" t="s">
        <v>10148</v>
      </c>
      <c r="D750" s="109" t="s">
        <v>10452</v>
      </c>
      <c r="E750" s="594" t="str">
        <f>IFERROR(VLOOKUP(D750,Stock,3,FALSE),"")</f>
        <v>Toyota Innova 15- 2nd Gen</v>
      </c>
      <c r="F750" s="822">
        <v>1.0</v>
      </c>
      <c r="G750" s="756"/>
      <c r="H750" s="824">
        <f t="shared" si="7"/>
        <v>0</v>
      </c>
      <c r="I750" s="825"/>
      <c r="J750" s="826"/>
      <c r="K750" s="850" t="s">
        <v>10451</v>
      </c>
    </row>
    <row r="751" ht="15.0" customHeight="1">
      <c r="A751" s="834">
        <v>45930.0</v>
      </c>
      <c r="B751" s="603" t="s">
        <v>10450</v>
      </c>
      <c r="C751" s="822" t="s">
        <v>10148</v>
      </c>
      <c r="D751" s="109" t="s">
        <v>4627</v>
      </c>
      <c r="E751" s="594" t="str">
        <f>IFERROR(VLOOKUP(D751,Stock,3,FALSE),"")</f>
        <v>Honda Brio 18- (Honda)</v>
      </c>
      <c r="F751" s="822">
        <v>1.0</v>
      </c>
      <c r="G751" s="756"/>
      <c r="H751" s="824">
        <f t="shared" si="7"/>
        <v>0</v>
      </c>
      <c r="I751" s="825"/>
      <c r="J751" s="826"/>
      <c r="K751" s="850" t="s">
        <v>10451</v>
      </c>
    </row>
    <row r="752" ht="15.0" customHeight="1">
      <c r="A752" s="786">
        <v>45930.0</v>
      </c>
      <c r="B752" s="787">
        <v>2509951.0</v>
      </c>
      <c r="C752" s="788" t="s">
        <v>10136</v>
      </c>
      <c r="D752" s="851" t="s">
        <v>3621</v>
      </c>
      <c r="E752" s="790" t="str">
        <f>IFERROR(VLOOKUP(D752,Stock,3,FALSE),"")</f>
        <v>Mitsubishi Pajero 08-16</v>
      </c>
      <c r="F752" s="788">
        <v>1.0</v>
      </c>
      <c r="G752" s="860">
        <v>772750.0</v>
      </c>
      <c r="H752" s="799">
        <f t="shared" si="7"/>
        <v>772750</v>
      </c>
      <c r="I752" s="800"/>
      <c r="J752" s="812"/>
      <c r="K752" s="848" t="s">
        <v>3067</v>
      </c>
      <c r="L752" s="806" t="s">
        <v>10137</v>
      </c>
      <c r="M752" s="806" t="s">
        <v>2763</v>
      </c>
      <c r="N752" s="806" t="s">
        <v>10421</v>
      </c>
      <c r="O752" s="803"/>
    </row>
    <row r="753" ht="15.0" customHeight="1">
      <c r="A753" s="786">
        <v>45930.0</v>
      </c>
      <c r="B753" s="787">
        <v>2509951.0</v>
      </c>
      <c r="C753" s="788" t="s">
        <v>10136</v>
      </c>
      <c r="D753" s="851" t="s">
        <v>3246</v>
      </c>
      <c r="E753" s="790" t="str">
        <f>IFERROR(VLOOKUP(D753,Stock,3,FALSE),"")</f>
        <v>Toyota Calya / Sigra 16-</v>
      </c>
      <c r="F753" s="788">
        <v>2.0</v>
      </c>
      <c r="G753" s="860">
        <v>505450.0</v>
      </c>
      <c r="H753" s="799">
        <f t="shared" si="7"/>
        <v>1010900</v>
      </c>
      <c r="I753" s="800"/>
      <c r="J753" s="812"/>
      <c r="K753" s="848" t="s">
        <v>3067</v>
      </c>
      <c r="L753" s="806" t="s">
        <v>10137</v>
      </c>
      <c r="M753" s="806" t="s">
        <v>2763</v>
      </c>
      <c r="N753" s="806" t="s">
        <v>10421</v>
      </c>
      <c r="O753" s="803"/>
    </row>
    <row r="754" ht="15.0" customHeight="1">
      <c r="A754" s="786">
        <v>45930.0</v>
      </c>
      <c r="B754" s="787">
        <v>2509951.0</v>
      </c>
      <c r="C754" s="788" t="s">
        <v>10136</v>
      </c>
      <c r="D754" s="851" t="s">
        <v>2792</v>
      </c>
      <c r="E754" s="790" t="str">
        <f>IFERROR(VLOOKUP(D754,Stock,3,FALSE),"")</f>
        <v>Toyota Calya / Sigra 16-</v>
      </c>
      <c r="F754" s="788">
        <v>2.0</v>
      </c>
      <c r="G754" s="860">
        <v>339900.0</v>
      </c>
      <c r="H754" s="799">
        <f t="shared" si="7"/>
        <v>679800</v>
      </c>
      <c r="I754" s="800"/>
      <c r="J754" s="812"/>
      <c r="K754" s="848" t="s">
        <v>3067</v>
      </c>
      <c r="L754" s="806" t="s">
        <v>10137</v>
      </c>
      <c r="M754" s="806" t="s">
        <v>2763</v>
      </c>
      <c r="N754" s="806" t="s">
        <v>10421</v>
      </c>
      <c r="O754" s="803"/>
    </row>
    <row r="755" ht="15.0" customHeight="1">
      <c r="A755" s="786">
        <v>45930.0</v>
      </c>
      <c r="B755" s="787">
        <v>2509951.0</v>
      </c>
      <c r="C755" s="788" t="s">
        <v>10136</v>
      </c>
      <c r="D755" s="851" t="s">
        <v>3193</v>
      </c>
      <c r="E755" s="790" t="str">
        <f>IFERROR(VLOOKUP(D755,Stock,3,FALSE),"")</f>
        <v>Toyota Avanza / Xenia 11-15 2nd Gen</v>
      </c>
      <c r="F755" s="788">
        <v>2.0</v>
      </c>
      <c r="G755" s="860">
        <v>416900.0</v>
      </c>
      <c r="H755" s="799">
        <f t="shared" si="7"/>
        <v>833800</v>
      </c>
      <c r="I755" s="800"/>
      <c r="J755" s="812"/>
      <c r="K755" s="848" t="s">
        <v>3067</v>
      </c>
      <c r="L755" s="806" t="s">
        <v>10137</v>
      </c>
      <c r="M755" s="806" t="s">
        <v>2763</v>
      </c>
      <c r="N755" s="806" t="s">
        <v>10421</v>
      </c>
      <c r="O755" s="803"/>
    </row>
    <row r="756" ht="15.0" customHeight="1">
      <c r="A756" s="786">
        <v>45931.0</v>
      </c>
      <c r="B756" s="787" t="s">
        <v>10453</v>
      </c>
      <c r="C756" s="788" t="s">
        <v>10156</v>
      </c>
      <c r="D756" s="851" t="s">
        <v>5243</v>
      </c>
      <c r="E756" s="790" t="str">
        <f>IFERROR(VLOOKUP(D756,Stock,3,FALSE),"")</f>
        <v>Wuling Confero / Formo</v>
      </c>
      <c r="F756" s="788">
        <v>1.0</v>
      </c>
      <c r="G756" s="860">
        <v>250000.0</v>
      </c>
      <c r="H756" s="799">
        <f t="shared" si="7"/>
        <v>250000</v>
      </c>
      <c r="I756" s="800"/>
      <c r="J756" s="812"/>
      <c r="K756" s="848" t="s">
        <v>10451</v>
      </c>
      <c r="L756" s="806" t="s">
        <v>10137</v>
      </c>
      <c r="M756" s="806" t="s">
        <v>2763</v>
      </c>
      <c r="N756" s="854">
        <v>45941.0</v>
      </c>
      <c r="O756" s="803"/>
    </row>
    <row r="757" ht="15.0" customHeight="1">
      <c r="A757" s="786">
        <v>45931.0</v>
      </c>
      <c r="B757" s="787" t="s">
        <v>10454</v>
      </c>
      <c r="C757" s="788" t="s">
        <v>66</v>
      </c>
      <c r="D757" s="851" t="s">
        <v>5249</v>
      </c>
      <c r="E757" s="790" t="str">
        <f>IFERROR(VLOOKUP(D757,Stock,3,FALSE),"")</f>
        <v>Honda Jazz 01-07 1st Gen</v>
      </c>
      <c r="F757" s="788">
        <v>1.0</v>
      </c>
      <c r="G757" s="860">
        <v>375000.0</v>
      </c>
      <c r="H757" s="799">
        <f t="shared" si="7"/>
        <v>375000</v>
      </c>
      <c r="I757" s="800"/>
      <c r="J757" s="812"/>
      <c r="K757" s="848" t="s">
        <v>10451</v>
      </c>
      <c r="L757" s="806" t="s">
        <v>10137</v>
      </c>
      <c r="M757" s="806" t="s">
        <v>2763</v>
      </c>
      <c r="N757" s="854">
        <v>45941.0</v>
      </c>
      <c r="O757" s="803"/>
    </row>
    <row r="758" ht="15.0" customHeight="1">
      <c r="A758" s="786">
        <v>45931.0</v>
      </c>
      <c r="B758" s="787" t="s">
        <v>10454</v>
      </c>
      <c r="C758" s="788" t="s">
        <v>66</v>
      </c>
      <c r="D758" s="851" t="s">
        <v>5262</v>
      </c>
      <c r="E758" s="790" t="str">
        <f>IFERROR(VLOOKUP(D758,Stock,3,FALSE),"")</f>
        <v>Nissan Livina  07-18 L10/L11</v>
      </c>
      <c r="F758" s="788">
        <v>1.0</v>
      </c>
      <c r="G758" s="860">
        <v>1370000.0</v>
      </c>
      <c r="H758" s="799">
        <f t="shared" si="7"/>
        <v>1370000</v>
      </c>
      <c r="I758" s="800"/>
      <c r="J758" s="812"/>
      <c r="K758" s="848" t="s">
        <v>10451</v>
      </c>
      <c r="L758" s="806" t="s">
        <v>10137</v>
      </c>
      <c r="M758" s="806" t="s">
        <v>2763</v>
      </c>
      <c r="N758" s="854">
        <v>45941.0</v>
      </c>
      <c r="O758" s="803"/>
    </row>
    <row r="759" ht="15.0" customHeight="1">
      <c r="A759" s="786">
        <v>45931.0</v>
      </c>
      <c r="B759" s="787" t="s">
        <v>10454</v>
      </c>
      <c r="C759" s="788" t="s">
        <v>66</v>
      </c>
      <c r="D759" s="851" t="s">
        <v>5269</v>
      </c>
      <c r="E759" s="790" t="str">
        <f>IFERROR(VLOOKUP(D759,Stock,3,FALSE),"")</f>
        <v>Chevrolet TrailBlazer 13- / Isuzu MUX 13-19</v>
      </c>
      <c r="F759" s="788">
        <v>1.0</v>
      </c>
      <c r="G759" s="860">
        <v>500000.0</v>
      </c>
      <c r="H759" s="799">
        <f t="shared" si="7"/>
        <v>500000</v>
      </c>
      <c r="I759" s="800"/>
      <c r="J759" s="812"/>
      <c r="K759" s="848" t="s">
        <v>10451</v>
      </c>
      <c r="L759" s="806" t="s">
        <v>10137</v>
      </c>
      <c r="M759" s="806" t="s">
        <v>2763</v>
      </c>
      <c r="N759" s="854">
        <v>45941.0</v>
      </c>
      <c r="O759" s="803"/>
    </row>
    <row r="760" ht="15.0" customHeight="1">
      <c r="A760" s="786">
        <v>45931.0</v>
      </c>
      <c r="B760" s="856" t="s">
        <v>10455</v>
      </c>
      <c r="C760" s="788" t="s">
        <v>10139</v>
      </c>
      <c r="D760" s="851" t="s">
        <v>3963</v>
      </c>
      <c r="E760" s="790" t="str">
        <f>IFERROR(VLOOKUP(D760,Stock,3,FALSE),"")</f>
        <v>Suzuki Carry New 19-</v>
      </c>
      <c r="F760" s="788">
        <v>1.0</v>
      </c>
      <c r="G760" s="860">
        <v>285000.0</v>
      </c>
      <c r="H760" s="799">
        <f t="shared" si="7"/>
        <v>285000</v>
      </c>
      <c r="I760" s="800"/>
      <c r="J760" s="812"/>
      <c r="K760" s="848" t="s">
        <v>3067</v>
      </c>
      <c r="L760" s="806" t="s">
        <v>10137</v>
      </c>
      <c r="M760" s="806" t="s">
        <v>2763</v>
      </c>
      <c r="N760" s="854">
        <v>45946.0</v>
      </c>
      <c r="O760" s="803"/>
    </row>
    <row r="761" ht="15.0" customHeight="1">
      <c r="A761" s="786">
        <v>45932.0</v>
      </c>
      <c r="B761" s="787">
        <v>2510079.0</v>
      </c>
      <c r="C761" s="788" t="s">
        <v>10136</v>
      </c>
      <c r="D761" s="851" t="s">
        <v>5300</v>
      </c>
      <c r="E761" s="790" t="str">
        <f>IFERROR(VLOOKUP(D761,Stock,3,FALSE),"")</f>
        <v>Toyota Vios 07-13 XP90 2nd Gen</v>
      </c>
      <c r="F761" s="788">
        <v>1.0</v>
      </c>
      <c r="G761" s="860">
        <v>623150.0</v>
      </c>
      <c r="H761" s="799">
        <f t="shared" si="7"/>
        <v>623150</v>
      </c>
      <c r="I761" s="800"/>
      <c r="J761" s="812"/>
      <c r="K761" s="848" t="s">
        <v>3067</v>
      </c>
      <c r="L761" s="806" t="s">
        <v>10137</v>
      </c>
      <c r="M761" s="806" t="s">
        <v>2763</v>
      </c>
      <c r="N761" s="837">
        <v>45993.0</v>
      </c>
      <c r="O761" s="803"/>
    </row>
    <row r="762" ht="15.0" customHeight="1">
      <c r="A762" s="786">
        <v>45932.0</v>
      </c>
      <c r="B762" s="787">
        <v>2510079.0</v>
      </c>
      <c r="C762" s="788" t="s">
        <v>10136</v>
      </c>
      <c r="D762" s="851" t="s">
        <v>3142</v>
      </c>
      <c r="E762" s="790" t="str">
        <f>IFERROR(VLOOKUP(D762,Stock,3,FALSE),"")</f>
        <v>Mitsubishi Xpander 17-</v>
      </c>
      <c r="F762" s="788">
        <v>1.0</v>
      </c>
      <c r="G762" s="860">
        <v>739200.0</v>
      </c>
      <c r="H762" s="799">
        <f t="shared" si="7"/>
        <v>739200</v>
      </c>
      <c r="I762" s="800"/>
      <c r="J762" s="812"/>
      <c r="K762" s="848" t="s">
        <v>3067</v>
      </c>
      <c r="L762" s="806" t="s">
        <v>10137</v>
      </c>
      <c r="M762" s="806" t="s">
        <v>2763</v>
      </c>
      <c r="N762" s="837">
        <v>45993.0</v>
      </c>
      <c r="O762" s="803"/>
    </row>
    <row r="763" ht="15.0" customHeight="1">
      <c r="A763" s="786">
        <v>45932.0</v>
      </c>
      <c r="B763" s="787">
        <v>2510064.0</v>
      </c>
      <c r="C763" s="788" t="s">
        <v>10136</v>
      </c>
      <c r="D763" s="851" t="s">
        <v>3142</v>
      </c>
      <c r="E763" s="790" t="str">
        <f>IFERROR(VLOOKUP(D763,Stock,3,FALSE),"")</f>
        <v>Mitsubishi Xpander 17-</v>
      </c>
      <c r="F763" s="788">
        <v>2.0</v>
      </c>
      <c r="G763" s="860">
        <v>739200.0</v>
      </c>
      <c r="H763" s="799">
        <f t="shared" si="7"/>
        <v>1478400</v>
      </c>
      <c r="I763" s="800"/>
      <c r="J763" s="812"/>
      <c r="K763" s="848" t="s">
        <v>3067</v>
      </c>
      <c r="L763" s="806" t="s">
        <v>10137</v>
      </c>
      <c r="M763" s="806" t="s">
        <v>2763</v>
      </c>
      <c r="N763" s="837">
        <v>45993.0</v>
      </c>
      <c r="O763" s="803"/>
    </row>
    <row r="764" ht="15.0" customHeight="1">
      <c r="A764" s="786">
        <v>45933.0</v>
      </c>
      <c r="B764" s="787" t="s">
        <v>10456</v>
      </c>
      <c r="C764" s="788" t="s">
        <v>24</v>
      </c>
      <c r="D764" s="851" t="s">
        <v>3446</v>
      </c>
      <c r="E764" s="790" t="str">
        <f>IFERROR(VLOOKUP(D764,Stock,3,FALSE),"")</f>
        <v>501 Sealant Application</v>
      </c>
      <c r="F764" s="788">
        <v>200.0</v>
      </c>
      <c r="G764" s="860">
        <v>37000.0</v>
      </c>
      <c r="H764" s="799">
        <f t="shared" si="7"/>
        <v>7400000</v>
      </c>
      <c r="I764" s="800"/>
      <c r="J764" s="812"/>
      <c r="K764" s="848" t="s">
        <v>3191</v>
      </c>
      <c r="L764" s="806" t="s">
        <v>10137</v>
      </c>
      <c r="M764" s="806" t="s">
        <v>2763</v>
      </c>
      <c r="N764" s="837">
        <v>45964.0</v>
      </c>
      <c r="O764" s="803"/>
    </row>
    <row r="765" ht="15.0" customHeight="1">
      <c r="A765" s="786">
        <v>45933.0</v>
      </c>
      <c r="B765" s="787" t="s">
        <v>10456</v>
      </c>
      <c r="C765" s="788" t="s">
        <v>24</v>
      </c>
      <c r="D765" s="851" t="s">
        <v>10457</v>
      </c>
      <c r="E765" s="851"/>
      <c r="F765" s="788">
        <v>10.0</v>
      </c>
      <c r="G765" s="860">
        <v>500.0</v>
      </c>
      <c r="H765" s="799">
        <f t="shared" si="7"/>
        <v>5000</v>
      </c>
      <c r="I765" s="800"/>
      <c r="J765" s="812"/>
      <c r="K765" s="848" t="s">
        <v>3191</v>
      </c>
      <c r="L765" s="806" t="s">
        <v>10137</v>
      </c>
      <c r="M765" s="806" t="s">
        <v>2763</v>
      </c>
      <c r="N765" s="837">
        <v>45964.0</v>
      </c>
      <c r="O765" s="803"/>
    </row>
    <row r="766" ht="15.0" customHeight="1">
      <c r="A766" s="786">
        <v>45933.0</v>
      </c>
      <c r="B766" s="787">
        <v>2510117.0</v>
      </c>
      <c r="C766" s="788" t="s">
        <v>10136</v>
      </c>
      <c r="D766" s="851" t="s">
        <v>5396</v>
      </c>
      <c r="E766" s="790" t="str">
        <f>IFERROR(VLOOKUP(D766,Stock,3,FALSE),"")</f>
        <v>Toyota Camry 06-11 XV40 4th Gen</v>
      </c>
      <c r="F766" s="788">
        <v>1.0</v>
      </c>
      <c r="G766" s="860">
        <v>1648350.0</v>
      </c>
      <c r="H766" s="799">
        <f t="shared" si="7"/>
        <v>1648350</v>
      </c>
      <c r="I766" s="800"/>
      <c r="J766" s="812"/>
      <c r="K766" s="848" t="s">
        <v>3067</v>
      </c>
      <c r="L766" s="806" t="s">
        <v>10137</v>
      </c>
      <c r="M766" s="806" t="s">
        <v>2763</v>
      </c>
      <c r="N766" s="837">
        <v>45993.0</v>
      </c>
      <c r="O766" s="803"/>
    </row>
    <row r="767" ht="15.0" customHeight="1">
      <c r="A767" s="786">
        <v>45933.0</v>
      </c>
      <c r="B767" s="787">
        <v>2510117.0</v>
      </c>
      <c r="C767" s="788" t="s">
        <v>10136</v>
      </c>
      <c r="D767" s="851" t="s">
        <v>5313</v>
      </c>
      <c r="E767" s="790" t="str">
        <f>IFERROR(VLOOKUP(D767,Stock,3,FALSE),"")</f>
        <v>Toyota Yaris 05-13 XP90 1st Gen</v>
      </c>
      <c r="F767" s="788">
        <v>2.0</v>
      </c>
      <c r="G767" s="860">
        <v>659450.0</v>
      </c>
      <c r="H767" s="799">
        <f t="shared" si="7"/>
        <v>1318900</v>
      </c>
      <c r="I767" s="800"/>
      <c r="J767" s="812"/>
      <c r="K767" s="848" t="s">
        <v>3067</v>
      </c>
      <c r="L767" s="806" t="s">
        <v>10137</v>
      </c>
      <c r="M767" s="806" t="s">
        <v>2763</v>
      </c>
      <c r="N767" s="837">
        <v>45993.0</v>
      </c>
      <c r="O767" s="803"/>
    </row>
    <row r="768" ht="15.0" customHeight="1">
      <c r="A768" s="786">
        <v>45933.0</v>
      </c>
      <c r="B768" s="787">
        <v>2510117.0</v>
      </c>
      <c r="C768" s="788" t="s">
        <v>10136</v>
      </c>
      <c r="D768" s="851" t="s">
        <v>10458</v>
      </c>
      <c r="E768" s="790" t="str">
        <f>IFERROR(VLOOKUP(D768,Stock,3,FALSE),"")</f>
        <v>Mazda CX-5 12-17 1st Gen KE Pre</v>
      </c>
      <c r="F768" s="788">
        <v>1.0</v>
      </c>
      <c r="G768" s="860">
        <v>1416800.0</v>
      </c>
      <c r="H768" s="799">
        <f t="shared" si="7"/>
        <v>1416800</v>
      </c>
      <c r="I768" s="800"/>
      <c r="J768" s="812"/>
      <c r="K768" s="848" t="s">
        <v>3067</v>
      </c>
      <c r="L768" s="806" t="s">
        <v>10137</v>
      </c>
      <c r="M768" s="806" t="s">
        <v>2763</v>
      </c>
      <c r="N768" s="837">
        <v>45993.0</v>
      </c>
      <c r="O768" s="803"/>
    </row>
    <row r="769" ht="15.0" customHeight="1">
      <c r="A769" s="786">
        <v>45933.0</v>
      </c>
      <c r="B769" s="787">
        <v>2510117.0</v>
      </c>
      <c r="C769" s="788" t="s">
        <v>10136</v>
      </c>
      <c r="D769" s="851" t="s">
        <v>3638</v>
      </c>
      <c r="E769" s="790" t="str">
        <f>IFERROR(VLOOKUP(D769,Stock,3,FALSE),"")</f>
        <v>Mazda CX-5 12-17 1st Gen KE Pre - (1 Sensor/ □ )</v>
      </c>
      <c r="F769" s="788">
        <v>1.0</v>
      </c>
      <c r="G769" s="860">
        <v>1664300.0</v>
      </c>
      <c r="H769" s="799">
        <f t="shared" si="7"/>
        <v>1664300</v>
      </c>
      <c r="I769" s="800"/>
      <c r="J769" s="812"/>
      <c r="K769" s="848" t="s">
        <v>3067</v>
      </c>
      <c r="L769" s="806" t="s">
        <v>10137</v>
      </c>
      <c r="M769" s="806" t="s">
        <v>2763</v>
      </c>
      <c r="N769" s="837">
        <v>45993.0</v>
      </c>
      <c r="O769" s="803"/>
    </row>
    <row r="770" ht="15.0" customHeight="1">
      <c r="A770" s="786">
        <v>45933.0</v>
      </c>
      <c r="B770" s="787" t="s">
        <v>10459</v>
      </c>
      <c r="C770" s="788" t="s">
        <v>66</v>
      </c>
      <c r="D770" s="851" t="s">
        <v>10460</v>
      </c>
      <c r="E770" s="790" t="str">
        <f>IFERROR(VLOOKUP(D770,Stock,3,FALSE),"")</f>
        <v>Nissan Livina   07-18 L10/L11</v>
      </c>
      <c r="F770" s="788">
        <v>1.0</v>
      </c>
      <c r="G770" s="860">
        <v>350000.0</v>
      </c>
      <c r="H770" s="799">
        <f t="shared" si="7"/>
        <v>350000</v>
      </c>
      <c r="I770" s="800"/>
      <c r="J770" s="812"/>
      <c r="K770" s="848" t="s">
        <v>3067</v>
      </c>
      <c r="L770" s="806" t="s">
        <v>10137</v>
      </c>
      <c r="M770" s="806" t="s">
        <v>2763</v>
      </c>
      <c r="N770" s="854">
        <v>45941.0</v>
      </c>
      <c r="O770" s="803"/>
    </row>
    <row r="771" ht="15.0" customHeight="1">
      <c r="A771" s="786">
        <v>45936.0</v>
      </c>
      <c r="B771" s="787">
        <v>2510157.0</v>
      </c>
      <c r="C771" s="788" t="s">
        <v>10136</v>
      </c>
      <c r="D771" s="851" t="s">
        <v>5374</v>
      </c>
      <c r="E771" s="790" t="str">
        <f>IFERROR(VLOOKUP(D771,Stock,3,FALSE),"")</f>
        <v>Mitsubishi Lancer 00-07 CS3 CS5 (Evo5/Evo6/Cedia)</v>
      </c>
      <c r="F771" s="788">
        <v>1.0</v>
      </c>
      <c r="G771" s="860">
        <v>1048300.0</v>
      </c>
      <c r="H771" s="799">
        <f t="shared" si="7"/>
        <v>1048300</v>
      </c>
      <c r="I771" s="800"/>
      <c r="J771" s="812"/>
      <c r="K771" s="848" t="s">
        <v>3067</v>
      </c>
      <c r="L771" s="806" t="s">
        <v>10137</v>
      </c>
      <c r="M771" s="833" t="s">
        <v>2763</v>
      </c>
      <c r="N771" s="855">
        <v>45993.0</v>
      </c>
      <c r="O771" s="803"/>
    </row>
    <row r="772" ht="15.0" customHeight="1">
      <c r="A772" s="786">
        <v>45936.0</v>
      </c>
      <c r="B772" s="787">
        <v>2510157.0</v>
      </c>
      <c r="C772" s="788" t="s">
        <v>10136</v>
      </c>
      <c r="D772" s="851" t="s">
        <v>4377</v>
      </c>
      <c r="E772" s="790" t="str">
        <f>IFERROR(VLOOKUP(D772,Stock,3,FALSE),"")</f>
        <v>Nissan Serena 19- MKV C27</v>
      </c>
      <c r="F772" s="788">
        <v>1.0</v>
      </c>
      <c r="G772" s="860">
        <v>1472350.0</v>
      </c>
      <c r="H772" s="799">
        <f t="shared" si="7"/>
        <v>1472350</v>
      </c>
      <c r="I772" s="800"/>
      <c r="J772" s="812"/>
      <c r="K772" s="848" t="s">
        <v>3067</v>
      </c>
      <c r="L772" s="806" t="s">
        <v>10137</v>
      </c>
      <c r="M772" s="833" t="s">
        <v>2763</v>
      </c>
      <c r="N772" s="855">
        <v>45993.0</v>
      </c>
      <c r="O772" s="803"/>
    </row>
    <row r="773" ht="15.0" customHeight="1">
      <c r="A773" s="786">
        <v>45936.0</v>
      </c>
      <c r="B773" s="787" t="s">
        <v>10461</v>
      </c>
      <c r="C773" s="788" t="s">
        <v>10156</v>
      </c>
      <c r="D773" s="851" t="s">
        <v>5385</v>
      </c>
      <c r="E773" s="790" t="str">
        <f>IFERROR(VLOOKUP(D773,Stock,3,FALSE),"")</f>
        <v>Nissan Evalia 10- X11M</v>
      </c>
      <c r="F773" s="788">
        <v>1.0</v>
      </c>
      <c r="G773" s="860">
        <v>1020000.0</v>
      </c>
      <c r="H773" s="799">
        <f t="shared" si="7"/>
        <v>1020000</v>
      </c>
      <c r="I773" s="800"/>
      <c r="J773" s="812"/>
      <c r="K773" s="848" t="s">
        <v>3067</v>
      </c>
      <c r="L773" s="806" t="s">
        <v>10137</v>
      </c>
      <c r="M773" s="806" t="s">
        <v>2763</v>
      </c>
      <c r="N773" s="854">
        <v>45941.0</v>
      </c>
      <c r="O773" s="803"/>
    </row>
    <row r="774" ht="15.0" customHeight="1">
      <c r="A774" s="786">
        <v>45937.0</v>
      </c>
      <c r="B774" s="787">
        <v>2510212.0</v>
      </c>
      <c r="C774" s="788" t="s">
        <v>10136</v>
      </c>
      <c r="D774" s="851" t="s">
        <v>4590</v>
      </c>
      <c r="E774" s="790" t="str">
        <f>IFERROR(VLOOKUP(D774,Stock,3,FALSE),"")</f>
        <v>Toyota Avanza / Xenia 11-15 2nd Gen / 15-21 3rd Gen</v>
      </c>
      <c r="F774" s="788">
        <v>1.0</v>
      </c>
      <c r="G774" s="860">
        <v>350350.0</v>
      </c>
      <c r="H774" s="799">
        <f t="shared" si="7"/>
        <v>350350</v>
      </c>
      <c r="I774" s="800"/>
      <c r="J774" s="812"/>
      <c r="K774" s="813"/>
      <c r="L774" s="806" t="s">
        <v>10137</v>
      </c>
      <c r="M774" s="806" t="s">
        <v>2763</v>
      </c>
      <c r="N774" s="837">
        <v>45995.0</v>
      </c>
      <c r="O774" s="803"/>
    </row>
    <row r="775" ht="15.0" customHeight="1">
      <c r="A775" s="786">
        <v>45937.0</v>
      </c>
      <c r="B775" s="787">
        <v>2510212.0</v>
      </c>
      <c r="C775" s="788" t="s">
        <v>10136</v>
      </c>
      <c r="D775" s="851" t="s">
        <v>2029</v>
      </c>
      <c r="E775" s="790" t="str">
        <f>IFERROR(VLOOKUP(D775,Stock,3,FALSE),"")</f>
        <v>Toyota Fortuner 05-15 1st Gen</v>
      </c>
      <c r="F775" s="788">
        <v>2.0</v>
      </c>
      <c r="G775" s="860">
        <v>600600.0</v>
      </c>
      <c r="H775" s="799">
        <f t="shared" si="7"/>
        <v>1201200</v>
      </c>
      <c r="I775" s="800"/>
      <c r="J775" s="812"/>
      <c r="K775" s="813"/>
      <c r="L775" s="806" t="s">
        <v>10137</v>
      </c>
      <c r="M775" s="806" t="s">
        <v>2763</v>
      </c>
      <c r="N775" s="837">
        <v>45995.0</v>
      </c>
      <c r="O775" s="803"/>
    </row>
    <row r="776" ht="15.0" customHeight="1">
      <c r="A776" s="786">
        <v>45937.0</v>
      </c>
      <c r="B776" s="787">
        <v>2510212.0</v>
      </c>
      <c r="C776" s="788" t="s">
        <v>10136</v>
      </c>
      <c r="D776" s="851" t="s">
        <v>3302</v>
      </c>
      <c r="E776" s="790" t="str">
        <f>IFERROR(VLOOKUP(D776,Stock,3,FALSE),"")</f>
        <v>Nissan Livina 07-18 L10/L11</v>
      </c>
      <c r="F776" s="788">
        <v>2.0</v>
      </c>
      <c r="G776" s="860">
        <v>600600.0</v>
      </c>
      <c r="H776" s="799">
        <f t="shared" si="7"/>
        <v>1201200</v>
      </c>
      <c r="I776" s="800"/>
      <c r="J776" s="812"/>
      <c r="K776" s="813"/>
      <c r="L776" s="806" t="s">
        <v>10137</v>
      </c>
      <c r="M776" s="806" t="s">
        <v>2763</v>
      </c>
      <c r="N776" s="837">
        <v>45995.0</v>
      </c>
      <c r="O776" s="803"/>
    </row>
    <row r="777" ht="15.0" customHeight="1">
      <c r="A777" s="786">
        <v>45937.0</v>
      </c>
      <c r="B777" s="787">
        <v>2510247.0</v>
      </c>
      <c r="C777" s="788" t="s">
        <v>10136</v>
      </c>
      <c r="D777" s="851" t="s">
        <v>5410</v>
      </c>
      <c r="E777" s="790" t="str">
        <f>IFERROR(VLOOKUP(D777,Stock,3,FALSE),"")</f>
        <v>Nissan Evalia 10- X11M</v>
      </c>
      <c r="F777" s="788">
        <v>1.0</v>
      </c>
      <c r="G777" s="860">
        <v>686400.0</v>
      </c>
      <c r="H777" s="799">
        <f t="shared" si="7"/>
        <v>686400</v>
      </c>
      <c r="I777" s="800"/>
      <c r="J777" s="812"/>
      <c r="K777" s="813"/>
      <c r="L777" s="806" t="s">
        <v>10137</v>
      </c>
      <c r="M777" s="806" t="s">
        <v>2763</v>
      </c>
      <c r="N777" s="837">
        <v>45995.0</v>
      </c>
      <c r="O777" s="803"/>
    </row>
    <row r="778" ht="15.0" customHeight="1">
      <c r="A778" s="786">
        <v>45938.0</v>
      </c>
      <c r="B778" s="787">
        <v>2510279.0</v>
      </c>
      <c r="C778" s="788" t="s">
        <v>10136</v>
      </c>
      <c r="D778" s="851" t="s">
        <v>3680</v>
      </c>
      <c r="E778" s="790" t="str">
        <f>IFERROR(VLOOKUP(D778,Stock,3,FALSE),"")</f>
        <v>Wuling Almaz (Orisinil)</v>
      </c>
      <c r="F778" s="788">
        <v>2.0</v>
      </c>
      <c r="G778" s="860">
        <v>1016400.0</v>
      </c>
      <c r="H778" s="799">
        <f t="shared" si="7"/>
        <v>2032800</v>
      </c>
      <c r="I778" s="800"/>
      <c r="J778" s="812"/>
      <c r="K778" s="848" t="s">
        <v>9900</v>
      </c>
      <c r="L778" s="806" t="s">
        <v>10137</v>
      </c>
      <c r="M778" s="806" t="s">
        <v>2763</v>
      </c>
      <c r="N778" s="854">
        <v>46002.0</v>
      </c>
      <c r="O778" s="803"/>
    </row>
    <row r="779" ht="15.0" customHeight="1">
      <c r="A779" s="857">
        <v>45938.0</v>
      </c>
      <c r="B779" s="787">
        <v>2510279.0</v>
      </c>
      <c r="C779" s="788" t="s">
        <v>10136</v>
      </c>
      <c r="D779" s="851" t="s">
        <v>2792</v>
      </c>
      <c r="E779" s="790" t="str">
        <f>IFERROR(VLOOKUP(D779,Stock,3,FALSE),"")</f>
        <v>Toyota Calya / Sigra 16-</v>
      </c>
      <c r="F779" s="788">
        <v>2.0</v>
      </c>
      <c r="G779" s="860">
        <v>339900.0</v>
      </c>
      <c r="H779" s="799">
        <f t="shared" si="7"/>
        <v>679800</v>
      </c>
      <c r="I779" s="800"/>
      <c r="J779" s="812"/>
      <c r="K779" s="848" t="s">
        <v>9901</v>
      </c>
      <c r="L779" s="806" t="s">
        <v>10137</v>
      </c>
      <c r="M779" s="806" t="s">
        <v>2763</v>
      </c>
      <c r="N779" s="854">
        <v>46002.0</v>
      </c>
      <c r="O779" s="803"/>
    </row>
    <row r="780" ht="15.0" customHeight="1">
      <c r="A780" s="857">
        <v>45938.0</v>
      </c>
      <c r="B780" s="787">
        <v>2510279.0</v>
      </c>
      <c r="C780" s="788" t="s">
        <v>10136</v>
      </c>
      <c r="D780" s="851" t="s">
        <v>3634</v>
      </c>
      <c r="E780" s="790" t="str">
        <f>IFERROR(VLOOKUP(D780,Stock,3,FALSE),"")</f>
        <v>Toyota Agya/Ayla 13-22 1st Gen (Toyota/Daihatsu)</v>
      </c>
      <c r="F780" s="788">
        <v>2.0</v>
      </c>
      <c r="G780" s="860">
        <v>332200.0</v>
      </c>
      <c r="H780" s="799">
        <f t="shared" si="7"/>
        <v>664400</v>
      </c>
      <c r="I780" s="800"/>
      <c r="J780" s="812"/>
      <c r="K780" s="848" t="s">
        <v>9901</v>
      </c>
      <c r="L780" s="806" t="s">
        <v>10137</v>
      </c>
      <c r="M780" s="806" t="s">
        <v>2763</v>
      </c>
      <c r="N780" s="854">
        <v>46002.0</v>
      </c>
      <c r="O780" s="803"/>
    </row>
    <row r="781" ht="15.0" customHeight="1">
      <c r="A781" s="857">
        <v>45938.0</v>
      </c>
      <c r="B781" s="787">
        <v>2510279.0</v>
      </c>
      <c r="C781" s="788" t="s">
        <v>10136</v>
      </c>
      <c r="D781" s="851" t="s">
        <v>4590</v>
      </c>
      <c r="E781" s="790" t="str">
        <f>IFERROR(VLOOKUP(D781,Stock,3,FALSE),"")</f>
        <v>Toyota Avanza / Xenia 11-15 2nd Gen / 15-21 3rd Gen</v>
      </c>
      <c r="F781" s="788">
        <v>2.0</v>
      </c>
      <c r="G781" s="860">
        <v>350350.0</v>
      </c>
      <c r="H781" s="799">
        <f t="shared" si="7"/>
        <v>700700</v>
      </c>
      <c r="I781" s="800"/>
      <c r="J781" s="812"/>
      <c r="K781" s="848" t="s">
        <v>9901</v>
      </c>
      <c r="L781" s="806" t="s">
        <v>10137</v>
      </c>
      <c r="M781" s="806" t="s">
        <v>2763</v>
      </c>
      <c r="N781" s="854">
        <v>46002.0</v>
      </c>
      <c r="O781" s="803"/>
    </row>
    <row r="782" ht="15.0" customHeight="1">
      <c r="A782" s="857">
        <v>45938.0</v>
      </c>
      <c r="B782" s="787">
        <v>2510279.0</v>
      </c>
      <c r="C782" s="788" t="s">
        <v>10136</v>
      </c>
      <c r="D782" s="851" t="s">
        <v>4544</v>
      </c>
      <c r="E782" s="790" t="str">
        <f>IFERROR(VLOOKUP(D782,Stock,3,FALSE),"")</f>
        <v>Toyota Avanza / Xenia 03-11 1st Gen</v>
      </c>
      <c r="F782" s="788">
        <v>3.0</v>
      </c>
      <c r="G782" s="860">
        <v>297550.0</v>
      </c>
      <c r="H782" s="799">
        <f t="shared" si="7"/>
        <v>892650</v>
      </c>
      <c r="I782" s="800"/>
      <c r="J782" s="812"/>
      <c r="K782" s="848" t="s">
        <v>9901</v>
      </c>
      <c r="L782" s="806" t="s">
        <v>10137</v>
      </c>
      <c r="M782" s="806" t="s">
        <v>2763</v>
      </c>
      <c r="N782" s="854">
        <v>46002.0</v>
      </c>
      <c r="O782" s="803"/>
    </row>
    <row r="783" ht="15.0" customHeight="1">
      <c r="A783" s="857">
        <v>45938.0</v>
      </c>
      <c r="B783" s="787">
        <v>2510279.0</v>
      </c>
      <c r="C783" s="788" t="s">
        <v>10136</v>
      </c>
      <c r="D783" s="851" t="s">
        <v>3930</v>
      </c>
      <c r="E783" s="790" t="str">
        <f>IFERROR(VLOOKUP(D783,Stock,3,FALSE),"")</f>
        <v>Suzuki Ertiga 18- 2nd Gen / XL7</v>
      </c>
      <c r="F783" s="788">
        <v>1.0</v>
      </c>
      <c r="G783" s="860">
        <v>634700.0</v>
      </c>
      <c r="H783" s="799">
        <f t="shared" si="7"/>
        <v>634700</v>
      </c>
      <c r="I783" s="800"/>
      <c r="J783" s="812"/>
      <c r="K783" s="848" t="s">
        <v>9901</v>
      </c>
      <c r="L783" s="806" t="s">
        <v>10137</v>
      </c>
      <c r="M783" s="806" t="s">
        <v>2763</v>
      </c>
      <c r="N783" s="854">
        <v>46002.0</v>
      </c>
      <c r="O783" s="803"/>
    </row>
    <row r="784" ht="15.0" customHeight="1">
      <c r="A784" s="857">
        <v>45938.0</v>
      </c>
      <c r="B784" s="787">
        <v>2510279.0</v>
      </c>
      <c r="C784" s="788" t="s">
        <v>10136</v>
      </c>
      <c r="D784" s="851" t="s">
        <v>3499</v>
      </c>
      <c r="E784" s="790" t="str">
        <f>IFERROR(VLOOKUP(D784,Stock,3,FALSE),"")</f>
        <v>Honda Brio 10- / Mobilio 11-</v>
      </c>
      <c r="F784" s="788">
        <v>1.0</v>
      </c>
      <c r="G784" s="860">
        <v>573100.0</v>
      </c>
      <c r="H784" s="799">
        <f t="shared" si="7"/>
        <v>573100</v>
      </c>
      <c r="I784" s="800"/>
      <c r="J784" s="812"/>
      <c r="K784" s="848" t="s">
        <v>9901</v>
      </c>
      <c r="L784" s="806" t="s">
        <v>10137</v>
      </c>
      <c r="M784" s="806" t="s">
        <v>2763</v>
      </c>
      <c r="N784" s="854">
        <v>46002.0</v>
      </c>
      <c r="O784" s="803"/>
    </row>
    <row r="785" ht="15.0" customHeight="1">
      <c r="A785" s="857">
        <v>45938.0</v>
      </c>
      <c r="B785" s="787">
        <v>2510279.0</v>
      </c>
      <c r="C785" s="788" t="s">
        <v>10136</v>
      </c>
      <c r="D785" s="851" t="s">
        <v>6511</v>
      </c>
      <c r="E785" s="790" t="str">
        <f>IFERROR(VLOOKUP(D785,Stock,3,FALSE),"")</f>
        <v>Mazda 2 09-14 3rd Gen</v>
      </c>
      <c r="F785" s="788">
        <v>1.0</v>
      </c>
      <c r="G785" s="860">
        <v>879450.0</v>
      </c>
      <c r="H785" s="799">
        <f t="shared" si="7"/>
        <v>879450</v>
      </c>
      <c r="I785" s="800"/>
      <c r="J785" s="812"/>
      <c r="K785" s="848" t="s">
        <v>9901</v>
      </c>
      <c r="L785" s="806" t="s">
        <v>10137</v>
      </c>
      <c r="M785" s="806" t="s">
        <v>2763</v>
      </c>
      <c r="N785" s="854">
        <v>46002.0</v>
      </c>
      <c r="O785" s="803"/>
    </row>
    <row r="786" ht="15.0" customHeight="1">
      <c r="A786" s="857">
        <v>45938.0</v>
      </c>
      <c r="B786" s="787">
        <v>2510279.0</v>
      </c>
      <c r="C786" s="788" t="s">
        <v>10136</v>
      </c>
      <c r="D786" s="851" t="s">
        <v>3975</v>
      </c>
      <c r="E786" s="790" t="str">
        <f>IFERROR(VLOOKUP(D786,Stock,3,FALSE),"")</f>
        <v>Nissan Terrano 95-06</v>
      </c>
      <c r="F786" s="788">
        <v>1.0</v>
      </c>
      <c r="G786" s="860">
        <v>659450.0</v>
      </c>
      <c r="H786" s="799">
        <f t="shared" si="7"/>
        <v>659450</v>
      </c>
      <c r="I786" s="800"/>
      <c r="J786" s="812"/>
      <c r="K786" s="848" t="s">
        <v>9901</v>
      </c>
      <c r="L786" s="806" t="s">
        <v>10137</v>
      </c>
      <c r="M786" s="806" t="s">
        <v>2763</v>
      </c>
      <c r="N786" s="854">
        <v>46002.0</v>
      </c>
      <c r="O786" s="803"/>
    </row>
    <row r="787" ht="15.0" customHeight="1">
      <c r="A787" s="786">
        <v>45938.0</v>
      </c>
      <c r="B787" s="787">
        <v>2510279.0</v>
      </c>
      <c r="C787" s="788" t="s">
        <v>10136</v>
      </c>
      <c r="D787" s="851" t="s">
        <v>5979</v>
      </c>
      <c r="E787" s="790" t="str">
        <f>IFERROR(VLOOKUP(D787,Stock,3,FALSE),"")</f>
        <v>Nissan X-Trail 01-07 T30</v>
      </c>
      <c r="F787" s="788">
        <v>1.0</v>
      </c>
      <c r="G787" s="860">
        <v>809050.0</v>
      </c>
      <c r="H787" s="799">
        <f t="shared" si="7"/>
        <v>809050</v>
      </c>
      <c r="I787" s="800"/>
      <c r="J787" s="812"/>
      <c r="K787" s="848" t="s">
        <v>9901</v>
      </c>
      <c r="L787" s="806" t="s">
        <v>10137</v>
      </c>
      <c r="M787" s="806" t="s">
        <v>2763</v>
      </c>
      <c r="N787" s="854">
        <v>46002.0</v>
      </c>
      <c r="O787" s="803"/>
    </row>
    <row r="788" ht="15.0" customHeight="1">
      <c r="A788" s="786">
        <v>45938.0</v>
      </c>
      <c r="B788" s="787">
        <v>2510280.0</v>
      </c>
      <c r="C788" s="788" t="s">
        <v>10136</v>
      </c>
      <c r="D788" s="851" t="s">
        <v>3595</v>
      </c>
      <c r="E788" s="790" t="str">
        <f>IFERROR(VLOOKUP(D788,Stock,3,FALSE),"")</f>
        <v>Nissan X-Trail 07-13 T31</v>
      </c>
      <c r="F788" s="788">
        <v>1.0</v>
      </c>
      <c r="G788" s="860">
        <v>785400.0</v>
      </c>
      <c r="H788" s="799">
        <f t="shared" si="7"/>
        <v>785400</v>
      </c>
      <c r="I788" s="800"/>
      <c r="J788" s="812"/>
      <c r="K788" s="848" t="s">
        <v>9901</v>
      </c>
      <c r="L788" s="806" t="s">
        <v>10137</v>
      </c>
      <c r="M788" s="806" t="s">
        <v>2763</v>
      </c>
      <c r="N788" s="854">
        <v>46002.0</v>
      </c>
      <c r="O788" s="803"/>
    </row>
    <row r="789" ht="15.0" customHeight="1">
      <c r="A789" s="786">
        <v>45938.0</v>
      </c>
      <c r="B789" s="787">
        <v>2510280.0</v>
      </c>
      <c r="C789" s="788" t="s">
        <v>10136</v>
      </c>
      <c r="D789" s="851" t="s">
        <v>3621</v>
      </c>
      <c r="E789" s="790" t="str">
        <f>IFERROR(VLOOKUP(D789,Stock,3,FALSE),"")</f>
        <v>Mitsubishi Pajero 08-16</v>
      </c>
      <c r="F789" s="788">
        <v>1.0</v>
      </c>
      <c r="G789" s="860">
        <v>772750.0</v>
      </c>
      <c r="H789" s="799">
        <f t="shared" si="7"/>
        <v>772750</v>
      </c>
      <c r="I789" s="800"/>
      <c r="J789" s="812"/>
      <c r="K789" s="848" t="s">
        <v>9901</v>
      </c>
      <c r="L789" s="806" t="s">
        <v>10137</v>
      </c>
      <c r="M789" s="806" t="s">
        <v>2763</v>
      </c>
      <c r="N789" s="854">
        <v>46002.0</v>
      </c>
      <c r="O789" s="803"/>
    </row>
    <row r="790" ht="15.0" customHeight="1">
      <c r="A790" s="786">
        <v>45938.0</v>
      </c>
      <c r="B790" s="787">
        <v>2510288.0</v>
      </c>
      <c r="C790" s="788" t="s">
        <v>10136</v>
      </c>
      <c r="D790" s="851" t="s">
        <v>5424</v>
      </c>
      <c r="E790" s="790" t="str">
        <f>IFERROR(VLOOKUP(D790,Stock,3,FALSE),"")</f>
        <v>Nissan Elgrand 02-10 E51 2nd Gen</v>
      </c>
      <c r="F790" s="788">
        <v>1.0</v>
      </c>
      <c r="G790" s="860">
        <v>1766600.0</v>
      </c>
      <c r="H790" s="799">
        <f t="shared" si="7"/>
        <v>1766600</v>
      </c>
      <c r="I790" s="800"/>
      <c r="J790" s="812"/>
      <c r="K790" s="848" t="s">
        <v>9901</v>
      </c>
      <c r="L790" s="806" t="s">
        <v>10137</v>
      </c>
      <c r="M790" s="806" t="s">
        <v>2763</v>
      </c>
      <c r="N790" s="837">
        <v>45995.0</v>
      </c>
      <c r="O790" s="803"/>
    </row>
    <row r="791" ht="15.0" customHeight="1">
      <c r="A791" s="786">
        <v>45939.0</v>
      </c>
      <c r="B791" s="787">
        <v>2510305.0</v>
      </c>
      <c r="C791" s="788" t="s">
        <v>10136</v>
      </c>
      <c r="D791" s="851" t="s">
        <v>5433</v>
      </c>
      <c r="E791" s="790" t="str">
        <f>IFERROR(VLOOKUP(D791,Stock,3,FALSE),"")</f>
        <v>Kia Seltos 20-</v>
      </c>
      <c r="F791" s="788">
        <v>1.0</v>
      </c>
      <c r="G791" s="860">
        <v>657500.0</v>
      </c>
      <c r="H791" s="799">
        <f t="shared" si="7"/>
        <v>657500</v>
      </c>
      <c r="I791" s="800"/>
      <c r="J791" s="812"/>
      <c r="K791" s="848" t="s">
        <v>10462</v>
      </c>
      <c r="L791" s="806" t="s">
        <v>10137</v>
      </c>
      <c r="M791" s="806" t="s">
        <v>2763</v>
      </c>
      <c r="N791" s="854">
        <v>46001.0</v>
      </c>
      <c r="O791" s="803"/>
    </row>
    <row r="792" ht="15.0" customHeight="1">
      <c r="A792" s="786">
        <v>45939.0</v>
      </c>
      <c r="B792" s="856" t="s">
        <v>10463</v>
      </c>
      <c r="C792" s="788" t="s">
        <v>10139</v>
      </c>
      <c r="D792" s="851" t="s">
        <v>4262</v>
      </c>
      <c r="E792" s="790" t="str">
        <f>IFERROR(VLOOKUP(D792,Stock,3,FALSE),"")</f>
        <v>Toyota Avanza / Xenia 11-15 2nd Gen / 15-21 3rd Gen</v>
      </c>
      <c r="F792" s="788">
        <v>1.0</v>
      </c>
      <c r="G792" s="860">
        <v>175000.0</v>
      </c>
      <c r="H792" s="799">
        <f t="shared" si="7"/>
        <v>175000</v>
      </c>
      <c r="I792" s="800"/>
      <c r="J792" s="812"/>
      <c r="K792" s="848" t="s">
        <v>10242</v>
      </c>
      <c r="L792" s="806" t="s">
        <v>10137</v>
      </c>
      <c r="M792" s="806" t="s">
        <v>2763</v>
      </c>
      <c r="N792" s="854">
        <v>45946.0</v>
      </c>
      <c r="O792" s="803"/>
    </row>
    <row r="793" ht="15.0" customHeight="1">
      <c r="A793" s="834">
        <v>45940.0</v>
      </c>
      <c r="B793" s="603" t="s">
        <v>10464</v>
      </c>
      <c r="C793" s="822" t="s">
        <v>10148</v>
      </c>
      <c r="D793" s="109" t="s">
        <v>3434</v>
      </c>
      <c r="E793" s="594" t="str">
        <f>IFERROR(VLOOKUP(D793,Stock,3,FALSE),"")</f>
        <v>List Kaca Depan Code 04</v>
      </c>
      <c r="F793" s="822">
        <v>5.0</v>
      </c>
      <c r="G793" s="756"/>
      <c r="H793" s="824">
        <f t="shared" si="7"/>
        <v>0</v>
      </c>
      <c r="I793" s="825"/>
      <c r="J793" s="826"/>
      <c r="K793" s="827"/>
    </row>
    <row r="794" ht="15.0" customHeight="1">
      <c r="A794" s="834">
        <v>45940.0</v>
      </c>
      <c r="B794" s="603"/>
      <c r="C794" s="822" t="s">
        <v>10148</v>
      </c>
      <c r="D794" s="109" t="s">
        <v>5752</v>
      </c>
      <c r="E794" s="594" t="str">
        <f>IFERROR(VLOOKUP(D794,Stock,3,FALSE),"")</f>
        <v>Honda Brio 10-17 [Lubang Wiper] (Honda)</v>
      </c>
      <c r="F794" s="822">
        <v>1.0</v>
      </c>
      <c r="G794" s="756"/>
      <c r="H794" s="824">
        <f t="shared" si="7"/>
        <v>0</v>
      </c>
      <c r="I794" s="825"/>
      <c r="J794" s="826"/>
      <c r="K794" s="827"/>
    </row>
    <row r="795" ht="15.0" customHeight="1">
      <c r="A795" s="786">
        <v>45940.0</v>
      </c>
      <c r="B795" s="787" t="s">
        <v>10465</v>
      </c>
      <c r="C795" s="788" t="s">
        <v>2643</v>
      </c>
      <c r="D795" s="851" t="s">
        <v>5800</v>
      </c>
      <c r="E795" s="790" t="str">
        <f>IFERROR(VLOOKUP(D795,Stock,3,FALSE),"")</f>
        <v>Toyota Fortuner 15-  2nd Gen (Toyota)</v>
      </c>
      <c r="F795" s="788">
        <v>2.0</v>
      </c>
      <c r="G795" s="860">
        <v>829840.0</v>
      </c>
      <c r="H795" s="799">
        <f t="shared" si="7"/>
        <v>1659680</v>
      </c>
      <c r="I795" s="800"/>
      <c r="J795" s="812"/>
      <c r="K795" s="848" t="s">
        <v>9901</v>
      </c>
      <c r="L795" s="806" t="s">
        <v>10137</v>
      </c>
      <c r="M795" s="806" t="s">
        <v>2763</v>
      </c>
      <c r="N795" s="837">
        <v>45993.0</v>
      </c>
      <c r="O795" s="803"/>
    </row>
    <row r="796" ht="15.0" customHeight="1">
      <c r="A796" s="786">
        <v>45940.0</v>
      </c>
      <c r="B796" s="787" t="s">
        <v>10465</v>
      </c>
      <c r="C796" s="788" t="s">
        <v>2643</v>
      </c>
      <c r="D796" s="851" t="s">
        <v>4439</v>
      </c>
      <c r="E796" s="790" t="str">
        <f>IFERROR(VLOOKUP(D796,Stock,3,FALSE),"")</f>
        <v>Toyota Innova 04-15 1st Gen (Toyota)</v>
      </c>
      <c r="F796" s="788">
        <v>1.0</v>
      </c>
      <c r="G796" s="860">
        <v>1711199.0</v>
      </c>
      <c r="H796" s="799">
        <f t="shared" si="7"/>
        <v>1711199</v>
      </c>
      <c r="I796" s="800"/>
      <c r="J796" s="812"/>
      <c r="K796" s="848" t="s">
        <v>9901</v>
      </c>
      <c r="L796" s="806" t="s">
        <v>10137</v>
      </c>
      <c r="M796" s="806" t="s">
        <v>2763</v>
      </c>
      <c r="N796" s="837">
        <v>45993.0</v>
      </c>
      <c r="O796" s="803"/>
    </row>
    <row r="797" ht="15.0" customHeight="1">
      <c r="A797" s="834">
        <v>45941.0</v>
      </c>
      <c r="B797" s="603" t="s">
        <v>10466</v>
      </c>
      <c r="C797" s="822" t="s">
        <v>10148</v>
      </c>
      <c r="D797" s="109" t="s">
        <v>3662</v>
      </c>
      <c r="E797" s="594" t="str">
        <f>IFERROR(VLOOKUP(D797,Stock,3,FALSE),"")</f>
        <v>Toyota Innova 15-22 2nd Gen (Toyota)</v>
      </c>
      <c r="F797" s="822">
        <v>1.0</v>
      </c>
      <c r="G797" s="756"/>
      <c r="H797" s="824">
        <f t="shared" si="7"/>
        <v>0</v>
      </c>
      <c r="I797" s="825"/>
      <c r="J797" s="826"/>
      <c r="K797" s="827"/>
    </row>
    <row r="798" ht="15.0" customHeight="1">
      <c r="A798" s="786">
        <v>45943.0</v>
      </c>
      <c r="B798" s="787" t="s">
        <v>10467</v>
      </c>
      <c r="C798" s="788" t="s">
        <v>10156</v>
      </c>
      <c r="D798" s="851" t="s">
        <v>5498</v>
      </c>
      <c r="E798" s="790" t="str">
        <f>IFERROR(VLOOKUP(D798,Stock,3,FALSE),"")</f>
        <v>Toyota Fortuner 05-15  1st Gen (Toyota)</v>
      </c>
      <c r="F798" s="788">
        <v>1.0</v>
      </c>
      <c r="G798" s="860">
        <v>675000.0</v>
      </c>
      <c r="H798" s="799">
        <f t="shared" si="7"/>
        <v>675000</v>
      </c>
      <c r="I798" s="800"/>
      <c r="J798" s="812"/>
      <c r="K798" s="848" t="s">
        <v>10242</v>
      </c>
      <c r="L798" s="806" t="s">
        <v>10137</v>
      </c>
      <c r="M798" s="806" t="s">
        <v>2763</v>
      </c>
      <c r="N798" s="854">
        <v>45946.0</v>
      </c>
      <c r="O798" s="803"/>
    </row>
    <row r="799" ht="15.0" customHeight="1">
      <c r="A799" s="786">
        <v>45944.0</v>
      </c>
      <c r="B799" s="787">
        <v>2510436.0</v>
      </c>
      <c r="C799" s="788" t="s">
        <v>10136</v>
      </c>
      <c r="D799" s="851" t="s">
        <v>4322</v>
      </c>
      <c r="E799" s="790" t="str">
        <f>IFERROR(VLOOKUP(D799,Stock,3,FALSE),"")</f>
        <v>Nissan Livina 13-18 L11 (Lubang)</v>
      </c>
      <c r="F799" s="788">
        <v>1.0</v>
      </c>
      <c r="G799" s="860">
        <v>525250.0</v>
      </c>
      <c r="H799" s="799">
        <f t="shared" si="7"/>
        <v>525250</v>
      </c>
      <c r="I799" s="800"/>
      <c r="J799" s="812"/>
      <c r="K799" s="848" t="s">
        <v>10242</v>
      </c>
      <c r="L799" s="806" t="s">
        <v>10137</v>
      </c>
      <c r="M799" s="806" t="s">
        <v>2763</v>
      </c>
      <c r="N799" s="854">
        <v>46002.0</v>
      </c>
      <c r="O799" s="803"/>
    </row>
    <row r="800" ht="15.0" customHeight="1">
      <c r="A800" s="786">
        <v>45944.0</v>
      </c>
      <c r="B800" s="787">
        <v>2510436.0</v>
      </c>
      <c r="C800" s="788" t="s">
        <v>10136</v>
      </c>
      <c r="D800" s="851" t="s">
        <v>5507</v>
      </c>
      <c r="E800" s="790" t="str">
        <f>IFERROR(VLOOKUP(D800,Stock,3,FALSE),"")</f>
        <v>Nissan X-Trail 07-13 T31</v>
      </c>
      <c r="F800" s="788">
        <v>1.0</v>
      </c>
      <c r="G800" s="860">
        <v>904200.0</v>
      </c>
      <c r="H800" s="799">
        <f t="shared" si="7"/>
        <v>904200</v>
      </c>
      <c r="I800" s="800"/>
      <c r="J800" s="812"/>
      <c r="K800" s="848" t="s">
        <v>10242</v>
      </c>
      <c r="L800" s="806" t="s">
        <v>10137</v>
      </c>
      <c r="M800" s="806" t="s">
        <v>2763</v>
      </c>
      <c r="N800" s="854">
        <v>46002.0</v>
      </c>
      <c r="O800" s="803"/>
    </row>
    <row r="801" ht="15.0" customHeight="1">
      <c r="A801" s="786">
        <v>45944.0</v>
      </c>
      <c r="B801" s="787">
        <v>2510436.0</v>
      </c>
      <c r="C801" s="788" t="s">
        <v>10136</v>
      </c>
      <c r="D801" s="851" t="s">
        <v>5526</v>
      </c>
      <c r="E801" s="790" t="str">
        <f>IFERROR(VLOOKUP(D801,Stock,3,FALSE),"")</f>
        <v>Toyota Fortuner 05-15 1st Gen (Hitam)</v>
      </c>
      <c r="F801" s="788">
        <v>2.0</v>
      </c>
      <c r="G801" s="860">
        <v>1072500.0</v>
      </c>
      <c r="H801" s="799">
        <f t="shared" si="7"/>
        <v>2145000</v>
      </c>
      <c r="I801" s="800"/>
      <c r="J801" s="812"/>
      <c r="K801" s="848" t="s">
        <v>10242</v>
      </c>
      <c r="L801" s="806" t="s">
        <v>10137</v>
      </c>
      <c r="M801" s="806" t="s">
        <v>2763</v>
      </c>
      <c r="N801" s="854">
        <v>46002.0</v>
      </c>
      <c r="O801" s="803"/>
    </row>
    <row r="802" ht="15.0" customHeight="1">
      <c r="A802" s="786">
        <v>45944.0</v>
      </c>
      <c r="B802" s="856" t="s">
        <v>10468</v>
      </c>
      <c r="C802" s="788" t="s">
        <v>10139</v>
      </c>
      <c r="D802" s="851" t="s">
        <v>5521</v>
      </c>
      <c r="E802" s="790" t="str">
        <f>IFERROR(VLOOKUP(D802,Stock,3,FALSE),"")</f>
        <v>Toyota Sienta 15-</v>
      </c>
      <c r="F802" s="788">
        <v>1.0</v>
      </c>
      <c r="G802" s="860">
        <v>265000.0</v>
      </c>
      <c r="H802" s="799">
        <f t="shared" si="7"/>
        <v>265000</v>
      </c>
      <c r="I802" s="800"/>
      <c r="J802" s="812"/>
      <c r="K802" s="848" t="s">
        <v>10242</v>
      </c>
      <c r="L802" s="806" t="s">
        <v>10137</v>
      </c>
      <c r="M802" s="806" t="s">
        <v>2763</v>
      </c>
      <c r="N802" s="854">
        <v>45946.0</v>
      </c>
      <c r="O802" s="803"/>
    </row>
    <row r="803" ht="15.0" customHeight="1">
      <c r="A803" s="786">
        <v>45944.0</v>
      </c>
      <c r="B803" s="787">
        <v>2510448.0</v>
      </c>
      <c r="C803" s="788" t="s">
        <v>10136</v>
      </c>
      <c r="D803" s="851" t="s">
        <v>3849</v>
      </c>
      <c r="E803" s="790" t="str">
        <f>IFERROR(VLOOKUP(D803,Stock,3,FALSE),"")</f>
        <v>Toyota Yaris 13- 2nd Gen / Vios 14- 3rd Gen</v>
      </c>
      <c r="F803" s="788">
        <v>1.0</v>
      </c>
      <c r="G803" s="860">
        <v>725450.0</v>
      </c>
      <c r="H803" s="799">
        <f t="shared" si="7"/>
        <v>725450</v>
      </c>
      <c r="I803" s="800"/>
      <c r="J803" s="812"/>
      <c r="K803" s="848" t="s">
        <v>10242</v>
      </c>
      <c r="L803" s="806" t="s">
        <v>10137</v>
      </c>
      <c r="M803" s="806" t="s">
        <v>2763</v>
      </c>
      <c r="N803" s="854">
        <v>46002.0</v>
      </c>
      <c r="O803" s="803"/>
    </row>
    <row r="804" ht="15.0" customHeight="1">
      <c r="A804" s="862">
        <v>45945.0</v>
      </c>
      <c r="B804" s="787">
        <v>2510474.0</v>
      </c>
      <c r="C804" s="788" t="s">
        <v>10136</v>
      </c>
      <c r="D804" s="851" t="s">
        <v>5543</v>
      </c>
      <c r="E804" s="790" t="str">
        <f>IFERROR(VLOOKUP(D804,Stock,3,FALSE),"")</f>
        <v>Mers-Benz E-Class 88-92 W124 4Door</v>
      </c>
      <c r="F804" s="788">
        <v>1.0</v>
      </c>
      <c r="G804" s="860">
        <v>1230350.0</v>
      </c>
      <c r="H804" s="799">
        <f t="shared" si="7"/>
        <v>1230350</v>
      </c>
      <c r="I804" s="800"/>
      <c r="J804" s="812"/>
      <c r="K804" s="848" t="s">
        <v>3481</v>
      </c>
      <c r="L804" s="806" t="s">
        <v>10137</v>
      </c>
      <c r="M804" s="806" t="s">
        <v>2763</v>
      </c>
      <c r="N804" s="854">
        <v>46002.0</v>
      </c>
      <c r="O804" s="803"/>
    </row>
    <row r="805" ht="15.0" customHeight="1">
      <c r="A805" s="786">
        <v>45945.0</v>
      </c>
      <c r="B805" s="787" t="s">
        <v>10469</v>
      </c>
      <c r="C805" s="788" t="s">
        <v>2643</v>
      </c>
      <c r="D805" s="787" t="s">
        <v>5562</v>
      </c>
      <c r="E805" s="790" t="str">
        <f>IFERROR(VLOOKUP(D805,Stock,3,FALSE),"")</f>
        <v>Honda Jazz 07-13 2nd Gen (Honda)</v>
      </c>
      <c r="F805" s="788">
        <v>1.0</v>
      </c>
      <c r="G805" s="860">
        <v>2061048.0</v>
      </c>
      <c r="H805" s="799">
        <f t="shared" si="7"/>
        <v>2061048</v>
      </c>
      <c r="I805" s="800"/>
      <c r="J805" s="812"/>
      <c r="K805" s="848" t="s">
        <v>3481</v>
      </c>
      <c r="L805" s="806" t="s">
        <v>10137</v>
      </c>
      <c r="M805" s="806" t="s">
        <v>2763</v>
      </c>
      <c r="N805" s="837">
        <v>45993.0</v>
      </c>
      <c r="O805" s="803"/>
    </row>
    <row r="806" ht="15.0" customHeight="1">
      <c r="A806" s="786">
        <v>45946.0</v>
      </c>
      <c r="B806" s="787" t="s">
        <v>10470</v>
      </c>
      <c r="C806" s="788" t="s">
        <v>2643</v>
      </c>
      <c r="D806" s="851" t="s">
        <v>3662</v>
      </c>
      <c r="E806" s="790" t="str">
        <f>IFERROR(VLOOKUP(D806,Stock,3,FALSE),"")</f>
        <v>Toyota Innova 15-22 2nd Gen (Toyota)</v>
      </c>
      <c r="F806" s="788">
        <v>2.0</v>
      </c>
      <c r="G806" s="860">
        <v>1711199.5</v>
      </c>
      <c r="H806" s="799">
        <f t="shared" si="7"/>
        <v>3422399</v>
      </c>
      <c r="I806" s="800"/>
      <c r="J806" s="812"/>
      <c r="K806" s="848" t="s">
        <v>3481</v>
      </c>
      <c r="L806" s="806" t="s">
        <v>10137</v>
      </c>
      <c r="M806" s="806" t="s">
        <v>2763</v>
      </c>
      <c r="N806" s="837">
        <v>45993.0</v>
      </c>
      <c r="O806" s="803"/>
    </row>
    <row r="807" ht="15.0" customHeight="1">
      <c r="A807" s="786">
        <v>45946.0</v>
      </c>
      <c r="B807" s="787" t="s">
        <v>10470</v>
      </c>
      <c r="C807" s="788" t="s">
        <v>2643</v>
      </c>
      <c r="D807" s="851" t="s">
        <v>5481</v>
      </c>
      <c r="E807" s="790" t="str">
        <f>IFERROR(VLOOKUP(D807,Stock,3,FALSE),"")</f>
        <v>Toyota Raize / Daihatsu Rocky 20- (Toyota/Daihatsu)</v>
      </c>
      <c r="F807" s="788">
        <v>1.0</v>
      </c>
      <c r="G807" s="860">
        <v>547400.0</v>
      </c>
      <c r="H807" s="799">
        <f t="shared" si="7"/>
        <v>547400</v>
      </c>
      <c r="I807" s="800"/>
      <c r="J807" s="812"/>
      <c r="K807" s="848" t="s">
        <v>3481</v>
      </c>
      <c r="L807" s="806" t="s">
        <v>10137</v>
      </c>
      <c r="M807" s="806" t="s">
        <v>2763</v>
      </c>
      <c r="N807" s="837">
        <v>45993.0</v>
      </c>
      <c r="O807" s="803"/>
    </row>
    <row r="808" ht="15.0" customHeight="1">
      <c r="A808" s="786">
        <v>45946.0</v>
      </c>
      <c r="B808" s="787">
        <v>2510519.0</v>
      </c>
      <c r="C808" s="788" t="s">
        <v>10136</v>
      </c>
      <c r="D808" s="851" t="s">
        <v>3109</v>
      </c>
      <c r="E808" s="790" t="str">
        <f>IFERROR(VLOOKUP(D808,Stock,3,FALSE),"")</f>
        <v>Toyota Camry 06-11 XV40 4th Gen</v>
      </c>
      <c r="F808" s="788">
        <v>1.0</v>
      </c>
      <c r="G808" s="860">
        <v>1552650.0</v>
      </c>
      <c r="H808" s="799">
        <f t="shared" si="7"/>
        <v>1552650</v>
      </c>
      <c r="I808" s="800"/>
      <c r="J808" s="812"/>
      <c r="K808" s="848" t="s">
        <v>3481</v>
      </c>
      <c r="L808" s="806" t="s">
        <v>10137</v>
      </c>
      <c r="M808" s="806" t="s">
        <v>2763</v>
      </c>
      <c r="N808" s="854">
        <v>46008.0</v>
      </c>
      <c r="O808" s="803"/>
    </row>
    <row r="809" ht="15.0" customHeight="1">
      <c r="A809" s="786">
        <v>45946.0</v>
      </c>
      <c r="B809" s="787">
        <v>2510530.0</v>
      </c>
      <c r="C809" s="788" t="s">
        <v>10136</v>
      </c>
      <c r="D809" s="851" t="s">
        <v>3142</v>
      </c>
      <c r="E809" s="790" t="str">
        <f>IFERROR(VLOOKUP(D809,Stock,3,FALSE),"")</f>
        <v>Mitsubishi Xpander 17-</v>
      </c>
      <c r="F809" s="788">
        <v>1.0</v>
      </c>
      <c r="G809" s="860">
        <v>739200.0</v>
      </c>
      <c r="H809" s="799">
        <f t="shared" si="7"/>
        <v>739200</v>
      </c>
      <c r="I809" s="800"/>
      <c r="J809" s="812"/>
      <c r="K809" s="848" t="s">
        <v>3481</v>
      </c>
      <c r="L809" s="806" t="s">
        <v>10137</v>
      </c>
      <c r="M809" s="806" t="s">
        <v>2763</v>
      </c>
      <c r="N809" s="854">
        <v>46008.0</v>
      </c>
      <c r="O809" s="803"/>
    </row>
    <row r="810" ht="15.0" customHeight="1">
      <c r="A810" s="786">
        <v>45946.0</v>
      </c>
      <c r="B810" s="787">
        <v>2510530.0</v>
      </c>
      <c r="C810" s="788" t="s">
        <v>10136</v>
      </c>
      <c r="D810" s="851" t="s">
        <v>2029</v>
      </c>
      <c r="E810" s="790" t="str">
        <f>IFERROR(VLOOKUP(D810,Stock,3,FALSE),"")</f>
        <v>Toyota Fortuner 05-15 1st Gen</v>
      </c>
      <c r="F810" s="788">
        <v>1.0</v>
      </c>
      <c r="G810" s="860">
        <v>600600.0</v>
      </c>
      <c r="H810" s="799">
        <f t="shared" si="7"/>
        <v>600600</v>
      </c>
      <c r="I810" s="800"/>
      <c r="J810" s="812"/>
      <c r="K810" s="848" t="s">
        <v>3481</v>
      </c>
      <c r="L810" s="806" t="s">
        <v>10137</v>
      </c>
      <c r="M810" s="806" t="s">
        <v>2763</v>
      </c>
      <c r="N810" s="854">
        <v>46008.0</v>
      </c>
      <c r="O810" s="803"/>
    </row>
    <row r="811" ht="15.0" customHeight="1">
      <c r="A811" s="786">
        <v>45946.0</v>
      </c>
      <c r="B811" s="787">
        <v>2510530.0</v>
      </c>
      <c r="C811" s="788" t="s">
        <v>10136</v>
      </c>
      <c r="D811" s="851" t="s">
        <v>6425</v>
      </c>
      <c r="E811" s="790" t="str">
        <f>IFERROR(VLOOKUP(D811,Stock,3,FALSE),"")</f>
        <v>Honda Jazz 13- 3rd Gen</v>
      </c>
      <c r="F811" s="788">
        <v>1.0</v>
      </c>
      <c r="G811" s="860">
        <v>636350.0</v>
      </c>
      <c r="H811" s="799">
        <f t="shared" si="7"/>
        <v>636350</v>
      </c>
      <c r="I811" s="800"/>
      <c r="J811" s="812"/>
      <c r="K811" s="848" t="s">
        <v>3481</v>
      </c>
      <c r="L811" s="806" t="s">
        <v>10137</v>
      </c>
      <c r="M811" s="806" t="s">
        <v>2763</v>
      </c>
      <c r="N811" s="854">
        <v>46008.0</v>
      </c>
      <c r="O811" s="803"/>
    </row>
    <row r="812" ht="15.0" customHeight="1">
      <c r="A812" s="786">
        <v>45946.0</v>
      </c>
      <c r="B812" s="787">
        <v>2510530.0</v>
      </c>
      <c r="C812" s="788" t="s">
        <v>10136</v>
      </c>
      <c r="D812" s="851" t="s">
        <v>3849</v>
      </c>
      <c r="E812" s="790" t="str">
        <f>IFERROR(VLOOKUP(D812,Stock,3,FALSE),"")</f>
        <v>Toyota Yaris 13- 2nd Gen / Vios 14- 3rd Gen</v>
      </c>
      <c r="F812" s="788">
        <v>1.0</v>
      </c>
      <c r="G812" s="860">
        <v>725450.0</v>
      </c>
      <c r="H812" s="799">
        <f t="shared" si="7"/>
        <v>725450</v>
      </c>
      <c r="I812" s="800"/>
      <c r="J812" s="812"/>
      <c r="K812" s="848" t="s">
        <v>3481</v>
      </c>
      <c r="L812" s="806" t="s">
        <v>10137</v>
      </c>
      <c r="M812" s="806" t="s">
        <v>2763</v>
      </c>
      <c r="N812" s="854">
        <v>46008.0</v>
      </c>
      <c r="O812" s="803"/>
    </row>
    <row r="813" ht="15.0" customHeight="1">
      <c r="A813" s="786">
        <v>45947.0</v>
      </c>
      <c r="B813" s="856" t="s">
        <v>10471</v>
      </c>
      <c r="C813" s="788" t="s">
        <v>10139</v>
      </c>
      <c r="D813" s="851" t="s">
        <v>5590</v>
      </c>
      <c r="E813" s="790" t="str">
        <f>IFERROR(VLOOKUP(D813,Stock,3,FALSE),"")</f>
        <v>Kia Caren 3 13-</v>
      </c>
      <c r="F813" s="788">
        <v>1.0</v>
      </c>
      <c r="G813" s="860">
        <v>4875000.0</v>
      </c>
      <c r="H813" s="799">
        <f t="shared" si="7"/>
        <v>4875000</v>
      </c>
      <c r="I813" s="800"/>
      <c r="J813" s="812"/>
      <c r="K813" s="848" t="s">
        <v>3481</v>
      </c>
      <c r="L813" s="806" t="s">
        <v>10137</v>
      </c>
      <c r="M813" s="806" t="s">
        <v>2763</v>
      </c>
      <c r="N813" s="854">
        <v>45950.0</v>
      </c>
      <c r="O813" s="803"/>
    </row>
    <row r="814" ht="15.0" customHeight="1">
      <c r="A814" s="786">
        <v>45947.0</v>
      </c>
      <c r="B814" s="856" t="s">
        <v>10471</v>
      </c>
      <c r="C814" s="788" t="s">
        <v>10139</v>
      </c>
      <c r="D814" s="851" t="s">
        <v>4178</v>
      </c>
      <c r="E814" s="790" t="str">
        <f>IFERROR(VLOOKUP(D814,Stock,3,FALSE),"")</f>
        <v>Toyota Alphard 15-17 ANH30 3rd Gen (Sensor atas keramik)</v>
      </c>
      <c r="F814" s="788">
        <v>1.0</v>
      </c>
      <c r="G814" s="860">
        <v>2205900.0</v>
      </c>
      <c r="H814" s="799">
        <f t="shared" si="7"/>
        <v>2205900</v>
      </c>
      <c r="I814" s="800"/>
      <c r="J814" s="812"/>
      <c r="K814" s="848" t="s">
        <v>3481</v>
      </c>
      <c r="L814" s="806" t="s">
        <v>10137</v>
      </c>
      <c r="M814" s="806" t="s">
        <v>2763</v>
      </c>
      <c r="N814" s="854">
        <v>45950.0</v>
      </c>
      <c r="O814" s="803"/>
    </row>
    <row r="815" ht="15.0" customHeight="1">
      <c r="A815" s="786">
        <v>45947.0</v>
      </c>
      <c r="B815" s="787" t="s">
        <v>10472</v>
      </c>
      <c r="C815" s="788" t="s">
        <v>66</v>
      </c>
      <c r="D815" s="851" t="s">
        <v>8934</v>
      </c>
      <c r="E815" s="790" t="str">
        <f>IFERROR(VLOOKUP(D815,Stock,3,FALSE),"")</f>
        <v>Hyundai Stargazer 22-</v>
      </c>
      <c r="F815" s="788">
        <v>1.0</v>
      </c>
      <c r="G815" s="860">
        <v>300000.0</v>
      </c>
      <c r="H815" s="799">
        <f t="shared" si="7"/>
        <v>300000</v>
      </c>
      <c r="I815" s="800"/>
      <c r="J815" s="812"/>
      <c r="K815" s="848" t="s">
        <v>3481</v>
      </c>
      <c r="L815" s="806" t="s">
        <v>10137</v>
      </c>
      <c r="M815" s="806" t="s">
        <v>2763</v>
      </c>
      <c r="N815" s="854">
        <v>45950.0</v>
      </c>
      <c r="O815" s="803"/>
    </row>
    <row r="816" ht="15.0" customHeight="1">
      <c r="A816" s="786">
        <v>45948.0</v>
      </c>
      <c r="B816" s="856" t="s">
        <v>10473</v>
      </c>
      <c r="C816" s="788" t="s">
        <v>10139</v>
      </c>
      <c r="D816" s="851" t="s">
        <v>4262</v>
      </c>
      <c r="E816" s="790" t="str">
        <f>IFERROR(VLOOKUP(D816,Stock,3,FALSE),"")</f>
        <v>Toyota Avanza / Xenia 11-15 2nd Gen / 15-21 3rd Gen</v>
      </c>
      <c r="F816" s="788">
        <v>1.0</v>
      </c>
      <c r="G816" s="860">
        <v>175000.0</v>
      </c>
      <c r="H816" s="799">
        <f t="shared" si="7"/>
        <v>175000</v>
      </c>
      <c r="I816" s="800"/>
      <c r="J816" s="812"/>
      <c r="K816" s="848" t="s">
        <v>3481</v>
      </c>
      <c r="L816" s="806" t="s">
        <v>10137</v>
      </c>
      <c r="M816" s="806" t="s">
        <v>2763</v>
      </c>
      <c r="N816" s="854">
        <v>45950.0</v>
      </c>
      <c r="O816" s="803"/>
    </row>
    <row r="817" ht="15.0" customHeight="1">
      <c r="A817" s="786">
        <v>45948.0</v>
      </c>
      <c r="B817" s="856" t="s">
        <v>10474</v>
      </c>
      <c r="C817" s="788" t="s">
        <v>10139</v>
      </c>
      <c r="D817" s="851" t="s">
        <v>3246</v>
      </c>
      <c r="E817" s="790" t="str">
        <f>IFERROR(VLOOKUP(D817,Stock,3,FALSE),"")</f>
        <v>Toyota Calya / Sigra 16-</v>
      </c>
      <c r="F817" s="788">
        <v>10.0</v>
      </c>
      <c r="G817" s="860">
        <v>449328.0</v>
      </c>
      <c r="H817" s="799">
        <f t="shared" si="7"/>
        <v>4493280</v>
      </c>
      <c r="I817" s="800"/>
      <c r="J817" s="812"/>
      <c r="K817" s="848" t="s">
        <v>3191</v>
      </c>
      <c r="L817" s="806" t="s">
        <v>10137</v>
      </c>
      <c r="M817" s="806" t="s">
        <v>2763</v>
      </c>
      <c r="N817" s="854">
        <v>45950.0</v>
      </c>
      <c r="O817" s="803"/>
    </row>
    <row r="818" ht="15.0" customHeight="1">
      <c r="A818" s="786">
        <v>45948.0</v>
      </c>
      <c r="B818" s="856" t="s">
        <v>10474</v>
      </c>
      <c r="C818" s="788" t="s">
        <v>10139</v>
      </c>
      <c r="D818" s="851" t="s">
        <v>2003</v>
      </c>
      <c r="E818" s="790" t="str">
        <f>IFERROR(VLOOKUP(D818,Stock,3,FALSE),"")</f>
        <v>Toyota Agya/Ayla 13-22 1st Gen</v>
      </c>
      <c r="F818" s="788">
        <v>10.0</v>
      </c>
      <c r="G818" s="860">
        <v>338217.0</v>
      </c>
      <c r="H818" s="799">
        <f t="shared" si="7"/>
        <v>3382170</v>
      </c>
      <c r="I818" s="800"/>
      <c r="J818" s="812"/>
      <c r="K818" s="848" t="s">
        <v>3191</v>
      </c>
      <c r="L818" s="806" t="s">
        <v>10137</v>
      </c>
      <c r="M818" s="806" t="s">
        <v>2763</v>
      </c>
      <c r="N818" s="854">
        <v>45950.0</v>
      </c>
      <c r="O818" s="803"/>
    </row>
    <row r="819" ht="15.0" customHeight="1">
      <c r="A819" s="786">
        <v>45950.0</v>
      </c>
      <c r="B819" s="787">
        <v>2510616.0</v>
      </c>
      <c r="C819" s="788" t="s">
        <v>10136</v>
      </c>
      <c r="D819" s="851" t="s">
        <v>2869</v>
      </c>
      <c r="E819" s="790" t="str">
        <f>IFERROR(VLOOKUP(D819,Stock,3,FALSE),"")</f>
        <v>Daihatsu Gran Max / Luxio 07-</v>
      </c>
      <c r="F819" s="788">
        <v>4.0</v>
      </c>
      <c r="G819" s="860">
        <v>470250.0</v>
      </c>
      <c r="H819" s="799">
        <f t="shared" si="7"/>
        <v>1881000</v>
      </c>
      <c r="I819" s="800"/>
      <c r="J819" s="812"/>
      <c r="K819" s="848" t="s">
        <v>3481</v>
      </c>
      <c r="L819" s="806" t="s">
        <v>10137</v>
      </c>
      <c r="M819" s="806" t="s">
        <v>2763</v>
      </c>
      <c r="N819" s="854">
        <v>46008.0</v>
      </c>
      <c r="O819" s="803"/>
    </row>
    <row r="820" ht="15.0" customHeight="1">
      <c r="A820" s="786">
        <v>45950.0</v>
      </c>
      <c r="B820" s="787">
        <v>2510616.0</v>
      </c>
      <c r="C820" s="788" t="s">
        <v>10136</v>
      </c>
      <c r="D820" s="851" t="s">
        <v>5633</v>
      </c>
      <c r="E820" s="790" t="str">
        <f>IFERROR(VLOOKUP(D820,Stock,3,FALSE),"")</f>
        <v>Toyota Alphard 02-08 ANH10 1st Gen</v>
      </c>
      <c r="F820" s="788">
        <v>1.0</v>
      </c>
      <c r="G820" s="860">
        <v>224400.0</v>
      </c>
      <c r="H820" s="799">
        <f t="shared" si="7"/>
        <v>224400</v>
      </c>
      <c r="I820" s="800"/>
      <c r="J820" s="812"/>
      <c r="K820" s="848" t="s">
        <v>3481</v>
      </c>
      <c r="L820" s="806" t="s">
        <v>10137</v>
      </c>
      <c r="M820" s="806" t="s">
        <v>2763</v>
      </c>
      <c r="N820" s="854">
        <v>46008.0</v>
      </c>
      <c r="O820" s="803"/>
    </row>
    <row r="821" ht="15.0" customHeight="1">
      <c r="A821" s="786">
        <v>45950.0</v>
      </c>
      <c r="B821" s="787">
        <v>2510616.0</v>
      </c>
      <c r="C821" s="788" t="s">
        <v>10136</v>
      </c>
      <c r="D821" s="851" t="s">
        <v>5641</v>
      </c>
      <c r="E821" s="790" t="str">
        <f>IFERROR(VLOOKUP(D821,Stock,3,FALSE),"")</f>
        <v>Nissan Serena 10-19 MKIV C26</v>
      </c>
      <c r="F821" s="788">
        <v>1.0</v>
      </c>
      <c r="G821" s="860">
        <v>1472350.0</v>
      </c>
      <c r="H821" s="799">
        <f t="shared" si="7"/>
        <v>1472350</v>
      </c>
      <c r="I821" s="800"/>
      <c r="J821" s="812"/>
      <c r="K821" s="848" t="s">
        <v>3481</v>
      </c>
      <c r="L821" s="806" t="s">
        <v>10137</v>
      </c>
      <c r="M821" s="806" t="s">
        <v>2763</v>
      </c>
      <c r="N821" s="854">
        <v>46008.0</v>
      </c>
      <c r="O821" s="803"/>
    </row>
    <row r="822" ht="15.0" customHeight="1">
      <c r="A822" s="786">
        <v>45950.0</v>
      </c>
      <c r="B822" s="787">
        <v>2510616.0</v>
      </c>
      <c r="C822" s="788" t="s">
        <v>10136</v>
      </c>
      <c r="D822" s="851" t="s">
        <v>5656</v>
      </c>
      <c r="E822" s="790" t="str">
        <f>IFERROR(VLOOKUP(D822,Stock,3,FALSE),"")</f>
        <v>Mitsubishi Outlander 10-21 GA3</v>
      </c>
      <c r="F822" s="788">
        <v>2.0</v>
      </c>
      <c r="G822" s="860">
        <v>983400.0</v>
      </c>
      <c r="H822" s="799">
        <f t="shared" si="7"/>
        <v>1966800</v>
      </c>
      <c r="I822" s="800"/>
      <c r="J822" s="812"/>
      <c r="K822" s="848" t="s">
        <v>3481</v>
      </c>
      <c r="L822" s="806" t="s">
        <v>10137</v>
      </c>
      <c r="M822" s="806" t="s">
        <v>2763</v>
      </c>
      <c r="N822" s="854">
        <v>46008.0</v>
      </c>
      <c r="O822" s="803"/>
    </row>
    <row r="823" ht="15.0" customHeight="1">
      <c r="A823" s="786">
        <v>45950.0</v>
      </c>
      <c r="B823" s="787">
        <v>2510652.0</v>
      </c>
      <c r="C823" s="788" t="s">
        <v>10136</v>
      </c>
      <c r="D823" s="851" t="s">
        <v>3142</v>
      </c>
      <c r="E823" s="790" t="str">
        <f>IFERROR(VLOOKUP(D823,Stock,3,FALSE),"")</f>
        <v>Mitsubishi Xpander 17-</v>
      </c>
      <c r="F823" s="788">
        <v>2.0</v>
      </c>
      <c r="G823" s="860">
        <v>739200.0</v>
      </c>
      <c r="H823" s="799">
        <f t="shared" si="7"/>
        <v>1478400</v>
      </c>
      <c r="I823" s="800"/>
      <c r="J823" s="812"/>
      <c r="K823" s="848" t="s">
        <v>3481</v>
      </c>
      <c r="L823" s="806" t="s">
        <v>10137</v>
      </c>
      <c r="M823" s="806" t="s">
        <v>2763</v>
      </c>
      <c r="N823" s="854">
        <v>46008.0</v>
      </c>
      <c r="O823" s="803"/>
    </row>
    <row r="824" ht="15.0" customHeight="1">
      <c r="A824" s="786">
        <v>45950.0</v>
      </c>
      <c r="B824" s="787">
        <v>2510652.0</v>
      </c>
      <c r="C824" s="788" t="s">
        <v>10136</v>
      </c>
      <c r="D824" s="851" t="s">
        <v>5166</v>
      </c>
      <c r="E824" s="790" t="str">
        <f>IFERROR(VLOOKUP(D824,Stock,3,FALSE),"")</f>
        <v>Honda BR-V 16-</v>
      </c>
      <c r="F824" s="788">
        <v>1.0</v>
      </c>
      <c r="G824" s="860">
        <v>650650.0</v>
      </c>
      <c r="H824" s="799">
        <f t="shared" si="7"/>
        <v>650650</v>
      </c>
      <c r="I824" s="800"/>
      <c r="J824" s="812"/>
      <c r="K824" s="848" t="s">
        <v>3481</v>
      </c>
      <c r="L824" s="806" t="s">
        <v>10137</v>
      </c>
      <c r="M824" s="806" t="s">
        <v>2763</v>
      </c>
      <c r="N824" s="854">
        <v>46008.0</v>
      </c>
      <c r="O824" s="803"/>
    </row>
    <row r="825" ht="15.0" customHeight="1">
      <c r="A825" s="786">
        <v>45950.0</v>
      </c>
      <c r="B825" s="787">
        <v>2510652.0</v>
      </c>
      <c r="C825" s="788" t="s">
        <v>10136</v>
      </c>
      <c r="D825" s="851" t="s">
        <v>10475</v>
      </c>
      <c r="E825" s="790" t="str">
        <f>IFERROR(VLOOKUP(D825,Stock,3,FALSE),"")</f>
        <v>Honda CR-V 02-04 2nd Gen (Spion Jepit)</v>
      </c>
      <c r="F825" s="788">
        <v>1.0</v>
      </c>
      <c r="G825" s="860">
        <v>815100.0</v>
      </c>
      <c r="H825" s="799">
        <f t="shared" si="7"/>
        <v>815100</v>
      </c>
      <c r="I825" s="800"/>
      <c r="J825" s="812"/>
      <c r="K825" s="848" t="s">
        <v>3481</v>
      </c>
      <c r="L825" s="806" t="s">
        <v>10137</v>
      </c>
      <c r="M825" s="806" t="s">
        <v>2763</v>
      </c>
      <c r="N825" s="854">
        <v>46008.0</v>
      </c>
      <c r="O825" s="803"/>
    </row>
    <row r="826" ht="15.0" customHeight="1">
      <c r="A826" s="786">
        <v>45950.0</v>
      </c>
      <c r="B826" s="787">
        <v>2510652.0</v>
      </c>
      <c r="C826" s="788" t="s">
        <v>10136</v>
      </c>
      <c r="D826" s="851" t="s">
        <v>2952</v>
      </c>
      <c r="E826" s="790" t="str">
        <f>IFERROR(VLOOKUP(D826,Stock,3,FALSE),"")</f>
        <v/>
      </c>
      <c r="F826" s="788">
        <v>2.0</v>
      </c>
      <c r="G826" s="860">
        <v>416900.0</v>
      </c>
      <c r="H826" s="799">
        <f t="shared" si="7"/>
        <v>833800</v>
      </c>
      <c r="I826" s="800"/>
      <c r="J826" s="812"/>
      <c r="K826" s="848" t="s">
        <v>3481</v>
      </c>
      <c r="L826" s="806" t="s">
        <v>10137</v>
      </c>
      <c r="M826" s="806" t="s">
        <v>2763</v>
      </c>
      <c r="N826" s="854">
        <v>46008.0</v>
      </c>
      <c r="O826" s="803"/>
    </row>
    <row r="827" ht="15.0" customHeight="1">
      <c r="A827" s="786">
        <v>45950.0</v>
      </c>
      <c r="B827" s="787">
        <v>2510652.0</v>
      </c>
      <c r="C827" s="788" t="s">
        <v>10136</v>
      </c>
      <c r="D827" s="851" t="s">
        <v>3193</v>
      </c>
      <c r="E827" s="790" t="str">
        <f>IFERROR(VLOOKUP(D827,Stock,3,FALSE),"")</f>
        <v>Toyota Avanza / Xenia 11-15 2nd Gen</v>
      </c>
      <c r="F827" s="788">
        <v>2.0</v>
      </c>
      <c r="G827" s="860">
        <v>416900.0</v>
      </c>
      <c r="H827" s="799">
        <f t="shared" si="7"/>
        <v>833800</v>
      </c>
      <c r="I827" s="800"/>
      <c r="J827" s="812"/>
      <c r="K827" s="848" t="s">
        <v>3481</v>
      </c>
      <c r="L827" s="806" t="s">
        <v>10137</v>
      </c>
      <c r="M827" s="806" t="s">
        <v>2763</v>
      </c>
      <c r="N827" s="854">
        <v>46008.0</v>
      </c>
      <c r="O827" s="803"/>
    </row>
    <row r="828" ht="15.0" customHeight="1">
      <c r="A828" s="786">
        <v>45950.0</v>
      </c>
      <c r="B828" s="856" t="s">
        <v>10476</v>
      </c>
      <c r="C828" s="788" t="s">
        <v>10139</v>
      </c>
      <c r="D828" s="851" t="s">
        <v>5778</v>
      </c>
      <c r="E828" s="790" t="str">
        <f>IFERROR(VLOOKUP(D828,Stock,3,FALSE),"")</f>
        <v>Mers-Benz A-Class 13-18 W176 / W156 / W117 (1 Sensor [] )</v>
      </c>
      <c r="F828" s="788">
        <v>1.0</v>
      </c>
      <c r="G828" s="860">
        <v>3628800.0</v>
      </c>
      <c r="H828" s="799">
        <f t="shared" si="7"/>
        <v>3628800</v>
      </c>
      <c r="I828" s="800"/>
      <c r="J828" s="812"/>
      <c r="K828" s="848" t="s">
        <v>3481</v>
      </c>
      <c r="L828" s="806" t="s">
        <v>10137</v>
      </c>
      <c r="M828" s="806" t="s">
        <v>2763</v>
      </c>
      <c r="N828" s="854">
        <v>45953.0</v>
      </c>
      <c r="O828" s="803"/>
    </row>
    <row r="829" ht="15.0" customHeight="1">
      <c r="A829" s="834">
        <v>45951.0</v>
      </c>
      <c r="B829" s="603"/>
      <c r="C829" s="822" t="s">
        <v>2643</v>
      </c>
      <c r="D829" s="109" t="s">
        <v>4176</v>
      </c>
      <c r="E829" s="594" t="str">
        <f>IFERROR(VLOOKUP(D829,Stock,3,FALSE),"")</f>
        <v>Honda HR-V 22- 5D SUV (Honda)</v>
      </c>
      <c r="F829" s="822">
        <v>1.0</v>
      </c>
      <c r="G829" s="756"/>
      <c r="H829" s="824">
        <f t="shared" si="7"/>
        <v>0</v>
      </c>
      <c r="I829" s="825"/>
      <c r="J829" s="826"/>
      <c r="K829" s="850" t="s">
        <v>3481</v>
      </c>
    </row>
    <row r="830" ht="15.0" customHeight="1">
      <c r="A830" s="786">
        <v>45951.0</v>
      </c>
      <c r="B830" s="787" t="s">
        <v>10477</v>
      </c>
      <c r="C830" s="788" t="s">
        <v>2643</v>
      </c>
      <c r="D830" s="851" t="s">
        <v>4720</v>
      </c>
      <c r="E830" s="790" t="str">
        <f>IFERROR(VLOOKUP(D830,Stock,3,FALSE),"")</f>
        <v>Honda Jazz 13-  3rd Gen (Honda)</v>
      </c>
      <c r="F830" s="788">
        <v>1.0</v>
      </c>
      <c r="G830" s="860">
        <v>1597068.0</v>
      </c>
      <c r="H830" s="799">
        <f t="shared" si="7"/>
        <v>1597068</v>
      </c>
      <c r="I830" s="800"/>
      <c r="J830" s="812"/>
      <c r="K830" s="848" t="s">
        <v>3481</v>
      </c>
      <c r="L830" s="806" t="s">
        <v>10137</v>
      </c>
      <c r="M830" s="806" t="s">
        <v>2763</v>
      </c>
      <c r="N830" s="854">
        <v>46013.0</v>
      </c>
      <c r="O830" s="803"/>
    </row>
    <row r="831" ht="15.0" customHeight="1">
      <c r="A831" s="786">
        <v>45951.0</v>
      </c>
      <c r="B831" s="787" t="s">
        <v>10478</v>
      </c>
      <c r="C831" s="788" t="s">
        <v>2643</v>
      </c>
      <c r="D831" s="851" t="s">
        <v>3354</v>
      </c>
      <c r="E831" s="790" t="str">
        <f>IFERROR(VLOOKUP(D831,Stock,3,FALSE),"")</f>
        <v>Honda Brio 10- / Mobilio 11- (Honda)</v>
      </c>
      <c r="F831" s="788">
        <v>2.0</v>
      </c>
      <c r="G831" s="860">
        <v>717948.0</v>
      </c>
      <c r="H831" s="799">
        <f t="shared" si="7"/>
        <v>1435896</v>
      </c>
      <c r="I831" s="800"/>
      <c r="J831" s="812"/>
      <c r="K831" s="848" t="s">
        <v>3481</v>
      </c>
      <c r="L831" s="806" t="s">
        <v>10137</v>
      </c>
      <c r="M831" s="806" t="s">
        <v>2763</v>
      </c>
      <c r="N831" s="854">
        <v>46013.0</v>
      </c>
      <c r="O831" s="803"/>
    </row>
    <row r="832" ht="15.0" customHeight="1">
      <c r="A832" s="786">
        <v>45922.0</v>
      </c>
      <c r="B832" s="787">
        <v>2510742.0</v>
      </c>
      <c r="C832" s="788" t="s">
        <v>10136</v>
      </c>
      <c r="D832" s="851" t="s">
        <v>5675</v>
      </c>
      <c r="E832" s="790" t="str">
        <f>IFERROR(VLOOKUP(D832,Stock,3,FALSE),"")</f>
        <v>Mers-Benz E-Class 09-16 W212 (2 Sensor/ □Δ) Trapes</v>
      </c>
      <c r="F832" s="788">
        <v>1.0</v>
      </c>
      <c r="G832" s="860">
        <v>2217600.0</v>
      </c>
      <c r="H832" s="799">
        <f t="shared" si="7"/>
        <v>2217600</v>
      </c>
      <c r="I832" s="800"/>
      <c r="J832" s="812"/>
      <c r="K832" s="848" t="s">
        <v>3810</v>
      </c>
      <c r="L832" s="806" t="s">
        <v>10137</v>
      </c>
      <c r="M832" s="806" t="s">
        <v>2763</v>
      </c>
      <c r="N832" s="854">
        <v>46008.0</v>
      </c>
      <c r="O832" s="803"/>
    </row>
    <row r="833" ht="15.0" customHeight="1">
      <c r="A833" s="786">
        <v>45952.0</v>
      </c>
      <c r="B833" s="856" t="s">
        <v>10479</v>
      </c>
      <c r="C833" s="788" t="s">
        <v>10139</v>
      </c>
      <c r="D833" s="851" t="s">
        <v>5665</v>
      </c>
      <c r="E833" s="790" t="str">
        <f>IFERROR(VLOOKUP(D833,Stock,3,FALSE),"")</f>
        <v>Honda Jazz 13-  3rd Gen</v>
      </c>
      <c r="F833" s="788">
        <v>1.0</v>
      </c>
      <c r="G833" s="860">
        <v>270000.0</v>
      </c>
      <c r="H833" s="799">
        <f t="shared" si="7"/>
        <v>270000</v>
      </c>
      <c r="I833" s="800"/>
      <c r="J833" s="812"/>
      <c r="K833" s="848" t="s">
        <v>3481</v>
      </c>
      <c r="L833" s="806" t="s">
        <v>10137</v>
      </c>
      <c r="M833" s="806" t="s">
        <v>2763</v>
      </c>
      <c r="N833" s="854">
        <v>45953.0</v>
      </c>
      <c r="O833" s="803"/>
    </row>
    <row r="834" ht="15.0" customHeight="1">
      <c r="A834" s="786">
        <v>45952.0</v>
      </c>
      <c r="B834" s="787">
        <v>2510718.0</v>
      </c>
      <c r="C834" s="788" t="s">
        <v>10136</v>
      </c>
      <c r="D834" s="851" t="s">
        <v>3686</v>
      </c>
      <c r="E834" s="790" t="str">
        <f>IFERROR(VLOOKUP(D834,Stock,3,FALSE),"")</f>
        <v>Honda Jazz 01-07 1st Gen</v>
      </c>
      <c r="F834" s="788">
        <v>1.0</v>
      </c>
      <c r="G834" s="860">
        <v>551650.0</v>
      </c>
      <c r="H834" s="799">
        <f t="shared" si="7"/>
        <v>551650</v>
      </c>
      <c r="I834" s="800"/>
      <c r="J834" s="812"/>
      <c r="K834" s="848" t="s">
        <v>3481</v>
      </c>
      <c r="L834" s="806" t="s">
        <v>10137</v>
      </c>
      <c r="M834" s="806" t="s">
        <v>2763</v>
      </c>
      <c r="N834" s="854">
        <v>46008.0</v>
      </c>
      <c r="O834" s="803"/>
    </row>
    <row r="835" ht="15.0" customHeight="1">
      <c r="A835" s="786">
        <v>45952.0</v>
      </c>
      <c r="B835" s="787">
        <v>2510718.0</v>
      </c>
      <c r="C835" s="788" t="s">
        <v>10136</v>
      </c>
      <c r="D835" s="851" t="s">
        <v>3466</v>
      </c>
      <c r="E835" s="790" t="str">
        <f>IFERROR(VLOOKUP(D835,Stock,3,FALSE),"")</f>
        <v>Honda Jazz 07-13 2nd Gen</v>
      </c>
      <c r="F835" s="788">
        <v>1.0</v>
      </c>
      <c r="G835" s="860">
        <v>542850.0</v>
      </c>
      <c r="H835" s="799">
        <f t="shared" si="7"/>
        <v>542850</v>
      </c>
      <c r="I835" s="800"/>
      <c r="J835" s="812"/>
      <c r="K835" s="848" t="s">
        <v>3481</v>
      </c>
      <c r="L835" s="806" t="s">
        <v>10137</v>
      </c>
      <c r="M835" s="806" t="s">
        <v>2763</v>
      </c>
      <c r="N835" s="854">
        <v>46008.0</v>
      </c>
      <c r="O835" s="803"/>
    </row>
    <row r="836" ht="15.0" customHeight="1">
      <c r="A836" s="786">
        <v>45952.0</v>
      </c>
      <c r="B836" s="787">
        <v>2510718.0</v>
      </c>
      <c r="C836" s="788" t="s">
        <v>10136</v>
      </c>
      <c r="D836" s="851" t="s">
        <v>3475</v>
      </c>
      <c r="E836" s="790" t="str">
        <f>IFERROR(VLOOKUP(D836,Stock,3,FALSE),"")</f>
        <v>Toyota Avanza / Xenia 03-11 1st Gen</v>
      </c>
      <c r="F836" s="788">
        <v>2.0</v>
      </c>
      <c r="G836" s="860">
        <v>416900.0</v>
      </c>
      <c r="H836" s="799">
        <f t="shared" si="7"/>
        <v>833800</v>
      </c>
      <c r="I836" s="800"/>
      <c r="J836" s="812"/>
      <c r="K836" s="848" t="s">
        <v>3481</v>
      </c>
      <c r="L836" s="806" t="s">
        <v>10137</v>
      </c>
      <c r="M836" s="806" t="s">
        <v>2763</v>
      </c>
      <c r="N836" s="854">
        <v>46008.0</v>
      </c>
      <c r="O836" s="803"/>
    </row>
    <row r="837" ht="15.0" customHeight="1">
      <c r="A837" s="786">
        <v>45952.0</v>
      </c>
      <c r="B837" s="787">
        <v>2510737.0</v>
      </c>
      <c r="C837" s="788" t="s">
        <v>10136</v>
      </c>
      <c r="D837" s="851" t="s">
        <v>5670</v>
      </c>
      <c r="E837" s="790" t="str">
        <f>IFERROR(VLOOKUP(D837,Stock,3,FALSE),"")</f>
        <v>Chery QQ 03-15 S11 5D / Spark 98-05</v>
      </c>
      <c r="F837" s="788">
        <v>1.0</v>
      </c>
      <c r="G837" s="860">
        <v>737000.0</v>
      </c>
      <c r="H837" s="799">
        <f t="shared" si="7"/>
        <v>737000</v>
      </c>
      <c r="I837" s="800"/>
      <c r="J837" s="812"/>
      <c r="K837" s="848" t="s">
        <v>3481</v>
      </c>
      <c r="L837" s="806" t="s">
        <v>10137</v>
      </c>
      <c r="M837" s="806" t="s">
        <v>2763</v>
      </c>
      <c r="N837" s="854">
        <v>46008.0</v>
      </c>
      <c r="O837" s="803"/>
    </row>
    <row r="838" ht="15.0" customHeight="1">
      <c r="A838" s="786">
        <v>45953.0</v>
      </c>
      <c r="B838" s="787" t="s">
        <v>10480</v>
      </c>
      <c r="C838" s="788" t="s">
        <v>66</v>
      </c>
      <c r="D838" s="851" t="s">
        <v>5675</v>
      </c>
      <c r="E838" s="790" t="str">
        <f>IFERROR(VLOOKUP(D838,Stock,3,FALSE),"")</f>
        <v>Mers-Benz E-Class 09-16 W212 (2 Sensor/ □Δ) Trapes</v>
      </c>
      <c r="F838" s="788">
        <v>1.0</v>
      </c>
      <c r="G838" s="860">
        <v>3450000.0</v>
      </c>
      <c r="H838" s="799">
        <f t="shared" si="7"/>
        <v>3450000</v>
      </c>
      <c r="I838" s="800"/>
      <c r="J838" s="812"/>
      <c r="K838" s="848" t="s">
        <v>3481</v>
      </c>
      <c r="L838" s="806" t="s">
        <v>10137</v>
      </c>
      <c r="M838" s="806" t="s">
        <v>2763</v>
      </c>
      <c r="N838" s="837">
        <v>45964.0</v>
      </c>
      <c r="O838" s="803"/>
    </row>
    <row r="839" ht="15.0" customHeight="1">
      <c r="A839" s="786">
        <v>45953.0</v>
      </c>
      <c r="B839" s="787">
        <v>2510766.0</v>
      </c>
      <c r="C839" s="788" t="s">
        <v>10136</v>
      </c>
      <c r="D839" s="851" t="s">
        <v>6054</v>
      </c>
      <c r="E839" s="790" t="str">
        <f>IFERROR(VLOOKUP(D839,Stock,3,FALSE),"")</f>
        <v>Mitsubishi Pajero 08-16</v>
      </c>
      <c r="F839" s="788">
        <v>1.0</v>
      </c>
      <c r="G839" s="860">
        <v>649000.0</v>
      </c>
      <c r="H839" s="799">
        <f t="shared" si="7"/>
        <v>649000</v>
      </c>
      <c r="I839" s="800"/>
      <c r="J839" s="812"/>
      <c r="K839" s="848" t="s">
        <v>3481</v>
      </c>
      <c r="L839" s="806" t="s">
        <v>10137</v>
      </c>
      <c r="M839" s="806" t="s">
        <v>2763</v>
      </c>
      <c r="N839" s="854">
        <v>46008.0</v>
      </c>
      <c r="O839" s="803"/>
    </row>
    <row r="840" ht="15.0" customHeight="1">
      <c r="A840" s="786">
        <v>45953.0</v>
      </c>
      <c r="B840" s="787">
        <v>2510766.0</v>
      </c>
      <c r="C840" s="788" t="s">
        <v>10136</v>
      </c>
      <c r="D840" s="851" t="s">
        <v>5713</v>
      </c>
      <c r="E840" s="790" t="str">
        <f>IFERROR(VLOOKUP(D840,Stock,3,FALSE),"")</f>
        <v>Honda Civic 22- 11th Gen Hatch/Sedan (2 Sensor/ Big /\ O )</v>
      </c>
      <c r="F840" s="788">
        <v>1.0</v>
      </c>
      <c r="G840" s="860">
        <v>1540000.0</v>
      </c>
      <c r="H840" s="799">
        <f t="shared" si="7"/>
        <v>1540000</v>
      </c>
      <c r="I840" s="800"/>
      <c r="J840" s="812"/>
      <c r="K840" s="848" t="s">
        <v>3481</v>
      </c>
      <c r="L840" s="806" t="s">
        <v>10137</v>
      </c>
      <c r="M840" s="806" t="s">
        <v>2763</v>
      </c>
      <c r="N840" s="854">
        <v>46008.0</v>
      </c>
      <c r="O840" s="803"/>
    </row>
    <row r="841" ht="15.0" customHeight="1">
      <c r="A841" s="786">
        <v>45953.0</v>
      </c>
      <c r="B841" s="787">
        <v>2510766.0</v>
      </c>
      <c r="C841" s="788" t="s">
        <v>10136</v>
      </c>
      <c r="D841" s="851" t="s">
        <v>3499</v>
      </c>
      <c r="E841" s="790" t="str">
        <f>IFERROR(VLOOKUP(D841,Stock,3,FALSE),"")</f>
        <v>Honda Brio 10- / Mobilio 11-</v>
      </c>
      <c r="F841" s="788">
        <v>2.0</v>
      </c>
      <c r="G841" s="860">
        <v>573100.0</v>
      </c>
      <c r="H841" s="799">
        <f t="shared" si="7"/>
        <v>1146200</v>
      </c>
      <c r="I841" s="800"/>
      <c r="J841" s="812"/>
      <c r="K841" s="848" t="s">
        <v>3481</v>
      </c>
      <c r="L841" s="806" t="s">
        <v>10137</v>
      </c>
      <c r="M841" s="806" t="s">
        <v>2763</v>
      </c>
      <c r="N841" s="854">
        <v>46008.0</v>
      </c>
      <c r="O841" s="803"/>
    </row>
    <row r="842" ht="15.0" customHeight="1">
      <c r="A842" s="786">
        <v>45953.0</v>
      </c>
      <c r="B842" s="787">
        <v>2510766.0</v>
      </c>
      <c r="C842" s="788" t="s">
        <v>10136</v>
      </c>
      <c r="D842" s="851" t="s">
        <v>6814</v>
      </c>
      <c r="E842" s="790" t="str">
        <f>IFERROR(VLOOKUP(D842,Stock,3,FALSE),"")</f>
        <v>Honda HR-V 14-21 5D SUV</v>
      </c>
      <c r="F842" s="788">
        <v>1.0</v>
      </c>
      <c r="G842" s="860">
        <v>883300.0</v>
      </c>
      <c r="H842" s="799">
        <f t="shared" si="7"/>
        <v>883300</v>
      </c>
      <c r="I842" s="800"/>
      <c r="J842" s="812"/>
      <c r="K842" s="848" t="s">
        <v>3481</v>
      </c>
      <c r="L842" s="806" t="s">
        <v>10137</v>
      </c>
      <c r="M842" s="806" t="s">
        <v>2763</v>
      </c>
      <c r="N842" s="854">
        <v>46008.0</v>
      </c>
      <c r="O842" s="803"/>
    </row>
    <row r="843" ht="15.0" customHeight="1">
      <c r="A843" s="786">
        <v>45953.0</v>
      </c>
      <c r="B843" s="856" t="s">
        <v>10481</v>
      </c>
      <c r="C843" s="788" t="s">
        <v>10139</v>
      </c>
      <c r="D843" s="851" t="s">
        <v>5680</v>
      </c>
      <c r="E843" s="790" t="str">
        <f>IFERROR(VLOOKUP(D843,Stock,3,FALSE),"")</f>
        <v>Suzuki Wagon R 12-</v>
      </c>
      <c r="F843" s="788">
        <v>1.0</v>
      </c>
      <c r="G843" s="860">
        <v>437400.0</v>
      </c>
      <c r="H843" s="799">
        <f t="shared" si="7"/>
        <v>437400</v>
      </c>
      <c r="I843" s="800"/>
      <c r="J843" s="812"/>
      <c r="K843" s="848" t="s">
        <v>3481</v>
      </c>
      <c r="L843" s="806" t="s">
        <v>10137</v>
      </c>
      <c r="M843" s="806" t="s">
        <v>2763</v>
      </c>
      <c r="N843" s="854">
        <v>45954.0</v>
      </c>
      <c r="O843" s="803"/>
    </row>
    <row r="844" ht="15.0" customHeight="1">
      <c r="A844" s="786">
        <v>45954.0</v>
      </c>
      <c r="B844" s="856" t="s">
        <v>10482</v>
      </c>
      <c r="C844" s="788" t="s">
        <v>10139</v>
      </c>
      <c r="D844" s="851" t="s">
        <v>6407</v>
      </c>
      <c r="E844" s="790" t="str">
        <f>IFERROR(VLOOKUP(D844,Stock,3,FALSE),"")</f>
        <v>Suzuki Carry 91-17 / Futura 91-18</v>
      </c>
      <c r="F844" s="788">
        <v>1.0</v>
      </c>
      <c r="G844" s="860">
        <v>125000.0</v>
      </c>
      <c r="H844" s="799">
        <f t="shared" si="7"/>
        <v>125000</v>
      </c>
      <c r="I844" s="800"/>
      <c r="J844" s="812"/>
      <c r="K844" s="848" t="s">
        <v>3481</v>
      </c>
      <c r="L844" s="806" t="s">
        <v>10137</v>
      </c>
      <c r="M844" s="806" t="s">
        <v>2763</v>
      </c>
      <c r="N844" s="854">
        <v>45954.0</v>
      </c>
      <c r="O844" s="803"/>
    </row>
    <row r="845" ht="15.0" customHeight="1">
      <c r="A845" s="786">
        <v>45955.0</v>
      </c>
      <c r="B845" s="787" t="s">
        <v>10483</v>
      </c>
      <c r="C845" s="788" t="s">
        <v>2643</v>
      </c>
      <c r="D845" s="851" t="s">
        <v>5756</v>
      </c>
      <c r="E845" s="790" t="str">
        <f>IFERROR(VLOOKUP(D845,Stock,3,FALSE),"")</f>
        <v>Toyota Yaris 13-17 2nd Gen  / Vios 14-22 3rd Gen (Toyota)</v>
      </c>
      <c r="F845" s="788">
        <v>1.0</v>
      </c>
      <c r="G845" s="860">
        <v>3020999.0</v>
      </c>
      <c r="H845" s="799">
        <f t="shared" si="7"/>
        <v>3020999</v>
      </c>
      <c r="I845" s="800"/>
      <c r="J845" s="812"/>
      <c r="K845" s="848" t="s">
        <v>3481</v>
      </c>
      <c r="L845" s="806" t="s">
        <v>10137</v>
      </c>
      <c r="M845" s="833" t="s">
        <v>2763</v>
      </c>
      <c r="N845" s="854">
        <v>46013.0</v>
      </c>
      <c r="O845" s="803"/>
    </row>
    <row r="846" ht="15.0" customHeight="1">
      <c r="A846" s="786">
        <v>45955.0</v>
      </c>
      <c r="B846" s="856" t="s">
        <v>10484</v>
      </c>
      <c r="C846" s="788" t="s">
        <v>10139</v>
      </c>
      <c r="D846" s="851" t="s">
        <v>9065</v>
      </c>
      <c r="E846" s="790" t="str">
        <f>IFERROR(VLOOKUP(D846,Stock,3,FALSE),"")</f>
        <v>Nissan Serena 10-19 MKIV C26</v>
      </c>
      <c r="F846" s="788">
        <v>1.0</v>
      </c>
      <c r="G846" s="860">
        <v>1588950.0</v>
      </c>
      <c r="H846" s="799">
        <f t="shared" si="7"/>
        <v>1588950</v>
      </c>
      <c r="I846" s="800"/>
      <c r="J846" s="812"/>
      <c r="K846" s="848" t="s">
        <v>3481</v>
      </c>
      <c r="L846" s="806" t="s">
        <v>10137</v>
      </c>
      <c r="M846" s="806" t="s">
        <v>2763</v>
      </c>
      <c r="N846" s="854">
        <v>45955.0</v>
      </c>
      <c r="O846" s="803"/>
    </row>
    <row r="847" ht="15.0" customHeight="1">
      <c r="A847" s="786">
        <v>45955.0</v>
      </c>
      <c r="B847" s="856" t="s">
        <v>10484</v>
      </c>
      <c r="C847" s="788" t="s">
        <v>10139</v>
      </c>
      <c r="D847" s="851" t="s">
        <v>2973</v>
      </c>
      <c r="E847" s="790" t="str">
        <f>IFERROR(VLOOKUP(D847,Stock,3,FALSE),"")</f>
        <v>Suzuki Carry New 19-</v>
      </c>
      <c r="F847" s="788">
        <v>1.0</v>
      </c>
      <c r="G847" s="860">
        <v>617000.0</v>
      </c>
      <c r="H847" s="799">
        <f t="shared" si="7"/>
        <v>617000</v>
      </c>
      <c r="I847" s="800"/>
      <c r="J847" s="812"/>
      <c r="K847" s="848" t="s">
        <v>3481</v>
      </c>
      <c r="L847" s="806" t="s">
        <v>10137</v>
      </c>
      <c r="M847" s="806" t="s">
        <v>2763</v>
      </c>
      <c r="N847" s="854">
        <v>45955.0</v>
      </c>
      <c r="O847" s="803"/>
    </row>
    <row r="848" ht="15.0" customHeight="1">
      <c r="A848" s="786">
        <v>45956.0</v>
      </c>
      <c r="B848" s="856" t="s">
        <v>10485</v>
      </c>
      <c r="C848" s="788" t="s">
        <v>10139</v>
      </c>
      <c r="D848" s="851" t="s">
        <v>5735</v>
      </c>
      <c r="E848" s="790" t="str">
        <f>IFERROR(VLOOKUP(D848,Stock,3,FALSE),"")</f>
        <v>Daihatsu Gran Max / Luxio 07-</v>
      </c>
      <c r="F848" s="788">
        <v>1.0</v>
      </c>
      <c r="G848" s="860">
        <v>195000.0</v>
      </c>
      <c r="H848" s="799">
        <f t="shared" si="7"/>
        <v>195000</v>
      </c>
      <c r="I848" s="800"/>
      <c r="J848" s="812"/>
      <c r="K848" s="848" t="s">
        <v>3810</v>
      </c>
      <c r="L848" s="806" t="s">
        <v>10137</v>
      </c>
      <c r="M848" s="806" t="s">
        <v>2763</v>
      </c>
      <c r="N848" s="854">
        <v>45956.0</v>
      </c>
      <c r="O848" s="803"/>
    </row>
    <row r="849" ht="15.0" customHeight="1">
      <c r="A849" s="786">
        <v>45956.0</v>
      </c>
      <c r="B849" s="856" t="s">
        <v>10485</v>
      </c>
      <c r="C849" s="788" t="s">
        <v>10139</v>
      </c>
      <c r="D849" s="851" t="s">
        <v>2962</v>
      </c>
      <c r="E849" s="790" t="str">
        <f>IFERROR(VLOOKUP(D849,Stock,3,FALSE),"")</f>
        <v>Lembur</v>
      </c>
      <c r="F849" s="788">
        <v>1.0</v>
      </c>
      <c r="G849" s="860">
        <v>100000.0</v>
      </c>
      <c r="H849" s="799">
        <f t="shared" si="7"/>
        <v>100000</v>
      </c>
      <c r="I849" s="800"/>
      <c r="J849" s="812"/>
      <c r="K849" s="848" t="s">
        <v>3191</v>
      </c>
      <c r="L849" s="806" t="s">
        <v>10137</v>
      </c>
      <c r="M849" s="806" t="s">
        <v>2763</v>
      </c>
      <c r="N849" s="854">
        <v>45956.0</v>
      </c>
      <c r="O849" s="803"/>
    </row>
    <row r="850" ht="15.0" customHeight="1">
      <c r="A850" s="786">
        <v>45957.0</v>
      </c>
      <c r="B850" s="787">
        <v>2510887.0</v>
      </c>
      <c r="C850" s="788" t="s">
        <v>10136</v>
      </c>
      <c r="D850" s="851" t="s">
        <v>5346</v>
      </c>
      <c r="E850" s="790" t="str">
        <f>IFERROR(VLOOKUP(D850,Stock,3,FALSE),"")</f>
        <v>Isuzu Traga</v>
      </c>
      <c r="F850" s="788">
        <v>1.0</v>
      </c>
      <c r="G850" s="860">
        <v>561000.0</v>
      </c>
      <c r="H850" s="799">
        <f t="shared" si="7"/>
        <v>561000</v>
      </c>
      <c r="I850" s="800"/>
      <c r="J850" s="812"/>
      <c r="K850" s="848" t="s">
        <v>3810</v>
      </c>
      <c r="L850" s="806" t="s">
        <v>10137</v>
      </c>
      <c r="M850" s="806" t="s">
        <v>2763</v>
      </c>
      <c r="N850" s="854">
        <v>46008.0</v>
      </c>
      <c r="O850" s="803"/>
    </row>
    <row r="851" ht="15.0" customHeight="1">
      <c r="A851" s="786">
        <v>45958.0</v>
      </c>
      <c r="B851" s="787">
        <v>2510904.0</v>
      </c>
      <c r="C851" s="788" t="s">
        <v>10136</v>
      </c>
      <c r="D851" s="851" t="s">
        <v>3073</v>
      </c>
      <c r="E851" s="790" t="str">
        <f>IFERROR(VLOOKUP(D851,Stock,3,FALSE),"")</f>
        <v>Toyota Innova 15- 2nd Gen</v>
      </c>
      <c r="F851" s="788">
        <v>2.0</v>
      </c>
      <c r="G851" s="860">
        <v>532950.0</v>
      </c>
      <c r="H851" s="799">
        <f t="shared" si="7"/>
        <v>1065900</v>
      </c>
      <c r="I851" s="800"/>
      <c r="J851" s="812"/>
      <c r="K851" s="848" t="s">
        <v>3810</v>
      </c>
      <c r="L851" s="806" t="s">
        <v>10137</v>
      </c>
      <c r="M851" s="806" t="s">
        <v>2763</v>
      </c>
      <c r="N851" s="854">
        <v>46013.0</v>
      </c>
      <c r="O851" s="803"/>
    </row>
    <row r="852" ht="15.0" customHeight="1">
      <c r="A852" s="786">
        <v>45958.0</v>
      </c>
      <c r="B852" s="787">
        <v>2510904.0</v>
      </c>
      <c r="C852" s="788" t="s">
        <v>10136</v>
      </c>
      <c r="D852" s="851" t="s">
        <v>5548</v>
      </c>
      <c r="E852" s="790" t="str">
        <f>IFERROR(VLOOKUP(D852,Stock,3,FALSE),"")</f>
        <v>Toyota Innova 15- 2nd Gen</v>
      </c>
      <c r="F852" s="788">
        <v>1.0</v>
      </c>
      <c r="G852" s="860">
        <v>553850.0</v>
      </c>
      <c r="H852" s="799">
        <f t="shared" si="7"/>
        <v>553850</v>
      </c>
      <c r="I852" s="800"/>
      <c r="J852" s="812"/>
      <c r="K852" s="848" t="s">
        <v>3810</v>
      </c>
      <c r="L852" s="806" t="s">
        <v>10137</v>
      </c>
      <c r="M852" s="806" t="s">
        <v>2763</v>
      </c>
      <c r="N852" s="854">
        <v>46013.0</v>
      </c>
      <c r="O852" s="803"/>
    </row>
    <row r="853" ht="15.0" customHeight="1">
      <c r="A853" s="786">
        <v>45958.0</v>
      </c>
      <c r="B853" s="787">
        <v>2510904.0</v>
      </c>
      <c r="C853" s="788" t="s">
        <v>10136</v>
      </c>
      <c r="D853" s="851" t="s">
        <v>4447</v>
      </c>
      <c r="E853" s="790" t="str">
        <f>IFERROR(VLOOKUP(D853,Stock,3,FALSE),"")</f>
        <v>Isuzu Elf 17- New NMR NLR</v>
      </c>
      <c r="F853" s="788">
        <v>1.0</v>
      </c>
      <c r="G853" s="860">
        <v>502700.0</v>
      </c>
      <c r="H853" s="799">
        <f t="shared" si="7"/>
        <v>502700</v>
      </c>
      <c r="I853" s="800"/>
      <c r="J853" s="812"/>
      <c r="K853" s="848" t="s">
        <v>3810</v>
      </c>
      <c r="L853" s="806" t="s">
        <v>10137</v>
      </c>
      <c r="M853" s="806" t="s">
        <v>2763</v>
      </c>
      <c r="N853" s="854">
        <v>46013.0</v>
      </c>
      <c r="O853" s="803"/>
    </row>
    <row r="854" ht="15.0" customHeight="1">
      <c r="A854" s="786">
        <v>45958.0</v>
      </c>
      <c r="B854" s="787">
        <v>2510921.0</v>
      </c>
      <c r="C854" s="788" t="s">
        <v>10136</v>
      </c>
      <c r="D854" s="851" t="s">
        <v>3126</v>
      </c>
      <c r="E854" s="790" t="str">
        <f>IFERROR(VLOOKUP(D854,Stock,3,FALSE),"")</f>
        <v>Suzuki Carry New 19-</v>
      </c>
      <c r="F854" s="788">
        <v>2.0</v>
      </c>
      <c r="G854" s="860">
        <v>462000.0</v>
      </c>
      <c r="H854" s="799">
        <f t="shared" si="7"/>
        <v>924000</v>
      </c>
      <c r="I854" s="800"/>
      <c r="J854" s="812"/>
      <c r="K854" s="848" t="s">
        <v>3481</v>
      </c>
      <c r="L854" s="806" t="s">
        <v>10137</v>
      </c>
      <c r="M854" s="806" t="s">
        <v>2763</v>
      </c>
      <c r="N854" s="854">
        <v>46018.0</v>
      </c>
      <c r="O854" s="803"/>
    </row>
    <row r="855" ht="15.0" customHeight="1">
      <c r="A855" s="786">
        <v>45958.0</v>
      </c>
      <c r="B855" s="787">
        <v>2510921.0</v>
      </c>
      <c r="C855" s="788" t="s">
        <v>10136</v>
      </c>
      <c r="D855" s="851" t="s">
        <v>5346</v>
      </c>
      <c r="E855" s="790" t="str">
        <f>IFERROR(VLOOKUP(D855,Stock,3,FALSE),"")</f>
        <v>Isuzu Traga</v>
      </c>
      <c r="F855" s="788">
        <v>2.0</v>
      </c>
      <c r="G855" s="860">
        <v>561000.0</v>
      </c>
      <c r="H855" s="799">
        <f t="shared" si="7"/>
        <v>1122000</v>
      </c>
      <c r="I855" s="800"/>
      <c r="J855" s="812"/>
      <c r="K855" s="848" t="s">
        <v>3481</v>
      </c>
      <c r="L855" s="806" t="s">
        <v>10137</v>
      </c>
      <c r="M855" s="806" t="s">
        <v>2763</v>
      </c>
      <c r="N855" s="854">
        <v>46018.0</v>
      </c>
      <c r="O855" s="803"/>
    </row>
    <row r="856" ht="15.0" customHeight="1">
      <c r="A856" s="786">
        <v>45958.0</v>
      </c>
      <c r="B856" s="787">
        <v>2510921.0</v>
      </c>
      <c r="C856" s="788" t="s">
        <v>10136</v>
      </c>
      <c r="D856" s="851" t="s">
        <v>3193</v>
      </c>
      <c r="E856" s="790" t="str">
        <f>IFERROR(VLOOKUP(D856,Stock,3,FALSE),"")</f>
        <v>Toyota Avanza / Xenia 11-15 2nd Gen</v>
      </c>
      <c r="F856" s="788">
        <v>3.0</v>
      </c>
      <c r="G856" s="860">
        <v>416900.0</v>
      </c>
      <c r="H856" s="799">
        <f t="shared" si="7"/>
        <v>1250700</v>
      </c>
      <c r="I856" s="800"/>
      <c r="J856" s="812"/>
      <c r="K856" s="848" t="s">
        <v>3481</v>
      </c>
      <c r="L856" s="806" t="s">
        <v>10137</v>
      </c>
      <c r="M856" s="806" t="s">
        <v>2763</v>
      </c>
      <c r="N856" s="854">
        <v>46018.0</v>
      </c>
      <c r="O856" s="803"/>
    </row>
    <row r="857" ht="15.0" customHeight="1">
      <c r="A857" s="786">
        <v>45960.0</v>
      </c>
      <c r="B857" s="787">
        <v>2.5101006E7</v>
      </c>
      <c r="C857" s="788" t="s">
        <v>10136</v>
      </c>
      <c r="D857" s="851" t="s">
        <v>4192</v>
      </c>
      <c r="E857" s="790" t="str">
        <f>IFERROR(VLOOKUP(D857,Stock,3,FALSE),"")</f>
        <v>Kia Sonet 21-</v>
      </c>
      <c r="F857" s="788">
        <v>1.0</v>
      </c>
      <c r="G857" s="860">
        <v>707500.0</v>
      </c>
      <c r="H857" s="799">
        <f t="shared" si="7"/>
        <v>707500</v>
      </c>
      <c r="I857" s="800"/>
      <c r="J857" s="812"/>
      <c r="K857" s="848" t="s">
        <v>3810</v>
      </c>
      <c r="L857" s="806" t="s">
        <v>10137</v>
      </c>
      <c r="M857" s="806" t="s">
        <v>2763</v>
      </c>
      <c r="N857" s="854">
        <v>46013.0</v>
      </c>
      <c r="O857" s="803"/>
    </row>
    <row r="858" ht="15.0" customHeight="1">
      <c r="A858" s="786">
        <v>45960.0</v>
      </c>
      <c r="B858" s="856" t="s">
        <v>10486</v>
      </c>
      <c r="C858" s="788" t="s">
        <v>10139</v>
      </c>
      <c r="D858" s="851" t="s">
        <v>5808</v>
      </c>
      <c r="E858" s="790" t="str">
        <f>IFERROR(VLOOKUP(D858,Stock,3,FALSE),"")</f>
        <v>BMW X1 Series 09-14 E84 (1 Sensor / [] )</v>
      </c>
      <c r="F858" s="788">
        <v>1.0</v>
      </c>
      <c r="G858" s="860">
        <v>2664900.0</v>
      </c>
      <c r="H858" s="799">
        <f t="shared" si="7"/>
        <v>2664900</v>
      </c>
      <c r="I858" s="800"/>
      <c r="J858" s="812"/>
      <c r="K858" s="848" t="s">
        <v>3481</v>
      </c>
      <c r="L858" s="806" t="s">
        <v>10137</v>
      </c>
      <c r="M858" s="806" t="s">
        <v>2763</v>
      </c>
      <c r="N858" s="854">
        <v>45960.0</v>
      </c>
      <c r="O858" s="803"/>
    </row>
    <row r="859" ht="15.0" customHeight="1">
      <c r="A859" s="786">
        <v>45960.0</v>
      </c>
      <c r="B859" s="856" t="s">
        <v>10486</v>
      </c>
      <c r="C859" s="788" t="s">
        <v>10139</v>
      </c>
      <c r="D859" s="851" t="s">
        <v>5819</v>
      </c>
      <c r="E859" s="790" t="str">
        <f>IFERROR(VLOOKUP(D859,Stock,3,FALSE),"")</f>
        <v>Nissan Terra 18- (1 Sensor / /\ )</v>
      </c>
      <c r="F859" s="788">
        <v>1.0</v>
      </c>
      <c r="G859" s="860">
        <v>1822500.0</v>
      </c>
      <c r="H859" s="799">
        <f t="shared" si="7"/>
        <v>1822500</v>
      </c>
      <c r="I859" s="800"/>
      <c r="J859" s="812"/>
      <c r="K859" s="848" t="s">
        <v>3481</v>
      </c>
      <c r="L859" s="806" t="s">
        <v>10137</v>
      </c>
      <c r="M859" s="806" t="s">
        <v>2763</v>
      </c>
      <c r="N859" s="854">
        <v>45960.0</v>
      </c>
      <c r="O859" s="803"/>
    </row>
    <row r="860" ht="15.0" customHeight="1">
      <c r="A860" s="786">
        <v>45960.0</v>
      </c>
      <c r="B860" s="787">
        <v>2.5101023E7</v>
      </c>
      <c r="C860" s="788" t="s">
        <v>10136</v>
      </c>
      <c r="D860" s="851" t="s">
        <v>5825</v>
      </c>
      <c r="E860" s="790" t="str">
        <f>IFERROR(VLOOKUP(D860,Stock,3,FALSE),"")</f>
        <v>Toyota Alphard 18- ANH30 3rd Gen (2 Sensor / □Δ )</v>
      </c>
      <c r="F860" s="788">
        <v>1.0</v>
      </c>
      <c r="G860" s="860">
        <v>2278100.0</v>
      </c>
      <c r="H860" s="799">
        <f t="shared" si="7"/>
        <v>2278100</v>
      </c>
      <c r="I860" s="800"/>
      <c r="J860" s="812"/>
      <c r="K860" s="848" t="s">
        <v>3810</v>
      </c>
      <c r="L860" s="806" t="s">
        <v>10137</v>
      </c>
      <c r="M860" s="806" t="s">
        <v>2763</v>
      </c>
      <c r="N860" s="854">
        <v>46013.0</v>
      </c>
      <c r="O860" s="803"/>
    </row>
    <row r="861" ht="15.0" customHeight="1">
      <c r="A861" s="786">
        <v>45961.0</v>
      </c>
      <c r="B861" s="787">
        <v>2.5101033E7</v>
      </c>
      <c r="C861" s="788" t="s">
        <v>10136</v>
      </c>
      <c r="D861" s="295" t="s">
        <v>5843</v>
      </c>
      <c r="E861" s="790" t="str">
        <f>IFERROR(VLOOKUP(D861,Stock,3,FALSE),"")</f>
        <v>Isuzu Panther 91-99 1st Gen Kotak</v>
      </c>
      <c r="F861" s="788">
        <v>1.0</v>
      </c>
      <c r="G861" s="860">
        <v>486750.0</v>
      </c>
      <c r="H861" s="799">
        <f t="shared" si="7"/>
        <v>486750</v>
      </c>
      <c r="I861" s="800"/>
      <c r="J861" s="812"/>
      <c r="K861" s="848" t="s">
        <v>3810</v>
      </c>
      <c r="L861" s="806" t="s">
        <v>10137</v>
      </c>
      <c r="M861" s="806" t="s">
        <v>2763</v>
      </c>
      <c r="N861" s="854">
        <v>46013.0</v>
      </c>
      <c r="O861" s="803"/>
    </row>
    <row r="862" ht="15.0" customHeight="1">
      <c r="A862" s="786">
        <v>45961.0</v>
      </c>
      <c r="B862" s="863" t="s">
        <v>10487</v>
      </c>
      <c r="C862" s="788" t="s">
        <v>10139</v>
      </c>
      <c r="D862" s="851" t="s">
        <v>5853</v>
      </c>
      <c r="E862" s="790" t="str">
        <f>IFERROR(VLOOKUP(D862,Stock,3,FALSE),"")</f>
        <v>Wuling Cortez</v>
      </c>
      <c r="F862" s="788">
        <v>1.0</v>
      </c>
      <c r="G862" s="860">
        <v>1206225.0</v>
      </c>
      <c r="H862" s="799">
        <f t="shared" si="7"/>
        <v>1206225</v>
      </c>
      <c r="I862" s="800"/>
      <c r="J862" s="812"/>
      <c r="K862" s="848" t="s">
        <v>3810</v>
      </c>
      <c r="L862" s="806" t="s">
        <v>10137</v>
      </c>
      <c r="M862" s="806" t="s">
        <v>2763</v>
      </c>
      <c r="N862" s="837">
        <v>45966.0</v>
      </c>
      <c r="O862" s="803"/>
    </row>
    <row r="863" ht="15.0" customHeight="1">
      <c r="A863" s="786">
        <v>45961.0</v>
      </c>
      <c r="B863" s="863" t="s">
        <v>10487</v>
      </c>
      <c r="C863" s="788" t="s">
        <v>10139</v>
      </c>
      <c r="D863" s="295" t="s">
        <v>4829</v>
      </c>
      <c r="E863" s="790" t="str">
        <f>IFERROR(VLOOKUP(D863,Stock,3,FALSE),"")</f>
        <v>Daihatsu Gran Max</v>
      </c>
      <c r="F863" s="788">
        <v>1.0</v>
      </c>
      <c r="G863" s="860">
        <v>190000.0</v>
      </c>
      <c r="H863" s="799">
        <f t="shared" si="7"/>
        <v>190000</v>
      </c>
      <c r="I863" s="800"/>
      <c r="J863" s="812"/>
      <c r="K863" s="848" t="s">
        <v>3810</v>
      </c>
      <c r="L863" s="806" t="s">
        <v>10137</v>
      </c>
      <c r="M863" s="806" t="s">
        <v>2763</v>
      </c>
      <c r="N863" s="837">
        <v>45966.0</v>
      </c>
      <c r="O863" s="803"/>
    </row>
    <row r="864" ht="15.0" customHeight="1">
      <c r="A864" s="786">
        <v>45961.0</v>
      </c>
      <c r="B864" s="787">
        <v>2.5101045E7</v>
      </c>
      <c r="C864" s="788" t="s">
        <v>10136</v>
      </c>
      <c r="D864" s="295" t="s">
        <v>5843</v>
      </c>
      <c r="E864" s="790" t="str">
        <f>IFERROR(VLOOKUP(D864,Stock,3,FALSE),"")</f>
        <v>Isuzu Panther 91-99 1st Gen Kotak</v>
      </c>
      <c r="F864" s="788">
        <v>2.0</v>
      </c>
      <c r="G864" s="860">
        <v>486750.0</v>
      </c>
      <c r="H864" s="799">
        <f t="shared" si="7"/>
        <v>973500</v>
      </c>
      <c r="I864" s="800"/>
      <c r="J864" s="812"/>
      <c r="K864" s="813"/>
      <c r="L864" s="806" t="s">
        <v>10137</v>
      </c>
      <c r="M864" s="806" t="s">
        <v>2763</v>
      </c>
      <c r="N864" s="854">
        <v>46013.0</v>
      </c>
      <c r="O864" s="803"/>
    </row>
    <row r="865" ht="15.0" customHeight="1">
      <c r="A865" s="864">
        <v>45961.0</v>
      </c>
      <c r="B865" s="865"/>
      <c r="C865" s="866" t="s">
        <v>10488</v>
      </c>
      <c r="D865" s="568" t="s">
        <v>3858</v>
      </c>
      <c r="E865" s="867" t="str">
        <f>IFERROR(VLOOKUP(D865,Stock,3,FALSE),"")</f>
        <v>Daihatsu Luxio 07-</v>
      </c>
      <c r="F865" s="866">
        <v>1.0</v>
      </c>
      <c r="G865" s="868">
        <v>0.0</v>
      </c>
      <c r="H865" s="869">
        <f t="shared" si="7"/>
        <v>0</v>
      </c>
      <c r="I865" s="870"/>
      <c r="J865" s="871"/>
      <c r="K865" s="872" t="s">
        <v>3191</v>
      </c>
      <c r="L865" s="873"/>
      <c r="M865" s="873"/>
      <c r="N865" s="873"/>
      <c r="O865" s="873"/>
    </row>
    <row r="866" ht="15.0" customHeight="1">
      <c r="A866" s="786">
        <v>45962.0</v>
      </c>
      <c r="B866" s="863" t="s">
        <v>10489</v>
      </c>
      <c r="C866" s="788" t="s">
        <v>10139</v>
      </c>
      <c r="D866" s="851" t="s">
        <v>3193</v>
      </c>
      <c r="E866" s="790" t="str">
        <f>IFERROR(VLOOKUP(D866,Stock,3,FALSE),"")</f>
        <v>Toyota Avanza / Xenia 11-15 2nd Gen</v>
      </c>
      <c r="F866" s="788">
        <v>2.0</v>
      </c>
      <c r="G866" s="860">
        <v>511650.0</v>
      </c>
      <c r="H866" s="799">
        <f t="shared" si="7"/>
        <v>1023300</v>
      </c>
      <c r="I866" s="800"/>
      <c r="J866" s="812"/>
      <c r="K866" s="848" t="s">
        <v>3810</v>
      </c>
      <c r="L866" s="806" t="s">
        <v>10137</v>
      </c>
      <c r="M866" s="806" t="s">
        <v>2763</v>
      </c>
      <c r="N866" s="837">
        <v>45966.0</v>
      </c>
      <c r="O866" s="803"/>
    </row>
    <row r="867" ht="15.0" customHeight="1">
      <c r="A867" s="786">
        <v>45962.0</v>
      </c>
      <c r="B867" s="856" t="s">
        <v>10490</v>
      </c>
      <c r="C867" s="788" t="s">
        <v>10139</v>
      </c>
      <c r="D867" s="851" t="s">
        <v>3700</v>
      </c>
      <c r="E867" s="790" t="str">
        <f>IFERROR(VLOOKUP(D867,Stock,3,FALSE),"")</f>
        <v>Toyota Avanza / Xenia 11-15 2nd Gen / 15-21 3rd Gen</v>
      </c>
      <c r="F867" s="788">
        <v>1.0</v>
      </c>
      <c r="G867" s="860">
        <v>404325.0</v>
      </c>
      <c r="H867" s="799">
        <f t="shared" si="7"/>
        <v>404325</v>
      </c>
      <c r="I867" s="800"/>
      <c r="J867" s="812"/>
      <c r="K867" s="848" t="s">
        <v>3481</v>
      </c>
      <c r="L867" s="806" t="s">
        <v>10137</v>
      </c>
      <c r="M867" s="806" t="s">
        <v>2763</v>
      </c>
      <c r="N867" s="837">
        <v>45962.0</v>
      </c>
      <c r="O867" s="803"/>
    </row>
    <row r="868" ht="15.0" customHeight="1">
      <c r="A868" s="786">
        <v>45962.0</v>
      </c>
      <c r="B868" s="856" t="s">
        <v>10491</v>
      </c>
      <c r="C868" s="788" t="s">
        <v>10139</v>
      </c>
      <c r="D868" s="851" t="s">
        <v>5878</v>
      </c>
      <c r="E868" s="790" t="str">
        <f>IFERROR(VLOOKUP(D868,Stock,3,FALSE),"")</f>
        <v>Toyota Hi-Ace 04-20 Commuter With Frame</v>
      </c>
      <c r="F868" s="788">
        <v>1.0</v>
      </c>
      <c r="G868" s="860">
        <v>1751625.0</v>
      </c>
      <c r="H868" s="799">
        <f t="shared" si="7"/>
        <v>1751625</v>
      </c>
      <c r="I868" s="800"/>
      <c r="J868" s="812"/>
      <c r="K868" s="848" t="s">
        <v>3481</v>
      </c>
      <c r="L868" s="806" t="s">
        <v>10137</v>
      </c>
      <c r="M868" s="806" t="s">
        <v>2763</v>
      </c>
      <c r="N868" s="837">
        <v>45962.0</v>
      </c>
      <c r="O868" s="803"/>
    </row>
    <row r="869" ht="15.0" customHeight="1">
      <c r="A869" s="786">
        <v>45962.0</v>
      </c>
      <c r="B869" s="856" t="s">
        <v>10491</v>
      </c>
      <c r="C869" s="788" t="s">
        <v>10139</v>
      </c>
      <c r="D869" s="851" t="s">
        <v>5975</v>
      </c>
      <c r="E869" s="790" t="str">
        <f>IFERROR(VLOOKUP(D869,Stock,3,FALSE),"")</f>
        <v>Suzuki Baleno 15-22 Hatchback</v>
      </c>
      <c r="F869" s="788">
        <v>1.0</v>
      </c>
      <c r="G869" s="860">
        <v>255000.0</v>
      </c>
      <c r="H869" s="799">
        <f t="shared" si="7"/>
        <v>255000</v>
      </c>
      <c r="I869" s="800"/>
      <c r="J869" s="812"/>
      <c r="K869" s="848" t="s">
        <v>3810</v>
      </c>
      <c r="L869" s="806" t="s">
        <v>10137</v>
      </c>
      <c r="M869" s="806" t="s">
        <v>2763</v>
      </c>
      <c r="N869" s="837">
        <v>45962.0</v>
      </c>
      <c r="O869" s="803"/>
    </row>
    <row r="870" ht="15.0" customHeight="1">
      <c r="A870" s="786">
        <v>45964.0</v>
      </c>
      <c r="B870" s="787" t="s">
        <v>10492</v>
      </c>
      <c r="C870" s="788" t="s">
        <v>10148</v>
      </c>
      <c r="D870" s="851" t="s">
        <v>5752</v>
      </c>
      <c r="E870" s="790" t="str">
        <f>IFERROR(VLOOKUP(D870,Stock,3,FALSE),"")</f>
        <v>Honda Brio 10-17 [Lubang Wiper] (Honda)</v>
      </c>
      <c r="F870" s="788">
        <v>1.0</v>
      </c>
      <c r="G870" s="860"/>
      <c r="H870" s="799">
        <f t="shared" si="7"/>
        <v>0</v>
      </c>
      <c r="I870" s="800"/>
      <c r="J870" s="812"/>
      <c r="K870" s="848" t="s">
        <v>3810</v>
      </c>
      <c r="L870" s="806"/>
      <c r="M870" s="806"/>
      <c r="N870" s="837"/>
      <c r="O870" s="803"/>
    </row>
    <row r="871" ht="15.0" customHeight="1">
      <c r="A871" s="786">
        <v>45964.0</v>
      </c>
      <c r="B871" s="787">
        <v>2511034.0</v>
      </c>
      <c r="C871" s="788" t="s">
        <v>10136</v>
      </c>
      <c r="D871" s="851" t="s">
        <v>3193</v>
      </c>
      <c r="E871" s="790" t="str">
        <f>IFERROR(VLOOKUP(D871,Stock,3,FALSE),"")</f>
        <v>Toyota Avanza / Xenia 11-15 2nd Gen</v>
      </c>
      <c r="F871" s="788">
        <v>2.0</v>
      </c>
      <c r="G871" s="860">
        <v>416900.0</v>
      </c>
      <c r="H871" s="799">
        <f t="shared" si="7"/>
        <v>833800</v>
      </c>
      <c r="I871" s="800"/>
      <c r="J871" s="812"/>
      <c r="K871" s="848" t="s">
        <v>3810</v>
      </c>
      <c r="L871" s="806" t="s">
        <v>10137</v>
      </c>
      <c r="M871" s="806" t="s">
        <v>2763</v>
      </c>
      <c r="N871" s="854">
        <v>46018.0</v>
      </c>
      <c r="O871" s="803"/>
    </row>
    <row r="872" ht="15.0" customHeight="1">
      <c r="A872" s="786">
        <v>45964.0</v>
      </c>
      <c r="B872" s="787">
        <v>2511034.0</v>
      </c>
      <c r="C872" s="788" t="s">
        <v>10136</v>
      </c>
      <c r="D872" s="851" t="s">
        <v>3643</v>
      </c>
      <c r="E872" s="790" t="str">
        <f>IFERROR(VLOOKUP(D872,Stock,3,FALSE),"")</f>
        <v>Honda Jazz 01-07 1st Gen</v>
      </c>
      <c r="F872" s="788">
        <v>1.0</v>
      </c>
      <c r="G872" s="860">
        <v>673200.0</v>
      </c>
      <c r="H872" s="799">
        <f t="shared" si="7"/>
        <v>673200</v>
      </c>
      <c r="I872" s="800"/>
      <c r="J872" s="812"/>
      <c r="K872" s="848" t="s">
        <v>3810</v>
      </c>
      <c r="L872" s="806" t="s">
        <v>10137</v>
      </c>
      <c r="M872" s="806" t="s">
        <v>2763</v>
      </c>
      <c r="N872" s="854">
        <v>46018.0</v>
      </c>
      <c r="O872" s="803"/>
    </row>
    <row r="873" ht="15.0" customHeight="1">
      <c r="A873" s="786">
        <v>45964.0</v>
      </c>
      <c r="B873" s="787">
        <v>2511034.0</v>
      </c>
      <c r="C873" s="788" t="s">
        <v>10136</v>
      </c>
      <c r="D873" s="851" t="s">
        <v>3265</v>
      </c>
      <c r="E873" s="790" t="str">
        <f>IFERROR(VLOOKUP(D873,Stock,3,FALSE),"")</f>
        <v>Honda Jazz 07-13 2nd Gen</v>
      </c>
      <c r="F873" s="788">
        <v>1.0</v>
      </c>
      <c r="G873" s="860">
        <v>779900.0</v>
      </c>
      <c r="H873" s="799">
        <f t="shared" si="7"/>
        <v>779900</v>
      </c>
      <c r="I873" s="800"/>
      <c r="J873" s="812"/>
      <c r="K873" s="848" t="s">
        <v>3810</v>
      </c>
      <c r="L873" s="806" t="s">
        <v>10137</v>
      </c>
      <c r="M873" s="806" t="s">
        <v>2763</v>
      </c>
      <c r="N873" s="854">
        <v>46018.0</v>
      </c>
      <c r="O873" s="803"/>
    </row>
    <row r="874" ht="15.0" customHeight="1">
      <c r="A874" s="786">
        <v>45964.0</v>
      </c>
      <c r="B874" s="787">
        <v>2511034.0</v>
      </c>
      <c r="C874" s="788" t="s">
        <v>10136</v>
      </c>
      <c r="D874" s="851" t="s">
        <v>3930</v>
      </c>
      <c r="E874" s="790" t="str">
        <f>IFERROR(VLOOKUP(D874,Stock,3,FALSE),"")</f>
        <v>Suzuki Ertiga 18- 2nd Gen / XL7</v>
      </c>
      <c r="F874" s="788">
        <v>2.0</v>
      </c>
      <c r="G874" s="860">
        <v>634700.0</v>
      </c>
      <c r="H874" s="799">
        <f t="shared" si="7"/>
        <v>1269400</v>
      </c>
      <c r="I874" s="800"/>
      <c r="J874" s="812"/>
      <c r="K874" s="848" t="s">
        <v>3810</v>
      </c>
      <c r="L874" s="806" t="s">
        <v>10137</v>
      </c>
      <c r="M874" s="806" t="s">
        <v>2763</v>
      </c>
      <c r="N874" s="854">
        <v>46018.0</v>
      </c>
      <c r="O874" s="803"/>
    </row>
    <row r="875" ht="15.0" customHeight="1">
      <c r="A875" s="786">
        <v>45964.0</v>
      </c>
      <c r="B875" s="787">
        <v>2511034.0</v>
      </c>
      <c r="C875" s="788" t="s">
        <v>10136</v>
      </c>
      <c r="D875" s="851" t="s">
        <v>4112</v>
      </c>
      <c r="E875" s="790" t="str">
        <f>IFERROR(VLOOKUP(D875,Stock,3,FALSE),"")</f>
        <v>Wuling Air EV 22-</v>
      </c>
      <c r="F875" s="788">
        <v>1.0</v>
      </c>
      <c r="G875" s="860">
        <v>852500.0</v>
      </c>
      <c r="H875" s="799">
        <f t="shared" si="7"/>
        <v>852500</v>
      </c>
      <c r="I875" s="800"/>
      <c r="J875" s="812"/>
      <c r="K875" s="848" t="s">
        <v>3810</v>
      </c>
      <c r="L875" s="806" t="s">
        <v>10137</v>
      </c>
      <c r="M875" s="806" t="s">
        <v>2763</v>
      </c>
      <c r="N875" s="854">
        <v>46018.0</v>
      </c>
      <c r="O875" s="803"/>
    </row>
    <row r="876" ht="15.0" customHeight="1">
      <c r="A876" s="786">
        <v>45964.0</v>
      </c>
      <c r="B876" s="856" t="s">
        <v>10493</v>
      </c>
      <c r="C876" s="788" t="s">
        <v>10139</v>
      </c>
      <c r="D876" s="295" t="s">
        <v>4112</v>
      </c>
      <c r="E876" s="790" t="str">
        <f>IFERROR(VLOOKUP(D876,Stock,3,FALSE),"")</f>
        <v>Wuling Air EV 22-</v>
      </c>
      <c r="F876" s="788">
        <v>1.0</v>
      </c>
      <c r="G876" s="860">
        <v>1046250.0</v>
      </c>
      <c r="H876" s="799">
        <f t="shared" si="7"/>
        <v>1046250</v>
      </c>
      <c r="I876" s="800"/>
      <c r="J876" s="812"/>
      <c r="K876" s="848" t="s">
        <v>3810</v>
      </c>
      <c r="L876" s="806" t="s">
        <v>10137</v>
      </c>
      <c r="M876" s="806" t="s">
        <v>2763</v>
      </c>
      <c r="N876" s="837">
        <v>45964.0</v>
      </c>
      <c r="O876" s="803"/>
    </row>
    <row r="877" ht="15.0" customHeight="1">
      <c r="A877" s="834">
        <v>45965.0</v>
      </c>
      <c r="B877" s="603" t="s">
        <v>10494</v>
      </c>
      <c r="C877" s="822" t="s">
        <v>10148</v>
      </c>
      <c r="D877" s="109" t="s">
        <v>3704</v>
      </c>
      <c r="E877" s="594" t="str">
        <f>IFERROR(VLOOKUP(D877,Stock,3,FALSE),"")</f>
        <v>Honda BR-V 16-21 (Honda)</v>
      </c>
      <c r="F877" s="822">
        <v>1.0</v>
      </c>
      <c r="G877" s="756"/>
      <c r="H877" s="824">
        <f t="shared" si="7"/>
        <v>0</v>
      </c>
      <c r="I877" s="825"/>
      <c r="J877" s="826"/>
      <c r="K877" s="850" t="s">
        <v>3810</v>
      </c>
    </row>
    <row r="878" ht="15.0" customHeight="1">
      <c r="A878" s="786">
        <v>45965.0</v>
      </c>
      <c r="B878" s="787">
        <v>2511096.0</v>
      </c>
      <c r="C878" s="788" t="s">
        <v>10136</v>
      </c>
      <c r="D878" s="851" t="s">
        <v>5922</v>
      </c>
      <c r="E878" s="790" t="str">
        <f>IFERROR(VLOOKUP(D878,Stock,3,FALSE),"")</f>
        <v>Toyota Corolla All New AE111 95-02 8th Gen</v>
      </c>
      <c r="F878" s="788">
        <v>1.0</v>
      </c>
      <c r="G878" s="860">
        <v>1318900.0</v>
      </c>
      <c r="H878" s="799">
        <f t="shared" si="7"/>
        <v>1318900</v>
      </c>
      <c r="I878" s="800"/>
      <c r="J878" s="812"/>
      <c r="K878" s="848" t="s">
        <v>3481</v>
      </c>
      <c r="L878" s="806" t="s">
        <v>10137</v>
      </c>
      <c r="M878" s="806" t="s">
        <v>2763</v>
      </c>
      <c r="N878" s="837">
        <v>46028.0</v>
      </c>
      <c r="O878" s="803"/>
    </row>
    <row r="879" ht="15.0" customHeight="1">
      <c r="A879" s="786">
        <v>45965.0</v>
      </c>
      <c r="B879" s="787">
        <v>2511096.0</v>
      </c>
      <c r="C879" s="788" t="s">
        <v>10136</v>
      </c>
      <c r="D879" s="851" t="s">
        <v>4322</v>
      </c>
      <c r="E879" s="790" t="str">
        <f>IFERROR(VLOOKUP(D879,Stock,3,FALSE),"")</f>
        <v>Nissan Livina 13-18 L11 (Lubang)</v>
      </c>
      <c r="F879" s="788">
        <v>1.0</v>
      </c>
      <c r="G879" s="860">
        <v>525250.0</v>
      </c>
      <c r="H879" s="799">
        <f t="shared" si="7"/>
        <v>525250</v>
      </c>
      <c r="I879" s="800"/>
      <c r="J879" s="812"/>
      <c r="K879" s="848" t="s">
        <v>3481</v>
      </c>
      <c r="L879" s="806" t="s">
        <v>10137</v>
      </c>
      <c r="M879" s="806" t="s">
        <v>2763</v>
      </c>
      <c r="N879" s="837">
        <v>46028.0</v>
      </c>
      <c r="O879" s="803"/>
    </row>
    <row r="880" ht="15.0" customHeight="1">
      <c r="A880" s="786">
        <v>45965.0</v>
      </c>
      <c r="B880" s="787">
        <v>2511096.0</v>
      </c>
      <c r="C880" s="788" t="s">
        <v>10136</v>
      </c>
      <c r="D880" s="851" t="s">
        <v>5912</v>
      </c>
      <c r="E880" s="790" t="str">
        <f>IFERROR(VLOOKUP(D880,Stock,3,FALSE),"")</f>
        <v>Kia Picanto 04-11 1st Gen (Spion Hitam)</v>
      </c>
      <c r="F880" s="788">
        <v>1.0</v>
      </c>
      <c r="G880" s="860">
        <v>1570000.0</v>
      </c>
      <c r="H880" s="799">
        <f t="shared" si="7"/>
        <v>1570000</v>
      </c>
      <c r="I880" s="800"/>
      <c r="J880" s="812"/>
      <c r="K880" s="848" t="s">
        <v>3481</v>
      </c>
      <c r="L880" s="806" t="s">
        <v>10137</v>
      </c>
      <c r="M880" s="806" t="s">
        <v>2763</v>
      </c>
      <c r="N880" s="837">
        <v>46028.0</v>
      </c>
      <c r="O880" s="803"/>
    </row>
    <row r="881" ht="15.0" customHeight="1">
      <c r="A881" s="786">
        <v>45965.0</v>
      </c>
      <c r="B881" s="856" t="s">
        <v>10495</v>
      </c>
      <c r="C881" s="788" t="s">
        <v>10139</v>
      </c>
      <c r="D881" s="851" t="s">
        <v>6335</v>
      </c>
      <c r="E881" s="790" t="str">
        <f>IFERROR(VLOOKUP(D881,Stock,3,FALSE),"")</f>
        <v>Toyota LandCruiser  98-07 FJ100 (Signus) [No Sensor]</v>
      </c>
      <c r="F881" s="788">
        <v>1.0</v>
      </c>
      <c r="G881" s="860">
        <v>2000000.0</v>
      </c>
      <c r="H881" s="799">
        <f t="shared" si="7"/>
        <v>2000000</v>
      </c>
      <c r="I881" s="800"/>
      <c r="J881" s="812"/>
      <c r="K881" s="848" t="s">
        <v>3481</v>
      </c>
      <c r="L881" s="806" t="s">
        <v>10137</v>
      </c>
      <c r="M881" s="806" t="s">
        <v>2763</v>
      </c>
      <c r="N881" s="837">
        <v>45965.0</v>
      </c>
      <c r="O881" s="803"/>
    </row>
    <row r="882" ht="15.0" customHeight="1">
      <c r="A882" s="786">
        <v>45965.0</v>
      </c>
      <c r="B882" s="856" t="s">
        <v>10496</v>
      </c>
      <c r="C882" s="788" t="s">
        <v>10139</v>
      </c>
      <c r="D882" s="851" t="s">
        <v>5940</v>
      </c>
      <c r="E882" s="790" t="str">
        <f>IFERROR(VLOOKUP(D882,Stock,3,FALSE),"")</f>
        <v>Honda Civic 96-00 SO4/SO6 (Ferio)</v>
      </c>
      <c r="F882" s="788">
        <v>1.0</v>
      </c>
      <c r="G882" s="860">
        <v>1198800.0</v>
      </c>
      <c r="H882" s="799">
        <f t="shared" si="7"/>
        <v>1198800</v>
      </c>
      <c r="I882" s="800"/>
      <c r="J882" s="812"/>
      <c r="K882" s="848" t="s">
        <v>3481</v>
      </c>
      <c r="L882" s="806" t="s">
        <v>10137</v>
      </c>
      <c r="M882" s="806" t="s">
        <v>2763</v>
      </c>
      <c r="N882" s="837">
        <v>45965.0</v>
      </c>
      <c r="O882" s="803"/>
    </row>
    <row r="883" ht="15.0" customHeight="1">
      <c r="A883" s="786">
        <v>45966.0</v>
      </c>
      <c r="B883" s="787">
        <v>2511178.0</v>
      </c>
      <c r="C883" s="788" t="s">
        <v>10136</v>
      </c>
      <c r="D883" s="851" t="s">
        <v>5970</v>
      </c>
      <c r="E883" s="790" t="str">
        <f>IFERROR(VLOOKUP(D883,Stock,3,FALSE),"")</f>
        <v>Honda CR-V 12-16 4th Gen</v>
      </c>
      <c r="F883" s="788">
        <v>1.0</v>
      </c>
      <c r="G883" s="860">
        <v>879450.0</v>
      </c>
      <c r="H883" s="799">
        <f t="shared" si="7"/>
        <v>879450</v>
      </c>
      <c r="I883" s="800"/>
      <c r="J883" s="812"/>
      <c r="K883" s="848" t="s">
        <v>3481</v>
      </c>
      <c r="L883" s="806" t="s">
        <v>10137</v>
      </c>
      <c r="M883" s="806" t="s">
        <v>2763</v>
      </c>
      <c r="N883" s="854">
        <v>46018.0</v>
      </c>
      <c r="O883" s="803"/>
    </row>
    <row r="884" ht="15.0" customHeight="1">
      <c r="A884" s="786">
        <v>45966.0</v>
      </c>
      <c r="B884" s="787">
        <v>2511178.0</v>
      </c>
      <c r="C884" s="788" t="s">
        <v>10136</v>
      </c>
      <c r="D884" s="851" t="s">
        <v>5958</v>
      </c>
      <c r="E884" s="790" t="str">
        <f>IFERROR(VLOOKUP(D884,Stock,3,FALSE),"")</f>
        <v>Hyundai Santa Fe 18-</v>
      </c>
      <c r="F884" s="788">
        <v>1.0</v>
      </c>
      <c r="G884" s="860">
        <v>1230350.0</v>
      </c>
      <c r="H884" s="799">
        <f t="shared" si="7"/>
        <v>1230350</v>
      </c>
      <c r="I884" s="800"/>
      <c r="J884" s="812"/>
      <c r="K884" s="848" t="s">
        <v>3481</v>
      </c>
      <c r="L884" s="806" t="s">
        <v>10137</v>
      </c>
      <c r="M884" s="806" t="s">
        <v>2763</v>
      </c>
      <c r="N884" s="854">
        <v>46018.0</v>
      </c>
      <c r="O884" s="803"/>
    </row>
    <row r="885" ht="15.0" customHeight="1">
      <c r="A885" s="786">
        <v>45966.0</v>
      </c>
      <c r="B885" s="787">
        <v>2511178.0</v>
      </c>
      <c r="C885" s="788" t="s">
        <v>10136</v>
      </c>
      <c r="D885" s="851" t="s">
        <v>5123</v>
      </c>
      <c r="E885" s="790" t="str">
        <f>IFERROR(VLOOKUP(D885,Stock,3,FALSE),"")</f>
        <v>BMW 3 Series 90-99 E36</v>
      </c>
      <c r="F885" s="788">
        <v>1.0</v>
      </c>
      <c r="G885" s="860">
        <v>832700.0</v>
      </c>
      <c r="H885" s="799">
        <f t="shared" si="7"/>
        <v>832700</v>
      </c>
      <c r="I885" s="800"/>
      <c r="J885" s="812"/>
      <c r="K885" s="848" t="s">
        <v>3481</v>
      </c>
      <c r="L885" s="806" t="s">
        <v>10137</v>
      </c>
      <c r="M885" s="806" t="s">
        <v>2763</v>
      </c>
      <c r="N885" s="854">
        <v>46018.0</v>
      </c>
      <c r="O885" s="803"/>
    </row>
    <row r="886" ht="15.0" customHeight="1">
      <c r="A886" s="786">
        <v>45966.0</v>
      </c>
      <c r="B886" s="787">
        <v>2511168.0</v>
      </c>
      <c r="C886" s="788" t="s">
        <v>10136</v>
      </c>
      <c r="D886" s="851" t="s">
        <v>5954</v>
      </c>
      <c r="E886" s="790" t="str">
        <f>IFERROR(VLOOKUP(D886,Stock,3,FALSE),"")</f>
        <v>Toyota Voxy 17-</v>
      </c>
      <c r="F886" s="788">
        <v>1.0</v>
      </c>
      <c r="G886" s="860">
        <v>1829300.0</v>
      </c>
      <c r="H886" s="799">
        <f t="shared" si="7"/>
        <v>1829300</v>
      </c>
      <c r="I886" s="800"/>
      <c r="J886" s="812"/>
      <c r="K886" s="848" t="s">
        <v>3481</v>
      </c>
      <c r="L886" s="806" t="s">
        <v>10137</v>
      </c>
      <c r="M886" s="806" t="s">
        <v>2763</v>
      </c>
      <c r="N886" s="854">
        <v>46018.0</v>
      </c>
      <c r="O886" s="803"/>
    </row>
    <row r="887" ht="15.0" customHeight="1">
      <c r="A887" s="786">
        <v>45966.0</v>
      </c>
      <c r="B887" s="787">
        <v>2511168.0</v>
      </c>
      <c r="C887" s="788" t="s">
        <v>10136</v>
      </c>
      <c r="D887" s="851" t="s">
        <v>5396</v>
      </c>
      <c r="E887" s="790" t="str">
        <f>IFERROR(VLOOKUP(D887,Stock,3,FALSE),"")</f>
        <v>Toyota Camry 06-11 XV40 4th Gen</v>
      </c>
      <c r="F887" s="788">
        <v>1.0</v>
      </c>
      <c r="G887" s="860">
        <v>1648350.0</v>
      </c>
      <c r="H887" s="799">
        <f t="shared" si="7"/>
        <v>1648350</v>
      </c>
      <c r="I887" s="800"/>
      <c r="J887" s="812"/>
      <c r="K887" s="848" t="s">
        <v>3481</v>
      </c>
      <c r="L887" s="806" t="s">
        <v>10137</v>
      </c>
      <c r="M887" s="806" t="s">
        <v>2763</v>
      </c>
      <c r="N887" s="854">
        <v>46018.0</v>
      </c>
      <c r="O887" s="803"/>
    </row>
    <row r="888" ht="15.0" customHeight="1">
      <c r="A888" s="786">
        <v>45966.0</v>
      </c>
      <c r="B888" s="787">
        <v>2511168.0</v>
      </c>
      <c r="C888" s="788" t="s">
        <v>10136</v>
      </c>
      <c r="D888" s="851" t="s">
        <v>5979</v>
      </c>
      <c r="E888" s="790" t="str">
        <f>IFERROR(VLOOKUP(D888,Stock,3,FALSE),"")</f>
        <v>Nissan X-Trail 01-07 T30</v>
      </c>
      <c r="F888" s="788">
        <v>1.0</v>
      </c>
      <c r="G888" s="860">
        <v>809050.0</v>
      </c>
      <c r="H888" s="799">
        <f t="shared" si="7"/>
        <v>809050</v>
      </c>
      <c r="I888" s="800"/>
      <c r="J888" s="812"/>
      <c r="K888" s="848" t="s">
        <v>3481</v>
      </c>
      <c r="L888" s="806" t="s">
        <v>10137</v>
      </c>
      <c r="M888" s="806" t="s">
        <v>2763</v>
      </c>
      <c r="N888" s="854">
        <v>46018.0</v>
      </c>
      <c r="O888" s="803"/>
    </row>
    <row r="889" ht="15.0" customHeight="1">
      <c r="A889" s="786">
        <v>45966.0</v>
      </c>
      <c r="B889" s="787">
        <v>2511168.0</v>
      </c>
      <c r="C889" s="788" t="s">
        <v>10136</v>
      </c>
      <c r="D889" s="851" t="s">
        <v>5977</v>
      </c>
      <c r="E889" s="790" t="str">
        <f>IFERROR(VLOOKUP(D889,Stock,3,FALSE),"")</f>
        <v>Nissan Navara (NP300) 4D Pickup 15- D23</v>
      </c>
      <c r="F889" s="788">
        <v>1.0</v>
      </c>
      <c r="G889" s="860">
        <v>247500.0</v>
      </c>
      <c r="H889" s="799">
        <f t="shared" si="7"/>
        <v>247500</v>
      </c>
      <c r="I889" s="800"/>
      <c r="J889" s="812"/>
      <c r="K889" s="848" t="s">
        <v>3481</v>
      </c>
      <c r="L889" s="806" t="s">
        <v>10137</v>
      </c>
      <c r="M889" s="806" t="s">
        <v>2763</v>
      </c>
      <c r="N889" s="854">
        <v>46018.0</v>
      </c>
      <c r="O889" s="803"/>
    </row>
    <row r="890" ht="15.0" customHeight="1">
      <c r="A890" s="786">
        <v>45966.0</v>
      </c>
      <c r="B890" s="787">
        <v>2511168.0</v>
      </c>
      <c r="C890" s="788" t="s">
        <v>10136</v>
      </c>
      <c r="D890" s="851" t="s">
        <v>5980</v>
      </c>
      <c r="E890" s="790" t="str">
        <f>IFERROR(VLOOKUP(D890,Stock,3,FALSE),"")</f>
        <v>Honda Stream 04-06 S7A/RN1 (Spion)</v>
      </c>
      <c r="F890" s="788">
        <v>1.0</v>
      </c>
      <c r="G890" s="860">
        <v>958650.0</v>
      </c>
      <c r="H890" s="799">
        <f t="shared" si="7"/>
        <v>958650</v>
      </c>
      <c r="I890" s="800"/>
      <c r="J890" s="812"/>
      <c r="K890" s="848" t="s">
        <v>3481</v>
      </c>
      <c r="L890" s="806" t="s">
        <v>10137</v>
      </c>
      <c r="M890" s="806" t="s">
        <v>2763</v>
      </c>
      <c r="N890" s="854">
        <v>46018.0</v>
      </c>
      <c r="O890" s="803"/>
    </row>
    <row r="891" ht="15.0" customHeight="1">
      <c r="A891" s="786">
        <v>45964.0</v>
      </c>
      <c r="B891" s="787" t="s">
        <v>10497</v>
      </c>
      <c r="C891" s="788" t="s">
        <v>2643</v>
      </c>
      <c r="D891" s="851" t="s">
        <v>5861</v>
      </c>
      <c r="E891" s="790" t="str">
        <f>IFERROR(VLOOKUP(D891,Stock,3,FALSE),"")</f>
        <v>Honda CR-V 07-11 3rd Gen (Honda)</v>
      </c>
      <c r="F891" s="788">
        <v>1.0</v>
      </c>
      <c r="G891" s="860">
        <v>2622708.0</v>
      </c>
      <c r="H891" s="799">
        <f t="shared" si="7"/>
        <v>2622708</v>
      </c>
      <c r="I891" s="800"/>
      <c r="J891" s="812"/>
      <c r="K891" s="848" t="s">
        <v>3481</v>
      </c>
      <c r="L891" s="806" t="s">
        <v>10137</v>
      </c>
      <c r="M891" s="806" t="s">
        <v>2763</v>
      </c>
      <c r="N891" s="837">
        <v>46028.0</v>
      </c>
      <c r="O891" s="803"/>
    </row>
    <row r="892" ht="15.0" customHeight="1">
      <c r="A892" s="786">
        <v>45964.0</v>
      </c>
      <c r="B892" s="787" t="s">
        <v>10497</v>
      </c>
      <c r="C892" s="788" t="s">
        <v>2643</v>
      </c>
      <c r="D892" s="851" t="s">
        <v>5752</v>
      </c>
      <c r="E892" s="790" t="str">
        <f>IFERROR(VLOOKUP(D892,Stock,3,FALSE),"")</f>
        <v>Honda Brio 10-17 [Lubang Wiper] (Honda)</v>
      </c>
      <c r="F892" s="788">
        <v>2.0</v>
      </c>
      <c r="G892" s="860">
        <v>678876.0</v>
      </c>
      <c r="H892" s="799">
        <f t="shared" si="7"/>
        <v>1357752</v>
      </c>
      <c r="I892" s="800"/>
      <c r="J892" s="812"/>
      <c r="K892" s="813"/>
      <c r="L892" s="806" t="s">
        <v>10137</v>
      </c>
      <c r="M892" s="806" t="s">
        <v>2763</v>
      </c>
      <c r="N892" s="837">
        <v>46028.0</v>
      </c>
      <c r="O892" s="803"/>
    </row>
    <row r="893" ht="15.0" customHeight="1">
      <c r="A893" s="786">
        <v>45965.0</v>
      </c>
      <c r="B893" s="787" t="s">
        <v>10498</v>
      </c>
      <c r="C893" s="788" t="s">
        <v>24</v>
      </c>
      <c r="D893" s="851" t="s">
        <v>10287</v>
      </c>
      <c r="E893" s="790"/>
      <c r="F893" s="788">
        <v>24.0</v>
      </c>
      <c r="G893" s="860">
        <v>28000.0</v>
      </c>
      <c r="H893" s="799">
        <f t="shared" si="7"/>
        <v>672000</v>
      </c>
      <c r="I893" s="800"/>
      <c r="J893" s="812"/>
      <c r="K893" s="848" t="s">
        <v>3191</v>
      </c>
      <c r="L893" s="806" t="s">
        <v>10137</v>
      </c>
      <c r="M893" s="806" t="s">
        <v>2763</v>
      </c>
      <c r="N893" s="837">
        <v>45996.0</v>
      </c>
      <c r="O893" s="803"/>
    </row>
    <row r="894" ht="15.0" customHeight="1">
      <c r="A894" s="786">
        <v>45965.0</v>
      </c>
      <c r="B894" s="787" t="s">
        <v>10499</v>
      </c>
      <c r="C894" s="788" t="s">
        <v>79</v>
      </c>
      <c r="D894" s="851" t="s">
        <v>4017</v>
      </c>
      <c r="E894" s="790" t="str">
        <f>IFERROR(VLOOKUP(D894,Stock,3,FALSE),"")</f>
        <v>Black Phantom Solar Gard</v>
      </c>
      <c r="F894" s="788">
        <v>1.0</v>
      </c>
      <c r="G894" s="860">
        <v>700000.0</v>
      </c>
      <c r="H894" s="799">
        <f t="shared" si="7"/>
        <v>700000</v>
      </c>
      <c r="I894" s="800"/>
      <c r="J894" s="812"/>
      <c r="K894" s="848" t="s">
        <v>3191</v>
      </c>
      <c r="L894" s="806" t="s">
        <v>10137</v>
      </c>
      <c r="M894" s="806" t="s">
        <v>2763</v>
      </c>
      <c r="N894" s="854">
        <v>46001.0</v>
      </c>
      <c r="O894" s="803"/>
    </row>
    <row r="895" ht="15.0" customHeight="1">
      <c r="A895" s="786">
        <v>45966.0</v>
      </c>
      <c r="B895" s="787">
        <v>2511184.0</v>
      </c>
      <c r="C895" s="788" t="s">
        <v>10136</v>
      </c>
      <c r="D895" s="851" t="s">
        <v>3130</v>
      </c>
      <c r="E895" s="790" t="str">
        <f>IFERROR(VLOOKUP(D895,Stock,3,FALSE),"")</f>
        <v>Toyota Innova 04-15 1st Gen</v>
      </c>
      <c r="F895" s="788">
        <v>2.0</v>
      </c>
      <c r="G895" s="860">
        <v>600600.0</v>
      </c>
      <c r="H895" s="799">
        <f t="shared" si="7"/>
        <v>1201200</v>
      </c>
      <c r="I895" s="800"/>
      <c r="J895" s="812"/>
      <c r="K895" s="848" t="s">
        <v>3481</v>
      </c>
      <c r="L895" s="806" t="s">
        <v>10137</v>
      </c>
      <c r="M895" s="806" t="s">
        <v>2763</v>
      </c>
      <c r="N895" s="854">
        <v>46018.0</v>
      </c>
      <c r="O895" s="803"/>
    </row>
    <row r="896" ht="15.0" customHeight="1">
      <c r="A896" s="786">
        <v>45966.0</v>
      </c>
      <c r="B896" s="787">
        <v>2511184.0</v>
      </c>
      <c r="C896" s="788" t="s">
        <v>10136</v>
      </c>
      <c r="D896" s="851" t="s">
        <v>4644</v>
      </c>
      <c r="E896" s="790" t="str">
        <f>IFERROR(VLOOKUP(D896,Stock,3,FALSE),"")</f>
        <v>Toyota Raize / Daihatsu Rocky 20-</v>
      </c>
      <c r="F896" s="788">
        <v>1.0</v>
      </c>
      <c r="G896" s="860">
        <v>659450.0</v>
      </c>
      <c r="H896" s="799">
        <f t="shared" si="7"/>
        <v>659450</v>
      </c>
      <c r="I896" s="800"/>
      <c r="J896" s="812"/>
      <c r="K896" s="848" t="s">
        <v>3481</v>
      </c>
      <c r="L896" s="806" t="s">
        <v>10137</v>
      </c>
      <c r="M896" s="806" t="s">
        <v>2763</v>
      </c>
      <c r="N896" s="854">
        <v>46018.0</v>
      </c>
      <c r="O896" s="803"/>
    </row>
    <row r="897" ht="15.0" customHeight="1">
      <c r="A897" s="786">
        <v>45966.0</v>
      </c>
      <c r="B897" s="787">
        <v>2511184.0</v>
      </c>
      <c r="C897" s="788" t="s">
        <v>10136</v>
      </c>
      <c r="D897" s="851" t="s">
        <v>3230</v>
      </c>
      <c r="E897" s="790" t="str">
        <f>IFERROR(VLOOKUP(D897,Stock,3,FALSE),"")</f>
        <v>Toyota LandCruiser 07- FJ200</v>
      </c>
      <c r="F897" s="788">
        <v>1.0</v>
      </c>
      <c r="G897" s="860">
        <v>1694000.0</v>
      </c>
      <c r="H897" s="799">
        <f t="shared" si="7"/>
        <v>1694000</v>
      </c>
      <c r="I897" s="800"/>
      <c r="J897" s="812"/>
      <c r="K897" s="848" t="s">
        <v>3481</v>
      </c>
      <c r="L897" s="806" t="s">
        <v>10137</v>
      </c>
      <c r="M897" s="806" t="s">
        <v>2763</v>
      </c>
      <c r="N897" s="854">
        <v>46018.0</v>
      </c>
      <c r="O897" s="803"/>
    </row>
    <row r="898" ht="15.0" customHeight="1">
      <c r="A898" s="786">
        <v>45966.0</v>
      </c>
      <c r="B898" s="787">
        <v>2511184.0</v>
      </c>
      <c r="C898" s="788" t="s">
        <v>10136</v>
      </c>
      <c r="D898" s="851" t="s">
        <v>5160</v>
      </c>
      <c r="E898" s="790" t="str">
        <f>IFERROR(VLOOKUP(D898,Stock,3,FALSE),"")</f>
        <v>Honda City 14-18 GM6</v>
      </c>
      <c r="F898" s="788">
        <v>1.0</v>
      </c>
      <c r="G898" s="860">
        <v>970750.0</v>
      </c>
      <c r="H898" s="799">
        <f t="shared" si="7"/>
        <v>970750</v>
      </c>
      <c r="I898" s="800"/>
      <c r="J898" s="812"/>
      <c r="K898" s="848" t="s">
        <v>3481</v>
      </c>
      <c r="L898" s="806" t="s">
        <v>10137</v>
      </c>
      <c r="M898" s="806" t="s">
        <v>2763</v>
      </c>
      <c r="N898" s="854">
        <v>46018.0</v>
      </c>
      <c r="O898" s="803"/>
    </row>
    <row r="899" ht="15.0" customHeight="1">
      <c r="A899" s="786">
        <v>45967.0</v>
      </c>
      <c r="B899" s="856" t="s">
        <v>10500</v>
      </c>
      <c r="C899" s="788" t="s">
        <v>10139</v>
      </c>
      <c r="D899" s="851" t="s">
        <v>6025</v>
      </c>
      <c r="E899" s="790" t="str">
        <f>IFERROR(VLOOKUP(D899,Stock,3,FALSE),"")</f>
        <v>Honda City 02-08 4th Gen Idsi GD8</v>
      </c>
      <c r="F899" s="788">
        <v>1.0</v>
      </c>
      <c r="G899" s="860">
        <v>1127925.0</v>
      </c>
      <c r="H899" s="799">
        <f t="shared" si="7"/>
        <v>1127925</v>
      </c>
      <c r="I899" s="800"/>
      <c r="J899" s="812"/>
      <c r="K899" s="848" t="s">
        <v>10242</v>
      </c>
      <c r="L899" s="806" t="s">
        <v>10137</v>
      </c>
      <c r="M899" s="806" t="s">
        <v>2763</v>
      </c>
      <c r="N899" s="837">
        <v>45967.0</v>
      </c>
      <c r="O899" s="803"/>
    </row>
    <row r="900" ht="15.0" customHeight="1">
      <c r="A900" s="786">
        <v>45967.0</v>
      </c>
      <c r="B900" s="856" t="s">
        <v>10500</v>
      </c>
      <c r="C900" s="788" t="s">
        <v>10139</v>
      </c>
      <c r="D900" s="295" t="s">
        <v>5995</v>
      </c>
      <c r="E900" s="790" t="str">
        <f>IFERROR(VLOOKUP(D900,Stock,3,FALSE),"")</f>
        <v>Suzuki Ertiga 18- 2nd Gen (ORI MULIA) / XL7</v>
      </c>
      <c r="F900" s="788">
        <v>1.0</v>
      </c>
      <c r="G900" s="860">
        <v>180000.0</v>
      </c>
      <c r="H900" s="799">
        <f t="shared" si="7"/>
        <v>180000</v>
      </c>
      <c r="I900" s="800"/>
      <c r="J900" s="812"/>
      <c r="K900" s="848" t="s">
        <v>10242</v>
      </c>
      <c r="L900" s="806" t="s">
        <v>10137</v>
      </c>
      <c r="M900" s="806" t="s">
        <v>2763</v>
      </c>
      <c r="N900" s="837">
        <v>45967.0</v>
      </c>
      <c r="O900" s="803"/>
    </row>
    <row r="901" ht="15.0" customHeight="1">
      <c r="A901" s="786">
        <v>45967.0</v>
      </c>
      <c r="B901" s="787">
        <v>2511230.0</v>
      </c>
      <c r="C901" s="788" t="s">
        <v>10136</v>
      </c>
      <c r="D901" s="851" t="s">
        <v>3193</v>
      </c>
      <c r="E901" s="790" t="str">
        <f>IFERROR(VLOOKUP(D901,Stock,3,FALSE),"")</f>
        <v>Toyota Avanza / Xenia 11-15 2nd Gen</v>
      </c>
      <c r="F901" s="788">
        <v>1.0</v>
      </c>
      <c r="G901" s="860">
        <v>416900.0</v>
      </c>
      <c r="H901" s="799">
        <f t="shared" si="7"/>
        <v>416900</v>
      </c>
      <c r="I901" s="800"/>
      <c r="J901" s="812"/>
      <c r="K901" s="848" t="s">
        <v>10242</v>
      </c>
      <c r="L901" s="806" t="s">
        <v>10137</v>
      </c>
      <c r="M901" s="806" t="s">
        <v>2763</v>
      </c>
      <c r="N901" s="854">
        <v>46018.0</v>
      </c>
      <c r="O901" s="803"/>
    </row>
    <row r="902" ht="15.0" customHeight="1">
      <c r="A902" s="786">
        <v>45967.0</v>
      </c>
      <c r="B902" s="787">
        <v>2511230.0</v>
      </c>
      <c r="C902" s="788" t="s">
        <v>10136</v>
      </c>
      <c r="D902" s="851" t="s">
        <v>3234</v>
      </c>
      <c r="E902" s="790" t="str">
        <f>IFERROR(VLOOKUP(D902,Stock,3,FALSE),"")</f>
        <v>Toyota Avanza / Xenia 21- 4th Gen (Non sensor)</v>
      </c>
      <c r="F902" s="788">
        <v>2.0</v>
      </c>
      <c r="G902" s="860">
        <v>654500.0</v>
      </c>
      <c r="H902" s="799">
        <f t="shared" si="7"/>
        <v>1309000</v>
      </c>
      <c r="I902" s="800"/>
      <c r="J902" s="812"/>
      <c r="K902" s="848" t="s">
        <v>10242</v>
      </c>
      <c r="L902" s="806" t="s">
        <v>10137</v>
      </c>
      <c r="M902" s="806" t="s">
        <v>2763</v>
      </c>
      <c r="N902" s="854">
        <v>46018.0</v>
      </c>
      <c r="O902" s="803"/>
    </row>
    <row r="903" ht="15.0" customHeight="1">
      <c r="A903" s="786">
        <v>45968.0</v>
      </c>
      <c r="B903" s="856" t="s">
        <v>10501</v>
      </c>
      <c r="C903" s="788" t="s">
        <v>10139</v>
      </c>
      <c r="D903" s="851" t="s">
        <v>6005</v>
      </c>
      <c r="E903" s="790" t="str">
        <f>IFERROR(VLOOKUP(D903,Stock,3,FALSE),"")</f>
        <v>Mitsubishi Xpander 17- / Livina 19- 2nd Gen</v>
      </c>
      <c r="F903" s="788">
        <v>1.0</v>
      </c>
      <c r="G903" s="860">
        <v>215000.0</v>
      </c>
      <c r="H903" s="799">
        <f t="shared" si="7"/>
        <v>215000</v>
      </c>
      <c r="I903" s="800"/>
      <c r="J903" s="812"/>
      <c r="K903" s="848" t="s">
        <v>10242</v>
      </c>
      <c r="L903" s="806" t="s">
        <v>10137</v>
      </c>
      <c r="M903" s="806" t="s">
        <v>10502</v>
      </c>
      <c r="N903" s="837">
        <v>45968.0</v>
      </c>
      <c r="O903" s="803"/>
    </row>
    <row r="904" ht="15.0" customHeight="1">
      <c r="A904" s="786">
        <v>45968.0</v>
      </c>
      <c r="B904" s="787">
        <v>2511241.0</v>
      </c>
      <c r="C904" s="788" t="s">
        <v>10136</v>
      </c>
      <c r="D904" s="851" t="s">
        <v>6009</v>
      </c>
      <c r="E904" s="790" t="str">
        <f>IFERROR(VLOOKUP(D904,Stock,3,FALSE),"")</f>
        <v>Mers-Benz C-Class 07-14 W204 (1 Sensor/ □)</v>
      </c>
      <c r="F904" s="788">
        <v>1.0</v>
      </c>
      <c r="G904" s="860">
        <v>1799600.0</v>
      </c>
      <c r="H904" s="799">
        <f t="shared" si="7"/>
        <v>1799600</v>
      </c>
      <c r="I904" s="800"/>
      <c r="J904" s="812"/>
      <c r="K904" s="848" t="s">
        <v>10242</v>
      </c>
      <c r="L904" s="806" t="s">
        <v>10137</v>
      </c>
      <c r="M904" s="806" t="s">
        <v>2763</v>
      </c>
      <c r="N904" s="854">
        <v>46018.0</v>
      </c>
      <c r="O904" s="803"/>
    </row>
    <row r="905" ht="15.0" customHeight="1">
      <c r="A905" s="786">
        <v>45968.0</v>
      </c>
      <c r="B905" s="856" t="s">
        <v>10503</v>
      </c>
      <c r="C905" s="788" t="s">
        <v>10139</v>
      </c>
      <c r="D905" s="851" t="s">
        <v>3891</v>
      </c>
      <c r="E905" s="790" t="str">
        <f>IFERROR(VLOOKUP(D905,Stock,3,FALSE),"")</f>
        <v>Toyota Rush / Terios 06-17</v>
      </c>
      <c r="F905" s="788">
        <v>1.0</v>
      </c>
      <c r="G905" s="860">
        <v>475875.0</v>
      </c>
      <c r="H905" s="799">
        <f t="shared" si="7"/>
        <v>475875</v>
      </c>
      <c r="I905" s="800"/>
      <c r="J905" s="812"/>
      <c r="K905" s="848" t="s">
        <v>10242</v>
      </c>
      <c r="L905" s="806" t="s">
        <v>10137</v>
      </c>
      <c r="M905" s="806" t="s">
        <v>10502</v>
      </c>
      <c r="N905" s="837">
        <v>45968.0</v>
      </c>
      <c r="O905" s="803"/>
    </row>
    <row r="906" ht="15.0" customHeight="1">
      <c r="A906" s="786">
        <v>45969.0</v>
      </c>
      <c r="B906" s="856" t="s">
        <v>10504</v>
      </c>
      <c r="C906" s="788" t="s">
        <v>10139</v>
      </c>
      <c r="D906" s="851" t="s">
        <v>2995</v>
      </c>
      <c r="E906" s="790" t="str">
        <f>IFERROR(VLOOKUP(D906,Stock,3,FALSE),"")</f>
        <v>Honda CR-V 02-04 2nd Gen (Spion Jepit)</v>
      </c>
      <c r="F906" s="788">
        <v>1.0</v>
      </c>
      <c r="G906" s="860">
        <v>1000350.0</v>
      </c>
      <c r="H906" s="799">
        <f t="shared" si="7"/>
        <v>1000350</v>
      </c>
      <c r="I906" s="800"/>
      <c r="J906" s="812"/>
      <c r="K906" s="848" t="s">
        <v>10242</v>
      </c>
      <c r="L906" s="806" t="s">
        <v>10137</v>
      </c>
      <c r="M906" s="806" t="s">
        <v>10502</v>
      </c>
      <c r="N906" s="837">
        <v>45969.0</v>
      </c>
      <c r="O906" s="803"/>
    </row>
    <row r="907" ht="15.0" customHeight="1">
      <c r="A907" s="786">
        <v>45874.0</v>
      </c>
      <c r="B907" s="787" t="s">
        <v>10505</v>
      </c>
      <c r="C907" s="788" t="s">
        <v>3713</v>
      </c>
      <c r="D907" s="851" t="s">
        <v>4214</v>
      </c>
      <c r="E907" s="790" t="str">
        <f>IFERROR(VLOOKUP(D907,Stock,3,FALSE),"")</f>
        <v>Hyundai Palisade 22-25 (1 Sensor /\ pendek)</v>
      </c>
      <c r="F907" s="788">
        <v>1.0</v>
      </c>
      <c r="G907" s="860"/>
      <c r="H907" s="799">
        <f t="shared" si="7"/>
        <v>0</v>
      </c>
      <c r="I907" s="800"/>
      <c r="J907" s="812"/>
      <c r="K907" s="848" t="s">
        <v>3810</v>
      </c>
      <c r="L907" s="803"/>
      <c r="M907" s="803"/>
      <c r="N907" s="803"/>
      <c r="O907" s="803"/>
    </row>
    <row r="908" ht="15.0" customHeight="1">
      <c r="A908" s="786">
        <v>45971.0</v>
      </c>
      <c r="B908" s="787">
        <v>2511298.0</v>
      </c>
      <c r="C908" s="788" t="s">
        <v>10136</v>
      </c>
      <c r="D908" s="851" t="s">
        <v>4740</v>
      </c>
      <c r="E908" s="790" t="str">
        <f>IFERROR(VLOOKUP(D908,Stock,3,FALSE),"")</f>
        <v>Nissan X-Trail 13- T32 (1 Sensor)</v>
      </c>
      <c r="F908" s="788">
        <v>1.0</v>
      </c>
      <c r="G908" s="860">
        <v>1170950.0</v>
      </c>
      <c r="H908" s="799">
        <f t="shared" si="7"/>
        <v>1170950</v>
      </c>
      <c r="I908" s="800"/>
      <c r="J908" s="812"/>
      <c r="K908" s="848" t="s">
        <v>10242</v>
      </c>
      <c r="L908" s="806" t="s">
        <v>10137</v>
      </c>
      <c r="M908" s="806" t="s">
        <v>2763</v>
      </c>
      <c r="N908" s="837">
        <v>46028.0</v>
      </c>
      <c r="O908" s="803"/>
    </row>
    <row r="909" ht="15.0" customHeight="1">
      <c r="A909" s="786">
        <v>45971.0</v>
      </c>
      <c r="B909" s="787">
        <v>2511298.0</v>
      </c>
      <c r="C909" s="788" t="s">
        <v>10136</v>
      </c>
      <c r="D909" s="851" t="s">
        <v>3795</v>
      </c>
      <c r="E909" s="790" t="str">
        <f>IFERROR(VLOOKUP(D909,Stock,3,FALSE),"")</f>
        <v>Toyota Agya/Ayla 23- 2nd Gen</v>
      </c>
      <c r="F909" s="788">
        <v>1.0</v>
      </c>
      <c r="G909" s="860">
        <v>522500.0</v>
      </c>
      <c r="H909" s="799">
        <f t="shared" si="7"/>
        <v>522500</v>
      </c>
      <c r="I909" s="800"/>
      <c r="J909" s="812"/>
      <c r="K909" s="848" t="s">
        <v>10242</v>
      </c>
      <c r="L909" s="806" t="s">
        <v>10137</v>
      </c>
      <c r="M909" s="806" t="s">
        <v>2763</v>
      </c>
      <c r="N909" s="837">
        <v>46028.0</v>
      </c>
      <c r="O909" s="803"/>
    </row>
    <row r="910" ht="15.0" customHeight="1">
      <c r="A910" s="786">
        <v>45971.0</v>
      </c>
      <c r="B910" s="787">
        <v>2511298.0</v>
      </c>
      <c r="C910" s="788" t="s">
        <v>10136</v>
      </c>
      <c r="D910" s="851" t="s">
        <v>4144</v>
      </c>
      <c r="E910" s="790" t="str">
        <f>IFERROR(VLOOKUP(D910,Stock,3,FALSE),"")</f>
        <v>Toyota Rush / Terios 06-17</v>
      </c>
      <c r="F910" s="788">
        <v>2.0</v>
      </c>
      <c r="G910" s="860">
        <v>576400.0</v>
      </c>
      <c r="H910" s="799">
        <f t="shared" si="7"/>
        <v>1152800</v>
      </c>
      <c r="I910" s="800"/>
      <c r="J910" s="812"/>
      <c r="K910" s="848" t="s">
        <v>10242</v>
      </c>
      <c r="L910" s="806" t="s">
        <v>10137</v>
      </c>
      <c r="M910" s="806" t="s">
        <v>2763</v>
      </c>
      <c r="N910" s="837">
        <v>46028.0</v>
      </c>
      <c r="O910" s="803"/>
    </row>
    <row r="911" ht="15.0" customHeight="1">
      <c r="A911" s="786">
        <v>45971.0</v>
      </c>
      <c r="B911" s="787">
        <v>2511298.0</v>
      </c>
      <c r="C911" s="788" t="s">
        <v>10136</v>
      </c>
      <c r="D911" s="851" t="s">
        <v>3225</v>
      </c>
      <c r="E911" s="790" t="str">
        <f>IFERROR(VLOOKUP(D911,Stock,3,FALSE),"")</f>
        <v>Toyota Rush / Terios 18-</v>
      </c>
      <c r="F911" s="788">
        <v>1.0</v>
      </c>
      <c r="G911" s="860">
        <v>528000.0</v>
      </c>
      <c r="H911" s="799">
        <f t="shared" si="7"/>
        <v>528000</v>
      </c>
      <c r="I911" s="800"/>
      <c r="J911" s="812"/>
      <c r="K911" s="848" t="s">
        <v>10242</v>
      </c>
      <c r="L911" s="806" t="s">
        <v>10137</v>
      </c>
      <c r="M911" s="806" t="s">
        <v>2763</v>
      </c>
      <c r="N911" s="837">
        <v>46028.0</v>
      </c>
      <c r="O911" s="803"/>
    </row>
    <row r="912" ht="15.0" customHeight="1">
      <c r="A912" s="786">
        <v>45972.0</v>
      </c>
      <c r="B912" s="856" t="s">
        <v>10506</v>
      </c>
      <c r="C912" s="788" t="s">
        <v>10139</v>
      </c>
      <c r="D912" s="851" t="s">
        <v>6079</v>
      </c>
      <c r="E912" s="790" t="str">
        <f>IFERROR(VLOOKUP(D912,Stock,3,FALSE),"")</f>
        <v>Toyota Calya / Sigra 16-</v>
      </c>
      <c r="F912" s="788">
        <v>20.0</v>
      </c>
      <c r="G912" s="860">
        <v>63492.0</v>
      </c>
      <c r="H912" s="799">
        <f t="shared" si="7"/>
        <v>1269840</v>
      </c>
      <c r="I912" s="800"/>
      <c r="J912" s="812"/>
      <c r="K912" s="848" t="s">
        <v>10242</v>
      </c>
      <c r="L912" s="806" t="s">
        <v>10137</v>
      </c>
      <c r="M912" s="806" t="s">
        <v>2763</v>
      </c>
      <c r="N912" s="837">
        <v>45996.0</v>
      </c>
      <c r="O912" s="803"/>
    </row>
    <row r="913" ht="15.0" customHeight="1">
      <c r="A913" s="786">
        <v>45972.0</v>
      </c>
      <c r="B913" s="856" t="s">
        <v>10506</v>
      </c>
      <c r="C913" s="788" t="s">
        <v>10139</v>
      </c>
      <c r="D913" s="851" t="s">
        <v>6078</v>
      </c>
      <c r="E913" s="790" t="str">
        <f>IFERROR(VLOOKUP(D913,Stock,3,FALSE),"")</f>
        <v>Toyota Calya / Sigra 16-</v>
      </c>
      <c r="F913" s="788">
        <v>20.0</v>
      </c>
      <c r="G913" s="860">
        <v>63492.0</v>
      </c>
      <c r="H913" s="799">
        <f t="shared" si="7"/>
        <v>1269840</v>
      </c>
      <c r="I913" s="800"/>
      <c r="J913" s="812"/>
      <c r="K913" s="848" t="s">
        <v>10242</v>
      </c>
      <c r="L913" s="806" t="s">
        <v>10137</v>
      </c>
      <c r="M913" s="806" t="s">
        <v>2763</v>
      </c>
      <c r="N913" s="837">
        <v>45996.0</v>
      </c>
      <c r="O913" s="803"/>
    </row>
    <row r="914" ht="15.0" customHeight="1">
      <c r="A914" s="786">
        <v>45972.0</v>
      </c>
      <c r="B914" s="787">
        <v>2511364.0</v>
      </c>
      <c r="C914" s="788" t="s">
        <v>10136</v>
      </c>
      <c r="D914" s="851" t="s">
        <v>9696</v>
      </c>
      <c r="E914" s="790" t="str">
        <f>IFERROR(VLOOKUP(D914,Stock,3,FALSE),"")</f>
        <v>DFSK Gelora</v>
      </c>
      <c r="F914" s="788">
        <v>1.0</v>
      </c>
      <c r="G914" s="860">
        <v>962500.0</v>
      </c>
      <c r="H914" s="799">
        <f t="shared" si="7"/>
        <v>962500</v>
      </c>
      <c r="I914" s="800"/>
      <c r="J914" s="812"/>
      <c r="K914" s="848" t="s">
        <v>10242</v>
      </c>
      <c r="L914" s="806" t="s">
        <v>10137</v>
      </c>
      <c r="M914" s="806" t="s">
        <v>2763</v>
      </c>
      <c r="N914" s="837">
        <v>46028.0</v>
      </c>
      <c r="O914" s="803"/>
    </row>
    <row r="915" ht="15.0" customHeight="1">
      <c r="A915" s="786">
        <v>45972.0</v>
      </c>
      <c r="B915" s="787">
        <v>2511364.0</v>
      </c>
      <c r="C915" s="788" t="s">
        <v>10136</v>
      </c>
      <c r="D915" s="851" t="s">
        <v>4001</v>
      </c>
      <c r="E915" s="790" t="str">
        <f>IFERROR(VLOOKUP(D915,Stock,3,FALSE),"")</f>
        <v>Daihatsu Gran Max Minibus/Van</v>
      </c>
      <c r="F915" s="788">
        <v>1.0</v>
      </c>
      <c r="G915" s="860">
        <v>254100.0</v>
      </c>
      <c r="H915" s="799">
        <f t="shared" si="7"/>
        <v>254100</v>
      </c>
      <c r="I915" s="800"/>
      <c r="J915" s="812"/>
      <c r="K915" s="848" t="s">
        <v>10242</v>
      </c>
      <c r="L915" s="806" t="s">
        <v>10137</v>
      </c>
      <c r="M915" s="806" t="s">
        <v>2763</v>
      </c>
      <c r="N915" s="837">
        <v>46028.0</v>
      </c>
      <c r="O915" s="803"/>
    </row>
    <row r="916" ht="15.0" customHeight="1">
      <c r="A916" s="786">
        <v>45972.0</v>
      </c>
      <c r="B916" s="856" t="s">
        <v>10507</v>
      </c>
      <c r="C916" s="788" t="s">
        <v>10139</v>
      </c>
      <c r="D916" s="851" t="s">
        <v>5853</v>
      </c>
      <c r="E916" s="790" t="str">
        <f>IFERROR(VLOOKUP(D916,Stock,3,FALSE),"")</f>
        <v>Wuling Cortez</v>
      </c>
      <c r="F916" s="788">
        <v>1.0</v>
      </c>
      <c r="G916" s="860">
        <v>1206225.0</v>
      </c>
      <c r="H916" s="799">
        <f t="shared" si="7"/>
        <v>1206225</v>
      </c>
      <c r="I916" s="800"/>
      <c r="J916" s="812"/>
      <c r="K916" s="848" t="s">
        <v>10242</v>
      </c>
      <c r="L916" s="806" t="s">
        <v>10137</v>
      </c>
      <c r="M916" s="806" t="s">
        <v>10502</v>
      </c>
      <c r="N916" s="854">
        <v>46337.0</v>
      </c>
      <c r="O916" s="803"/>
    </row>
    <row r="917" ht="15.0" customHeight="1">
      <c r="A917" s="786">
        <v>45972.0</v>
      </c>
      <c r="B917" s="856" t="s">
        <v>10507</v>
      </c>
      <c r="C917" s="788" t="s">
        <v>10139</v>
      </c>
      <c r="D917" s="851" t="s">
        <v>6095</v>
      </c>
      <c r="E917" s="790" t="str">
        <f>IFERROR(VLOOKUP(D917,Stock,3,FALSE),"")</f>
        <v>BMW 3 Series 12-18 F30/F35</v>
      </c>
      <c r="F917" s="788">
        <v>1.0</v>
      </c>
      <c r="G917" s="860">
        <v>1655775.0</v>
      </c>
      <c r="H917" s="799">
        <f t="shared" si="7"/>
        <v>1655775</v>
      </c>
      <c r="I917" s="800"/>
      <c r="J917" s="812"/>
      <c r="K917" s="848" t="s">
        <v>10242</v>
      </c>
      <c r="L917" s="806" t="s">
        <v>10137</v>
      </c>
      <c r="M917" s="806" t="s">
        <v>10502</v>
      </c>
      <c r="N917" s="854">
        <v>46337.0</v>
      </c>
      <c r="O917" s="803"/>
    </row>
    <row r="918" ht="15.0" customHeight="1">
      <c r="A918" s="786">
        <v>45973.0</v>
      </c>
      <c r="B918" s="787" t="s">
        <v>10508</v>
      </c>
      <c r="C918" s="788" t="s">
        <v>79</v>
      </c>
      <c r="D918" s="851" t="s">
        <v>4017</v>
      </c>
      <c r="E918" s="790" t="str">
        <f>IFERROR(VLOOKUP(D918,Stock,3,FALSE),"")</f>
        <v>Black Phantom Solar Gard</v>
      </c>
      <c r="F918" s="788">
        <v>1.0</v>
      </c>
      <c r="G918" s="860">
        <v>1025000.0</v>
      </c>
      <c r="H918" s="799">
        <f t="shared" si="7"/>
        <v>1025000</v>
      </c>
      <c r="I918" s="800"/>
      <c r="J918" s="812"/>
      <c r="K918" s="848" t="s">
        <v>3191</v>
      </c>
      <c r="L918" s="806" t="s">
        <v>10137</v>
      </c>
      <c r="M918" s="806" t="s">
        <v>2763</v>
      </c>
      <c r="N918" s="854">
        <v>46001.0</v>
      </c>
      <c r="O918" s="803"/>
    </row>
    <row r="919" ht="15.0" customHeight="1">
      <c r="A919" s="786">
        <v>45973.0</v>
      </c>
      <c r="B919" s="787">
        <v>2511411.0</v>
      </c>
      <c r="C919" s="788" t="s">
        <v>10136</v>
      </c>
      <c r="D919" s="851" t="s">
        <v>2823</v>
      </c>
      <c r="E919" s="790" t="str">
        <f>IFERROR(VLOOKUP(D919,Stock,3,FALSE),"")</f>
        <v>Honda CR-V 95-01 1st Gen</v>
      </c>
      <c r="F919" s="788">
        <v>1.0</v>
      </c>
      <c r="G919" s="860">
        <v>801900.0</v>
      </c>
      <c r="H919" s="799">
        <f t="shared" si="7"/>
        <v>801900</v>
      </c>
      <c r="I919" s="800"/>
      <c r="J919" s="812"/>
      <c r="K919" s="848" t="s">
        <v>10242</v>
      </c>
      <c r="L919" s="806" t="s">
        <v>10137</v>
      </c>
      <c r="M919" s="806" t="s">
        <v>2763</v>
      </c>
      <c r="N919" s="837">
        <v>46028.0</v>
      </c>
      <c r="O919" s="803"/>
    </row>
    <row r="920" ht="15.0" customHeight="1">
      <c r="A920" s="786">
        <v>45973.0</v>
      </c>
      <c r="B920" s="787">
        <v>2511411.0</v>
      </c>
      <c r="C920" s="788" t="s">
        <v>10136</v>
      </c>
      <c r="D920" s="851" t="s">
        <v>4418</v>
      </c>
      <c r="E920" s="790" t="str">
        <f>IFERROR(VLOOKUP(D920,Stock,3,FALSE),"")</f>
        <v>Isuzu Elf 93- NKR NHR</v>
      </c>
      <c r="F920" s="788">
        <v>1.0</v>
      </c>
      <c r="G920" s="860">
        <v>502700.0</v>
      </c>
      <c r="H920" s="799">
        <f t="shared" si="7"/>
        <v>502700</v>
      </c>
      <c r="I920" s="800"/>
      <c r="J920" s="812"/>
      <c r="K920" s="848" t="s">
        <v>10242</v>
      </c>
      <c r="L920" s="806" t="s">
        <v>10137</v>
      </c>
      <c r="M920" s="806" t="s">
        <v>2763</v>
      </c>
      <c r="N920" s="837">
        <v>46028.0</v>
      </c>
      <c r="O920" s="803"/>
    </row>
    <row r="921" ht="15.0" customHeight="1">
      <c r="A921" s="786">
        <v>45966.0</v>
      </c>
      <c r="B921" s="856" t="s">
        <v>10509</v>
      </c>
      <c r="C921" s="788" t="s">
        <v>10139</v>
      </c>
      <c r="D921" s="851" t="s">
        <v>2792</v>
      </c>
      <c r="E921" s="790" t="str">
        <f>IFERROR(VLOOKUP(D921,Stock,3,FALSE),"")</f>
        <v>Toyota Calya / Sigra 16-</v>
      </c>
      <c r="F921" s="788">
        <v>20.0</v>
      </c>
      <c r="G921" s="860">
        <v>299145.0</v>
      </c>
      <c r="H921" s="799">
        <f t="shared" si="7"/>
        <v>5982900</v>
      </c>
      <c r="I921" s="800"/>
      <c r="J921" s="812"/>
      <c r="K921" s="848" t="s">
        <v>10242</v>
      </c>
      <c r="L921" s="806" t="s">
        <v>10137</v>
      </c>
      <c r="M921" s="806" t="s">
        <v>2763</v>
      </c>
      <c r="N921" s="837">
        <v>45996.0</v>
      </c>
      <c r="O921" s="803"/>
    </row>
    <row r="922" ht="15.0" customHeight="1">
      <c r="A922" s="786">
        <v>45974.0</v>
      </c>
      <c r="B922" s="787">
        <v>2511455.0</v>
      </c>
      <c r="C922" s="788" t="s">
        <v>10136</v>
      </c>
      <c r="D922" s="851" t="s">
        <v>4322</v>
      </c>
      <c r="E922" s="790" t="str">
        <f>IFERROR(VLOOKUP(D922,Stock,3,FALSE),"")</f>
        <v>Nissan Livina 13-18 L11 (Lubang)</v>
      </c>
      <c r="F922" s="788">
        <v>1.0</v>
      </c>
      <c r="G922" s="860">
        <v>525250.0</v>
      </c>
      <c r="H922" s="799">
        <f t="shared" si="7"/>
        <v>525250</v>
      </c>
      <c r="I922" s="800"/>
      <c r="J922" s="812"/>
      <c r="K922" s="848" t="s">
        <v>10242</v>
      </c>
      <c r="L922" s="806" t="s">
        <v>10137</v>
      </c>
      <c r="M922" s="806" t="s">
        <v>2763</v>
      </c>
      <c r="N922" s="837">
        <v>46035.0</v>
      </c>
      <c r="O922" s="803"/>
    </row>
    <row r="923" ht="15.0" customHeight="1">
      <c r="A923" s="786">
        <v>45974.0</v>
      </c>
      <c r="B923" s="787">
        <v>2511463.0</v>
      </c>
      <c r="C923" s="788" t="s">
        <v>10136</v>
      </c>
      <c r="D923" s="851" t="s">
        <v>3126</v>
      </c>
      <c r="E923" s="790" t="str">
        <f>IFERROR(VLOOKUP(D923,Stock,3,FALSE),"")</f>
        <v>Suzuki Carry New 19-</v>
      </c>
      <c r="F923" s="788">
        <v>1.0</v>
      </c>
      <c r="G923" s="860">
        <v>462000.0</v>
      </c>
      <c r="H923" s="799">
        <f t="shared" si="7"/>
        <v>462000</v>
      </c>
      <c r="I923" s="800"/>
      <c r="J923" s="812"/>
      <c r="K923" s="848" t="s">
        <v>10242</v>
      </c>
      <c r="L923" s="806" t="s">
        <v>10137</v>
      </c>
      <c r="M923" s="806" t="s">
        <v>2763</v>
      </c>
      <c r="N923" s="837">
        <v>46035.0</v>
      </c>
      <c r="O923" s="803"/>
    </row>
    <row r="924" ht="15.0" customHeight="1">
      <c r="A924" s="786">
        <v>45974.0</v>
      </c>
      <c r="B924" s="787">
        <v>2511468.0</v>
      </c>
      <c r="C924" s="788" t="s">
        <v>10136</v>
      </c>
      <c r="D924" s="851" t="s">
        <v>4322</v>
      </c>
      <c r="E924" s="790" t="str">
        <f>IFERROR(VLOOKUP(D924,Stock,3,FALSE),"")</f>
        <v>Nissan Livina 13-18 L11 (Lubang)</v>
      </c>
      <c r="F924" s="788">
        <v>1.0</v>
      </c>
      <c r="G924" s="860">
        <v>525250.0</v>
      </c>
      <c r="H924" s="799">
        <f t="shared" si="7"/>
        <v>525250</v>
      </c>
      <c r="I924" s="800"/>
      <c r="J924" s="812"/>
      <c r="K924" s="848" t="s">
        <v>10242</v>
      </c>
      <c r="L924" s="806" t="s">
        <v>10137</v>
      </c>
      <c r="M924" s="806" t="s">
        <v>2763</v>
      </c>
      <c r="N924" s="837">
        <v>46035.0</v>
      </c>
      <c r="O924" s="803"/>
    </row>
    <row r="925" ht="15.0" customHeight="1">
      <c r="A925" s="786">
        <v>45974.0</v>
      </c>
      <c r="B925" s="787">
        <v>2511468.0</v>
      </c>
      <c r="C925" s="788" t="s">
        <v>10136</v>
      </c>
      <c r="D925" s="851" t="s">
        <v>3126</v>
      </c>
      <c r="E925" s="790" t="str">
        <f>IFERROR(VLOOKUP(D925,Stock,3,FALSE),"")</f>
        <v>Suzuki Carry New 19-</v>
      </c>
      <c r="F925" s="788">
        <v>2.0</v>
      </c>
      <c r="G925" s="860">
        <v>462000.0</v>
      </c>
      <c r="H925" s="799">
        <f t="shared" si="7"/>
        <v>924000</v>
      </c>
      <c r="I925" s="800"/>
      <c r="J925" s="812"/>
      <c r="K925" s="848" t="s">
        <v>10242</v>
      </c>
      <c r="L925" s="806" t="s">
        <v>10137</v>
      </c>
      <c r="M925" s="806" t="s">
        <v>2763</v>
      </c>
      <c r="N925" s="837">
        <v>46035.0</v>
      </c>
      <c r="O925" s="803"/>
    </row>
    <row r="926" ht="15.0" customHeight="1">
      <c r="A926" s="786">
        <v>45974.0</v>
      </c>
      <c r="B926" s="787">
        <v>2511468.0</v>
      </c>
      <c r="C926" s="788" t="s">
        <v>10136</v>
      </c>
      <c r="D926" s="851" t="s">
        <v>5548</v>
      </c>
      <c r="E926" s="790" t="str">
        <f>IFERROR(VLOOKUP(D926,Stock,3,FALSE),"")</f>
        <v>Toyota Innova 15- 2nd Gen</v>
      </c>
      <c r="F926" s="788">
        <v>1.0</v>
      </c>
      <c r="G926" s="860">
        <v>553850.0</v>
      </c>
      <c r="H926" s="799">
        <f t="shared" si="7"/>
        <v>553850</v>
      </c>
      <c r="I926" s="800"/>
      <c r="J926" s="812"/>
      <c r="K926" s="848" t="s">
        <v>10242</v>
      </c>
      <c r="L926" s="806" t="s">
        <v>10137</v>
      </c>
      <c r="M926" s="806" t="s">
        <v>2763</v>
      </c>
      <c r="N926" s="837">
        <v>46035.0</v>
      </c>
      <c r="O926" s="803"/>
    </row>
    <row r="927" ht="15.0" customHeight="1">
      <c r="A927" s="786">
        <v>45974.0</v>
      </c>
      <c r="B927" s="787">
        <v>2511468.0</v>
      </c>
      <c r="C927" s="788" t="s">
        <v>10136</v>
      </c>
      <c r="D927" s="851" t="s">
        <v>2869</v>
      </c>
      <c r="E927" s="790" t="str">
        <f>IFERROR(VLOOKUP(D927,Stock,3,FALSE),"")</f>
        <v>Daihatsu Gran Max / Luxio 07-</v>
      </c>
      <c r="F927" s="788">
        <v>2.0</v>
      </c>
      <c r="G927" s="860">
        <v>470250.0</v>
      </c>
      <c r="H927" s="799">
        <f t="shared" si="7"/>
        <v>940500</v>
      </c>
      <c r="I927" s="800"/>
      <c r="J927" s="812"/>
      <c r="K927" s="848" t="s">
        <v>10242</v>
      </c>
      <c r="L927" s="806" t="s">
        <v>10137</v>
      </c>
      <c r="M927" s="806" t="s">
        <v>2763</v>
      </c>
      <c r="N927" s="837">
        <v>46035.0</v>
      </c>
      <c r="O927" s="803"/>
    </row>
    <row r="928" ht="15.0" customHeight="1">
      <c r="A928" s="786">
        <v>45974.0</v>
      </c>
      <c r="B928" s="856" t="s">
        <v>10510</v>
      </c>
      <c r="C928" s="788" t="s">
        <v>10139</v>
      </c>
      <c r="D928" s="851" t="s">
        <v>2948</v>
      </c>
      <c r="E928" s="790" t="str">
        <f>IFERROR(VLOOKUP(D928,Stock,3,FALSE),"")</f>
        <v>Nissan March 10- K13</v>
      </c>
      <c r="F928" s="788">
        <v>1.0</v>
      </c>
      <c r="G928" s="860">
        <v>771525.0</v>
      </c>
      <c r="H928" s="799">
        <f t="shared" si="7"/>
        <v>771525</v>
      </c>
      <c r="I928" s="800"/>
      <c r="J928" s="812"/>
      <c r="K928" s="848" t="s">
        <v>10242</v>
      </c>
      <c r="L928" s="806" t="s">
        <v>10137</v>
      </c>
      <c r="M928" s="806" t="s">
        <v>10502</v>
      </c>
      <c r="N928" s="837">
        <v>45975.0</v>
      </c>
      <c r="O928" s="803"/>
    </row>
    <row r="929" ht="15.0" customHeight="1">
      <c r="A929" s="786">
        <v>45975.0</v>
      </c>
      <c r="B929" s="856" t="s">
        <v>10511</v>
      </c>
      <c r="C929" s="788" t="s">
        <v>10139</v>
      </c>
      <c r="D929" s="851" t="s">
        <v>6160</v>
      </c>
      <c r="E929" s="790" t="str">
        <f>IFERROR(VLOOKUP(D929,Stock,3,FALSE),"")</f>
        <v>Toyota Innova 04-15 1st Gen</v>
      </c>
      <c r="F929" s="788">
        <v>1.0</v>
      </c>
      <c r="G929" s="860">
        <v>450000.0</v>
      </c>
      <c r="H929" s="799">
        <f t="shared" si="7"/>
        <v>450000</v>
      </c>
      <c r="I929" s="800"/>
      <c r="J929" s="812"/>
      <c r="K929" s="848" t="s">
        <v>10242</v>
      </c>
      <c r="L929" s="806" t="s">
        <v>10137</v>
      </c>
      <c r="M929" s="806" t="s">
        <v>10502</v>
      </c>
      <c r="N929" s="837">
        <v>45975.0</v>
      </c>
      <c r="O929" s="803"/>
    </row>
    <row r="930" ht="15.0" customHeight="1">
      <c r="A930" s="786">
        <v>45974.0</v>
      </c>
      <c r="B930" s="787">
        <v>2511478.0</v>
      </c>
      <c r="C930" s="788" t="s">
        <v>10136</v>
      </c>
      <c r="D930" s="851" t="s">
        <v>5216</v>
      </c>
      <c r="E930" s="790" t="str">
        <f>IFERROR(VLOOKUP(D930,Stock,3,FALSE),"")</f>
        <v>Honda Jazz 13- 3rd Gen</v>
      </c>
      <c r="F930" s="788">
        <v>1.0</v>
      </c>
      <c r="G930" s="860">
        <v>551650.0</v>
      </c>
      <c r="H930" s="799">
        <f t="shared" si="7"/>
        <v>551650</v>
      </c>
      <c r="I930" s="800"/>
      <c r="J930" s="812"/>
      <c r="K930" s="848" t="s">
        <v>10242</v>
      </c>
      <c r="L930" s="806" t="s">
        <v>10137</v>
      </c>
      <c r="M930" s="806" t="s">
        <v>2763</v>
      </c>
      <c r="N930" s="837">
        <v>46035.0</v>
      </c>
      <c r="O930" s="803"/>
    </row>
    <row r="931" ht="15.0" customHeight="1">
      <c r="A931" s="786">
        <v>45974.0</v>
      </c>
      <c r="B931" s="787">
        <v>2511478.0</v>
      </c>
      <c r="C931" s="788" t="s">
        <v>10136</v>
      </c>
      <c r="D931" s="851" t="s">
        <v>6235</v>
      </c>
      <c r="E931" s="790" t="str">
        <f>IFERROR(VLOOKUP(D931,Stock,3,FALSE),"")</f>
        <v>Mazda CX-3 15-</v>
      </c>
      <c r="F931" s="788">
        <v>1.0</v>
      </c>
      <c r="G931" s="860">
        <v>1320000.0</v>
      </c>
      <c r="H931" s="799">
        <f t="shared" si="7"/>
        <v>1320000</v>
      </c>
      <c r="I931" s="800"/>
      <c r="J931" s="812"/>
      <c r="K931" s="848" t="s">
        <v>10242</v>
      </c>
      <c r="L931" s="806" t="s">
        <v>10137</v>
      </c>
      <c r="M931" s="806" t="s">
        <v>2763</v>
      </c>
      <c r="N931" s="837">
        <v>46035.0</v>
      </c>
      <c r="O931" s="803"/>
    </row>
    <row r="932" ht="15.0" customHeight="1">
      <c r="A932" s="786">
        <v>45974.0</v>
      </c>
      <c r="B932" s="787">
        <v>2511478.0</v>
      </c>
      <c r="C932" s="788" t="s">
        <v>10136</v>
      </c>
      <c r="D932" s="851" t="s">
        <v>4327</v>
      </c>
      <c r="E932" s="790" t="str">
        <f>IFERROR(VLOOKUP(D932,Stock,3,FALSE),"")</f>
        <v>Isuzu Giga Long (PS240,285) FVR34 (Lebar 215cm)</v>
      </c>
      <c r="F932" s="788">
        <v>1.0</v>
      </c>
      <c r="G932" s="860">
        <v>1043900.0</v>
      </c>
      <c r="H932" s="799">
        <f t="shared" si="7"/>
        <v>1043900</v>
      </c>
      <c r="I932" s="800"/>
      <c r="J932" s="812"/>
      <c r="K932" s="848" t="s">
        <v>10242</v>
      </c>
      <c r="L932" s="806" t="s">
        <v>10137</v>
      </c>
      <c r="M932" s="806" t="s">
        <v>2763</v>
      </c>
      <c r="N932" s="837">
        <v>46035.0</v>
      </c>
      <c r="O932" s="803"/>
    </row>
    <row r="933" ht="15.0" customHeight="1">
      <c r="A933" s="786">
        <v>45974.0</v>
      </c>
      <c r="B933" s="787" t="s">
        <v>10512</v>
      </c>
      <c r="C933" s="788" t="s">
        <v>2643</v>
      </c>
      <c r="D933" s="851" t="s">
        <v>3354</v>
      </c>
      <c r="E933" s="790" t="str">
        <f>IFERROR(VLOOKUP(D933,Stock,3,FALSE),"")</f>
        <v>Honda Brio 10- / Mobilio 11- (Honda)</v>
      </c>
      <c r="F933" s="788">
        <v>4.0</v>
      </c>
      <c r="G933" s="860">
        <v>717948.0</v>
      </c>
      <c r="H933" s="799">
        <f t="shared" si="7"/>
        <v>2871792</v>
      </c>
      <c r="I933" s="800"/>
      <c r="J933" s="812"/>
      <c r="K933" s="848" t="s">
        <v>10242</v>
      </c>
      <c r="L933" s="806" t="s">
        <v>10137</v>
      </c>
      <c r="M933" s="806" t="s">
        <v>2763</v>
      </c>
      <c r="N933" s="837">
        <v>46035.0</v>
      </c>
      <c r="O933" s="803"/>
    </row>
    <row r="934" ht="15.0" customHeight="1">
      <c r="A934" s="786">
        <v>45975.0</v>
      </c>
      <c r="B934" s="787">
        <v>2511502.0</v>
      </c>
      <c r="C934" s="788" t="s">
        <v>10136</v>
      </c>
      <c r="D934" s="851" t="s">
        <v>3849</v>
      </c>
      <c r="E934" s="790" t="str">
        <f>IFERROR(VLOOKUP(D934,Stock,3,FALSE),"")</f>
        <v>Toyota Yaris 13- 2nd Gen / Vios 14- 3rd Gen</v>
      </c>
      <c r="F934" s="788">
        <v>1.0</v>
      </c>
      <c r="G934" s="860">
        <v>725450.0</v>
      </c>
      <c r="H934" s="799">
        <f t="shared" si="7"/>
        <v>725450</v>
      </c>
      <c r="I934" s="800"/>
      <c r="J934" s="812"/>
      <c r="K934" s="848" t="s">
        <v>10242</v>
      </c>
      <c r="L934" s="806" t="s">
        <v>10137</v>
      </c>
      <c r="M934" s="806" t="s">
        <v>2763</v>
      </c>
      <c r="N934" s="837">
        <v>46035.0</v>
      </c>
      <c r="O934" s="803"/>
    </row>
    <row r="935" ht="15.0" customHeight="1">
      <c r="A935" s="786">
        <v>45975.0</v>
      </c>
      <c r="B935" s="787">
        <v>2511502.0</v>
      </c>
      <c r="C935" s="788" t="s">
        <v>10136</v>
      </c>
      <c r="D935" s="851" t="s">
        <v>3225</v>
      </c>
      <c r="E935" s="790" t="str">
        <f>IFERROR(VLOOKUP(D935,Stock,3,FALSE),"")</f>
        <v>Toyota Rush / Terios 18-</v>
      </c>
      <c r="F935" s="788">
        <v>2.0</v>
      </c>
      <c r="G935" s="860">
        <v>528000.0</v>
      </c>
      <c r="H935" s="799">
        <f t="shared" si="7"/>
        <v>1056000</v>
      </c>
      <c r="I935" s="800"/>
      <c r="J935" s="812"/>
      <c r="K935" s="848" t="s">
        <v>10242</v>
      </c>
      <c r="L935" s="806" t="s">
        <v>10137</v>
      </c>
      <c r="M935" s="806" t="s">
        <v>2763</v>
      </c>
      <c r="N935" s="837">
        <v>46035.0</v>
      </c>
      <c r="O935" s="803"/>
    </row>
    <row r="936" ht="15.0" customHeight="1">
      <c r="A936" s="786">
        <v>45975.0</v>
      </c>
      <c r="B936" s="787">
        <v>2511502.0</v>
      </c>
      <c r="C936" s="788" t="s">
        <v>10136</v>
      </c>
      <c r="D936" s="851" t="s">
        <v>2944</v>
      </c>
      <c r="E936" s="790" t="str">
        <f>IFERROR(VLOOKUP(D936,Stock,3,FALSE),"")</f>
        <v>Toyota Innova 04-15 1st Gen</v>
      </c>
      <c r="F936" s="788">
        <v>1.0</v>
      </c>
      <c r="G936" s="860">
        <v>613800.0</v>
      </c>
      <c r="H936" s="799">
        <f t="shared" si="7"/>
        <v>613800</v>
      </c>
      <c r="I936" s="800"/>
      <c r="J936" s="812"/>
      <c r="K936" s="848" t="s">
        <v>10242</v>
      </c>
      <c r="L936" s="806" t="s">
        <v>10137</v>
      </c>
      <c r="M936" s="806" t="s">
        <v>2763</v>
      </c>
      <c r="N936" s="837">
        <v>46035.0</v>
      </c>
      <c r="O936" s="803"/>
    </row>
    <row r="937" ht="15.0" customHeight="1">
      <c r="A937" s="786">
        <v>45975.0</v>
      </c>
      <c r="B937" s="787">
        <v>2511502.0</v>
      </c>
      <c r="C937" s="788" t="s">
        <v>10136</v>
      </c>
      <c r="D937" s="851" t="s">
        <v>2952</v>
      </c>
      <c r="E937" s="790" t="str">
        <f>IFERROR(VLOOKUP(D937,Stock,3,FALSE),"")</f>
        <v/>
      </c>
      <c r="F937" s="788">
        <v>1.0</v>
      </c>
      <c r="G937" s="860">
        <v>416900.0</v>
      </c>
      <c r="H937" s="799">
        <f t="shared" si="7"/>
        <v>416900</v>
      </c>
      <c r="I937" s="800"/>
      <c r="J937" s="812"/>
      <c r="K937" s="848" t="s">
        <v>10242</v>
      </c>
      <c r="L937" s="806" t="s">
        <v>10137</v>
      </c>
      <c r="M937" s="806" t="s">
        <v>2763</v>
      </c>
      <c r="N937" s="837">
        <v>46035.0</v>
      </c>
      <c r="O937" s="803"/>
    </row>
    <row r="938" ht="15.0" customHeight="1">
      <c r="A938" s="786">
        <v>45975.0</v>
      </c>
      <c r="B938" s="787">
        <v>2511502.0</v>
      </c>
      <c r="C938" s="788" t="s">
        <v>10136</v>
      </c>
      <c r="D938" s="851" t="s">
        <v>3193</v>
      </c>
      <c r="E938" s="790" t="str">
        <f>IFERROR(VLOOKUP(D938,Stock,3,FALSE),"")</f>
        <v>Toyota Avanza / Xenia 11-15 2nd Gen</v>
      </c>
      <c r="F938" s="788">
        <v>1.0</v>
      </c>
      <c r="G938" s="860">
        <v>416900.0</v>
      </c>
      <c r="H938" s="799">
        <f t="shared" si="7"/>
        <v>416900</v>
      </c>
      <c r="I938" s="800"/>
      <c r="J938" s="812"/>
      <c r="K938" s="848" t="s">
        <v>10242</v>
      </c>
      <c r="L938" s="806" t="s">
        <v>10137</v>
      </c>
      <c r="M938" s="806" t="s">
        <v>2763</v>
      </c>
      <c r="N938" s="837">
        <v>46035.0</v>
      </c>
      <c r="O938" s="803"/>
    </row>
    <row r="939" ht="15.0" customHeight="1">
      <c r="A939" s="786">
        <v>45975.0</v>
      </c>
      <c r="B939" s="787">
        <v>2511502.0</v>
      </c>
      <c r="C939" s="788" t="s">
        <v>10136</v>
      </c>
      <c r="D939" s="851" t="s">
        <v>4144</v>
      </c>
      <c r="E939" s="790" t="str">
        <f>IFERROR(VLOOKUP(D939,Stock,3,FALSE),"")</f>
        <v>Toyota Rush / Terios 06-17</v>
      </c>
      <c r="F939" s="788">
        <v>1.0</v>
      </c>
      <c r="G939" s="860">
        <v>576400.0</v>
      </c>
      <c r="H939" s="799">
        <f t="shared" si="7"/>
        <v>576400</v>
      </c>
      <c r="I939" s="800"/>
      <c r="J939" s="812"/>
      <c r="K939" s="848" t="s">
        <v>10242</v>
      </c>
      <c r="L939" s="806" t="s">
        <v>10137</v>
      </c>
      <c r="M939" s="806" t="s">
        <v>2763</v>
      </c>
      <c r="N939" s="837">
        <v>46035.0</v>
      </c>
      <c r="O939" s="803"/>
    </row>
    <row r="940" ht="15.0" customHeight="1">
      <c r="A940" s="786">
        <v>45976.0</v>
      </c>
      <c r="B940" s="856" t="s">
        <v>10513</v>
      </c>
      <c r="C940" s="788" t="s">
        <v>10139</v>
      </c>
      <c r="D940" s="851" t="s">
        <v>6373</v>
      </c>
      <c r="E940" s="790" t="str">
        <f>IFERROR(VLOOKUP(D940,Stock,3,FALSE),"")</f>
        <v>Honda Accord 08-12 8th Gen</v>
      </c>
      <c r="F940" s="788">
        <v>1.0</v>
      </c>
      <c r="G940" s="860">
        <v>1285875.0</v>
      </c>
      <c r="H940" s="799">
        <f t="shared" si="7"/>
        <v>1285875</v>
      </c>
      <c r="I940" s="800"/>
      <c r="J940" s="812"/>
      <c r="K940" s="848" t="s">
        <v>10242</v>
      </c>
      <c r="L940" s="806" t="s">
        <v>10137</v>
      </c>
      <c r="M940" s="806" t="s">
        <v>10502</v>
      </c>
      <c r="N940" s="837">
        <v>45976.0</v>
      </c>
      <c r="O940" s="803"/>
    </row>
    <row r="941" ht="15.0" customHeight="1">
      <c r="A941" s="786">
        <v>45976.0</v>
      </c>
      <c r="B941" s="856" t="s">
        <v>10514</v>
      </c>
      <c r="C941" s="788" t="s">
        <v>10139</v>
      </c>
      <c r="D941" s="851" t="s">
        <v>3434</v>
      </c>
      <c r="E941" s="790" t="str">
        <f>IFERROR(VLOOKUP(D941,Stock,3,FALSE),"")</f>
        <v>List Kaca Depan Code 04</v>
      </c>
      <c r="F941" s="788">
        <v>10.0</v>
      </c>
      <c r="G941" s="860">
        <v>65000.0</v>
      </c>
      <c r="H941" s="799">
        <f t="shared" si="7"/>
        <v>650000</v>
      </c>
      <c r="I941" s="800"/>
      <c r="J941" s="812"/>
      <c r="K941" s="848" t="s">
        <v>10242</v>
      </c>
      <c r="L941" s="806" t="s">
        <v>10137</v>
      </c>
      <c r="M941" s="806" t="s">
        <v>10502</v>
      </c>
      <c r="N941" s="837">
        <v>45976.0</v>
      </c>
      <c r="O941" s="803"/>
    </row>
    <row r="942" ht="15.0" customHeight="1">
      <c r="A942" s="786">
        <v>45975.0</v>
      </c>
      <c r="B942" s="787" t="s">
        <v>10515</v>
      </c>
      <c r="C942" s="788" t="s">
        <v>2643</v>
      </c>
      <c r="D942" s="851" t="s">
        <v>6187</v>
      </c>
      <c r="E942" s="790" t="str">
        <f>IFERROR(VLOOKUP(D942,Stock,3,FALSE),"")</f>
        <v>Honda Freed 08-16 1st Gen (Honda)</v>
      </c>
      <c r="F942" s="788">
        <v>1.0</v>
      </c>
      <c r="G942" s="860">
        <v>1567764.0</v>
      </c>
      <c r="H942" s="799">
        <f t="shared" si="7"/>
        <v>1567764</v>
      </c>
      <c r="I942" s="800"/>
      <c r="J942" s="812"/>
      <c r="K942" s="848" t="s">
        <v>10242</v>
      </c>
      <c r="L942" s="806" t="s">
        <v>10137</v>
      </c>
      <c r="M942" s="806" t="s">
        <v>2763</v>
      </c>
      <c r="N942" s="837">
        <v>46035.0</v>
      </c>
      <c r="O942" s="803"/>
    </row>
    <row r="943" ht="15.0" customHeight="1">
      <c r="A943" s="786">
        <v>45975.0</v>
      </c>
      <c r="B943" s="787" t="s">
        <v>10516</v>
      </c>
      <c r="C943" s="788" t="s">
        <v>2643</v>
      </c>
      <c r="D943" s="851" t="s">
        <v>4439</v>
      </c>
      <c r="E943" s="790" t="str">
        <f>IFERROR(VLOOKUP(D943,Stock,3,FALSE),"")</f>
        <v>Toyota Innova 04-15 1st Gen (Toyota)</v>
      </c>
      <c r="F943" s="788">
        <v>2.0</v>
      </c>
      <c r="G943" s="860">
        <v>1711199.0</v>
      </c>
      <c r="H943" s="799">
        <f t="shared" si="7"/>
        <v>3422398</v>
      </c>
      <c r="I943" s="800"/>
      <c r="J943" s="812"/>
      <c r="K943" s="848" t="s">
        <v>10242</v>
      </c>
      <c r="L943" s="806" t="s">
        <v>10137</v>
      </c>
      <c r="M943" s="806" t="s">
        <v>2763</v>
      </c>
      <c r="N943" s="837">
        <v>46035.0</v>
      </c>
      <c r="O943" s="803"/>
    </row>
    <row r="944" ht="15.0" customHeight="1">
      <c r="A944" s="786">
        <v>45978.0</v>
      </c>
      <c r="B944" s="787">
        <v>2511578.0</v>
      </c>
      <c r="C944" s="788" t="s">
        <v>10136</v>
      </c>
      <c r="D944" s="851" t="s">
        <v>3205</v>
      </c>
      <c r="E944" s="790" t="str">
        <f>IFERROR(VLOOKUP(D944,Stock,3,FALSE),"")</f>
        <v>Toyota Innova 04-15 1st Gen</v>
      </c>
      <c r="F944" s="788">
        <v>2.0</v>
      </c>
      <c r="G944" s="860">
        <v>562100.0</v>
      </c>
      <c r="H944" s="799">
        <f t="shared" si="7"/>
        <v>1124200</v>
      </c>
      <c r="I944" s="800"/>
      <c r="J944" s="812"/>
      <c r="K944" s="848" t="s">
        <v>10242</v>
      </c>
      <c r="L944" s="806" t="s">
        <v>10137</v>
      </c>
      <c r="M944" s="806" t="s">
        <v>2763</v>
      </c>
      <c r="N944" s="837">
        <v>46035.0</v>
      </c>
      <c r="O944" s="803"/>
    </row>
    <row r="945" ht="15.0" customHeight="1">
      <c r="A945" s="786">
        <v>45978.0</v>
      </c>
      <c r="B945" s="787">
        <v>2511578.0</v>
      </c>
      <c r="C945" s="788" t="s">
        <v>10136</v>
      </c>
      <c r="D945" s="851" t="s">
        <v>6238</v>
      </c>
      <c r="E945" s="790" t="str">
        <f>IFERROR(VLOOKUP(D945,Stock,3,FALSE),"")</f>
        <v>Audi Q7 06-15</v>
      </c>
      <c r="F945" s="788">
        <v>1.0</v>
      </c>
      <c r="G945" s="860">
        <v>5419150.0</v>
      </c>
      <c r="H945" s="799">
        <f t="shared" si="7"/>
        <v>5419150</v>
      </c>
      <c r="I945" s="800"/>
      <c r="J945" s="812"/>
      <c r="K945" s="848" t="s">
        <v>10242</v>
      </c>
      <c r="L945" s="806" t="s">
        <v>10137</v>
      </c>
      <c r="M945" s="806" t="s">
        <v>2763</v>
      </c>
      <c r="N945" s="837">
        <v>46035.0</v>
      </c>
      <c r="O945" s="803"/>
    </row>
    <row r="946" ht="15.0" customHeight="1">
      <c r="A946" s="786">
        <v>45978.0</v>
      </c>
      <c r="B946" s="787">
        <v>2511578.0</v>
      </c>
      <c r="C946" s="788" t="s">
        <v>10136</v>
      </c>
      <c r="D946" s="851" t="s">
        <v>3378</v>
      </c>
      <c r="E946" s="790" t="str">
        <f>IFERROR(VLOOKUP(D946,Stock,3,FALSE),"")</f>
        <v>Suzuki APV 03- Pickup/ Van</v>
      </c>
      <c r="F946" s="788">
        <v>1.0</v>
      </c>
      <c r="G946" s="860">
        <v>491700.0</v>
      </c>
      <c r="H946" s="799">
        <f t="shared" si="7"/>
        <v>491700</v>
      </c>
      <c r="I946" s="800"/>
      <c r="J946" s="812"/>
      <c r="K946" s="848" t="s">
        <v>10242</v>
      </c>
      <c r="L946" s="806" t="s">
        <v>10137</v>
      </c>
      <c r="M946" s="806" t="s">
        <v>2763</v>
      </c>
      <c r="N946" s="837">
        <v>46035.0</v>
      </c>
      <c r="O946" s="803"/>
    </row>
    <row r="947" ht="15.0" customHeight="1">
      <c r="A947" s="786">
        <v>45978.0</v>
      </c>
      <c r="B947" s="787">
        <v>2511578.0</v>
      </c>
      <c r="C947" s="788" t="s">
        <v>10136</v>
      </c>
      <c r="D947" s="851" t="s">
        <v>3130</v>
      </c>
      <c r="E947" s="790" t="str">
        <f>IFERROR(VLOOKUP(D947,Stock,3,FALSE),"")</f>
        <v>Toyota Innova 04-15 1st Gen</v>
      </c>
      <c r="F947" s="788">
        <v>1.0</v>
      </c>
      <c r="G947" s="860">
        <v>600600.0</v>
      </c>
      <c r="H947" s="799">
        <f t="shared" si="7"/>
        <v>600600</v>
      </c>
      <c r="I947" s="800"/>
      <c r="J947" s="812"/>
      <c r="K947" s="848" t="s">
        <v>10242</v>
      </c>
      <c r="L947" s="806" t="s">
        <v>10137</v>
      </c>
      <c r="M947" s="806" t="s">
        <v>2763</v>
      </c>
      <c r="N947" s="837">
        <v>46035.0</v>
      </c>
      <c r="O947" s="803"/>
    </row>
    <row r="948" ht="15.0" customHeight="1">
      <c r="A948" s="786">
        <v>45978.0</v>
      </c>
      <c r="B948" s="787">
        <v>2511578.0</v>
      </c>
      <c r="C948" s="788" t="s">
        <v>10136</v>
      </c>
      <c r="D948" s="851" t="s">
        <v>6237</v>
      </c>
      <c r="E948" s="790" t="str">
        <f>IFERROR(VLOOKUP(D948,Stock,3,FALSE),"")</f>
        <v>Nissan Quester / Cw445 Quon 05-</v>
      </c>
      <c r="F948" s="788">
        <v>1.0</v>
      </c>
      <c r="G948" s="860">
        <v>1192950.0</v>
      </c>
      <c r="H948" s="799">
        <f t="shared" si="7"/>
        <v>1192950</v>
      </c>
      <c r="I948" s="800"/>
      <c r="J948" s="812"/>
      <c r="K948" s="848" t="s">
        <v>10242</v>
      </c>
      <c r="L948" s="806" t="s">
        <v>10137</v>
      </c>
      <c r="M948" s="806" t="s">
        <v>2763</v>
      </c>
      <c r="N948" s="837">
        <v>46035.0</v>
      </c>
      <c r="O948" s="803"/>
    </row>
    <row r="949" ht="15.0" customHeight="1">
      <c r="A949" s="786">
        <v>45978.0</v>
      </c>
      <c r="B949" s="787">
        <v>2511578.0</v>
      </c>
      <c r="C949" s="788" t="s">
        <v>10136</v>
      </c>
      <c r="D949" s="851" t="s">
        <v>5970</v>
      </c>
      <c r="E949" s="790" t="str">
        <f>IFERROR(VLOOKUP(D949,Stock,3,FALSE),"")</f>
        <v>Honda CR-V 12-16 4th Gen</v>
      </c>
      <c r="F949" s="788">
        <v>1.0</v>
      </c>
      <c r="G949" s="860">
        <v>879450.0</v>
      </c>
      <c r="H949" s="799">
        <f t="shared" si="7"/>
        <v>879450</v>
      </c>
      <c r="I949" s="800"/>
      <c r="J949" s="812"/>
      <c r="K949" s="848" t="s">
        <v>10242</v>
      </c>
      <c r="L949" s="806" t="s">
        <v>10137</v>
      </c>
      <c r="M949" s="806" t="s">
        <v>2763</v>
      </c>
      <c r="N949" s="837">
        <v>46035.0</v>
      </c>
      <c r="O949" s="803"/>
    </row>
    <row r="950" ht="15.0" customHeight="1">
      <c r="A950" s="786">
        <v>45976.0</v>
      </c>
      <c r="B950" s="787" t="s">
        <v>10517</v>
      </c>
      <c r="C950" s="788" t="s">
        <v>10148</v>
      </c>
      <c r="D950" s="851" t="s">
        <v>6609</v>
      </c>
      <c r="E950" s="790" t="str">
        <f>IFERROR(VLOOKUP(D950,Stock,3,FALSE),"")</f>
        <v>Suzuki APV 03- Van</v>
      </c>
      <c r="F950" s="788">
        <v>1.0</v>
      </c>
      <c r="G950" s="860"/>
      <c r="H950" s="799">
        <f t="shared" si="7"/>
        <v>0</v>
      </c>
      <c r="I950" s="800"/>
      <c r="J950" s="812"/>
      <c r="K950" s="848" t="s">
        <v>3810</v>
      </c>
      <c r="L950" s="806" t="s">
        <v>10137</v>
      </c>
      <c r="M950" s="806" t="s">
        <v>2763</v>
      </c>
      <c r="N950" s="837">
        <v>46035.0</v>
      </c>
      <c r="O950" s="803"/>
    </row>
    <row r="951" ht="15.0" customHeight="1">
      <c r="A951" s="874">
        <v>45979.0</v>
      </c>
      <c r="B951" s="875" t="s">
        <v>10518</v>
      </c>
      <c r="C951" s="876" t="s">
        <v>10156</v>
      </c>
      <c r="D951" s="877" t="s">
        <v>6244</v>
      </c>
      <c r="E951" s="878" t="str">
        <f>IFERROR(VLOOKUP(D951,Stock,3,FALSE),"")</f>
        <v>Honda BR-V 16-21 (Honda)</v>
      </c>
      <c r="F951" s="876">
        <v>1.0</v>
      </c>
      <c r="G951" s="879">
        <v>575000.0</v>
      </c>
      <c r="H951" s="880">
        <f t="shared" si="7"/>
        <v>575000</v>
      </c>
      <c r="I951" s="881"/>
      <c r="J951" s="882" t="s">
        <v>10519</v>
      </c>
      <c r="K951" s="883" t="s">
        <v>10242</v>
      </c>
    </row>
    <row r="952" ht="15.0" customHeight="1">
      <c r="A952" s="786">
        <v>45980.0</v>
      </c>
      <c r="B952" s="856" t="s">
        <v>10520</v>
      </c>
      <c r="C952" s="788" t="s">
        <v>10139</v>
      </c>
      <c r="D952" s="851" t="s">
        <v>6307</v>
      </c>
      <c r="E952" s="790" t="str">
        <f>IFERROR(VLOOKUP(D952,Stock,3,FALSE),"")</f>
        <v>Kia Rio 11-17 UB Hatchback</v>
      </c>
      <c r="F952" s="788">
        <v>1.0</v>
      </c>
      <c r="G952" s="860">
        <v>1626750.0</v>
      </c>
      <c r="H952" s="799">
        <f t="shared" si="7"/>
        <v>1626750</v>
      </c>
      <c r="I952" s="800"/>
      <c r="J952" s="812"/>
      <c r="K952" s="848" t="s">
        <v>10242</v>
      </c>
      <c r="L952" s="806" t="s">
        <v>10137</v>
      </c>
      <c r="M952" s="806" t="s">
        <v>10502</v>
      </c>
      <c r="N952" s="854">
        <v>46345.0</v>
      </c>
      <c r="O952" s="803"/>
    </row>
    <row r="953" ht="15.0" customHeight="1">
      <c r="A953" s="786">
        <v>45980.0</v>
      </c>
      <c r="B953" s="856" t="s">
        <v>10520</v>
      </c>
      <c r="C953" s="788" t="s">
        <v>10139</v>
      </c>
      <c r="D953" s="851" t="s">
        <v>6249</v>
      </c>
      <c r="E953" s="790" t="str">
        <f>IFERROR(VLOOKUP(D953,Stock,3,FALSE),"")</f>
        <v>Mitsubishi Pajero 08-16</v>
      </c>
      <c r="F953" s="788">
        <v>1.0</v>
      </c>
      <c r="G953" s="860">
        <v>565000.0</v>
      </c>
      <c r="H953" s="799">
        <f t="shared" si="7"/>
        <v>565000</v>
      </c>
      <c r="I953" s="800"/>
      <c r="J953" s="812"/>
      <c r="K953" s="848" t="s">
        <v>10242</v>
      </c>
      <c r="L953" s="806" t="s">
        <v>10137</v>
      </c>
      <c r="M953" s="806" t="s">
        <v>10502</v>
      </c>
      <c r="N953" s="854">
        <v>46345.0</v>
      </c>
      <c r="O953" s="803"/>
    </row>
    <row r="954" ht="15.0" customHeight="1">
      <c r="A954" s="786">
        <v>45979.0</v>
      </c>
      <c r="B954" s="787">
        <v>2511654.0</v>
      </c>
      <c r="C954" s="788" t="s">
        <v>10136</v>
      </c>
      <c r="D954" s="851" t="s">
        <v>2916</v>
      </c>
      <c r="E954" s="790" t="str">
        <f>IFERROR(VLOOKUP(D954,Stock,3,FALSE),"")</f>
        <v>Toyota Alphard 08-15 ANH20 2nd Gen (Hitam)</v>
      </c>
      <c r="F954" s="788">
        <v>1.0</v>
      </c>
      <c r="G954" s="860">
        <v>1399200.0</v>
      </c>
      <c r="H954" s="799">
        <f t="shared" si="7"/>
        <v>1399200</v>
      </c>
      <c r="I954" s="800"/>
      <c r="J954" s="812"/>
      <c r="K954" s="848" t="s">
        <v>10242</v>
      </c>
      <c r="L954" s="806" t="s">
        <v>10137</v>
      </c>
      <c r="M954" s="806" t="s">
        <v>2763</v>
      </c>
      <c r="N954" s="837">
        <v>46035.0</v>
      </c>
      <c r="O954" s="803"/>
    </row>
    <row r="955" ht="15.0" customHeight="1">
      <c r="A955" s="786">
        <v>45980.0</v>
      </c>
      <c r="B955" s="787">
        <v>2511672.0</v>
      </c>
      <c r="C955" s="788" t="s">
        <v>10136</v>
      </c>
      <c r="D955" s="851" t="s">
        <v>3621</v>
      </c>
      <c r="E955" s="790" t="str">
        <f>IFERROR(VLOOKUP(D955,Stock,3,FALSE),"")</f>
        <v>Mitsubishi Pajero 08-16</v>
      </c>
      <c r="F955" s="788">
        <v>1.0</v>
      </c>
      <c r="G955" s="860">
        <v>772750.0</v>
      </c>
      <c r="H955" s="799">
        <f t="shared" si="7"/>
        <v>772750</v>
      </c>
      <c r="I955" s="800"/>
      <c r="J955" s="812"/>
      <c r="K955" s="848" t="s">
        <v>10242</v>
      </c>
      <c r="L955" s="806" t="s">
        <v>10137</v>
      </c>
      <c r="M955" s="806" t="s">
        <v>2763</v>
      </c>
      <c r="N955" s="837">
        <v>46035.0</v>
      </c>
      <c r="O955" s="803"/>
    </row>
    <row r="956" ht="15.0" customHeight="1">
      <c r="A956" s="786">
        <v>45980.0</v>
      </c>
      <c r="B956" s="787">
        <v>2511672.0</v>
      </c>
      <c r="C956" s="788" t="s">
        <v>10136</v>
      </c>
      <c r="D956" s="851" t="s">
        <v>6253</v>
      </c>
      <c r="E956" s="790" t="str">
        <f>IFERROR(VLOOKUP(D956,Stock,3,FALSE),"")</f>
        <v>Toyota Rush / Terios 06-17</v>
      </c>
      <c r="F956" s="788">
        <v>1.0</v>
      </c>
      <c r="G956" s="860">
        <v>350350.0</v>
      </c>
      <c r="H956" s="799">
        <f t="shared" si="7"/>
        <v>350350</v>
      </c>
      <c r="I956" s="800"/>
      <c r="J956" s="812"/>
      <c r="K956" s="848" t="s">
        <v>10242</v>
      </c>
      <c r="L956" s="806" t="s">
        <v>10137</v>
      </c>
      <c r="M956" s="806" t="s">
        <v>2763</v>
      </c>
      <c r="N956" s="837">
        <v>46035.0</v>
      </c>
      <c r="O956" s="803"/>
    </row>
    <row r="957" ht="15.0" customHeight="1">
      <c r="A957" s="786">
        <v>45980.0</v>
      </c>
      <c r="B957" s="787">
        <v>2511672.0</v>
      </c>
      <c r="C957" s="788" t="s">
        <v>10136</v>
      </c>
      <c r="D957" s="851" t="s">
        <v>3806</v>
      </c>
      <c r="E957" s="790" t="str">
        <f>IFERROR(VLOOKUP(D957,Stock,3,FALSE),"")</f>
        <v>Honda CR-V 12-16 4th Gen [Lengkung]</v>
      </c>
      <c r="F957" s="788">
        <v>1.0</v>
      </c>
      <c r="G957" s="860">
        <v>657800.0</v>
      </c>
      <c r="H957" s="799">
        <f t="shared" si="7"/>
        <v>657800</v>
      </c>
      <c r="I957" s="800"/>
      <c r="J957" s="812"/>
      <c r="K957" s="848" t="s">
        <v>10242</v>
      </c>
      <c r="L957" s="806" t="s">
        <v>10137</v>
      </c>
      <c r="M957" s="806" t="s">
        <v>2763</v>
      </c>
      <c r="N957" s="837">
        <v>46035.0</v>
      </c>
      <c r="O957" s="803"/>
    </row>
    <row r="958" ht="15.0" customHeight="1">
      <c r="A958" s="786">
        <v>45980.0</v>
      </c>
      <c r="B958" s="787">
        <v>2511704.0</v>
      </c>
      <c r="C958" s="788" t="s">
        <v>10136</v>
      </c>
      <c r="D958" s="851" t="s">
        <v>6271</v>
      </c>
      <c r="E958" s="790" t="str">
        <f>IFERROR(VLOOKUP(D958,Stock,3,FALSE),"")</f>
        <v>Toyota Hilux Pickup 15- (Revo)</v>
      </c>
      <c r="F958" s="788">
        <v>1.0</v>
      </c>
      <c r="G958" s="860">
        <v>797500.0</v>
      </c>
      <c r="H958" s="799">
        <f t="shared" si="7"/>
        <v>797500</v>
      </c>
      <c r="I958" s="800"/>
      <c r="J958" s="812"/>
      <c r="K958" s="848" t="s">
        <v>10242</v>
      </c>
      <c r="L958" s="806" t="s">
        <v>10137</v>
      </c>
      <c r="M958" s="806" t="s">
        <v>2763</v>
      </c>
      <c r="N958" s="837">
        <v>46035.0</v>
      </c>
      <c r="O958" s="803"/>
    </row>
    <row r="959" ht="15.0" customHeight="1">
      <c r="A959" s="786">
        <v>45980.0</v>
      </c>
      <c r="B959" s="787">
        <v>2511704.0</v>
      </c>
      <c r="C959" s="788" t="s">
        <v>10136</v>
      </c>
      <c r="D959" s="851" t="s">
        <v>3700</v>
      </c>
      <c r="E959" s="790" t="str">
        <f>IFERROR(VLOOKUP(D959,Stock,3,FALSE),"")</f>
        <v>Toyota Avanza / Xenia 11-15 2nd Gen / 15-21 3rd Gen</v>
      </c>
      <c r="F959" s="788">
        <v>2.0</v>
      </c>
      <c r="G959" s="860">
        <v>329450.0</v>
      </c>
      <c r="H959" s="799">
        <f t="shared" si="7"/>
        <v>658900</v>
      </c>
      <c r="I959" s="800"/>
      <c r="J959" s="812"/>
      <c r="K959" s="848" t="s">
        <v>10242</v>
      </c>
      <c r="L959" s="806" t="s">
        <v>10137</v>
      </c>
      <c r="M959" s="806" t="s">
        <v>2763</v>
      </c>
      <c r="N959" s="837">
        <v>46035.0</v>
      </c>
      <c r="O959" s="803"/>
    </row>
    <row r="960" ht="15.0" customHeight="1">
      <c r="A960" s="786">
        <v>45981.0</v>
      </c>
      <c r="B960" s="787">
        <v>2511720.0</v>
      </c>
      <c r="C960" s="788" t="s">
        <v>10136</v>
      </c>
      <c r="D960" s="851" t="s">
        <v>3700</v>
      </c>
      <c r="E960" s="790" t="str">
        <f>IFERROR(VLOOKUP(D960,Stock,3,FALSE),"")</f>
        <v>Toyota Avanza / Xenia 11-15 2nd Gen / 15-21 3rd Gen</v>
      </c>
      <c r="F960" s="788">
        <v>2.0</v>
      </c>
      <c r="G960" s="860">
        <v>329450.0</v>
      </c>
      <c r="H960" s="799">
        <f t="shared" si="7"/>
        <v>658900</v>
      </c>
      <c r="I960" s="800"/>
      <c r="J960" s="812"/>
      <c r="K960" s="848" t="s">
        <v>3191</v>
      </c>
      <c r="L960" s="806" t="s">
        <v>10137</v>
      </c>
      <c r="M960" s="806" t="s">
        <v>2763</v>
      </c>
      <c r="N960" s="837">
        <v>46035.0</v>
      </c>
      <c r="O960" s="803"/>
    </row>
    <row r="961" ht="15.0" customHeight="1">
      <c r="A961" s="786">
        <v>45981.0</v>
      </c>
      <c r="B961" s="787">
        <v>2511720.0</v>
      </c>
      <c r="C961" s="788" t="s">
        <v>10136</v>
      </c>
      <c r="D961" s="851" t="s">
        <v>6308</v>
      </c>
      <c r="E961" s="790" t="str">
        <f>IFERROR(VLOOKUP(D961,Stock,3,FALSE),"")</f>
        <v>Ford Fiesta 09-17 (Sensor Bulat)</v>
      </c>
      <c r="F961" s="788">
        <v>1.0</v>
      </c>
      <c r="G961" s="860">
        <v>1386550.0</v>
      </c>
      <c r="H961" s="799">
        <f t="shared" si="7"/>
        <v>1386550</v>
      </c>
      <c r="I961" s="800"/>
      <c r="J961" s="812"/>
      <c r="K961" s="848" t="s">
        <v>3191</v>
      </c>
      <c r="L961" s="806" t="s">
        <v>10137</v>
      </c>
      <c r="M961" s="806" t="s">
        <v>2763</v>
      </c>
      <c r="N961" s="837">
        <v>46035.0</v>
      </c>
      <c r="O961" s="803"/>
    </row>
    <row r="962" ht="15.0" customHeight="1">
      <c r="A962" s="786">
        <v>45981.0</v>
      </c>
      <c r="B962" s="787">
        <v>2511720.0</v>
      </c>
      <c r="C962" s="788" t="s">
        <v>10136</v>
      </c>
      <c r="D962" s="851" t="s">
        <v>3142</v>
      </c>
      <c r="E962" s="790" t="str">
        <f>IFERROR(VLOOKUP(D962,Stock,3,FALSE),"")</f>
        <v>Mitsubishi Xpander 17-</v>
      </c>
      <c r="F962" s="788">
        <v>2.0</v>
      </c>
      <c r="G962" s="860">
        <v>739200.0</v>
      </c>
      <c r="H962" s="799">
        <f t="shared" si="7"/>
        <v>1478400</v>
      </c>
      <c r="I962" s="800"/>
      <c r="J962" s="812"/>
      <c r="K962" s="848" t="s">
        <v>3191</v>
      </c>
      <c r="L962" s="806" t="s">
        <v>10137</v>
      </c>
      <c r="M962" s="806" t="s">
        <v>2763</v>
      </c>
      <c r="N962" s="837">
        <v>46035.0</v>
      </c>
      <c r="O962" s="803"/>
    </row>
    <row r="963" ht="15.0" customHeight="1">
      <c r="A963" s="786">
        <v>45981.0</v>
      </c>
      <c r="B963" s="787">
        <v>2511720.0</v>
      </c>
      <c r="C963" s="788" t="s">
        <v>10136</v>
      </c>
      <c r="D963" s="851" t="s">
        <v>2952</v>
      </c>
      <c r="E963" s="790" t="str">
        <f>IFERROR(VLOOKUP(D963,Stock,3,FALSE),"")</f>
        <v/>
      </c>
      <c r="F963" s="788">
        <v>1.0</v>
      </c>
      <c r="G963" s="860">
        <v>416900.0</v>
      </c>
      <c r="H963" s="799">
        <f t="shared" si="7"/>
        <v>416900</v>
      </c>
      <c r="I963" s="800"/>
      <c r="J963" s="812"/>
      <c r="K963" s="848" t="s">
        <v>3191</v>
      </c>
      <c r="L963" s="806" t="s">
        <v>10137</v>
      </c>
      <c r="M963" s="806" t="s">
        <v>2763</v>
      </c>
      <c r="N963" s="837">
        <v>46035.0</v>
      </c>
      <c r="O963" s="803"/>
    </row>
    <row r="964" ht="15.0" customHeight="1">
      <c r="A964" s="786">
        <v>45981.0</v>
      </c>
      <c r="B964" s="787">
        <v>2511720.0</v>
      </c>
      <c r="C964" s="788" t="s">
        <v>10136</v>
      </c>
      <c r="D964" s="851" t="s">
        <v>5656</v>
      </c>
      <c r="E964" s="790" t="str">
        <f>IFERROR(VLOOKUP(D964,Stock,3,FALSE),"")</f>
        <v>Mitsubishi Outlander 10-21 GA3</v>
      </c>
      <c r="F964" s="788">
        <v>1.0</v>
      </c>
      <c r="G964" s="860">
        <v>983400.0</v>
      </c>
      <c r="H964" s="799">
        <f t="shared" si="7"/>
        <v>983400</v>
      </c>
      <c r="I964" s="800"/>
      <c r="J964" s="812"/>
      <c r="K964" s="848" t="s">
        <v>3191</v>
      </c>
      <c r="L964" s="806" t="s">
        <v>10137</v>
      </c>
      <c r="M964" s="806" t="s">
        <v>2763</v>
      </c>
      <c r="N964" s="837">
        <v>46035.0</v>
      </c>
      <c r="O964" s="803"/>
    </row>
    <row r="965" ht="15.0" customHeight="1">
      <c r="A965" s="786">
        <v>45981.0</v>
      </c>
      <c r="B965" s="787" t="s">
        <v>10521</v>
      </c>
      <c r="C965" s="788" t="s">
        <v>10300</v>
      </c>
      <c r="D965" s="851" t="s">
        <v>5647</v>
      </c>
      <c r="E965" s="790" t="str">
        <f>IFERROR(VLOOKUP(D965,Stock,3,FALSE),"")</f>
        <v>Toyota Land Cruiser GDJ76</v>
      </c>
      <c r="F965" s="788">
        <v>1.0</v>
      </c>
      <c r="G965" s="860">
        <v>9000000.0</v>
      </c>
      <c r="H965" s="799">
        <f t="shared" si="7"/>
        <v>9000000</v>
      </c>
      <c r="I965" s="800"/>
      <c r="J965" s="812"/>
      <c r="K965" s="848" t="s">
        <v>10242</v>
      </c>
      <c r="L965" s="806" t="s">
        <v>10137</v>
      </c>
      <c r="M965" s="806" t="s">
        <v>10522</v>
      </c>
      <c r="N965" s="803"/>
      <c r="O965" s="803"/>
    </row>
    <row r="966" ht="15.0" customHeight="1">
      <c r="A966" s="786">
        <v>45981.0</v>
      </c>
      <c r="B966" s="856" t="s">
        <v>10523</v>
      </c>
      <c r="C966" s="788" t="s">
        <v>10139</v>
      </c>
      <c r="D966" s="851" t="s">
        <v>6283</v>
      </c>
      <c r="E966" s="790" t="str">
        <f>IFERROR(VLOOKUP(D966,Stock,3,FALSE),"")</f>
        <v>Toyota Rush / Terios 18- (Toyota/Daihatsu)</v>
      </c>
      <c r="F966" s="788">
        <v>1.0</v>
      </c>
      <c r="G966" s="860">
        <v>397000.0</v>
      </c>
      <c r="H966" s="799">
        <f t="shared" si="7"/>
        <v>397000</v>
      </c>
      <c r="I966" s="800"/>
      <c r="J966" s="812"/>
      <c r="K966" s="848" t="s">
        <v>10242</v>
      </c>
      <c r="L966" s="806" t="s">
        <v>10137</v>
      </c>
      <c r="M966" s="806" t="s">
        <v>10502</v>
      </c>
      <c r="N966" s="854">
        <v>45981.0</v>
      </c>
      <c r="O966" s="803"/>
    </row>
    <row r="967" ht="15.0" customHeight="1">
      <c r="A967" s="786">
        <v>45981.0</v>
      </c>
      <c r="B967" s="856" t="s">
        <v>10524</v>
      </c>
      <c r="C967" s="788" t="s">
        <v>10139</v>
      </c>
      <c r="D967" s="851" t="s">
        <v>6897</v>
      </c>
      <c r="E967" s="790" t="str">
        <f>IFERROR(VLOOKUP(D967,Stock,3,FALSE),"")</f>
        <v>Toyota Avanza / Xenia 11-15 2nd Gen / 15-21 3rd Gen</v>
      </c>
      <c r="F967" s="788">
        <v>20.0</v>
      </c>
      <c r="G967" s="860">
        <v>84294.0</v>
      </c>
      <c r="H967" s="799">
        <f t="shared" si="7"/>
        <v>1685880</v>
      </c>
      <c r="I967" s="800"/>
      <c r="J967" s="812"/>
      <c r="K967" s="848" t="s">
        <v>10242</v>
      </c>
      <c r="L967" s="806" t="s">
        <v>10137</v>
      </c>
      <c r="M967" s="806" t="s">
        <v>2763</v>
      </c>
      <c r="N967" s="854">
        <v>46013.0</v>
      </c>
      <c r="O967" s="803"/>
    </row>
    <row r="968" ht="15.0" customHeight="1">
      <c r="A968" s="786">
        <v>45981.0</v>
      </c>
      <c r="B968" s="856" t="s">
        <v>10524</v>
      </c>
      <c r="C968" s="788" t="s">
        <v>10139</v>
      </c>
      <c r="D968" s="851" t="s">
        <v>4262</v>
      </c>
      <c r="E968" s="790" t="str">
        <f>IFERROR(VLOOKUP(D968,Stock,3,FALSE),"")</f>
        <v>Toyota Avanza / Xenia 11-15 2nd Gen / 15-21 3rd Gen</v>
      </c>
      <c r="F968" s="788">
        <v>20.0</v>
      </c>
      <c r="G968" s="860">
        <v>84294.0</v>
      </c>
      <c r="H968" s="799">
        <f t="shared" si="7"/>
        <v>1685880</v>
      </c>
      <c r="I968" s="800"/>
      <c r="J968" s="812"/>
      <c r="K968" s="848" t="s">
        <v>10242</v>
      </c>
      <c r="L968" s="806" t="s">
        <v>10137</v>
      </c>
      <c r="M968" s="806" t="s">
        <v>2763</v>
      </c>
      <c r="N968" s="854">
        <v>46013.0</v>
      </c>
      <c r="O968" s="803"/>
    </row>
    <row r="969" ht="15.0" customHeight="1">
      <c r="A969" s="786">
        <v>45981.0</v>
      </c>
      <c r="B969" s="787">
        <v>2511741.0</v>
      </c>
      <c r="C969" s="788" t="s">
        <v>10136</v>
      </c>
      <c r="D969" s="851" t="s">
        <v>6299</v>
      </c>
      <c r="E969" s="790" t="str">
        <f>IFERROR(VLOOKUP(D969,Stock,3,FALSE),"")</f>
        <v>Hino Ranger Louhan 03- / Hino 500</v>
      </c>
      <c r="F969" s="788">
        <v>1.0</v>
      </c>
      <c r="G969" s="860">
        <v>864050.0</v>
      </c>
      <c r="H969" s="799">
        <f t="shared" si="7"/>
        <v>864050</v>
      </c>
      <c r="I969" s="800"/>
      <c r="J969" s="812"/>
      <c r="K969" s="848" t="s">
        <v>10242</v>
      </c>
      <c r="L969" s="806" t="s">
        <v>10137</v>
      </c>
      <c r="M969" s="806" t="s">
        <v>2763</v>
      </c>
      <c r="N969" s="837">
        <v>46035.0</v>
      </c>
      <c r="O969" s="803"/>
    </row>
    <row r="970" ht="15.0" customHeight="1">
      <c r="A970" s="786">
        <v>45982.0</v>
      </c>
      <c r="B970" s="787">
        <v>2511756.0</v>
      </c>
      <c r="C970" s="788" t="s">
        <v>10136</v>
      </c>
      <c r="D970" s="787" t="s">
        <v>10525</v>
      </c>
      <c r="E970" s="790" t="str">
        <f>IFERROR(VLOOKUP(D970,Stock,3,FALSE),"")</f>
        <v>Mitsubishi Pajero 20- (1 Sensor / □ ) (bentuk sama dgn 16-)</v>
      </c>
      <c r="F970" s="788">
        <v>1.0</v>
      </c>
      <c r="G970" s="860">
        <v>1100000.0</v>
      </c>
      <c r="H970" s="799">
        <f t="shared" si="7"/>
        <v>1100000</v>
      </c>
      <c r="I970" s="800"/>
      <c r="J970" s="812"/>
      <c r="K970" s="848" t="s">
        <v>10242</v>
      </c>
      <c r="L970" s="806" t="s">
        <v>10137</v>
      </c>
      <c r="M970" s="806" t="s">
        <v>2763</v>
      </c>
      <c r="N970" s="837">
        <v>46035.0</v>
      </c>
      <c r="O970" s="803"/>
    </row>
    <row r="971" ht="15.0" customHeight="1">
      <c r="A971" s="786">
        <v>45982.0</v>
      </c>
      <c r="B971" s="787">
        <v>2511756.0</v>
      </c>
      <c r="C971" s="788" t="s">
        <v>10136</v>
      </c>
      <c r="D971" s="851" t="s">
        <v>3913</v>
      </c>
      <c r="E971" s="790" t="str">
        <f>IFERROR(VLOOKUP(D971,Stock,3,FALSE),"")</f>
        <v>BYD Seal 23- (2 Sensor / /\ O )</v>
      </c>
      <c r="F971" s="788">
        <v>1.0</v>
      </c>
      <c r="G971" s="860">
        <v>2145000.0</v>
      </c>
      <c r="H971" s="799">
        <f t="shared" si="7"/>
        <v>2145000</v>
      </c>
      <c r="I971" s="800"/>
      <c r="J971" s="812"/>
      <c r="K971" s="848" t="s">
        <v>10242</v>
      </c>
      <c r="L971" s="806" t="s">
        <v>10137</v>
      </c>
      <c r="M971" s="806" t="s">
        <v>2763</v>
      </c>
      <c r="N971" s="837">
        <v>46035.0</v>
      </c>
      <c r="O971" s="803"/>
    </row>
    <row r="972" ht="15.0" customHeight="1">
      <c r="A972" s="786">
        <v>45982.0</v>
      </c>
      <c r="B972" s="787">
        <v>2511783.0</v>
      </c>
      <c r="C972" s="788" t="s">
        <v>10136</v>
      </c>
      <c r="D972" s="851" t="s">
        <v>6316</v>
      </c>
      <c r="E972" s="790" t="str">
        <f>IFERROR(VLOOKUP(D972,Stock,3,FALSE),"")</f>
        <v>Mazda CX-5 12-17 1st Gen KE</v>
      </c>
      <c r="F972" s="788">
        <v>1.0</v>
      </c>
      <c r="G972" s="860">
        <v>398750.0</v>
      </c>
      <c r="H972" s="799">
        <f t="shared" si="7"/>
        <v>398750</v>
      </c>
      <c r="I972" s="800"/>
      <c r="J972" s="812"/>
      <c r="K972" s="848" t="s">
        <v>10242</v>
      </c>
      <c r="L972" s="806" t="s">
        <v>10137</v>
      </c>
      <c r="M972" s="806" t="s">
        <v>2763</v>
      </c>
      <c r="N972" s="837">
        <v>46043.0</v>
      </c>
      <c r="O972" s="803"/>
    </row>
    <row r="973" ht="15.0" customHeight="1">
      <c r="A973" s="874">
        <v>45982.0</v>
      </c>
      <c r="B973" s="875" t="s">
        <v>10526</v>
      </c>
      <c r="C973" s="876" t="s">
        <v>10156</v>
      </c>
      <c r="D973" s="877" t="s">
        <v>6311</v>
      </c>
      <c r="E973" s="878" t="str">
        <f>IFERROR(VLOOKUP(D973,Stock,3,FALSE),"")</f>
        <v>Mitsubishi Pajero 23- (1 Sensor / □ ) (Mitsubishi)</v>
      </c>
      <c r="F973" s="876">
        <v>1.0</v>
      </c>
      <c r="G973" s="879">
        <v>3100000.0</v>
      </c>
      <c r="H973" s="880">
        <f t="shared" si="7"/>
        <v>3100000</v>
      </c>
      <c r="I973" s="881"/>
      <c r="J973" s="882" t="s">
        <v>10519</v>
      </c>
      <c r="K973" s="883" t="s">
        <v>10242</v>
      </c>
    </row>
    <row r="974" ht="15.0" customHeight="1">
      <c r="A974" s="786">
        <v>45982.0</v>
      </c>
      <c r="B974" s="787">
        <v>2511809.0</v>
      </c>
      <c r="C974" s="788" t="s">
        <v>10136</v>
      </c>
      <c r="D974" s="851" t="s">
        <v>4134</v>
      </c>
      <c r="E974" s="790" t="str">
        <f>IFERROR(VLOOKUP(D974,Stock,3,FALSE),"")</f>
        <v>Mazda 2 14- Skyactiv 4th Gen</v>
      </c>
      <c r="F974" s="788">
        <v>1.0</v>
      </c>
      <c r="G974" s="860">
        <v>1301300.0</v>
      </c>
      <c r="H974" s="799">
        <f t="shared" si="7"/>
        <v>1301300</v>
      </c>
      <c r="I974" s="800"/>
      <c r="J974" s="812"/>
      <c r="K974" s="848" t="s">
        <v>10242</v>
      </c>
      <c r="L974" s="806" t="s">
        <v>10137</v>
      </c>
      <c r="M974" s="806" t="s">
        <v>2763</v>
      </c>
      <c r="N974" s="837">
        <v>46043.0</v>
      </c>
      <c r="O974" s="803"/>
    </row>
    <row r="975" ht="15.0" customHeight="1">
      <c r="A975" s="786">
        <v>45982.0</v>
      </c>
      <c r="B975" s="787">
        <v>2511809.0</v>
      </c>
      <c r="C975" s="788" t="s">
        <v>10136</v>
      </c>
      <c r="D975" s="851" t="s">
        <v>3727</v>
      </c>
      <c r="E975" s="790" t="str">
        <f>IFERROR(VLOOKUP(D975,Stock,3,FALSE),"")</f>
        <v>Toyota Innova 15- 2nd Gen</v>
      </c>
      <c r="F975" s="788">
        <v>2.0</v>
      </c>
      <c r="G975" s="860">
        <v>750200.0</v>
      </c>
      <c r="H975" s="799">
        <f t="shared" si="7"/>
        <v>1500400</v>
      </c>
      <c r="I975" s="800"/>
      <c r="J975" s="812"/>
      <c r="K975" s="848" t="s">
        <v>10242</v>
      </c>
      <c r="L975" s="806" t="s">
        <v>10137</v>
      </c>
      <c r="M975" s="806" t="s">
        <v>2763</v>
      </c>
      <c r="N975" s="837">
        <v>46043.0</v>
      </c>
      <c r="O975" s="803"/>
    </row>
    <row r="976" ht="15.0" customHeight="1">
      <c r="A976" s="786">
        <v>45982.0</v>
      </c>
      <c r="B976" s="787">
        <v>2511809.0</v>
      </c>
      <c r="C976" s="788" t="s">
        <v>10136</v>
      </c>
      <c r="D976" s="851" t="s">
        <v>2869</v>
      </c>
      <c r="E976" s="790" t="str">
        <f>IFERROR(VLOOKUP(D976,Stock,3,FALSE),"")</f>
        <v>Daihatsu Gran Max / Luxio 07-</v>
      </c>
      <c r="F976" s="788">
        <v>2.0</v>
      </c>
      <c r="G976" s="860">
        <v>470250.0</v>
      </c>
      <c r="H976" s="799">
        <f t="shared" si="7"/>
        <v>940500</v>
      </c>
      <c r="I976" s="800"/>
      <c r="J976" s="812"/>
      <c r="K976" s="848" t="s">
        <v>10242</v>
      </c>
      <c r="L976" s="806" t="s">
        <v>10137</v>
      </c>
      <c r="M976" s="806" t="s">
        <v>2763</v>
      </c>
      <c r="N976" s="837">
        <v>46043.0</v>
      </c>
      <c r="O976" s="803"/>
    </row>
    <row r="977" ht="15.0" customHeight="1">
      <c r="A977" s="786">
        <v>45982.0</v>
      </c>
      <c r="B977" s="787" t="s">
        <v>10527</v>
      </c>
      <c r="C977" s="788" t="s">
        <v>24</v>
      </c>
      <c r="D977" s="851" t="s">
        <v>3446</v>
      </c>
      <c r="E977" s="790" t="str">
        <f>IFERROR(VLOOKUP(D977,Stock,3,FALSE),"")</f>
        <v>501 Sealant Application</v>
      </c>
      <c r="F977" s="788">
        <v>20.0</v>
      </c>
      <c r="G977" s="860">
        <v>37000.0</v>
      </c>
      <c r="H977" s="799">
        <f t="shared" si="7"/>
        <v>740000</v>
      </c>
      <c r="I977" s="800"/>
      <c r="J977" s="812"/>
      <c r="K977" s="848" t="s">
        <v>3191</v>
      </c>
      <c r="L977" s="806" t="s">
        <v>10137</v>
      </c>
      <c r="M977" s="806" t="s">
        <v>2763</v>
      </c>
      <c r="N977" s="854">
        <v>46011.0</v>
      </c>
      <c r="O977" s="803"/>
    </row>
    <row r="978" ht="15.0" customHeight="1">
      <c r="A978" s="786">
        <v>45983.0</v>
      </c>
      <c r="B978" s="856" t="s">
        <v>10528</v>
      </c>
      <c r="C978" s="788" t="s">
        <v>10139</v>
      </c>
      <c r="D978" s="851" t="s">
        <v>6362</v>
      </c>
      <c r="E978" s="790" t="str">
        <f>IFERROR(VLOOKUP(D978,Stock,3,FALSE),"")</f>
        <v>Mers-Benz C-Class 07-14 W204 (1 Sensor/ □)</v>
      </c>
      <c r="F978" s="788">
        <v>1.0</v>
      </c>
      <c r="G978" s="860">
        <v>2208600.0</v>
      </c>
      <c r="H978" s="799">
        <f t="shared" si="7"/>
        <v>2208600</v>
      </c>
      <c r="I978" s="800"/>
      <c r="J978" s="812"/>
      <c r="K978" s="848" t="s">
        <v>10242</v>
      </c>
      <c r="L978" s="806" t="s">
        <v>10137</v>
      </c>
      <c r="M978" s="806" t="s">
        <v>10502</v>
      </c>
      <c r="N978" s="854">
        <v>45983.0</v>
      </c>
      <c r="O978" s="803"/>
    </row>
    <row r="979" ht="15.0" customHeight="1">
      <c r="A979" s="786">
        <v>45950.0</v>
      </c>
      <c r="B979" s="787" t="s">
        <v>10529</v>
      </c>
      <c r="C979" s="788" t="s">
        <v>79</v>
      </c>
      <c r="D979" s="851" t="s">
        <v>4017</v>
      </c>
      <c r="E979" s="790" t="str">
        <f>IFERROR(VLOOKUP(D979,Stock,3,FALSE),"")</f>
        <v>Black Phantom Solar Gard</v>
      </c>
      <c r="F979" s="788">
        <v>1.0</v>
      </c>
      <c r="G979" s="860">
        <v>1125000.0</v>
      </c>
      <c r="H979" s="799">
        <f t="shared" si="7"/>
        <v>1125000</v>
      </c>
      <c r="I979" s="800"/>
      <c r="J979" s="812"/>
      <c r="K979" s="848" t="s">
        <v>3191</v>
      </c>
      <c r="L979" s="806" t="s">
        <v>10137</v>
      </c>
      <c r="M979" s="806" t="s">
        <v>2763</v>
      </c>
      <c r="N979" s="854">
        <v>45985.0</v>
      </c>
      <c r="O979" s="803"/>
    </row>
    <row r="980" ht="15.0" customHeight="1">
      <c r="A980" s="786">
        <v>45985.0</v>
      </c>
      <c r="B980" s="787">
        <v>2511836.0</v>
      </c>
      <c r="C980" s="788" t="s">
        <v>10136</v>
      </c>
      <c r="D980" s="851" t="s">
        <v>3230</v>
      </c>
      <c r="E980" s="790" t="str">
        <f>IFERROR(VLOOKUP(D980,Stock,3,FALSE),"")</f>
        <v>Toyota LandCruiser 07- FJ200</v>
      </c>
      <c r="F980" s="788">
        <v>1.0</v>
      </c>
      <c r="G980" s="860">
        <v>1694000.0</v>
      </c>
      <c r="H980" s="799">
        <f t="shared" si="7"/>
        <v>1694000</v>
      </c>
      <c r="I980" s="800"/>
      <c r="J980" s="812"/>
      <c r="K980" s="848" t="s">
        <v>10242</v>
      </c>
      <c r="L980" s="806" t="s">
        <v>10137</v>
      </c>
      <c r="M980" s="806" t="s">
        <v>2763</v>
      </c>
      <c r="N980" s="837">
        <v>46043.0</v>
      </c>
      <c r="O980" s="803"/>
    </row>
    <row r="981" ht="15.0" customHeight="1">
      <c r="A981" s="786">
        <v>45985.0</v>
      </c>
      <c r="B981" s="787">
        <v>2511836.0</v>
      </c>
      <c r="C981" s="788" t="s">
        <v>10136</v>
      </c>
      <c r="D981" s="851" t="s">
        <v>5092</v>
      </c>
      <c r="E981" s="790" t="str">
        <f>IFERROR(VLOOKUP(D981,Stock,3,FALSE),"")</f>
        <v>Honda BR-V 16-</v>
      </c>
      <c r="F981" s="788">
        <v>1.0</v>
      </c>
      <c r="G981" s="860">
        <v>583550.0</v>
      </c>
      <c r="H981" s="799">
        <f t="shared" si="7"/>
        <v>583550</v>
      </c>
      <c r="I981" s="800"/>
      <c r="J981" s="812"/>
      <c r="K981" s="848" t="s">
        <v>10242</v>
      </c>
      <c r="L981" s="806" t="s">
        <v>10137</v>
      </c>
      <c r="M981" s="806" t="s">
        <v>2763</v>
      </c>
      <c r="N981" s="837">
        <v>46043.0</v>
      </c>
      <c r="O981" s="803"/>
    </row>
    <row r="982" ht="15.0" customHeight="1">
      <c r="A982" s="786">
        <v>45985.0</v>
      </c>
      <c r="B982" s="787">
        <v>2511836.0</v>
      </c>
      <c r="C982" s="788" t="s">
        <v>10136</v>
      </c>
      <c r="D982" s="851" t="s">
        <v>2877</v>
      </c>
      <c r="E982" s="790" t="str">
        <f>IFERROR(VLOOKUP(D982,Stock,3,FALSE),"")</f>
        <v>Toyota Dyna/Hino Dutro 00-</v>
      </c>
      <c r="F982" s="788">
        <v>2.0</v>
      </c>
      <c r="G982" s="860">
        <v>522500.0</v>
      </c>
      <c r="H982" s="799">
        <f t="shared" si="7"/>
        <v>1045000</v>
      </c>
      <c r="I982" s="800"/>
      <c r="J982" s="812"/>
      <c r="K982" s="848" t="s">
        <v>10242</v>
      </c>
      <c r="L982" s="806" t="s">
        <v>10137</v>
      </c>
      <c r="M982" s="806" t="s">
        <v>2763</v>
      </c>
      <c r="N982" s="837">
        <v>46043.0</v>
      </c>
      <c r="O982" s="803"/>
    </row>
    <row r="983" ht="15.0" customHeight="1">
      <c r="A983" s="786">
        <v>45985.0</v>
      </c>
      <c r="B983" s="787">
        <v>2511836.0</v>
      </c>
      <c r="C983" s="788" t="s">
        <v>10136</v>
      </c>
      <c r="D983" s="851" t="s">
        <v>5160</v>
      </c>
      <c r="E983" s="790" t="str">
        <f>IFERROR(VLOOKUP(D983,Stock,3,FALSE),"")</f>
        <v>Honda City 14-18 GM6</v>
      </c>
      <c r="F983" s="788">
        <v>1.0</v>
      </c>
      <c r="G983" s="860">
        <v>970750.0</v>
      </c>
      <c r="H983" s="799">
        <f t="shared" si="7"/>
        <v>970750</v>
      </c>
      <c r="I983" s="800"/>
      <c r="J983" s="812"/>
      <c r="K983" s="848" t="s">
        <v>10242</v>
      </c>
      <c r="L983" s="806" t="s">
        <v>10137</v>
      </c>
      <c r="M983" s="806" t="s">
        <v>2763</v>
      </c>
      <c r="N983" s="837">
        <v>46043.0</v>
      </c>
      <c r="O983" s="803"/>
    </row>
    <row r="984" ht="15.0" customHeight="1">
      <c r="A984" s="786">
        <v>45985.0</v>
      </c>
      <c r="B984" s="787">
        <v>2511836.0</v>
      </c>
      <c r="C984" s="788" t="s">
        <v>10136</v>
      </c>
      <c r="D984" s="851" t="s">
        <v>4342</v>
      </c>
      <c r="E984" s="790" t="str">
        <f>IFERROR(VLOOKUP(D984,Stock,3,FALSE),"")</f>
        <v>Toyota Voxy 17- (Hitam)</v>
      </c>
      <c r="F984" s="788">
        <v>1.0</v>
      </c>
      <c r="G984" s="860">
        <v>1521850.0</v>
      </c>
      <c r="H984" s="799">
        <f t="shared" si="7"/>
        <v>1521850</v>
      </c>
      <c r="I984" s="800"/>
      <c r="J984" s="812"/>
      <c r="K984" s="848" t="s">
        <v>10242</v>
      </c>
      <c r="L984" s="806" t="s">
        <v>10137</v>
      </c>
      <c r="M984" s="806" t="s">
        <v>2763</v>
      </c>
      <c r="N984" s="837">
        <v>46043.0</v>
      </c>
      <c r="O984" s="803"/>
    </row>
    <row r="985" ht="15.0" customHeight="1">
      <c r="A985" s="786">
        <v>45985.0</v>
      </c>
      <c r="B985" s="787">
        <v>2511836.0</v>
      </c>
      <c r="C985" s="788" t="s">
        <v>10136</v>
      </c>
      <c r="D985" s="851" t="s">
        <v>5160</v>
      </c>
      <c r="E985" s="790" t="str">
        <f>IFERROR(VLOOKUP(D985,Stock,3,FALSE),"")</f>
        <v>Honda City 14-18 GM6</v>
      </c>
      <c r="F985" s="788">
        <v>1.0</v>
      </c>
      <c r="G985" s="860">
        <v>970750.0</v>
      </c>
      <c r="H985" s="799">
        <f t="shared" si="7"/>
        <v>970750</v>
      </c>
      <c r="I985" s="800"/>
      <c r="J985" s="812"/>
      <c r="K985" s="848" t="s">
        <v>10242</v>
      </c>
      <c r="L985" s="806" t="s">
        <v>10137</v>
      </c>
      <c r="M985" s="806" t="s">
        <v>2763</v>
      </c>
      <c r="N985" s="837">
        <v>46043.0</v>
      </c>
      <c r="O985" s="803"/>
    </row>
    <row r="986" ht="15.0" customHeight="1">
      <c r="A986" s="786">
        <v>45985.0</v>
      </c>
      <c r="B986" s="787" t="s">
        <v>10530</v>
      </c>
      <c r="C986" s="788" t="s">
        <v>10341</v>
      </c>
      <c r="D986" s="851" t="s">
        <v>4979</v>
      </c>
      <c r="E986" s="790" t="str">
        <f>IFERROR(VLOOKUP(D986,Stock,3,FALSE),"")</f>
        <v>255 Ultra + Actv-100 Application</v>
      </c>
      <c r="F986" s="788">
        <v>10.0</v>
      </c>
      <c r="G986" s="860">
        <v>83000.0</v>
      </c>
      <c r="H986" s="799">
        <f t="shared" si="7"/>
        <v>830000</v>
      </c>
      <c r="I986" s="800"/>
      <c r="J986" s="812"/>
      <c r="K986" s="848" t="s">
        <v>3191</v>
      </c>
      <c r="L986" s="806" t="s">
        <v>10137</v>
      </c>
      <c r="M986" s="806" t="s">
        <v>2763</v>
      </c>
      <c r="N986" s="837">
        <v>46065.0</v>
      </c>
      <c r="O986" s="803"/>
    </row>
    <row r="987" ht="15.0" customHeight="1">
      <c r="A987" s="786">
        <v>45985.0</v>
      </c>
      <c r="B987" s="787" t="s">
        <v>10531</v>
      </c>
      <c r="C987" s="788" t="s">
        <v>2643</v>
      </c>
      <c r="D987" s="851" t="s">
        <v>4176</v>
      </c>
      <c r="E987" s="790" t="str">
        <f>IFERROR(VLOOKUP(D987,Stock,3,FALSE),"")</f>
        <v>Honda HR-V 22- 5D SUV (Honda)</v>
      </c>
      <c r="F987" s="788">
        <v>1.0</v>
      </c>
      <c r="G987" s="860">
        <v>2031744.0</v>
      </c>
      <c r="H987" s="799">
        <f t="shared" si="7"/>
        <v>2031744</v>
      </c>
      <c r="I987" s="800"/>
      <c r="J987" s="812"/>
      <c r="K987" s="848" t="s">
        <v>10532</v>
      </c>
      <c r="L987" s="806" t="s">
        <v>10137</v>
      </c>
      <c r="M987" s="806" t="s">
        <v>2763</v>
      </c>
      <c r="N987" s="837">
        <v>46043.0</v>
      </c>
      <c r="O987" s="803"/>
    </row>
    <row r="988" ht="15.0" customHeight="1">
      <c r="A988" s="786">
        <v>45985.0</v>
      </c>
      <c r="B988" s="787" t="s">
        <v>10531</v>
      </c>
      <c r="C988" s="788" t="s">
        <v>2643</v>
      </c>
      <c r="D988" s="851" t="s">
        <v>5062</v>
      </c>
      <c r="E988" s="790" t="str">
        <f>IFERROR(VLOOKUP(D988,Stock,3,FALSE),"")</f>
        <v>Honda CR-V 17-23 5th Gen (Honda)</v>
      </c>
      <c r="F988" s="788">
        <v>1.0</v>
      </c>
      <c r="G988" s="860">
        <v>1142856.0</v>
      </c>
      <c r="H988" s="799">
        <f t="shared" si="7"/>
        <v>1142856</v>
      </c>
      <c r="I988" s="800"/>
      <c r="J988" s="812"/>
      <c r="K988" s="848" t="s">
        <v>10532</v>
      </c>
      <c r="L988" s="806" t="s">
        <v>10137</v>
      </c>
      <c r="M988" s="806" t="s">
        <v>2763</v>
      </c>
      <c r="N988" s="837">
        <v>46043.0</v>
      </c>
      <c r="O988" s="803"/>
    </row>
    <row r="989" ht="15.0" customHeight="1">
      <c r="A989" s="786">
        <v>45986.0</v>
      </c>
      <c r="B989" s="787">
        <v>2511940.0</v>
      </c>
      <c r="C989" s="788" t="s">
        <v>10136</v>
      </c>
      <c r="D989" s="851" t="s">
        <v>6412</v>
      </c>
      <c r="E989" s="790" t="str">
        <f>IFERROR(VLOOKUP(D989,Stock,3,FALSE),"")</f>
        <v>Honda CR-V 17- 5th Gen</v>
      </c>
      <c r="F989" s="788">
        <v>1.0</v>
      </c>
      <c r="G989" s="860">
        <v>1375000.0</v>
      </c>
      <c r="H989" s="799">
        <f t="shared" si="7"/>
        <v>1375000</v>
      </c>
      <c r="I989" s="800"/>
      <c r="J989" s="812"/>
      <c r="K989" s="848" t="s">
        <v>10532</v>
      </c>
      <c r="L989" s="806" t="s">
        <v>10137</v>
      </c>
      <c r="M989" s="806" t="s">
        <v>2763</v>
      </c>
      <c r="N989" s="837">
        <v>46043.0</v>
      </c>
      <c r="O989" s="803"/>
    </row>
    <row r="990" ht="15.0" customHeight="1">
      <c r="A990" s="786">
        <v>45987.0</v>
      </c>
      <c r="B990" s="787">
        <v>2511969.0</v>
      </c>
      <c r="C990" s="788" t="s">
        <v>10136</v>
      </c>
      <c r="D990" s="851" t="s">
        <v>6668</v>
      </c>
      <c r="E990" s="790" t="str">
        <f>IFERROR(VLOOKUP(D990,Stock,3,FALSE),"")</f>
        <v>Honda Jazz 13- 3rd Gen</v>
      </c>
      <c r="F990" s="788">
        <v>1.0</v>
      </c>
      <c r="G990" s="860">
        <v>636350.0</v>
      </c>
      <c r="H990" s="799">
        <f t="shared" si="7"/>
        <v>636350</v>
      </c>
      <c r="I990" s="800"/>
      <c r="J990" s="812"/>
      <c r="K990" s="848" t="s">
        <v>10532</v>
      </c>
      <c r="L990" s="806" t="s">
        <v>10137</v>
      </c>
      <c r="M990" s="806" t="s">
        <v>2763</v>
      </c>
      <c r="N990" s="837">
        <v>46043.0</v>
      </c>
      <c r="O990" s="803"/>
    </row>
    <row r="991" ht="15.0" customHeight="1">
      <c r="A991" s="786">
        <v>45987.0</v>
      </c>
      <c r="B991" s="787">
        <v>2511969.0</v>
      </c>
      <c r="C991" s="788" t="s">
        <v>10136</v>
      </c>
      <c r="D991" s="851" t="s">
        <v>6431</v>
      </c>
      <c r="E991" s="790" t="str">
        <f>IFERROR(VLOOKUP(D991,Stock,3,FALSE),"")</f>
        <v>Suzuki Katana 84-</v>
      </c>
      <c r="F991" s="788">
        <v>2.0</v>
      </c>
      <c r="G991" s="860">
        <v>352550.0</v>
      </c>
      <c r="H991" s="799">
        <f t="shared" si="7"/>
        <v>705100</v>
      </c>
      <c r="I991" s="800"/>
      <c r="J991" s="812"/>
      <c r="K991" s="848" t="s">
        <v>10532</v>
      </c>
      <c r="L991" s="806" t="s">
        <v>10137</v>
      </c>
      <c r="M991" s="806" t="s">
        <v>2763</v>
      </c>
      <c r="N991" s="837">
        <v>46043.0</v>
      </c>
      <c r="O991" s="803"/>
    </row>
    <row r="992" ht="15.0" customHeight="1">
      <c r="A992" s="786">
        <v>45987.0</v>
      </c>
      <c r="B992" s="787">
        <v>2511969.0</v>
      </c>
      <c r="C992" s="788" t="s">
        <v>10136</v>
      </c>
      <c r="D992" s="851" t="s">
        <v>2952</v>
      </c>
      <c r="E992" s="790" t="str">
        <f>IFERROR(VLOOKUP(D992,Stock,3,FALSE),"")</f>
        <v/>
      </c>
      <c r="F992" s="788">
        <v>1.0</v>
      </c>
      <c r="G992" s="860">
        <v>416900.0</v>
      </c>
      <c r="H992" s="799">
        <f t="shared" si="7"/>
        <v>416900</v>
      </c>
      <c r="I992" s="800"/>
      <c r="J992" s="812"/>
      <c r="K992" s="848" t="s">
        <v>10532</v>
      </c>
      <c r="L992" s="806" t="s">
        <v>10137</v>
      </c>
      <c r="M992" s="806" t="s">
        <v>2763</v>
      </c>
      <c r="N992" s="837">
        <v>46043.0</v>
      </c>
      <c r="O992" s="803"/>
    </row>
    <row r="993" ht="15.0" customHeight="1">
      <c r="A993" s="786">
        <v>45987.0</v>
      </c>
      <c r="B993" s="787">
        <v>2511969.0</v>
      </c>
      <c r="C993" s="788" t="s">
        <v>10136</v>
      </c>
      <c r="D993" s="851" t="s">
        <v>3225</v>
      </c>
      <c r="E993" s="790" t="str">
        <f>IFERROR(VLOOKUP(D993,Stock,3,FALSE),"")</f>
        <v>Toyota Rush / Terios 18-</v>
      </c>
      <c r="F993" s="788">
        <v>2.0</v>
      </c>
      <c r="G993" s="860">
        <v>528000.0</v>
      </c>
      <c r="H993" s="799">
        <f t="shared" si="7"/>
        <v>1056000</v>
      </c>
      <c r="I993" s="800"/>
      <c r="J993" s="812"/>
      <c r="K993" s="848" t="s">
        <v>10532</v>
      </c>
      <c r="L993" s="806" t="s">
        <v>10137</v>
      </c>
      <c r="M993" s="806" t="s">
        <v>2763</v>
      </c>
      <c r="N993" s="837">
        <v>46043.0</v>
      </c>
      <c r="O993" s="803"/>
    </row>
    <row r="994" ht="15.0" customHeight="1">
      <c r="A994" s="786">
        <v>45987.0</v>
      </c>
      <c r="B994" s="787">
        <v>2511969.0</v>
      </c>
      <c r="C994" s="788" t="s">
        <v>10136</v>
      </c>
      <c r="D994" s="851" t="s">
        <v>4144</v>
      </c>
      <c r="E994" s="790" t="str">
        <f>IFERROR(VLOOKUP(D994,Stock,3,FALSE),"")</f>
        <v>Toyota Rush / Terios 06-17</v>
      </c>
      <c r="F994" s="788">
        <v>2.0</v>
      </c>
      <c r="G994" s="860">
        <v>576400.0</v>
      </c>
      <c r="H994" s="799">
        <f t="shared" si="7"/>
        <v>1152800</v>
      </c>
      <c r="I994" s="800"/>
      <c r="J994" s="812"/>
      <c r="K994" s="848" t="s">
        <v>10532</v>
      </c>
      <c r="L994" s="806" t="s">
        <v>10137</v>
      </c>
      <c r="M994" s="806" t="s">
        <v>2763</v>
      </c>
      <c r="N994" s="837">
        <v>46043.0</v>
      </c>
      <c r="O994" s="803"/>
    </row>
    <row r="995" ht="15.0" customHeight="1">
      <c r="A995" s="786">
        <v>45988.0</v>
      </c>
      <c r="B995" s="787">
        <v>2.5111025E7</v>
      </c>
      <c r="C995" s="788" t="s">
        <v>10136</v>
      </c>
      <c r="D995" s="851" t="s">
        <v>6437</v>
      </c>
      <c r="E995" s="790" t="str">
        <f>IFERROR(VLOOKUP(D995,Stock,3,FALSE),"")</f>
        <v>Mers-Benz E-Class 17- W213</v>
      </c>
      <c r="F995" s="788">
        <v>1.0</v>
      </c>
      <c r="G995" s="860">
        <v>2266550.0</v>
      </c>
      <c r="H995" s="799">
        <f t="shared" si="7"/>
        <v>2266550</v>
      </c>
      <c r="I995" s="800"/>
      <c r="J995" s="812"/>
      <c r="K995" s="848" t="s">
        <v>10532</v>
      </c>
      <c r="L995" s="806" t="s">
        <v>10137</v>
      </c>
      <c r="M995" s="806" t="s">
        <v>2763</v>
      </c>
      <c r="N995" s="837">
        <v>46043.0</v>
      </c>
      <c r="O995" s="803"/>
    </row>
    <row r="996" ht="15.0" customHeight="1">
      <c r="A996" s="786">
        <v>45988.0</v>
      </c>
      <c r="B996" s="787">
        <v>2.5111025E7</v>
      </c>
      <c r="C996" s="788" t="s">
        <v>10136</v>
      </c>
      <c r="D996" s="851" t="s">
        <v>5123</v>
      </c>
      <c r="E996" s="790" t="str">
        <f>IFERROR(VLOOKUP(D996,Stock,3,FALSE),"")</f>
        <v>BMW 3 Series 90-99 E36</v>
      </c>
      <c r="F996" s="788">
        <v>1.0</v>
      </c>
      <c r="G996" s="860">
        <v>832700.0</v>
      </c>
      <c r="H996" s="799">
        <f t="shared" si="7"/>
        <v>832700</v>
      </c>
      <c r="I996" s="800"/>
      <c r="J996" s="812"/>
      <c r="K996" s="848" t="s">
        <v>10532</v>
      </c>
      <c r="L996" s="806" t="s">
        <v>10137</v>
      </c>
      <c r="M996" s="806" t="s">
        <v>2763</v>
      </c>
      <c r="N996" s="837">
        <v>46043.0</v>
      </c>
      <c r="O996" s="803"/>
    </row>
    <row r="997" ht="15.0" customHeight="1">
      <c r="A997" s="786">
        <v>45988.0</v>
      </c>
      <c r="B997" s="787" t="s">
        <v>10533</v>
      </c>
      <c r="C997" s="788" t="s">
        <v>10139</v>
      </c>
      <c r="D997" s="851" t="s">
        <v>6433</v>
      </c>
      <c r="E997" s="790" t="str">
        <f>IFERROR(VLOOKUP(D997,Stock,3,FALSE),"")</f>
        <v>Toyota Hilux Pickup 15- (Revo)</v>
      </c>
      <c r="F997" s="788">
        <v>1.0</v>
      </c>
      <c r="G997" s="860">
        <v>853875.0</v>
      </c>
      <c r="H997" s="799">
        <f t="shared" si="7"/>
        <v>853875</v>
      </c>
      <c r="I997" s="800"/>
      <c r="J997" s="812"/>
      <c r="K997" s="848" t="s">
        <v>10534</v>
      </c>
      <c r="L997" s="806" t="s">
        <v>10137</v>
      </c>
      <c r="M997" s="806" t="s">
        <v>10502</v>
      </c>
      <c r="N997" s="854">
        <v>46353.0</v>
      </c>
      <c r="O997" s="803"/>
    </row>
    <row r="998" ht="15.0" customHeight="1">
      <c r="A998" s="786">
        <v>45988.0</v>
      </c>
      <c r="B998" s="787" t="s">
        <v>10533</v>
      </c>
      <c r="C998" s="788" t="s">
        <v>10139</v>
      </c>
      <c r="D998" s="851" t="s">
        <v>6516</v>
      </c>
      <c r="E998" s="790" t="str">
        <f>IFERROR(VLOOKUP(D998,Stock,3,FALSE),"")</f>
        <v>Mitsubishi Outlander 10-21</v>
      </c>
      <c r="F998" s="788">
        <v>1.0</v>
      </c>
      <c r="G998" s="860">
        <v>365000.0</v>
      </c>
      <c r="H998" s="799">
        <f t="shared" si="7"/>
        <v>365000</v>
      </c>
      <c r="I998" s="800"/>
      <c r="J998" s="812"/>
      <c r="K998" s="848" t="s">
        <v>10534</v>
      </c>
      <c r="L998" s="806" t="s">
        <v>10137</v>
      </c>
      <c r="M998" s="806" t="s">
        <v>10502</v>
      </c>
      <c r="N998" s="854">
        <v>46353.0</v>
      </c>
      <c r="O998" s="803"/>
    </row>
    <row r="999" ht="15.0" customHeight="1">
      <c r="A999" s="786">
        <v>45988.0</v>
      </c>
      <c r="B999" s="787">
        <v>2.5111035E7</v>
      </c>
      <c r="C999" s="788" t="s">
        <v>10136</v>
      </c>
      <c r="D999" s="851" t="s">
        <v>3333</v>
      </c>
      <c r="E999" s="790" t="str">
        <f>IFERROR(VLOOKUP(D999,Stock,3,FALSE),"")</f>
        <v>Toyota Alphard 18- ANH30 3rd Gen (Sensor bwh keramik)</v>
      </c>
      <c r="F999" s="788">
        <v>1.0</v>
      </c>
      <c r="G999" s="860">
        <v>1848550.0</v>
      </c>
      <c r="H999" s="799">
        <f t="shared" si="7"/>
        <v>1848550</v>
      </c>
      <c r="I999" s="800"/>
      <c r="J999" s="812"/>
      <c r="K999" s="848" t="s">
        <v>10534</v>
      </c>
      <c r="L999" s="806" t="s">
        <v>10137</v>
      </c>
      <c r="M999" s="806" t="s">
        <v>2763</v>
      </c>
      <c r="N999" s="837">
        <v>46043.0</v>
      </c>
      <c r="O999" s="803"/>
    </row>
    <row r="1000" ht="15.0" customHeight="1">
      <c r="A1000" s="786">
        <v>45988.0</v>
      </c>
      <c r="B1000" s="787">
        <v>2.5111035E7</v>
      </c>
      <c r="C1000" s="788" t="s">
        <v>10136</v>
      </c>
      <c r="D1000" s="851" t="s">
        <v>2916</v>
      </c>
      <c r="E1000" s="790" t="str">
        <f>IFERROR(VLOOKUP(D1000,Stock,3,FALSE),"")</f>
        <v>Toyota Alphard 08-15 ANH20 2nd Gen (Hitam)</v>
      </c>
      <c r="F1000" s="788">
        <v>1.0</v>
      </c>
      <c r="G1000" s="860">
        <v>1399200.0</v>
      </c>
      <c r="H1000" s="799">
        <f t="shared" si="7"/>
        <v>1399200</v>
      </c>
      <c r="I1000" s="800"/>
      <c r="J1000" s="812"/>
      <c r="K1000" s="848" t="s">
        <v>10534</v>
      </c>
      <c r="L1000" s="806" t="s">
        <v>10137</v>
      </c>
      <c r="M1000" s="806" t="s">
        <v>2763</v>
      </c>
      <c r="N1000" s="837">
        <v>46043.0</v>
      </c>
      <c r="O1000" s="803"/>
    </row>
    <row r="1001" ht="15.0" customHeight="1">
      <c r="A1001" s="786">
        <v>45988.0</v>
      </c>
      <c r="B1001" s="787">
        <v>2.511105E7</v>
      </c>
      <c r="C1001" s="788" t="s">
        <v>10136</v>
      </c>
      <c r="D1001" s="851" t="s">
        <v>3100</v>
      </c>
      <c r="E1001" s="790" t="str">
        <f>IFERROR(VLOOKUP(D1001,Stock,3,FALSE),"")</f>
        <v>Toyota Kijang 02-04 Kapsul Lem Efi</v>
      </c>
      <c r="F1001" s="788">
        <v>1.0</v>
      </c>
      <c r="G1001" s="860">
        <v>592900.0</v>
      </c>
      <c r="H1001" s="799">
        <f t="shared" si="7"/>
        <v>592900</v>
      </c>
      <c r="I1001" s="800"/>
      <c r="J1001" s="812"/>
      <c r="K1001" s="848" t="s">
        <v>10534</v>
      </c>
      <c r="L1001" s="806" t="s">
        <v>10137</v>
      </c>
      <c r="M1001" s="806" t="s">
        <v>2763</v>
      </c>
      <c r="N1001" s="837">
        <v>46043.0</v>
      </c>
      <c r="O1001" s="803"/>
    </row>
    <row r="1002" ht="15.0" customHeight="1">
      <c r="A1002" s="786">
        <v>45989.0</v>
      </c>
      <c r="B1002" s="787">
        <v>2.5111063E7</v>
      </c>
      <c r="C1002" s="788" t="s">
        <v>10136</v>
      </c>
      <c r="D1002" s="851" t="s">
        <v>6449</v>
      </c>
      <c r="E1002" s="790" t="str">
        <f>IFERROR(VLOOKUP(D1002,Stock,3,FALSE),"")</f>
        <v>Hyundai Palisade 20-</v>
      </c>
      <c r="F1002" s="788">
        <v>1.0</v>
      </c>
      <c r="G1002" s="860">
        <v>2007500.0</v>
      </c>
      <c r="H1002" s="799">
        <f t="shared" si="7"/>
        <v>2007500</v>
      </c>
      <c r="I1002" s="800"/>
      <c r="J1002" s="812"/>
      <c r="K1002" s="848" t="s">
        <v>10534</v>
      </c>
      <c r="L1002" s="806" t="s">
        <v>10137</v>
      </c>
      <c r="M1002" s="806" t="s">
        <v>2763</v>
      </c>
      <c r="N1002" s="837">
        <v>46043.0</v>
      </c>
      <c r="O1002" s="803"/>
    </row>
    <row r="1003" ht="15.0" customHeight="1">
      <c r="A1003" s="786">
        <v>45989.0</v>
      </c>
      <c r="B1003" s="787">
        <v>2.5111063E7</v>
      </c>
      <c r="C1003" s="788" t="s">
        <v>10136</v>
      </c>
      <c r="D1003" s="851" t="s">
        <v>3142</v>
      </c>
      <c r="E1003" s="790" t="str">
        <f>IFERROR(VLOOKUP(D1003,Stock,3,FALSE),"")</f>
        <v>Mitsubishi Xpander 17-</v>
      </c>
      <c r="F1003" s="788">
        <v>1.0</v>
      </c>
      <c r="G1003" s="860">
        <v>739200.0</v>
      </c>
      <c r="H1003" s="799">
        <f t="shared" si="7"/>
        <v>739200</v>
      </c>
      <c r="I1003" s="800"/>
      <c r="J1003" s="812"/>
      <c r="K1003" s="848" t="s">
        <v>10534</v>
      </c>
      <c r="L1003" s="806" t="s">
        <v>10137</v>
      </c>
      <c r="M1003" s="806" t="s">
        <v>2763</v>
      </c>
      <c r="N1003" s="837">
        <v>46043.0</v>
      </c>
      <c r="O1003" s="803"/>
    </row>
    <row r="1004" ht="15.0" customHeight="1">
      <c r="A1004" s="786">
        <v>45989.0</v>
      </c>
      <c r="B1004" s="787">
        <v>2.5111063E7</v>
      </c>
      <c r="C1004" s="788" t="s">
        <v>10136</v>
      </c>
      <c r="D1004" s="851" t="s">
        <v>6447</v>
      </c>
      <c r="E1004" s="790" t="str">
        <f>IFERROR(VLOOKUP(D1004,Stock,3,FALSE),"")</f>
        <v>Toyota Camry 18- XV70 6th Gen</v>
      </c>
      <c r="F1004" s="788">
        <v>1.0</v>
      </c>
      <c r="G1004" s="860">
        <v>1355200.0</v>
      </c>
      <c r="H1004" s="799">
        <f t="shared" si="7"/>
        <v>1355200</v>
      </c>
      <c r="I1004" s="800"/>
      <c r="J1004" s="812"/>
      <c r="K1004" s="848" t="s">
        <v>10534</v>
      </c>
      <c r="L1004" s="806" t="s">
        <v>10137</v>
      </c>
      <c r="M1004" s="806" t="s">
        <v>2763</v>
      </c>
      <c r="N1004" s="837">
        <v>46043.0</v>
      </c>
      <c r="O1004" s="803"/>
    </row>
    <row r="1005" ht="15.0" customHeight="1">
      <c r="A1005" s="786">
        <v>45958.0</v>
      </c>
      <c r="B1005" s="787" t="s">
        <v>10535</v>
      </c>
      <c r="C1005" s="788" t="s">
        <v>24</v>
      </c>
      <c r="D1005" s="851" t="s">
        <v>10402</v>
      </c>
      <c r="E1005" s="790" t="str">
        <f>IFERROR(VLOOKUP(D1005,Stock,3,FALSE),"")</f>
        <v/>
      </c>
      <c r="F1005" s="788">
        <v>3.0</v>
      </c>
      <c r="G1005" s="860">
        <v>1800000.0</v>
      </c>
      <c r="H1005" s="799">
        <f t="shared" si="7"/>
        <v>5400000</v>
      </c>
      <c r="I1005" s="800"/>
      <c r="J1005" s="812"/>
      <c r="K1005" s="848" t="s">
        <v>3191</v>
      </c>
      <c r="L1005" s="806" t="s">
        <v>10137</v>
      </c>
      <c r="M1005" s="806" t="s">
        <v>2763</v>
      </c>
      <c r="N1005" s="837">
        <v>45992.0</v>
      </c>
      <c r="O1005" s="803"/>
    </row>
    <row r="1006" ht="15.0" customHeight="1">
      <c r="A1006" s="786">
        <v>45958.0</v>
      </c>
      <c r="B1006" s="787" t="s">
        <v>10535</v>
      </c>
      <c r="C1006" s="788" t="s">
        <v>24</v>
      </c>
      <c r="D1006" s="851" t="s">
        <v>10536</v>
      </c>
      <c r="E1006" s="790" t="str">
        <f>IFERROR(VLOOKUP(D1006,Stock,3,FALSE),"")</f>
        <v/>
      </c>
      <c r="F1006" s="788">
        <v>1.0</v>
      </c>
      <c r="G1006" s="860">
        <v>3700000.0</v>
      </c>
      <c r="H1006" s="799">
        <f t="shared" si="7"/>
        <v>3700000</v>
      </c>
      <c r="I1006" s="800"/>
      <c r="J1006" s="812"/>
      <c r="K1006" s="848" t="s">
        <v>3191</v>
      </c>
      <c r="L1006" s="806" t="s">
        <v>10137</v>
      </c>
      <c r="M1006" s="806" t="s">
        <v>2763</v>
      </c>
      <c r="N1006" s="837">
        <v>45992.0</v>
      </c>
      <c r="O1006" s="803"/>
    </row>
    <row r="1007" ht="15.0" customHeight="1">
      <c r="A1007" s="786">
        <v>45958.0</v>
      </c>
      <c r="B1007" s="787" t="s">
        <v>10535</v>
      </c>
      <c r="C1007" s="788" t="s">
        <v>24</v>
      </c>
      <c r="D1007" s="851" t="s">
        <v>10537</v>
      </c>
      <c r="E1007" s="790" t="str">
        <f>IFERROR(VLOOKUP(D1007,Stock,3,FALSE),"")</f>
        <v/>
      </c>
      <c r="F1007" s="788">
        <v>2.0</v>
      </c>
      <c r="G1007" s="860">
        <v>250000.0</v>
      </c>
      <c r="H1007" s="799">
        <f t="shared" si="7"/>
        <v>500000</v>
      </c>
      <c r="I1007" s="800"/>
      <c r="J1007" s="812"/>
      <c r="K1007" s="848" t="s">
        <v>3191</v>
      </c>
      <c r="L1007" s="806" t="s">
        <v>10137</v>
      </c>
      <c r="M1007" s="806" t="s">
        <v>2763</v>
      </c>
      <c r="N1007" s="837">
        <v>45992.0</v>
      </c>
      <c r="O1007" s="803"/>
    </row>
    <row r="1008" ht="15.0" customHeight="1">
      <c r="A1008" s="786">
        <v>45987.0</v>
      </c>
      <c r="B1008" s="787" t="s">
        <v>10538</v>
      </c>
      <c r="C1008" s="788" t="s">
        <v>24</v>
      </c>
      <c r="D1008" s="851" t="s">
        <v>10402</v>
      </c>
      <c r="E1008" s="790" t="str">
        <f>IFERROR(VLOOKUP(D1008,Stock,3,FALSE),"")</f>
        <v/>
      </c>
      <c r="F1008" s="788">
        <v>1.0</v>
      </c>
      <c r="G1008" s="860">
        <v>1800000.0</v>
      </c>
      <c r="H1008" s="799">
        <f t="shared" si="7"/>
        <v>1800000</v>
      </c>
      <c r="I1008" s="800"/>
      <c r="J1008" s="812"/>
      <c r="K1008" s="848" t="s">
        <v>3191</v>
      </c>
      <c r="L1008" s="806" t="s">
        <v>10137</v>
      </c>
      <c r="M1008" s="806" t="s">
        <v>2763</v>
      </c>
      <c r="N1008" s="854">
        <v>46018.0</v>
      </c>
      <c r="O1008" s="803"/>
    </row>
    <row r="1009" ht="15.0" customHeight="1">
      <c r="A1009" s="786">
        <v>45987.0</v>
      </c>
      <c r="B1009" s="787" t="s">
        <v>10538</v>
      </c>
      <c r="C1009" s="788" t="s">
        <v>24</v>
      </c>
      <c r="D1009" s="851" t="s">
        <v>10539</v>
      </c>
      <c r="E1009" s="790" t="str">
        <f>IFERROR(VLOOKUP(D1009,Stock,3,FALSE),"")</f>
        <v/>
      </c>
      <c r="F1009" s="788">
        <v>2.0</v>
      </c>
      <c r="G1009" s="860">
        <v>135000.0</v>
      </c>
      <c r="H1009" s="799">
        <f t="shared" si="7"/>
        <v>270000</v>
      </c>
      <c r="I1009" s="800"/>
      <c r="J1009" s="812"/>
      <c r="K1009" s="848" t="s">
        <v>3191</v>
      </c>
      <c r="L1009" s="806" t="s">
        <v>10137</v>
      </c>
      <c r="M1009" s="806" t="s">
        <v>2763</v>
      </c>
      <c r="N1009" s="854">
        <v>46018.0</v>
      </c>
      <c r="O1009" s="803"/>
    </row>
    <row r="1010" ht="15.0" customHeight="1">
      <c r="A1010" s="786">
        <v>45990.0</v>
      </c>
      <c r="B1010" s="787" t="s">
        <v>10540</v>
      </c>
      <c r="C1010" s="788" t="s">
        <v>2643</v>
      </c>
      <c r="D1010" s="851" t="s">
        <v>6548</v>
      </c>
      <c r="E1010" s="790" t="str">
        <f>IFERROR(VLOOKUP(D1010,Stock,3,FALSE),"")</f>
        <v/>
      </c>
      <c r="F1010" s="788">
        <v>1.0</v>
      </c>
      <c r="G1010" s="860">
        <v>850000.0</v>
      </c>
      <c r="H1010" s="799">
        <f t="shared" si="7"/>
        <v>850000</v>
      </c>
      <c r="I1010" s="800"/>
      <c r="J1010" s="812"/>
      <c r="K1010" s="848" t="s">
        <v>10534</v>
      </c>
      <c r="L1010" s="806" t="s">
        <v>10137</v>
      </c>
      <c r="M1010" s="806" t="s">
        <v>2763</v>
      </c>
      <c r="N1010" s="837">
        <v>46043.0</v>
      </c>
      <c r="O1010" s="803"/>
    </row>
    <row r="1011" ht="15.0" customHeight="1">
      <c r="A1011" s="786">
        <v>45990.0</v>
      </c>
      <c r="B1011" s="787" t="s">
        <v>10541</v>
      </c>
      <c r="C1011" s="788" t="s">
        <v>2643</v>
      </c>
      <c r="D1011" s="851" t="s">
        <v>8398</v>
      </c>
      <c r="E1011" s="790" t="str">
        <f>IFERROR(VLOOKUP(D1011,Stock,3,FALSE),"")</f>
        <v>Toyota Rush / Terios 06-17 (Toyota/Daihatsu)</v>
      </c>
      <c r="F1011" s="788">
        <v>1.0</v>
      </c>
      <c r="G1011" s="860">
        <v>1358500.0</v>
      </c>
      <c r="H1011" s="799">
        <f t="shared" si="7"/>
        <v>1358500</v>
      </c>
      <c r="I1011" s="800"/>
      <c r="J1011" s="812"/>
      <c r="K1011" s="848" t="s">
        <v>10534</v>
      </c>
      <c r="L1011" s="806" t="s">
        <v>10137</v>
      </c>
      <c r="M1011" s="806" t="s">
        <v>2763</v>
      </c>
      <c r="N1011" s="837">
        <v>46043.0</v>
      </c>
      <c r="O1011" s="803"/>
    </row>
    <row r="1012" ht="15.0" customHeight="1">
      <c r="A1012" s="874">
        <v>45992.0</v>
      </c>
      <c r="B1012" s="875" t="s">
        <v>10542</v>
      </c>
      <c r="C1012" s="876" t="s">
        <v>10156</v>
      </c>
      <c r="D1012" s="877" t="s">
        <v>6368</v>
      </c>
      <c r="E1012" s="878" t="str">
        <f>IFERROR(VLOOKUP(D1012,Stock,3,FALSE),"")</f>
        <v>Honda Civic 22- 11th Gen Hatch/Sedan (Honda)</v>
      </c>
      <c r="F1012" s="876">
        <v>1.0</v>
      </c>
      <c r="G1012" s="879">
        <v>750000.0</v>
      </c>
      <c r="H1012" s="880">
        <f t="shared" si="7"/>
        <v>750000</v>
      </c>
      <c r="I1012" s="881"/>
      <c r="J1012" s="882" t="s">
        <v>10519</v>
      </c>
      <c r="K1012" s="850" t="s">
        <v>10534</v>
      </c>
    </row>
    <row r="1013" ht="15.0" customHeight="1">
      <c r="A1013" s="786">
        <v>45992.0</v>
      </c>
      <c r="B1013" s="787">
        <v>2512030.0</v>
      </c>
      <c r="C1013" s="788" t="s">
        <v>10136</v>
      </c>
      <c r="D1013" s="851" t="s">
        <v>6494</v>
      </c>
      <c r="E1013" s="790" t="str">
        <f>IFERROR(VLOOKUP(D1013,Stock,3,FALSE),"")</f>
        <v>Mitsubishi Mirage 12-</v>
      </c>
      <c r="F1013" s="788">
        <v>1.0</v>
      </c>
      <c r="G1013" s="860">
        <v>711150.0</v>
      </c>
      <c r="H1013" s="799">
        <f t="shared" si="7"/>
        <v>711150</v>
      </c>
      <c r="I1013" s="800"/>
      <c r="J1013" s="812"/>
      <c r="K1013" s="848" t="s">
        <v>10534</v>
      </c>
      <c r="L1013" s="806" t="s">
        <v>10137</v>
      </c>
      <c r="M1013" s="806" t="s">
        <v>2763</v>
      </c>
      <c r="N1013" s="837">
        <v>46058.0</v>
      </c>
      <c r="O1013" s="803"/>
    </row>
    <row r="1014" ht="15.0" customHeight="1">
      <c r="A1014" s="786">
        <v>45992.0</v>
      </c>
      <c r="B1014" s="787">
        <v>2512030.0</v>
      </c>
      <c r="C1014" s="788" t="s">
        <v>10136</v>
      </c>
      <c r="D1014" s="851" t="s">
        <v>5853</v>
      </c>
      <c r="E1014" s="790" t="str">
        <f>IFERROR(VLOOKUP(D1014,Stock,3,FALSE),"")</f>
        <v>Wuling Cortez</v>
      </c>
      <c r="F1014" s="788">
        <v>1.0</v>
      </c>
      <c r="G1014" s="860">
        <v>982850.0</v>
      </c>
      <c r="H1014" s="799">
        <f t="shared" si="7"/>
        <v>982850</v>
      </c>
      <c r="I1014" s="800"/>
      <c r="J1014" s="812"/>
      <c r="K1014" s="848" t="s">
        <v>10534</v>
      </c>
      <c r="L1014" s="806" t="s">
        <v>10137</v>
      </c>
      <c r="M1014" s="806" t="s">
        <v>2763</v>
      </c>
      <c r="N1014" s="837">
        <v>46058.0</v>
      </c>
      <c r="O1014" s="803"/>
    </row>
    <row r="1015" ht="15.0" customHeight="1">
      <c r="A1015" s="786">
        <v>45992.0</v>
      </c>
      <c r="B1015" s="787">
        <v>2512030.0</v>
      </c>
      <c r="C1015" s="788" t="s">
        <v>10136</v>
      </c>
      <c r="D1015" s="851" t="s">
        <v>6507</v>
      </c>
      <c r="E1015" s="790" t="str">
        <f>IFERROR(VLOOKUP(D1015,Stock,3,FALSE),"")</f>
        <v>Hyundai Santa Fe 18-</v>
      </c>
      <c r="F1015" s="788">
        <v>1.0</v>
      </c>
      <c r="G1015" s="860">
        <v>1355200.0</v>
      </c>
      <c r="H1015" s="799">
        <f t="shared" si="7"/>
        <v>1355200</v>
      </c>
      <c r="I1015" s="800"/>
      <c r="J1015" s="812"/>
      <c r="K1015" s="848" t="s">
        <v>10534</v>
      </c>
      <c r="L1015" s="806" t="s">
        <v>10137</v>
      </c>
      <c r="M1015" s="806" t="s">
        <v>2763</v>
      </c>
      <c r="N1015" s="837">
        <v>46058.0</v>
      </c>
      <c r="O1015" s="803"/>
    </row>
    <row r="1016" ht="15.0" customHeight="1">
      <c r="A1016" s="786">
        <v>45992.0</v>
      </c>
      <c r="B1016" s="787">
        <v>2512030.0</v>
      </c>
      <c r="C1016" s="788" t="s">
        <v>10136</v>
      </c>
      <c r="D1016" s="851" t="s">
        <v>4644</v>
      </c>
      <c r="E1016" s="790" t="str">
        <f>IFERROR(VLOOKUP(D1016,Stock,3,FALSE),"")</f>
        <v>Toyota Raize / Daihatsu Rocky 20-</v>
      </c>
      <c r="F1016" s="788">
        <v>1.0</v>
      </c>
      <c r="G1016" s="860">
        <v>659450.0</v>
      </c>
      <c r="H1016" s="799">
        <f t="shared" si="7"/>
        <v>659450</v>
      </c>
      <c r="I1016" s="800"/>
      <c r="J1016" s="812"/>
      <c r="K1016" s="848" t="s">
        <v>10534</v>
      </c>
      <c r="L1016" s="806" t="s">
        <v>10137</v>
      </c>
      <c r="M1016" s="806" t="s">
        <v>2763</v>
      </c>
      <c r="N1016" s="837">
        <v>46058.0</v>
      </c>
      <c r="O1016" s="803"/>
    </row>
    <row r="1017" ht="15.0" customHeight="1">
      <c r="A1017" s="786">
        <v>45993.0</v>
      </c>
      <c r="B1017" s="787">
        <v>2512090.0</v>
      </c>
      <c r="C1017" s="788" t="s">
        <v>10136</v>
      </c>
      <c r="D1017" s="851" t="s">
        <v>4644</v>
      </c>
      <c r="E1017" s="790" t="str">
        <f>IFERROR(VLOOKUP(D1017,Stock,3,FALSE),"")</f>
        <v>Toyota Raize / Daihatsu Rocky 20-</v>
      </c>
      <c r="F1017" s="788">
        <v>1.0</v>
      </c>
      <c r="G1017" s="860">
        <v>659450.0</v>
      </c>
      <c r="H1017" s="799">
        <f t="shared" si="7"/>
        <v>659450</v>
      </c>
      <c r="I1017" s="800"/>
      <c r="J1017" s="812"/>
      <c r="K1017" s="848" t="s">
        <v>10534</v>
      </c>
      <c r="L1017" s="806" t="s">
        <v>10137</v>
      </c>
      <c r="M1017" s="806" t="s">
        <v>2763</v>
      </c>
      <c r="N1017" s="837">
        <v>46058.0</v>
      </c>
      <c r="O1017" s="803"/>
    </row>
    <row r="1018" ht="15.0" customHeight="1">
      <c r="A1018" s="786">
        <v>45993.0</v>
      </c>
      <c r="B1018" s="787">
        <v>2512090.0</v>
      </c>
      <c r="C1018" s="788" t="s">
        <v>10136</v>
      </c>
      <c r="D1018" s="851" t="s">
        <v>4383</v>
      </c>
      <c r="E1018" s="790" t="str">
        <f>IFERROR(VLOOKUP(D1018,Stock,3,FALSE),"")</f>
        <v>Honda HR-V 14-21 5D SUV</v>
      </c>
      <c r="F1018" s="788">
        <v>1.0</v>
      </c>
      <c r="G1018" s="860">
        <v>883300.0</v>
      </c>
      <c r="H1018" s="799">
        <f t="shared" si="7"/>
        <v>883300</v>
      </c>
      <c r="I1018" s="800"/>
      <c r="J1018" s="812"/>
      <c r="K1018" s="848" t="s">
        <v>10534</v>
      </c>
      <c r="L1018" s="806" t="s">
        <v>10137</v>
      </c>
      <c r="M1018" s="806" t="s">
        <v>2763</v>
      </c>
      <c r="N1018" s="837">
        <v>46058.0</v>
      </c>
      <c r="O1018" s="803"/>
    </row>
    <row r="1019" ht="15.0" customHeight="1">
      <c r="A1019" s="786">
        <v>45993.0</v>
      </c>
      <c r="B1019" s="787">
        <v>2512090.0</v>
      </c>
      <c r="C1019" s="788" t="s">
        <v>10136</v>
      </c>
      <c r="D1019" s="851" t="s">
        <v>3849</v>
      </c>
      <c r="E1019" s="790" t="str">
        <f>IFERROR(VLOOKUP(D1019,Stock,3,FALSE),"")</f>
        <v>Toyota Yaris 13- 2nd Gen / Vios 14- 3rd Gen</v>
      </c>
      <c r="F1019" s="788">
        <v>1.0</v>
      </c>
      <c r="G1019" s="860">
        <v>725450.0</v>
      </c>
      <c r="H1019" s="799">
        <f t="shared" si="7"/>
        <v>725450</v>
      </c>
      <c r="I1019" s="800"/>
      <c r="J1019" s="812"/>
      <c r="K1019" s="848" t="s">
        <v>10534</v>
      </c>
      <c r="L1019" s="806" t="s">
        <v>10137</v>
      </c>
      <c r="M1019" s="806" t="s">
        <v>2763</v>
      </c>
      <c r="N1019" s="837">
        <v>46058.0</v>
      </c>
      <c r="O1019" s="803"/>
    </row>
    <row r="1020" ht="15.0" customHeight="1">
      <c r="A1020" s="786">
        <v>45994.0</v>
      </c>
      <c r="B1020" s="787" t="s">
        <v>10543</v>
      </c>
      <c r="C1020" s="788" t="s">
        <v>2643</v>
      </c>
      <c r="D1020" s="851" t="s">
        <v>4176</v>
      </c>
      <c r="E1020" s="790" t="str">
        <f>IFERROR(VLOOKUP(D1020,Stock,3,FALSE),"")</f>
        <v>Honda HR-V 22- 5D SUV (Honda)</v>
      </c>
      <c r="F1020" s="788">
        <v>1.0</v>
      </c>
      <c r="G1020" s="860">
        <v>2031744.0</v>
      </c>
      <c r="H1020" s="799">
        <f t="shared" si="7"/>
        <v>2031744</v>
      </c>
      <c r="I1020" s="800"/>
      <c r="J1020" s="812"/>
      <c r="K1020" s="813"/>
      <c r="L1020" s="806" t="s">
        <v>10137</v>
      </c>
      <c r="M1020" s="806" t="s">
        <v>2763</v>
      </c>
      <c r="N1020" s="837">
        <v>46063.0</v>
      </c>
      <c r="O1020" s="803"/>
    </row>
    <row r="1021" ht="15.0" customHeight="1">
      <c r="A1021" s="786">
        <v>45994.0</v>
      </c>
      <c r="B1021" s="787" t="s">
        <v>10544</v>
      </c>
      <c r="C1021" s="788" t="s">
        <v>10139</v>
      </c>
      <c r="D1021" s="851" t="s">
        <v>6558</v>
      </c>
      <c r="E1021" s="790" t="str">
        <f>IFERROR(VLOOKUP(D1021,Stock,3,FALSE),"")</f>
        <v>Toyota Yaris 05-13 XP90 1st Gen</v>
      </c>
      <c r="F1021" s="788">
        <v>1.0</v>
      </c>
      <c r="G1021" s="860">
        <v>415000.0</v>
      </c>
      <c r="H1021" s="799">
        <f t="shared" si="7"/>
        <v>415000</v>
      </c>
      <c r="I1021" s="800"/>
      <c r="J1021" s="812"/>
      <c r="K1021" s="813"/>
      <c r="L1021" s="806" t="s">
        <v>10137</v>
      </c>
      <c r="M1021" s="806" t="s">
        <v>10502</v>
      </c>
      <c r="N1021" s="837">
        <v>45994.0</v>
      </c>
      <c r="O1021" s="803"/>
    </row>
    <row r="1022" ht="15.0" customHeight="1">
      <c r="A1022" s="786">
        <v>45994.0</v>
      </c>
      <c r="B1022" s="787">
        <v>2512139.0</v>
      </c>
      <c r="C1022" s="788" t="s">
        <v>10136</v>
      </c>
      <c r="D1022" s="851" t="s">
        <v>5080</v>
      </c>
      <c r="E1022" s="790" t="str">
        <f>IFERROR(VLOOKUP(D1022,Stock,3,FALSE),"")</f>
        <v>Lexus RX (Harrier) 03-08 XU30</v>
      </c>
      <c r="F1022" s="788">
        <v>1.0</v>
      </c>
      <c r="G1022" s="860">
        <v>2125750.0</v>
      </c>
      <c r="H1022" s="799">
        <f t="shared" si="7"/>
        <v>2125750</v>
      </c>
      <c r="I1022" s="800"/>
      <c r="J1022" s="812"/>
      <c r="K1022" s="848" t="s">
        <v>3481</v>
      </c>
      <c r="L1022" s="806" t="s">
        <v>10137</v>
      </c>
      <c r="M1022" s="806" t="s">
        <v>2763</v>
      </c>
      <c r="N1022" s="837">
        <v>46058.0</v>
      </c>
      <c r="O1022" s="803"/>
    </row>
    <row r="1023" ht="15.0" customHeight="1">
      <c r="A1023" s="786">
        <v>45994.0</v>
      </c>
      <c r="B1023" s="787">
        <v>2512139.0</v>
      </c>
      <c r="C1023" s="788" t="s">
        <v>10136</v>
      </c>
      <c r="D1023" s="851" t="s">
        <v>3700</v>
      </c>
      <c r="E1023" s="790" t="str">
        <f>IFERROR(VLOOKUP(D1023,Stock,3,FALSE),"")</f>
        <v>Toyota Avanza / Xenia 11-15 2nd Gen / 15-21 3rd Gen</v>
      </c>
      <c r="F1023" s="788">
        <v>2.0</v>
      </c>
      <c r="G1023" s="860">
        <v>329450.0</v>
      </c>
      <c r="H1023" s="799">
        <f t="shared" si="7"/>
        <v>658900</v>
      </c>
      <c r="I1023" s="800"/>
      <c r="J1023" s="812"/>
      <c r="K1023" s="848" t="s">
        <v>3481</v>
      </c>
      <c r="L1023" s="806" t="s">
        <v>10137</v>
      </c>
      <c r="M1023" s="806" t="s">
        <v>2763</v>
      </c>
      <c r="N1023" s="837">
        <v>46058.0</v>
      </c>
      <c r="O1023" s="803"/>
    </row>
    <row r="1024" ht="15.0" customHeight="1">
      <c r="A1024" s="786">
        <v>45994.0</v>
      </c>
      <c r="B1024" s="787">
        <v>2512139.0</v>
      </c>
      <c r="C1024" s="788" t="s">
        <v>10136</v>
      </c>
      <c r="D1024" s="851" t="s">
        <v>4590</v>
      </c>
      <c r="E1024" s="790" t="str">
        <f>IFERROR(VLOOKUP(D1024,Stock,3,FALSE),"")</f>
        <v>Toyota Avanza / Xenia 11-15 2nd Gen / 15-21 3rd Gen</v>
      </c>
      <c r="F1024" s="788">
        <v>2.0</v>
      </c>
      <c r="G1024" s="860">
        <v>350350.0</v>
      </c>
      <c r="H1024" s="799">
        <f t="shared" si="7"/>
        <v>700700</v>
      </c>
      <c r="I1024" s="800"/>
      <c r="J1024" s="812"/>
      <c r="K1024" s="848" t="s">
        <v>3481</v>
      </c>
      <c r="L1024" s="806" t="s">
        <v>10137</v>
      </c>
      <c r="M1024" s="806" t="s">
        <v>2763</v>
      </c>
      <c r="N1024" s="837">
        <v>46058.0</v>
      </c>
      <c r="O1024" s="803"/>
    </row>
    <row r="1025" ht="15.0" customHeight="1">
      <c r="A1025" s="786">
        <v>45994.0</v>
      </c>
      <c r="B1025" s="787">
        <v>2512139.0</v>
      </c>
      <c r="C1025" s="788" t="s">
        <v>10136</v>
      </c>
      <c r="D1025" s="851" t="s">
        <v>3193</v>
      </c>
      <c r="E1025" s="790" t="str">
        <f>IFERROR(VLOOKUP(D1025,Stock,3,FALSE),"")</f>
        <v>Toyota Avanza / Xenia 11-15 2nd Gen</v>
      </c>
      <c r="F1025" s="788">
        <v>1.0</v>
      </c>
      <c r="G1025" s="860">
        <v>416900.0</v>
      </c>
      <c r="H1025" s="799">
        <f t="shared" si="7"/>
        <v>416900</v>
      </c>
      <c r="I1025" s="800"/>
      <c r="J1025" s="812"/>
      <c r="K1025" s="848" t="s">
        <v>3481</v>
      </c>
      <c r="L1025" s="806" t="s">
        <v>10137</v>
      </c>
      <c r="M1025" s="806" t="s">
        <v>2763</v>
      </c>
      <c r="N1025" s="837">
        <v>46058.0</v>
      </c>
      <c r="O1025" s="803"/>
    </row>
    <row r="1026" ht="15.0" customHeight="1">
      <c r="A1026" s="786">
        <v>45993.0</v>
      </c>
      <c r="B1026" s="787">
        <v>2512115.0</v>
      </c>
      <c r="C1026" s="788" t="s">
        <v>10136</v>
      </c>
      <c r="D1026" s="851" t="s">
        <v>6546</v>
      </c>
      <c r="E1026" s="790" t="str">
        <f>IFERROR(VLOOKUP(D1026,Stock,3,FALSE),"")</f>
        <v>Mers-Benz S-Class 91-98 W140 4D</v>
      </c>
      <c r="F1026" s="788">
        <v>1.0</v>
      </c>
      <c r="G1026" s="860">
        <v>3725700.0</v>
      </c>
      <c r="H1026" s="799">
        <f t="shared" si="7"/>
        <v>3725700</v>
      </c>
      <c r="I1026" s="800"/>
      <c r="J1026" s="812"/>
      <c r="K1026" s="848" t="s">
        <v>3481</v>
      </c>
      <c r="L1026" s="806" t="s">
        <v>10137</v>
      </c>
      <c r="M1026" s="806" t="s">
        <v>2763</v>
      </c>
      <c r="N1026" s="837">
        <v>46058.0</v>
      </c>
      <c r="O1026" s="803"/>
    </row>
    <row r="1027" ht="15.0" customHeight="1">
      <c r="A1027" s="786">
        <v>45993.0</v>
      </c>
      <c r="B1027" s="787">
        <v>2512115.0</v>
      </c>
      <c r="C1027" s="788" t="s">
        <v>10136</v>
      </c>
      <c r="D1027" s="851" t="s">
        <v>6522</v>
      </c>
      <c r="E1027" s="790" t="str">
        <f>IFERROR(VLOOKUP(D1027,Stock,3,FALSE),"")</f>
        <v>Mers-Benz S-Class  06-13 W221 4D (2 Sensor/ □ /\ )</v>
      </c>
      <c r="F1027" s="788">
        <v>1.0</v>
      </c>
      <c r="G1027" s="860">
        <v>5269000.0</v>
      </c>
      <c r="H1027" s="799">
        <f t="shared" si="7"/>
        <v>5269000</v>
      </c>
      <c r="I1027" s="800"/>
      <c r="J1027" s="812"/>
      <c r="K1027" s="848" t="s">
        <v>3481</v>
      </c>
      <c r="L1027" s="806" t="s">
        <v>10137</v>
      </c>
      <c r="M1027" s="806" t="s">
        <v>2763</v>
      </c>
      <c r="N1027" s="837">
        <v>46058.0</v>
      </c>
      <c r="O1027" s="803"/>
    </row>
    <row r="1028" ht="15.0" customHeight="1">
      <c r="A1028" s="786">
        <v>45994.0</v>
      </c>
      <c r="B1028" s="787">
        <v>2512173.0</v>
      </c>
      <c r="C1028" s="788" t="s">
        <v>10136</v>
      </c>
      <c r="D1028" s="851" t="s">
        <v>6569</v>
      </c>
      <c r="E1028" s="790" t="str">
        <f>IFERROR(VLOOKUP(D1028,Stock,3,FALSE),"")</f>
        <v>Mitsubishi Fuso Fighter FK40 82-(PS190,220)</v>
      </c>
      <c r="F1028" s="788">
        <v>1.0</v>
      </c>
      <c r="G1028" s="860">
        <v>779350.0</v>
      </c>
      <c r="H1028" s="799">
        <f t="shared" si="7"/>
        <v>779350</v>
      </c>
      <c r="I1028" s="800"/>
      <c r="J1028" s="812"/>
      <c r="K1028" s="848" t="s">
        <v>3481</v>
      </c>
      <c r="L1028" s="806" t="s">
        <v>10137</v>
      </c>
      <c r="M1028" s="806" t="s">
        <v>2763</v>
      </c>
      <c r="N1028" s="837">
        <v>46058.0</v>
      </c>
      <c r="O1028" s="803"/>
    </row>
    <row r="1029" ht="15.0" customHeight="1">
      <c r="A1029" s="786">
        <v>45994.0</v>
      </c>
      <c r="B1029" s="787">
        <v>2512173.0</v>
      </c>
      <c r="C1029" s="788" t="s">
        <v>10136</v>
      </c>
      <c r="D1029" s="851" t="s">
        <v>4447</v>
      </c>
      <c r="E1029" s="790" t="str">
        <f>IFERROR(VLOOKUP(D1029,Stock,3,FALSE),"")</f>
        <v>Isuzu Elf 17- New NMR NLR</v>
      </c>
      <c r="F1029" s="788">
        <v>1.0</v>
      </c>
      <c r="G1029" s="860">
        <v>502700.0</v>
      </c>
      <c r="H1029" s="799">
        <f t="shared" si="7"/>
        <v>502700</v>
      </c>
      <c r="I1029" s="800"/>
      <c r="J1029" s="812"/>
      <c r="K1029" s="848" t="s">
        <v>3481</v>
      </c>
      <c r="L1029" s="806" t="s">
        <v>10137</v>
      </c>
      <c r="M1029" s="806" t="s">
        <v>2763</v>
      </c>
      <c r="N1029" s="837">
        <v>46058.0</v>
      </c>
      <c r="O1029" s="803"/>
    </row>
    <row r="1030" ht="15.0" customHeight="1">
      <c r="A1030" s="786">
        <v>45995.0</v>
      </c>
      <c r="B1030" s="787" t="s">
        <v>10545</v>
      </c>
      <c r="C1030" s="788" t="s">
        <v>10341</v>
      </c>
      <c r="D1030" s="851" t="s">
        <v>10546</v>
      </c>
      <c r="E1030" s="790" t="str">
        <f>IFERROR(VLOOKUP(D1030,Stock,3,FALSE),"")</f>
        <v/>
      </c>
      <c r="F1030" s="788">
        <v>40.0</v>
      </c>
      <c r="G1030" s="860">
        <v>125000.0</v>
      </c>
      <c r="H1030" s="799">
        <f t="shared" si="7"/>
        <v>5000000</v>
      </c>
      <c r="I1030" s="800"/>
      <c r="J1030" s="812"/>
      <c r="K1030" s="848" t="s">
        <v>3191</v>
      </c>
      <c r="L1030" s="806" t="s">
        <v>10137</v>
      </c>
      <c r="M1030" s="806" t="s">
        <v>2763</v>
      </c>
      <c r="N1030" s="837">
        <v>45700.0</v>
      </c>
      <c r="O1030" s="803"/>
    </row>
    <row r="1031" ht="15.0" customHeight="1">
      <c r="A1031" s="786">
        <v>45995.0</v>
      </c>
      <c r="B1031" s="787" t="s">
        <v>10547</v>
      </c>
      <c r="C1031" s="788" t="s">
        <v>10139</v>
      </c>
      <c r="D1031" s="851" t="s">
        <v>6576</v>
      </c>
      <c r="E1031" s="790" t="str">
        <f>IFERROR(VLOOKUP(D1031,Stock,3,FALSE),"")</f>
        <v>Honda Freed 08-16 1st gen</v>
      </c>
      <c r="F1031" s="788">
        <v>1.0</v>
      </c>
      <c r="G1031" s="860">
        <v>370000.0</v>
      </c>
      <c r="H1031" s="799">
        <f t="shared" si="7"/>
        <v>370000</v>
      </c>
      <c r="I1031" s="800"/>
      <c r="J1031" s="812"/>
      <c r="K1031" s="848" t="s">
        <v>3481</v>
      </c>
      <c r="L1031" s="806" t="s">
        <v>10137</v>
      </c>
      <c r="M1031" s="806" t="s">
        <v>10502</v>
      </c>
      <c r="N1031" s="837">
        <v>45995.0</v>
      </c>
      <c r="O1031" s="803"/>
    </row>
    <row r="1032" ht="15.0" customHeight="1">
      <c r="A1032" s="786">
        <v>45995.0</v>
      </c>
      <c r="B1032" s="787">
        <v>2512183.0</v>
      </c>
      <c r="C1032" s="788" t="s">
        <v>10136</v>
      </c>
      <c r="D1032" s="851" t="s">
        <v>6573</v>
      </c>
      <c r="E1032" s="790" t="str">
        <f>IFERROR(VLOOKUP(D1032,Stock,3,FALSE),"")</f>
        <v>Mazda 6 18-23 GJ/GL 3rd Gen (2 Sensor / [] /=\ )</v>
      </c>
      <c r="F1032" s="788">
        <v>1.0</v>
      </c>
      <c r="G1032" s="860">
        <v>2311100.0</v>
      </c>
      <c r="H1032" s="799">
        <f t="shared" si="7"/>
        <v>2311100</v>
      </c>
      <c r="I1032" s="800"/>
      <c r="J1032" s="812"/>
      <c r="K1032" s="848" t="s">
        <v>3481</v>
      </c>
      <c r="L1032" s="806" t="s">
        <v>10137</v>
      </c>
      <c r="M1032" s="806" t="s">
        <v>2763</v>
      </c>
      <c r="N1032" s="837">
        <v>46058.0</v>
      </c>
      <c r="O1032" s="803"/>
    </row>
    <row r="1033" ht="15.0" customHeight="1">
      <c r="A1033" s="786">
        <v>45995.0</v>
      </c>
      <c r="B1033" s="787">
        <v>2512183.0</v>
      </c>
      <c r="C1033" s="788" t="s">
        <v>10136</v>
      </c>
      <c r="D1033" s="851" t="s">
        <v>7095</v>
      </c>
      <c r="E1033" s="790" t="str">
        <f>IFERROR(VLOOKUP(D1033,Stock,3,FALSE),"")</f>
        <v>Suzuki Karimun 99-06 Kotak</v>
      </c>
      <c r="F1033" s="788">
        <v>1.0</v>
      </c>
      <c r="G1033" s="860">
        <v>574750.0</v>
      </c>
      <c r="H1033" s="799">
        <f t="shared" si="7"/>
        <v>574750</v>
      </c>
      <c r="I1033" s="800"/>
      <c r="J1033" s="812"/>
      <c r="K1033" s="848" t="s">
        <v>3481</v>
      </c>
      <c r="L1033" s="806" t="s">
        <v>10137</v>
      </c>
      <c r="M1033" s="806" t="s">
        <v>2763</v>
      </c>
      <c r="N1033" s="837">
        <v>46058.0</v>
      </c>
      <c r="O1033" s="803"/>
    </row>
    <row r="1034" ht="15.0" customHeight="1">
      <c r="A1034" s="786">
        <v>45995.0</v>
      </c>
      <c r="B1034" s="787">
        <v>2512205.0</v>
      </c>
      <c r="C1034" s="788" t="s">
        <v>10136</v>
      </c>
      <c r="D1034" s="851" t="s">
        <v>6581</v>
      </c>
      <c r="E1034" s="790" t="str">
        <f>IFERROR(VLOOKUP(D1034,Stock,3,FALSE),"")</f>
        <v>Nissan X-Trail 01-07 T30</v>
      </c>
      <c r="F1034" s="788">
        <v>1.0</v>
      </c>
      <c r="G1034" s="860">
        <v>809050.0</v>
      </c>
      <c r="H1034" s="799">
        <f t="shared" si="7"/>
        <v>809050</v>
      </c>
      <c r="I1034" s="800"/>
      <c r="J1034" s="812"/>
      <c r="K1034" s="848" t="s">
        <v>3481</v>
      </c>
      <c r="L1034" s="806" t="s">
        <v>10137</v>
      </c>
      <c r="M1034" s="806" t="s">
        <v>2763</v>
      </c>
      <c r="N1034" s="837">
        <v>46058.0</v>
      </c>
      <c r="O1034" s="803"/>
    </row>
    <row r="1035" ht="15.0" customHeight="1">
      <c r="A1035" s="786">
        <v>45996.0</v>
      </c>
      <c r="B1035" s="851" t="s">
        <v>10548</v>
      </c>
      <c r="C1035" s="788" t="s">
        <v>2643</v>
      </c>
      <c r="D1035" s="851" t="s">
        <v>6368</v>
      </c>
      <c r="E1035" s="790" t="str">
        <f>IFERROR(VLOOKUP(D1035,Stock,3,FALSE),"")</f>
        <v>Honda Civic 22- 11th Gen Hatch/Sedan (Honda)</v>
      </c>
      <c r="F1035" s="788">
        <v>1.0</v>
      </c>
      <c r="G1035" s="860">
        <v>625152.0</v>
      </c>
      <c r="H1035" s="799">
        <f t="shared" si="7"/>
        <v>625152</v>
      </c>
      <c r="I1035" s="800"/>
      <c r="J1035" s="812"/>
      <c r="K1035" s="848" t="s">
        <v>3481</v>
      </c>
      <c r="L1035" s="806" t="s">
        <v>10137</v>
      </c>
      <c r="M1035" s="806" t="s">
        <v>2763</v>
      </c>
      <c r="N1035" s="837">
        <v>46063.0</v>
      </c>
      <c r="O1035" s="803"/>
    </row>
    <row r="1036" ht="15.0" customHeight="1">
      <c r="A1036" s="786">
        <v>45996.0</v>
      </c>
      <c r="B1036" s="787">
        <v>2512233.0</v>
      </c>
      <c r="C1036" s="788" t="s">
        <v>10136</v>
      </c>
      <c r="D1036" s="851" t="s">
        <v>6591</v>
      </c>
      <c r="E1036" s="790" t="str">
        <f>IFERROR(VLOOKUP(D1036,Stock,3,FALSE),"")</f>
        <v>Ford Everest 04-15 / Ranger 04-11 / Mazda BT-50</v>
      </c>
      <c r="F1036" s="788">
        <v>1.0</v>
      </c>
      <c r="G1036" s="860">
        <v>611050.0</v>
      </c>
      <c r="H1036" s="799">
        <f t="shared" si="7"/>
        <v>611050</v>
      </c>
      <c r="I1036" s="800"/>
      <c r="J1036" s="812"/>
      <c r="K1036" s="848" t="s">
        <v>3481</v>
      </c>
      <c r="L1036" s="806" t="s">
        <v>10137</v>
      </c>
      <c r="M1036" s="806" t="s">
        <v>2763</v>
      </c>
      <c r="N1036" s="837">
        <v>46058.0</v>
      </c>
      <c r="O1036" s="803"/>
    </row>
    <row r="1037" ht="15.0" customHeight="1">
      <c r="A1037" s="786">
        <v>45996.0</v>
      </c>
      <c r="B1037" s="787" t="s">
        <v>10549</v>
      </c>
      <c r="C1037" s="788" t="s">
        <v>10139</v>
      </c>
      <c r="D1037" s="851" t="s">
        <v>6604</v>
      </c>
      <c r="E1037" s="790" t="str">
        <f>IFERROR(VLOOKUP(D1037,Stock,3,FALSE),"")</f>
        <v>Toyota Calya /  Sigra 16-</v>
      </c>
      <c r="F1037" s="788">
        <v>1.0</v>
      </c>
      <c r="G1037" s="860">
        <v>120000.0</v>
      </c>
      <c r="H1037" s="799">
        <f t="shared" si="7"/>
        <v>120000</v>
      </c>
      <c r="I1037" s="800"/>
      <c r="J1037" s="812"/>
      <c r="K1037" s="848" t="s">
        <v>3481</v>
      </c>
      <c r="L1037" s="806" t="s">
        <v>10137</v>
      </c>
      <c r="M1037" s="806" t="s">
        <v>10502</v>
      </c>
      <c r="N1037" s="837">
        <v>45999.0</v>
      </c>
      <c r="O1037" s="803"/>
    </row>
    <row r="1038" ht="15.0" customHeight="1">
      <c r="A1038" s="786">
        <v>45996.0</v>
      </c>
      <c r="B1038" s="787">
        <v>2512272.0</v>
      </c>
      <c r="C1038" s="788" t="s">
        <v>10136</v>
      </c>
      <c r="D1038" s="851" t="s">
        <v>3193</v>
      </c>
      <c r="E1038" s="790" t="str">
        <f>IFERROR(VLOOKUP(D1038,Stock,3,FALSE),"")</f>
        <v>Toyota Avanza / Xenia 11-15 2nd Gen</v>
      </c>
      <c r="F1038" s="788">
        <v>2.0</v>
      </c>
      <c r="G1038" s="860">
        <v>416900.0</v>
      </c>
      <c r="H1038" s="799">
        <f t="shared" si="7"/>
        <v>833800</v>
      </c>
      <c r="I1038" s="800"/>
      <c r="J1038" s="812"/>
      <c r="K1038" s="848" t="s">
        <v>3810</v>
      </c>
      <c r="L1038" s="806" t="s">
        <v>10137</v>
      </c>
      <c r="M1038" s="806" t="s">
        <v>2763</v>
      </c>
      <c r="N1038" s="837">
        <v>46058.0</v>
      </c>
      <c r="O1038" s="803"/>
    </row>
    <row r="1039" ht="15.0" customHeight="1">
      <c r="A1039" s="786">
        <v>45997.0</v>
      </c>
      <c r="B1039" s="787" t="s">
        <v>10550</v>
      </c>
      <c r="C1039" s="788" t="s">
        <v>10139</v>
      </c>
      <c r="D1039" s="851" t="s">
        <v>4112</v>
      </c>
      <c r="E1039" s="790" t="str">
        <f>IFERROR(VLOOKUP(D1039,Stock,3,FALSE),"")</f>
        <v>Wuling Air EV 22-</v>
      </c>
      <c r="F1039" s="788">
        <v>1.0</v>
      </c>
      <c r="G1039" s="860">
        <v>1046250.0</v>
      </c>
      <c r="H1039" s="799">
        <f t="shared" si="7"/>
        <v>1046250</v>
      </c>
      <c r="I1039" s="800"/>
      <c r="J1039" s="812"/>
      <c r="K1039" s="848" t="s">
        <v>3481</v>
      </c>
      <c r="L1039" s="806" t="s">
        <v>10137</v>
      </c>
      <c r="M1039" s="806" t="s">
        <v>10502</v>
      </c>
      <c r="N1039" s="837">
        <v>45997.0</v>
      </c>
      <c r="O1039" s="803"/>
    </row>
    <row r="1040" ht="15.0" customHeight="1">
      <c r="A1040" s="834">
        <v>45997.0</v>
      </c>
      <c r="B1040" s="603" t="s">
        <v>10551</v>
      </c>
      <c r="C1040" s="822" t="s">
        <v>10156</v>
      </c>
      <c r="D1040" s="109" t="s">
        <v>6639</v>
      </c>
      <c r="E1040" s="594" t="str">
        <f>IFERROR(VLOOKUP(D1040,Stock,3,FALSE),"")</f>
        <v>Honda Civic 16-21 10th Gen Sedan (Honda)</v>
      </c>
      <c r="F1040" s="822">
        <v>1.0</v>
      </c>
      <c r="G1040" s="756">
        <v>750000.0</v>
      </c>
      <c r="H1040" s="824">
        <f t="shared" si="7"/>
        <v>750000</v>
      </c>
      <c r="I1040" s="825"/>
      <c r="J1040" s="826"/>
      <c r="K1040" s="850" t="s">
        <v>3481</v>
      </c>
    </row>
    <row r="1041" ht="15.0" customHeight="1">
      <c r="A1041" s="884">
        <v>45997.0</v>
      </c>
      <c r="B1041" s="787" t="s">
        <v>10552</v>
      </c>
      <c r="C1041" s="788" t="s">
        <v>10139</v>
      </c>
      <c r="D1041" s="851" t="s">
        <v>6644</v>
      </c>
      <c r="E1041" s="790" t="str">
        <f>IFERROR(VLOOKUP(D1041,Stock,3,FALSE),"")</f>
        <v>Honda HR-V 14-21 5D SUV</v>
      </c>
      <c r="F1041" s="788">
        <v>1.0</v>
      </c>
      <c r="G1041" s="860">
        <v>651375.0</v>
      </c>
      <c r="H1041" s="799">
        <f t="shared" si="7"/>
        <v>651375</v>
      </c>
      <c r="I1041" s="800"/>
      <c r="J1041" s="812"/>
      <c r="K1041" s="848" t="s">
        <v>3481</v>
      </c>
      <c r="L1041" s="806" t="s">
        <v>10137</v>
      </c>
      <c r="M1041" s="806" t="s">
        <v>10502</v>
      </c>
      <c r="N1041" s="837">
        <v>45997.0</v>
      </c>
      <c r="O1041" s="803"/>
    </row>
    <row r="1042" ht="15.0" customHeight="1">
      <c r="A1042" s="786">
        <v>45999.0</v>
      </c>
      <c r="B1042" s="787">
        <v>2512328.0</v>
      </c>
      <c r="C1042" s="788" t="s">
        <v>10136</v>
      </c>
      <c r="D1042" s="851" t="s">
        <v>6688</v>
      </c>
      <c r="E1042" s="790" t="str">
        <f>IFERROR(VLOOKUP(D1042,Stock,3,FALSE),"")</f>
        <v>Ford Escape 00-12</v>
      </c>
      <c r="F1042" s="788">
        <v>1.0</v>
      </c>
      <c r="G1042" s="860">
        <v>925100.0</v>
      </c>
      <c r="H1042" s="799">
        <f t="shared" si="7"/>
        <v>925100</v>
      </c>
      <c r="I1042" s="800"/>
      <c r="J1042" s="812"/>
      <c r="K1042" s="848" t="s">
        <v>3481</v>
      </c>
      <c r="L1042" s="806" t="s">
        <v>10137</v>
      </c>
      <c r="M1042" s="806" t="s">
        <v>2763</v>
      </c>
      <c r="N1042" s="837">
        <v>46058.0</v>
      </c>
      <c r="O1042" s="803"/>
    </row>
    <row r="1043" ht="15.0" customHeight="1">
      <c r="A1043" s="786">
        <v>45999.0</v>
      </c>
      <c r="B1043" s="787">
        <v>2512328.0</v>
      </c>
      <c r="C1043" s="788" t="s">
        <v>10136</v>
      </c>
      <c r="D1043" s="851" t="s">
        <v>6698</v>
      </c>
      <c r="E1043" s="790" t="str">
        <f>IFERROR(VLOOKUP(D1043,Stock,3,FALSE),"")</f>
        <v>Mitsubishi Pajero 16-</v>
      </c>
      <c r="F1043" s="788">
        <v>1.0</v>
      </c>
      <c r="G1043" s="860">
        <v>679800.0</v>
      </c>
      <c r="H1043" s="799">
        <f t="shared" si="7"/>
        <v>679800</v>
      </c>
      <c r="I1043" s="800"/>
      <c r="J1043" s="812"/>
      <c r="K1043" s="848" t="s">
        <v>3481</v>
      </c>
      <c r="L1043" s="806" t="s">
        <v>10137</v>
      </c>
      <c r="M1043" s="806" t="s">
        <v>2763</v>
      </c>
      <c r="N1043" s="837">
        <v>46058.0</v>
      </c>
      <c r="O1043" s="803"/>
    </row>
    <row r="1044" ht="15.0" customHeight="1">
      <c r="A1044" s="786">
        <v>45999.0</v>
      </c>
      <c r="B1044" s="787">
        <v>2512296.0</v>
      </c>
      <c r="C1044" s="788" t="s">
        <v>10136</v>
      </c>
      <c r="D1044" s="851" t="s">
        <v>6674</v>
      </c>
      <c r="E1044" s="790" t="str">
        <f>IFERROR(VLOOKUP(D1044,Stock,3,FALSE),"")</f>
        <v>Wuling Confero / Formo</v>
      </c>
      <c r="F1044" s="788">
        <v>1.0</v>
      </c>
      <c r="G1044" s="860">
        <v>551100.0</v>
      </c>
      <c r="H1044" s="799">
        <f t="shared" si="7"/>
        <v>551100</v>
      </c>
      <c r="I1044" s="800"/>
      <c r="J1044" s="812"/>
      <c r="K1044" s="848" t="s">
        <v>3481</v>
      </c>
      <c r="L1044" s="806" t="s">
        <v>10137</v>
      </c>
      <c r="M1044" s="806" t="s">
        <v>2763</v>
      </c>
      <c r="N1044" s="837">
        <v>46058.0</v>
      </c>
      <c r="O1044" s="803"/>
    </row>
    <row r="1045" ht="15.0" customHeight="1">
      <c r="A1045" s="786">
        <v>46000.0</v>
      </c>
      <c r="B1045" s="787" t="s">
        <v>10553</v>
      </c>
      <c r="C1045" s="788" t="s">
        <v>10139</v>
      </c>
      <c r="D1045" s="851" t="s">
        <v>6637</v>
      </c>
      <c r="E1045" s="790" t="str">
        <f>IFERROR(VLOOKUP(D1045,Stock,3,FALSE),"")</f>
        <v>Chery Omoda 5 23- (2 Sensor O /\ )</v>
      </c>
      <c r="F1045" s="788">
        <v>1.0</v>
      </c>
      <c r="G1045" s="860">
        <v>2497500.0</v>
      </c>
      <c r="H1045" s="799">
        <f t="shared" si="7"/>
        <v>2497500</v>
      </c>
      <c r="I1045" s="800"/>
      <c r="J1045" s="812"/>
      <c r="K1045" s="848" t="s">
        <v>3481</v>
      </c>
      <c r="L1045" s="806" t="s">
        <v>10137</v>
      </c>
      <c r="M1045" s="806" t="s">
        <v>10502</v>
      </c>
      <c r="N1045" s="837">
        <v>46000.0</v>
      </c>
      <c r="O1045" s="803"/>
    </row>
    <row r="1046" ht="15.0" customHeight="1">
      <c r="A1046" s="834">
        <v>46000.0</v>
      </c>
      <c r="B1046" s="603" t="s">
        <v>10554</v>
      </c>
      <c r="C1046" s="822" t="s">
        <v>66</v>
      </c>
      <c r="D1046" s="109" t="s">
        <v>6713</v>
      </c>
      <c r="E1046" s="594" t="str">
        <f>IFERROR(VLOOKUP(D1046,Stock,3,FALSE),"")</f>
        <v>Toyota Rush / Terios 18-</v>
      </c>
      <c r="F1046" s="822">
        <v>1.0</v>
      </c>
      <c r="G1046" s="756">
        <v>250000.0</v>
      </c>
      <c r="H1046" s="824">
        <f t="shared" si="7"/>
        <v>250000</v>
      </c>
      <c r="I1046" s="825"/>
      <c r="J1046" s="826"/>
      <c r="K1046" s="850" t="s">
        <v>3481</v>
      </c>
    </row>
    <row r="1047" ht="15.0" customHeight="1">
      <c r="A1047" s="786">
        <v>46000.0</v>
      </c>
      <c r="B1047" s="787">
        <v>2512375.0</v>
      </c>
      <c r="C1047" s="788" t="s">
        <v>10136</v>
      </c>
      <c r="D1047" s="851" t="s">
        <v>2869</v>
      </c>
      <c r="E1047" s="790" t="str">
        <f>IFERROR(VLOOKUP(D1047,Stock,3,FALSE),"")</f>
        <v>Daihatsu Gran Max / Luxio 07-</v>
      </c>
      <c r="F1047" s="788">
        <v>1.0</v>
      </c>
      <c r="G1047" s="860">
        <v>470250.0</v>
      </c>
      <c r="H1047" s="799">
        <f t="shared" si="7"/>
        <v>470250</v>
      </c>
      <c r="I1047" s="800"/>
      <c r="J1047" s="812"/>
      <c r="K1047" s="848" t="s">
        <v>3481</v>
      </c>
      <c r="L1047" s="806" t="s">
        <v>10137</v>
      </c>
      <c r="M1047" s="806" t="s">
        <v>2763</v>
      </c>
      <c r="N1047" s="837">
        <v>46063.0</v>
      </c>
      <c r="O1047" s="803"/>
    </row>
    <row r="1048" ht="15.0" customHeight="1">
      <c r="A1048" s="786">
        <v>46000.0</v>
      </c>
      <c r="B1048" s="787">
        <v>2512375.0</v>
      </c>
      <c r="C1048" s="788" t="s">
        <v>10136</v>
      </c>
      <c r="D1048" s="851" t="s">
        <v>3126</v>
      </c>
      <c r="E1048" s="790" t="str">
        <f>IFERROR(VLOOKUP(D1048,Stock,3,FALSE),"")</f>
        <v>Suzuki Carry New 19-</v>
      </c>
      <c r="F1048" s="788">
        <v>1.0</v>
      </c>
      <c r="G1048" s="860">
        <v>462000.0</v>
      </c>
      <c r="H1048" s="799">
        <f t="shared" si="7"/>
        <v>462000</v>
      </c>
      <c r="I1048" s="800"/>
      <c r="J1048" s="812"/>
      <c r="K1048" s="848" t="s">
        <v>3481</v>
      </c>
      <c r="L1048" s="806" t="s">
        <v>10137</v>
      </c>
      <c r="M1048" s="806" t="s">
        <v>2763</v>
      </c>
      <c r="N1048" s="837">
        <v>46063.0</v>
      </c>
      <c r="O1048" s="803"/>
    </row>
    <row r="1049" ht="15.0" customHeight="1">
      <c r="A1049" s="786">
        <v>46000.0</v>
      </c>
      <c r="B1049" s="787">
        <v>2512375.0</v>
      </c>
      <c r="C1049" s="788" t="s">
        <v>10136</v>
      </c>
      <c r="D1049" s="851" t="s">
        <v>6770</v>
      </c>
      <c r="E1049" s="790" t="str">
        <f>IFERROR(VLOOKUP(D1049,Stock,3,FALSE),"")</f>
        <v>Toyota Altis 06-13 E140 10th Gen</v>
      </c>
      <c r="F1049" s="788">
        <v>1.0</v>
      </c>
      <c r="G1049" s="860">
        <v>1100000.0</v>
      </c>
      <c r="H1049" s="799">
        <f t="shared" si="7"/>
        <v>1100000</v>
      </c>
      <c r="I1049" s="800"/>
      <c r="J1049" s="812"/>
      <c r="K1049" s="848" t="s">
        <v>3481</v>
      </c>
      <c r="L1049" s="806" t="s">
        <v>10137</v>
      </c>
      <c r="M1049" s="806" t="s">
        <v>2763</v>
      </c>
      <c r="N1049" s="837">
        <v>46063.0</v>
      </c>
      <c r="O1049" s="803"/>
    </row>
    <row r="1050" ht="15.0" customHeight="1">
      <c r="A1050" s="786">
        <v>46000.0</v>
      </c>
      <c r="B1050" s="787">
        <v>2512375.0</v>
      </c>
      <c r="C1050" s="788" t="s">
        <v>10136</v>
      </c>
      <c r="D1050" s="851" t="s">
        <v>3225</v>
      </c>
      <c r="E1050" s="790" t="str">
        <f>IFERROR(VLOOKUP(D1050,Stock,3,FALSE),"")</f>
        <v>Toyota Rush / Terios 18-</v>
      </c>
      <c r="F1050" s="788">
        <v>1.0</v>
      </c>
      <c r="G1050" s="860">
        <v>528000.0</v>
      </c>
      <c r="H1050" s="799">
        <f t="shared" si="7"/>
        <v>528000</v>
      </c>
      <c r="I1050" s="800"/>
      <c r="J1050" s="812"/>
      <c r="K1050" s="848" t="s">
        <v>3481</v>
      </c>
      <c r="L1050" s="806" t="s">
        <v>10137</v>
      </c>
      <c r="M1050" s="806" t="s">
        <v>2763</v>
      </c>
      <c r="N1050" s="837">
        <v>46063.0</v>
      </c>
      <c r="O1050" s="803"/>
    </row>
    <row r="1051" ht="15.0" customHeight="1">
      <c r="A1051" s="786">
        <v>46000.0</v>
      </c>
      <c r="B1051" s="787">
        <v>2512375.0</v>
      </c>
      <c r="C1051" s="788" t="s">
        <v>10136</v>
      </c>
      <c r="D1051" s="851" t="s">
        <v>6774</v>
      </c>
      <c r="E1051" s="790" t="str">
        <f>IFERROR(VLOOKUP(D1051,Stock,3,FALSE),"")</f>
        <v>Nissan March 10- K13</v>
      </c>
      <c r="F1051" s="788">
        <v>1.0</v>
      </c>
      <c r="G1051" s="860">
        <v>628650.0</v>
      </c>
      <c r="H1051" s="799">
        <f t="shared" si="7"/>
        <v>628650</v>
      </c>
      <c r="I1051" s="800"/>
      <c r="J1051" s="812"/>
      <c r="K1051" s="848" t="s">
        <v>3481</v>
      </c>
      <c r="L1051" s="806" t="s">
        <v>10137</v>
      </c>
      <c r="M1051" s="806" t="s">
        <v>2763</v>
      </c>
      <c r="N1051" s="837">
        <v>46063.0</v>
      </c>
      <c r="O1051" s="803"/>
    </row>
    <row r="1052" ht="15.0" customHeight="1">
      <c r="A1052" s="786">
        <v>46001.0</v>
      </c>
      <c r="B1052" s="787" t="s">
        <v>10555</v>
      </c>
      <c r="C1052" s="788" t="s">
        <v>2643</v>
      </c>
      <c r="D1052" s="851" t="s">
        <v>3160</v>
      </c>
      <c r="E1052" s="790" t="str">
        <f>IFERROR(VLOOKUP(D1052,Stock,3,FALSE),"")</f>
        <v>Honda Brio 10- (Honda)</v>
      </c>
      <c r="F1052" s="788">
        <v>1.0</v>
      </c>
      <c r="G1052" s="860">
        <v>180708.0</v>
      </c>
      <c r="H1052" s="799">
        <f t="shared" si="7"/>
        <v>180708</v>
      </c>
      <c r="I1052" s="800"/>
      <c r="J1052" s="812"/>
      <c r="K1052" s="848" t="s">
        <v>3481</v>
      </c>
      <c r="L1052" s="806" t="s">
        <v>10137</v>
      </c>
      <c r="M1052" s="806" t="s">
        <v>2763</v>
      </c>
      <c r="N1052" s="837">
        <v>46063.0</v>
      </c>
      <c r="O1052" s="803"/>
    </row>
    <row r="1053" ht="15.0" customHeight="1">
      <c r="A1053" s="786">
        <v>46001.0</v>
      </c>
      <c r="B1053" s="787" t="s">
        <v>10555</v>
      </c>
      <c r="C1053" s="788" t="s">
        <v>2643</v>
      </c>
      <c r="D1053" s="851" t="s">
        <v>6244</v>
      </c>
      <c r="E1053" s="790" t="str">
        <f>IFERROR(VLOOKUP(D1053,Stock,3,FALSE),"")</f>
        <v>Honda BR-V 16-21 (Honda)</v>
      </c>
      <c r="F1053" s="788">
        <v>1.0</v>
      </c>
      <c r="G1053" s="860">
        <v>390720.0</v>
      </c>
      <c r="H1053" s="799">
        <f t="shared" si="7"/>
        <v>390720</v>
      </c>
      <c r="I1053" s="800"/>
      <c r="J1053" s="812"/>
      <c r="K1053" s="848" t="s">
        <v>3481</v>
      </c>
      <c r="L1053" s="806" t="s">
        <v>10137</v>
      </c>
      <c r="M1053" s="806" t="s">
        <v>2763</v>
      </c>
      <c r="N1053" s="837">
        <v>46063.0</v>
      </c>
      <c r="O1053" s="803"/>
    </row>
    <row r="1054" ht="15.0" customHeight="1">
      <c r="A1054" s="786">
        <v>46001.0</v>
      </c>
      <c r="B1054" s="787" t="s">
        <v>10555</v>
      </c>
      <c r="C1054" s="788" t="s">
        <v>2643</v>
      </c>
      <c r="D1054" s="851" t="s">
        <v>2665</v>
      </c>
      <c r="E1054" s="790" t="str">
        <f>IFERROR(VLOOKUP(D1054,Stock,3,FALSE),"")</f>
        <v>Honda Brio 10- (Honda)</v>
      </c>
      <c r="F1054" s="788">
        <v>1.0</v>
      </c>
      <c r="G1054" s="860">
        <v>214896.0</v>
      </c>
      <c r="H1054" s="799">
        <f t="shared" si="7"/>
        <v>214896</v>
      </c>
      <c r="I1054" s="800"/>
      <c r="J1054" s="812"/>
      <c r="K1054" s="848" t="s">
        <v>3481</v>
      </c>
      <c r="L1054" s="806" t="s">
        <v>10137</v>
      </c>
      <c r="M1054" s="806" t="s">
        <v>2763</v>
      </c>
      <c r="N1054" s="837">
        <v>46063.0</v>
      </c>
      <c r="O1054" s="803"/>
    </row>
    <row r="1055" ht="15.0" customHeight="1">
      <c r="A1055" s="786">
        <v>46001.0</v>
      </c>
      <c r="B1055" s="787" t="s">
        <v>10555</v>
      </c>
      <c r="C1055" s="788" t="s">
        <v>2643</v>
      </c>
      <c r="D1055" s="851" t="s">
        <v>4468</v>
      </c>
      <c r="E1055" s="790" t="str">
        <f>IFERROR(VLOOKUP(D1055,Stock,3,FALSE),"")</f>
        <v>Honda CR-V 17-23 5th Gen (Honda)</v>
      </c>
      <c r="F1055" s="788">
        <v>1.0</v>
      </c>
      <c r="G1055" s="860">
        <v>2002440.0</v>
      </c>
      <c r="H1055" s="799">
        <f t="shared" si="7"/>
        <v>2002440</v>
      </c>
      <c r="I1055" s="800"/>
      <c r="J1055" s="812"/>
      <c r="K1055" s="848" t="s">
        <v>3481</v>
      </c>
      <c r="L1055" s="806" t="s">
        <v>10137</v>
      </c>
      <c r="M1055" s="806" t="s">
        <v>2763</v>
      </c>
      <c r="N1055" s="837">
        <v>46063.0</v>
      </c>
      <c r="O1055" s="803"/>
    </row>
    <row r="1056" ht="15.0" customHeight="1">
      <c r="A1056" s="786">
        <v>46001.0</v>
      </c>
      <c r="B1056" s="787">
        <v>2512443.0</v>
      </c>
      <c r="C1056" s="788" t="s">
        <v>10136</v>
      </c>
      <c r="D1056" s="851" t="s">
        <v>3082</v>
      </c>
      <c r="E1056" s="790" t="str">
        <f>IFERROR(VLOOKUP(D1056,Stock,3,FALSE),"")</f>
        <v>BMW X5 Series 13-18 F15 (1 Sensor / O )</v>
      </c>
      <c r="F1056" s="788">
        <v>1.0</v>
      </c>
      <c r="G1056" s="860">
        <v>2311100.0</v>
      </c>
      <c r="H1056" s="799">
        <f t="shared" si="7"/>
        <v>2311100</v>
      </c>
      <c r="I1056" s="800"/>
      <c r="J1056" s="812"/>
      <c r="K1056" s="848" t="s">
        <v>3481</v>
      </c>
      <c r="L1056" s="806" t="s">
        <v>10137</v>
      </c>
      <c r="M1056" s="806" t="s">
        <v>2763</v>
      </c>
      <c r="N1056" s="837">
        <v>46063.0</v>
      </c>
      <c r="O1056" s="803"/>
    </row>
    <row r="1057" ht="15.0" customHeight="1">
      <c r="A1057" s="786">
        <v>46003.0</v>
      </c>
      <c r="B1057" s="787">
        <v>2512494.0</v>
      </c>
      <c r="C1057" s="788" t="s">
        <v>10136</v>
      </c>
      <c r="D1057" s="851" t="s">
        <v>6758</v>
      </c>
      <c r="E1057" s="790" t="str">
        <f>IFERROR(VLOOKUP(D1057,Stock,3,FALSE),"")</f>
        <v>Honda Odyssey 99-03 2nd Gen RA6-RA9</v>
      </c>
      <c r="F1057" s="788">
        <v>1.0</v>
      </c>
      <c r="G1057" s="860">
        <v>1746250.0</v>
      </c>
      <c r="H1057" s="799">
        <f t="shared" si="7"/>
        <v>1746250</v>
      </c>
      <c r="I1057" s="800"/>
      <c r="J1057" s="812"/>
      <c r="K1057" s="848" t="s">
        <v>3810</v>
      </c>
      <c r="L1057" s="806" t="s">
        <v>10137</v>
      </c>
      <c r="M1057" s="806" t="s">
        <v>2763</v>
      </c>
      <c r="N1057" s="837">
        <v>46063.0</v>
      </c>
      <c r="O1057" s="803"/>
    </row>
    <row r="1058" ht="15.0" customHeight="1">
      <c r="A1058" s="786">
        <v>46003.0</v>
      </c>
      <c r="B1058" s="787">
        <v>2512494.0</v>
      </c>
      <c r="C1058" s="788" t="s">
        <v>10136</v>
      </c>
      <c r="D1058" s="885" t="s">
        <v>3225</v>
      </c>
      <c r="E1058" s="790" t="str">
        <f>IFERROR(VLOOKUP(D1058,Stock,3,FALSE),"")</f>
        <v>Toyota Rush / Terios 18-</v>
      </c>
      <c r="F1058" s="788">
        <v>2.0</v>
      </c>
      <c r="G1058" s="860">
        <v>528000.0</v>
      </c>
      <c r="H1058" s="799">
        <f t="shared" si="7"/>
        <v>1056000</v>
      </c>
      <c r="I1058" s="800"/>
      <c r="J1058" s="812"/>
      <c r="K1058" s="848" t="s">
        <v>3810</v>
      </c>
      <c r="L1058" s="806" t="s">
        <v>10137</v>
      </c>
      <c r="M1058" s="806" t="s">
        <v>2763</v>
      </c>
      <c r="N1058" s="837">
        <v>46063.0</v>
      </c>
      <c r="O1058" s="803"/>
    </row>
    <row r="1059" ht="15.0" customHeight="1">
      <c r="A1059" s="786">
        <v>46003.0</v>
      </c>
      <c r="B1059" s="787">
        <v>2512494.0</v>
      </c>
      <c r="C1059" s="788" t="s">
        <v>10136</v>
      </c>
      <c r="D1059" s="885" t="s">
        <v>6759</v>
      </c>
      <c r="E1059" s="790" t="str">
        <f>IFERROR(VLOOKUP(D1059,Stock,3,FALSE),"")</f>
        <v>Suzuki Ignis 17-</v>
      </c>
      <c r="F1059" s="788">
        <v>1.0</v>
      </c>
      <c r="G1059" s="860">
        <v>656150.0</v>
      </c>
      <c r="H1059" s="799">
        <f t="shared" si="7"/>
        <v>656150</v>
      </c>
      <c r="I1059" s="800"/>
      <c r="J1059" s="812"/>
      <c r="K1059" s="848" t="s">
        <v>3810</v>
      </c>
      <c r="L1059" s="806" t="s">
        <v>10137</v>
      </c>
      <c r="M1059" s="806" t="s">
        <v>2763</v>
      </c>
      <c r="N1059" s="837">
        <v>46063.0</v>
      </c>
      <c r="O1059" s="803"/>
    </row>
    <row r="1060" ht="15.0" customHeight="1">
      <c r="A1060" s="786">
        <v>46003.0</v>
      </c>
      <c r="B1060" s="787">
        <v>2512503.0</v>
      </c>
      <c r="C1060" s="788" t="s">
        <v>10136</v>
      </c>
      <c r="D1060" s="851" t="s">
        <v>6763</v>
      </c>
      <c r="E1060" s="790" t="str">
        <f>IFERROR(VLOOKUP(D1060,Stock,3,FALSE),"")</f>
        <v>Honda Civic 92-95 3D SR0/SR3 (Estilo)</v>
      </c>
      <c r="F1060" s="788">
        <v>1.0</v>
      </c>
      <c r="G1060" s="860">
        <v>617750.0</v>
      </c>
      <c r="H1060" s="799">
        <f t="shared" si="7"/>
        <v>617750</v>
      </c>
      <c r="I1060" s="800"/>
      <c r="J1060" s="812"/>
      <c r="K1060" s="848" t="s">
        <v>3810</v>
      </c>
      <c r="L1060" s="806" t="s">
        <v>10137</v>
      </c>
      <c r="M1060" s="806" t="s">
        <v>2763</v>
      </c>
      <c r="N1060" s="837">
        <v>46063.0</v>
      </c>
      <c r="O1060" s="803"/>
    </row>
    <row r="1061" ht="15.0" customHeight="1">
      <c r="A1061" s="786">
        <v>46003.0</v>
      </c>
      <c r="B1061" s="787">
        <v>2512503.0</v>
      </c>
      <c r="C1061" s="788" t="s">
        <v>10136</v>
      </c>
      <c r="D1061" s="851" t="s">
        <v>6766</v>
      </c>
      <c r="E1061" s="790" t="str">
        <f>IFERROR(VLOOKUP(D1061,Stock,3,FALSE),"")</f>
        <v>Toyota Camry 11-17 XV50 5th Gen</v>
      </c>
      <c r="F1061" s="788">
        <v>1.0</v>
      </c>
      <c r="G1061" s="860">
        <v>1047750.0</v>
      </c>
      <c r="H1061" s="799">
        <f t="shared" si="7"/>
        <v>1047750</v>
      </c>
      <c r="I1061" s="800"/>
      <c r="J1061" s="812"/>
      <c r="K1061" s="848" t="s">
        <v>3810</v>
      </c>
      <c r="L1061" s="806" t="s">
        <v>10137</v>
      </c>
      <c r="M1061" s="806" t="s">
        <v>2763</v>
      </c>
      <c r="N1061" s="837">
        <v>46063.0</v>
      </c>
      <c r="O1061" s="803"/>
    </row>
    <row r="1062" ht="15.0" customHeight="1">
      <c r="A1062" s="786">
        <v>46004.0</v>
      </c>
      <c r="B1062" s="787" t="s">
        <v>10556</v>
      </c>
      <c r="C1062" s="788" t="s">
        <v>2643</v>
      </c>
      <c r="D1062" s="851" t="s">
        <v>5047</v>
      </c>
      <c r="E1062" s="790" t="str">
        <f>IFERROR(VLOOKUP(D1062,Stock,3,FALSE),"")</f>
        <v>Toyota Innova 15-22 2nd Gen (Toyota)</v>
      </c>
      <c r="F1062" s="788">
        <v>1.0</v>
      </c>
      <c r="G1062" s="860">
        <v>270749.0</v>
      </c>
      <c r="H1062" s="799">
        <f t="shared" si="7"/>
        <v>270749</v>
      </c>
      <c r="I1062" s="800"/>
      <c r="J1062" s="812"/>
      <c r="K1062" s="848" t="s">
        <v>3810</v>
      </c>
      <c r="L1062" s="806" t="s">
        <v>10137</v>
      </c>
      <c r="M1062" s="806" t="s">
        <v>2763</v>
      </c>
      <c r="N1062" s="837">
        <v>46063.0</v>
      </c>
      <c r="O1062" s="803"/>
    </row>
    <row r="1063" ht="15.0" customHeight="1">
      <c r="A1063" s="786">
        <v>46004.0</v>
      </c>
      <c r="B1063" s="787" t="s">
        <v>10556</v>
      </c>
      <c r="C1063" s="788" t="s">
        <v>2643</v>
      </c>
      <c r="D1063" s="851" t="s">
        <v>4750</v>
      </c>
      <c r="E1063" s="790" t="str">
        <f>IFERROR(VLOOKUP(D1063,Stock,3,FALSE),"")</f>
        <v>Toyota Rush / Terios 06-17 (Toyota/Daihatsu)</v>
      </c>
      <c r="F1063" s="788">
        <v>1.0</v>
      </c>
      <c r="G1063" s="860">
        <v>465500.0</v>
      </c>
      <c r="H1063" s="799">
        <f t="shared" si="7"/>
        <v>465500</v>
      </c>
      <c r="I1063" s="800"/>
      <c r="J1063" s="812"/>
      <c r="K1063" s="848" t="s">
        <v>3810</v>
      </c>
      <c r="L1063" s="806" t="s">
        <v>10137</v>
      </c>
      <c r="M1063" s="806" t="s">
        <v>2763</v>
      </c>
      <c r="N1063" s="837">
        <v>46063.0</v>
      </c>
      <c r="O1063" s="803"/>
    </row>
    <row r="1064" ht="15.0" customHeight="1">
      <c r="A1064" s="786">
        <v>46004.0</v>
      </c>
      <c r="B1064" s="787" t="s">
        <v>10557</v>
      </c>
      <c r="C1064" s="788" t="s">
        <v>2643</v>
      </c>
      <c r="D1064" s="851" t="s">
        <v>5143</v>
      </c>
      <c r="E1064" s="790" t="str">
        <f>IFERROR(VLOOKUP(D1064,Stock,3,FALSE),"")</f>
        <v>Honda Freed 08-16 1st Gen (Honda)</v>
      </c>
      <c r="F1064" s="788">
        <v>1.0</v>
      </c>
      <c r="G1064" s="860">
        <v>420024.0</v>
      </c>
      <c r="H1064" s="799">
        <f t="shared" si="7"/>
        <v>420024</v>
      </c>
      <c r="I1064" s="800"/>
      <c r="J1064" s="812"/>
      <c r="K1064" s="848" t="s">
        <v>3810</v>
      </c>
      <c r="L1064" s="806" t="s">
        <v>10137</v>
      </c>
      <c r="M1064" s="806" t="s">
        <v>2763</v>
      </c>
      <c r="N1064" s="837">
        <v>46063.0</v>
      </c>
      <c r="O1064" s="803"/>
    </row>
    <row r="1065" ht="15.0" customHeight="1">
      <c r="A1065" s="786">
        <v>46004.0</v>
      </c>
      <c r="B1065" s="787" t="s">
        <v>10557</v>
      </c>
      <c r="C1065" s="788" t="s">
        <v>2643</v>
      </c>
      <c r="D1065" s="851" t="s">
        <v>7321</v>
      </c>
      <c r="E1065" s="790" t="str">
        <f>IFERROR(VLOOKUP(D1065,Stock,3,FALSE),"")</f>
        <v>Honda HR-V 14-21 5D SUV (Honda)</v>
      </c>
      <c r="F1065" s="788">
        <v>1.0</v>
      </c>
      <c r="G1065" s="860">
        <v>371184.0</v>
      </c>
      <c r="H1065" s="799">
        <f t="shared" si="7"/>
        <v>371184</v>
      </c>
      <c r="I1065" s="800"/>
      <c r="J1065" s="812"/>
      <c r="K1065" s="848" t="s">
        <v>3810</v>
      </c>
      <c r="L1065" s="806" t="s">
        <v>10137</v>
      </c>
      <c r="M1065" s="806" t="s">
        <v>2763</v>
      </c>
      <c r="N1065" s="837">
        <v>46063.0</v>
      </c>
      <c r="O1065" s="803"/>
    </row>
    <row r="1066" ht="15.0" customHeight="1">
      <c r="A1066" s="786">
        <v>46004.0</v>
      </c>
      <c r="B1066" s="787" t="s">
        <v>10557</v>
      </c>
      <c r="C1066" s="788" t="s">
        <v>2643</v>
      </c>
      <c r="D1066" s="851" t="s">
        <v>6482</v>
      </c>
      <c r="E1066" s="790" t="str">
        <f>IFERROR(VLOOKUP(D1066,Stock,3,FALSE),"")</f>
        <v>Honda Mobilio 14- / Honda BR-V 16-21 (Honda)</v>
      </c>
      <c r="F1066" s="788">
        <v>1.0</v>
      </c>
      <c r="G1066" s="860">
        <v>214896.0</v>
      </c>
      <c r="H1066" s="799">
        <f t="shared" si="7"/>
        <v>214896</v>
      </c>
      <c r="I1066" s="800"/>
      <c r="J1066" s="812"/>
      <c r="K1066" s="848" t="s">
        <v>3810</v>
      </c>
      <c r="L1066" s="806" t="s">
        <v>10137</v>
      </c>
      <c r="M1066" s="806" t="s">
        <v>2763</v>
      </c>
      <c r="N1066" s="837">
        <v>46063.0</v>
      </c>
      <c r="O1066" s="803"/>
    </row>
    <row r="1067" ht="15.0" customHeight="1">
      <c r="A1067" s="786">
        <v>46004.0</v>
      </c>
      <c r="B1067" s="787" t="s">
        <v>10557</v>
      </c>
      <c r="C1067" s="788" t="s">
        <v>2643</v>
      </c>
      <c r="D1067" s="851" t="s">
        <v>3396</v>
      </c>
      <c r="E1067" s="790" t="str">
        <f>IFERROR(VLOOKUP(D1067,Stock,3,FALSE),"")</f>
        <v>Honda HR-V 22- 5D SUV (Honda)</v>
      </c>
      <c r="F1067" s="788">
        <v>1.0</v>
      </c>
      <c r="G1067" s="860">
        <v>332112.0</v>
      </c>
      <c r="H1067" s="799">
        <f t="shared" si="7"/>
        <v>332112</v>
      </c>
      <c r="I1067" s="800"/>
      <c r="J1067" s="812"/>
      <c r="K1067" s="848" t="s">
        <v>3810</v>
      </c>
      <c r="L1067" s="806" t="s">
        <v>10137</v>
      </c>
      <c r="M1067" s="806" t="s">
        <v>2763</v>
      </c>
      <c r="N1067" s="837">
        <v>46063.0</v>
      </c>
      <c r="O1067" s="803"/>
    </row>
    <row r="1068" ht="15.0" customHeight="1">
      <c r="A1068" s="786">
        <v>46005.0</v>
      </c>
      <c r="B1068" s="787" t="s">
        <v>10558</v>
      </c>
      <c r="C1068" s="788" t="s">
        <v>10139</v>
      </c>
      <c r="D1068" s="851" t="s">
        <v>6823</v>
      </c>
      <c r="E1068" s="790" t="str">
        <f>IFERROR(VLOOKUP(D1068,Stock,3,FALSE),"")</f>
        <v>Suzuki Ertiga 18- 2nd Gen (ORI MULIA) / XL7</v>
      </c>
      <c r="F1068" s="788">
        <v>1.0</v>
      </c>
      <c r="G1068" s="860">
        <v>180000.0</v>
      </c>
      <c r="H1068" s="799">
        <f t="shared" si="7"/>
        <v>180000</v>
      </c>
      <c r="I1068" s="800"/>
      <c r="J1068" s="812"/>
      <c r="K1068" s="848" t="s">
        <v>3191</v>
      </c>
      <c r="L1068" s="806" t="s">
        <v>10137</v>
      </c>
      <c r="M1068" s="806" t="s">
        <v>2763</v>
      </c>
      <c r="N1068" s="854">
        <v>46005.0</v>
      </c>
      <c r="O1068" s="803"/>
    </row>
    <row r="1069" ht="15.0" customHeight="1">
      <c r="A1069" s="786">
        <v>46005.0</v>
      </c>
      <c r="B1069" s="787" t="s">
        <v>10558</v>
      </c>
      <c r="C1069" s="788" t="s">
        <v>10139</v>
      </c>
      <c r="D1069" s="851" t="s">
        <v>2962</v>
      </c>
      <c r="E1069" s="790" t="str">
        <f>IFERROR(VLOOKUP(D1069,Stock,3,FALSE),"")</f>
        <v>Lembur</v>
      </c>
      <c r="F1069" s="788">
        <v>1.0</v>
      </c>
      <c r="G1069" s="860">
        <v>100000.0</v>
      </c>
      <c r="H1069" s="799">
        <f t="shared" si="7"/>
        <v>100000</v>
      </c>
      <c r="I1069" s="800"/>
      <c r="J1069" s="812"/>
      <c r="K1069" s="848" t="s">
        <v>3191</v>
      </c>
      <c r="L1069" s="806" t="s">
        <v>10137</v>
      </c>
      <c r="M1069" s="806" t="s">
        <v>2763</v>
      </c>
      <c r="N1069" s="854">
        <v>46005.0</v>
      </c>
      <c r="O1069" s="803"/>
    </row>
    <row r="1070" ht="15.0" customHeight="1">
      <c r="A1070" s="786">
        <v>46005.0</v>
      </c>
      <c r="B1070" s="787" t="s">
        <v>10559</v>
      </c>
      <c r="C1070" s="788" t="s">
        <v>10139</v>
      </c>
      <c r="D1070" s="851" t="s">
        <v>2944</v>
      </c>
      <c r="E1070" s="790" t="str">
        <f>IFERROR(VLOOKUP(D1070,Stock,3,FALSE),"")</f>
        <v>Toyota Innova 04-15 1st Gen</v>
      </c>
      <c r="F1070" s="788">
        <v>1.0</v>
      </c>
      <c r="G1070" s="860">
        <v>753300.0</v>
      </c>
      <c r="H1070" s="799">
        <f t="shared" si="7"/>
        <v>753300</v>
      </c>
      <c r="I1070" s="800"/>
      <c r="J1070" s="812"/>
      <c r="K1070" s="848" t="s">
        <v>3191</v>
      </c>
      <c r="L1070" s="806" t="s">
        <v>10137</v>
      </c>
      <c r="M1070" s="806" t="s">
        <v>10502</v>
      </c>
      <c r="N1070" s="854">
        <v>46005.0</v>
      </c>
      <c r="O1070" s="803"/>
    </row>
    <row r="1071" ht="15.0" customHeight="1">
      <c r="A1071" s="786">
        <v>46004.0</v>
      </c>
      <c r="B1071" s="787" t="s">
        <v>10560</v>
      </c>
      <c r="C1071" s="788" t="s">
        <v>10139</v>
      </c>
      <c r="D1071" s="851" t="s">
        <v>6784</v>
      </c>
      <c r="E1071" s="790" t="str">
        <f>IFERROR(VLOOKUP(D1071,Stock,3,FALSE),"")</f>
        <v>Toyota Camry 11-17 XV50 5th Gen</v>
      </c>
      <c r="F1071" s="788">
        <v>1.0</v>
      </c>
      <c r="G1071" s="860">
        <v>1285875.0</v>
      </c>
      <c r="H1071" s="799">
        <f t="shared" si="7"/>
        <v>1285875</v>
      </c>
      <c r="I1071" s="800"/>
      <c r="J1071" s="812"/>
      <c r="K1071" s="848" t="s">
        <v>3191</v>
      </c>
      <c r="L1071" s="806" t="s">
        <v>10137</v>
      </c>
      <c r="M1071" s="806" t="s">
        <v>10502</v>
      </c>
      <c r="N1071" s="854">
        <v>46004.0</v>
      </c>
      <c r="O1071" s="803"/>
    </row>
    <row r="1072" ht="15.0" customHeight="1">
      <c r="A1072" s="786">
        <v>46001.0</v>
      </c>
      <c r="B1072" s="787">
        <v>2512425.0</v>
      </c>
      <c r="C1072" s="788" t="s">
        <v>10136</v>
      </c>
      <c r="D1072" s="851" t="s">
        <v>6730</v>
      </c>
      <c r="E1072" s="790" t="str">
        <f>IFERROR(VLOOKUP(D1072,Stock,3,FALSE),"")</f>
        <v>Hyundai H1 08- / Mover</v>
      </c>
      <c r="F1072" s="788">
        <v>1.0</v>
      </c>
      <c r="G1072" s="860">
        <v>987800.0</v>
      </c>
      <c r="H1072" s="799">
        <f t="shared" si="7"/>
        <v>987800</v>
      </c>
      <c r="I1072" s="800"/>
      <c r="J1072" s="812"/>
      <c r="K1072" s="848" t="s">
        <v>3191</v>
      </c>
      <c r="L1072" s="806" t="s">
        <v>10137</v>
      </c>
      <c r="M1072" s="806" t="s">
        <v>2763</v>
      </c>
      <c r="N1072" s="837">
        <v>46063.0</v>
      </c>
      <c r="O1072" s="803"/>
    </row>
    <row r="1073" ht="15.0" customHeight="1">
      <c r="A1073" s="786">
        <v>46002.0</v>
      </c>
      <c r="B1073" s="787">
        <v>2512467.0</v>
      </c>
      <c r="C1073" s="788" t="s">
        <v>10136</v>
      </c>
      <c r="D1073" s="851" t="s">
        <v>6746</v>
      </c>
      <c r="E1073" s="790" t="str">
        <f>IFERROR(VLOOKUP(D1073,Stock,3,FALSE),"")</f>
        <v>Toyota Camry 06-11 XV40 4th Gen</v>
      </c>
      <c r="F1073" s="788">
        <v>1.0</v>
      </c>
      <c r="G1073" s="860">
        <v>1552650.0</v>
      </c>
      <c r="H1073" s="799">
        <f t="shared" si="7"/>
        <v>1552650</v>
      </c>
      <c r="I1073" s="800"/>
      <c r="J1073" s="812"/>
      <c r="K1073" s="848" t="s">
        <v>3191</v>
      </c>
      <c r="L1073" s="806" t="s">
        <v>10137</v>
      </c>
      <c r="M1073" s="806" t="s">
        <v>2763</v>
      </c>
      <c r="N1073" s="837">
        <v>46063.0</v>
      </c>
      <c r="O1073" s="803"/>
    </row>
    <row r="1074" ht="15.0" customHeight="1">
      <c r="A1074" s="786">
        <v>46006.0</v>
      </c>
      <c r="B1074" s="787" t="s">
        <v>10561</v>
      </c>
      <c r="C1074" s="788" t="s">
        <v>10139</v>
      </c>
      <c r="D1074" s="851" t="s">
        <v>4001</v>
      </c>
      <c r="E1074" s="790" t="str">
        <f>IFERROR(VLOOKUP(D1074,Stock,3,FALSE),"")</f>
        <v>Daihatsu Gran Max Minibus/Van</v>
      </c>
      <c r="F1074" s="788">
        <v>20.0</v>
      </c>
      <c r="G1074" s="860">
        <v>233211.0</v>
      </c>
      <c r="H1074" s="799">
        <f t="shared" si="7"/>
        <v>4664220</v>
      </c>
      <c r="I1074" s="800"/>
      <c r="J1074" s="812"/>
      <c r="K1074" s="848" t="s">
        <v>3191</v>
      </c>
      <c r="L1074" s="806" t="s">
        <v>10137</v>
      </c>
      <c r="M1074" s="806" t="s">
        <v>2763</v>
      </c>
      <c r="N1074" s="837">
        <v>45672.0</v>
      </c>
      <c r="O1074" s="803"/>
    </row>
    <row r="1075" ht="15.0" customHeight="1">
      <c r="A1075" s="786">
        <v>46006.0</v>
      </c>
      <c r="B1075" s="787">
        <v>2512564.0</v>
      </c>
      <c r="C1075" s="788" t="s">
        <v>10136</v>
      </c>
      <c r="D1075" s="851" t="s">
        <v>3021</v>
      </c>
      <c r="E1075" s="790" t="str">
        <f>IFERROR(VLOOKUP(D1075,Stock,3,FALSE),"")</f>
        <v>Honda Freed 08-16 1st gen</v>
      </c>
      <c r="F1075" s="788">
        <v>1.0</v>
      </c>
      <c r="G1075" s="860">
        <v>657800.0</v>
      </c>
      <c r="H1075" s="799">
        <f t="shared" si="7"/>
        <v>657800</v>
      </c>
      <c r="I1075" s="800"/>
      <c r="J1075" s="812"/>
      <c r="K1075" s="848" t="s">
        <v>3810</v>
      </c>
      <c r="L1075" s="806" t="s">
        <v>10137</v>
      </c>
      <c r="M1075" s="806" t="s">
        <v>2763</v>
      </c>
      <c r="N1075" s="837">
        <v>46063.0</v>
      </c>
      <c r="O1075" s="803"/>
    </row>
    <row r="1076" ht="15.0" customHeight="1">
      <c r="A1076" s="786">
        <v>46007.0</v>
      </c>
      <c r="B1076" s="787">
        <v>2512590.0</v>
      </c>
      <c r="C1076" s="788" t="s">
        <v>10136</v>
      </c>
      <c r="D1076" s="851" t="s">
        <v>6770</v>
      </c>
      <c r="E1076" s="790" t="str">
        <f>IFERROR(VLOOKUP(D1076,Stock,3,FALSE),"")</f>
        <v>Toyota Altis 06-13 E140 10th Gen</v>
      </c>
      <c r="F1076" s="788">
        <v>1.0</v>
      </c>
      <c r="G1076" s="860">
        <v>1100000.0</v>
      </c>
      <c r="H1076" s="799">
        <f t="shared" si="7"/>
        <v>1100000</v>
      </c>
      <c r="I1076" s="800"/>
      <c r="J1076" s="812"/>
      <c r="K1076" s="848" t="s">
        <v>3810</v>
      </c>
      <c r="L1076" s="806" t="s">
        <v>10137</v>
      </c>
      <c r="M1076" s="806" t="s">
        <v>2763</v>
      </c>
      <c r="N1076" s="837">
        <v>46063.0</v>
      </c>
      <c r="O1076" s="803"/>
    </row>
    <row r="1077" ht="15.0" customHeight="1">
      <c r="A1077" s="786">
        <v>46007.0</v>
      </c>
      <c r="B1077" s="787">
        <v>2512590.0</v>
      </c>
      <c r="C1077" s="788" t="s">
        <v>10136</v>
      </c>
      <c r="D1077" s="851" t="s">
        <v>6746</v>
      </c>
      <c r="E1077" s="790" t="str">
        <f>IFERROR(VLOOKUP(D1077,Stock,3,FALSE),"")</f>
        <v>Toyota Camry 06-11 XV40 4th Gen</v>
      </c>
      <c r="F1077" s="788">
        <v>1.0</v>
      </c>
      <c r="G1077" s="860">
        <v>1552650.0</v>
      </c>
      <c r="H1077" s="799">
        <f t="shared" si="7"/>
        <v>1552650</v>
      </c>
      <c r="I1077" s="800"/>
      <c r="J1077" s="812"/>
      <c r="K1077" s="848" t="s">
        <v>3810</v>
      </c>
      <c r="L1077" s="806" t="s">
        <v>10137</v>
      </c>
      <c r="M1077" s="806" t="s">
        <v>2763</v>
      </c>
      <c r="N1077" s="837">
        <v>46063.0</v>
      </c>
      <c r="O1077" s="803"/>
    </row>
    <row r="1078" ht="15.0" customHeight="1">
      <c r="A1078" s="786">
        <v>46007.0</v>
      </c>
      <c r="B1078" s="787">
        <v>2512590.0</v>
      </c>
      <c r="C1078" s="788" t="s">
        <v>10136</v>
      </c>
      <c r="D1078" s="851" t="s">
        <v>3021</v>
      </c>
      <c r="E1078" s="790" t="str">
        <f>IFERROR(VLOOKUP(D1078,Stock,3,FALSE),"")</f>
        <v>Honda Freed 08-16 1st gen</v>
      </c>
      <c r="F1078" s="788">
        <v>1.0</v>
      </c>
      <c r="G1078" s="860">
        <v>657800.0</v>
      </c>
      <c r="H1078" s="799">
        <f t="shared" si="7"/>
        <v>657800</v>
      </c>
      <c r="I1078" s="800"/>
      <c r="J1078" s="812"/>
      <c r="K1078" s="848" t="s">
        <v>3810</v>
      </c>
      <c r="L1078" s="806" t="s">
        <v>10137</v>
      </c>
      <c r="M1078" s="806" t="s">
        <v>2763</v>
      </c>
      <c r="N1078" s="837">
        <v>46063.0</v>
      </c>
      <c r="O1078" s="803"/>
    </row>
    <row r="1079" ht="15.0" customHeight="1">
      <c r="A1079" s="786">
        <v>46007.0</v>
      </c>
      <c r="B1079" s="787">
        <v>2512590.0</v>
      </c>
      <c r="C1079" s="788" t="s">
        <v>10136</v>
      </c>
      <c r="D1079" s="851" t="s">
        <v>6507</v>
      </c>
      <c r="E1079" s="790" t="str">
        <f>IFERROR(VLOOKUP(D1079,Stock,3,FALSE),"")</f>
        <v>Hyundai Santa Fe 18-</v>
      </c>
      <c r="F1079" s="788">
        <v>1.0</v>
      </c>
      <c r="G1079" s="860">
        <v>1355200.0</v>
      </c>
      <c r="H1079" s="799">
        <f t="shared" si="7"/>
        <v>1355200</v>
      </c>
      <c r="I1079" s="800"/>
      <c r="J1079" s="812"/>
      <c r="K1079" s="848" t="s">
        <v>3810</v>
      </c>
      <c r="L1079" s="806" t="s">
        <v>10137</v>
      </c>
      <c r="M1079" s="806" t="s">
        <v>2763</v>
      </c>
      <c r="N1079" s="837">
        <v>46063.0</v>
      </c>
      <c r="O1079" s="803"/>
    </row>
    <row r="1080" ht="15.0" customHeight="1">
      <c r="A1080" s="786">
        <v>46007.0</v>
      </c>
      <c r="B1080" s="787" t="s">
        <v>10562</v>
      </c>
      <c r="C1080" s="788" t="s">
        <v>10139</v>
      </c>
      <c r="D1080" s="851" t="s">
        <v>2948</v>
      </c>
      <c r="E1080" s="790" t="str">
        <f>IFERROR(VLOOKUP(D1080,Stock,3,FALSE),"")</f>
        <v>Nissan March 10- K13</v>
      </c>
      <c r="F1080" s="788">
        <v>1.0</v>
      </c>
      <c r="G1080" s="860">
        <v>771525.0</v>
      </c>
      <c r="H1080" s="799">
        <f t="shared" si="7"/>
        <v>771525</v>
      </c>
      <c r="I1080" s="800"/>
      <c r="J1080" s="812"/>
      <c r="K1080" s="848" t="s">
        <v>3810</v>
      </c>
      <c r="L1080" s="806" t="s">
        <v>10137</v>
      </c>
      <c r="M1080" s="806" t="s">
        <v>10502</v>
      </c>
      <c r="N1080" s="854">
        <v>46007.0</v>
      </c>
      <c r="O1080" s="803"/>
    </row>
    <row r="1081" ht="15.0" customHeight="1">
      <c r="A1081" s="786">
        <v>46007.0</v>
      </c>
      <c r="B1081" s="787" t="s">
        <v>10562</v>
      </c>
      <c r="C1081" s="788" t="s">
        <v>10139</v>
      </c>
      <c r="D1081" s="851" t="s">
        <v>6866</v>
      </c>
      <c r="E1081" s="790" t="str">
        <f>IFERROR(VLOOKUP(D1081,Stock,3,FALSE),"")</f>
        <v>Toyota Alphard 15-17 ANH30 3rd Gen (Hitam)</v>
      </c>
      <c r="F1081" s="788">
        <v>1.0</v>
      </c>
      <c r="G1081" s="860">
        <v>1734750.0</v>
      </c>
      <c r="H1081" s="799">
        <f t="shared" si="7"/>
        <v>1734750</v>
      </c>
      <c r="I1081" s="800"/>
      <c r="J1081" s="812"/>
      <c r="K1081" s="848" t="s">
        <v>3810</v>
      </c>
      <c r="L1081" s="806" t="s">
        <v>10137</v>
      </c>
      <c r="M1081" s="806" t="s">
        <v>10502</v>
      </c>
      <c r="N1081" s="854">
        <v>46007.0</v>
      </c>
      <c r="O1081" s="803"/>
    </row>
    <row r="1082" ht="15.0" customHeight="1">
      <c r="A1082" s="786">
        <v>46007.0</v>
      </c>
      <c r="B1082" s="787" t="s">
        <v>10562</v>
      </c>
      <c r="C1082" s="788" t="s">
        <v>10139</v>
      </c>
      <c r="D1082" s="851" t="s">
        <v>6892</v>
      </c>
      <c r="E1082" s="790" t="str">
        <f>IFERROR(VLOOKUP(D1082,Stock,3,FALSE),"")</f>
        <v>Toyota Avanza / Xenia 11-15 2nd Gen / 15-21 3rd Gen</v>
      </c>
      <c r="F1082" s="788">
        <v>1.0</v>
      </c>
      <c r="G1082" s="860">
        <v>200000.0</v>
      </c>
      <c r="H1082" s="799">
        <f t="shared" si="7"/>
        <v>200000</v>
      </c>
      <c r="I1082" s="800"/>
      <c r="J1082" s="812"/>
      <c r="K1082" s="848" t="s">
        <v>3810</v>
      </c>
      <c r="L1082" s="806" t="s">
        <v>10137</v>
      </c>
      <c r="M1082" s="806" t="s">
        <v>10502</v>
      </c>
      <c r="N1082" s="854">
        <v>46007.0</v>
      </c>
      <c r="O1082" s="803"/>
    </row>
    <row r="1083" ht="15.0" customHeight="1">
      <c r="A1083" s="786">
        <v>46007.0</v>
      </c>
      <c r="B1083" s="787" t="s">
        <v>10563</v>
      </c>
      <c r="C1083" s="788" t="s">
        <v>10139</v>
      </c>
      <c r="D1083" s="851" t="s">
        <v>6864</v>
      </c>
      <c r="E1083" s="790" t="str">
        <f>IFERROR(VLOOKUP(D1083,Stock,3,FALSE),"")</f>
        <v>Toyota LandCruiser 90-97 FJ80</v>
      </c>
      <c r="F1083" s="788">
        <v>1.0</v>
      </c>
      <c r="G1083" s="860">
        <v>1250000.0</v>
      </c>
      <c r="H1083" s="799">
        <f t="shared" si="7"/>
        <v>1250000</v>
      </c>
      <c r="I1083" s="800"/>
      <c r="J1083" s="812"/>
      <c r="K1083" s="848" t="s">
        <v>3810</v>
      </c>
      <c r="L1083" s="806" t="s">
        <v>10137</v>
      </c>
      <c r="M1083" s="806" t="s">
        <v>10502</v>
      </c>
      <c r="N1083" s="854">
        <v>46007.0</v>
      </c>
      <c r="O1083" s="803"/>
    </row>
    <row r="1084" ht="15.0" customHeight="1">
      <c r="A1084" s="786">
        <v>46006.0</v>
      </c>
      <c r="B1084" s="787" t="s">
        <v>10564</v>
      </c>
      <c r="C1084" s="788" t="s">
        <v>24</v>
      </c>
      <c r="D1084" s="851" t="s">
        <v>10287</v>
      </c>
      <c r="E1084" s="790" t="str">
        <f>IFERROR(VLOOKUP(D1084,Stock,3,FALSE),"")</f>
        <v/>
      </c>
      <c r="F1084" s="788">
        <v>24.0</v>
      </c>
      <c r="G1084" s="860">
        <v>28000.0</v>
      </c>
      <c r="H1084" s="799">
        <f t="shared" si="7"/>
        <v>672000</v>
      </c>
      <c r="I1084" s="800"/>
      <c r="J1084" s="812"/>
      <c r="K1084" s="848" t="s">
        <v>3191</v>
      </c>
      <c r="L1084" s="806" t="s">
        <v>10137</v>
      </c>
      <c r="M1084" s="806" t="s">
        <v>2763</v>
      </c>
      <c r="N1084" s="854">
        <v>46007.0</v>
      </c>
      <c r="O1084" s="803"/>
    </row>
    <row r="1085" ht="15.0" customHeight="1">
      <c r="A1085" s="834">
        <v>46008.0</v>
      </c>
      <c r="B1085" s="603" t="s">
        <v>10565</v>
      </c>
      <c r="C1085" s="822" t="s">
        <v>10148</v>
      </c>
      <c r="D1085" s="109" t="s">
        <v>3515</v>
      </c>
      <c r="E1085" s="594" t="str">
        <f>IFERROR(VLOOKUP(D1085,Stock,3,FALSE),"")</f>
        <v>Suzuki Ertiga 18- 2nd Gen / XL7 (Suzuki)</v>
      </c>
      <c r="F1085" s="822">
        <v>1.0</v>
      </c>
      <c r="G1085" s="756"/>
      <c r="H1085" s="824">
        <f t="shared" si="7"/>
        <v>0</v>
      </c>
      <c r="I1085" s="825"/>
      <c r="J1085" s="826"/>
      <c r="K1085" s="850" t="s">
        <v>3810</v>
      </c>
    </row>
    <row r="1086" ht="15.0" customHeight="1">
      <c r="A1086" s="786">
        <v>46008.0</v>
      </c>
      <c r="B1086" s="787">
        <v>2512663.0</v>
      </c>
      <c r="C1086" s="788" t="s">
        <v>10136</v>
      </c>
      <c r="D1086" s="851" t="s">
        <v>6910</v>
      </c>
      <c r="E1086" s="790" t="str">
        <f>IFERROR(VLOOKUP(D1086,Stock,3,FALSE),"")</f>
        <v>Hyundai H1 08- / Mover (Frame)</v>
      </c>
      <c r="F1086" s="788">
        <v>1.0</v>
      </c>
      <c r="G1086" s="860">
        <v>1333750.0</v>
      </c>
      <c r="H1086" s="799">
        <f t="shared" si="7"/>
        <v>1333750</v>
      </c>
      <c r="I1086" s="800"/>
      <c r="J1086" s="812"/>
      <c r="K1086" s="848" t="s">
        <v>3810</v>
      </c>
      <c r="L1086" s="806" t="s">
        <v>10137</v>
      </c>
      <c r="M1086" s="806" t="s">
        <v>2763</v>
      </c>
      <c r="N1086" s="837">
        <v>46063.0</v>
      </c>
      <c r="O1086" s="803"/>
    </row>
    <row r="1087" ht="15.0" customHeight="1">
      <c r="A1087" s="786">
        <v>46008.0</v>
      </c>
      <c r="B1087" s="787" t="s">
        <v>10566</v>
      </c>
      <c r="C1087" s="788" t="s">
        <v>10139</v>
      </c>
      <c r="D1087" s="851" t="s">
        <v>6912</v>
      </c>
      <c r="E1087" s="790" t="str">
        <f>IFERROR(VLOOKUP(D1087,Stock,3,FALSE),"")</f>
        <v>Mitsubishi Xpander 17- / Livina 19- 2nd Gen</v>
      </c>
      <c r="F1087" s="788">
        <v>1.0</v>
      </c>
      <c r="G1087" s="860">
        <v>220000.0</v>
      </c>
      <c r="H1087" s="799">
        <f t="shared" si="7"/>
        <v>220000</v>
      </c>
      <c r="I1087" s="800"/>
      <c r="J1087" s="812"/>
      <c r="K1087" s="848" t="s">
        <v>3810</v>
      </c>
      <c r="L1087" s="806" t="s">
        <v>10137</v>
      </c>
      <c r="M1087" s="806" t="s">
        <v>10502</v>
      </c>
      <c r="N1087" s="854">
        <v>46008.0</v>
      </c>
      <c r="O1087" s="803"/>
    </row>
    <row r="1088" ht="15.0" customHeight="1">
      <c r="A1088" s="786">
        <v>46008.0</v>
      </c>
      <c r="B1088" s="787">
        <v>2512633.0</v>
      </c>
      <c r="C1088" s="788" t="s">
        <v>10136</v>
      </c>
      <c r="D1088" s="851" t="s">
        <v>6871</v>
      </c>
      <c r="E1088" s="790" t="str">
        <f>IFERROR(VLOOKUP(D1088,Stock,3,FALSE),"")</f>
        <v>Toyota Innova 22- Zenyx 3rd Gen (1 Sensor / /\ )</v>
      </c>
      <c r="F1088" s="788">
        <v>1.0</v>
      </c>
      <c r="G1088" s="860">
        <v>990000.0</v>
      </c>
      <c r="H1088" s="799">
        <f t="shared" si="7"/>
        <v>990000</v>
      </c>
      <c r="I1088" s="800"/>
      <c r="J1088" s="812"/>
      <c r="K1088" s="848" t="s">
        <v>3810</v>
      </c>
      <c r="L1088" s="806" t="s">
        <v>10137</v>
      </c>
      <c r="M1088" s="806" t="s">
        <v>2763</v>
      </c>
      <c r="N1088" s="837">
        <v>46067.0</v>
      </c>
      <c r="O1088" s="803"/>
    </row>
    <row r="1089" ht="15.0" customHeight="1">
      <c r="A1089" s="786">
        <v>46008.0</v>
      </c>
      <c r="B1089" s="787" t="s">
        <v>10567</v>
      </c>
      <c r="C1089" s="788" t="s">
        <v>2643</v>
      </c>
      <c r="D1089" s="851" t="s">
        <v>10568</v>
      </c>
      <c r="E1089" s="790" t="str">
        <f>IFERROR(VLOOKUP(D1089,Stock,3,FALSE),"")</f>
        <v>Mitsubishi Pajero 16- (Mitsubishi)</v>
      </c>
      <c r="F1089" s="788">
        <v>1.0</v>
      </c>
      <c r="G1089" s="860">
        <v>1178000.0</v>
      </c>
      <c r="H1089" s="799">
        <f t="shared" si="7"/>
        <v>1178000</v>
      </c>
      <c r="I1089" s="800"/>
      <c r="J1089" s="812"/>
      <c r="K1089" s="848" t="s">
        <v>3810</v>
      </c>
      <c r="L1089" s="806" t="s">
        <v>10137</v>
      </c>
      <c r="M1089" s="806" t="s">
        <v>2763</v>
      </c>
      <c r="N1089" s="837">
        <v>46072.0</v>
      </c>
      <c r="O1089" s="803"/>
    </row>
    <row r="1090" ht="15.0" customHeight="1">
      <c r="A1090" s="786">
        <v>46008.0</v>
      </c>
      <c r="B1090" s="787" t="s">
        <v>10567</v>
      </c>
      <c r="C1090" s="788" t="s">
        <v>2643</v>
      </c>
      <c r="D1090" s="851" t="s">
        <v>10569</v>
      </c>
      <c r="E1090" s="790" t="str">
        <f>IFERROR(VLOOKUP(D1090,Stock,3,FALSE),"")</f>
        <v>Mitsubishi Pajero 16- (Mitsubishi)</v>
      </c>
      <c r="F1090" s="788">
        <v>1.0</v>
      </c>
      <c r="G1090" s="860">
        <v>1140000.0</v>
      </c>
      <c r="H1090" s="799">
        <f t="shared" si="7"/>
        <v>1140000</v>
      </c>
      <c r="I1090" s="800"/>
      <c r="J1090" s="812"/>
      <c r="K1090" s="848" t="s">
        <v>3810</v>
      </c>
      <c r="L1090" s="806" t="s">
        <v>10137</v>
      </c>
      <c r="M1090" s="806" t="s">
        <v>2763</v>
      </c>
      <c r="N1090" s="837">
        <v>46072.0</v>
      </c>
      <c r="O1090" s="803"/>
    </row>
    <row r="1091" ht="15.0" customHeight="1">
      <c r="A1091" s="786">
        <v>46008.0</v>
      </c>
      <c r="B1091" s="787" t="s">
        <v>10570</v>
      </c>
      <c r="C1091" s="788" t="s">
        <v>2643</v>
      </c>
      <c r="D1091" s="851" t="s">
        <v>3354</v>
      </c>
      <c r="E1091" s="790" t="str">
        <f>IFERROR(VLOOKUP(D1091,Stock,3,FALSE),"")</f>
        <v>Honda Brio 10- / Mobilio 11- (Honda)</v>
      </c>
      <c r="F1091" s="788">
        <v>2.0</v>
      </c>
      <c r="G1091" s="860">
        <v>717948.0</v>
      </c>
      <c r="H1091" s="799">
        <f t="shared" si="7"/>
        <v>1435896</v>
      </c>
      <c r="I1091" s="800"/>
      <c r="J1091" s="812"/>
      <c r="K1091" s="848" t="s">
        <v>3810</v>
      </c>
      <c r="L1091" s="806" t="s">
        <v>10137</v>
      </c>
      <c r="M1091" s="806" t="s">
        <v>2763</v>
      </c>
      <c r="N1091" s="837">
        <v>46072.0</v>
      </c>
      <c r="O1091" s="803"/>
    </row>
    <row r="1092" ht="15.0" customHeight="1">
      <c r="A1092" s="786">
        <v>46010.0</v>
      </c>
      <c r="B1092" s="787">
        <v>2512728.0</v>
      </c>
      <c r="C1092" s="788" t="s">
        <v>10136</v>
      </c>
      <c r="D1092" s="851" t="s">
        <v>6253</v>
      </c>
      <c r="E1092" s="790" t="str">
        <f>IFERROR(VLOOKUP(D1092,Stock,3,FALSE),"")</f>
        <v>Toyota Rush / Terios 06-17</v>
      </c>
      <c r="F1092" s="788">
        <v>1.0</v>
      </c>
      <c r="G1092" s="860">
        <v>350350.0</v>
      </c>
      <c r="H1092" s="799">
        <f t="shared" si="7"/>
        <v>350350</v>
      </c>
      <c r="I1092" s="800"/>
      <c r="J1092" s="812"/>
      <c r="K1092" s="848" t="s">
        <v>3810</v>
      </c>
      <c r="L1092" s="806" t="s">
        <v>10137</v>
      </c>
      <c r="M1092" s="806" t="s">
        <v>2763</v>
      </c>
      <c r="N1092" s="837">
        <v>46067.0</v>
      </c>
      <c r="O1092" s="803"/>
    </row>
    <row r="1093" ht="15.0" customHeight="1">
      <c r="A1093" s="786">
        <v>46010.0</v>
      </c>
      <c r="B1093" s="787">
        <v>2512728.0</v>
      </c>
      <c r="C1093" s="788" t="s">
        <v>10136</v>
      </c>
      <c r="D1093" s="851" t="s">
        <v>3891</v>
      </c>
      <c r="E1093" s="790" t="str">
        <f>IFERROR(VLOOKUP(D1093,Stock,3,FALSE),"")</f>
        <v>Toyota Rush / Terios 06-17</v>
      </c>
      <c r="F1093" s="788">
        <v>1.0</v>
      </c>
      <c r="G1093" s="860">
        <v>387750.0</v>
      </c>
      <c r="H1093" s="799">
        <f t="shared" si="7"/>
        <v>387750</v>
      </c>
      <c r="I1093" s="800"/>
      <c r="J1093" s="812"/>
      <c r="K1093" s="848" t="s">
        <v>3810</v>
      </c>
      <c r="L1093" s="806" t="s">
        <v>10137</v>
      </c>
      <c r="M1093" s="806" t="s">
        <v>2763</v>
      </c>
      <c r="N1093" s="837">
        <v>46067.0</v>
      </c>
      <c r="O1093" s="803"/>
    </row>
    <row r="1094" ht="15.0" customHeight="1">
      <c r="A1094" s="786">
        <v>46010.0</v>
      </c>
      <c r="B1094" s="787">
        <v>2512728.0</v>
      </c>
      <c r="C1094" s="788" t="s">
        <v>10136</v>
      </c>
      <c r="D1094" s="851" t="s">
        <v>4085</v>
      </c>
      <c r="E1094" s="790" t="str">
        <f>IFERROR(VLOOKUP(D1094,Stock,3,FALSE),"")</f>
        <v>Toyota Rush / Terios 06-17</v>
      </c>
      <c r="F1094" s="788">
        <v>1.0</v>
      </c>
      <c r="G1094" s="860">
        <v>356400.0</v>
      </c>
      <c r="H1094" s="799">
        <f t="shared" si="7"/>
        <v>356400</v>
      </c>
      <c r="I1094" s="800"/>
      <c r="J1094" s="812"/>
      <c r="K1094" s="848" t="s">
        <v>3810</v>
      </c>
      <c r="L1094" s="806" t="s">
        <v>10137</v>
      </c>
      <c r="M1094" s="806" t="s">
        <v>2763</v>
      </c>
      <c r="N1094" s="837">
        <v>46067.0</v>
      </c>
      <c r="O1094" s="803"/>
    </row>
    <row r="1095" ht="15.0" customHeight="1">
      <c r="A1095" s="786">
        <v>46010.0</v>
      </c>
      <c r="B1095" s="787">
        <v>2512728.0</v>
      </c>
      <c r="C1095" s="788" t="s">
        <v>10136</v>
      </c>
      <c r="D1095" s="851" t="s">
        <v>2968</v>
      </c>
      <c r="E1095" s="790" t="str">
        <f>IFERROR(VLOOKUP(D1095,Stock,3,FALSE),"")</f>
        <v>Toyota Rush / Terios 18-</v>
      </c>
      <c r="F1095" s="788">
        <v>1.0</v>
      </c>
      <c r="G1095" s="860">
        <v>413600.0</v>
      </c>
      <c r="H1095" s="799">
        <f t="shared" si="7"/>
        <v>413600</v>
      </c>
      <c r="I1095" s="800"/>
      <c r="J1095" s="812"/>
      <c r="K1095" s="848" t="s">
        <v>3810</v>
      </c>
      <c r="L1095" s="806" t="s">
        <v>10137</v>
      </c>
      <c r="M1095" s="806" t="s">
        <v>2763</v>
      </c>
      <c r="N1095" s="837">
        <v>46067.0</v>
      </c>
      <c r="O1095" s="803"/>
    </row>
    <row r="1096" ht="15.0" customHeight="1">
      <c r="A1096" s="786">
        <v>46010.0</v>
      </c>
      <c r="B1096" s="787">
        <v>2512728.0</v>
      </c>
      <c r="C1096" s="788" t="s">
        <v>10136</v>
      </c>
      <c r="D1096" s="851" t="s">
        <v>2944</v>
      </c>
      <c r="E1096" s="790" t="str">
        <f>IFERROR(VLOOKUP(D1096,Stock,3,FALSE),"")</f>
        <v>Toyota Innova 04-15 1st Gen</v>
      </c>
      <c r="F1096" s="788">
        <v>1.0</v>
      </c>
      <c r="G1096" s="860">
        <v>613800.0</v>
      </c>
      <c r="H1096" s="799">
        <f t="shared" si="7"/>
        <v>613800</v>
      </c>
      <c r="I1096" s="800"/>
      <c r="J1096" s="812"/>
      <c r="K1096" s="848" t="s">
        <v>3810</v>
      </c>
      <c r="L1096" s="806" t="s">
        <v>10137</v>
      </c>
      <c r="M1096" s="806" t="s">
        <v>2763</v>
      </c>
      <c r="N1096" s="837">
        <v>46067.0</v>
      </c>
      <c r="O1096" s="803"/>
    </row>
    <row r="1097" ht="15.0" customHeight="1">
      <c r="A1097" s="786">
        <v>46010.0</v>
      </c>
      <c r="B1097" s="787">
        <v>2512728.0</v>
      </c>
      <c r="C1097" s="788" t="s">
        <v>10136</v>
      </c>
      <c r="D1097" s="851" t="s">
        <v>5526</v>
      </c>
      <c r="E1097" s="790" t="str">
        <f>IFERROR(VLOOKUP(D1097,Stock,3,FALSE),"")</f>
        <v>Toyota Fortuner 05-15 1st Gen (Hitam)</v>
      </c>
      <c r="F1097" s="788">
        <v>1.0</v>
      </c>
      <c r="G1097" s="860">
        <v>1072500.0</v>
      </c>
      <c r="H1097" s="799">
        <f t="shared" si="7"/>
        <v>1072500</v>
      </c>
      <c r="I1097" s="800"/>
      <c r="J1097" s="812"/>
      <c r="K1097" s="848" t="s">
        <v>3810</v>
      </c>
      <c r="L1097" s="806" t="s">
        <v>10137</v>
      </c>
      <c r="M1097" s="806" t="s">
        <v>2763</v>
      </c>
      <c r="N1097" s="837">
        <v>46067.0</v>
      </c>
      <c r="O1097" s="803"/>
    </row>
    <row r="1098" ht="15.0" customHeight="1">
      <c r="A1098" s="786">
        <v>46010.0</v>
      </c>
      <c r="B1098" s="787">
        <v>2512728.0</v>
      </c>
      <c r="C1098" s="788" t="s">
        <v>10136</v>
      </c>
      <c r="D1098" s="851" t="s">
        <v>3009</v>
      </c>
      <c r="E1098" s="790" t="str">
        <f>IFERROR(VLOOKUP(D1098,Stock,3,FALSE),"")</f>
        <v>Honda Mobilio 14-</v>
      </c>
      <c r="F1098" s="788">
        <v>1.0</v>
      </c>
      <c r="G1098" s="860">
        <v>495550.0</v>
      </c>
      <c r="H1098" s="799">
        <f t="shared" si="7"/>
        <v>495550</v>
      </c>
      <c r="I1098" s="800"/>
      <c r="J1098" s="812"/>
      <c r="K1098" s="848" t="s">
        <v>3810</v>
      </c>
      <c r="L1098" s="806" t="s">
        <v>10137</v>
      </c>
      <c r="M1098" s="806" t="s">
        <v>2763</v>
      </c>
      <c r="N1098" s="837">
        <v>46067.0</v>
      </c>
      <c r="O1098" s="803"/>
    </row>
    <row r="1099" ht="15.0" customHeight="1">
      <c r="A1099" s="786">
        <v>46010.0</v>
      </c>
      <c r="B1099" s="787">
        <v>2512728.0</v>
      </c>
      <c r="C1099" s="788" t="s">
        <v>10136</v>
      </c>
      <c r="D1099" s="851" t="s">
        <v>2848</v>
      </c>
      <c r="E1099" s="790" t="str">
        <f>IFERROR(VLOOKUP(D1099,Stock,3,FALSE),"")</f>
        <v>Honda Brio 10-17 [Tanpa Lubang]</v>
      </c>
      <c r="F1099" s="788">
        <v>1.0</v>
      </c>
      <c r="G1099" s="860">
        <v>525250.0</v>
      </c>
      <c r="H1099" s="799">
        <f t="shared" si="7"/>
        <v>525250</v>
      </c>
      <c r="I1099" s="800"/>
      <c r="J1099" s="812"/>
      <c r="K1099" s="848" t="s">
        <v>3810</v>
      </c>
      <c r="L1099" s="806" t="s">
        <v>10137</v>
      </c>
      <c r="M1099" s="806" t="s">
        <v>2763</v>
      </c>
      <c r="N1099" s="837">
        <v>46067.0</v>
      </c>
      <c r="O1099" s="803"/>
    </row>
    <row r="1100" ht="15.0" customHeight="1">
      <c r="A1100" s="786">
        <v>46010.0</v>
      </c>
      <c r="B1100" s="787">
        <v>2512728.0</v>
      </c>
      <c r="C1100" s="788" t="s">
        <v>10136</v>
      </c>
      <c r="D1100" s="851" t="s">
        <v>6949</v>
      </c>
      <c r="E1100" s="790" t="str">
        <f>IFERROR(VLOOKUP(D1100,Stock,3,FALSE),"")</f>
        <v>Honda City 14-18 GM6</v>
      </c>
      <c r="F1100" s="788">
        <v>1.0</v>
      </c>
      <c r="G1100" s="860">
        <v>970750.0</v>
      </c>
      <c r="H1100" s="799">
        <f t="shared" si="7"/>
        <v>970750</v>
      </c>
      <c r="I1100" s="800"/>
      <c r="J1100" s="812"/>
      <c r="K1100" s="848" t="s">
        <v>3810</v>
      </c>
      <c r="L1100" s="806" t="s">
        <v>10137</v>
      </c>
      <c r="M1100" s="806" t="s">
        <v>2763</v>
      </c>
      <c r="N1100" s="837">
        <v>46067.0</v>
      </c>
      <c r="O1100" s="803"/>
    </row>
    <row r="1101" ht="15.0" customHeight="1">
      <c r="A1101" s="786">
        <v>46010.0</v>
      </c>
      <c r="B1101" s="787">
        <v>2512728.0</v>
      </c>
      <c r="C1101" s="788" t="s">
        <v>10136</v>
      </c>
      <c r="D1101" s="851" t="s">
        <v>6936</v>
      </c>
      <c r="E1101" s="790" t="str">
        <f>IFERROR(VLOOKUP(D1101,Stock,3,FALSE),"")</f>
        <v>Toyota Yaris 18- 3rd Gen (Lampu -) XP151</v>
      </c>
      <c r="F1101" s="788">
        <v>1.0</v>
      </c>
      <c r="G1101" s="860">
        <v>699600.0</v>
      </c>
      <c r="H1101" s="799">
        <f t="shared" si="7"/>
        <v>699600</v>
      </c>
      <c r="I1101" s="800"/>
      <c r="J1101" s="812"/>
      <c r="K1101" s="848" t="s">
        <v>3810</v>
      </c>
      <c r="L1101" s="806" t="s">
        <v>10137</v>
      </c>
      <c r="M1101" s="806" t="s">
        <v>2763</v>
      </c>
      <c r="N1101" s="837">
        <v>46067.0</v>
      </c>
      <c r="O1101" s="803"/>
    </row>
    <row r="1102" ht="15.0" customHeight="1">
      <c r="A1102" s="786">
        <v>46010.0</v>
      </c>
      <c r="B1102" s="787">
        <v>2512754.0</v>
      </c>
      <c r="C1102" s="788" t="s">
        <v>10136</v>
      </c>
      <c r="D1102" s="851" t="s">
        <v>4447</v>
      </c>
      <c r="E1102" s="790" t="str">
        <f>IFERROR(VLOOKUP(D1102,Stock,3,FALSE),"")</f>
        <v>Isuzu Elf 17- New NMR NLR</v>
      </c>
      <c r="F1102" s="788">
        <v>1.0</v>
      </c>
      <c r="G1102" s="860">
        <v>502700.0</v>
      </c>
      <c r="H1102" s="799">
        <f t="shared" si="7"/>
        <v>502700</v>
      </c>
      <c r="I1102" s="800"/>
      <c r="J1102" s="812"/>
      <c r="K1102" s="848" t="s">
        <v>3810</v>
      </c>
      <c r="L1102" s="806" t="s">
        <v>10137</v>
      </c>
      <c r="M1102" s="806" t="s">
        <v>2763</v>
      </c>
      <c r="N1102" s="837">
        <v>46067.0</v>
      </c>
      <c r="O1102" s="803"/>
    </row>
    <row r="1103" ht="15.0" customHeight="1">
      <c r="A1103" s="786">
        <v>46010.0</v>
      </c>
      <c r="B1103" s="787">
        <v>2512754.0</v>
      </c>
      <c r="C1103" s="788" t="s">
        <v>10136</v>
      </c>
      <c r="D1103" s="851" t="s">
        <v>3078</v>
      </c>
      <c r="E1103" s="790" t="str">
        <f>IFERROR(VLOOKUP(D1103,Stock,3,FALSE),"")</f>
        <v>Suzuki Ertiga 12-18 1st Gen MPV</v>
      </c>
      <c r="F1103" s="788">
        <v>1.0</v>
      </c>
      <c r="G1103" s="860">
        <v>292050.0</v>
      </c>
      <c r="H1103" s="799">
        <f t="shared" si="7"/>
        <v>292050</v>
      </c>
      <c r="I1103" s="800"/>
      <c r="J1103" s="812"/>
      <c r="K1103" s="848" t="s">
        <v>3810</v>
      </c>
      <c r="L1103" s="806" t="s">
        <v>10137</v>
      </c>
      <c r="M1103" s="806" t="s">
        <v>2763</v>
      </c>
      <c r="N1103" s="837">
        <v>46067.0</v>
      </c>
      <c r="O1103" s="803"/>
    </row>
    <row r="1104" ht="15.0" customHeight="1">
      <c r="A1104" s="786">
        <v>46007.0</v>
      </c>
      <c r="B1104" s="787" t="s">
        <v>10571</v>
      </c>
      <c r="C1104" s="788" t="s">
        <v>10139</v>
      </c>
      <c r="D1104" s="851" t="s">
        <v>6407</v>
      </c>
      <c r="E1104" s="790" t="str">
        <f>IFERROR(VLOOKUP(D1104,Stock,3,FALSE),"")</f>
        <v>Suzuki Carry 91-17 / Futura 91-18</v>
      </c>
      <c r="F1104" s="788">
        <v>1.0</v>
      </c>
      <c r="G1104" s="860">
        <v>125000.0</v>
      </c>
      <c r="H1104" s="799">
        <f t="shared" si="7"/>
        <v>125000</v>
      </c>
      <c r="I1104" s="800"/>
      <c r="J1104" s="812"/>
      <c r="K1104" s="848" t="s">
        <v>3481</v>
      </c>
      <c r="L1104" s="806" t="s">
        <v>10137</v>
      </c>
      <c r="M1104" s="806" t="s">
        <v>10502</v>
      </c>
      <c r="N1104" s="837">
        <v>46069.0</v>
      </c>
      <c r="O1104" s="803"/>
    </row>
    <row r="1105" ht="15.0" customHeight="1">
      <c r="A1105" s="786">
        <v>46009.0</v>
      </c>
      <c r="B1105" s="787" t="s">
        <v>10572</v>
      </c>
      <c r="C1105" s="788" t="s">
        <v>10573</v>
      </c>
      <c r="D1105" s="787" t="s">
        <v>6484</v>
      </c>
      <c r="E1105" s="790" t="str">
        <f>IFERROR(VLOOKUP(D1105,Stock,3,FALSE),"")</f>
        <v>DFSK Glory 580 16-21 (DFSK)</v>
      </c>
      <c r="F1105" s="788">
        <v>1.0</v>
      </c>
      <c r="G1105" s="860">
        <v>2265510.0</v>
      </c>
      <c r="H1105" s="799">
        <f t="shared" si="7"/>
        <v>2265510</v>
      </c>
      <c r="I1105" s="800"/>
      <c r="J1105" s="812"/>
      <c r="K1105" s="848" t="s">
        <v>3810</v>
      </c>
      <c r="L1105" s="806" t="s">
        <v>10137</v>
      </c>
      <c r="M1105" s="806" t="s">
        <v>2763</v>
      </c>
      <c r="N1105" s="837">
        <v>46357.0</v>
      </c>
      <c r="O1105" s="803"/>
    </row>
    <row r="1106" ht="15.0" customHeight="1">
      <c r="A1106" s="786">
        <v>46011.0</v>
      </c>
      <c r="B1106" s="787" t="s">
        <v>10574</v>
      </c>
      <c r="C1106" s="788" t="s">
        <v>10139</v>
      </c>
      <c r="D1106" s="851" t="s">
        <v>5207</v>
      </c>
      <c r="E1106" s="790" t="str">
        <f>IFERROR(VLOOKUP(D1106,Stock,3,FALSE),"")</f>
        <v>Toyota Alphard 08-15 ANH20 2nd Gen</v>
      </c>
      <c r="F1106" s="788">
        <v>1.0</v>
      </c>
      <c r="G1106" s="860">
        <v>2836230.0</v>
      </c>
      <c r="H1106" s="799">
        <f t="shared" si="7"/>
        <v>2836230</v>
      </c>
      <c r="I1106" s="800"/>
      <c r="J1106" s="812"/>
      <c r="K1106" s="848" t="s">
        <v>3810</v>
      </c>
      <c r="L1106" s="806" t="s">
        <v>10137</v>
      </c>
      <c r="M1106" s="806" t="s">
        <v>10502</v>
      </c>
      <c r="N1106" s="854">
        <v>46011.0</v>
      </c>
      <c r="O1106" s="803"/>
    </row>
    <row r="1107" ht="15.0" customHeight="1">
      <c r="A1107" s="786">
        <v>46011.0</v>
      </c>
      <c r="B1107" s="787" t="s">
        <v>10575</v>
      </c>
      <c r="C1107" s="788" t="s">
        <v>2643</v>
      </c>
      <c r="D1107" s="851" t="s">
        <v>3704</v>
      </c>
      <c r="E1107" s="790" t="str">
        <f>IFERROR(VLOOKUP(D1107,Stock,3,FALSE),"")</f>
        <v>Honda BR-V 16-21 (Honda)</v>
      </c>
      <c r="F1107" s="788">
        <v>1.0</v>
      </c>
      <c r="G1107" s="860">
        <v>1167276.0</v>
      </c>
      <c r="H1107" s="799">
        <f t="shared" si="7"/>
        <v>1167276</v>
      </c>
      <c r="I1107" s="800"/>
      <c r="J1107" s="812"/>
      <c r="K1107" s="848" t="s">
        <v>3810</v>
      </c>
      <c r="L1107" s="806" t="s">
        <v>10137</v>
      </c>
      <c r="M1107" s="806" t="s">
        <v>2763</v>
      </c>
      <c r="N1107" s="837">
        <v>46083.0</v>
      </c>
      <c r="O1107" s="803"/>
    </row>
    <row r="1108" ht="15.0" customHeight="1">
      <c r="A1108" s="786">
        <v>46011.0</v>
      </c>
      <c r="B1108" s="787" t="s">
        <v>10575</v>
      </c>
      <c r="C1108" s="788" t="s">
        <v>2643</v>
      </c>
      <c r="D1108" s="851" t="s">
        <v>4176</v>
      </c>
      <c r="E1108" s="790" t="str">
        <f>IFERROR(VLOOKUP(D1108,Stock,3,FALSE),"")</f>
        <v>Honda HR-V 22- 5D SUV (Honda)</v>
      </c>
      <c r="F1108" s="788">
        <v>1.0</v>
      </c>
      <c r="G1108" s="860">
        <v>2031744.0</v>
      </c>
      <c r="H1108" s="799">
        <f t="shared" si="7"/>
        <v>2031744</v>
      </c>
      <c r="I1108" s="800"/>
      <c r="J1108" s="812"/>
      <c r="K1108" s="848" t="s">
        <v>3810</v>
      </c>
      <c r="L1108" s="806" t="s">
        <v>10137</v>
      </c>
      <c r="M1108" s="806" t="s">
        <v>2763</v>
      </c>
      <c r="N1108" s="837">
        <v>46083.0</v>
      </c>
      <c r="O1108" s="803"/>
    </row>
    <row r="1109" ht="15.0" customHeight="1">
      <c r="A1109" s="786">
        <v>46013.0</v>
      </c>
      <c r="B1109" s="787">
        <v>2512779.0</v>
      </c>
      <c r="C1109" s="788" t="s">
        <v>10136</v>
      </c>
      <c r="D1109" s="851" t="s">
        <v>3021</v>
      </c>
      <c r="E1109" s="790" t="str">
        <f>IFERROR(VLOOKUP(D1109,Stock,3,FALSE),"")</f>
        <v>Honda Freed 08-16 1st gen</v>
      </c>
      <c r="F1109" s="788">
        <v>1.0</v>
      </c>
      <c r="G1109" s="860">
        <v>657800.0</v>
      </c>
      <c r="H1109" s="799">
        <f t="shared" si="7"/>
        <v>657800</v>
      </c>
      <c r="I1109" s="800"/>
      <c r="J1109" s="812"/>
      <c r="K1109" s="848" t="s">
        <v>3481</v>
      </c>
      <c r="L1109" s="806" t="s">
        <v>10137</v>
      </c>
      <c r="M1109" s="806" t="s">
        <v>2763</v>
      </c>
      <c r="N1109" s="837">
        <v>46067.0</v>
      </c>
      <c r="O1109" s="803"/>
    </row>
    <row r="1110" ht="15.0" customHeight="1">
      <c r="A1110" s="786">
        <v>46013.0</v>
      </c>
      <c r="B1110" s="787">
        <v>2512779.0</v>
      </c>
      <c r="C1110" s="788" t="s">
        <v>10136</v>
      </c>
      <c r="D1110" s="851" t="s">
        <v>3246</v>
      </c>
      <c r="E1110" s="790" t="str">
        <f>IFERROR(VLOOKUP(D1110,Stock,3,FALSE),"")</f>
        <v>Toyota Calya / Sigra 16-</v>
      </c>
      <c r="F1110" s="788">
        <v>2.0</v>
      </c>
      <c r="G1110" s="860">
        <v>505450.0</v>
      </c>
      <c r="H1110" s="799">
        <f t="shared" si="7"/>
        <v>1010900</v>
      </c>
      <c r="I1110" s="800"/>
      <c r="J1110" s="812"/>
      <c r="K1110" s="848" t="s">
        <v>3481</v>
      </c>
      <c r="L1110" s="806" t="s">
        <v>10137</v>
      </c>
      <c r="M1110" s="806" t="s">
        <v>2763</v>
      </c>
      <c r="N1110" s="837">
        <v>46067.0</v>
      </c>
      <c r="O1110" s="803"/>
    </row>
    <row r="1111" ht="15.0" customHeight="1">
      <c r="A1111" s="786">
        <v>46013.0</v>
      </c>
      <c r="B1111" s="787">
        <v>2512779.0</v>
      </c>
      <c r="C1111" s="788" t="s">
        <v>10136</v>
      </c>
      <c r="D1111" s="851" t="s">
        <v>4383</v>
      </c>
      <c r="E1111" s="790" t="str">
        <f>IFERROR(VLOOKUP(D1111,Stock,3,FALSE),"")</f>
        <v>Honda HR-V 14-21 5D SUV</v>
      </c>
      <c r="F1111" s="788">
        <v>1.0</v>
      </c>
      <c r="G1111" s="860">
        <v>883300.0</v>
      </c>
      <c r="H1111" s="799">
        <f t="shared" si="7"/>
        <v>883300</v>
      </c>
      <c r="I1111" s="800"/>
      <c r="J1111" s="812"/>
      <c r="K1111" s="848" t="s">
        <v>3481</v>
      </c>
      <c r="L1111" s="806" t="s">
        <v>10137</v>
      </c>
      <c r="M1111" s="806" t="s">
        <v>2763</v>
      </c>
      <c r="N1111" s="837">
        <v>46067.0</v>
      </c>
      <c r="O1111" s="803"/>
    </row>
    <row r="1112" ht="15.0" customHeight="1">
      <c r="A1112" s="786">
        <v>46014.0</v>
      </c>
      <c r="B1112" s="787" t="s">
        <v>10576</v>
      </c>
      <c r="C1112" s="788" t="s">
        <v>2643</v>
      </c>
      <c r="D1112" s="851" t="s">
        <v>6654</v>
      </c>
      <c r="E1112" s="790" t="str">
        <f>IFERROR(VLOOKUP(D1112,Stock,3,FALSE),"")</f>
        <v>Honda CR-V 12-16  4th Gen (Honda)</v>
      </c>
      <c r="F1112" s="788">
        <v>1.0</v>
      </c>
      <c r="G1112" s="860">
        <v>2378508.0</v>
      </c>
      <c r="H1112" s="799">
        <f t="shared" si="7"/>
        <v>2378508</v>
      </c>
      <c r="I1112" s="800"/>
      <c r="J1112" s="812"/>
      <c r="K1112" s="848" t="s">
        <v>3810</v>
      </c>
      <c r="L1112" s="806" t="s">
        <v>10137</v>
      </c>
      <c r="M1112" s="806" t="s">
        <v>2763</v>
      </c>
      <c r="N1112" s="837">
        <v>46072.0</v>
      </c>
      <c r="O1112" s="803"/>
    </row>
    <row r="1113" ht="15.0" customHeight="1">
      <c r="A1113" s="786">
        <v>46014.0</v>
      </c>
      <c r="B1113" s="787">
        <v>2512867.0</v>
      </c>
      <c r="C1113" s="788" t="s">
        <v>10136</v>
      </c>
      <c r="D1113" s="851" t="s">
        <v>6999</v>
      </c>
      <c r="E1113" s="790" t="str">
        <f>IFERROR(VLOOKUP(D1113,Stock,3,FALSE),"")</f>
        <v>Audi Q3 12-17 (1 Sensor / O )</v>
      </c>
      <c r="F1113" s="788">
        <v>1.0</v>
      </c>
      <c r="G1113" s="860">
        <v>2574550.0</v>
      </c>
      <c r="H1113" s="799">
        <f t="shared" si="7"/>
        <v>2574550</v>
      </c>
      <c r="I1113" s="800"/>
      <c r="J1113" s="812"/>
      <c r="K1113" s="848" t="s">
        <v>3810</v>
      </c>
      <c r="L1113" s="806" t="s">
        <v>10137</v>
      </c>
      <c r="M1113" s="806" t="s">
        <v>2763</v>
      </c>
      <c r="N1113" s="837">
        <v>46067.0</v>
      </c>
      <c r="O1113" s="803"/>
    </row>
    <row r="1114" ht="15.0" customHeight="1">
      <c r="A1114" s="786">
        <v>46014.0</v>
      </c>
      <c r="B1114" s="787">
        <v>2512867.0</v>
      </c>
      <c r="C1114" s="788" t="s">
        <v>10136</v>
      </c>
      <c r="D1114" s="851" t="s">
        <v>6573</v>
      </c>
      <c r="E1114" s="790" t="str">
        <f>IFERROR(VLOOKUP(D1114,Stock,3,FALSE),"")</f>
        <v>Mazda 6 18-23 GJ/GL 3rd Gen (2 Sensor / [] /=\ )</v>
      </c>
      <c r="F1114" s="788">
        <v>1.0</v>
      </c>
      <c r="G1114" s="860">
        <v>2311100.0</v>
      </c>
      <c r="H1114" s="799">
        <f t="shared" si="7"/>
        <v>2311100</v>
      </c>
      <c r="I1114" s="800"/>
      <c r="J1114" s="812"/>
      <c r="K1114" s="848" t="s">
        <v>3810</v>
      </c>
      <c r="L1114" s="806" t="s">
        <v>10137</v>
      </c>
      <c r="M1114" s="806" t="s">
        <v>2763</v>
      </c>
      <c r="N1114" s="837">
        <v>46067.0</v>
      </c>
      <c r="O1114" s="803"/>
    </row>
    <row r="1115" ht="15.0" customHeight="1">
      <c r="A1115" s="786">
        <v>46014.0</v>
      </c>
      <c r="B1115" s="787">
        <v>2512867.0</v>
      </c>
      <c r="C1115" s="788" t="s">
        <v>10136</v>
      </c>
      <c r="D1115" s="851" t="s">
        <v>7070</v>
      </c>
      <c r="E1115" s="790" t="str">
        <f>IFERROR(VLOOKUP(D1115,Stock,3,FALSE),"")</f>
        <v>Hyundai Tucson 10-15 2nd Gen</v>
      </c>
      <c r="F1115" s="788">
        <v>1.0</v>
      </c>
      <c r="G1115" s="860">
        <v>1148400.0</v>
      </c>
      <c r="H1115" s="799">
        <f t="shared" si="7"/>
        <v>1148400</v>
      </c>
      <c r="I1115" s="800"/>
      <c r="J1115" s="812"/>
      <c r="K1115" s="848" t="s">
        <v>3810</v>
      </c>
      <c r="L1115" s="806" t="s">
        <v>10137</v>
      </c>
      <c r="M1115" s="806" t="s">
        <v>2763</v>
      </c>
      <c r="N1115" s="837">
        <v>46067.0</v>
      </c>
      <c r="O1115" s="803"/>
    </row>
    <row r="1116" ht="15.0" customHeight="1">
      <c r="A1116" s="786">
        <v>46014.0</v>
      </c>
      <c r="B1116" s="787">
        <v>2512867.0</v>
      </c>
      <c r="C1116" s="788" t="s">
        <v>10136</v>
      </c>
      <c r="D1116" s="851" t="s">
        <v>2877</v>
      </c>
      <c r="E1116" s="790" t="str">
        <f>IFERROR(VLOOKUP(D1116,Stock,3,FALSE),"")</f>
        <v>Toyota Dyna/Hino Dutro 00-</v>
      </c>
      <c r="F1116" s="788">
        <v>1.0</v>
      </c>
      <c r="G1116" s="860">
        <v>522500.0</v>
      </c>
      <c r="H1116" s="799">
        <f t="shared" si="7"/>
        <v>522500</v>
      </c>
      <c r="I1116" s="800"/>
      <c r="J1116" s="812"/>
      <c r="K1116" s="848" t="s">
        <v>3810</v>
      </c>
      <c r="L1116" s="806" t="s">
        <v>10137</v>
      </c>
      <c r="M1116" s="806" t="s">
        <v>2763</v>
      </c>
      <c r="N1116" s="837">
        <v>46067.0</v>
      </c>
      <c r="O1116" s="803"/>
    </row>
    <row r="1117" ht="15.0" customHeight="1">
      <c r="A1117" s="786">
        <v>46015.0</v>
      </c>
      <c r="B1117" s="787">
        <v>2512889.0</v>
      </c>
      <c r="C1117" s="788" t="s">
        <v>10136</v>
      </c>
      <c r="D1117" s="851" t="s">
        <v>7025</v>
      </c>
      <c r="E1117" s="790" t="str">
        <f>IFERROR(VLOOKUP(D1117,Stock,3,FALSE),"")</f>
        <v>Hyundai Creta 22- </v>
      </c>
      <c r="F1117" s="788">
        <v>1.0</v>
      </c>
      <c r="G1117" s="860">
        <v>1265000.0</v>
      </c>
      <c r="H1117" s="799">
        <f t="shared" si="7"/>
        <v>1265000</v>
      </c>
      <c r="I1117" s="800"/>
      <c r="J1117" s="812"/>
      <c r="K1117" s="848" t="s">
        <v>3810</v>
      </c>
      <c r="L1117" s="806" t="s">
        <v>10137</v>
      </c>
      <c r="M1117" s="806" t="s">
        <v>2763</v>
      </c>
      <c r="N1117" s="837">
        <v>46067.0</v>
      </c>
      <c r="O1117" s="803"/>
    </row>
    <row r="1118" ht="15.0" customHeight="1">
      <c r="A1118" s="786">
        <v>46015.0</v>
      </c>
      <c r="B1118" s="787">
        <v>2512889.0</v>
      </c>
      <c r="C1118" s="788" t="s">
        <v>10136</v>
      </c>
      <c r="D1118" s="851" t="s">
        <v>4342</v>
      </c>
      <c r="E1118" s="790" t="str">
        <f>IFERROR(VLOOKUP(D1118,Stock,3,FALSE),"")</f>
        <v>Toyota Voxy 17- (Hitam)</v>
      </c>
      <c r="F1118" s="788">
        <v>1.0</v>
      </c>
      <c r="G1118" s="860">
        <v>1521850.0</v>
      </c>
      <c r="H1118" s="799">
        <f t="shared" si="7"/>
        <v>1521850</v>
      </c>
      <c r="I1118" s="800"/>
      <c r="J1118" s="812"/>
      <c r="K1118" s="848" t="s">
        <v>3810</v>
      </c>
      <c r="L1118" s="806" t="s">
        <v>10137</v>
      </c>
      <c r="M1118" s="806" t="s">
        <v>2763</v>
      </c>
      <c r="N1118" s="837">
        <v>46067.0</v>
      </c>
      <c r="O1118" s="803"/>
    </row>
    <row r="1119" ht="15.0" customHeight="1">
      <c r="A1119" s="786">
        <v>46017.0</v>
      </c>
      <c r="B1119" s="787">
        <v>2512928.0</v>
      </c>
      <c r="C1119" s="788" t="s">
        <v>10136</v>
      </c>
      <c r="D1119" s="851" t="s">
        <v>7047</v>
      </c>
      <c r="E1119" s="790" t="str">
        <f>IFERROR(VLOOKUP(D1119,Stock,3,FALSE),"")</f>
        <v>Ford Focus 04-11 Hatchback/Sedan</v>
      </c>
      <c r="F1119" s="788">
        <v>1.0</v>
      </c>
      <c r="G1119" s="860">
        <v>1109350.0</v>
      </c>
      <c r="H1119" s="799">
        <f t="shared" si="7"/>
        <v>1109350</v>
      </c>
      <c r="I1119" s="800"/>
      <c r="J1119" s="812"/>
      <c r="K1119" s="848" t="s">
        <v>3810</v>
      </c>
      <c r="L1119" s="806" t="s">
        <v>10137</v>
      </c>
      <c r="M1119" s="806" t="s">
        <v>2763</v>
      </c>
      <c r="N1119" s="837">
        <v>46067.0</v>
      </c>
      <c r="O1119" s="803"/>
    </row>
    <row r="1120" ht="15.0" customHeight="1">
      <c r="A1120" s="786">
        <v>46017.0</v>
      </c>
      <c r="B1120" s="787">
        <v>2512928.0</v>
      </c>
      <c r="C1120" s="788" t="s">
        <v>10136</v>
      </c>
      <c r="D1120" s="851" t="s">
        <v>3142</v>
      </c>
      <c r="E1120" s="790" t="str">
        <f>IFERROR(VLOOKUP(D1120,Stock,3,FALSE),"")</f>
        <v>Mitsubishi Xpander 17-</v>
      </c>
      <c r="F1120" s="788">
        <v>1.0</v>
      </c>
      <c r="G1120" s="860">
        <v>739200.0</v>
      </c>
      <c r="H1120" s="799">
        <f t="shared" si="7"/>
        <v>739200</v>
      </c>
      <c r="I1120" s="800"/>
      <c r="J1120" s="812"/>
      <c r="K1120" s="848" t="s">
        <v>3810</v>
      </c>
      <c r="L1120" s="806" t="s">
        <v>10137</v>
      </c>
      <c r="M1120" s="806" t="s">
        <v>2763</v>
      </c>
      <c r="N1120" s="837">
        <v>46067.0</v>
      </c>
      <c r="O1120" s="803"/>
    </row>
    <row r="1121" ht="15.0" customHeight="1">
      <c r="A1121" s="786">
        <v>46017.0</v>
      </c>
      <c r="B1121" s="787" t="s">
        <v>10577</v>
      </c>
      <c r="C1121" s="788" t="s">
        <v>10139</v>
      </c>
      <c r="D1121" s="851" t="s">
        <v>7052</v>
      </c>
      <c r="E1121" s="790" t="str">
        <f>IFERROR(VLOOKUP(D1121,Stock,3,FALSE),"")</f>
        <v>Nissan Livina  07-18 L10/L11</v>
      </c>
      <c r="F1121" s="788">
        <v>1.0</v>
      </c>
      <c r="G1121" s="860">
        <v>365000.0</v>
      </c>
      <c r="H1121" s="799">
        <f t="shared" si="7"/>
        <v>365000</v>
      </c>
      <c r="I1121" s="800"/>
      <c r="J1121" s="812"/>
      <c r="K1121" s="848" t="s">
        <v>3810</v>
      </c>
      <c r="L1121" s="806" t="s">
        <v>10137</v>
      </c>
      <c r="M1121" s="806" t="s">
        <v>10502</v>
      </c>
      <c r="N1121" s="854">
        <v>46017.0</v>
      </c>
      <c r="O1121" s="803"/>
    </row>
    <row r="1122" ht="15.0" customHeight="1">
      <c r="A1122" s="786">
        <v>46017.0</v>
      </c>
      <c r="B1122" s="787" t="s">
        <v>10578</v>
      </c>
      <c r="C1122" s="788" t="s">
        <v>2643</v>
      </c>
      <c r="D1122" s="851" t="s">
        <v>6654</v>
      </c>
      <c r="E1122" s="790" t="str">
        <f>IFERROR(VLOOKUP(D1122,Stock,3,FALSE),"")</f>
        <v>Honda CR-V 12-16  4th Gen (Honda)</v>
      </c>
      <c r="F1122" s="788">
        <v>2.0</v>
      </c>
      <c r="G1122" s="860">
        <v>2378508.0</v>
      </c>
      <c r="H1122" s="799">
        <f t="shared" si="7"/>
        <v>4757016</v>
      </c>
      <c r="I1122" s="800"/>
      <c r="J1122" s="812"/>
      <c r="K1122" s="848" t="s">
        <v>3810</v>
      </c>
      <c r="L1122" s="806" t="s">
        <v>10137</v>
      </c>
      <c r="M1122" s="806" t="s">
        <v>2763</v>
      </c>
      <c r="N1122" s="806" t="s">
        <v>10579</v>
      </c>
      <c r="O1122" s="803"/>
    </row>
    <row r="1123" ht="15.0" customHeight="1">
      <c r="A1123" s="786">
        <v>46017.0</v>
      </c>
      <c r="B1123" s="787">
        <v>2512941.0</v>
      </c>
      <c r="C1123" s="788" t="s">
        <v>10136</v>
      </c>
      <c r="D1123" s="851" t="s">
        <v>7080</v>
      </c>
      <c r="E1123" s="790" t="str">
        <f>IFERROR(VLOOKUP(D1123,Stock,3,FALSE),"")</f>
        <v>Hyundai i10 13-19</v>
      </c>
      <c r="F1123" s="788">
        <v>1.0</v>
      </c>
      <c r="G1123" s="860">
        <v>1210000.0</v>
      </c>
      <c r="H1123" s="799">
        <f t="shared" si="7"/>
        <v>1210000</v>
      </c>
      <c r="I1123" s="800"/>
      <c r="J1123" s="812"/>
      <c r="K1123" s="848" t="s">
        <v>3810</v>
      </c>
      <c r="L1123" s="806" t="s">
        <v>10137</v>
      </c>
      <c r="M1123" s="806" t="s">
        <v>2763</v>
      </c>
      <c r="N1123" s="837">
        <v>46067.0</v>
      </c>
      <c r="O1123" s="803"/>
    </row>
    <row r="1124" ht="15.0" customHeight="1">
      <c r="A1124" s="786">
        <v>46017.0</v>
      </c>
      <c r="B1124" s="787">
        <v>2512941.0</v>
      </c>
      <c r="C1124" s="788" t="s">
        <v>10136</v>
      </c>
      <c r="D1124" s="851" t="s">
        <v>3671</v>
      </c>
      <c r="E1124" s="790" t="str">
        <f>IFERROR(VLOOKUP(D1124,Stock,3,FALSE),"")</f>
        <v>Toyota Camry 06-11 XV40 4th Gen</v>
      </c>
      <c r="F1124" s="788">
        <v>1.0</v>
      </c>
      <c r="G1124" s="860">
        <v>1422850.0</v>
      </c>
      <c r="H1124" s="799">
        <f t="shared" si="7"/>
        <v>1422850</v>
      </c>
      <c r="I1124" s="800"/>
      <c r="J1124" s="812"/>
      <c r="K1124" s="848" t="s">
        <v>3810</v>
      </c>
      <c r="L1124" s="806" t="s">
        <v>10137</v>
      </c>
      <c r="M1124" s="806" t="s">
        <v>2763</v>
      </c>
      <c r="N1124" s="837">
        <v>46067.0</v>
      </c>
      <c r="O1124" s="803"/>
    </row>
    <row r="1125" ht="15.0" customHeight="1">
      <c r="A1125" s="786">
        <v>46017.0</v>
      </c>
      <c r="B1125" s="787" t="s">
        <v>10580</v>
      </c>
      <c r="C1125" s="788" t="s">
        <v>10139</v>
      </c>
      <c r="D1125" s="851" t="s">
        <v>2907</v>
      </c>
      <c r="E1125" s="790" t="str">
        <f>IFERROR(VLOOKUP(D1125,Stock,3,FALSE),"")</f>
        <v>Honda Odyssey 13- 5th Gen RC1/RC2</v>
      </c>
      <c r="F1125" s="788">
        <v>1.0</v>
      </c>
      <c r="G1125" s="860">
        <v>2344275.0</v>
      </c>
      <c r="H1125" s="799">
        <f t="shared" si="7"/>
        <v>2344275</v>
      </c>
      <c r="I1125" s="800"/>
      <c r="J1125" s="812"/>
      <c r="K1125" s="848" t="s">
        <v>3810</v>
      </c>
      <c r="L1125" s="806" t="s">
        <v>10137</v>
      </c>
      <c r="M1125" s="806" t="s">
        <v>10502</v>
      </c>
      <c r="N1125" s="854">
        <v>46017.0</v>
      </c>
      <c r="O1125" s="803"/>
    </row>
    <row r="1126" ht="15.0" customHeight="1">
      <c r="A1126" s="786">
        <v>46017.0</v>
      </c>
      <c r="B1126" s="787" t="s">
        <v>10580</v>
      </c>
      <c r="C1126" s="788" t="s">
        <v>10139</v>
      </c>
      <c r="D1126" s="851" t="s">
        <v>3935</v>
      </c>
      <c r="E1126" s="790" t="str">
        <f>IFERROR(VLOOKUP(D1126,Stock,3,FALSE),"")</f>
        <v>Hyundai Creta 22- </v>
      </c>
      <c r="F1126" s="788">
        <v>1.0</v>
      </c>
      <c r="G1126" s="860">
        <v>1316250.0</v>
      </c>
      <c r="H1126" s="799">
        <f t="shared" si="7"/>
        <v>1316250</v>
      </c>
      <c r="I1126" s="800"/>
      <c r="J1126" s="812"/>
      <c r="K1126" s="848" t="s">
        <v>3810</v>
      </c>
      <c r="L1126" s="806" t="s">
        <v>10137</v>
      </c>
      <c r="M1126" s="806" t="s">
        <v>10502</v>
      </c>
      <c r="N1126" s="854">
        <v>46017.0</v>
      </c>
      <c r="O1126" s="803"/>
    </row>
    <row r="1127" ht="15.0" customHeight="1">
      <c r="A1127" s="786">
        <v>46018.0</v>
      </c>
      <c r="B1127" s="787" t="s">
        <v>10581</v>
      </c>
      <c r="C1127" s="788" t="s">
        <v>10139</v>
      </c>
      <c r="D1127" s="851" t="s">
        <v>2881</v>
      </c>
      <c r="E1127" s="790" t="str">
        <f>IFERROR(VLOOKUP(D1127,Stock,3,FALSE),"")</f>
        <v>Mitsubishi Outlander 10-21 GA3</v>
      </c>
      <c r="F1127" s="788">
        <v>1.0</v>
      </c>
      <c r="G1127" s="860">
        <v>1206900.0</v>
      </c>
      <c r="H1127" s="799">
        <f t="shared" si="7"/>
        <v>1206900</v>
      </c>
      <c r="I1127" s="800"/>
      <c r="J1127" s="812"/>
      <c r="K1127" s="848" t="s">
        <v>3810</v>
      </c>
      <c r="L1127" s="806" t="s">
        <v>10137</v>
      </c>
      <c r="M1127" s="806" t="s">
        <v>10502</v>
      </c>
      <c r="N1127" s="854">
        <v>46018.0</v>
      </c>
      <c r="O1127" s="803"/>
    </row>
    <row r="1128" ht="15.0" customHeight="1">
      <c r="A1128" s="786">
        <v>46017.0</v>
      </c>
      <c r="B1128" s="787" t="s">
        <v>10582</v>
      </c>
      <c r="C1128" s="788" t="s">
        <v>2643</v>
      </c>
      <c r="D1128" s="851" t="s">
        <v>3354</v>
      </c>
      <c r="E1128" s="790" t="str">
        <f>IFERROR(VLOOKUP(D1128,Stock,3,FALSE),"")</f>
        <v>Honda Brio 10- / Mobilio 11- (Honda)</v>
      </c>
      <c r="F1128" s="788">
        <v>2.0</v>
      </c>
      <c r="G1128" s="860">
        <v>717948.0</v>
      </c>
      <c r="H1128" s="799">
        <f t="shared" si="7"/>
        <v>1435896</v>
      </c>
      <c r="I1128" s="800"/>
      <c r="J1128" s="812"/>
      <c r="K1128" s="848" t="s">
        <v>3810</v>
      </c>
      <c r="L1128" s="806" t="s">
        <v>10137</v>
      </c>
      <c r="M1128" s="806" t="s">
        <v>2763</v>
      </c>
      <c r="N1128" s="837">
        <v>46083.0</v>
      </c>
      <c r="O1128" s="803"/>
    </row>
    <row r="1129" ht="15.0" customHeight="1">
      <c r="A1129" s="834">
        <v>46020.0</v>
      </c>
      <c r="B1129" s="603" t="s">
        <v>10583</v>
      </c>
      <c r="C1129" s="822" t="s">
        <v>10148</v>
      </c>
      <c r="D1129" s="109" t="s">
        <v>7120</v>
      </c>
      <c r="E1129" s="594" t="str">
        <f>IFERROR(VLOOKUP(D1129,Stock,3,FALSE),"")</f>
        <v>Hyundai Tucson 16- 3rd Gen</v>
      </c>
      <c r="F1129" s="822">
        <v>1.0</v>
      </c>
      <c r="G1129" s="756"/>
      <c r="H1129" s="824">
        <f t="shared" si="7"/>
        <v>0</v>
      </c>
      <c r="I1129" s="825"/>
      <c r="J1129" s="826"/>
      <c r="K1129" s="850" t="s">
        <v>3810</v>
      </c>
    </row>
    <row r="1130" ht="15.0" customHeight="1">
      <c r="A1130" s="834">
        <v>46020.0</v>
      </c>
      <c r="B1130" s="603" t="s">
        <v>10584</v>
      </c>
      <c r="C1130" s="822" t="s">
        <v>10585</v>
      </c>
      <c r="D1130" s="109" t="s">
        <v>2907</v>
      </c>
      <c r="E1130" s="594" t="str">
        <f>IFERROR(VLOOKUP(D1130,Stock,3,FALSE),"")</f>
        <v>Honda Odyssey 13- 5th Gen RC1/RC2</v>
      </c>
      <c r="F1130" s="822">
        <v>1.0</v>
      </c>
      <c r="G1130" s="756"/>
      <c r="H1130" s="824">
        <f t="shared" si="7"/>
        <v>0</v>
      </c>
      <c r="I1130" s="825"/>
      <c r="J1130" s="826"/>
      <c r="K1130" s="850" t="s">
        <v>3810</v>
      </c>
    </row>
    <row r="1131" ht="15.0" customHeight="1">
      <c r="A1131" s="786">
        <v>46020.0</v>
      </c>
      <c r="B1131" s="787">
        <v>2512980.0</v>
      </c>
      <c r="C1131" s="788" t="s">
        <v>10136</v>
      </c>
      <c r="D1131" s="851" t="s">
        <v>7107</v>
      </c>
      <c r="E1131" s="790" t="str">
        <f>IFERROR(VLOOKUP(D1131,Stock,3,FALSE),"")</f>
        <v>Toyota Alphard 08-15 ANH20 2nd Gen</v>
      </c>
      <c r="F1131" s="788">
        <v>1.0</v>
      </c>
      <c r="G1131" s="860">
        <v>1604600.0</v>
      </c>
      <c r="H1131" s="799">
        <f t="shared" si="7"/>
        <v>1604600</v>
      </c>
      <c r="I1131" s="800"/>
      <c r="J1131" s="812"/>
      <c r="K1131" s="848" t="s">
        <v>3810</v>
      </c>
      <c r="L1131" s="806" t="s">
        <v>10137</v>
      </c>
      <c r="M1131" s="806" t="s">
        <v>2763</v>
      </c>
      <c r="N1131" s="837">
        <v>46083.0</v>
      </c>
      <c r="O1131" s="803"/>
    </row>
    <row r="1132" ht="15.0" customHeight="1">
      <c r="A1132" s="820"/>
      <c r="B1132" s="603"/>
      <c r="C1132" s="822" t="s">
        <v>16</v>
      </c>
      <c r="D1132" s="109" t="s">
        <v>4674</v>
      </c>
      <c r="E1132" s="594" t="str">
        <f>IFERROR(VLOOKUP(D1132,Stock,3,FALSE),"")</f>
        <v>Toyota Alphard 08-15 ANH20 2nd Gen</v>
      </c>
      <c r="F1132" s="822">
        <v>10.0</v>
      </c>
      <c r="G1132" s="756"/>
      <c r="H1132" s="824">
        <f t="shared" si="7"/>
        <v>0</v>
      </c>
      <c r="I1132" s="825"/>
      <c r="J1132" s="826"/>
      <c r="K1132" s="827"/>
    </row>
    <row r="1133" ht="15.0" customHeight="1">
      <c r="A1133" s="820"/>
      <c r="B1133" s="603"/>
      <c r="C1133" s="822" t="s">
        <v>16</v>
      </c>
      <c r="D1133" s="109" t="s">
        <v>8426</v>
      </c>
      <c r="E1133" s="594" t="str">
        <f>IFERROR(VLOOKUP(D1133,Stock,3,FALSE),"")</f>
        <v>Toyota Alphard 02-08 ANH10 1st Gen</v>
      </c>
      <c r="F1133" s="822">
        <v>5.0</v>
      </c>
      <c r="G1133" s="756"/>
      <c r="H1133" s="824">
        <f t="shared" si="7"/>
        <v>0</v>
      </c>
      <c r="I1133" s="825"/>
      <c r="J1133" s="826"/>
      <c r="K1133" s="827"/>
    </row>
    <row r="1134" ht="15.0" customHeight="1">
      <c r="A1134" s="820"/>
      <c r="B1134" s="603"/>
      <c r="C1134" s="822" t="s">
        <v>16</v>
      </c>
      <c r="D1134" s="109" t="s">
        <v>7591</v>
      </c>
      <c r="E1134" s="594" t="str">
        <f>IFERROR(VLOOKUP(D1134,Stock,3,FALSE),"")</f>
        <v>Wuling Cortez</v>
      </c>
      <c r="F1134" s="822">
        <v>5.0</v>
      </c>
      <c r="G1134" s="756"/>
      <c r="H1134" s="824">
        <f t="shared" si="7"/>
        <v>0</v>
      </c>
      <c r="I1134" s="825"/>
      <c r="J1134" s="826"/>
      <c r="K1134" s="827"/>
    </row>
    <row r="1135" ht="15.0" customHeight="1">
      <c r="A1135" s="820"/>
      <c r="B1135" s="603"/>
      <c r="C1135" s="822" t="s">
        <v>16</v>
      </c>
      <c r="D1135" s="109" t="s">
        <v>7419</v>
      </c>
      <c r="E1135" s="594" t="str">
        <f>IFERROR(VLOOKUP(D1135,Stock,3,FALSE),"")</f>
        <v>Mitsubishi Canter FE800 01- (PS136)</v>
      </c>
      <c r="F1135" s="822">
        <v>21.0</v>
      </c>
      <c r="G1135" s="756"/>
      <c r="H1135" s="824">
        <f t="shared" si="7"/>
        <v>0</v>
      </c>
      <c r="I1135" s="825"/>
      <c r="J1135" s="826"/>
      <c r="K1135" s="827"/>
    </row>
    <row r="1136" ht="15.0" customHeight="1">
      <c r="A1136" s="820"/>
      <c r="B1136" s="603"/>
      <c r="C1136" s="822" t="s">
        <v>16</v>
      </c>
      <c r="D1136" s="109" t="s">
        <v>7551</v>
      </c>
      <c r="E1136" s="594" t="str">
        <f>IFERROR(VLOOKUP(D1136,Stock,3,FALSE),"")</f>
        <v>Mitsubishi L300</v>
      </c>
      <c r="F1136" s="822">
        <v>12.0</v>
      </c>
      <c r="G1136" s="756"/>
      <c r="H1136" s="824">
        <f t="shared" si="7"/>
        <v>0</v>
      </c>
      <c r="I1136" s="825"/>
      <c r="J1136" s="826"/>
      <c r="K1136" s="827"/>
    </row>
    <row r="1137" ht="15.0" customHeight="1">
      <c r="A1137" s="820"/>
      <c r="B1137" s="603"/>
      <c r="C1137" s="822" t="s">
        <v>16</v>
      </c>
      <c r="D1137" s="109" t="s">
        <v>7317</v>
      </c>
      <c r="E1137" s="594" t="str">
        <f>IFERROR(VLOOKUP(D1137,Stock,3,FALSE),"")</f>
        <v>Mitsubishi Xpander 17-</v>
      </c>
      <c r="F1137" s="822">
        <v>12.0</v>
      </c>
      <c r="G1137" s="756"/>
      <c r="H1137" s="824">
        <f t="shared" si="7"/>
        <v>0</v>
      </c>
      <c r="I1137" s="825"/>
      <c r="J1137" s="826"/>
      <c r="K1137" s="827"/>
    </row>
    <row r="1138" ht="15.0" customHeight="1">
      <c r="A1138" s="820"/>
      <c r="B1138" s="603"/>
      <c r="C1138" s="822" t="s">
        <v>16</v>
      </c>
      <c r="D1138" s="109" t="s">
        <v>5041</v>
      </c>
      <c r="E1138" s="594" t="str">
        <f>IFERROR(VLOOKUP(D1138,Stock,3,FALSE),"")</f>
        <v>Honda Freed 08-16 1st gen</v>
      </c>
      <c r="F1138" s="822">
        <v>10.0</v>
      </c>
      <c r="G1138" s="756"/>
      <c r="H1138" s="824">
        <f t="shared" si="7"/>
        <v>0</v>
      </c>
      <c r="I1138" s="825"/>
      <c r="J1138" s="826"/>
      <c r="K1138" s="827"/>
    </row>
    <row r="1139" ht="15.0" customHeight="1">
      <c r="A1139" s="820"/>
      <c r="B1139" s="603"/>
      <c r="C1139" s="822" t="s">
        <v>16</v>
      </c>
      <c r="D1139" s="109" t="s">
        <v>7589</v>
      </c>
      <c r="E1139" s="594" t="str">
        <f>IFERROR(VLOOKUP(D1139,Stock,3,FALSE),"")</f>
        <v>Honda Jazz 07-13 2nd Gen</v>
      </c>
      <c r="F1139" s="822">
        <v>12.0</v>
      </c>
      <c r="G1139" s="756"/>
      <c r="H1139" s="824">
        <f t="shared" si="7"/>
        <v>0</v>
      </c>
      <c r="I1139" s="825"/>
      <c r="J1139" s="826"/>
      <c r="K1139" s="827"/>
    </row>
    <row r="1140" ht="15.0" customHeight="1">
      <c r="A1140" s="820"/>
      <c r="B1140" s="603"/>
      <c r="C1140" s="822" t="s">
        <v>16</v>
      </c>
      <c r="D1140" s="109" t="s">
        <v>4383</v>
      </c>
      <c r="E1140" s="594" t="str">
        <f>IFERROR(VLOOKUP(D1140,Stock,3,FALSE),"")</f>
        <v>Honda HR-V 14-21 5D SUV</v>
      </c>
      <c r="F1140" s="822">
        <v>11.0</v>
      </c>
      <c r="G1140" s="756"/>
      <c r="H1140" s="824">
        <f t="shared" si="7"/>
        <v>0</v>
      </c>
      <c r="I1140" s="825"/>
      <c r="J1140" s="826"/>
      <c r="K1140" s="827"/>
    </row>
    <row r="1141" ht="15.0" customHeight="1">
      <c r="A1141" s="820"/>
      <c r="B1141" s="603"/>
      <c r="C1141" s="822" t="s">
        <v>16</v>
      </c>
      <c r="D1141" s="109" t="s">
        <v>5970</v>
      </c>
      <c r="E1141" s="594" t="str">
        <f>IFERROR(VLOOKUP(D1141,Stock,3,FALSE),"")</f>
        <v>Honda CR-V 12-16 4th Gen</v>
      </c>
      <c r="F1141" s="822">
        <v>14.0</v>
      </c>
      <c r="G1141" s="756"/>
      <c r="H1141" s="824">
        <f t="shared" si="7"/>
        <v>0</v>
      </c>
      <c r="I1141" s="825"/>
      <c r="J1141" s="826"/>
      <c r="K1141" s="827"/>
    </row>
    <row r="1142" ht="15.0" customHeight="1">
      <c r="A1142" s="820"/>
      <c r="B1142" s="603"/>
      <c r="C1142" s="822" t="s">
        <v>16</v>
      </c>
      <c r="D1142" s="109" t="s">
        <v>6425</v>
      </c>
      <c r="E1142" s="594" t="str">
        <f>IFERROR(VLOOKUP(D1142,Stock,3,FALSE),"")</f>
        <v>Honda Jazz 13- 3rd Gen</v>
      </c>
      <c r="F1142" s="822">
        <v>12.0</v>
      </c>
      <c r="G1142" s="756"/>
      <c r="H1142" s="824">
        <f t="shared" si="7"/>
        <v>0</v>
      </c>
      <c r="I1142" s="825"/>
      <c r="J1142" s="826"/>
      <c r="K1142" s="827"/>
    </row>
    <row r="1143" ht="15.0" customHeight="1">
      <c r="A1143" s="820"/>
      <c r="B1143" s="603"/>
      <c r="C1143" s="822" t="s">
        <v>16</v>
      </c>
      <c r="D1143" s="109" t="s">
        <v>7590</v>
      </c>
      <c r="E1143" s="594" t="str">
        <f>IFERROR(VLOOKUP(D1143,Stock,3,FALSE),"")</f>
        <v>Nissan Terrano 95-06</v>
      </c>
      <c r="F1143" s="822">
        <v>12.0</v>
      </c>
      <c r="G1143" s="756"/>
      <c r="H1143" s="824">
        <f t="shared" si="7"/>
        <v>0</v>
      </c>
      <c r="I1143" s="825"/>
      <c r="J1143" s="826"/>
      <c r="K1143" s="827"/>
    </row>
    <row r="1144" ht="15.0" customHeight="1">
      <c r="A1144" s="820"/>
      <c r="B1144" s="603"/>
      <c r="C1144" s="822" t="s">
        <v>16</v>
      </c>
      <c r="D1144" s="109" t="s">
        <v>3126</v>
      </c>
      <c r="E1144" s="594" t="str">
        <f>IFERROR(VLOOKUP(D1144,Stock,3,FALSE),"")</f>
        <v>Suzuki Carry New 19-</v>
      </c>
      <c r="F1144" s="822">
        <v>11.0</v>
      </c>
      <c r="G1144" s="756"/>
      <c r="H1144" s="824">
        <f t="shared" si="7"/>
        <v>0</v>
      </c>
      <c r="I1144" s="825"/>
      <c r="J1144" s="826"/>
      <c r="K1144" s="827"/>
    </row>
    <row r="1145" ht="15.0" customHeight="1">
      <c r="A1145" s="820"/>
      <c r="B1145" s="603"/>
      <c r="C1145" s="822" t="s">
        <v>16</v>
      </c>
      <c r="D1145" s="109" t="s">
        <v>3100</v>
      </c>
      <c r="E1145" s="594" t="str">
        <f>IFERROR(VLOOKUP(D1145,Stock,3,FALSE),"")</f>
        <v>Toyota Kijang 02-04 Kapsul Lem Efi</v>
      </c>
      <c r="F1145" s="822">
        <v>10.0</v>
      </c>
      <c r="G1145" s="756"/>
      <c r="H1145" s="824">
        <f t="shared" si="7"/>
        <v>0</v>
      </c>
      <c r="I1145" s="825"/>
      <c r="J1145" s="826"/>
      <c r="K1145" s="827"/>
    </row>
    <row r="1146" ht="15.0" customHeight="1">
      <c r="A1146" s="820"/>
      <c r="B1146" s="603"/>
      <c r="C1146" s="822" t="s">
        <v>16</v>
      </c>
      <c r="D1146" s="109" t="s">
        <v>7149</v>
      </c>
      <c r="E1146" s="594" t="str">
        <f>IFERROR(VLOOKUP(D1146,Stock,3,FALSE),"")</f>
        <v>Toyota Dyna/Hino Dutro 00-</v>
      </c>
      <c r="F1146" s="822">
        <v>22.0</v>
      </c>
      <c r="G1146" s="756"/>
      <c r="H1146" s="824">
        <f t="shared" si="7"/>
        <v>0</v>
      </c>
      <c r="I1146" s="825"/>
      <c r="J1146" s="826"/>
      <c r="K1146" s="827"/>
    </row>
    <row r="1147" ht="15.0" customHeight="1">
      <c r="A1147" s="820"/>
      <c r="B1147" s="603"/>
      <c r="C1147" s="822" t="s">
        <v>16</v>
      </c>
      <c r="D1147" s="109" t="s">
        <v>4842</v>
      </c>
      <c r="E1147" s="594" t="str">
        <f>IFERROR(VLOOKUP(D1147,Stock,3,FALSE),"")</f>
        <v>Mazda CX-5 17- 2nd Gen KF - (1 Sensor/ □ )</v>
      </c>
      <c r="F1147" s="822">
        <v>11.0</v>
      </c>
      <c r="G1147" s="756"/>
      <c r="H1147" s="824">
        <f t="shared" si="7"/>
        <v>0</v>
      </c>
      <c r="I1147" s="825"/>
      <c r="J1147" s="826"/>
      <c r="K1147" s="827"/>
    </row>
    <row r="1148" ht="15.0" customHeight="1">
      <c r="A1148" s="820"/>
      <c r="B1148" s="603"/>
      <c r="C1148" s="822" t="s">
        <v>16</v>
      </c>
      <c r="D1148" s="109" t="s">
        <v>3638</v>
      </c>
      <c r="E1148" s="594" t="str">
        <f>IFERROR(VLOOKUP(D1148,Stock,3,FALSE),"")</f>
        <v>Mazda CX-5 12-17 1st Gen KE Pre - (1 Sensor/ □ )</v>
      </c>
      <c r="F1148" s="822">
        <v>8.0</v>
      </c>
      <c r="G1148" s="756"/>
      <c r="H1148" s="824">
        <f t="shared" si="7"/>
        <v>0</v>
      </c>
      <c r="I1148" s="825"/>
      <c r="J1148" s="826"/>
      <c r="K1148" s="827"/>
    </row>
    <row r="1149" ht="15.0" customHeight="1">
      <c r="A1149" s="820"/>
      <c r="B1149" s="603"/>
      <c r="C1149" s="822" t="s">
        <v>16</v>
      </c>
      <c r="D1149" s="109" t="s">
        <v>7318</v>
      </c>
      <c r="E1149" s="594" t="str">
        <f>IFERROR(VLOOKUP(D1149,Stock,3,FALSE),"")</f>
        <v>Toyota Avanza / Xenia 15-21 3rd Gen</v>
      </c>
      <c r="F1149" s="822">
        <v>19.0</v>
      </c>
      <c r="G1149" s="756"/>
      <c r="H1149" s="824">
        <f t="shared" si="7"/>
        <v>0</v>
      </c>
      <c r="I1149" s="825"/>
      <c r="J1149" s="826"/>
      <c r="K1149" s="827"/>
    </row>
    <row r="1150" ht="15.0" customHeight="1">
      <c r="A1150" s="820"/>
      <c r="B1150" s="603"/>
      <c r="C1150" s="822" t="s">
        <v>16</v>
      </c>
      <c r="D1150" s="109" t="s">
        <v>7199</v>
      </c>
      <c r="E1150" s="594" t="str">
        <f>IFERROR(VLOOKUP(D1150,Stock,3,FALSE),"")</f>
        <v>Daihatsu Gran Max / Luxio 07-</v>
      </c>
      <c r="F1150" s="822">
        <v>19.0</v>
      </c>
      <c r="G1150" s="756"/>
      <c r="H1150" s="824">
        <f t="shared" si="7"/>
        <v>0</v>
      </c>
      <c r="I1150" s="825"/>
      <c r="J1150" s="826"/>
      <c r="K1150" s="827"/>
    </row>
    <row r="1151" ht="15.0" customHeight="1">
      <c r="A1151" s="820"/>
      <c r="B1151" s="603"/>
      <c r="C1151" s="822" t="s">
        <v>16</v>
      </c>
      <c r="D1151" s="109" t="s">
        <v>7270</v>
      </c>
      <c r="E1151" s="594" t="str">
        <f>IFERROR(VLOOKUP(D1151,Stock,3,FALSE),"")</f>
        <v>Toyota Fortuner 05-15 1st Gen</v>
      </c>
      <c r="F1151" s="822">
        <v>11.0</v>
      </c>
      <c r="G1151" s="756"/>
      <c r="H1151" s="824">
        <f t="shared" si="7"/>
        <v>0</v>
      </c>
      <c r="I1151" s="825"/>
      <c r="J1151" s="826"/>
      <c r="K1151" s="827"/>
    </row>
    <row r="1152" ht="15.0" customHeight="1">
      <c r="A1152" s="820"/>
      <c r="B1152" s="603"/>
      <c r="C1152" s="822" t="s">
        <v>16</v>
      </c>
      <c r="D1152" s="109" t="s">
        <v>7163</v>
      </c>
      <c r="E1152" s="594" t="str">
        <f>IFERROR(VLOOKUP(D1152,Stock,3,FALSE),"")</f>
        <v>Toyota Innova 15- 2nd Gen</v>
      </c>
      <c r="F1152" s="822">
        <v>10.0</v>
      </c>
      <c r="G1152" s="756"/>
      <c r="H1152" s="824">
        <f t="shared" si="7"/>
        <v>0</v>
      </c>
      <c r="I1152" s="825"/>
      <c r="J1152" s="826"/>
      <c r="K1152" s="827"/>
    </row>
    <row r="1153" ht="15.0" customHeight="1">
      <c r="A1153" s="820"/>
      <c r="B1153" s="603"/>
      <c r="C1153" s="822" t="s">
        <v>16</v>
      </c>
      <c r="D1153" s="109" t="s">
        <v>7500</v>
      </c>
      <c r="E1153" s="594" t="str">
        <f>IFERROR(VLOOKUP(D1153,Stock,3,FALSE),"")</f>
        <v>Ford Fiesta 09-17</v>
      </c>
      <c r="F1153" s="822">
        <v>11.0</v>
      </c>
      <c r="G1153" s="756"/>
      <c r="H1153" s="824">
        <f t="shared" si="7"/>
        <v>0</v>
      </c>
      <c r="I1153" s="825"/>
      <c r="J1153" s="826"/>
      <c r="K1153" s="827"/>
    </row>
    <row r="1154" ht="15.0" customHeight="1">
      <c r="A1154" s="820"/>
      <c r="B1154" s="603"/>
      <c r="C1154" s="822" t="s">
        <v>16</v>
      </c>
      <c r="D1154" s="109" t="s">
        <v>7421</v>
      </c>
      <c r="E1154" s="594" t="str">
        <f>IFERROR(VLOOKUP(D1154,Stock,3,FALSE),"")</f>
        <v>Hyundai Getz 02-11</v>
      </c>
      <c r="F1154" s="822">
        <v>7.0</v>
      </c>
      <c r="G1154" s="756"/>
      <c r="H1154" s="824">
        <f t="shared" si="7"/>
        <v>0</v>
      </c>
      <c r="I1154" s="825"/>
      <c r="J1154" s="826"/>
      <c r="K1154" s="827"/>
    </row>
    <row r="1155" ht="15.0" customHeight="1">
      <c r="A1155" s="820"/>
      <c r="B1155" s="603"/>
      <c r="C1155" s="822" t="s">
        <v>16</v>
      </c>
      <c r="D1155" s="109" t="s">
        <v>7319</v>
      </c>
      <c r="E1155" s="594" t="str">
        <f>IFERROR(VLOOKUP(D1155,Stock,3,FALSE),"")</f>
        <v>Honda CR-V 07-11 3rd Gen</v>
      </c>
      <c r="F1155" s="822">
        <v>10.0</v>
      </c>
      <c r="G1155" s="756"/>
      <c r="H1155" s="824">
        <f t="shared" si="7"/>
        <v>0</v>
      </c>
      <c r="I1155" s="825"/>
      <c r="J1155" s="826"/>
      <c r="K1155" s="827"/>
    </row>
    <row r="1156" ht="15.0" customHeight="1">
      <c r="A1156" s="820"/>
      <c r="B1156" s="603"/>
      <c r="C1156" s="822" t="s">
        <v>16</v>
      </c>
      <c r="D1156" s="109" t="s">
        <v>7424</v>
      </c>
      <c r="E1156" s="594" t="str">
        <f>IFERROR(VLOOKUP(D1156,Stock,3,FALSE),"")</f>
        <v>Toyota Avanza / Xenia 03-11 1st Gen</v>
      </c>
      <c r="F1156" s="822">
        <v>11.0</v>
      </c>
      <c r="G1156" s="756"/>
      <c r="H1156" s="824">
        <f t="shared" si="7"/>
        <v>0</v>
      </c>
      <c r="I1156" s="825"/>
      <c r="J1156" s="826"/>
      <c r="K1156" s="827"/>
    </row>
    <row r="1157" ht="15.0" customHeight="1">
      <c r="A1157" s="820"/>
      <c r="B1157" s="603"/>
      <c r="C1157" s="822" t="s">
        <v>16</v>
      </c>
      <c r="D1157" s="109" t="s">
        <v>7164</v>
      </c>
      <c r="E1157" s="594" t="str">
        <f>IFERROR(VLOOKUP(D1157,Stock,3,FALSE),"")</f>
        <v>Ford Everest 04-15 / Ranger 04-11 / Mazda BT-50</v>
      </c>
      <c r="F1157" s="822">
        <v>11.0</v>
      </c>
      <c r="G1157" s="756"/>
      <c r="H1157" s="824">
        <f t="shared" si="7"/>
        <v>0</v>
      </c>
      <c r="I1157" s="825"/>
      <c r="J1157" s="826"/>
      <c r="K1157" s="827"/>
    </row>
    <row r="1158" ht="15.0" customHeight="1">
      <c r="A1158" s="820"/>
      <c r="B1158" s="603"/>
      <c r="C1158" s="822" t="s">
        <v>16</v>
      </c>
      <c r="D1158" s="109" t="s">
        <v>4327</v>
      </c>
      <c r="E1158" s="594" t="str">
        <f>IFERROR(VLOOKUP(D1158,Stock,3,FALSE),"")</f>
        <v>Isuzu Giga Long (PS240,285) FVR34 (Lebar 215cm)</v>
      </c>
      <c r="F1158" s="822">
        <v>9.0</v>
      </c>
      <c r="G1158" s="756"/>
      <c r="H1158" s="824">
        <f t="shared" si="7"/>
        <v>0</v>
      </c>
      <c r="I1158" s="825"/>
      <c r="J1158" s="826"/>
      <c r="K1158" s="827"/>
    </row>
    <row r="1159" ht="15.0" customHeight="1">
      <c r="A1159" s="820"/>
      <c r="B1159" s="603"/>
      <c r="C1159" s="822" t="s">
        <v>16</v>
      </c>
      <c r="D1159" s="109" t="s">
        <v>4447</v>
      </c>
      <c r="E1159" s="594" t="str">
        <f>IFERROR(VLOOKUP(D1159,Stock,3,FALSE),"")</f>
        <v>Isuzu Elf 17- New NMR NLR</v>
      </c>
      <c r="F1159" s="822">
        <v>28.0</v>
      </c>
      <c r="G1159" s="756"/>
      <c r="H1159" s="824">
        <f t="shared" si="7"/>
        <v>0</v>
      </c>
      <c r="I1159" s="825"/>
      <c r="J1159" s="826"/>
      <c r="K1159" s="827"/>
    </row>
    <row r="1160" ht="15.0" customHeight="1">
      <c r="A1160" s="820"/>
      <c r="B1160" s="603"/>
      <c r="C1160" s="822" t="s">
        <v>16</v>
      </c>
      <c r="D1160" s="109" t="s">
        <v>7160</v>
      </c>
      <c r="E1160" s="594" t="str">
        <f>IFERROR(VLOOKUP(D1160,Stock,3,FALSE),"")</f>
        <v>Toyota Avanza / Xenia 11-15 2nd Gen</v>
      </c>
      <c r="F1160" s="822">
        <v>21.0</v>
      </c>
      <c r="G1160" s="756"/>
      <c r="H1160" s="824">
        <f t="shared" si="7"/>
        <v>0</v>
      </c>
      <c r="I1160" s="825"/>
      <c r="J1160" s="826"/>
      <c r="K1160" s="827"/>
    </row>
    <row r="1161" ht="15.0" customHeight="1">
      <c r="A1161" s="820"/>
      <c r="B1161" s="603"/>
      <c r="C1161" s="822" t="s">
        <v>16</v>
      </c>
      <c r="D1161" s="109" t="s">
        <v>7220</v>
      </c>
      <c r="E1161" s="594" t="str">
        <f>IFERROR(VLOOKUP(D1161,Stock,3,FALSE),"")</f>
        <v>Toyota Rush / Terios 06-17</v>
      </c>
      <c r="F1161" s="822">
        <v>12.0</v>
      </c>
      <c r="G1161" s="756"/>
      <c r="H1161" s="824">
        <f t="shared" si="7"/>
        <v>0</v>
      </c>
      <c r="I1161" s="825"/>
      <c r="J1161" s="826"/>
      <c r="K1161" s="827"/>
    </row>
    <row r="1162" ht="15.0" customHeight="1">
      <c r="A1162" s="820"/>
      <c r="B1162" s="603"/>
      <c r="C1162" s="822" t="s">
        <v>16</v>
      </c>
      <c r="D1162" s="109" t="s">
        <v>8245</v>
      </c>
      <c r="E1162" s="594" t="str">
        <f>IFERROR(VLOOKUP(D1162,Stock,3,FALSE),"")</f>
        <v>Toyota Fortuner 15- 2nd Gen</v>
      </c>
      <c r="F1162" s="822">
        <v>8.0</v>
      </c>
      <c r="G1162" s="756"/>
      <c r="H1162" s="824">
        <f t="shared" si="7"/>
        <v>0</v>
      </c>
      <c r="I1162" s="825"/>
      <c r="J1162" s="826"/>
      <c r="K1162" s="827"/>
    </row>
    <row r="1163" ht="15.0" customHeight="1">
      <c r="A1163" s="820"/>
      <c r="B1163" s="603"/>
      <c r="C1163" s="822" t="s">
        <v>16</v>
      </c>
      <c r="D1163" s="109" t="s">
        <v>3043</v>
      </c>
      <c r="E1163" s="594" t="str">
        <f>IFERROR(VLOOKUP(D1163,Stock,3,FALSE),"")</f>
        <v>Honda CR-V 17- 5th Gen</v>
      </c>
      <c r="F1163" s="822">
        <v>11.0</v>
      </c>
      <c r="G1163" s="756"/>
      <c r="H1163" s="824">
        <f t="shared" si="7"/>
        <v>0</v>
      </c>
      <c r="I1163" s="825"/>
      <c r="J1163" s="826"/>
      <c r="K1163" s="827"/>
    </row>
    <row r="1164" ht="15.0" customHeight="1">
      <c r="A1164" s="820"/>
      <c r="B1164" s="603"/>
      <c r="C1164" s="822" t="s">
        <v>16</v>
      </c>
      <c r="D1164" s="109" t="s">
        <v>2881</v>
      </c>
      <c r="E1164" s="594" t="str">
        <f>IFERROR(VLOOKUP(D1164,Stock,3,FALSE),"")</f>
        <v>Mitsubishi Outlander 10-21 GA3</v>
      </c>
      <c r="F1164" s="822">
        <v>12.0</v>
      </c>
      <c r="G1164" s="756"/>
      <c r="H1164" s="824">
        <f t="shared" si="7"/>
        <v>0</v>
      </c>
      <c r="I1164" s="825"/>
      <c r="J1164" s="826"/>
      <c r="K1164" s="827"/>
    </row>
    <row r="1165" ht="15.0" customHeight="1">
      <c r="A1165" s="820"/>
      <c r="B1165" s="603"/>
      <c r="C1165" s="822" t="s">
        <v>16</v>
      </c>
      <c r="D1165" s="109" t="s">
        <v>4740</v>
      </c>
      <c r="E1165" s="594" t="str">
        <f>IFERROR(VLOOKUP(D1165,Stock,3,FALSE),"")</f>
        <v>Nissan X-Trail 13- T32 (1 Sensor)</v>
      </c>
      <c r="F1165" s="822">
        <v>11.0</v>
      </c>
      <c r="G1165" s="756"/>
      <c r="H1165" s="824">
        <f t="shared" si="7"/>
        <v>0</v>
      </c>
      <c r="I1165" s="825"/>
      <c r="J1165" s="826"/>
      <c r="K1165" s="827"/>
    </row>
    <row r="1166" ht="15.0" customHeight="1">
      <c r="A1166" s="820"/>
      <c r="B1166" s="603"/>
      <c r="C1166" s="822" t="s">
        <v>16</v>
      </c>
      <c r="D1166" s="109" t="s">
        <v>2995</v>
      </c>
      <c r="E1166" s="594" t="str">
        <f>IFERROR(VLOOKUP(D1166,Stock,3,FALSE),"")</f>
        <v>Honda CR-V 02-04 2nd Gen (Spion Jepit)</v>
      </c>
      <c r="F1166" s="822">
        <v>12.0</v>
      </c>
      <c r="G1166" s="756"/>
      <c r="H1166" s="824">
        <f t="shared" si="7"/>
        <v>0</v>
      </c>
      <c r="I1166" s="825"/>
      <c r="J1166" s="826"/>
      <c r="K1166" s="827"/>
    </row>
    <row r="1167" ht="15.0" customHeight="1">
      <c r="A1167" s="820"/>
      <c r="B1167" s="603"/>
      <c r="C1167" s="822" t="s">
        <v>16</v>
      </c>
      <c r="D1167" s="109" t="s">
        <v>7320</v>
      </c>
      <c r="E1167" s="594" t="str">
        <f>IFERROR(VLOOKUP(D1167,Stock,3,FALSE),"")</f>
        <v>Wuling Confero (Tanpa Spionnya)</v>
      </c>
      <c r="F1167" s="822">
        <v>11.0</v>
      </c>
      <c r="G1167" s="756"/>
      <c r="H1167" s="824">
        <f t="shared" si="7"/>
        <v>0</v>
      </c>
      <c r="I1167" s="825"/>
      <c r="J1167" s="826"/>
      <c r="K1167" s="827"/>
    </row>
    <row r="1168" ht="15.0" customHeight="1">
      <c r="A1168" s="820"/>
      <c r="B1168" s="603"/>
      <c r="C1168" s="822" t="s">
        <v>16</v>
      </c>
      <c r="D1168" s="109" t="s">
        <v>7161</v>
      </c>
      <c r="E1168" s="594" t="str">
        <f>IFERROR(VLOOKUP(D1168,Stock,3,FALSE),"")</f>
        <v>Honda Brio 10- / Mobilio 11-</v>
      </c>
      <c r="F1168" s="822">
        <v>19.0</v>
      </c>
      <c r="G1168" s="756"/>
      <c r="H1168" s="824">
        <f t="shared" si="7"/>
        <v>0</v>
      </c>
      <c r="I1168" s="825"/>
      <c r="J1168" s="826"/>
      <c r="K1168" s="827"/>
    </row>
    <row r="1169" ht="15.0" customHeight="1">
      <c r="A1169" s="820"/>
      <c r="B1169" s="603"/>
      <c r="C1169" s="822" t="s">
        <v>16</v>
      </c>
      <c r="D1169" s="109" t="s">
        <v>7162</v>
      </c>
      <c r="E1169" s="594" t="str">
        <f>IFERROR(VLOOKUP(D1169,Stock,3,FALSE),"")</f>
        <v>Toyota Innova 04-15 1st Gen</v>
      </c>
      <c r="F1169" s="822">
        <v>23.0</v>
      </c>
      <c r="G1169" s="756"/>
      <c r="H1169" s="824">
        <f t="shared" si="7"/>
        <v>0</v>
      </c>
      <c r="I1169" s="825"/>
      <c r="J1169" s="826"/>
      <c r="K1169" s="827"/>
    </row>
    <row r="1170" ht="15.0" customHeight="1">
      <c r="A1170" s="820"/>
      <c r="B1170" s="603"/>
      <c r="C1170" s="822" t="s">
        <v>16</v>
      </c>
      <c r="D1170" s="109" t="s">
        <v>7370</v>
      </c>
      <c r="E1170" s="594" t="str">
        <f>IFERROR(VLOOKUP(D1170,Stock,3,FALSE),"")</f>
        <v>Honda City 02-08 4th Gen Idsi GD8</v>
      </c>
      <c r="F1170" s="822">
        <v>11.0</v>
      </c>
      <c r="G1170" s="756"/>
      <c r="H1170" s="824">
        <f t="shared" si="7"/>
        <v>0</v>
      </c>
      <c r="I1170" s="825"/>
      <c r="J1170" s="826"/>
      <c r="K1170" s="827"/>
    </row>
    <row r="1171" ht="15.0" customHeight="1">
      <c r="A1171" s="820"/>
      <c r="B1171" s="603"/>
      <c r="C1171" s="822" t="s">
        <v>16</v>
      </c>
      <c r="D1171" s="109" t="s">
        <v>4879</v>
      </c>
      <c r="E1171" s="594" t="str">
        <f>IFERROR(VLOOKUP(D1171,Stock,3,FALSE),"")</f>
        <v>Kia Picanto 11-16 2nd Gen</v>
      </c>
      <c r="F1171" s="822">
        <v>11.0</v>
      </c>
      <c r="G1171" s="756"/>
      <c r="H1171" s="824">
        <f t="shared" si="7"/>
        <v>0</v>
      </c>
      <c r="I1171" s="825"/>
      <c r="J1171" s="826"/>
      <c r="K1171" s="827"/>
    </row>
    <row r="1172" ht="15.0" customHeight="1">
      <c r="A1172" s="820"/>
      <c r="B1172" s="603"/>
      <c r="C1172" s="822" t="s">
        <v>16</v>
      </c>
      <c r="D1172" s="109" t="s">
        <v>7275</v>
      </c>
      <c r="E1172" s="594" t="str">
        <f>IFERROR(VLOOKUP(D1172,Stock,3,FALSE),"")</f>
        <v>Mazda 2 14- Skyactiv 4th Gen (1 Sensor/ □ )</v>
      </c>
      <c r="F1172" s="822">
        <v>8.0</v>
      </c>
      <c r="G1172" s="756"/>
      <c r="H1172" s="824">
        <f t="shared" si="7"/>
        <v>0</v>
      </c>
      <c r="I1172" s="825"/>
      <c r="J1172" s="826"/>
      <c r="K1172" s="827"/>
    </row>
    <row r="1173" ht="15.0" customHeight="1">
      <c r="A1173" s="820"/>
      <c r="B1173" s="603"/>
      <c r="C1173" s="822" t="s">
        <v>16</v>
      </c>
      <c r="D1173" s="109" t="s">
        <v>3595</v>
      </c>
      <c r="E1173" s="594" t="str">
        <f>IFERROR(VLOOKUP(D1173,Stock,3,FALSE),"")</f>
        <v>Nissan X-Trail 07-13 T31</v>
      </c>
      <c r="F1173" s="822">
        <v>12.0</v>
      </c>
      <c r="G1173" s="756"/>
      <c r="H1173" s="824">
        <f t="shared" si="7"/>
        <v>0</v>
      </c>
      <c r="I1173" s="825"/>
      <c r="J1173" s="826"/>
      <c r="K1173" s="827"/>
    </row>
    <row r="1174" ht="15.0" customHeight="1">
      <c r="A1174" s="820"/>
      <c r="B1174" s="603"/>
      <c r="C1174" s="822" t="s">
        <v>16</v>
      </c>
      <c r="D1174" s="109" t="s">
        <v>3220</v>
      </c>
      <c r="E1174" s="594" t="str">
        <f>IFERROR(VLOOKUP(D1174,Stock,3,FALSE),"")</f>
        <v>BMW 3 Series 12-18 F30/F35 (1 Sensor / O )</v>
      </c>
      <c r="F1174" s="822">
        <v>11.0</v>
      </c>
      <c r="G1174" s="756"/>
      <c r="H1174" s="824">
        <f t="shared" si="7"/>
        <v>0</v>
      </c>
      <c r="I1174" s="825"/>
      <c r="J1174" s="826"/>
      <c r="K1174" s="827"/>
    </row>
    <row r="1175" ht="15.0" customHeight="1">
      <c r="A1175" s="820"/>
      <c r="B1175" s="603"/>
      <c r="C1175" s="822" t="s">
        <v>16</v>
      </c>
      <c r="D1175" s="109" t="s">
        <v>7784</v>
      </c>
      <c r="E1175" s="594" t="str">
        <f>IFERROR(VLOOKUP(D1175,Stock,3,FALSE),"")</f>
        <v>Mitsubishi Pajero 16-</v>
      </c>
      <c r="F1175" s="822">
        <v>9.0</v>
      </c>
      <c r="G1175" s="756"/>
      <c r="H1175" s="824">
        <f t="shared" si="7"/>
        <v>0</v>
      </c>
      <c r="I1175" s="825"/>
      <c r="J1175" s="826"/>
      <c r="K1175" s="827"/>
    </row>
    <row r="1176" ht="15.0" customHeight="1">
      <c r="A1176" s="820"/>
      <c r="B1176" s="603"/>
      <c r="C1176" s="822" t="s">
        <v>16</v>
      </c>
      <c r="D1176" s="109" t="s">
        <v>7427</v>
      </c>
      <c r="E1176" s="594" t="str">
        <f>IFERROR(VLOOKUP(D1176,Stock,3,FALSE),"")</f>
        <v>Nissan Livina 07-18 L10/L11</v>
      </c>
      <c r="F1176" s="822">
        <v>9.0</v>
      </c>
      <c r="G1176" s="756"/>
      <c r="H1176" s="824">
        <f t="shared" si="7"/>
        <v>0</v>
      </c>
      <c r="I1176" s="825"/>
      <c r="J1176" s="826"/>
      <c r="K1176" s="827"/>
    </row>
    <row r="1177" ht="15.0" customHeight="1">
      <c r="A1177" s="820"/>
      <c r="B1177" s="603"/>
      <c r="C1177" s="822" t="s">
        <v>16</v>
      </c>
      <c r="D1177" s="109" t="s">
        <v>2837</v>
      </c>
      <c r="E1177" s="594" t="str">
        <f>IFERROR(VLOOKUP(D1177,Stock,3,FALSE),"")</f>
        <v>Toyota Corolla Cross 21-</v>
      </c>
      <c r="F1177" s="822">
        <v>6.0</v>
      </c>
      <c r="G1177" s="756"/>
      <c r="H1177" s="824">
        <f t="shared" si="7"/>
        <v>0</v>
      </c>
      <c r="I1177" s="825"/>
      <c r="J1177" s="826"/>
      <c r="K1177" s="827"/>
    </row>
    <row r="1178" ht="15.0" customHeight="1">
      <c r="A1178" s="820"/>
      <c r="B1178" s="603"/>
      <c r="C1178" s="822" t="s">
        <v>16</v>
      </c>
      <c r="D1178" s="109" t="s">
        <v>7221</v>
      </c>
      <c r="E1178" s="594" t="str">
        <f>IFERROR(VLOOKUP(D1178,Stock,3,FALSE),"")</f>
        <v>Suzuki Ertiga 12-18 1st Gen MPV</v>
      </c>
      <c r="F1178" s="822">
        <v>11.0</v>
      </c>
      <c r="G1178" s="756"/>
      <c r="H1178" s="824">
        <f t="shared" si="7"/>
        <v>0</v>
      </c>
      <c r="I1178" s="825"/>
      <c r="J1178" s="826"/>
      <c r="K1178" s="827"/>
    </row>
    <row r="1179" ht="15.0" customHeight="1">
      <c r="A1179" s="820"/>
      <c r="B1179" s="603"/>
      <c r="C1179" s="822" t="s">
        <v>16</v>
      </c>
      <c r="D1179" s="109" t="s">
        <v>4134</v>
      </c>
      <c r="E1179" s="594" t="str">
        <f>IFERROR(VLOOKUP(D1179,Stock,3,FALSE),"")</f>
        <v>Mazda 2 14- Skyactiv 4th Gen</v>
      </c>
      <c r="F1179" s="822">
        <v>12.0</v>
      </c>
      <c r="G1179" s="756"/>
      <c r="H1179" s="824">
        <f t="shared" si="7"/>
        <v>0</v>
      </c>
      <c r="I1179" s="825"/>
      <c r="J1179" s="826"/>
      <c r="K1179" s="827"/>
    </row>
    <row r="1180" ht="15.0" customHeight="1">
      <c r="A1180" s="820"/>
      <c r="B1180" s="603"/>
      <c r="C1180" s="822" t="s">
        <v>16</v>
      </c>
      <c r="D1180" s="109" t="s">
        <v>7425</v>
      </c>
      <c r="E1180" s="594" t="str">
        <f>IFERROR(VLOOKUP(D1180,Stock,3,FALSE),"")</f>
        <v>Honda Jazz 01-07 1st Gen</v>
      </c>
      <c r="F1180" s="822">
        <v>8.0</v>
      </c>
      <c r="G1180" s="756"/>
      <c r="H1180" s="824">
        <f t="shared" si="7"/>
        <v>0</v>
      </c>
      <c r="I1180" s="825"/>
      <c r="J1180" s="826"/>
      <c r="K1180" s="827"/>
    </row>
    <row r="1181" ht="15.0" customHeight="1">
      <c r="A1181" s="820"/>
      <c r="B1181" s="603"/>
      <c r="C1181" s="822" t="s">
        <v>16</v>
      </c>
      <c r="D1181" s="109" t="s">
        <v>5675</v>
      </c>
      <c r="E1181" s="594" t="str">
        <f>IFERROR(VLOOKUP(D1181,Stock,3,FALSE),"")</f>
        <v>Mers-Benz E-Class 09-16 W212 (2 Sensor/ □Δ) Trapes</v>
      </c>
      <c r="F1181" s="822">
        <v>11.0</v>
      </c>
      <c r="G1181" s="756"/>
      <c r="H1181" s="824">
        <f t="shared" si="7"/>
        <v>0</v>
      </c>
      <c r="I1181" s="825"/>
      <c r="J1181" s="826"/>
      <c r="K1181" s="827"/>
    </row>
    <row r="1182" ht="15.0" customHeight="1">
      <c r="A1182" s="820"/>
      <c r="B1182" s="603"/>
      <c r="C1182" s="822" t="s">
        <v>16</v>
      </c>
      <c r="D1182" s="109" t="s">
        <v>4379</v>
      </c>
      <c r="E1182" s="594" t="str">
        <f>IFERROR(VLOOKUP(D1182,Stock,3,FALSE),"")</f>
        <v>Toyota Yaris 13- 2nd Gen / Vios 14- 3rd Gen</v>
      </c>
      <c r="F1182" s="822">
        <v>13.0</v>
      </c>
      <c r="G1182" s="756"/>
      <c r="H1182" s="824">
        <f t="shared" si="7"/>
        <v>0</v>
      </c>
      <c r="I1182" s="825"/>
      <c r="J1182" s="826"/>
      <c r="K1182" s="827"/>
    </row>
    <row r="1183" ht="15.0" customHeight="1">
      <c r="A1183" s="820"/>
      <c r="B1183" s="603"/>
      <c r="C1183" s="822" t="s">
        <v>16</v>
      </c>
      <c r="D1183" s="109" t="s">
        <v>10586</v>
      </c>
      <c r="E1183" s="594" t="str">
        <f>IFERROR(VLOOKUP(D1183,Stock,3,FALSE),"")</f>
        <v>Hyundai Palisade 22-25</v>
      </c>
      <c r="F1183" s="822">
        <v>7.0</v>
      </c>
      <c r="G1183" s="756"/>
      <c r="H1183" s="824">
        <f t="shared" si="7"/>
        <v>0</v>
      </c>
      <c r="I1183" s="825"/>
      <c r="J1183" s="826"/>
      <c r="K1183" s="827"/>
    </row>
    <row r="1184" ht="15.0" customHeight="1">
      <c r="A1184" s="820"/>
      <c r="B1184" s="603"/>
      <c r="C1184" s="822" t="s">
        <v>16</v>
      </c>
      <c r="D1184" s="109" t="s">
        <v>4214</v>
      </c>
      <c r="E1184" s="594" t="str">
        <f>IFERROR(VLOOKUP(D1184,Stock,3,FALSE),"")</f>
        <v>Hyundai Palisade 22-25 (1 Sensor /\ pendek)</v>
      </c>
      <c r="F1184" s="822">
        <v>8.0</v>
      </c>
      <c r="G1184" s="756"/>
      <c r="H1184" s="824">
        <f t="shared" si="7"/>
        <v>0</v>
      </c>
      <c r="I1184" s="825"/>
      <c r="J1184" s="826"/>
      <c r="K1184" s="827"/>
    </row>
    <row r="1185" ht="15.0" customHeight="1">
      <c r="A1185" s="820"/>
      <c r="B1185" s="603"/>
      <c r="C1185" s="822" t="s">
        <v>16</v>
      </c>
      <c r="D1185" s="109" t="s">
        <v>5123</v>
      </c>
      <c r="E1185" s="594" t="str">
        <f>IFERROR(VLOOKUP(D1185,Stock,3,FALSE),"")</f>
        <v>BMW 3 Series 90-99 E36</v>
      </c>
      <c r="F1185" s="822">
        <v>11.0</v>
      </c>
      <c r="G1185" s="756"/>
      <c r="H1185" s="824">
        <f t="shared" si="7"/>
        <v>0</v>
      </c>
      <c r="I1185" s="825"/>
      <c r="J1185" s="826"/>
      <c r="K1185" s="827"/>
    </row>
    <row r="1186" ht="15.0" customHeight="1">
      <c r="A1186" s="786">
        <v>46021.0</v>
      </c>
      <c r="B1186" s="787" t="s">
        <v>10587</v>
      </c>
      <c r="C1186" s="788" t="s">
        <v>2643</v>
      </c>
      <c r="D1186" s="851" t="s">
        <v>6761</v>
      </c>
      <c r="E1186" s="790" t="str">
        <f>IFERROR(VLOOKUP(D1186,Stock,3,FALSE),"")</f>
        <v>Honda CR-V 17-23 5th Gen (2 Sensor / O /\ ) (Honda)</v>
      </c>
      <c r="F1186" s="788">
        <v>1.0</v>
      </c>
      <c r="G1186" s="860">
        <v>3062268.0</v>
      </c>
      <c r="H1186" s="799">
        <f t="shared" si="7"/>
        <v>3062268</v>
      </c>
      <c r="I1186" s="800"/>
      <c r="J1186" s="812"/>
      <c r="K1186" s="848" t="s">
        <v>3810</v>
      </c>
      <c r="L1186" s="806" t="s">
        <v>10137</v>
      </c>
      <c r="M1186" s="806" t="s">
        <v>2763</v>
      </c>
      <c r="N1186" s="837">
        <v>46112.0</v>
      </c>
      <c r="O1186" s="803"/>
    </row>
    <row r="1187" ht="15.0" customHeight="1">
      <c r="A1187" s="786">
        <v>46021.0</v>
      </c>
      <c r="B1187" s="787" t="s">
        <v>10587</v>
      </c>
      <c r="C1187" s="788" t="s">
        <v>2643</v>
      </c>
      <c r="D1187" s="851" t="s">
        <v>6034</v>
      </c>
      <c r="E1187" s="790" t="str">
        <f>IFERROR(VLOOKUP(D1187,Stock,3,FALSE),"")</f>
        <v>Honda HR-V 22- 5D SUV (Honda)</v>
      </c>
      <c r="F1187" s="788">
        <v>1.0</v>
      </c>
      <c r="G1187" s="860">
        <v>1313796.0</v>
      </c>
      <c r="H1187" s="799">
        <f t="shared" si="7"/>
        <v>1313796</v>
      </c>
      <c r="I1187" s="800"/>
      <c r="J1187" s="812"/>
      <c r="K1187" s="848" t="s">
        <v>3810</v>
      </c>
      <c r="L1187" s="806" t="s">
        <v>10137</v>
      </c>
      <c r="M1187" s="806" t="s">
        <v>2763</v>
      </c>
      <c r="N1187" s="837">
        <v>46112.0</v>
      </c>
      <c r="O1187" s="803"/>
    </row>
    <row r="1188" ht="15.0" customHeight="1">
      <c r="A1188" s="786">
        <v>46021.0</v>
      </c>
      <c r="B1188" s="787" t="s">
        <v>10587</v>
      </c>
      <c r="C1188" s="788" t="s">
        <v>2643</v>
      </c>
      <c r="D1188" s="851" t="s">
        <v>6828</v>
      </c>
      <c r="E1188" s="790" t="str">
        <f>IFERROR(VLOOKUP(D1188,Stock,3,FALSE),"")</f>
        <v>Honda Brio 10-17 [Tanpa Lubang] (Honda)</v>
      </c>
      <c r="F1188" s="788">
        <v>1.0</v>
      </c>
      <c r="G1188" s="860">
        <v>678876.0</v>
      </c>
      <c r="H1188" s="799">
        <f t="shared" si="7"/>
        <v>678876</v>
      </c>
      <c r="I1188" s="800"/>
      <c r="J1188" s="812"/>
      <c r="K1188" s="848" t="s">
        <v>3810</v>
      </c>
      <c r="L1188" s="806" t="s">
        <v>10137</v>
      </c>
      <c r="M1188" s="806" t="s">
        <v>2763</v>
      </c>
      <c r="N1188" s="837">
        <v>46112.0</v>
      </c>
      <c r="O1188" s="803"/>
    </row>
    <row r="1189" ht="15.0" customHeight="1">
      <c r="A1189" s="786">
        <v>46021.0</v>
      </c>
      <c r="B1189" s="787" t="s">
        <v>10587</v>
      </c>
      <c r="C1189" s="788" t="s">
        <v>2643</v>
      </c>
      <c r="D1189" s="851" t="s">
        <v>3013</v>
      </c>
      <c r="E1189" s="790" t="str">
        <f>IFERROR(VLOOKUP(D1189,Stock,3,FALSE),"")</f>
        <v>Honda Freed 08-16 1st Gen (Honda)</v>
      </c>
      <c r="F1189" s="788">
        <v>1.0</v>
      </c>
      <c r="G1189" s="860">
        <v>2031744.0</v>
      </c>
      <c r="H1189" s="799">
        <f t="shared" si="7"/>
        <v>2031744</v>
      </c>
      <c r="I1189" s="800"/>
      <c r="J1189" s="812"/>
      <c r="K1189" s="848" t="s">
        <v>3810</v>
      </c>
      <c r="L1189" s="806" t="s">
        <v>10137</v>
      </c>
      <c r="M1189" s="806" t="s">
        <v>2763</v>
      </c>
      <c r="N1189" s="837">
        <v>46112.0</v>
      </c>
      <c r="O1189" s="803"/>
    </row>
    <row r="1190" ht="15.0" customHeight="1">
      <c r="A1190" s="786">
        <v>46021.0</v>
      </c>
      <c r="B1190" s="787" t="s">
        <v>10587</v>
      </c>
      <c r="C1190" s="788" t="s">
        <v>2643</v>
      </c>
      <c r="D1190" s="851" t="s">
        <v>6187</v>
      </c>
      <c r="E1190" s="790" t="str">
        <f>IFERROR(VLOOKUP(D1190,Stock,3,FALSE),"")</f>
        <v>Honda Freed 08-16 1st Gen (Honda)</v>
      </c>
      <c r="F1190" s="788">
        <v>1.0</v>
      </c>
      <c r="G1190" s="860">
        <v>1567764.0</v>
      </c>
      <c r="H1190" s="799">
        <f t="shared" si="7"/>
        <v>1567764</v>
      </c>
      <c r="I1190" s="800"/>
      <c r="J1190" s="812"/>
      <c r="K1190" s="848" t="s">
        <v>3810</v>
      </c>
      <c r="L1190" s="806" t="s">
        <v>10137</v>
      </c>
      <c r="M1190" s="806" t="s">
        <v>2763</v>
      </c>
      <c r="N1190" s="837">
        <v>46112.0</v>
      </c>
      <c r="O1190" s="803"/>
    </row>
    <row r="1191" ht="15.0" customHeight="1">
      <c r="A1191" s="786">
        <v>46020.0</v>
      </c>
      <c r="B1191" s="787" t="s">
        <v>10588</v>
      </c>
      <c r="C1191" s="788" t="s">
        <v>10300</v>
      </c>
      <c r="D1191" s="851" t="s">
        <v>6704</v>
      </c>
      <c r="E1191" s="790" t="str">
        <f>IFERROR(VLOOKUP(D1191,Stock,3,FALSE),"")</f>
        <v>BMW X5 Series 18-25 G05 (2 Sensor / /\ O ) (BMW)</v>
      </c>
      <c r="F1191" s="788">
        <v>1.0</v>
      </c>
      <c r="G1191" s="860">
        <v>1.9454577E7</v>
      </c>
      <c r="H1191" s="799">
        <f t="shared" si="7"/>
        <v>19454577</v>
      </c>
      <c r="I1191" s="800"/>
      <c r="J1191" s="812"/>
      <c r="K1191" s="848" t="s">
        <v>3810</v>
      </c>
      <c r="L1191" s="806" t="s">
        <v>10137</v>
      </c>
      <c r="M1191" s="806" t="s">
        <v>10502</v>
      </c>
      <c r="N1191" s="837">
        <v>45999.0</v>
      </c>
      <c r="O1191" s="803"/>
    </row>
    <row r="1192" ht="15.0" customHeight="1">
      <c r="A1192" s="786">
        <v>46020.0</v>
      </c>
      <c r="B1192" s="787" t="s">
        <v>10589</v>
      </c>
      <c r="C1192" s="788" t="s">
        <v>10300</v>
      </c>
      <c r="D1192" s="851" t="s">
        <v>6262</v>
      </c>
      <c r="E1192" s="790" t="str">
        <f>IFERROR(VLOOKUP(D1192,Stock,3,FALSE),"")</f>
        <v>BMW X6 Series 08-14 (Sensor 1) (BMW)</v>
      </c>
      <c r="F1192" s="788">
        <v>1.0</v>
      </c>
      <c r="G1192" s="860">
        <v>1.4868621E7</v>
      </c>
      <c r="H1192" s="799">
        <f t="shared" si="7"/>
        <v>14868621</v>
      </c>
      <c r="I1192" s="800"/>
      <c r="J1192" s="812"/>
      <c r="K1192" s="848" t="s">
        <v>3810</v>
      </c>
      <c r="L1192" s="806" t="s">
        <v>10137</v>
      </c>
      <c r="M1192" s="806" t="s">
        <v>10502</v>
      </c>
      <c r="N1192" s="854">
        <v>45986.0</v>
      </c>
      <c r="O1192" s="803"/>
    </row>
    <row r="1193" ht="15.0" customHeight="1">
      <c r="A1193" s="786">
        <v>46022.0</v>
      </c>
      <c r="B1193" s="787">
        <v>2.5121063E7</v>
      </c>
      <c r="C1193" s="788" t="s">
        <v>10136</v>
      </c>
      <c r="D1193" s="851" t="s">
        <v>10590</v>
      </c>
      <c r="E1193" s="790" t="str">
        <f>IFERROR(VLOOKUP(D1193,Stock,3,FALSE),"")</f>
        <v>BMW 3 Series 98-06 E46</v>
      </c>
      <c r="F1193" s="788">
        <v>1.0</v>
      </c>
      <c r="G1193" s="860">
        <v>1178100.0</v>
      </c>
      <c r="H1193" s="799">
        <f t="shared" si="7"/>
        <v>1178100</v>
      </c>
      <c r="I1193" s="800"/>
      <c r="J1193" s="812"/>
      <c r="K1193" s="848" t="s">
        <v>3810</v>
      </c>
      <c r="L1193" s="806" t="s">
        <v>10137</v>
      </c>
      <c r="M1193" s="806" t="s">
        <v>2763</v>
      </c>
      <c r="N1193" s="837">
        <v>46083.0</v>
      </c>
      <c r="O1193" s="803"/>
    </row>
    <row r="1194" ht="15.0" customHeight="1">
      <c r="A1194" s="786">
        <v>46022.0</v>
      </c>
      <c r="B1194" s="787">
        <v>2.5121063E7</v>
      </c>
      <c r="C1194" s="788" t="s">
        <v>10136</v>
      </c>
      <c r="D1194" s="851" t="s">
        <v>7140</v>
      </c>
      <c r="E1194" s="790" t="str">
        <f>IFERROR(VLOOKUP(D1194,Stock,3,FALSE),"")</f>
        <v>Chevrolet Captiva 06-18 1st gen C100</v>
      </c>
      <c r="F1194" s="788">
        <v>1.0</v>
      </c>
      <c r="G1194" s="860">
        <v>997150.0</v>
      </c>
      <c r="H1194" s="799">
        <f t="shared" si="7"/>
        <v>997150</v>
      </c>
      <c r="I1194" s="800"/>
      <c r="J1194" s="812"/>
      <c r="K1194" s="848" t="s">
        <v>3810</v>
      </c>
      <c r="L1194" s="806" t="s">
        <v>10137</v>
      </c>
      <c r="M1194" s="806" t="s">
        <v>2763</v>
      </c>
      <c r="N1194" s="837">
        <v>46083.0</v>
      </c>
      <c r="O1194" s="803"/>
    </row>
    <row r="1195" ht="15.0" customHeight="1">
      <c r="A1195" s="786">
        <v>46022.0</v>
      </c>
      <c r="B1195" s="787">
        <v>2.5121063E7</v>
      </c>
      <c r="C1195" s="788" t="s">
        <v>10136</v>
      </c>
      <c r="D1195" s="851" t="s">
        <v>7137</v>
      </c>
      <c r="E1195" s="790" t="str">
        <f>IFERROR(VLOOKUP(D1195,Stock,3,FALSE),"")</f>
        <v>Mazda Biante 08- (Hitam)</v>
      </c>
      <c r="F1195" s="788">
        <v>1.0</v>
      </c>
      <c r="G1195" s="860">
        <v>1060400.0</v>
      </c>
      <c r="H1195" s="799">
        <f t="shared" si="7"/>
        <v>1060400</v>
      </c>
      <c r="I1195" s="800"/>
      <c r="J1195" s="812"/>
      <c r="K1195" s="848" t="s">
        <v>3810</v>
      </c>
      <c r="L1195" s="806" t="s">
        <v>10137</v>
      </c>
      <c r="M1195" s="806" t="s">
        <v>2763</v>
      </c>
      <c r="N1195" s="837">
        <v>46083.0</v>
      </c>
      <c r="O1195" s="803"/>
    </row>
    <row r="1196" ht="15.0" customHeight="1">
      <c r="A1196" s="786">
        <v>46024.0</v>
      </c>
      <c r="B1196" s="787" t="s">
        <v>10591</v>
      </c>
      <c r="C1196" s="788" t="s">
        <v>10139</v>
      </c>
      <c r="D1196" s="851" t="s">
        <v>5346</v>
      </c>
      <c r="E1196" s="790" t="str">
        <f>IFERROR(VLOOKUP(D1196,Stock,3,FALSE),"")</f>
        <v>Isuzu Traga</v>
      </c>
      <c r="F1196" s="788">
        <v>10.0</v>
      </c>
      <c r="G1196" s="860">
        <v>517704.0</v>
      </c>
      <c r="H1196" s="799">
        <f t="shared" si="7"/>
        <v>5177040</v>
      </c>
      <c r="I1196" s="800"/>
      <c r="J1196" s="812"/>
      <c r="K1196" s="848" t="s">
        <v>3191</v>
      </c>
      <c r="L1196" s="806" t="s">
        <v>10137</v>
      </c>
      <c r="M1196" s="806" t="s">
        <v>2763</v>
      </c>
      <c r="N1196" s="837">
        <v>46055.0</v>
      </c>
      <c r="O1196" s="803"/>
    </row>
    <row r="1197" ht="15.0" customHeight="1">
      <c r="A1197" s="786">
        <v>46024.0</v>
      </c>
      <c r="B1197" s="787" t="s">
        <v>10591</v>
      </c>
      <c r="C1197" s="788" t="s">
        <v>10139</v>
      </c>
      <c r="D1197" s="851" t="s">
        <v>3475</v>
      </c>
      <c r="E1197" s="790" t="str">
        <f>IFERROR(VLOOKUP(D1197,Stock,3,FALSE),"")</f>
        <v>Toyota Avanza / Xenia 03-11 1st Gen</v>
      </c>
      <c r="F1197" s="788">
        <v>10.0</v>
      </c>
      <c r="G1197" s="860">
        <v>396825.0</v>
      </c>
      <c r="H1197" s="799">
        <f t="shared" si="7"/>
        <v>3968250</v>
      </c>
      <c r="I1197" s="800"/>
      <c r="J1197" s="812"/>
      <c r="K1197" s="848" t="s">
        <v>3191</v>
      </c>
      <c r="L1197" s="806" t="s">
        <v>10137</v>
      </c>
      <c r="M1197" s="806" t="s">
        <v>2763</v>
      </c>
      <c r="N1197" s="837">
        <v>46055.0</v>
      </c>
      <c r="O1197" s="803"/>
    </row>
    <row r="1198" ht="15.0" customHeight="1">
      <c r="A1198" s="834">
        <v>46115.0</v>
      </c>
      <c r="B1198" s="603" t="s">
        <v>10592</v>
      </c>
      <c r="C1198" s="822" t="s">
        <v>10156</v>
      </c>
      <c r="D1198" s="109" t="s">
        <v>7184</v>
      </c>
      <c r="E1198" s="594" t="str">
        <f>IFERROR(VLOOKUP(D1198,Stock,3,FALSE),"")</f>
        <v>Toyota Rush / Terios 18-</v>
      </c>
      <c r="F1198" s="822">
        <v>1.0</v>
      </c>
      <c r="G1198" s="756">
        <v>250000.0</v>
      </c>
      <c r="H1198" s="824">
        <f t="shared" si="7"/>
        <v>250000</v>
      </c>
      <c r="I1198" s="825"/>
      <c r="J1198" s="826"/>
      <c r="K1198" s="850" t="s">
        <v>3481</v>
      </c>
    </row>
    <row r="1199" ht="15.0" customHeight="1">
      <c r="A1199" s="886"/>
      <c r="B1199" s="887"/>
      <c r="C1199" s="841" t="s">
        <v>10593</v>
      </c>
      <c r="D1199" s="888" t="s">
        <v>6614</v>
      </c>
      <c r="E1199" s="840" t="str">
        <f>IFERROR(VLOOKUP(D1199,Stock,3,FALSE),"")</f>
        <v>Chery Omoda 5 23-  (Cherry)</v>
      </c>
      <c r="F1199" s="841">
        <v>1.0</v>
      </c>
      <c r="G1199" s="889"/>
      <c r="H1199" s="890">
        <f t="shared" si="7"/>
        <v>0</v>
      </c>
      <c r="I1199" s="891"/>
      <c r="J1199" s="892"/>
      <c r="K1199" s="893"/>
      <c r="L1199" s="894"/>
      <c r="M1199" s="894"/>
      <c r="N1199" s="894"/>
      <c r="O1199" s="894"/>
    </row>
    <row r="1200" ht="15.0" customHeight="1">
      <c r="A1200" s="886"/>
      <c r="B1200" s="887"/>
      <c r="C1200" s="841" t="s">
        <v>10593</v>
      </c>
      <c r="D1200" s="888" t="s">
        <v>6617</v>
      </c>
      <c r="E1200" s="840" t="str">
        <f>IFERROR(VLOOKUP(D1200,Stock,3,FALSE),"")</f>
        <v>Chery Omoda 5 23-  (Cherry)</v>
      </c>
      <c r="F1200" s="841">
        <v>1.0</v>
      </c>
      <c r="G1200" s="889"/>
      <c r="H1200" s="890">
        <f t="shared" si="7"/>
        <v>0</v>
      </c>
      <c r="I1200" s="891"/>
      <c r="J1200" s="892"/>
      <c r="K1200" s="893"/>
      <c r="L1200" s="894"/>
      <c r="M1200" s="894"/>
      <c r="N1200" s="894"/>
      <c r="O1200" s="894"/>
    </row>
    <row r="1201" ht="15.0" customHeight="1">
      <c r="A1201" s="886"/>
      <c r="B1201" s="887"/>
      <c r="C1201" s="841" t="s">
        <v>10593</v>
      </c>
      <c r="D1201" s="888" t="s">
        <v>6618</v>
      </c>
      <c r="E1201" s="840" t="str">
        <f>IFERROR(VLOOKUP(D1201,Stock,3,FALSE),"")</f>
        <v>Chery Omoda 5 23-  (Cherry)</v>
      </c>
      <c r="F1201" s="841">
        <v>1.0</v>
      </c>
      <c r="G1201" s="889"/>
      <c r="H1201" s="890">
        <f t="shared" si="7"/>
        <v>0</v>
      </c>
      <c r="I1201" s="891"/>
      <c r="J1201" s="892"/>
      <c r="K1201" s="893"/>
      <c r="L1201" s="894"/>
      <c r="M1201" s="894"/>
      <c r="N1201" s="894"/>
      <c r="O1201" s="894"/>
    </row>
    <row r="1202" ht="15.0" customHeight="1">
      <c r="A1202" s="886"/>
      <c r="B1202" s="887"/>
      <c r="C1202" s="841" t="s">
        <v>10593</v>
      </c>
      <c r="D1202" s="888" t="s">
        <v>2642</v>
      </c>
      <c r="E1202" s="840" t="str">
        <f>IFERROR(VLOOKUP(D1202,Stock,3,FALSE),"")</f>
        <v>Chery Omoda 5 23-  (Cherry)</v>
      </c>
      <c r="F1202" s="841">
        <v>1.0</v>
      </c>
      <c r="G1202" s="889"/>
      <c r="H1202" s="890">
        <f t="shared" si="7"/>
        <v>0</v>
      </c>
      <c r="I1202" s="891"/>
      <c r="J1202" s="892"/>
      <c r="K1202" s="893"/>
      <c r="L1202" s="894"/>
      <c r="M1202" s="894"/>
      <c r="N1202" s="894"/>
      <c r="O1202" s="894"/>
    </row>
    <row r="1203" ht="15.0" customHeight="1">
      <c r="A1203" s="786">
        <v>46027.0</v>
      </c>
      <c r="B1203" s="787">
        <v>2601065.0</v>
      </c>
      <c r="C1203" s="788" t="s">
        <v>10136</v>
      </c>
      <c r="D1203" s="295" t="s">
        <v>3009</v>
      </c>
      <c r="E1203" s="790" t="str">
        <f>IFERROR(VLOOKUP(D1203,Stock,3,FALSE),"")</f>
        <v>Honda Mobilio 14-</v>
      </c>
      <c r="F1203" s="788">
        <v>1.0</v>
      </c>
      <c r="G1203" s="860">
        <v>495550.0</v>
      </c>
      <c r="H1203" s="799">
        <f t="shared" si="7"/>
        <v>495550</v>
      </c>
      <c r="I1203" s="800"/>
      <c r="J1203" s="812"/>
      <c r="K1203" s="848" t="s">
        <v>2976</v>
      </c>
      <c r="L1203" s="806" t="s">
        <v>10137</v>
      </c>
      <c r="M1203" s="806" t="s">
        <v>2763</v>
      </c>
      <c r="N1203" s="837">
        <v>46083.0</v>
      </c>
      <c r="O1203" s="803"/>
    </row>
    <row r="1204" ht="15.0" customHeight="1">
      <c r="A1204" s="834">
        <v>46027.0</v>
      </c>
      <c r="B1204" s="603" t="s">
        <v>10594</v>
      </c>
      <c r="C1204" s="822" t="s">
        <v>10139</v>
      </c>
      <c r="D1204" s="109" t="s">
        <v>7222</v>
      </c>
      <c r="E1204" s="594" t="str">
        <f>IFERROR(VLOOKUP(D1204,Stock,3,FALSE),"")</f>
        <v>Jeep Wrangler Rubicon 07-18 JK</v>
      </c>
      <c r="F1204" s="822">
        <v>1.0</v>
      </c>
      <c r="G1204" s="756">
        <v>2619675.0</v>
      </c>
      <c r="H1204" s="824">
        <f t="shared" si="7"/>
        <v>2619675</v>
      </c>
      <c r="I1204" s="825"/>
      <c r="J1204" s="826"/>
      <c r="K1204" s="850" t="s">
        <v>3481</v>
      </c>
    </row>
    <row r="1205" ht="15.0" customHeight="1">
      <c r="A1205" s="786">
        <v>46027.0</v>
      </c>
      <c r="B1205" s="787" t="s">
        <v>10595</v>
      </c>
      <c r="C1205" s="788" t="s">
        <v>24</v>
      </c>
      <c r="D1205" s="851" t="s">
        <v>10596</v>
      </c>
      <c r="E1205" s="790" t="str">
        <f>IFERROR(VLOOKUP(D1205,Stock,3,FALSE),"")</f>
        <v/>
      </c>
      <c r="F1205" s="788">
        <v>200.0</v>
      </c>
      <c r="G1205" s="860">
        <v>58000.0</v>
      </c>
      <c r="H1205" s="799">
        <f t="shared" si="7"/>
        <v>11600000</v>
      </c>
      <c r="I1205" s="800"/>
      <c r="J1205" s="812"/>
      <c r="K1205" s="848" t="s">
        <v>3191</v>
      </c>
      <c r="L1205" s="806" t="s">
        <v>10137</v>
      </c>
      <c r="M1205" s="806" t="s">
        <v>2763</v>
      </c>
      <c r="N1205" s="837">
        <v>46059.0</v>
      </c>
      <c r="O1205" s="803"/>
    </row>
    <row r="1206" ht="15.0" customHeight="1">
      <c r="A1206" s="786">
        <v>46027.0</v>
      </c>
      <c r="B1206" s="787">
        <v>2601100.0</v>
      </c>
      <c r="C1206" s="788" t="s">
        <v>10136</v>
      </c>
      <c r="D1206" s="851" t="s">
        <v>7537</v>
      </c>
      <c r="E1206" s="790" t="str">
        <f>IFERROR(VLOOKUP(D1206,Stock,3,FALSE),"")</f>
        <v>Lexus RX (Harrier) 03-08 XU30</v>
      </c>
      <c r="F1206" s="788">
        <v>1.0</v>
      </c>
      <c r="G1206" s="860">
        <v>239800.0</v>
      </c>
      <c r="H1206" s="799">
        <f t="shared" si="7"/>
        <v>239800</v>
      </c>
      <c r="I1206" s="800"/>
      <c r="J1206" s="812"/>
      <c r="K1206" s="848" t="s">
        <v>3191</v>
      </c>
      <c r="L1206" s="806" t="s">
        <v>10137</v>
      </c>
      <c r="M1206" s="806" t="s">
        <v>2763</v>
      </c>
      <c r="N1206" s="837">
        <v>46083.0</v>
      </c>
      <c r="O1206" s="803"/>
    </row>
    <row r="1207" ht="15.0" customHeight="1">
      <c r="A1207" s="834">
        <v>46027.0</v>
      </c>
      <c r="B1207" s="603" t="s">
        <v>10597</v>
      </c>
      <c r="C1207" s="822" t="s">
        <v>10139</v>
      </c>
      <c r="D1207" s="109" t="s">
        <v>3352</v>
      </c>
      <c r="E1207" s="594" t="str">
        <f>IFERROR(VLOOKUP(D1207,Stock,3,FALSE),"")</f>
        <v>List Kaca Depan INV</v>
      </c>
      <c r="F1207" s="822">
        <v>10.0</v>
      </c>
      <c r="G1207" s="756">
        <v>100000.0</v>
      </c>
      <c r="H1207" s="824">
        <f t="shared" si="7"/>
        <v>1000000</v>
      </c>
      <c r="I1207" s="825"/>
      <c r="J1207" s="826"/>
      <c r="K1207" s="827"/>
    </row>
    <row r="1208" ht="15.0" customHeight="1">
      <c r="A1208" s="834">
        <v>46027.0</v>
      </c>
      <c r="B1208" s="603" t="s">
        <v>10597</v>
      </c>
      <c r="C1208" s="822" t="s">
        <v>10139</v>
      </c>
      <c r="D1208" s="109" t="s">
        <v>3434</v>
      </c>
      <c r="E1208" s="594" t="str">
        <f>IFERROR(VLOOKUP(D1208,Stock,3,FALSE),"")</f>
        <v>List Kaca Depan Code 04</v>
      </c>
      <c r="F1208" s="822">
        <v>2.0</v>
      </c>
      <c r="G1208" s="756">
        <v>65000.0</v>
      </c>
      <c r="H1208" s="824">
        <f t="shared" si="7"/>
        <v>130000</v>
      </c>
      <c r="I1208" s="825"/>
      <c r="J1208" s="826"/>
      <c r="K1208" s="827"/>
    </row>
    <row r="1209" ht="15.0" customHeight="1">
      <c r="A1209" s="834">
        <v>46027.0</v>
      </c>
      <c r="B1209" s="603" t="s">
        <v>10597</v>
      </c>
      <c r="C1209" s="822" t="s">
        <v>10139</v>
      </c>
      <c r="D1209" s="109" t="s">
        <v>3456</v>
      </c>
      <c r="E1209" s="594" t="str">
        <f>IFERROR(VLOOKUP(D1209,Stock,3,FALSE),"")</f>
        <v>List Kaca Depan Code 11</v>
      </c>
      <c r="F1209" s="822">
        <v>15.0</v>
      </c>
      <c r="G1209" s="756">
        <v>65000.0</v>
      </c>
      <c r="H1209" s="824">
        <f t="shared" si="7"/>
        <v>975000</v>
      </c>
      <c r="I1209" s="825"/>
      <c r="J1209" s="826"/>
      <c r="K1209" s="827"/>
    </row>
    <row r="1210" ht="15.0" customHeight="1">
      <c r="A1210" s="786">
        <v>46025.0</v>
      </c>
      <c r="B1210" s="787" t="s">
        <v>10598</v>
      </c>
      <c r="C1210" s="788" t="s">
        <v>2643</v>
      </c>
      <c r="D1210" s="851" t="s">
        <v>6034</v>
      </c>
      <c r="E1210" s="790" t="str">
        <f>IFERROR(VLOOKUP(D1210,Stock,3,FALSE),"")</f>
        <v>Honda HR-V 22- 5D SUV (Honda)</v>
      </c>
      <c r="F1210" s="788">
        <v>1.0</v>
      </c>
      <c r="G1210" s="860">
        <v>1377288.0</v>
      </c>
      <c r="H1210" s="799">
        <f t="shared" si="7"/>
        <v>1377288</v>
      </c>
      <c r="I1210" s="800"/>
      <c r="J1210" s="812"/>
      <c r="K1210" s="848" t="s">
        <v>3191</v>
      </c>
      <c r="L1210" s="806" t="s">
        <v>10137</v>
      </c>
      <c r="M1210" s="806" t="s">
        <v>2763</v>
      </c>
      <c r="N1210" s="837">
        <v>46112.0</v>
      </c>
      <c r="O1210" s="803"/>
    </row>
    <row r="1211" ht="15.0" customHeight="1">
      <c r="A1211" s="895"/>
      <c r="B1211" s="787" t="s">
        <v>10599</v>
      </c>
      <c r="C1211" s="788" t="s">
        <v>10600</v>
      </c>
      <c r="D1211" s="851" t="s">
        <v>10601</v>
      </c>
      <c r="E1211" s="790" t="str">
        <f>IFERROR(VLOOKUP(D1211,Stock,3,FALSE),"")</f>
        <v/>
      </c>
      <c r="F1211" s="788">
        <v>1.0</v>
      </c>
      <c r="G1211" s="860">
        <v>357975.0</v>
      </c>
      <c r="H1211" s="799">
        <f t="shared" si="7"/>
        <v>357975</v>
      </c>
      <c r="I1211" s="800"/>
      <c r="J1211" s="812"/>
      <c r="K1211" s="848" t="s">
        <v>3191</v>
      </c>
      <c r="L1211" s="806" t="s">
        <v>10137</v>
      </c>
      <c r="M1211" s="854"/>
      <c r="N1211" s="854">
        <v>45968.0</v>
      </c>
      <c r="O1211" s="803"/>
    </row>
    <row r="1212" ht="15.0" customHeight="1">
      <c r="A1212" s="834">
        <v>46028.0</v>
      </c>
      <c r="B1212" s="603" t="s">
        <v>10602</v>
      </c>
      <c r="C1212" s="822" t="s">
        <v>10148</v>
      </c>
      <c r="D1212" s="109" t="s">
        <v>7184</v>
      </c>
      <c r="E1212" s="594" t="str">
        <f>IFERROR(VLOOKUP(D1212,Stock,3,FALSE),"")</f>
        <v>Toyota Rush / Terios 18-</v>
      </c>
      <c r="F1212" s="822">
        <v>1.0</v>
      </c>
      <c r="G1212" s="756"/>
      <c r="H1212" s="824">
        <f t="shared" si="7"/>
        <v>0</v>
      </c>
      <c r="I1212" s="825"/>
      <c r="J1212" s="826"/>
      <c r="K1212" s="850" t="s">
        <v>3191</v>
      </c>
      <c r="L1212" s="548" t="s">
        <v>10137</v>
      </c>
    </row>
    <row r="1213" ht="15.0" customHeight="1">
      <c r="A1213" s="786">
        <v>46028.0</v>
      </c>
      <c r="B1213" s="787">
        <v>2601159.0</v>
      </c>
      <c r="C1213" s="788" t="s">
        <v>10136</v>
      </c>
      <c r="D1213" s="851" t="s">
        <v>7265</v>
      </c>
      <c r="E1213" s="790" t="str">
        <f>IFERROR(VLOOKUP(D1213,Stock,3,FALSE),"")</f>
        <v>Hino Ranger Louhan 03- / Hino 500</v>
      </c>
      <c r="F1213" s="788">
        <v>1.0</v>
      </c>
      <c r="G1213" s="860">
        <v>864050.0</v>
      </c>
      <c r="H1213" s="799">
        <f t="shared" si="7"/>
        <v>864050</v>
      </c>
      <c r="I1213" s="800"/>
      <c r="J1213" s="812"/>
      <c r="K1213" s="848" t="s">
        <v>3191</v>
      </c>
      <c r="L1213" s="806" t="s">
        <v>10137</v>
      </c>
      <c r="M1213" s="806" t="s">
        <v>2763</v>
      </c>
      <c r="N1213" s="837">
        <v>46083.0</v>
      </c>
      <c r="O1213" s="803"/>
    </row>
    <row r="1214" ht="15.0" customHeight="1">
      <c r="A1214" s="786">
        <v>46028.0</v>
      </c>
      <c r="B1214" s="787">
        <v>2601180.0</v>
      </c>
      <c r="C1214" s="788" t="s">
        <v>10136</v>
      </c>
      <c r="D1214" s="851" t="s">
        <v>7257</v>
      </c>
      <c r="E1214" s="790" t="str">
        <f>IFERROR(VLOOKUP(D1214,Stock,3,FALSE),"")</f>
        <v>Honda Accord 08-12 8th Gen</v>
      </c>
      <c r="F1214" s="788">
        <v>1.0</v>
      </c>
      <c r="G1214" s="860">
        <v>1047750.0</v>
      </c>
      <c r="H1214" s="799">
        <f t="shared" si="7"/>
        <v>1047750</v>
      </c>
      <c r="I1214" s="800"/>
      <c r="J1214" s="812"/>
      <c r="K1214" s="848" t="s">
        <v>3191</v>
      </c>
      <c r="L1214" s="806" t="s">
        <v>10137</v>
      </c>
      <c r="M1214" s="806" t="s">
        <v>2763</v>
      </c>
      <c r="N1214" s="837">
        <v>46083.0</v>
      </c>
      <c r="O1214" s="803"/>
    </row>
    <row r="1215" ht="15.0" customHeight="1">
      <c r="A1215" s="786">
        <v>46028.0</v>
      </c>
      <c r="B1215" s="787">
        <v>2601180.0</v>
      </c>
      <c r="C1215" s="788" t="s">
        <v>10136</v>
      </c>
      <c r="D1215" s="851" t="s">
        <v>3078</v>
      </c>
      <c r="E1215" s="790" t="str">
        <f>IFERROR(VLOOKUP(D1215,Stock,3,FALSE),"")</f>
        <v>Suzuki Ertiga 12-18 1st Gen MPV</v>
      </c>
      <c r="F1215" s="788">
        <v>2.0</v>
      </c>
      <c r="G1215" s="860">
        <v>292050.0</v>
      </c>
      <c r="H1215" s="799">
        <f t="shared" si="7"/>
        <v>584100</v>
      </c>
      <c r="I1215" s="800"/>
      <c r="J1215" s="812"/>
      <c r="K1215" s="848" t="s">
        <v>3191</v>
      </c>
      <c r="L1215" s="806" t="s">
        <v>10137</v>
      </c>
      <c r="M1215" s="806" t="s">
        <v>2763</v>
      </c>
      <c r="N1215" s="837">
        <v>46083.0</v>
      </c>
      <c r="O1215" s="803"/>
    </row>
    <row r="1216" ht="15.0" customHeight="1">
      <c r="A1216" s="786">
        <v>46015.0</v>
      </c>
      <c r="B1216" s="819" t="s">
        <v>10603</v>
      </c>
      <c r="C1216" s="819" t="s">
        <v>79</v>
      </c>
      <c r="D1216" s="816" t="s">
        <v>4017</v>
      </c>
      <c r="E1216" s="790" t="str">
        <f>IFERROR(VLOOKUP(D1216,Stock,3,FALSE),"")</f>
        <v>Black Phantom Solar Gard</v>
      </c>
      <c r="F1216" s="861">
        <v>1.0</v>
      </c>
      <c r="G1216" s="896">
        <v>1125000.0</v>
      </c>
      <c r="H1216" s="799">
        <f t="shared" si="7"/>
        <v>1125000</v>
      </c>
      <c r="I1216" s="817"/>
      <c r="J1216" s="812"/>
      <c r="K1216" s="848" t="s">
        <v>3191</v>
      </c>
      <c r="L1216" s="806" t="s">
        <v>10137</v>
      </c>
      <c r="M1216" s="806" t="s">
        <v>2763</v>
      </c>
      <c r="N1216" s="837">
        <v>46030.0</v>
      </c>
      <c r="O1216" s="803"/>
    </row>
    <row r="1217" ht="15.0" customHeight="1">
      <c r="A1217" s="786">
        <v>46022.0</v>
      </c>
      <c r="B1217" s="787" t="s">
        <v>10604</v>
      </c>
      <c r="C1217" s="819" t="s">
        <v>79</v>
      </c>
      <c r="D1217" s="816" t="s">
        <v>4017</v>
      </c>
      <c r="E1217" s="790" t="str">
        <f>IFERROR(VLOOKUP(D1217,Stock,3,FALSE),"")</f>
        <v>Black Phantom Solar Gard</v>
      </c>
      <c r="F1217" s="788">
        <v>1.0</v>
      </c>
      <c r="G1217" s="860">
        <v>1125000.0</v>
      </c>
      <c r="H1217" s="799">
        <f t="shared" si="7"/>
        <v>1125000</v>
      </c>
      <c r="I1217" s="800"/>
      <c r="J1217" s="812"/>
      <c r="K1217" s="848" t="s">
        <v>3191</v>
      </c>
      <c r="L1217" s="806" t="s">
        <v>10137</v>
      </c>
      <c r="M1217" s="806" t="s">
        <v>2763</v>
      </c>
      <c r="N1217" s="837">
        <v>46030.0</v>
      </c>
      <c r="O1217" s="803"/>
    </row>
    <row r="1218" ht="15.0" customHeight="1">
      <c r="A1218" s="834">
        <v>46029.0</v>
      </c>
      <c r="B1218" s="603" t="s">
        <v>10605</v>
      </c>
      <c r="C1218" s="822" t="s">
        <v>10139</v>
      </c>
      <c r="D1218" s="109" t="s">
        <v>7286</v>
      </c>
      <c r="E1218" s="594" t="str">
        <f>IFERROR(VLOOKUP(D1218,Stock,3,FALSE),"")</f>
        <v>Honda HR-V 14-21 5D SUV</v>
      </c>
      <c r="F1218" s="822">
        <v>1.0</v>
      </c>
      <c r="G1218" s="756">
        <v>360000.0</v>
      </c>
      <c r="H1218" s="824">
        <f t="shared" si="7"/>
        <v>360000</v>
      </c>
      <c r="I1218" s="825"/>
      <c r="J1218" s="826"/>
      <c r="K1218" s="850" t="s">
        <v>3191</v>
      </c>
    </row>
    <row r="1219" ht="15.0" customHeight="1">
      <c r="A1219" s="786">
        <v>46030.0</v>
      </c>
      <c r="B1219" s="787">
        <v>2601245.0</v>
      </c>
      <c r="C1219" s="788" t="s">
        <v>10136</v>
      </c>
      <c r="D1219" s="851" t="s">
        <v>3686</v>
      </c>
      <c r="E1219" s="790" t="str">
        <f>IFERROR(VLOOKUP(D1219,Stock,3,FALSE),"")</f>
        <v>Honda Jazz 01-07 1st Gen</v>
      </c>
      <c r="F1219" s="788">
        <v>2.0</v>
      </c>
      <c r="G1219" s="860">
        <v>551650.0</v>
      </c>
      <c r="H1219" s="799">
        <f t="shared" si="7"/>
        <v>1103300</v>
      </c>
      <c r="I1219" s="800"/>
      <c r="J1219" s="812"/>
      <c r="K1219" s="848" t="s">
        <v>3191</v>
      </c>
      <c r="L1219" s="806" t="s">
        <v>10137</v>
      </c>
      <c r="M1219" s="806" t="s">
        <v>2763</v>
      </c>
      <c r="N1219" s="837">
        <v>46083.0</v>
      </c>
      <c r="O1219" s="803"/>
    </row>
    <row r="1220" ht="15.0" customHeight="1">
      <c r="A1220" s="834">
        <v>46030.0</v>
      </c>
      <c r="B1220" s="603" t="s">
        <v>10606</v>
      </c>
      <c r="C1220" s="822" t="s">
        <v>10139</v>
      </c>
      <c r="D1220" s="109" t="s">
        <v>7379</v>
      </c>
      <c r="E1220" s="594" t="str">
        <f>IFERROR(VLOOKUP(D1220,Stock,3,FALSE),"")</f>
        <v>Nissan X-Trail 07-13 T31</v>
      </c>
      <c r="F1220" s="822">
        <v>1.0</v>
      </c>
      <c r="G1220" s="756">
        <v>342900.0</v>
      </c>
      <c r="H1220" s="824">
        <f t="shared" si="7"/>
        <v>342900</v>
      </c>
      <c r="I1220" s="825"/>
      <c r="J1220" s="826"/>
      <c r="K1220" s="850" t="s">
        <v>9900</v>
      </c>
    </row>
    <row r="1221" ht="15.0" customHeight="1">
      <c r="A1221" s="834">
        <v>46031.0</v>
      </c>
      <c r="B1221" s="603" t="s">
        <v>10607</v>
      </c>
      <c r="C1221" s="822" t="s">
        <v>10139</v>
      </c>
      <c r="D1221" s="109" t="s">
        <v>7350</v>
      </c>
      <c r="E1221" s="594" t="str">
        <f>IFERROR(VLOOKUP(D1221,Stock,3,FALSE),"")</f>
        <v>Mazda 2 09-14 3rd Gen Hatchback</v>
      </c>
      <c r="F1221" s="822">
        <v>1.0</v>
      </c>
      <c r="G1221" s="756">
        <v>440775.0</v>
      </c>
      <c r="H1221" s="824">
        <f t="shared" si="7"/>
        <v>440775</v>
      </c>
      <c r="I1221" s="825"/>
      <c r="J1221" s="826"/>
      <c r="K1221" s="850" t="s">
        <v>9900</v>
      </c>
    </row>
    <row r="1222" ht="15.0" customHeight="1">
      <c r="A1222" s="786">
        <v>46031.0</v>
      </c>
      <c r="B1222" s="787">
        <v>2601294.0</v>
      </c>
      <c r="C1222" s="788" t="s">
        <v>10136</v>
      </c>
      <c r="D1222" s="851" t="s">
        <v>7335</v>
      </c>
      <c r="E1222" s="790" t="str">
        <f>IFERROR(VLOOKUP(D1222,Stock,3,FALSE),"")</f>
        <v>Nissan March 10- K13</v>
      </c>
      <c r="F1222" s="788">
        <v>1.0</v>
      </c>
      <c r="G1222" s="860">
        <v>123200.0</v>
      </c>
      <c r="H1222" s="799">
        <f t="shared" si="7"/>
        <v>123200</v>
      </c>
      <c r="I1222" s="800"/>
      <c r="J1222" s="812"/>
      <c r="K1222" s="848" t="s">
        <v>9900</v>
      </c>
      <c r="L1222" s="806" t="s">
        <v>10137</v>
      </c>
      <c r="M1222" s="806" t="s">
        <v>2763</v>
      </c>
      <c r="N1222" s="837">
        <v>46083.0</v>
      </c>
      <c r="O1222" s="803"/>
    </row>
    <row r="1223" ht="15.0" customHeight="1">
      <c r="A1223" s="786">
        <v>46031.0</v>
      </c>
      <c r="B1223" s="787">
        <v>2601298.0</v>
      </c>
      <c r="C1223" s="788" t="s">
        <v>10136</v>
      </c>
      <c r="D1223" s="851" t="s">
        <v>5825</v>
      </c>
      <c r="E1223" s="790" t="str">
        <f>IFERROR(VLOOKUP(D1223,Stock,3,FALSE),"")</f>
        <v>Toyota Alphard 18- ANH30 3rd Gen (2 Sensor / □Δ )</v>
      </c>
      <c r="F1223" s="788">
        <v>1.0</v>
      </c>
      <c r="G1223" s="860">
        <v>2278100.0</v>
      </c>
      <c r="H1223" s="799">
        <f t="shared" si="7"/>
        <v>2278100</v>
      </c>
      <c r="I1223" s="800"/>
      <c r="J1223" s="812"/>
      <c r="K1223" s="848" t="s">
        <v>9900</v>
      </c>
      <c r="L1223" s="806" t="s">
        <v>10137</v>
      </c>
      <c r="M1223" s="806" t="s">
        <v>2763</v>
      </c>
      <c r="N1223" s="837">
        <v>46083.0</v>
      </c>
      <c r="O1223" s="803"/>
    </row>
    <row r="1224" ht="15.0" customHeight="1">
      <c r="A1224" s="786">
        <v>46001.0</v>
      </c>
      <c r="B1224" s="787" t="s">
        <v>10608</v>
      </c>
      <c r="C1224" s="788" t="s">
        <v>10573</v>
      </c>
      <c r="D1224" s="851" t="s">
        <v>6735</v>
      </c>
      <c r="E1224" s="790" t="str">
        <f>IFERROR(VLOOKUP(D1224,Stock,3,FALSE),"")</f>
        <v>DFSK Glory 560 19- (DFSK)</v>
      </c>
      <c r="F1224" s="788">
        <v>1.0</v>
      </c>
      <c r="G1224" s="860">
        <v>2476410.0</v>
      </c>
      <c r="H1224" s="799">
        <f t="shared" si="7"/>
        <v>2476410</v>
      </c>
      <c r="I1224" s="800"/>
      <c r="J1224" s="812"/>
      <c r="K1224" s="813"/>
      <c r="L1224" s="806" t="s">
        <v>10137</v>
      </c>
      <c r="M1224" s="806" t="s">
        <v>10502</v>
      </c>
      <c r="N1224" s="837">
        <v>46034.0</v>
      </c>
      <c r="O1224" s="803"/>
    </row>
    <row r="1225" ht="15.0" customHeight="1">
      <c r="A1225" s="834">
        <v>45667.0</v>
      </c>
      <c r="B1225" s="603" t="s">
        <v>10609</v>
      </c>
      <c r="C1225" s="822" t="s">
        <v>10139</v>
      </c>
      <c r="D1225" s="109" t="s">
        <v>4312</v>
      </c>
      <c r="E1225" s="594" t="str">
        <f>IFERROR(VLOOKUP(D1225,Stock,3,FALSE),"")</f>
        <v>Toyota Rush / Terios 06-17</v>
      </c>
      <c r="F1225" s="822">
        <v>1.0</v>
      </c>
      <c r="G1225" s="756">
        <v>230000.0</v>
      </c>
      <c r="H1225" s="824">
        <f t="shared" si="7"/>
        <v>230000</v>
      </c>
      <c r="I1225" s="825"/>
      <c r="J1225" s="826"/>
      <c r="K1225" s="850" t="s">
        <v>3481</v>
      </c>
    </row>
    <row r="1226" ht="15.0" customHeight="1">
      <c r="A1226" s="786">
        <v>45666.0</v>
      </c>
      <c r="B1226" s="787" t="s">
        <v>10610</v>
      </c>
      <c r="C1226" s="788" t="s">
        <v>10148</v>
      </c>
      <c r="D1226" s="851" t="s">
        <v>4226</v>
      </c>
      <c r="E1226" s="790" t="str">
        <f>IFERROR(VLOOKUP(D1226,Stock,3,FALSE),"")</f>
        <v>Honda HR-V 14-21 5D SUV (Honda)</v>
      </c>
      <c r="F1226" s="788">
        <v>1.0</v>
      </c>
      <c r="G1226" s="860"/>
      <c r="H1226" s="799">
        <f t="shared" si="7"/>
        <v>0</v>
      </c>
      <c r="I1226" s="800"/>
      <c r="J1226" s="812"/>
      <c r="K1226" s="848" t="s">
        <v>3191</v>
      </c>
      <c r="L1226" s="803"/>
      <c r="M1226" s="803"/>
      <c r="N1226" s="803"/>
      <c r="O1226" s="803"/>
    </row>
    <row r="1227" ht="15.0" customHeight="1">
      <c r="A1227" s="786">
        <v>45666.0</v>
      </c>
      <c r="B1227" s="787" t="s">
        <v>10610</v>
      </c>
      <c r="C1227" s="788" t="s">
        <v>10148</v>
      </c>
      <c r="D1227" s="851" t="s">
        <v>3354</v>
      </c>
      <c r="E1227" s="790" t="str">
        <f>IFERROR(VLOOKUP(D1227,Stock,3,FALSE),"")</f>
        <v>Honda Brio 10- / Mobilio 11- (Honda)</v>
      </c>
      <c r="F1227" s="788">
        <v>1.0</v>
      </c>
      <c r="G1227" s="860"/>
      <c r="H1227" s="799">
        <f t="shared" si="7"/>
        <v>0</v>
      </c>
      <c r="I1227" s="800"/>
      <c r="J1227" s="812"/>
      <c r="K1227" s="848" t="s">
        <v>3191</v>
      </c>
      <c r="L1227" s="803"/>
      <c r="M1227" s="803"/>
      <c r="N1227" s="803"/>
      <c r="O1227" s="803"/>
    </row>
    <row r="1228" ht="15.0" customHeight="1">
      <c r="A1228" s="786">
        <v>45668.0</v>
      </c>
      <c r="B1228" s="787" t="s">
        <v>10611</v>
      </c>
      <c r="C1228" s="788" t="s">
        <v>10139</v>
      </c>
      <c r="D1228" s="851" t="s">
        <v>7387</v>
      </c>
      <c r="E1228" s="790" t="str">
        <f>IFERROR(VLOOKUP(D1228,Stock,3,FALSE),"")</f>
        <v>Nissan Terra 18-</v>
      </c>
      <c r="F1228" s="788">
        <v>1.0</v>
      </c>
      <c r="G1228" s="860">
        <v>1350000.0</v>
      </c>
      <c r="H1228" s="799">
        <f t="shared" si="7"/>
        <v>1350000</v>
      </c>
      <c r="I1228" s="800"/>
      <c r="J1228" s="812"/>
      <c r="K1228" s="848" t="s">
        <v>3481</v>
      </c>
      <c r="L1228" s="802" t="s">
        <v>10137</v>
      </c>
      <c r="M1228" s="806" t="s">
        <v>10502</v>
      </c>
      <c r="N1228" s="837">
        <v>46033.0</v>
      </c>
      <c r="O1228" s="803"/>
    </row>
    <row r="1229" ht="15.0" customHeight="1">
      <c r="A1229" s="786">
        <v>45668.0</v>
      </c>
      <c r="B1229" s="787" t="s">
        <v>10611</v>
      </c>
      <c r="C1229" s="788" t="s">
        <v>10139</v>
      </c>
      <c r="D1229" s="851" t="s">
        <v>2962</v>
      </c>
      <c r="E1229" s="790" t="str">
        <f>IFERROR(VLOOKUP(D1229,Stock,3,FALSE),"")</f>
        <v>Lembur</v>
      </c>
      <c r="F1229" s="788">
        <v>1.0</v>
      </c>
      <c r="G1229" s="860">
        <v>100000.0</v>
      </c>
      <c r="H1229" s="799">
        <f t="shared" si="7"/>
        <v>100000</v>
      </c>
      <c r="I1229" s="800"/>
      <c r="J1229" s="812"/>
      <c r="K1229" s="848" t="s">
        <v>3481</v>
      </c>
      <c r="L1229" s="802" t="s">
        <v>10137</v>
      </c>
      <c r="M1229" s="806" t="s">
        <v>10502</v>
      </c>
      <c r="N1229" s="837">
        <v>46033.0</v>
      </c>
      <c r="O1229" s="803"/>
    </row>
    <row r="1230" ht="15.0" customHeight="1">
      <c r="A1230" s="786">
        <v>46034.0</v>
      </c>
      <c r="B1230" s="787" t="s">
        <v>10612</v>
      </c>
      <c r="C1230" s="788" t="s">
        <v>2643</v>
      </c>
      <c r="D1230" s="851" t="s">
        <v>3424</v>
      </c>
      <c r="E1230" s="790" t="str">
        <f>IFERROR(VLOOKUP(D1230,Stock,3,FALSE),"")</f>
        <v>Mitsubishi Xpander 22-  (Mitsubishi)</v>
      </c>
      <c r="F1230" s="788">
        <v>2.0</v>
      </c>
      <c r="G1230" s="860">
        <v>506350.0</v>
      </c>
      <c r="H1230" s="799">
        <f t="shared" si="7"/>
        <v>1012700</v>
      </c>
      <c r="I1230" s="800"/>
      <c r="J1230" s="812"/>
      <c r="K1230" s="848" t="s">
        <v>3191</v>
      </c>
      <c r="L1230" s="806" t="s">
        <v>10137</v>
      </c>
      <c r="M1230" s="806" t="s">
        <v>2763</v>
      </c>
      <c r="N1230" s="837">
        <v>46112.0</v>
      </c>
      <c r="O1230" s="803"/>
    </row>
    <row r="1231" ht="15.0" customHeight="1">
      <c r="A1231" s="786">
        <v>46031.0</v>
      </c>
      <c r="B1231" s="787" t="s">
        <v>10613</v>
      </c>
      <c r="C1231" s="788" t="s">
        <v>10300</v>
      </c>
      <c r="D1231" s="851" t="s">
        <v>7312</v>
      </c>
      <c r="E1231" s="790" t="str">
        <f>IFERROR(VLOOKUP(D1231,Stock,3,FALSE),"")</f>
        <v>Toyota Camry 11-18 XV50 5th Gen (Mitsubishi)</v>
      </c>
      <c r="F1231" s="788">
        <v>1.0</v>
      </c>
      <c r="G1231" s="860">
        <v>2424600.0</v>
      </c>
      <c r="H1231" s="799">
        <f t="shared" si="7"/>
        <v>2424600</v>
      </c>
      <c r="I1231" s="800"/>
      <c r="J1231" s="812"/>
      <c r="K1231" s="848" t="s">
        <v>3191</v>
      </c>
      <c r="L1231" s="802" t="s">
        <v>10137</v>
      </c>
      <c r="M1231" s="806" t="s">
        <v>10502</v>
      </c>
      <c r="N1231" s="837">
        <v>46034.0</v>
      </c>
      <c r="O1231" s="803"/>
    </row>
    <row r="1232" ht="15.0" customHeight="1">
      <c r="A1232" s="786">
        <v>46035.0</v>
      </c>
      <c r="B1232" s="787" t="s">
        <v>10614</v>
      </c>
      <c r="C1232" s="788" t="s">
        <v>10139</v>
      </c>
      <c r="D1232" s="851" t="s">
        <v>7417</v>
      </c>
      <c r="E1232" s="790" t="str">
        <f>IFERROR(VLOOKUP(D1232,Stock,3,FALSE),"")</f>
        <v>Toyota Altis 00-06 E120/130 9th Gen</v>
      </c>
      <c r="F1232" s="788">
        <v>1.0</v>
      </c>
      <c r="G1232" s="860">
        <v>1012500.0</v>
      </c>
      <c r="H1232" s="799">
        <f t="shared" si="7"/>
        <v>1012500</v>
      </c>
      <c r="I1232" s="800"/>
      <c r="J1232" s="812"/>
      <c r="K1232" s="806" t="s">
        <v>10137</v>
      </c>
      <c r="L1232" s="802" t="s">
        <v>10137</v>
      </c>
      <c r="M1232" s="806" t="s">
        <v>10502</v>
      </c>
      <c r="N1232" s="837">
        <v>46035.0</v>
      </c>
      <c r="O1232" s="803"/>
    </row>
    <row r="1233" ht="15.0" customHeight="1">
      <c r="A1233" s="786">
        <v>46035.0</v>
      </c>
      <c r="B1233" s="787" t="s">
        <v>10614</v>
      </c>
      <c r="C1233" s="788" t="s">
        <v>10139</v>
      </c>
      <c r="D1233" s="851" t="s">
        <v>8536</v>
      </c>
      <c r="E1233" s="790" t="str">
        <f>IFERROR(VLOOKUP(D1233,Stock,3,FALSE),"")</f>
        <v>Toyota Voxy 22- 2nd Gen (Hitam)</v>
      </c>
      <c r="F1233" s="788">
        <v>1.0</v>
      </c>
      <c r="G1233" s="860">
        <v>1957500.0</v>
      </c>
      <c r="H1233" s="799">
        <f t="shared" si="7"/>
        <v>1957500</v>
      </c>
      <c r="I1233" s="800"/>
      <c r="J1233" s="812"/>
      <c r="K1233" s="806" t="s">
        <v>10137</v>
      </c>
      <c r="L1233" s="802" t="s">
        <v>10137</v>
      </c>
      <c r="M1233" s="806" t="s">
        <v>10502</v>
      </c>
      <c r="N1233" s="837">
        <v>46035.0</v>
      </c>
      <c r="O1233" s="803"/>
    </row>
    <row r="1234" ht="15.0" customHeight="1">
      <c r="A1234" s="786">
        <v>46034.0</v>
      </c>
      <c r="B1234" s="787">
        <v>2601374.0</v>
      </c>
      <c r="C1234" s="788" t="s">
        <v>10136</v>
      </c>
      <c r="D1234" s="851" t="s">
        <v>7400</v>
      </c>
      <c r="E1234" s="790" t="str">
        <f>IFERROR(VLOOKUP(D1234,Stock,3,FALSE),"")</f>
        <v>Hyundai Accent Verna / Avega 01-12 Sedan</v>
      </c>
      <c r="F1234" s="788">
        <v>1.0</v>
      </c>
      <c r="G1234" s="860">
        <v>667150.0</v>
      </c>
      <c r="H1234" s="799">
        <f t="shared" si="7"/>
        <v>667150</v>
      </c>
      <c r="I1234" s="800"/>
      <c r="J1234" s="812"/>
      <c r="K1234" s="848" t="s">
        <v>3481</v>
      </c>
      <c r="L1234" s="806" t="s">
        <v>10137</v>
      </c>
      <c r="M1234" s="806" t="s">
        <v>2763</v>
      </c>
      <c r="N1234" s="837">
        <v>46114.0</v>
      </c>
      <c r="O1234" s="803"/>
    </row>
    <row r="1235" ht="15.0" customHeight="1">
      <c r="A1235" s="834">
        <v>46036.0</v>
      </c>
      <c r="B1235" s="603" t="s">
        <v>10615</v>
      </c>
      <c r="C1235" s="822" t="s">
        <v>10139</v>
      </c>
      <c r="D1235" s="109" t="s">
        <v>7432</v>
      </c>
      <c r="E1235" s="594" t="str">
        <f>IFERROR(VLOOKUP(D1235,Stock,3,FALSE),"")</f>
        <v>Nissan Serena  99-10 C24</v>
      </c>
      <c r="F1235" s="822">
        <v>1.0</v>
      </c>
      <c r="G1235" s="756">
        <v>395000.0</v>
      </c>
      <c r="H1235" s="824">
        <f t="shared" si="7"/>
        <v>395000</v>
      </c>
      <c r="I1235" s="825"/>
      <c r="J1235" s="826"/>
      <c r="K1235" s="850" t="s">
        <v>3481</v>
      </c>
    </row>
    <row r="1236" ht="15.0" customHeight="1">
      <c r="A1236" s="834">
        <v>46037.0</v>
      </c>
      <c r="B1236" s="603" t="s">
        <v>10616</v>
      </c>
      <c r="C1236" s="822" t="s">
        <v>10139</v>
      </c>
      <c r="D1236" s="109" t="s">
        <v>7451</v>
      </c>
      <c r="E1236" s="594" t="str">
        <f>IFERROR(VLOOKUP(D1236,Stock,3,FALSE),"")</f>
        <v>Toyota Innova 04-15 1st Gen</v>
      </c>
      <c r="F1236" s="822">
        <v>1.0</v>
      </c>
      <c r="G1236" s="756">
        <v>440000.0</v>
      </c>
      <c r="H1236" s="824">
        <f t="shared" si="7"/>
        <v>440000</v>
      </c>
      <c r="I1236" s="825"/>
      <c r="J1236" s="826"/>
      <c r="K1236" s="850" t="s">
        <v>3481</v>
      </c>
    </row>
    <row r="1237" ht="15.0" customHeight="1">
      <c r="A1237" s="786">
        <v>46035.0</v>
      </c>
      <c r="B1237" s="787" t="s">
        <v>10617</v>
      </c>
      <c r="C1237" s="788" t="s">
        <v>10148</v>
      </c>
      <c r="D1237" s="851" t="s">
        <v>5680</v>
      </c>
      <c r="E1237" s="790" t="str">
        <f>IFERROR(VLOOKUP(D1237,Stock,3,FALSE),"")</f>
        <v>Suzuki Wagon R 12-</v>
      </c>
      <c r="F1237" s="788">
        <v>1.0</v>
      </c>
      <c r="G1237" s="860"/>
      <c r="H1237" s="799">
        <f t="shared" si="7"/>
        <v>0</v>
      </c>
      <c r="I1237" s="800"/>
      <c r="J1237" s="812"/>
      <c r="K1237" s="848" t="s">
        <v>3191</v>
      </c>
      <c r="L1237" s="803"/>
      <c r="M1237" s="803"/>
      <c r="N1237" s="803"/>
      <c r="O1237" s="803"/>
    </row>
    <row r="1238" ht="15.0" customHeight="1">
      <c r="A1238" s="786">
        <v>46035.0</v>
      </c>
      <c r="B1238" s="787" t="s">
        <v>10617</v>
      </c>
      <c r="C1238" s="788" t="s">
        <v>10148</v>
      </c>
      <c r="D1238" s="851" t="s">
        <v>3354</v>
      </c>
      <c r="E1238" s="790" t="str">
        <f>IFERROR(VLOOKUP(D1238,Stock,3,FALSE),"")</f>
        <v>Honda Brio 10- / Mobilio 11- (Honda)</v>
      </c>
      <c r="F1238" s="788">
        <v>1.0</v>
      </c>
      <c r="G1238" s="860"/>
      <c r="H1238" s="799">
        <f t="shared" si="7"/>
        <v>0</v>
      </c>
      <c r="I1238" s="800"/>
      <c r="J1238" s="812"/>
      <c r="K1238" s="848" t="s">
        <v>3191</v>
      </c>
      <c r="L1238" s="803"/>
      <c r="M1238" s="803"/>
      <c r="N1238" s="803"/>
      <c r="O1238" s="803"/>
    </row>
    <row r="1239" ht="15.0" customHeight="1">
      <c r="A1239" s="786">
        <v>46036.0</v>
      </c>
      <c r="B1239" s="787" t="s">
        <v>10618</v>
      </c>
      <c r="C1239" s="788" t="s">
        <v>2643</v>
      </c>
      <c r="D1239" s="851" t="s">
        <v>5473</v>
      </c>
      <c r="E1239" s="790" t="str">
        <f>IFERROR(VLOOKUP(D1239,Stock,3,FALSE),"")</f>
        <v>Honda HR-V 14-21 5D SUV (Honda)</v>
      </c>
      <c r="F1239" s="788">
        <v>1.0</v>
      </c>
      <c r="G1239" s="860">
        <v>424908.0</v>
      </c>
      <c r="H1239" s="799">
        <f t="shared" si="7"/>
        <v>424908</v>
      </c>
      <c r="I1239" s="800"/>
      <c r="J1239" s="812"/>
      <c r="K1239" s="848" t="s">
        <v>3191</v>
      </c>
      <c r="L1239" s="806" t="s">
        <v>10137</v>
      </c>
      <c r="M1239" s="806" t="s">
        <v>2763</v>
      </c>
      <c r="N1239" s="837">
        <v>46112.0</v>
      </c>
      <c r="O1239" s="803"/>
    </row>
    <row r="1240" ht="15.0" customHeight="1">
      <c r="A1240" s="786">
        <v>46036.0</v>
      </c>
      <c r="B1240" s="787" t="s">
        <v>10618</v>
      </c>
      <c r="C1240" s="788" t="s">
        <v>2643</v>
      </c>
      <c r="D1240" s="851" t="s">
        <v>4226</v>
      </c>
      <c r="E1240" s="790" t="str">
        <f>IFERROR(VLOOKUP(D1240,Stock,3,FALSE),"")</f>
        <v>Honda HR-V 14-21 5D SUV (Honda)</v>
      </c>
      <c r="F1240" s="788">
        <v>2.0</v>
      </c>
      <c r="G1240" s="860">
        <v>1992672.0</v>
      </c>
      <c r="H1240" s="799">
        <f t="shared" si="7"/>
        <v>3985344</v>
      </c>
      <c r="I1240" s="800"/>
      <c r="J1240" s="812"/>
      <c r="K1240" s="848" t="s">
        <v>3191</v>
      </c>
      <c r="L1240" s="806" t="s">
        <v>10137</v>
      </c>
      <c r="M1240" s="806" t="s">
        <v>2763</v>
      </c>
      <c r="N1240" s="837">
        <v>46112.0</v>
      </c>
      <c r="O1240" s="803"/>
    </row>
    <row r="1241" ht="15.0" customHeight="1">
      <c r="A1241" s="786">
        <v>46036.0</v>
      </c>
      <c r="B1241" s="787" t="s">
        <v>10618</v>
      </c>
      <c r="C1241" s="788" t="s">
        <v>2643</v>
      </c>
      <c r="D1241" s="851" t="s">
        <v>3354</v>
      </c>
      <c r="E1241" s="790" t="str">
        <f>IFERROR(VLOOKUP(D1241,Stock,3,FALSE),"")</f>
        <v>Honda Brio 10- / Mobilio 11- (Honda)</v>
      </c>
      <c r="F1241" s="788">
        <v>3.0</v>
      </c>
      <c r="G1241" s="860">
        <v>717948.0</v>
      </c>
      <c r="H1241" s="799">
        <f t="shared" si="7"/>
        <v>2153844</v>
      </c>
      <c r="I1241" s="800"/>
      <c r="J1241" s="812"/>
      <c r="K1241" s="848" t="s">
        <v>3191</v>
      </c>
      <c r="L1241" s="806" t="s">
        <v>10137</v>
      </c>
      <c r="M1241" s="806" t="s">
        <v>2763</v>
      </c>
      <c r="N1241" s="837">
        <v>46112.0</v>
      </c>
      <c r="O1241" s="803"/>
    </row>
    <row r="1242" ht="15.0" customHeight="1">
      <c r="A1242" s="834">
        <v>46037.0</v>
      </c>
      <c r="B1242" s="603" t="s">
        <v>10619</v>
      </c>
      <c r="C1242" s="822" t="s">
        <v>10139</v>
      </c>
      <c r="D1242" s="109" t="s">
        <v>5007</v>
      </c>
      <c r="E1242" s="594" t="str">
        <f>IFERROR(VLOOKUP(D1242,Stock,3,FALSE),"")</f>
        <v>Toyota Hi-Ace 04-20 Commuter (Clear)</v>
      </c>
      <c r="F1242" s="822">
        <v>1.0</v>
      </c>
      <c r="G1242" s="756">
        <v>1509975.0</v>
      </c>
      <c r="H1242" s="824">
        <f t="shared" si="7"/>
        <v>1509975</v>
      </c>
      <c r="I1242" s="825"/>
      <c r="J1242" s="826"/>
      <c r="K1242" s="850" t="s">
        <v>3481</v>
      </c>
    </row>
    <row r="1243" ht="15.0" customHeight="1">
      <c r="A1243" s="834">
        <v>46037.0</v>
      </c>
      <c r="B1243" s="603" t="s">
        <v>10620</v>
      </c>
      <c r="C1243" s="822" t="s">
        <v>10139</v>
      </c>
      <c r="D1243" s="109" t="s">
        <v>7457</v>
      </c>
      <c r="E1243" s="594" t="str">
        <f>IFERROR(VLOOKUP(D1243,Stock,3,FALSE),"")</f>
        <v>Chevrolet Spin 12- (Chevrolet)</v>
      </c>
      <c r="F1243" s="822">
        <v>1.0</v>
      </c>
      <c r="G1243" s="756">
        <v>885000.0</v>
      </c>
      <c r="H1243" s="824">
        <f t="shared" si="7"/>
        <v>885000</v>
      </c>
      <c r="I1243" s="825"/>
      <c r="J1243" s="826"/>
      <c r="K1243" s="850" t="s">
        <v>3481</v>
      </c>
    </row>
    <row r="1244" ht="15.0" customHeight="1">
      <c r="A1244" s="834">
        <v>46037.0</v>
      </c>
      <c r="B1244" s="603" t="s">
        <v>10620</v>
      </c>
      <c r="C1244" s="822" t="s">
        <v>10139</v>
      </c>
      <c r="D1244" s="109" t="s">
        <v>2962</v>
      </c>
      <c r="E1244" s="594" t="str">
        <f>IFERROR(VLOOKUP(D1244,Stock,3,FALSE),"")</f>
        <v>Lembur</v>
      </c>
      <c r="F1244" s="822">
        <v>1.0</v>
      </c>
      <c r="G1244" s="756">
        <v>100000.0</v>
      </c>
      <c r="H1244" s="824">
        <f t="shared" si="7"/>
        <v>100000</v>
      </c>
      <c r="I1244" s="825"/>
      <c r="J1244" s="826"/>
      <c r="K1244" s="850" t="s">
        <v>3481</v>
      </c>
    </row>
    <row r="1245" ht="15.0" customHeight="1">
      <c r="A1245" s="834">
        <v>46038.0</v>
      </c>
      <c r="B1245" s="603" t="s">
        <v>10621</v>
      </c>
      <c r="C1245" s="822" t="s">
        <v>10139</v>
      </c>
      <c r="D1245" s="109" t="s">
        <v>7488</v>
      </c>
      <c r="E1245" s="594" t="str">
        <f>IFERROR(VLOOKUP(D1245,Stock,3,FALSE),"")</f>
        <v>Mitsubishi Kuda 99-06</v>
      </c>
      <c r="F1245" s="822">
        <v>1.0</v>
      </c>
      <c r="G1245" s="756">
        <v>220000.0</v>
      </c>
      <c r="H1245" s="824">
        <f t="shared" si="7"/>
        <v>220000</v>
      </c>
      <c r="I1245" s="825"/>
      <c r="J1245" s="826"/>
      <c r="K1245" s="850" t="s">
        <v>3481</v>
      </c>
    </row>
    <row r="1246" ht="15.0" customHeight="1">
      <c r="A1246" s="834">
        <v>46038.0</v>
      </c>
      <c r="B1246" s="603" t="s">
        <v>10621</v>
      </c>
      <c r="C1246" s="822" t="s">
        <v>10139</v>
      </c>
      <c r="D1246" s="109" t="s">
        <v>7480</v>
      </c>
      <c r="E1246" s="594" t="str">
        <f>IFERROR(VLOOKUP(D1246,Stock,3,FALSE),"")</f>
        <v>Suzuki Swift 04-11 1st Gen</v>
      </c>
      <c r="F1246" s="822">
        <v>1.0</v>
      </c>
      <c r="G1246" s="756">
        <v>873450.0</v>
      </c>
      <c r="H1246" s="824">
        <f t="shared" si="7"/>
        <v>873450</v>
      </c>
      <c r="I1246" s="825"/>
      <c r="J1246" s="826"/>
      <c r="K1246" s="850" t="s">
        <v>3481</v>
      </c>
    </row>
    <row r="1247" ht="15.0" customHeight="1">
      <c r="A1247" s="834">
        <v>46038.0</v>
      </c>
      <c r="B1247" s="603" t="s">
        <v>10621</v>
      </c>
      <c r="C1247" s="822" t="s">
        <v>10139</v>
      </c>
      <c r="D1247" s="109" t="s">
        <v>4418</v>
      </c>
      <c r="E1247" s="594" t="str">
        <f>IFERROR(VLOOKUP(D1247,Stock,3,FALSE),"")</f>
        <v>Isuzu Elf 93- NKR NHR</v>
      </c>
      <c r="F1247" s="822">
        <v>1.0</v>
      </c>
      <c r="G1247" s="756">
        <v>616950.0</v>
      </c>
      <c r="H1247" s="824">
        <f t="shared" si="7"/>
        <v>616950</v>
      </c>
      <c r="I1247" s="825"/>
      <c r="J1247" s="826"/>
      <c r="K1247" s="850" t="s">
        <v>3481</v>
      </c>
    </row>
    <row r="1248" ht="15.0" customHeight="1">
      <c r="A1248" s="834">
        <v>46038.0</v>
      </c>
      <c r="B1248" s="603" t="s">
        <v>10621</v>
      </c>
      <c r="C1248" s="822" t="s">
        <v>10139</v>
      </c>
      <c r="D1248" s="109" t="s">
        <v>7493</v>
      </c>
      <c r="E1248" s="594" t="str">
        <f>IFERROR(VLOOKUP(D1248,Stock,3,FALSE),"")</f>
        <v>BMW X1 Series 09-14 E84</v>
      </c>
      <c r="F1248" s="822">
        <v>1.0</v>
      </c>
      <c r="G1248" s="756">
        <v>1952100.0</v>
      </c>
      <c r="H1248" s="824">
        <f t="shared" si="7"/>
        <v>1952100</v>
      </c>
      <c r="I1248" s="825"/>
      <c r="J1248" s="826"/>
      <c r="K1248" s="850" t="s">
        <v>3481</v>
      </c>
    </row>
    <row r="1249" ht="15.0" customHeight="1">
      <c r="A1249" s="834">
        <v>46038.0</v>
      </c>
      <c r="B1249" s="603" t="s">
        <v>10622</v>
      </c>
      <c r="C1249" s="822" t="s">
        <v>10139</v>
      </c>
      <c r="D1249" s="109" t="s">
        <v>7492</v>
      </c>
      <c r="E1249" s="594" t="str">
        <f>IFERROR(VLOOKUP(D1249,Stock,3,FALSE),"")</f>
        <v>Mitsubishi Grandis 03-11 EZ45/NA4W</v>
      </c>
      <c r="F1249" s="822">
        <v>1.0</v>
      </c>
      <c r="G1249" s="756">
        <v>2616000.0</v>
      </c>
      <c r="H1249" s="824">
        <f t="shared" si="7"/>
        <v>2616000</v>
      </c>
      <c r="I1249" s="825"/>
      <c r="J1249" s="826"/>
      <c r="K1249" s="850" t="s">
        <v>3481</v>
      </c>
    </row>
    <row r="1250" ht="15.0" customHeight="1">
      <c r="A1250" s="834">
        <v>46038.0</v>
      </c>
      <c r="B1250" s="603" t="s">
        <v>10622</v>
      </c>
      <c r="C1250" s="822" t="s">
        <v>10139</v>
      </c>
      <c r="D1250" s="109" t="s">
        <v>3434</v>
      </c>
      <c r="E1250" s="594" t="str">
        <f>IFERROR(VLOOKUP(D1250,Stock,3,FALSE),"")</f>
        <v>List Kaca Depan Code 04</v>
      </c>
      <c r="F1250" s="822">
        <v>10.0</v>
      </c>
      <c r="G1250" s="756">
        <v>65000.0</v>
      </c>
      <c r="H1250" s="824">
        <f t="shared" si="7"/>
        <v>650000</v>
      </c>
      <c r="I1250" s="825"/>
      <c r="J1250" s="826"/>
      <c r="K1250" s="850" t="s">
        <v>3481</v>
      </c>
    </row>
    <row r="1251" ht="15.0" customHeight="1">
      <c r="A1251" s="786">
        <v>46037.0</v>
      </c>
      <c r="B1251" s="787">
        <v>2601511.0</v>
      </c>
      <c r="C1251" s="788" t="s">
        <v>10136</v>
      </c>
      <c r="D1251" s="851" t="s">
        <v>5313</v>
      </c>
      <c r="E1251" s="790" t="str">
        <f>IFERROR(VLOOKUP(D1251,Stock,3,FALSE),"")</f>
        <v>Toyota Yaris 05-13 XP90 1st Gen</v>
      </c>
      <c r="F1251" s="788">
        <v>1.0</v>
      </c>
      <c r="G1251" s="860">
        <v>659450.0</v>
      </c>
      <c r="H1251" s="799">
        <f t="shared" si="7"/>
        <v>659450</v>
      </c>
      <c r="I1251" s="800"/>
      <c r="J1251" s="812"/>
      <c r="K1251" s="848" t="s">
        <v>3481</v>
      </c>
      <c r="L1251" s="806" t="s">
        <v>10137</v>
      </c>
      <c r="M1251" s="806" t="s">
        <v>2763</v>
      </c>
      <c r="N1251" s="837">
        <v>46114.0</v>
      </c>
      <c r="O1251" s="803"/>
    </row>
    <row r="1252" ht="15.0" customHeight="1">
      <c r="A1252" s="786">
        <v>46037.0</v>
      </c>
      <c r="B1252" s="787">
        <v>2601511.0</v>
      </c>
      <c r="C1252" s="788" t="s">
        <v>10136</v>
      </c>
      <c r="D1252" s="851" t="s">
        <v>7517</v>
      </c>
      <c r="E1252" s="790" t="str">
        <f>IFERROR(VLOOKUP(D1252,Stock,3,FALSE),"")</f>
        <v>Mitsubishi Xpander 17-21</v>
      </c>
      <c r="F1252" s="788">
        <v>1.0</v>
      </c>
      <c r="G1252" s="860">
        <v>330000.0</v>
      </c>
      <c r="H1252" s="799">
        <f t="shared" si="7"/>
        <v>330000</v>
      </c>
      <c r="I1252" s="800"/>
      <c r="J1252" s="812"/>
      <c r="K1252" s="848" t="s">
        <v>3481</v>
      </c>
      <c r="L1252" s="806" t="s">
        <v>10137</v>
      </c>
      <c r="M1252" s="806" t="s">
        <v>2763</v>
      </c>
      <c r="N1252" s="837">
        <v>46114.0</v>
      </c>
      <c r="O1252" s="803"/>
    </row>
    <row r="1253" ht="15.0" customHeight="1">
      <c r="A1253" s="786">
        <v>46041.0</v>
      </c>
      <c r="B1253" s="787" t="s">
        <v>10623</v>
      </c>
      <c r="C1253" s="788" t="s">
        <v>10139</v>
      </c>
      <c r="D1253" s="851" t="s">
        <v>7476</v>
      </c>
      <c r="E1253" s="790" t="str">
        <f>IFERROR(VLOOKUP(D1253,Stock,3,FALSE),"")</f>
        <v>Suzuki APV 03- Pickup/ Van (MULIA)</v>
      </c>
      <c r="F1253" s="788">
        <v>10.0</v>
      </c>
      <c r="G1253" s="860">
        <v>483516.0</v>
      </c>
      <c r="H1253" s="799">
        <f t="shared" si="7"/>
        <v>4835160</v>
      </c>
      <c r="I1253" s="800"/>
      <c r="J1253" s="812"/>
      <c r="K1253" s="848" t="s">
        <v>3191</v>
      </c>
      <c r="L1253" s="806" t="s">
        <v>10137</v>
      </c>
      <c r="M1253" s="806" t="s">
        <v>2763</v>
      </c>
      <c r="N1253" s="837">
        <v>46072.0</v>
      </c>
      <c r="O1253" s="803"/>
    </row>
    <row r="1254" ht="15.0" customHeight="1">
      <c r="A1254" s="786">
        <v>46041.0</v>
      </c>
      <c r="B1254" s="787" t="s">
        <v>10623</v>
      </c>
      <c r="C1254" s="788" t="s">
        <v>10139</v>
      </c>
      <c r="D1254" s="851" t="s">
        <v>3234</v>
      </c>
      <c r="E1254" s="790" t="str">
        <f>IFERROR(VLOOKUP(D1254,Stock,3,FALSE),"")</f>
        <v>Toyota Avanza / Xenia 21- 4th Gen (Non sensor)</v>
      </c>
      <c r="F1254" s="788">
        <v>10.0</v>
      </c>
      <c r="G1254" s="860">
        <v>604395.0</v>
      </c>
      <c r="H1254" s="799">
        <f t="shared" si="7"/>
        <v>6043950</v>
      </c>
      <c r="I1254" s="800"/>
      <c r="J1254" s="812"/>
      <c r="K1254" s="848" t="s">
        <v>3191</v>
      </c>
      <c r="L1254" s="806" t="s">
        <v>10137</v>
      </c>
      <c r="M1254" s="806" t="s">
        <v>2763</v>
      </c>
      <c r="N1254" s="837">
        <v>46072.0</v>
      </c>
      <c r="O1254" s="803"/>
    </row>
    <row r="1255" ht="15.0" customHeight="1">
      <c r="A1255" s="786">
        <v>46041.0</v>
      </c>
      <c r="B1255" s="787" t="s">
        <v>10623</v>
      </c>
      <c r="C1255" s="788" t="s">
        <v>10139</v>
      </c>
      <c r="D1255" s="851" t="s">
        <v>2952</v>
      </c>
      <c r="E1255" s="790" t="str">
        <f>IFERROR(VLOOKUP(D1255,Stock,3,FALSE),"")</f>
        <v/>
      </c>
      <c r="F1255" s="788">
        <v>10.0</v>
      </c>
      <c r="G1255" s="860">
        <v>396825.0</v>
      </c>
      <c r="H1255" s="799">
        <f t="shared" si="7"/>
        <v>3968250</v>
      </c>
      <c r="I1255" s="800"/>
      <c r="J1255" s="812"/>
      <c r="K1255" s="848" t="s">
        <v>3191</v>
      </c>
      <c r="L1255" s="806" t="s">
        <v>10137</v>
      </c>
      <c r="M1255" s="806" t="s">
        <v>2763</v>
      </c>
      <c r="N1255" s="837">
        <v>46072.0</v>
      </c>
      <c r="O1255" s="803"/>
    </row>
    <row r="1256" ht="15.0" customHeight="1">
      <c r="A1256" s="786">
        <v>46041.0</v>
      </c>
      <c r="B1256" s="787" t="s">
        <v>10624</v>
      </c>
      <c r="C1256" s="788" t="s">
        <v>10139</v>
      </c>
      <c r="D1256" s="851" t="s">
        <v>3246</v>
      </c>
      <c r="E1256" s="790" t="str">
        <f>IFERROR(VLOOKUP(D1256,Stock,3,FALSE),"")</f>
        <v>Toyota Calya / Sigra 16-</v>
      </c>
      <c r="F1256" s="788">
        <v>10.0</v>
      </c>
      <c r="G1256" s="860">
        <v>449328.0</v>
      </c>
      <c r="H1256" s="799">
        <f t="shared" si="7"/>
        <v>4493280</v>
      </c>
      <c r="I1256" s="800"/>
      <c r="J1256" s="812"/>
      <c r="K1256" s="848" t="s">
        <v>3191</v>
      </c>
      <c r="L1256" s="806" t="s">
        <v>10137</v>
      </c>
      <c r="M1256" s="806" t="s">
        <v>2763</v>
      </c>
      <c r="N1256" s="837">
        <v>46072.0</v>
      </c>
      <c r="O1256" s="803"/>
    </row>
    <row r="1257" ht="15.0" customHeight="1">
      <c r="A1257" s="786">
        <v>46041.0</v>
      </c>
      <c r="B1257" s="787">
        <v>2601562.0</v>
      </c>
      <c r="C1257" s="788" t="s">
        <v>10136</v>
      </c>
      <c r="D1257" s="851" t="s">
        <v>4418</v>
      </c>
      <c r="E1257" s="790" t="str">
        <f>IFERROR(VLOOKUP(D1257,Stock,3,FALSE),"")</f>
        <v>Isuzu Elf 93- NKR NHR</v>
      </c>
      <c r="F1257" s="788">
        <v>1.0</v>
      </c>
      <c r="G1257" s="860">
        <v>502700.0</v>
      </c>
      <c r="H1257" s="799">
        <f t="shared" si="7"/>
        <v>502700</v>
      </c>
      <c r="I1257" s="800"/>
      <c r="J1257" s="812"/>
      <c r="K1257" s="848" t="s">
        <v>3481</v>
      </c>
      <c r="L1257" s="806" t="s">
        <v>10137</v>
      </c>
      <c r="M1257" s="806" t="s">
        <v>2763</v>
      </c>
      <c r="N1257" s="837">
        <v>46114.0</v>
      </c>
      <c r="O1257" s="803"/>
    </row>
    <row r="1258" ht="15.0" customHeight="1">
      <c r="A1258" s="786">
        <v>46041.0</v>
      </c>
      <c r="B1258" s="787">
        <v>2601562.0</v>
      </c>
      <c r="C1258" s="788" t="s">
        <v>10136</v>
      </c>
      <c r="D1258" s="851" t="s">
        <v>3318</v>
      </c>
      <c r="E1258" s="790" t="str">
        <f>IFERROR(VLOOKUP(D1258,Stock,3,FALSE),"")</f>
        <v>Suzuki Swift 11-17 2nd Gen</v>
      </c>
      <c r="F1258" s="788">
        <v>1.0</v>
      </c>
      <c r="G1258" s="860">
        <v>712800.0</v>
      </c>
      <c r="H1258" s="799">
        <f t="shared" si="7"/>
        <v>712800</v>
      </c>
      <c r="I1258" s="800"/>
      <c r="J1258" s="812"/>
      <c r="K1258" s="848" t="s">
        <v>3481</v>
      </c>
      <c r="L1258" s="806" t="s">
        <v>10137</v>
      </c>
      <c r="M1258" s="806" t="s">
        <v>2763</v>
      </c>
      <c r="N1258" s="837">
        <v>46114.0</v>
      </c>
      <c r="O1258" s="803"/>
    </row>
    <row r="1259" ht="15.0" customHeight="1">
      <c r="A1259" s="786">
        <v>46041.0</v>
      </c>
      <c r="B1259" s="787">
        <v>2601562.0</v>
      </c>
      <c r="C1259" s="788" t="s">
        <v>10136</v>
      </c>
      <c r="D1259" s="851" t="s">
        <v>3494</v>
      </c>
      <c r="E1259" s="790" t="str">
        <f>IFERROR(VLOOKUP(D1259,Stock,3,FALSE),"")</f>
        <v>Wuling Almaz</v>
      </c>
      <c r="F1259" s="788">
        <v>1.0</v>
      </c>
      <c r="G1259" s="860">
        <v>615450.0</v>
      </c>
      <c r="H1259" s="799">
        <f t="shared" si="7"/>
        <v>615450</v>
      </c>
      <c r="I1259" s="800"/>
      <c r="J1259" s="812"/>
      <c r="K1259" s="848" t="s">
        <v>3481</v>
      </c>
      <c r="L1259" s="806" t="s">
        <v>10137</v>
      </c>
      <c r="M1259" s="806" t="s">
        <v>2763</v>
      </c>
      <c r="N1259" s="837">
        <v>46114.0</v>
      </c>
      <c r="O1259" s="803"/>
    </row>
    <row r="1260" ht="15.0" customHeight="1">
      <c r="A1260" s="786">
        <v>46041.0</v>
      </c>
      <c r="B1260" s="787">
        <v>2601562.0</v>
      </c>
      <c r="C1260" s="788" t="s">
        <v>10136</v>
      </c>
      <c r="D1260" s="851" t="s">
        <v>3891</v>
      </c>
      <c r="E1260" s="790" t="str">
        <f>IFERROR(VLOOKUP(D1260,Stock,3,FALSE),"")</f>
        <v>Toyota Rush / Terios 06-17</v>
      </c>
      <c r="F1260" s="788">
        <v>1.0</v>
      </c>
      <c r="G1260" s="860">
        <v>387750.0</v>
      </c>
      <c r="H1260" s="799">
        <f t="shared" si="7"/>
        <v>387750</v>
      </c>
      <c r="I1260" s="800"/>
      <c r="J1260" s="812"/>
      <c r="K1260" s="848" t="s">
        <v>3481</v>
      </c>
      <c r="L1260" s="806" t="s">
        <v>10137</v>
      </c>
      <c r="M1260" s="806" t="s">
        <v>2763</v>
      </c>
      <c r="N1260" s="837">
        <v>46114.0</v>
      </c>
      <c r="O1260" s="803"/>
    </row>
    <row r="1261" ht="15.0" customHeight="1">
      <c r="A1261" s="786">
        <v>46041.0</v>
      </c>
      <c r="B1261" s="787">
        <v>2601562.0</v>
      </c>
      <c r="C1261" s="788" t="s">
        <v>10136</v>
      </c>
      <c r="D1261" s="851" t="s">
        <v>7265</v>
      </c>
      <c r="E1261" s="790" t="str">
        <f>IFERROR(VLOOKUP(D1261,Stock,3,FALSE),"")</f>
        <v>Hino Ranger Louhan 03- / Hino 500</v>
      </c>
      <c r="F1261" s="788">
        <v>1.0</v>
      </c>
      <c r="G1261" s="860">
        <v>864050.0</v>
      </c>
      <c r="H1261" s="799">
        <f t="shared" si="7"/>
        <v>864050</v>
      </c>
      <c r="I1261" s="800"/>
      <c r="J1261" s="812"/>
      <c r="K1261" s="848" t="s">
        <v>3481</v>
      </c>
      <c r="L1261" s="806" t="s">
        <v>10137</v>
      </c>
      <c r="M1261" s="806" t="s">
        <v>2763</v>
      </c>
      <c r="N1261" s="837">
        <v>46114.0</v>
      </c>
      <c r="O1261" s="803"/>
    </row>
    <row r="1262" ht="15.0" customHeight="1">
      <c r="A1262" s="786">
        <v>46041.0</v>
      </c>
      <c r="B1262" s="787">
        <v>2601562.0</v>
      </c>
      <c r="C1262" s="788" t="s">
        <v>10136</v>
      </c>
      <c r="D1262" s="851" t="s">
        <v>7495</v>
      </c>
      <c r="E1262" s="790" t="str">
        <f>IFERROR(VLOOKUP(D1262,Stock,3,FALSE),"")</f>
        <v>Mitsubishi Strada Triton 23- (Keramik Kotak Besar)</v>
      </c>
      <c r="F1262" s="788">
        <v>2.0</v>
      </c>
      <c r="G1262" s="860">
        <v>1210000.0</v>
      </c>
      <c r="H1262" s="799">
        <f t="shared" si="7"/>
        <v>2420000</v>
      </c>
      <c r="I1262" s="800"/>
      <c r="J1262" s="812"/>
      <c r="K1262" s="848" t="s">
        <v>3481</v>
      </c>
      <c r="L1262" s="806" t="s">
        <v>10137</v>
      </c>
      <c r="M1262" s="806" t="s">
        <v>2763</v>
      </c>
      <c r="N1262" s="837">
        <v>46114.0</v>
      </c>
      <c r="O1262" s="803"/>
    </row>
    <row r="1263" ht="15.0" customHeight="1">
      <c r="A1263" s="834">
        <v>46042.0</v>
      </c>
      <c r="B1263" s="603" t="s">
        <v>10625</v>
      </c>
      <c r="C1263" s="822" t="s">
        <v>10139</v>
      </c>
      <c r="D1263" s="109" t="s">
        <v>10626</v>
      </c>
      <c r="E1263" s="594" t="str">
        <f>IFERROR(VLOOKUP(D1263,Stock,3,FALSE),"")</f>
        <v>Mitsubishi Lancer 91-96 LE41 CB4/5 (Evo3)</v>
      </c>
      <c r="F1263" s="822">
        <v>1.0</v>
      </c>
      <c r="G1263" s="756">
        <v>985000.0</v>
      </c>
      <c r="H1263" s="824">
        <f t="shared" si="7"/>
        <v>985000</v>
      </c>
      <c r="I1263" s="825"/>
      <c r="J1263" s="826"/>
      <c r="K1263" s="850" t="s">
        <v>3481</v>
      </c>
    </row>
    <row r="1264" ht="15.0" customHeight="1">
      <c r="A1264" s="786">
        <v>46042.0</v>
      </c>
      <c r="B1264" s="787">
        <v>2601638.0</v>
      </c>
      <c r="C1264" s="788" t="s">
        <v>10136</v>
      </c>
      <c r="D1264" s="851" t="s">
        <v>4302</v>
      </c>
      <c r="E1264" s="790" t="str">
        <f>IFERROR(VLOOKUP(D1264,Stock,3,FALSE),"")</f>
        <v>Mitsubishi Fuso Super Great FV100 96-</v>
      </c>
      <c r="F1264" s="788">
        <v>1.0</v>
      </c>
      <c r="G1264" s="860">
        <v>1233650.0</v>
      </c>
      <c r="H1264" s="799">
        <f t="shared" si="7"/>
        <v>1233650</v>
      </c>
      <c r="I1264" s="800"/>
      <c r="J1264" s="812"/>
      <c r="K1264" s="848" t="s">
        <v>3481</v>
      </c>
      <c r="L1264" s="806" t="s">
        <v>10137</v>
      </c>
      <c r="M1264" s="806" t="s">
        <v>2763</v>
      </c>
      <c r="N1264" s="837">
        <v>46114.0</v>
      </c>
      <c r="O1264" s="803"/>
    </row>
    <row r="1265" ht="15.0" customHeight="1">
      <c r="A1265" s="786">
        <v>46042.0</v>
      </c>
      <c r="B1265" s="787">
        <v>2601609.0</v>
      </c>
      <c r="C1265" s="788" t="s">
        <v>10136</v>
      </c>
      <c r="D1265" s="851" t="s">
        <v>7512</v>
      </c>
      <c r="E1265" s="790" t="str">
        <f>IFERROR(VLOOKUP(D1265,Stock,3,FALSE),"")</f>
        <v>VW Golf MK6 Hatchback 08-12</v>
      </c>
      <c r="F1265" s="788">
        <v>1.0</v>
      </c>
      <c r="G1265" s="860">
        <v>1876600.0</v>
      </c>
      <c r="H1265" s="799">
        <f t="shared" si="7"/>
        <v>1876600</v>
      </c>
      <c r="I1265" s="800"/>
      <c r="J1265" s="812"/>
      <c r="K1265" s="848" t="s">
        <v>3481</v>
      </c>
      <c r="L1265" s="806" t="s">
        <v>10137</v>
      </c>
      <c r="M1265" s="806" t="s">
        <v>2763</v>
      </c>
      <c r="N1265" s="837">
        <v>46114.0</v>
      </c>
      <c r="O1265" s="803"/>
    </row>
    <row r="1266" ht="15.0" customHeight="1">
      <c r="A1266" s="786">
        <v>46042.0</v>
      </c>
      <c r="B1266" s="787">
        <v>2601609.0</v>
      </c>
      <c r="C1266" s="788" t="s">
        <v>10136</v>
      </c>
      <c r="D1266" s="851" t="s">
        <v>8417</v>
      </c>
      <c r="E1266" s="790" t="str">
        <f>IFERROR(VLOOKUP(D1266,Stock,3,FALSE),"")</f>
        <v>BMW 3 Series 12-18 F30/F35</v>
      </c>
      <c r="F1266" s="788">
        <v>1.0</v>
      </c>
      <c r="G1266" s="860">
        <v>442200.0</v>
      </c>
      <c r="H1266" s="799">
        <f t="shared" si="7"/>
        <v>442200</v>
      </c>
      <c r="I1266" s="800"/>
      <c r="J1266" s="812"/>
      <c r="K1266" s="848" t="s">
        <v>3481</v>
      </c>
      <c r="L1266" s="806" t="s">
        <v>10137</v>
      </c>
      <c r="M1266" s="806" t="s">
        <v>2763</v>
      </c>
      <c r="N1266" s="837">
        <v>46114.0</v>
      </c>
      <c r="O1266" s="803"/>
    </row>
    <row r="1267" ht="15.0" customHeight="1">
      <c r="A1267" s="786">
        <v>46042.0</v>
      </c>
      <c r="B1267" s="787">
        <v>2601609.0</v>
      </c>
      <c r="C1267" s="788" t="s">
        <v>10136</v>
      </c>
      <c r="D1267" s="851" t="s">
        <v>6866</v>
      </c>
      <c r="E1267" s="790" t="str">
        <f>IFERROR(VLOOKUP(D1267,Stock,3,FALSE),"")</f>
        <v>Toyota Alphard 15-17 ANH30 3rd Gen (Hitam)</v>
      </c>
      <c r="F1267" s="788">
        <v>1.0</v>
      </c>
      <c r="G1267" s="860">
        <v>1413500.0</v>
      </c>
      <c r="H1267" s="799">
        <f t="shared" si="7"/>
        <v>1413500</v>
      </c>
      <c r="I1267" s="800"/>
      <c r="J1267" s="812"/>
      <c r="K1267" s="848" t="s">
        <v>3481</v>
      </c>
      <c r="L1267" s="806" t="s">
        <v>10137</v>
      </c>
      <c r="M1267" s="806" t="s">
        <v>2763</v>
      </c>
      <c r="N1267" s="837">
        <v>46114.0</v>
      </c>
      <c r="O1267" s="803"/>
    </row>
    <row r="1268" ht="15.0" customHeight="1">
      <c r="A1268" s="786">
        <v>46044.0</v>
      </c>
      <c r="B1268" s="787">
        <v>2601701.0</v>
      </c>
      <c r="C1268" s="788" t="s">
        <v>10136</v>
      </c>
      <c r="D1268" s="851" t="s">
        <v>7547</v>
      </c>
      <c r="E1268" s="790" t="str">
        <f>IFERROR(VLOOKUP(D1268,Stock,3,FALSE),"")</f>
        <v>Chevrolet Trax 13- [Tanpa Sensor]</v>
      </c>
      <c r="F1268" s="788">
        <v>1.0</v>
      </c>
      <c r="G1268" s="860">
        <v>1236950.0</v>
      </c>
      <c r="H1268" s="799">
        <f t="shared" si="7"/>
        <v>1236950</v>
      </c>
      <c r="I1268" s="800"/>
      <c r="J1268" s="812"/>
      <c r="K1268" s="848" t="s">
        <v>3481</v>
      </c>
      <c r="L1268" s="806" t="s">
        <v>10137</v>
      </c>
      <c r="M1268" s="806" t="s">
        <v>2763</v>
      </c>
      <c r="N1268" s="837">
        <v>46114.0</v>
      </c>
      <c r="O1268" s="803"/>
    </row>
    <row r="1269" ht="15.0" customHeight="1">
      <c r="A1269" s="834">
        <v>46044.0</v>
      </c>
      <c r="B1269" s="603" t="s">
        <v>10627</v>
      </c>
      <c r="C1269" s="822" t="s">
        <v>10139</v>
      </c>
      <c r="D1269" s="109" t="s">
        <v>7553</v>
      </c>
      <c r="E1269" s="594" t="str">
        <f>IFERROR(VLOOKUP(D1269,Stock,3,FALSE),"")</f>
        <v>Toyota Yaris 13- 2nd Gen XP150 / 18- 3rd Gen XP151</v>
      </c>
      <c r="F1269" s="822">
        <v>1.0</v>
      </c>
      <c r="G1269" s="756">
        <v>330000.0</v>
      </c>
      <c r="H1269" s="824">
        <f t="shared" si="7"/>
        <v>330000</v>
      </c>
      <c r="I1269" s="825"/>
      <c r="J1269" s="826"/>
      <c r="K1269" s="850" t="s">
        <v>3481</v>
      </c>
    </row>
    <row r="1270" ht="15.0" customHeight="1">
      <c r="A1270" s="834">
        <v>46031.0</v>
      </c>
      <c r="B1270" s="603" t="s">
        <v>10628</v>
      </c>
      <c r="C1270" s="822" t="s">
        <v>79</v>
      </c>
      <c r="D1270" s="109" t="s">
        <v>7345</v>
      </c>
      <c r="E1270" s="594" t="str">
        <f>IFERROR(VLOOKUP(D1270,Stock,3,FALSE),"")</f>
        <v>VIP Vkool Automotive Film</v>
      </c>
      <c r="F1270" s="822">
        <v>1.0</v>
      </c>
      <c r="G1270" s="756">
        <v>616500.0</v>
      </c>
      <c r="H1270" s="824">
        <f t="shared" si="7"/>
        <v>616500</v>
      </c>
      <c r="I1270" s="825"/>
      <c r="J1270" s="826"/>
      <c r="K1270" s="850" t="s">
        <v>3191</v>
      </c>
    </row>
    <row r="1271" ht="15.0" customHeight="1">
      <c r="A1271" s="834">
        <v>46046.0</v>
      </c>
      <c r="B1271" s="603" t="s">
        <v>10629</v>
      </c>
      <c r="C1271" s="822" t="s">
        <v>10139</v>
      </c>
      <c r="D1271" s="109" t="s">
        <v>6235</v>
      </c>
      <c r="E1271" s="594" t="str">
        <f>IFERROR(VLOOKUP(D1271,Stock,3,FALSE),"")</f>
        <v>Mazda CX-3 15-</v>
      </c>
      <c r="F1271" s="822">
        <v>1.0</v>
      </c>
      <c r="G1271" s="756">
        <v>1620000.0</v>
      </c>
      <c r="H1271" s="824">
        <f t="shared" si="7"/>
        <v>1620000</v>
      </c>
      <c r="I1271" s="825"/>
      <c r="J1271" s="826"/>
      <c r="K1271" s="850" t="s">
        <v>3481</v>
      </c>
    </row>
    <row r="1272" ht="15.0" customHeight="1">
      <c r="A1272" s="786">
        <v>46045.0</v>
      </c>
      <c r="B1272" s="787" t="s">
        <v>10630</v>
      </c>
      <c r="C1272" s="788" t="s">
        <v>2643</v>
      </c>
      <c r="D1272" s="851" t="s">
        <v>7307</v>
      </c>
      <c r="E1272" s="790" t="str">
        <f>IFERROR(VLOOKUP(D1272,Stock,3,FALSE),"")</f>
        <v>Suzuki APV 03- Pickup/ Van (Suzuki)</v>
      </c>
      <c r="F1272" s="788">
        <v>1.0</v>
      </c>
      <c r="G1272" s="860">
        <v>1150000.0</v>
      </c>
      <c r="H1272" s="799">
        <f t="shared" si="7"/>
        <v>1150000</v>
      </c>
      <c r="I1272" s="800"/>
      <c r="J1272" s="812"/>
      <c r="K1272" s="848" t="s">
        <v>3191</v>
      </c>
      <c r="L1272" s="806" t="s">
        <v>10137</v>
      </c>
      <c r="M1272" s="806" t="s">
        <v>2763</v>
      </c>
      <c r="N1272" s="837">
        <v>46112.0</v>
      </c>
      <c r="O1272" s="803"/>
    </row>
    <row r="1273" ht="15.0" customHeight="1">
      <c r="A1273" s="786">
        <v>46042.0</v>
      </c>
      <c r="B1273" s="787" t="s">
        <v>10631</v>
      </c>
      <c r="C1273" s="788" t="s">
        <v>10300</v>
      </c>
      <c r="D1273" s="851" t="s">
        <v>3662</v>
      </c>
      <c r="E1273" s="790" t="str">
        <f>IFERROR(VLOOKUP(D1273,Stock,3,FALSE),"")</f>
        <v>Toyota Innova 15-22 2nd Gen (Toyota)</v>
      </c>
      <c r="F1273" s="788">
        <v>3.0</v>
      </c>
      <c r="G1273" s="860">
        <v>1711200.0</v>
      </c>
      <c r="H1273" s="799">
        <f t="shared" si="7"/>
        <v>5133600</v>
      </c>
      <c r="I1273" s="800"/>
      <c r="J1273" s="812"/>
      <c r="K1273" s="813"/>
      <c r="L1273" s="806" t="s">
        <v>10137</v>
      </c>
      <c r="M1273" s="806" t="s">
        <v>2763</v>
      </c>
      <c r="N1273" s="807">
        <v>46073.0</v>
      </c>
      <c r="O1273" s="803"/>
    </row>
    <row r="1274" ht="15.0" customHeight="1">
      <c r="A1274" s="786">
        <v>46042.0</v>
      </c>
      <c r="B1274" s="787" t="s">
        <v>10631</v>
      </c>
      <c r="C1274" s="788" t="s">
        <v>10300</v>
      </c>
      <c r="D1274" s="851" t="s">
        <v>7594</v>
      </c>
      <c r="E1274" s="790" t="str">
        <f>IFERROR(VLOOKUP(D1274,Stock,3,FALSE),"")</f>
        <v>Toyota Innova 22- Zenyx 3rd Gen Mirror Base Kotak (Toyota)</v>
      </c>
      <c r="F1274" s="788">
        <v>2.0</v>
      </c>
      <c r="G1274" s="860">
        <v>809600.0</v>
      </c>
      <c r="H1274" s="799">
        <f t="shared" si="7"/>
        <v>1619200</v>
      </c>
      <c r="I1274" s="800"/>
      <c r="J1274" s="812"/>
      <c r="K1274" s="813"/>
      <c r="L1274" s="806" t="s">
        <v>10137</v>
      </c>
      <c r="M1274" s="806" t="s">
        <v>2763</v>
      </c>
      <c r="N1274" s="807">
        <v>46073.0</v>
      </c>
      <c r="O1274" s="803"/>
    </row>
    <row r="1275" ht="15.0" customHeight="1">
      <c r="A1275" s="786">
        <v>46042.0</v>
      </c>
      <c r="B1275" s="787" t="s">
        <v>10631</v>
      </c>
      <c r="C1275" s="788" t="s">
        <v>10300</v>
      </c>
      <c r="D1275" s="851" t="s">
        <v>10632</v>
      </c>
      <c r="E1275" s="790" t="str">
        <f>IFERROR(VLOOKUP(D1275,Stock,3,FALSE),"")</f>
        <v>Toyota Innova 04-15 1st Gen (Toyota)</v>
      </c>
      <c r="F1275" s="788">
        <v>1.0</v>
      </c>
      <c r="G1275" s="860">
        <v>1223600.0</v>
      </c>
      <c r="H1275" s="799">
        <f t="shared" si="7"/>
        <v>1223600</v>
      </c>
      <c r="I1275" s="800"/>
      <c r="J1275" s="812"/>
      <c r="K1275" s="813"/>
      <c r="L1275" s="806" t="s">
        <v>10137</v>
      </c>
      <c r="M1275" s="806" t="s">
        <v>2763</v>
      </c>
      <c r="N1275" s="807">
        <v>46073.0</v>
      </c>
      <c r="O1275" s="803"/>
    </row>
    <row r="1276" ht="15.0" customHeight="1">
      <c r="A1276" s="786">
        <v>46042.0</v>
      </c>
      <c r="B1276" s="787" t="s">
        <v>10631</v>
      </c>
      <c r="C1276" s="788" t="s">
        <v>10300</v>
      </c>
      <c r="D1276" s="851" t="s">
        <v>5326</v>
      </c>
      <c r="E1276" s="790" t="str">
        <f>IFERROR(VLOOKUP(D1276,Stock,3,FALSE),"")</f>
        <v>Toyota Innova 04-15 1st Gen (Toyota)</v>
      </c>
      <c r="F1276" s="788">
        <v>1.0</v>
      </c>
      <c r="G1276" s="860">
        <v>1370800.0</v>
      </c>
      <c r="H1276" s="799">
        <f t="shared" si="7"/>
        <v>1370800</v>
      </c>
      <c r="I1276" s="800"/>
      <c r="J1276" s="812"/>
      <c r="K1276" s="813"/>
      <c r="L1276" s="806" t="s">
        <v>10137</v>
      </c>
      <c r="M1276" s="806" t="s">
        <v>2763</v>
      </c>
      <c r="N1276" s="807">
        <v>46073.0</v>
      </c>
      <c r="O1276" s="803"/>
    </row>
    <row r="1277" ht="15.0" customHeight="1">
      <c r="A1277" s="786">
        <v>46042.0</v>
      </c>
      <c r="B1277" s="787" t="s">
        <v>10631</v>
      </c>
      <c r="C1277" s="788" t="s">
        <v>10300</v>
      </c>
      <c r="D1277" s="851" t="s">
        <v>5764</v>
      </c>
      <c r="E1277" s="790" t="str">
        <f>IFERROR(VLOOKUP(D1277,Stock,3,FALSE),"")</f>
        <v>Toyota Fortuner 15-  2nd Gen (Toyota)</v>
      </c>
      <c r="F1277" s="788">
        <v>1.0</v>
      </c>
      <c r="G1277" s="860">
        <v>1223600.0</v>
      </c>
      <c r="H1277" s="799">
        <f t="shared" si="7"/>
        <v>1223600</v>
      </c>
      <c r="I1277" s="800"/>
      <c r="J1277" s="812"/>
      <c r="K1277" s="813"/>
      <c r="L1277" s="806" t="s">
        <v>10137</v>
      </c>
      <c r="M1277" s="806" t="s">
        <v>2763</v>
      </c>
      <c r="N1277" s="807">
        <v>46073.0</v>
      </c>
      <c r="O1277" s="803"/>
    </row>
    <row r="1278" ht="15.0" customHeight="1">
      <c r="A1278" s="786">
        <v>46042.0</v>
      </c>
      <c r="B1278" s="787" t="s">
        <v>10631</v>
      </c>
      <c r="C1278" s="788" t="s">
        <v>10300</v>
      </c>
      <c r="D1278" s="851" t="s">
        <v>5481</v>
      </c>
      <c r="E1278" s="790" t="str">
        <f>IFERROR(VLOOKUP(D1278,Stock,3,FALSE),"")</f>
        <v>Toyota Raize / Daihatsu Rocky 20- (Toyota/Daihatsu)</v>
      </c>
      <c r="F1278" s="788">
        <v>1.0</v>
      </c>
      <c r="G1278" s="860">
        <v>547400.0</v>
      </c>
      <c r="H1278" s="799">
        <f t="shared" si="7"/>
        <v>547400</v>
      </c>
      <c r="I1278" s="800"/>
      <c r="J1278" s="812"/>
      <c r="K1278" s="813"/>
      <c r="L1278" s="806" t="s">
        <v>10137</v>
      </c>
      <c r="M1278" s="806" t="s">
        <v>2763</v>
      </c>
      <c r="N1278" s="807">
        <v>46073.0</v>
      </c>
      <c r="O1278" s="803"/>
    </row>
    <row r="1279" ht="15.0" customHeight="1">
      <c r="A1279" s="786">
        <v>46044.0</v>
      </c>
      <c r="B1279" s="787" t="s">
        <v>10633</v>
      </c>
      <c r="C1279" s="788" t="s">
        <v>10300</v>
      </c>
      <c r="D1279" s="851" t="s">
        <v>4439</v>
      </c>
      <c r="E1279" s="790" t="str">
        <f>IFERROR(VLOOKUP(D1279,Stock,3,FALSE),"")</f>
        <v>Toyota Innova 04-15 1st Gen (Toyota)</v>
      </c>
      <c r="F1279" s="788">
        <v>1.0</v>
      </c>
      <c r="G1279" s="860">
        <v>1711200.0</v>
      </c>
      <c r="H1279" s="799">
        <f t="shared" si="7"/>
        <v>1711200</v>
      </c>
      <c r="I1279" s="800" t="s">
        <v>4602</v>
      </c>
      <c r="J1279" s="812"/>
      <c r="K1279" s="813"/>
      <c r="L1279" s="806" t="s">
        <v>10137</v>
      </c>
      <c r="M1279" s="806" t="s">
        <v>2763</v>
      </c>
      <c r="N1279" s="807">
        <v>46073.0</v>
      </c>
      <c r="O1279" s="803"/>
    </row>
    <row r="1280" ht="15.0" customHeight="1">
      <c r="A1280" s="786">
        <v>46044.0</v>
      </c>
      <c r="B1280" s="787" t="s">
        <v>10633</v>
      </c>
      <c r="C1280" s="788" t="s">
        <v>10300</v>
      </c>
      <c r="D1280" s="851" t="s">
        <v>6682</v>
      </c>
      <c r="E1280" s="790" t="str">
        <f>IFERROR(VLOOKUP(D1280,Stock,3,FALSE),"")</f>
        <v>Toyota Raize / Daihatsu Rocky 20- (2 Sensor / /\/\ ) (Toyota/Daihasu)</v>
      </c>
      <c r="F1280" s="788">
        <v>1.0</v>
      </c>
      <c r="G1280" s="860">
        <v>1505120.0</v>
      </c>
      <c r="H1280" s="799">
        <f t="shared" si="7"/>
        <v>1505120</v>
      </c>
      <c r="I1280" s="800" t="s">
        <v>4602</v>
      </c>
      <c r="J1280" s="812"/>
      <c r="K1280" s="813"/>
      <c r="L1280" s="806" t="s">
        <v>10137</v>
      </c>
      <c r="M1280" s="806" t="s">
        <v>2763</v>
      </c>
      <c r="N1280" s="807">
        <v>46073.0</v>
      </c>
      <c r="O1280" s="803"/>
    </row>
    <row r="1281" ht="15.0" customHeight="1">
      <c r="A1281" s="786">
        <v>46044.0</v>
      </c>
      <c r="B1281" s="787" t="s">
        <v>10633</v>
      </c>
      <c r="C1281" s="788" t="s">
        <v>10300</v>
      </c>
      <c r="D1281" s="851" t="s">
        <v>7782</v>
      </c>
      <c r="E1281" s="790" t="str">
        <f>IFERROR(VLOOKUP(D1281,Stock,3,FALSE),"")</f>
        <v>Toyota Innova 22- Zenyx 3rd Gen (Toyota)</v>
      </c>
      <c r="F1281" s="788">
        <v>1.0</v>
      </c>
      <c r="G1281" s="860">
        <v>1692800.0</v>
      </c>
      <c r="H1281" s="799">
        <f t="shared" si="7"/>
        <v>1692800</v>
      </c>
      <c r="I1281" s="800"/>
      <c r="J1281" s="812"/>
      <c r="K1281" s="813"/>
      <c r="L1281" s="806" t="s">
        <v>10137</v>
      </c>
      <c r="M1281" s="806" t="s">
        <v>2763</v>
      </c>
      <c r="N1281" s="807">
        <v>46073.0</v>
      </c>
      <c r="O1281" s="803"/>
    </row>
    <row r="1282" ht="15.0" customHeight="1">
      <c r="A1282" s="786">
        <v>46044.0</v>
      </c>
      <c r="B1282" s="787" t="s">
        <v>10633</v>
      </c>
      <c r="C1282" s="788" t="s">
        <v>10300</v>
      </c>
      <c r="D1282" s="851" t="s">
        <v>4750</v>
      </c>
      <c r="E1282" s="790" t="str">
        <f>IFERROR(VLOOKUP(D1282,Stock,3,FALSE),"")</f>
        <v>Toyota Rush / Terios 06-17 (Toyota/Daihatsu)</v>
      </c>
      <c r="F1282" s="788">
        <v>2.0</v>
      </c>
      <c r="G1282" s="860">
        <v>630200.0</v>
      </c>
      <c r="H1282" s="799">
        <f t="shared" si="7"/>
        <v>1260400</v>
      </c>
      <c r="I1282" s="800"/>
      <c r="J1282" s="812"/>
      <c r="K1282" s="813"/>
      <c r="L1282" s="806" t="s">
        <v>10137</v>
      </c>
      <c r="M1282" s="806" t="s">
        <v>2763</v>
      </c>
      <c r="N1282" s="807">
        <v>46073.0</v>
      </c>
      <c r="O1282" s="803"/>
    </row>
    <row r="1283" ht="15.0" customHeight="1">
      <c r="A1283" s="786">
        <v>46044.0</v>
      </c>
      <c r="B1283" s="787" t="s">
        <v>10633</v>
      </c>
      <c r="C1283" s="788" t="s">
        <v>10300</v>
      </c>
      <c r="D1283" s="851" t="s">
        <v>4748</v>
      </c>
      <c r="E1283" s="790" t="str">
        <f>IFERROR(VLOOKUP(D1283,Stock,3,FALSE),"")</f>
        <v>Toyota Rush / Terios 06-17 (Toyota/Daihatsu)</v>
      </c>
      <c r="F1283" s="788">
        <v>1.0</v>
      </c>
      <c r="G1283" s="860">
        <v>450800.0</v>
      </c>
      <c r="H1283" s="799">
        <f t="shared" si="7"/>
        <v>450800</v>
      </c>
      <c r="I1283" s="800"/>
      <c r="J1283" s="812"/>
      <c r="K1283" s="813"/>
      <c r="L1283" s="806" t="s">
        <v>10137</v>
      </c>
      <c r="M1283" s="806" t="s">
        <v>2763</v>
      </c>
      <c r="N1283" s="807">
        <v>46073.0</v>
      </c>
      <c r="O1283" s="803"/>
    </row>
    <row r="1284" ht="15.0" customHeight="1">
      <c r="A1284" s="786">
        <v>46044.0</v>
      </c>
      <c r="B1284" s="787" t="s">
        <v>10633</v>
      </c>
      <c r="C1284" s="788" t="s">
        <v>10300</v>
      </c>
      <c r="D1284" s="851" t="s">
        <v>7780</v>
      </c>
      <c r="E1284" s="790" t="str">
        <f>IFERROR(VLOOKUP(D1284,Stock,3,FALSE),"")</f>
        <v>Toyota Innova 15-22 2nd Gen (Toyota)</v>
      </c>
      <c r="F1284" s="788">
        <v>1.0</v>
      </c>
      <c r="G1284" s="860">
        <v>455400.0</v>
      </c>
      <c r="H1284" s="799">
        <f t="shared" si="7"/>
        <v>455400</v>
      </c>
      <c r="I1284" s="800"/>
      <c r="J1284" s="812"/>
      <c r="K1284" s="813"/>
      <c r="L1284" s="806" t="s">
        <v>10137</v>
      </c>
      <c r="M1284" s="806" t="s">
        <v>2763</v>
      </c>
      <c r="N1284" s="807">
        <v>46073.0</v>
      </c>
      <c r="O1284" s="803"/>
    </row>
    <row r="1285" ht="15.0" customHeight="1">
      <c r="A1285" s="786">
        <v>46044.0</v>
      </c>
      <c r="B1285" s="787" t="s">
        <v>10633</v>
      </c>
      <c r="C1285" s="788" t="s">
        <v>10300</v>
      </c>
      <c r="D1285" s="851" t="s">
        <v>4745</v>
      </c>
      <c r="E1285" s="790" t="str">
        <f>IFERROR(VLOOKUP(D1285,Stock,3,FALSE),"")</f>
        <v>Toyota Fortuner 15-  2nd Gen / Toyota Hilux Pickup 15- (Revo) (Toyota)</v>
      </c>
      <c r="F1285" s="788">
        <v>1.0</v>
      </c>
      <c r="G1285" s="860">
        <v>455400.0</v>
      </c>
      <c r="H1285" s="799">
        <f t="shared" si="7"/>
        <v>455400</v>
      </c>
      <c r="I1285" s="800"/>
      <c r="J1285" s="812"/>
      <c r="K1285" s="813"/>
      <c r="L1285" s="806" t="s">
        <v>10137</v>
      </c>
      <c r="M1285" s="806" t="s">
        <v>2763</v>
      </c>
      <c r="N1285" s="807">
        <v>46073.0</v>
      </c>
      <c r="O1285" s="803"/>
    </row>
    <row r="1286" ht="15.0" customHeight="1">
      <c r="A1286" s="786">
        <v>46044.0</v>
      </c>
      <c r="B1286" s="787" t="s">
        <v>10633</v>
      </c>
      <c r="C1286" s="788" t="s">
        <v>10300</v>
      </c>
      <c r="D1286" s="851" t="s">
        <v>5063</v>
      </c>
      <c r="E1286" s="790" t="str">
        <f>IFERROR(VLOOKUP(D1286,Stock,3,FALSE),"")</f>
        <v>Toyota Innova 22- Zenyx 3rd Gen (Toyota)</v>
      </c>
      <c r="F1286" s="788">
        <v>1.0</v>
      </c>
      <c r="G1286" s="860">
        <v>152720.0</v>
      </c>
      <c r="H1286" s="799">
        <f t="shared" si="7"/>
        <v>152720</v>
      </c>
      <c r="I1286" s="800"/>
      <c r="J1286" s="812"/>
      <c r="K1286" s="813"/>
      <c r="L1286" s="806" t="s">
        <v>10137</v>
      </c>
      <c r="M1286" s="806" t="s">
        <v>2763</v>
      </c>
      <c r="N1286" s="807">
        <v>46073.0</v>
      </c>
      <c r="O1286" s="803"/>
    </row>
    <row r="1287" ht="15.0" customHeight="1">
      <c r="A1287" s="786">
        <v>46044.0</v>
      </c>
      <c r="B1287" s="787" t="s">
        <v>10633</v>
      </c>
      <c r="C1287" s="788" t="s">
        <v>10300</v>
      </c>
      <c r="D1287" s="851" t="s">
        <v>7781</v>
      </c>
      <c r="E1287" s="790" t="str">
        <f>IFERROR(VLOOKUP(D1287,Stock,3,FALSE),"")</f>
        <v>Toyota Innova 15-22 2nd Gen (Toyota)</v>
      </c>
      <c r="F1287" s="788">
        <v>1.0</v>
      </c>
      <c r="G1287" s="860">
        <v>455400.0</v>
      </c>
      <c r="H1287" s="799">
        <f t="shared" si="7"/>
        <v>455400</v>
      </c>
      <c r="I1287" s="800"/>
      <c r="J1287" s="812"/>
      <c r="K1287" s="813"/>
      <c r="L1287" s="806" t="s">
        <v>10137</v>
      </c>
      <c r="M1287" s="806" t="s">
        <v>2763</v>
      </c>
      <c r="N1287" s="807">
        <v>46073.0</v>
      </c>
      <c r="O1287" s="803"/>
    </row>
    <row r="1288" ht="15.0" customHeight="1">
      <c r="A1288" s="786">
        <v>46044.0</v>
      </c>
      <c r="B1288" s="787" t="s">
        <v>10633</v>
      </c>
      <c r="C1288" s="788" t="s">
        <v>10300</v>
      </c>
      <c r="D1288" s="851" t="s">
        <v>5705</v>
      </c>
      <c r="E1288" s="790" t="str">
        <f>IFERROR(VLOOKUP(D1288,Stock,3,FALSE),"")</f>
        <v>Toyota Innova 15-22 2nd Gen (Toyota)</v>
      </c>
      <c r="F1288" s="788">
        <v>1.0</v>
      </c>
      <c r="G1288" s="860">
        <v>262200.0</v>
      </c>
      <c r="H1288" s="799">
        <f t="shared" si="7"/>
        <v>262200</v>
      </c>
      <c r="I1288" s="800"/>
      <c r="J1288" s="812"/>
      <c r="K1288" s="813"/>
      <c r="L1288" s="806" t="s">
        <v>10137</v>
      </c>
      <c r="M1288" s="806" t="s">
        <v>2763</v>
      </c>
      <c r="N1288" s="807">
        <v>46073.0</v>
      </c>
      <c r="O1288" s="803"/>
    </row>
    <row r="1289" ht="15.0" customHeight="1">
      <c r="A1289" s="786">
        <v>46044.0</v>
      </c>
      <c r="B1289" s="787" t="s">
        <v>10633</v>
      </c>
      <c r="C1289" s="788" t="s">
        <v>10300</v>
      </c>
      <c r="D1289" s="851" t="s">
        <v>7301</v>
      </c>
      <c r="E1289" s="790" t="str">
        <f>IFERROR(VLOOKUP(D1289,Stock,3,FALSE),"")</f>
        <v>Toyota Avanza / Xenia 21- 4th Gen (Toyota/Daihatsu)</v>
      </c>
      <c r="F1289" s="788">
        <v>1.0</v>
      </c>
      <c r="G1289" s="860">
        <v>303600.0</v>
      </c>
      <c r="H1289" s="799">
        <f t="shared" si="7"/>
        <v>303600</v>
      </c>
      <c r="I1289" s="800"/>
      <c r="J1289" s="812"/>
      <c r="K1289" s="813"/>
      <c r="L1289" s="806" t="s">
        <v>10137</v>
      </c>
      <c r="M1289" s="806" t="s">
        <v>2763</v>
      </c>
      <c r="N1289" s="807">
        <v>46073.0</v>
      </c>
      <c r="O1289" s="803"/>
    </row>
    <row r="1290" ht="15.0" customHeight="1">
      <c r="A1290" s="786">
        <v>46044.0</v>
      </c>
      <c r="B1290" s="787" t="s">
        <v>10633</v>
      </c>
      <c r="C1290" s="788" t="s">
        <v>10300</v>
      </c>
      <c r="D1290" s="851" t="s">
        <v>4641</v>
      </c>
      <c r="E1290" s="790" t="str">
        <f>IFERROR(VLOOKUP(D1290,Stock,3,FALSE),"")</f>
        <v>Toyota Innova 22- Zenyx 3rd Gen (Toyota)</v>
      </c>
      <c r="F1290" s="788">
        <v>2.0</v>
      </c>
      <c r="G1290" s="860">
        <v>138000.0</v>
      </c>
      <c r="H1290" s="799">
        <f t="shared" si="7"/>
        <v>276000</v>
      </c>
      <c r="I1290" s="800"/>
      <c r="J1290" s="812"/>
      <c r="K1290" s="813"/>
      <c r="L1290" s="806" t="s">
        <v>10137</v>
      </c>
      <c r="M1290" s="806" t="s">
        <v>2763</v>
      </c>
      <c r="N1290" s="807">
        <v>46073.0</v>
      </c>
      <c r="O1290" s="803"/>
    </row>
    <row r="1291" ht="15.0" customHeight="1">
      <c r="A1291" s="786">
        <v>46044.0</v>
      </c>
      <c r="B1291" s="787" t="s">
        <v>10633</v>
      </c>
      <c r="C1291" s="788" t="s">
        <v>10300</v>
      </c>
      <c r="D1291" s="851" t="s">
        <v>7592</v>
      </c>
      <c r="E1291" s="790" t="str">
        <f>IFERROR(VLOOKUP(D1291,Stock,3,FALSE),"")</f>
        <v>Toyota Avanza / Xenia 21- 4th Gen (Toyota/Daihatsu)</v>
      </c>
      <c r="F1291" s="788">
        <v>1.0</v>
      </c>
      <c r="G1291" s="860">
        <v>303600.0</v>
      </c>
      <c r="H1291" s="799">
        <f t="shared" si="7"/>
        <v>303600</v>
      </c>
      <c r="I1291" s="800"/>
      <c r="J1291" s="812"/>
      <c r="K1291" s="813"/>
      <c r="L1291" s="806" t="s">
        <v>10137</v>
      </c>
      <c r="M1291" s="806" t="s">
        <v>2763</v>
      </c>
      <c r="N1291" s="807">
        <v>46073.0</v>
      </c>
      <c r="O1291" s="803"/>
    </row>
    <row r="1292" ht="15.0" customHeight="1">
      <c r="A1292" s="786">
        <v>46044.0</v>
      </c>
      <c r="B1292" s="787" t="s">
        <v>10633</v>
      </c>
      <c r="C1292" s="788" t="s">
        <v>10300</v>
      </c>
      <c r="D1292" s="851" t="s">
        <v>7629</v>
      </c>
      <c r="E1292" s="790" t="str">
        <f>IFERROR(VLOOKUP(D1292,Stock,3,FALSE),"")</f>
        <v>Toyota Innova 22- Zenyx 3rd Gen (Toyota)</v>
      </c>
      <c r="F1292" s="788">
        <v>1.0</v>
      </c>
      <c r="G1292" s="860">
        <v>837200.0</v>
      </c>
      <c r="H1292" s="799">
        <f t="shared" si="7"/>
        <v>837200</v>
      </c>
      <c r="I1292" s="800"/>
      <c r="J1292" s="812"/>
      <c r="K1292" s="813"/>
      <c r="L1292" s="806" t="s">
        <v>10137</v>
      </c>
      <c r="M1292" s="806" t="s">
        <v>2763</v>
      </c>
      <c r="N1292" s="807">
        <v>46073.0</v>
      </c>
      <c r="O1292" s="803"/>
    </row>
    <row r="1293" ht="15.0" customHeight="1">
      <c r="A1293" s="786">
        <v>46044.0</v>
      </c>
      <c r="B1293" s="787" t="s">
        <v>10633</v>
      </c>
      <c r="C1293" s="788" t="s">
        <v>10300</v>
      </c>
      <c r="D1293" s="851" t="s">
        <v>4747</v>
      </c>
      <c r="E1293" s="790" t="str">
        <f>IFERROR(VLOOKUP(D1293,Stock,3,FALSE),"")</f>
        <v>Toyota Fortuner 15- 2nd Gen (Toyota)</v>
      </c>
      <c r="F1293" s="788">
        <v>1.0</v>
      </c>
      <c r="G1293" s="860">
        <v>276000.0</v>
      </c>
      <c r="H1293" s="799">
        <f t="shared" si="7"/>
        <v>276000</v>
      </c>
      <c r="I1293" s="800"/>
      <c r="J1293" s="812"/>
      <c r="K1293" s="813"/>
      <c r="L1293" s="806" t="s">
        <v>10137</v>
      </c>
      <c r="M1293" s="806" t="s">
        <v>2763</v>
      </c>
      <c r="N1293" s="807">
        <v>46073.0</v>
      </c>
      <c r="O1293" s="803"/>
    </row>
    <row r="1294" ht="15.0" customHeight="1">
      <c r="A1294" s="786">
        <v>46044.0</v>
      </c>
      <c r="B1294" s="787" t="s">
        <v>10633</v>
      </c>
      <c r="C1294" s="788" t="s">
        <v>10300</v>
      </c>
      <c r="D1294" s="851" t="s">
        <v>2964</v>
      </c>
      <c r="E1294" s="790" t="str">
        <f>IFERROR(VLOOKUP(D1294,Stock,3,FALSE),"")</f>
        <v>Toyota Fortuner 15- 2nd Gen (Toyota)</v>
      </c>
      <c r="F1294" s="788">
        <v>1.0</v>
      </c>
      <c r="G1294" s="860">
        <v>276000.0</v>
      </c>
      <c r="H1294" s="799">
        <f t="shared" si="7"/>
        <v>276000</v>
      </c>
      <c r="I1294" s="800"/>
      <c r="J1294" s="812"/>
      <c r="K1294" s="813"/>
      <c r="L1294" s="806" t="s">
        <v>10137</v>
      </c>
      <c r="M1294" s="806" t="s">
        <v>2763</v>
      </c>
      <c r="N1294" s="807">
        <v>46073.0</v>
      </c>
      <c r="O1294" s="803"/>
    </row>
    <row r="1295" ht="15.0" customHeight="1">
      <c r="A1295" s="786">
        <v>46046.0</v>
      </c>
      <c r="B1295" s="787" t="s">
        <v>10634</v>
      </c>
      <c r="C1295" s="788" t="s">
        <v>10139</v>
      </c>
      <c r="D1295" s="851" t="s">
        <v>3358</v>
      </c>
      <c r="E1295" s="790" t="str">
        <f>IFERROR(VLOOKUP(D1295,Stock,3,FALSE),"")</f>
        <v>Toyota Avanza / Xenia 11-15 2nd Gen / 15-21 3rd Gen</v>
      </c>
      <c r="F1295" s="788">
        <v>20.0</v>
      </c>
      <c r="G1295" s="860">
        <v>290598.0</v>
      </c>
      <c r="H1295" s="799">
        <f t="shared" si="7"/>
        <v>5811960</v>
      </c>
      <c r="I1295" s="800"/>
      <c r="J1295" s="812"/>
      <c r="K1295" s="813"/>
      <c r="L1295" s="806" t="s">
        <v>10137</v>
      </c>
      <c r="M1295" s="806" t="s">
        <v>2763</v>
      </c>
      <c r="N1295" s="807">
        <v>46073.0</v>
      </c>
      <c r="O1295" s="803"/>
    </row>
    <row r="1296" ht="15.0" customHeight="1">
      <c r="A1296" s="834">
        <v>46048.0</v>
      </c>
      <c r="B1296" s="603" t="s">
        <v>10635</v>
      </c>
      <c r="C1296" s="822" t="s">
        <v>10139</v>
      </c>
      <c r="D1296" s="109" t="s">
        <v>7588</v>
      </c>
      <c r="E1296" s="594" t="str">
        <f>IFERROR(VLOOKUP(D1296,Stock,3,FALSE),"")</f>
        <v>Suzuki Splash 09-16</v>
      </c>
      <c r="F1296" s="822">
        <v>1.0</v>
      </c>
      <c r="G1296" s="756">
        <v>540000.0</v>
      </c>
      <c r="H1296" s="824">
        <f t="shared" si="7"/>
        <v>540000</v>
      </c>
      <c r="I1296" s="825"/>
      <c r="J1296" s="826"/>
      <c r="K1296" s="827"/>
    </row>
    <row r="1297" ht="15.0" customHeight="1">
      <c r="A1297" s="786">
        <v>46048.0</v>
      </c>
      <c r="B1297" s="787">
        <v>2601781.0</v>
      </c>
      <c r="C1297" s="788" t="s">
        <v>10136</v>
      </c>
      <c r="D1297" s="787" t="s">
        <v>5300</v>
      </c>
      <c r="E1297" s="790" t="str">
        <f>IFERROR(VLOOKUP(D1297,Stock,3,FALSE),"")</f>
        <v>Toyota Vios 07-13 XP90 2nd Gen</v>
      </c>
      <c r="F1297" s="788">
        <v>2.0</v>
      </c>
      <c r="G1297" s="860">
        <v>623150.0</v>
      </c>
      <c r="H1297" s="799">
        <f t="shared" si="7"/>
        <v>1246300</v>
      </c>
      <c r="I1297" s="800"/>
      <c r="J1297" s="812"/>
      <c r="K1297" s="813"/>
      <c r="L1297" s="806" t="s">
        <v>10137</v>
      </c>
      <c r="M1297" s="806" t="s">
        <v>2763</v>
      </c>
      <c r="N1297" s="837">
        <v>46114.0</v>
      </c>
      <c r="O1297" s="803"/>
    </row>
    <row r="1298" ht="15.0" customHeight="1">
      <c r="A1298" s="834">
        <v>46049.0</v>
      </c>
      <c r="B1298" s="603" t="s">
        <v>10636</v>
      </c>
      <c r="C1298" s="822" t="s">
        <v>10139</v>
      </c>
      <c r="D1298" s="109" t="s">
        <v>5641</v>
      </c>
      <c r="E1298" s="594" t="str">
        <f>IFERROR(VLOOKUP(D1298,Stock,3,FALSE),"")</f>
        <v>Nissan Serena 10-19 MKIV C26</v>
      </c>
      <c r="F1298" s="822">
        <v>1.0</v>
      </c>
      <c r="G1298" s="756">
        <v>1806975.0</v>
      </c>
      <c r="H1298" s="824">
        <f t="shared" si="7"/>
        <v>1806975</v>
      </c>
      <c r="I1298" s="825"/>
      <c r="J1298" s="826"/>
      <c r="K1298" s="827"/>
    </row>
    <row r="1299" ht="15.0" customHeight="1">
      <c r="A1299" s="786">
        <v>46049.0</v>
      </c>
      <c r="B1299" s="787">
        <v>2601856.0</v>
      </c>
      <c r="C1299" s="788" t="s">
        <v>10136</v>
      </c>
      <c r="D1299" s="851" t="s">
        <v>2841</v>
      </c>
      <c r="E1299" s="790" t="str">
        <f>IFERROR(VLOOKUP(D1299,Stock,3,FALSE),"")</f>
        <v>Toyota Hi-Ace 04-20 Commuter</v>
      </c>
      <c r="F1299" s="788">
        <v>1.0</v>
      </c>
      <c r="G1299" s="860">
        <v>774950.0</v>
      </c>
      <c r="H1299" s="799">
        <f t="shared" si="7"/>
        <v>774950</v>
      </c>
      <c r="I1299" s="800"/>
      <c r="J1299" s="812"/>
      <c r="K1299" s="813"/>
      <c r="L1299" s="806" t="s">
        <v>10137</v>
      </c>
      <c r="M1299" s="806" t="s">
        <v>2763</v>
      </c>
      <c r="N1299" s="837">
        <v>46114.0</v>
      </c>
      <c r="O1299" s="803"/>
    </row>
    <row r="1300" ht="15.0" customHeight="1">
      <c r="A1300" s="786">
        <v>46049.0</v>
      </c>
      <c r="B1300" s="787">
        <v>2601856.0</v>
      </c>
      <c r="C1300" s="788" t="s">
        <v>10136</v>
      </c>
      <c r="D1300" s="851" t="s">
        <v>4303</v>
      </c>
      <c r="E1300" s="790" t="str">
        <f>IFERROR(VLOOKUP(D1300,Stock,3,FALSE),"")</f>
        <v>Mers-Benz C-Class 00-07 W203 (2 Sensor/ □ Pinggir)</v>
      </c>
      <c r="F1300" s="788">
        <v>1.0</v>
      </c>
      <c r="G1300" s="860">
        <v>1848550.0</v>
      </c>
      <c r="H1300" s="799">
        <f t="shared" si="7"/>
        <v>1848550</v>
      </c>
      <c r="I1300" s="800"/>
      <c r="J1300" s="812"/>
      <c r="K1300" s="813"/>
      <c r="L1300" s="806" t="s">
        <v>10137</v>
      </c>
      <c r="M1300" s="806" t="s">
        <v>2763</v>
      </c>
      <c r="N1300" s="837">
        <v>46114.0</v>
      </c>
      <c r="O1300" s="803"/>
    </row>
    <row r="1301" ht="15.0" customHeight="1">
      <c r="A1301" s="834">
        <v>46050.0</v>
      </c>
      <c r="B1301" s="603" t="s">
        <v>10637</v>
      </c>
      <c r="C1301" s="822" t="s">
        <v>10139</v>
      </c>
      <c r="D1301" s="109" t="s">
        <v>7624</v>
      </c>
      <c r="E1301" s="594" t="str">
        <f>IFERROR(VLOOKUP(D1301,Stock,3,FALSE),"")</f>
        <v>Daihatsu Gran Max / Luxio 07-</v>
      </c>
      <c r="F1301" s="822">
        <v>1.0</v>
      </c>
      <c r="G1301" s="756">
        <v>195000.0</v>
      </c>
      <c r="H1301" s="824">
        <f t="shared" si="7"/>
        <v>195000</v>
      </c>
      <c r="I1301" s="825"/>
      <c r="J1301" s="826"/>
      <c r="K1301" s="827"/>
    </row>
    <row r="1302" ht="15.0" customHeight="1">
      <c r="A1302" s="786">
        <v>46050.0</v>
      </c>
      <c r="B1302" s="787">
        <v>2801910.0</v>
      </c>
      <c r="C1302" s="788" t="s">
        <v>10136</v>
      </c>
      <c r="D1302" s="851" t="s">
        <v>7636</v>
      </c>
      <c r="E1302" s="790" t="str">
        <f>IFERROR(VLOOKUP(D1302,Stock,3,FALSE),"")</f>
        <v>Toyota Crown 08-12</v>
      </c>
      <c r="F1302" s="788">
        <v>1.0</v>
      </c>
      <c r="G1302" s="860">
        <v>1265000.0</v>
      </c>
      <c r="H1302" s="799">
        <f t="shared" si="7"/>
        <v>1265000</v>
      </c>
      <c r="I1302" s="800"/>
      <c r="J1302" s="812"/>
      <c r="K1302" s="813"/>
      <c r="L1302" s="806" t="s">
        <v>10137</v>
      </c>
      <c r="M1302" s="806" t="s">
        <v>2763</v>
      </c>
      <c r="N1302" s="837">
        <v>46114.0</v>
      </c>
      <c r="O1302" s="803"/>
    </row>
    <row r="1303" ht="15.0" customHeight="1">
      <c r="A1303" s="834">
        <v>46050.0</v>
      </c>
      <c r="B1303" s="603" t="s">
        <v>10638</v>
      </c>
      <c r="C1303" s="822" t="s">
        <v>10139</v>
      </c>
      <c r="D1303" s="109" t="s">
        <v>7643</v>
      </c>
      <c r="E1303" s="594" t="str">
        <f>IFERROR(VLOOKUP(D1303,Stock,3,FALSE),"")</f>
        <v>Honda Accord 13-17 9th Gen [Sensor]</v>
      </c>
      <c r="F1303" s="822">
        <v>1.0</v>
      </c>
      <c r="G1303" s="756">
        <v>1663200.0</v>
      </c>
      <c r="H1303" s="824">
        <f t="shared" si="7"/>
        <v>1663200</v>
      </c>
      <c r="I1303" s="825"/>
      <c r="J1303" s="826"/>
      <c r="K1303" s="827"/>
    </row>
    <row r="1304" ht="15.0" customHeight="1">
      <c r="A1304" s="834">
        <v>46051.0</v>
      </c>
      <c r="B1304" s="603" t="s">
        <v>10639</v>
      </c>
      <c r="C1304" s="822" t="s">
        <v>10148</v>
      </c>
      <c r="D1304" s="109" t="s">
        <v>4627</v>
      </c>
      <c r="E1304" s="594" t="str">
        <f>IFERROR(VLOOKUP(D1304,Stock,3,FALSE),"")</f>
        <v>Honda Brio 18- (Honda)</v>
      </c>
      <c r="F1304" s="822">
        <v>1.0</v>
      </c>
      <c r="G1304" s="756"/>
      <c r="H1304" s="824">
        <f t="shared" si="7"/>
        <v>0</v>
      </c>
      <c r="I1304" s="825"/>
      <c r="J1304" s="826"/>
      <c r="K1304" s="850" t="s">
        <v>3191</v>
      </c>
      <c r="L1304" s="548" t="s">
        <v>10137</v>
      </c>
    </row>
    <row r="1305" ht="15.0" customHeight="1">
      <c r="A1305" s="834">
        <v>46051.0</v>
      </c>
      <c r="B1305" s="603" t="s">
        <v>10640</v>
      </c>
      <c r="C1305" s="822" t="s">
        <v>10139</v>
      </c>
      <c r="D1305" s="109" t="s">
        <v>7653</v>
      </c>
      <c r="E1305" s="594" t="str">
        <f>IFERROR(VLOOKUP(D1305,Stock,3,FALSE),"")</f>
        <v>Toyota LandCruiser Prado 96-02 FJ90</v>
      </c>
      <c r="F1305" s="822">
        <v>1.0</v>
      </c>
      <c r="G1305" s="756"/>
      <c r="H1305" s="824">
        <f t="shared" si="7"/>
        <v>0</v>
      </c>
      <c r="I1305" s="825"/>
      <c r="J1305" s="826"/>
      <c r="K1305" s="827"/>
    </row>
    <row r="1306" ht="15.0" customHeight="1">
      <c r="A1306" s="834">
        <v>46051.0</v>
      </c>
      <c r="B1306" s="603" t="s">
        <v>10640</v>
      </c>
      <c r="C1306" s="822" t="s">
        <v>10139</v>
      </c>
      <c r="D1306" s="109" t="s">
        <v>7657</v>
      </c>
      <c r="E1306" s="594" t="str">
        <f>IFERROR(VLOOKUP(D1306,Stock,3,FALSE),"")</f>
        <v>Honda Jazz 01-07 1st Gen</v>
      </c>
      <c r="F1306" s="822">
        <v>1.0</v>
      </c>
      <c r="G1306" s="756"/>
      <c r="H1306" s="824">
        <f t="shared" si="7"/>
        <v>0</v>
      </c>
      <c r="I1306" s="825"/>
      <c r="J1306" s="826"/>
      <c r="K1306" s="827"/>
    </row>
    <row r="1307" ht="15.0" customHeight="1">
      <c r="A1307" s="820"/>
      <c r="B1307" s="603"/>
      <c r="C1307" s="822" t="s">
        <v>10139</v>
      </c>
      <c r="D1307" s="109" t="s">
        <v>7667</v>
      </c>
      <c r="E1307" s="594" t="str">
        <f>IFERROR(VLOOKUP(D1307,Stock,3,FALSE),"")</f>
        <v>BMW Series 7 95-01 E38</v>
      </c>
      <c r="F1307" s="822">
        <v>1.0</v>
      </c>
      <c r="G1307" s="756"/>
      <c r="H1307" s="824">
        <f t="shared" si="7"/>
        <v>0</v>
      </c>
      <c r="I1307" s="825"/>
      <c r="J1307" s="826"/>
      <c r="K1307" s="827"/>
    </row>
    <row r="1308" ht="15.0" customHeight="1">
      <c r="A1308" s="820"/>
      <c r="B1308" s="603"/>
      <c r="C1308" s="822" t="s">
        <v>10156</v>
      </c>
      <c r="D1308" s="109" t="s">
        <v>7523</v>
      </c>
      <c r="E1308" s="594" t="str">
        <f>IFERROR(VLOOKUP(D1308,Stock,3,FALSE),"")</f>
        <v>Mitsubishi Fuso Super Great FV100 96-</v>
      </c>
      <c r="F1308" s="822">
        <v>1.0</v>
      </c>
      <c r="G1308" s="756"/>
      <c r="H1308" s="824">
        <f t="shared" si="7"/>
        <v>0</v>
      </c>
      <c r="I1308" s="825"/>
      <c r="J1308" s="826"/>
      <c r="K1308" s="827"/>
    </row>
    <row r="1309" ht="15.0" customHeight="1">
      <c r="A1309" s="834">
        <v>46052.0</v>
      </c>
      <c r="B1309" s="603" t="s">
        <v>10641</v>
      </c>
      <c r="C1309" s="822" t="s">
        <v>10139</v>
      </c>
      <c r="D1309" s="109" t="s">
        <v>7677</v>
      </c>
      <c r="E1309" s="594" t="str">
        <f>IFERROR(VLOOKUP(D1309,Stock,3,FALSE),"")</f>
        <v>Toyota Yaris 05-13 XP90 1st Gen</v>
      </c>
      <c r="F1309" s="822">
        <v>1.0</v>
      </c>
      <c r="G1309" s="756">
        <v>440000.0</v>
      </c>
      <c r="H1309" s="824">
        <f t="shared" si="7"/>
        <v>440000</v>
      </c>
      <c r="I1309" s="825"/>
      <c r="J1309" s="826"/>
      <c r="K1309" s="850" t="s">
        <v>3481</v>
      </c>
    </row>
    <row r="1310" ht="15.0" customHeight="1">
      <c r="A1310" s="786">
        <v>46050.0</v>
      </c>
      <c r="B1310" s="787" t="s">
        <v>10642</v>
      </c>
      <c r="C1310" s="788" t="s">
        <v>10300</v>
      </c>
      <c r="D1310" s="851" t="s">
        <v>7619</v>
      </c>
      <c r="E1310" s="790" t="str">
        <f>IFERROR(VLOOKUP(D1310,Stock,3,FALSE),"")</f>
        <v>Toyota Hi-Ace 19- Premio (Toyota)</v>
      </c>
      <c r="F1310" s="788">
        <v>1.0</v>
      </c>
      <c r="G1310" s="860">
        <v>1.264E7</v>
      </c>
      <c r="H1310" s="799">
        <f t="shared" si="7"/>
        <v>12640000</v>
      </c>
      <c r="I1310" s="800"/>
      <c r="J1310" s="812"/>
      <c r="K1310" s="848" t="s">
        <v>2976</v>
      </c>
      <c r="L1310" s="806" t="s">
        <v>10137</v>
      </c>
      <c r="M1310" s="806" t="s">
        <v>2763</v>
      </c>
      <c r="N1310" s="807">
        <v>46073.0</v>
      </c>
      <c r="O1310" s="803"/>
    </row>
    <row r="1311" ht="15.0" customHeight="1">
      <c r="A1311" s="786">
        <v>46049.0</v>
      </c>
      <c r="B1311" s="787" t="s">
        <v>10643</v>
      </c>
      <c r="C1311" s="788" t="s">
        <v>10300</v>
      </c>
      <c r="D1311" s="851" t="s">
        <v>4439</v>
      </c>
      <c r="E1311" s="790" t="str">
        <f>IFERROR(VLOOKUP(D1311,Stock,3,FALSE),"")</f>
        <v>Toyota Innova 04-15 1st Gen (Toyota)</v>
      </c>
      <c r="F1311" s="788">
        <v>1.0</v>
      </c>
      <c r="G1311" s="860">
        <v>1711200.0</v>
      </c>
      <c r="H1311" s="799">
        <f t="shared" si="7"/>
        <v>1711200</v>
      </c>
      <c r="I1311" s="800"/>
      <c r="J1311" s="812"/>
      <c r="K1311" s="813"/>
      <c r="L1311" s="806" t="s">
        <v>10137</v>
      </c>
      <c r="M1311" s="806" t="s">
        <v>2763</v>
      </c>
      <c r="N1311" s="807">
        <v>46073.0</v>
      </c>
      <c r="O1311" s="803"/>
    </row>
    <row r="1312" ht="15.0" customHeight="1">
      <c r="A1312" s="786">
        <v>46049.0</v>
      </c>
      <c r="B1312" s="787" t="s">
        <v>10643</v>
      </c>
      <c r="C1312" s="788" t="s">
        <v>10300</v>
      </c>
      <c r="D1312" s="851" t="s">
        <v>7782</v>
      </c>
      <c r="E1312" s="790" t="str">
        <f>IFERROR(VLOOKUP(D1312,Stock,3,FALSE),"")</f>
        <v>Toyota Innova 22- Zenyx 3rd Gen (Toyota)</v>
      </c>
      <c r="F1312" s="788">
        <v>1.0</v>
      </c>
      <c r="G1312" s="860">
        <v>1692800.0</v>
      </c>
      <c r="H1312" s="799">
        <f t="shared" si="7"/>
        <v>1692800</v>
      </c>
      <c r="I1312" s="800"/>
      <c r="J1312" s="812"/>
      <c r="K1312" s="813"/>
      <c r="L1312" s="806" t="s">
        <v>10137</v>
      </c>
      <c r="M1312" s="806" t="s">
        <v>2763</v>
      </c>
      <c r="N1312" s="807">
        <v>46073.0</v>
      </c>
      <c r="O1312" s="803"/>
    </row>
    <row r="1313" ht="15.0" customHeight="1">
      <c r="A1313" s="786">
        <v>46049.0</v>
      </c>
      <c r="B1313" s="787" t="s">
        <v>10643</v>
      </c>
      <c r="C1313" s="788" t="s">
        <v>10300</v>
      </c>
      <c r="D1313" s="851" t="s">
        <v>4748</v>
      </c>
      <c r="E1313" s="790" t="str">
        <f>IFERROR(VLOOKUP(D1313,Stock,3,FALSE),"")</f>
        <v>Toyota Rush / Terios 06-17 (Toyota/Daihatsu)</v>
      </c>
      <c r="F1313" s="788">
        <v>1.0</v>
      </c>
      <c r="G1313" s="860">
        <v>450800.0</v>
      </c>
      <c r="H1313" s="799">
        <f t="shared" si="7"/>
        <v>450800</v>
      </c>
      <c r="I1313" s="800"/>
      <c r="J1313" s="812"/>
      <c r="K1313" s="813"/>
      <c r="L1313" s="806" t="s">
        <v>10137</v>
      </c>
      <c r="M1313" s="806" t="s">
        <v>2763</v>
      </c>
      <c r="N1313" s="807">
        <v>46073.0</v>
      </c>
      <c r="O1313" s="803"/>
    </row>
    <row r="1314" ht="15.0" customHeight="1">
      <c r="A1314" s="786">
        <v>46049.0</v>
      </c>
      <c r="B1314" s="787" t="s">
        <v>10643</v>
      </c>
      <c r="C1314" s="788" t="s">
        <v>10300</v>
      </c>
      <c r="D1314" s="851" t="s">
        <v>7780</v>
      </c>
      <c r="E1314" s="790" t="str">
        <f>IFERROR(VLOOKUP(D1314,Stock,3,FALSE),"")</f>
        <v>Toyota Innova 15-22 2nd Gen (Toyota)</v>
      </c>
      <c r="F1314" s="788">
        <v>1.0</v>
      </c>
      <c r="G1314" s="860">
        <v>455400.0</v>
      </c>
      <c r="H1314" s="799">
        <f t="shared" si="7"/>
        <v>455400</v>
      </c>
      <c r="I1314" s="800"/>
      <c r="J1314" s="812"/>
      <c r="K1314" s="813"/>
      <c r="L1314" s="806" t="s">
        <v>10137</v>
      </c>
      <c r="M1314" s="806" t="s">
        <v>2763</v>
      </c>
      <c r="N1314" s="807">
        <v>46073.0</v>
      </c>
      <c r="O1314" s="803"/>
    </row>
    <row r="1315" ht="15.0" customHeight="1">
      <c r="A1315" s="786">
        <v>46049.0</v>
      </c>
      <c r="B1315" s="787" t="s">
        <v>10643</v>
      </c>
      <c r="C1315" s="788" t="s">
        <v>10300</v>
      </c>
      <c r="D1315" s="851" t="s">
        <v>4745</v>
      </c>
      <c r="E1315" s="790" t="str">
        <f>IFERROR(VLOOKUP(D1315,Stock,3,FALSE),"")</f>
        <v>Toyota Fortuner 15-  2nd Gen / Toyota Hilux Pickup 15- (Revo) (Toyota)</v>
      </c>
      <c r="F1315" s="788">
        <v>1.0</v>
      </c>
      <c r="G1315" s="860">
        <v>455400.0</v>
      </c>
      <c r="H1315" s="799">
        <f t="shared" si="7"/>
        <v>455400</v>
      </c>
      <c r="I1315" s="800"/>
      <c r="J1315" s="812"/>
      <c r="K1315" s="813"/>
      <c r="L1315" s="806" t="s">
        <v>10137</v>
      </c>
      <c r="M1315" s="806" t="s">
        <v>2763</v>
      </c>
      <c r="N1315" s="807">
        <v>46073.0</v>
      </c>
      <c r="O1315" s="803"/>
    </row>
    <row r="1316" ht="15.0" customHeight="1">
      <c r="A1316" s="786">
        <v>46049.0</v>
      </c>
      <c r="B1316" s="787" t="s">
        <v>10643</v>
      </c>
      <c r="C1316" s="788" t="s">
        <v>10300</v>
      </c>
      <c r="D1316" s="851" t="s">
        <v>5063</v>
      </c>
      <c r="E1316" s="790" t="str">
        <f>IFERROR(VLOOKUP(D1316,Stock,3,FALSE),"")</f>
        <v>Toyota Innova 22- Zenyx 3rd Gen (Toyota)</v>
      </c>
      <c r="F1316" s="788">
        <v>1.0</v>
      </c>
      <c r="G1316" s="860">
        <v>152720.0</v>
      </c>
      <c r="H1316" s="799">
        <f t="shared" si="7"/>
        <v>152720</v>
      </c>
      <c r="I1316" s="800"/>
      <c r="J1316" s="812"/>
      <c r="K1316" s="813"/>
      <c r="L1316" s="806" t="s">
        <v>10137</v>
      </c>
      <c r="M1316" s="806" t="s">
        <v>2763</v>
      </c>
      <c r="N1316" s="807">
        <v>46073.0</v>
      </c>
      <c r="O1316" s="803"/>
    </row>
    <row r="1317" ht="15.0" customHeight="1">
      <c r="A1317" s="786">
        <v>46049.0</v>
      </c>
      <c r="B1317" s="787" t="s">
        <v>10643</v>
      </c>
      <c r="C1317" s="788" t="s">
        <v>10300</v>
      </c>
      <c r="D1317" s="851" t="s">
        <v>7781</v>
      </c>
      <c r="E1317" s="790" t="str">
        <f>IFERROR(VLOOKUP(D1317,Stock,3,FALSE),"")</f>
        <v>Toyota Innova 15-22 2nd Gen (Toyota)</v>
      </c>
      <c r="F1317" s="788">
        <v>1.0</v>
      </c>
      <c r="G1317" s="860">
        <v>455400.0</v>
      </c>
      <c r="H1317" s="799">
        <f t="shared" si="7"/>
        <v>455400</v>
      </c>
      <c r="I1317" s="800"/>
      <c r="J1317" s="812"/>
      <c r="K1317" s="813"/>
      <c r="L1317" s="806" t="s">
        <v>10137</v>
      </c>
      <c r="M1317" s="806" t="s">
        <v>2763</v>
      </c>
      <c r="N1317" s="807">
        <v>46073.0</v>
      </c>
      <c r="O1317" s="803"/>
    </row>
    <row r="1318" ht="15.0" customHeight="1">
      <c r="A1318" s="786">
        <v>46049.0</v>
      </c>
      <c r="B1318" s="787" t="s">
        <v>10643</v>
      </c>
      <c r="C1318" s="788" t="s">
        <v>10300</v>
      </c>
      <c r="D1318" s="851" t="s">
        <v>5705</v>
      </c>
      <c r="E1318" s="790" t="str">
        <f>IFERROR(VLOOKUP(D1318,Stock,3,FALSE),"")</f>
        <v>Toyota Innova 15-22 2nd Gen (Toyota)</v>
      </c>
      <c r="F1318" s="788">
        <v>1.0</v>
      </c>
      <c r="G1318" s="860">
        <v>262200.0</v>
      </c>
      <c r="H1318" s="799">
        <f t="shared" si="7"/>
        <v>262200</v>
      </c>
      <c r="I1318" s="800"/>
      <c r="J1318" s="812"/>
      <c r="K1318" s="813"/>
      <c r="L1318" s="806" t="s">
        <v>10137</v>
      </c>
      <c r="M1318" s="806" t="s">
        <v>2763</v>
      </c>
      <c r="N1318" s="807">
        <v>46073.0</v>
      </c>
      <c r="O1318" s="803"/>
    </row>
    <row r="1319" ht="15.0" customHeight="1">
      <c r="A1319" s="786">
        <v>46049.0</v>
      </c>
      <c r="B1319" s="787" t="s">
        <v>10643</v>
      </c>
      <c r="C1319" s="788" t="s">
        <v>10300</v>
      </c>
      <c r="D1319" s="851" t="s">
        <v>7301</v>
      </c>
      <c r="E1319" s="790" t="str">
        <f>IFERROR(VLOOKUP(D1319,Stock,3,FALSE),"")</f>
        <v>Toyota Avanza / Xenia 21- 4th Gen (Toyota/Daihatsu)</v>
      </c>
      <c r="F1319" s="788">
        <v>1.0</v>
      </c>
      <c r="G1319" s="860">
        <v>303600.0</v>
      </c>
      <c r="H1319" s="799">
        <f t="shared" si="7"/>
        <v>303600</v>
      </c>
      <c r="I1319" s="800"/>
      <c r="J1319" s="812"/>
      <c r="K1319" s="813"/>
      <c r="L1319" s="806" t="s">
        <v>10137</v>
      </c>
      <c r="M1319" s="806" t="s">
        <v>2763</v>
      </c>
      <c r="N1319" s="807">
        <v>46073.0</v>
      </c>
      <c r="O1319" s="803"/>
    </row>
    <row r="1320" ht="15.0" customHeight="1">
      <c r="A1320" s="786">
        <v>46049.0</v>
      </c>
      <c r="B1320" s="787" t="s">
        <v>10643</v>
      </c>
      <c r="C1320" s="788" t="s">
        <v>10300</v>
      </c>
      <c r="D1320" s="851" t="s">
        <v>7592</v>
      </c>
      <c r="E1320" s="790" t="str">
        <f>IFERROR(VLOOKUP(D1320,Stock,3,FALSE),"")</f>
        <v>Toyota Avanza / Xenia 21- 4th Gen (Toyota/Daihatsu)</v>
      </c>
      <c r="F1320" s="788">
        <v>2.0</v>
      </c>
      <c r="G1320" s="860">
        <v>303600.0</v>
      </c>
      <c r="H1320" s="799">
        <f t="shared" si="7"/>
        <v>607200</v>
      </c>
      <c r="I1320" s="800"/>
      <c r="J1320" s="812"/>
      <c r="K1320" s="813"/>
      <c r="L1320" s="806" t="s">
        <v>10137</v>
      </c>
      <c r="M1320" s="806" t="s">
        <v>2763</v>
      </c>
      <c r="N1320" s="807">
        <v>46073.0</v>
      </c>
      <c r="O1320" s="803"/>
    </row>
    <row r="1321" ht="15.0" customHeight="1">
      <c r="A1321" s="786">
        <v>46049.0</v>
      </c>
      <c r="B1321" s="787" t="s">
        <v>10643</v>
      </c>
      <c r="C1321" s="788" t="s">
        <v>10300</v>
      </c>
      <c r="D1321" s="851" t="s">
        <v>4747</v>
      </c>
      <c r="E1321" s="790" t="str">
        <f>IFERROR(VLOOKUP(D1321,Stock,3,FALSE),"")</f>
        <v>Toyota Fortuner 15- 2nd Gen (Toyota)</v>
      </c>
      <c r="F1321" s="788">
        <v>1.0</v>
      </c>
      <c r="G1321" s="860">
        <v>276000.0</v>
      </c>
      <c r="H1321" s="799">
        <f t="shared" si="7"/>
        <v>276000</v>
      </c>
      <c r="I1321" s="800"/>
      <c r="J1321" s="812"/>
      <c r="K1321" s="813"/>
      <c r="L1321" s="806" t="s">
        <v>10137</v>
      </c>
      <c r="M1321" s="806" t="s">
        <v>2763</v>
      </c>
      <c r="N1321" s="807">
        <v>46073.0</v>
      </c>
      <c r="O1321" s="803"/>
    </row>
    <row r="1322" ht="15.0" customHeight="1">
      <c r="A1322" s="786">
        <v>46049.0</v>
      </c>
      <c r="B1322" s="787" t="s">
        <v>10643</v>
      </c>
      <c r="C1322" s="788" t="s">
        <v>10300</v>
      </c>
      <c r="D1322" s="851" t="s">
        <v>2964</v>
      </c>
      <c r="E1322" s="790" t="str">
        <f>IFERROR(VLOOKUP(D1322,Stock,3,FALSE),"")</f>
        <v>Toyota Fortuner 15- 2nd Gen (Toyota)</v>
      </c>
      <c r="F1322" s="788">
        <v>1.0</v>
      </c>
      <c r="G1322" s="860">
        <v>276000.0</v>
      </c>
      <c r="H1322" s="799">
        <f t="shared" si="7"/>
        <v>276000</v>
      </c>
      <c r="I1322" s="800"/>
      <c r="J1322" s="812"/>
      <c r="K1322" s="813"/>
      <c r="L1322" s="806" t="s">
        <v>10137</v>
      </c>
      <c r="M1322" s="806" t="s">
        <v>2763</v>
      </c>
      <c r="N1322" s="807">
        <v>46073.0</v>
      </c>
      <c r="O1322" s="803"/>
    </row>
    <row r="1323" ht="15.0" customHeight="1">
      <c r="A1323" s="786">
        <v>46051.0</v>
      </c>
      <c r="B1323" s="787">
        <v>2601968.0</v>
      </c>
      <c r="C1323" s="788" t="s">
        <v>10136</v>
      </c>
      <c r="D1323" s="851" t="s">
        <v>7671</v>
      </c>
      <c r="E1323" s="790" t="str">
        <f>IFERROR(VLOOKUP(D1323,Stock,3,FALSE),"")</f>
        <v>Nissan Evalia 10- X11M</v>
      </c>
      <c r="F1323" s="788">
        <v>2.0</v>
      </c>
      <c r="G1323" s="860">
        <v>397100.0</v>
      </c>
      <c r="H1323" s="799">
        <f t="shared" si="7"/>
        <v>794200</v>
      </c>
      <c r="I1323" s="800"/>
      <c r="J1323" s="812"/>
      <c r="K1323" s="813"/>
      <c r="L1323" s="806" t="s">
        <v>10137</v>
      </c>
      <c r="M1323" s="806" t="s">
        <v>2763</v>
      </c>
      <c r="N1323" s="837">
        <v>46114.0</v>
      </c>
      <c r="O1323" s="803"/>
    </row>
    <row r="1324" ht="15.0" customHeight="1">
      <c r="A1324" s="786">
        <v>46052.0</v>
      </c>
      <c r="B1324" s="787" t="s">
        <v>10644</v>
      </c>
      <c r="C1324" s="788" t="s">
        <v>2643</v>
      </c>
      <c r="D1324" s="851" t="s">
        <v>4627</v>
      </c>
      <c r="E1324" s="790" t="str">
        <f>IFERROR(VLOOKUP(D1324,Stock,3,FALSE),"")</f>
        <v>Honda Brio 18- (Honda)</v>
      </c>
      <c r="F1324" s="788">
        <v>2.0</v>
      </c>
      <c r="G1324" s="860">
        <v>146520.0</v>
      </c>
      <c r="H1324" s="799">
        <f t="shared" si="7"/>
        <v>293040</v>
      </c>
      <c r="I1324" s="800"/>
      <c r="J1324" s="812"/>
      <c r="K1324" s="813"/>
      <c r="L1324" s="806" t="s">
        <v>10137</v>
      </c>
      <c r="M1324" s="806" t="s">
        <v>2763</v>
      </c>
      <c r="N1324" s="837">
        <v>46112.0</v>
      </c>
      <c r="O1324" s="803"/>
    </row>
    <row r="1325" ht="15.0" customHeight="1">
      <c r="A1325" s="786">
        <v>46052.0</v>
      </c>
      <c r="B1325" s="787" t="s">
        <v>10644</v>
      </c>
      <c r="C1325" s="788" t="s">
        <v>2643</v>
      </c>
      <c r="D1325" s="851" t="s">
        <v>4176</v>
      </c>
      <c r="E1325" s="790" t="str">
        <f>IFERROR(VLOOKUP(D1325,Stock,3,FALSE),"")</f>
        <v>Honda HR-V 22- 5D SUV (Honda)</v>
      </c>
      <c r="F1325" s="788">
        <v>1.0</v>
      </c>
      <c r="G1325" s="860">
        <v>2124540.0</v>
      </c>
      <c r="H1325" s="799">
        <f t="shared" si="7"/>
        <v>2124540</v>
      </c>
      <c r="I1325" s="800"/>
      <c r="J1325" s="812"/>
      <c r="K1325" s="813"/>
      <c r="L1325" s="806" t="s">
        <v>10137</v>
      </c>
      <c r="M1325" s="806" t="s">
        <v>2763</v>
      </c>
      <c r="N1325" s="837">
        <v>46112.0</v>
      </c>
      <c r="O1325" s="803"/>
    </row>
    <row r="1326" ht="15.0" customHeight="1">
      <c r="A1326" s="786">
        <v>46052.0</v>
      </c>
      <c r="B1326" s="787" t="s">
        <v>10644</v>
      </c>
      <c r="C1326" s="788" t="s">
        <v>2643</v>
      </c>
      <c r="D1326" s="851" t="s">
        <v>6034</v>
      </c>
      <c r="E1326" s="790" t="str">
        <f>IFERROR(VLOOKUP(D1326,Stock,3,FALSE),"")</f>
        <v>Honda HR-V 22- 5D SUV (Honda)</v>
      </c>
      <c r="F1326" s="788">
        <v>1.0</v>
      </c>
      <c r="G1326" s="860">
        <v>1377288.0</v>
      </c>
      <c r="H1326" s="799">
        <f t="shared" si="7"/>
        <v>1377288</v>
      </c>
      <c r="I1326" s="800"/>
      <c r="J1326" s="812"/>
      <c r="K1326" s="813"/>
      <c r="L1326" s="806" t="s">
        <v>10137</v>
      </c>
      <c r="M1326" s="806" t="s">
        <v>2763</v>
      </c>
      <c r="N1326" s="837">
        <v>46112.0</v>
      </c>
      <c r="O1326" s="803"/>
    </row>
    <row r="1327" ht="15.0" customHeight="1">
      <c r="A1327" s="786">
        <v>46052.0</v>
      </c>
      <c r="B1327" s="787" t="s">
        <v>10644</v>
      </c>
      <c r="C1327" s="788" t="s">
        <v>2643</v>
      </c>
      <c r="D1327" s="851" t="s">
        <v>4720</v>
      </c>
      <c r="E1327" s="790" t="str">
        <f>IFERROR(VLOOKUP(D1327,Stock,3,FALSE),"")</f>
        <v>Honda Jazz 13-  3rd Gen (Honda)</v>
      </c>
      <c r="F1327" s="788">
        <v>1.0</v>
      </c>
      <c r="G1327" s="860">
        <v>1670328.0</v>
      </c>
      <c r="H1327" s="799">
        <f t="shared" si="7"/>
        <v>1670328</v>
      </c>
      <c r="I1327" s="800"/>
      <c r="J1327" s="812"/>
      <c r="K1327" s="813"/>
      <c r="L1327" s="806" t="s">
        <v>10137</v>
      </c>
      <c r="M1327" s="806" t="s">
        <v>2763</v>
      </c>
      <c r="N1327" s="837">
        <v>46112.0</v>
      </c>
      <c r="O1327" s="803"/>
    </row>
    <row r="1328" ht="15.0" customHeight="1">
      <c r="A1328" s="786">
        <v>46052.0</v>
      </c>
      <c r="B1328" s="787" t="s">
        <v>10644</v>
      </c>
      <c r="C1328" s="788" t="s">
        <v>2643</v>
      </c>
      <c r="D1328" s="851" t="s">
        <v>5062</v>
      </c>
      <c r="E1328" s="790" t="str">
        <f>IFERROR(VLOOKUP(D1328,Stock,3,FALSE),"")</f>
        <v>Honda CR-V 17-23 5th Gen (Honda)</v>
      </c>
      <c r="F1328" s="788">
        <v>1.0</v>
      </c>
      <c r="G1328" s="860">
        <v>1196580.0</v>
      </c>
      <c r="H1328" s="799">
        <f t="shared" si="7"/>
        <v>1196580</v>
      </c>
      <c r="I1328" s="800"/>
      <c r="J1328" s="812"/>
      <c r="K1328" s="813"/>
      <c r="L1328" s="806" t="s">
        <v>10137</v>
      </c>
      <c r="M1328" s="806" t="s">
        <v>2763</v>
      </c>
      <c r="N1328" s="837">
        <v>46112.0</v>
      </c>
      <c r="O1328" s="803"/>
    </row>
    <row r="1329" ht="15.0" customHeight="1">
      <c r="A1329" s="786">
        <v>46052.0</v>
      </c>
      <c r="B1329" s="787" t="s">
        <v>10644</v>
      </c>
      <c r="C1329" s="788" t="s">
        <v>2643</v>
      </c>
      <c r="D1329" s="851" t="s">
        <v>10645</v>
      </c>
      <c r="E1329" s="790" t="str">
        <f>IFERROR(VLOOKUP(D1329,Stock,3,FALSE),"")</f>
        <v>Honda Jazz 13-  3rd Gen (Honda)</v>
      </c>
      <c r="F1329" s="788">
        <v>1.0</v>
      </c>
      <c r="G1329" s="860">
        <v>1225884.0</v>
      </c>
      <c r="H1329" s="799">
        <f t="shared" si="7"/>
        <v>1225884</v>
      </c>
      <c r="I1329" s="800"/>
      <c r="J1329" s="812"/>
      <c r="K1329" s="813"/>
      <c r="L1329" s="806" t="s">
        <v>10137</v>
      </c>
      <c r="M1329" s="806" t="s">
        <v>2763</v>
      </c>
      <c r="N1329" s="837">
        <v>46112.0</v>
      </c>
      <c r="O1329" s="803"/>
    </row>
    <row r="1330" ht="15.0" customHeight="1">
      <c r="A1330" s="786">
        <v>46052.0</v>
      </c>
      <c r="B1330" s="787">
        <v>2601974.0</v>
      </c>
      <c r="C1330" s="788" t="s">
        <v>10136</v>
      </c>
      <c r="D1330" s="851" t="s">
        <v>7738</v>
      </c>
      <c r="E1330" s="790" t="str">
        <f>IFERROR(VLOOKUP(D1330,Stock,3,FALSE),"")</f>
        <v>Chevrolet Aveo 11- T300 2nd Gen Hatchback</v>
      </c>
      <c r="F1330" s="788">
        <v>1.0</v>
      </c>
      <c r="G1330" s="860">
        <v>1060400.0</v>
      </c>
      <c r="H1330" s="799">
        <f t="shared" si="7"/>
        <v>1060400</v>
      </c>
      <c r="I1330" s="800"/>
      <c r="J1330" s="812"/>
      <c r="K1330" s="848" t="s">
        <v>3481</v>
      </c>
      <c r="L1330" s="806" t="s">
        <v>10137</v>
      </c>
      <c r="M1330" s="806" t="s">
        <v>2763</v>
      </c>
      <c r="N1330" s="837">
        <v>46114.0</v>
      </c>
      <c r="O1330" s="803"/>
    </row>
    <row r="1331" ht="15.0" customHeight="1">
      <c r="A1331" s="786">
        <v>46052.0</v>
      </c>
      <c r="B1331" s="787">
        <v>2601979.0</v>
      </c>
      <c r="C1331" s="788" t="s">
        <v>10136</v>
      </c>
      <c r="D1331" s="851" t="s">
        <v>7265</v>
      </c>
      <c r="E1331" s="790" t="str">
        <f>IFERROR(VLOOKUP(D1331,Stock,3,FALSE),"")</f>
        <v>Hino Ranger Louhan 03- / Hino 500</v>
      </c>
      <c r="F1331" s="788">
        <v>2.0</v>
      </c>
      <c r="G1331" s="860">
        <v>864050.0</v>
      </c>
      <c r="H1331" s="799">
        <f t="shared" si="7"/>
        <v>1728100</v>
      </c>
      <c r="I1331" s="800"/>
      <c r="J1331" s="812"/>
      <c r="K1331" s="848" t="s">
        <v>3481</v>
      </c>
      <c r="L1331" s="806" t="s">
        <v>10137</v>
      </c>
      <c r="M1331" s="806" t="s">
        <v>2763</v>
      </c>
      <c r="N1331" s="837">
        <v>46114.0</v>
      </c>
      <c r="O1331" s="803"/>
    </row>
    <row r="1332" ht="15.0" customHeight="1">
      <c r="A1332" s="834">
        <v>46052.0</v>
      </c>
      <c r="B1332" s="603" t="s">
        <v>10646</v>
      </c>
      <c r="C1332" s="822" t="s">
        <v>10156</v>
      </c>
      <c r="D1332" s="109" t="s">
        <v>7694</v>
      </c>
      <c r="E1332" s="594" t="str">
        <f>IFERROR(VLOOKUP(D1332,Stock,3,FALSE),"")</f>
        <v>Toyota Kijang  98- Kapsul Karet (7K)</v>
      </c>
      <c r="F1332" s="822">
        <v>1.0</v>
      </c>
      <c r="G1332" s="756">
        <v>250000.0</v>
      </c>
      <c r="H1332" s="824">
        <f t="shared" si="7"/>
        <v>250000</v>
      </c>
      <c r="I1332" s="825"/>
      <c r="J1332" s="826"/>
      <c r="K1332" s="850" t="s">
        <v>9900</v>
      </c>
    </row>
    <row r="1333" ht="15.0" customHeight="1">
      <c r="A1333" s="834">
        <v>46053.0</v>
      </c>
      <c r="B1333" s="603" t="s">
        <v>10647</v>
      </c>
      <c r="C1333" s="822" t="s">
        <v>10139</v>
      </c>
      <c r="D1333" s="109" t="s">
        <v>7729</v>
      </c>
      <c r="E1333" s="594" t="str">
        <f>IFERROR(VLOOKUP(D1333,Stock,3,FALSE),"")</f>
        <v>Toyota Alphard 02-08 ANH10 1st Gen (Rata)</v>
      </c>
      <c r="F1333" s="822">
        <v>1.0</v>
      </c>
      <c r="G1333" s="756">
        <v>1192050.0</v>
      </c>
      <c r="H1333" s="824">
        <f t="shared" si="7"/>
        <v>1192050</v>
      </c>
      <c r="I1333" s="825"/>
      <c r="J1333" s="826"/>
      <c r="K1333" s="827"/>
    </row>
    <row r="1334" ht="15.0" customHeight="1">
      <c r="A1334" s="834">
        <v>46053.0</v>
      </c>
      <c r="B1334" s="603" t="s">
        <v>10647</v>
      </c>
      <c r="C1334" s="822" t="s">
        <v>10139</v>
      </c>
      <c r="D1334" s="109" t="s">
        <v>7734</v>
      </c>
      <c r="E1334" s="594" t="str">
        <f>IFERROR(VLOOKUP(D1334,Stock,3,FALSE),"")</f>
        <v>Hyundai H1 08- / Mover (Lubang)</v>
      </c>
      <c r="F1334" s="822">
        <v>1.0</v>
      </c>
      <c r="G1334" s="756">
        <v>1338525.0</v>
      </c>
      <c r="H1334" s="824">
        <f t="shared" si="7"/>
        <v>1338525</v>
      </c>
      <c r="I1334" s="825"/>
      <c r="J1334" s="826"/>
      <c r="K1334" s="827"/>
    </row>
    <row r="1335" ht="15.0" customHeight="1">
      <c r="A1335" s="834">
        <v>46054.0</v>
      </c>
      <c r="B1335" s="603" t="s">
        <v>10648</v>
      </c>
      <c r="C1335" s="822" t="s">
        <v>10139</v>
      </c>
      <c r="D1335" s="109" t="s">
        <v>7741</v>
      </c>
      <c r="E1335" s="594" t="str">
        <f>IFERROR(VLOOKUP(D1335,Stock,3,FALSE),"")</f>
        <v>BMW 3 Series 12-18 F30/F35</v>
      </c>
      <c r="F1335" s="822">
        <v>1.0</v>
      </c>
      <c r="G1335" s="756">
        <v>489375.0</v>
      </c>
      <c r="H1335" s="824">
        <f t="shared" si="7"/>
        <v>489375</v>
      </c>
      <c r="I1335" s="825"/>
      <c r="J1335" s="826"/>
      <c r="K1335" s="827"/>
    </row>
    <row r="1336" ht="15.0" customHeight="1">
      <c r="A1336" s="834">
        <v>46054.0</v>
      </c>
      <c r="B1336" s="603" t="s">
        <v>10648</v>
      </c>
      <c r="C1336" s="822" t="s">
        <v>10139</v>
      </c>
      <c r="D1336" s="109" t="s">
        <v>2962</v>
      </c>
      <c r="E1336" s="594" t="str">
        <f>IFERROR(VLOOKUP(D1336,Stock,3,FALSE),"")</f>
        <v>Lembur</v>
      </c>
      <c r="F1336" s="822">
        <v>1.0</v>
      </c>
      <c r="G1336" s="756">
        <v>100000.0</v>
      </c>
      <c r="H1336" s="824">
        <f t="shared" si="7"/>
        <v>100000</v>
      </c>
      <c r="I1336" s="825"/>
      <c r="J1336" s="826"/>
      <c r="K1336" s="827"/>
    </row>
    <row r="1337" ht="15.0" customHeight="1">
      <c r="A1337" s="834">
        <v>46055.0</v>
      </c>
      <c r="B1337" s="603" t="s">
        <v>10649</v>
      </c>
      <c r="C1337" s="822" t="s">
        <v>10139</v>
      </c>
      <c r="D1337" s="109" t="s">
        <v>7770</v>
      </c>
      <c r="E1337" s="594" t="str">
        <f>IFERROR(VLOOKUP(D1337,Stock,3,FALSE),"")</f>
        <v>Mitsubishi Xpander 17- / Livina 19- 2nd Gen</v>
      </c>
      <c r="F1337" s="822">
        <v>1.0</v>
      </c>
      <c r="G1337" s="756">
        <v>215000.0</v>
      </c>
      <c r="H1337" s="824">
        <f t="shared" si="7"/>
        <v>215000</v>
      </c>
      <c r="I1337" s="825"/>
      <c r="J1337" s="826"/>
      <c r="K1337" s="827"/>
    </row>
    <row r="1338" ht="15.0" customHeight="1">
      <c r="A1338" s="834">
        <v>46055.0</v>
      </c>
      <c r="B1338" s="603" t="s">
        <v>10650</v>
      </c>
      <c r="C1338" s="822" t="s">
        <v>66</v>
      </c>
      <c r="D1338" s="109" t="s">
        <v>4534</v>
      </c>
      <c r="E1338" s="594" t="str">
        <f>IFERROR(VLOOKUP(D1338,Stock,3,FALSE),"")</f>
        <v>Suzuki Ertiga 12-18 1st Gen MPV</v>
      </c>
      <c r="F1338" s="822">
        <v>1.0</v>
      </c>
      <c r="G1338" s="756">
        <v>200000.0</v>
      </c>
      <c r="H1338" s="824">
        <f t="shared" si="7"/>
        <v>200000</v>
      </c>
      <c r="I1338" s="825"/>
      <c r="J1338" s="826"/>
      <c r="K1338" s="850" t="s">
        <v>3481</v>
      </c>
    </row>
    <row r="1339" ht="15.0" customHeight="1">
      <c r="A1339" s="786">
        <v>46055.0</v>
      </c>
      <c r="B1339" s="787" t="s">
        <v>10651</v>
      </c>
      <c r="C1339" s="788" t="s">
        <v>10300</v>
      </c>
      <c r="D1339" s="897" t="s">
        <v>10652</v>
      </c>
      <c r="E1339" s="790" t="str">
        <f>IFERROR(VLOOKUP(D1339,Stock,3,FALSE),"")</f>
        <v>Toyota Innova 22- Zenyx 3rd Gen (Toyota)</v>
      </c>
      <c r="F1339" s="788">
        <v>1.0</v>
      </c>
      <c r="G1339" s="860">
        <v>401120.0</v>
      </c>
      <c r="H1339" s="799">
        <f t="shared" si="7"/>
        <v>401120</v>
      </c>
      <c r="I1339" s="800"/>
      <c r="J1339" s="812"/>
      <c r="K1339" s="813"/>
      <c r="L1339" s="806" t="s">
        <v>10137</v>
      </c>
      <c r="M1339" s="806" t="s">
        <v>2763</v>
      </c>
      <c r="N1339" s="837">
        <v>46112.0</v>
      </c>
      <c r="O1339" s="803"/>
    </row>
    <row r="1340" ht="15.0" customHeight="1">
      <c r="A1340" s="786">
        <v>46055.0</v>
      </c>
      <c r="B1340" s="787" t="s">
        <v>10651</v>
      </c>
      <c r="C1340" s="788" t="s">
        <v>10300</v>
      </c>
      <c r="D1340" s="897" t="s">
        <v>10653</v>
      </c>
      <c r="E1340" s="790" t="str">
        <f>IFERROR(VLOOKUP(D1340,Stock,3,FALSE),"")</f>
        <v>Toyota Innova 22- Zenyx 3rd Gen (Toyota)</v>
      </c>
      <c r="F1340" s="788">
        <v>1.0</v>
      </c>
      <c r="G1340" s="860">
        <v>401120.0</v>
      </c>
      <c r="H1340" s="799">
        <f t="shared" si="7"/>
        <v>401120</v>
      </c>
      <c r="I1340" s="800"/>
      <c r="J1340" s="812"/>
      <c r="K1340" s="813"/>
      <c r="L1340" s="806" t="s">
        <v>10137</v>
      </c>
      <c r="M1340" s="806" t="s">
        <v>2763</v>
      </c>
      <c r="N1340" s="837">
        <v>46112.0</v>
      </c>
      <c r="O1340" s="803"/>
    </row>
    <row r="1341" ht="15.0" customHeight="1">
      <c r="A1341" s="786">
        <v>46055.0</v>
      </c>
      <c r="B1341" s="787" t="s">
        <v>10651</v>
      </c>
      <c r="C1341" s="788" t="s">
        <v>10300</v>
      </c>
      <c r="D1341" s="851" t="s">
        <v>7629</v>
      </c>
      <c r="E1341" s="790" t="str">
        <f>IFERROR(VLOOKUP(D1341,Stock,3,FALSE),"")</f>
        <v>Toyota Innova 22- Zenyx 3rd Gen (Toyota)</v>
      </c>
      <c r="F1341" s="788">
        <v>1.0</v>
      </c>
      <c r="G1341" s="860">
        <v>837200.0</v>
      </c>
      <c r="H1341" s="799">
        <f t="shared" si="7"/>
        <v>837200</v>
      </c>
      <c r="I1341" s="800"/>
      <c r="J1341" s="812"/>
      <c r="K1341" s="813"/>
      <c r="L1341" s="806" t="s">
        <v>10137</v>
      </c>
      <c r="M1341" s="806" t="s">
        <v>2763</v>
      </c>
      <c r="N1341" s="837">
        <v>46112.0</v>
      </c>
      <c r="O1341" s="803"/>
    </row>
    <row r="1342" ht="15.0" customHeight="1">
      <c r="A1342" s="786">
        <v>46055.0</v>
      </c>
      <c r="B1342" s="787">
        <v>2602028.0</v>
      </c>
      <c r="C1342" s="788" t="s">
        <v>10136</v>
      </c>
      <c r="D1342" s="851" t="s">
        <v>7755</v>
      </c>
      <c r="E1342" s="790" t="str">
        <f>IFERROR(VLOOKUP(D1342,Stock,3,FALSE),"")</f>
        <v>Nissan X-Trail 13- T32</v>
      </c>
      <c r="F1342" s="788">
        <v>1.0</v>
      </c>
      <c r="G1342" s="860">
        <v>1227050.0</v>
      </c>
      <c r="H1342" s="799">
        <f t="shared" si="7"/>
        <v>1227050</v>
      </c>
      <c r="I1342" s="800"/>
      <c r="J1342" s="812"/>
      <c r="K1342" s="848" t="s">
        <v>9864</v>
      </c>
      <c r="L1342" s="806" t="s">
        <v>10137</v>
      </c>
      <c r="M1342" s="806" t="s">
        <v>2763</v>
      </c>
      <c r="N1342" s="837">
        <v>46114.0</v>
      </c>
      <c r="O1342" s="803"/>
    </row>
    <row r="1343" ht="15.0" customHeight="1">
      <c r="A1343" s="786">
        <v>46056.0</v>
      </c>
      <c r="B1343" s="787">
        <v>2602121.0</v>
      </c>
      <c r="C1343" s="788" t="s">
        <v>10136</v>
      </c>
      <c r="D1343" s="851" t="s">
        <v>7734</v>
      </c>
      <c r="E1343" s="790" t="str">
        <f>IFERROR(VLOOKUP(D1343,Stock,3,FALSE),"")</f>
        <v>Hyundai H1 08- / Mover (Lubang)</v>
      </c>
      <c r="F1343" s="788">
        <v>1.0</v>
      </c>
      <c r="G1343" s="860">
        <v>1090650.0</v>
      </c>
      <c r="H1343" s="799">
        <f t="shared" si="7"/>
        <v>1090650</v>
      </c>
      <c r="I1343" s="800"/>
      <c r="J1343" s="812"/>
      <c r="K1343" s="848" t="s">
        <v>10654</v>
      </c>
      <c r="L1343" s="806" t="s">
        <v>10137</v>
      </c>
      <c r="M1343" s="806" t="s">
        <v>2763</v>
      </c>
      <c r="N1343" s="837">
        <v>46114.0</v>
      </c>
      <c r="O1343" s="803"/>
    </row>
    <row r="1344" ht="15.0" customHeight="1">
      <c r="A1344" s="834">
        <v>46056.0</v>
      </c>
      <c r="B1344" s="603" t="s">
        <v>10655</v>
      </c>
      <c r="C1344" s="822" t="s">
        <v>10148</v>
      </c>
      <c r="D1344" s="109" t="s">
        <v>5935</v>
      </c>
      <c r="E1344" s="594" t="str">
        <f>IFERROR(VLOOKUP(D1344,Stock,3,FALSE),"")</f>
        <v>Toyota Innova 04-15 1st Gen</v>
      </c>
      <c r="F1344" s="822">
        <v>1.0</v>
      </c>
      <c r="G1344" s="756"/>
      <c r="H1344" s="824">
        <f t="shared" si="7"/>
        <v>0</v>
      </c>
      <c r="I1344" s="825"/>
      <c r="J1344" s="826"/>
      <c r="K1344" s="850" t="s">
        <v>3191</v>
      </c>
      <c r="L1344" s="548" t="s">
        <v>10137</v>
      </c>
    </row>
    <row r="1345" ht="15.0" customHeight="1">
      <c r="A1345" s="834">
        <v>46056.0</v>
      </c>
      <c r="B1345" s="603" t="s">
        <v>10655</v>
      </c>
      <c r="C1345" s="822" t="s">
        <v>10148</v>
      </c>
      <c r="D1345" s="109" t="s">
        <v>10656</v>
      </c>
      <c r="E1345" s="594" t="str">
        <f>IFERROR(VLOOKUP(D1345,Stock,3,FALSE),"")</f>
        <v>Toyota Innova 04-15 1st Gen</v>
      </c>
      <c r="F1345" s="822">
        <v>1.0</v>
      </c>
      <c r="G1345" s="756"/>
      <c r="H1345" s="824">
        <f t="shared" si="7"/>
        <v>0</v>
      </c>
      <c r="I1345" s="825"/>
      <c r="J1345" s="826"/>
      <c r="K1345" s="850" t="s">
        <v>3191</v>
      </c>
      <c r="L1345" s="548" t="s">
        <v>10137</v>
      </c>
    </row>
    <row r="1346" ht="15.0" customHeight="1">
      <c r="A1346" s="834">
        <v>46056.0</v>
      </c>
      <c r="B1346" s="603" t="s">
        <v>10657</v>
      </c>
      <c r="C1346" s="822" t="s">
        <v>10139</v>
      </c>
      <c r="D1346" s="109" t="s">
        <v>5680</v>
      </c>
      <c r="E1346" s="594" t="str">
        <f>IFERROR(VLOOKUP(D1346,Stock,3,FALSE),"")</f>
        <v>Suzuki Wagon R 12-</v>
      </c>
      <c r="F1346" s="822">
        <v>1.0</v>
      </c>
      <c r="G1346" s="756">
        <v>437400.0</v>
      </c>
      <c r="H1346" s="824">
        <f t="shared" si="7"/>
        <v>437400</v>
      </c>
      <c r="I1346" s="825"/>
      <c r="J1346" s="826"/>
      <c r="K1346" s="850" t="s">
        <v>10654</v>
      </c>
    </row>
    <row r="1347" ht="15.0" customHeight="1">
      <c r="A1347" s="834">
        <v>46058.0</v>
      </c>
      <c r="B1347" s="603" t="s">
        <v>10658</v>
      </c>
      <c r="C1347" s="822" t="s">
        <v>10139</v>
      </c>
      <c r="D1347" s="109" t="s">
        <v>4327</v>
      </c>
      <c r="E1347" s="594" t="str">
        <f>IFERROR(VLOOKUP(D1347,Stock,3,FALSE),"")</f>
        <v>Isuzu Giga Long (PS240,285) FVR34 (Lebar 215cm)</v>
      </c>
      <c r="F1347" s="822">
        <v>1.0</v>
      </c>
      <c r="G1347" s="756"/>
      <c r="H1347" s="824">
        <f t="shared" si="7"/>
        <v>0</v>
      </c>
      <c r="I1347" s="825"/>
      <c r="J1347" s="826"/>
      <c r="K1347" s="827"/>
    </row>
    <row r="1348" ht="15.0" customHeight="1">
      <c r="A1348" s="786">
        <v>46057.0</v>
      </c>
      <c r="B1348" s="787">
        <v>2602132.0</v>
      </c>
      <c r="C1348" s="788" t="s">
        <v>10136</v>
      </c>
      <c r="D1348" s="851" t="s">
        <v>4161</v>
      </c>
      <c r="E1348" s="790" t="str">
        <f>IFERROR(VLOOKUP(D1348,Stock,3,FALSE),"")</f>
        <v>Toyota Altis 06-13 E140 10th Gen (DZ055)</v>
      </c>
      <c r="F1348" s="788">
        <v>1.0</v>
      </c>
      <c r="G1348" s="860">
        <v>1005400.0</v>
      </c>
      <c r="H1348" s="799">
        <f t="shared" si="7"/>
        <v>1005400</v>
      </c>
      <c r="I1348" s="800"/>
      <c r="J1348" s="812"/>
      <c r="K1348" s="813"/>
      <c r="L1348" s="806" t="s">
        <v>10137</v>
      </c>
      <c r="M1348" s="806" t="s">
        <v>2763</v>
      </c>
      <c r="N1348" s="837">
        <v>46114.0</v>
      </c>
      <c r="O1348" s="803"/>
    </row>
    <row r="1349" ht="15.0" customHeight="1">
      <c r="A1349" s="786">
        <v>46057.0</v>
      </c>
      <c r="B1349" s="787">
        <v>2602132.0</v>
      </c>
      <c r="C1349" s="788" t="s">
        <v>10136</v>
      </c>
      <c r="D1349" s="851" t="s">
        <v>10659</v>
      </c>
      <c r="E1349" s="790" t="str">
        <f>IFERROR(VLOOKUP(D1349,Stock,3,FALSE),"")</f>
        <v>Mitsubishi Pajero 08-16</v>
      </c>
      <c r="F1349" s="788">
        <v>1.0</v>
      </c>
      <c r="G1349" s="860">
        <v>649000.0</v>
      </c>
      <c r="H1349" s="799">
        <f t="shared" si="7"/>
        <v>649000</v>
      </c>
      <c r="I1349" s="800"/>
      <c r="J1349" s="812"/>
      <c r="K1349" s="813"/>
      <c r="L1349" s="806" t="s">
        <v>10137</v>
      </c>
      <c r="M1349" s="806" t="s">
        <v>2763</v>
      </c>
      <c r="N1349" s="837">
        <v>46114.0</v>
      </c>
      <c r="O1349" s="803"/>
    </row>
    <row r="1350" ht="15.0" customHeight="1">
      <c r="A1350" s="786">
        <v>46057.0</v>
      </c>
      <c r="B1350" s="787">
        <v>2602132.0</v>
      </c>
      <c r="C1350" s="788" t="s">
        <v>10136</v>
      </c>
      <c r="D1350" s="851" t="s">
        <v>3246</v>
      </c>
      <c r="E1350" s="790" t="str">
        <f>IFERROR(VLOOKUP(D1350,Stock,3,FALSE),"")</f>
        <v>Toyota Calya / Sigra 16-</v>
      </c>
      <c r="F1350" s="788">
        <v>1.0</v>
      </c>
      <c r="G1350" s="860">
        <v>505450.0</v>
      </c>
      <c r="H1350" s="799">
        <f t="shared" si="7"/>
        <v>505450</v>
      </c>
      <c r="I1350" s="800"/>
      <c r="J1350" s="812"/>
      <c r="K1350" s="813"/>
      <c r="L1350" s="806" t="s">
        <v>10137</v>
      </c>
      <c r="M1350" s="806" t="s">
        <v>2763</v>
      </c>
      <c r="N1350" s="837">
        <v>46114.0</v>
      </c>
      <c r="O1350" s="803"/>
    </row>
    <row r="1351" ht="15.0" customHeight="1">
      <c r="A1351" s="786">
        <v>46057.0</v>
      </c>
      <c r="B1351" s="787">
        <v>2602144.0</v>
      </c>
      <c r="C1351" s="788" t="s">
        <v>10136</v>
      </c>
      <c r="D1351" s="851" t="s">
        <v>7794</v>
      </c>
      <c r="E1351" s="790" t="str">
        <f>IFERROR(VLOOKUP(D1351,Stock,3,FALSE),"")</f>
        <v>Subaru Forester 22- (3 Sensor / /\ [] /\ )</v>
      </c>
      <c r="F1351" s="788">
        <v>1.0</v>
      </c>
      <c r="G1351" s="860">
        <v>2200000.0</v>
      </c>
      <c r="H1351" s="799">
        <f t="shared" si="7"/>
        <v>2200000</v>
      </c>
      <c r="I1351" s="800"/>
      <c r="J1351" s="812"/>
      <c r="K1351" s="813"/>
      <c r="L1351" s="806" t="s">
        <v>10137</v>
      </c>
      <c r="M1351" s="806" t="s">
        <v>2763</v>
      </c>
      <c r="N1351" s="837">
        <v>46114.0</v>
      </c>
      <c r="O1351" s="803"/>
    </row>
    <row r="1352" ht="15.0" customHeight="1">
      <c r="A1352" s="786">
        <v>46057.0</v>
      </c>
      <c r="B1352" s="787">
        <v>2602161.0</v>
      </c>
      <c r="C1352" s="788" t="s">
        <v>10136</v>
      </c>
      <c r="D1352" s="851" t="s">
        <v>7813</v>
      </c>
      <c r="E1352" s="790" t="str">
        <f>IFERROR(VLOOKUP(D1352,Stock,3,FALSE),"")</f>
        <v>Mitsubishi Fuso Fighter FK40 82-(PS190,220)</v>
      </c>
      <c r="F1352" s="788">
        <v>1.0</v>
      </c>
      <c r="G1352" s="860">
        <v>779350.0</v>
      </c>
      <c r="H1352" s="799">
        <f t="shared" si="7"/>
        <v>779350</v>
      </c>
      <c r="I1352" s="800"/>
      <c r="J1352" s="812"/>
      <c r="K1352" s="813"/>
      <c r="L1352" s="806" t="s">
        <v>10137</v>
      </c>
      <c r="M1352" s="806" t="s">
        <v>2763</v>
      </c>
      <c r="N1352" s="837">
        <v>46114.0</v>
      </c>
      <c r="O1352" s="803"/>
    </row>
    <row r="1353" ht="15.0" customHeight="1">
      <c r="A1353" s="786">
        <v>46057.0</v>
      </c>
      <c r="B1353" s="787">
        <v>2602167.0</v>
      </c>
      <c r="C1353" s="788" t="s">
        <v>10136</v>
      </c>
      <c r="D1353" s="851" t="s">
        <v>6253</v>
      </c>
      <c r="E1353" s="790" t="str">
        <f>IFERROR(VLOOKUP(D1353,Stock,3,FALSE),"")</f>
        <v>Toyota Rush / Terios 06-17</v>
      </c>
      <c r="F1353" s="788">
        <v>1.0</v>
      </c>
      <c r="G1353" s="860">
        <v>350350.0</v>
      </c>
      <c r="H1353" s="799">
        <f t="shared" si="7"/>
        <v>350350</v>
      </c>
      <c r="I1353" s="800"/>
      <c r="J1353" s="812"/>
      <c r="K1353" s="813"/>
      <c r="L1353" s="806" t="s">
        <v>10137</v>
      </c>
      <c r="M1353" s="806" t="s">
        <v>2763</v>
      </c>
      <c r="N1353" s="837">
        <v>46114.0</v>
      </c>
      <c r="O1353" s="803"/>
    </row>
    <row r="1354" ht="15.0" customHeight="1">
      <c r="A1354" s="786">
        <v>46057.0</v>
      </c>
      <c r="B1354" s="787">
        <v>2602167.0</v>
      </c>
      <c r="C1354" s="788" t="s">
        <v>10136</v>
      </c>
      <c r="D1354" s="851" t="s">
        <v>4609</v>
      </c>
      <c r="E1354" s="790" t="str">
        <f>IFERROR(VLOOKUP(D1354,Stock,3,FALSE),"")</f>
        <v>Mazda Biante 08- (Hitam)</v>
      </c>
      <c r="F1354" s="788">
        <v>1.0</v>
      </c>
      <c r="G1354" s="860">
        <v>1701150.0</v>
      </c>
      <c r="H1354" s="799">
        <f t="shared" si="7"/>
        <v>1701150</v>
      </c>
      <c r="I1354" s="800"/>
      <c r="J1354" s="812"/>
      <c r="K1354" s="813"/>
      <c r="L1354" s="806" t="s">
        <v>10137</v>
      </c>
      <c r="M1354" s="806" t="s">
        <v>2763</v>
      </c>
      <c r="N1354" s="837">
        <v>46114.0</v>
      </c>
      <c r="O1354" s="803"/>
    </row>
    <row r="1355" ht="15.0" customHeight="1">
      <c r="A1355" s="786">
        <v>46057.0</v>
      </c>
      <c r="B1355" s="787">
        <v>2602167.0</v>
      </c>
      <c r="C1355" s="788" t="s">
        <v>10136</v>
      </c>
      <c r="D1355" s="851" t="s">
        <v>3621</v>
      </c>
      <c r="E1355" s="790" t="str">
        <f>IFERROR(VLOOKUP(D1355,Stock,3,FALSE),"")</f>
        <v>Mitsubishi Pajero 08-16</v>
      </c>
      <c r="F1355" s="788">
        <v>1.0</v>
      </c>
      <c r="G1355" s="860">
        <v>772750.0</v>
      </c>
      <c r="H1355" s="799">
        <f t="shared" si="7"/>
        <v>772750</v>
      </c>
      <c r="I1355" s="800"/>
      <c r="J1355" s="812"/>
      <c r="K1355" s="813"/>
      <c r="L1355" s="806" t="s">
        <v>10137</v>
      </c>
      <c r="M1355" s="806" t="s">
        <v>2763</v>
      </c>
      <c r="N1355" s="837">
        <v>46114.0</v>
      </c>
      <c r="O1355" s="803"/>
    </row>
    <row r="1356" ht="15.0" customHeight="1">
      <c r="A1356" s="786">
        <v>46057.0</v>
      </c>
      <c r="B1356" s="787">
        <v>2602167.0</v>
      </c>
      <c r="C1356" s="788" t="s">
        <v>10136</v>
      </c>
      <c r="D1356" s="851" t="s">
        <v>4377</v>
      </c>
      <c r="E1356" s="790" t="str">
        <f>IFERROR(VLOOKUP(D1356,Stock,3,FALSE),"")</f>
        <v>Nissan Serena 19- MKV C27</v>
      </c>
      <c r="F1356" s="788">
        <v>1.0</v>
      </c>
      <c r="G1356" s="860">
        <v>1472350.0</v>
      </c>
      <c r="H1356" s="799">
        <f t="shared" si="7"/>
        <v>1472350</v>
      </c>
      <c r="I1356" s="800"/>
      <c r="J1356" s="812"/>
      <c r="K1356" s="813"/>
      <c r="L1356" s="806" t="s">
        <v>10137</v>
      </c>
      <c r="M1356" s="806" t="s">
        <v>2763</v>
      </c>
      <c r="N1356" s="837">
        <v>46114.0</v>
      </c>
      <c r="O1356" s="803"/>
    </row>
    <row r="1357" ht="15.0" customHeight="1">
      <c r="A1357" s="786">
        <v>46057.0</v>
      </c>
      <c r="B1357" s="787">
        <v>2602167.0</v>
      </c>
      <c r="C1357" s="788" t="s">
        <v>10136</v>
      </c>
      <c r="D1357" s="851" t="s">
        <v>4089</v>
      </c>
      <c r="E1357" s="790" t="str">
        <f>IFERROR(VLOOKUP(D1357,Stock,3,FALSE),"")</f>
        <v>Hyundai Ioniq 5 SUV 22- (2 Sensor / O /\ )</v>
      </c>
      <c r="F1357" s="788">
        <v>1.0</v>
      </c>
      <c r="G1357" s="860">
        <v>2200000.0</v>
      </c>
      <c r="H1357" s="799">
        <f t="shared" si="7"/>
        <v>2200000</v>
      </c>
      <c r="I1357" s="800"/>
      <c r="J1357" s="812"/>
      <c r="K1357" s="813"/>
      <c r="L1357" s="806" t="s">
        <v>10137</v>
      </c>
      <c r="M1357" s="806" t="s">
        <v>2763</v>
      </c>
      <c r="N1357" s="837">
        <v>46114.0</v>
      </c>
      <c r="O1357" s="803"/>
    </row>
    <row r="1358" ht="15.0" customHeight="1">
      <c r="A1358" s="786">
        <v>46057.0</v>
      </c>
      <c r="B1358" s="787" t="s">
        <v>10660</v>
      </c>
      <c r="C1358" s="788" t="s">
        <v>2643</v>
      </c>
      <c r="D1358" s="851" t="s">
        <v>4304</v>
      </c>
      <c r="E1358" s="790" t="str">
        <f>IFERROR(VLOOKUP(D1358,Stock,3,FALSE),"")</f>
        <v>Honda Mobilio 14- (Honda)</v>
      </c>
      <c r="F1358" s="788">
        <v>1.0</v>
      </c>
      <c r="G1358" s="860">
        <v>766788.0</v>
      </c>
      <c r="H1358" s="799">
        <f t="shared" si="7"/>
        <v>766788</v>
      </c>
      <c r="I1358" s="800"/>
      <c r="J1358" s="812"/>
      <c r="K1358" s="813"/>
      <c r="L1358" s="806" t="s">
        <v>10137</v>
      </c>
      <c r="M1358" s="806" t="s">
        <v>2763</v>
      </c>
      <c r="N1358" s="837">
        <v>46112.0</v>
      </c>
      <c r="O1358" s="803"/>
    </row>
    <row r="1359" ht="15.0" customHeight="1">
      <c r="A1359" s="834">
        <v>46058.0</v>
      </c>
      <c r="B1359" s="603" t="s">
        <v>10661</v>
      </c>
      <c r="C1359" s="822" t="s">
        <v>66</v>
      </c>
      <c r="D1359" s="109" t="s">
        <v>7184</v>
      </c>
      <c r="E1359" s="594" t="str">
        <f>IFERROR(VLOOKUP(D1359,Stock,3,FALSE),"")</f>
        <v>Toyota Rush / Terios 18-</v>
      </c>
      <c r="F1359" s="822">
        <v>1.0</v>
      </c>
      <c r="G1359" s="756">
        <v>250000.0</v>
      </c>
      <c r="H1359" s="824">
        <f t="shared" si="7"/>
        <v>250000</v>
      </c>
      <c r="I1359" s="825"/>
      <c r="J1359" s="826"/>
      <c r="K1359" s="827"/>
    </row>
    <row r="1360" ht="15.0" customHeight="1">
      <c r="A1360" s="834">
        <v>46059.0</v>
      </c>
      <c r="B1360" s="603" t="s">
        <v>10662</v>
      </c>
      <c r="C1360" s="822" t="s">
        <v>10139</v>
      </c>
      <c r="D1360" s="109" t="s">
        <v>3185</v>
      </c>
      <c r="E1360" s="594" t="str">
        <f>IFERROR(VLOOKUP(D1360,Stock,3,FALSE),"")</f>
        <v>Toyota Fortuner 05-15  1st Gen / Hilux Pickup 05-15</v>
      </c>
      <c r="F1360" s="822">
        <v>1.0</v>
      </c>
      <c r="G1360" s="756">
        <v>455000.0</v>
      </c>
      <c r="H1360" s="824">
        <f t="shared" si="7"/>
        <v>455000</v>
      </c>
      <c r="I1360" s="825"/>
      <c r="J1360" s="826"/>
      <c r="K1360" s="827"/>
    </row>
    <row r="1361" ht="15.0" customHeight="1">
      <c r="A1361" s="786">
        <v>46059.0</v>
      </c>
      <c r="B1361" s="787">
        <v>2602275.0</v>
      </c>
      <c r="C1361" s="788" t="s">
        <v>10136</v>
      </c>
      <c r="D1361" s="851" t="s">
        <v>7865</v>
      </c>
      <c r="E1361" s="790" t="str">
        <f>IFERROR(VLOOKUP(D1361,Stock,3,FALSE),"")</f>
        <v>Toyota Cresta 96-01</v>
      </c>
      <c r="F1361" s="788">
        <v>1.0</v>
      </c>
      <c r="G1361" s="860">
        <v>2200000.0</v>
      </c>
      <c r="H1361" s="799">
        <f t="shared" si="7"/>
        <v>2200000</v>
      </c>
      <c r="I1361" s="800"/>
      <c r="J1361" s="812"/>
      <c r="K1361" s="813"/>
      <c r="L1361" s="806" t="s">
        <v>10137</v>
      </c>
      <c r="M1361" s="806" t="s">
        <v>2763</v>
      </c>
      <c r="N1361" s="837">
        <v>46114.0</v>
      </c>
      <c r="O1361" s="803"/>
    </row>
    <row r="1362" ht="15.0" customHeight="1">
      <c r="A1362" s="786">
        <v>46059.0</v>
      </c>
      <c r="B1362" s="787">
        <v>2602275.0</v>
      </c>
      <c r="C1362" s="788" t="s">
        <v>10136</v>
      </c>
      <c r="D1362" s="851" t="s">
        <v>7899</v>
      </c>
      <c r="E1362" s="790" t="str">
        <f>IFERROR(VLOOKUP(D1362,Stock,3,FALSE),"")</f>
        <v>Kia Sportage 10-15 SL [Tipe ada Spoiler]</v>
      </c>
      <c r="F1362" s="788">
        <v>1.0</v>
      </c>
      <c r="G1362" s="860">
        <v>1413500.0</v>
      </c>
      <c r="H1362" s="799">
        <f t="shared" si="7"/>
        <v>1413500</v>
      </c>
      <c r="I1362" s="800"/>
      <c r="J1362" s="812"/>
      <c r="K1362" s="813"/>
      <c r="L1362" s="806" t="s">
        <v>10137</v>
      </c>
      <c r="M1362" s="806" t="s">
        <v>2763</v>
      </c>
      <c r="N1362" s="837">
        <v>46114.0</v>
      </c>
      <c r="O1362" s="803"/>
    </row>
    <row r="1363" ht="15.0" customHeight="1">
      <c r="A1363" s="786">
        <v>46059.0</v>
      </c>
      <c r="B1363" s="787" t="s">
        <v>10663</v>
      </c>
      <c r="C1363" s="788" t="s">
        <v>2643</v>
      </c>
      <c r="D1363" s="851" t="s">
        <v>7860</v>
      </c>
      <c r="E1363" s="790" t="str">
        <f>IFERROR(VLOOKUP(D1363,Stock,3,FALSE),"")</f>
        <v>Honda BR-V 22- 2nd Gen (Honda)</v>
      </c>
      <c r="F1363" s="788">
        <v>1.0</v>
      </c>
      <c r="G1363" s="860">
        <v>249084.0</v>
      </c>
      <c r="H1363" s="799">
        <f t="shared" si="7"/>
        <v>249084</v>
      </c>
      <c r="I1363" s="800"/>
      <c r="J1363" s="812"/>
      <c r="K1363" s="813"/>
      <c r="L1363" s="806" t="s">
        <v>10137</v>
      </c>
      <c r="M1363" s="806" t="s">
        <v>2763</v>
      </c>
      <c r="N1363" s="837">
        <v>46112.0</v>
      </c>
      <c r="O1363" s="803"/>
    </row>
    <row r="1364" ht="15.0" customHeight="1">
      <c r="A1364" s="786">
        <v>46059.0</v>
      </c>
      <c r="B1364" s="787" t="s">
        <v>10664</v>
      </c>
      <c r="C1364" s="788" t="s">
        <v>2643</v>
      </c>
      <c r="D1364" s="851" t="s">
        <v>4292</v>
      </c>
      <c r="E1364" s="790" t="str">
        <f>IFERROR(VLOOKUP(D1364,Stock,3,FALSE),"")</f>
        <v>Honda BR-V 22- 2nd Gen / WRV 23- (Honda)</v>
      </c>
      <c r="F1364" s="788">
        <v>1.0</v>
      </c>
      <c r="G1364" s="860">
        <v>1050060.0</v>
      </c>
      <c r="H1364" s="799">
        <f t="shared" si="7"/>
        <v>1050060</v>
      </c>
      <c r="I1364" s="800"/>
      <c r="J1364" s="812"/>
      <c r="K1364" s="813"/>
      <c r="L1364" s="806" t="s">
        <v>10137</v>
      </c>
      <c r="M1364" s="806" t="s">
        <v>2763</v>
      </c>
      <c r="N1364" s="837">
        <v>46112.0</v>
      </c>
      <c r="O1364" s="803"/>
    </row>
    <row r="1365" ht="15.0" customHeight="1">
      <c r="A1365" s="834">
        <v>46060.0</v>
      </c>
      <c r="B1365" s="603" t="s">
        <v>10665</v>
      </c>
      <c r="C1365" s="822" t="s">
        <v>10139</v>
      </c>
      <c r="D1365" s="109" t="s">
        <v>4970</v>
      </c>
      <c r="E1365" s="594" t="str">
        <f>IFERROR(VLOOKUP(D1365,Stock,3,FALSE),"")</f>
        <v>Chevrolet TrailBlazer 13- / Isuzu MUX</v>
      </c>
      <c r="F1365" s="822">
        <v>1.0</v>
      </c>
      <c r="G1365" s="756">
        <v>1301400.0</v>
      </c>
      <c r="H1365" s="824">
        <f t="shared" si="7"/>
        <v>1301400</v>
      </c>
      <c r="I1365" s="825"/>
      <c r="J1365" s="826"/>
      <c r="K1365" s="827"/>
    </row>
    <row r="1366" ht="15.0" customHeight="1">
      <c r="A1366" s="834">
        <v>46060.0</v>
      </c>
      <c r="B1366" s="603" t="s">
        <v>10665</v>
      </c>
      <c r="C1366" s="822" t="s">
        <v>10139</v>
      </c>
      <c r="D1366" s="109" t="s">
        <v>3352</v>
      </c>
      <c r="E1366" s="594" t="str">
        <f>IFERROR(VLOOKUP(D1366,Stock,3,FALSE),"")</f>
        <v>List Kaca Depan INV</v>
      </c>
      <c r="F1366" s="822">
        <v>10.0</v>
      </c>
      <c r="G1366" s="756">
        <v>100000.0</v>
      </c>
      <c r="H1366" s="824">
        <f t="shared" si="7"/>
        <v>1000000</v>
      </c>
      <c r="I1366" s="825"/>
      <c r="J1366" s="826"/>
      <c r="K1366" s="827"/>
    </row>
    <row r="1367" ht="15.0" customHeight="1">
      <c r="A1367" s="834">
        <v>46060.0</v>
      </c>
      <c r="B1367" s="603" t="s">
        <v>10666</v>
      </c>
      <c r="C1367" s="822" t="s">
        <v>66</v>
      </c>
      <c r="D1367" s="109" t="s">
        <v>7457</v>
      </c>
      <c r="E1367" s="594" t="str">
        <f>IFERROR(VLOOKUP(D1367,Stock,3,FALSE),"")</f>
        <v>Chevrolet Spin 12- (Chevrolet)</v>
      </c>
      <c r="F1367" s="822">
        <v>1.0</v>
      </c>
      <c r="G1367" s="756">
        <v>650000.0</v>
      </c>
      <c r="H1367" s="824">
        <f t="shared" si="7"/>
        <v>650000</v>
      </c>
      <c r="I1367" s="825"/>
      <c r="J1367" s="826"/>
      <c r="K1367" s="827"/>
    </row>
    <row r="1368" ht="15.0" customHeight="1">
      <c r="A1368" s="834">
        <v>46060.0</v>
      </c>
      <c r="B1368" s="603" t="s">
        <v>10666</v>
      </c>
      <c r="C1368" s="822" t="s">
        <v>66</v>
      </c>
      <c r="D1368" s="109" t="s">
        <v>3185</v>
      </c>
      <c r="E1368" s="594" t="str">
        <f>IFERROR(VLOOKUP(D1368,Stock,3,FALSE),"")</f>
        <v>Toyota Fortuner 05-15  1st Gen / Hilux Pickup 05-15</v>
      </c>
      <c r="F1368" s="822">
        <v>1.0</v>
      </c>
      <c r="G1368" s="756">
        <v>500000.0</v>
      </c>
      <c r="H1368" s="824">
        <f t="shared" si="7"/>
        <v>500000</v>
      </c>
      <c r="I1368" s="825"/>
      <c r="J1368" s="826"/>
      <c r="K1368" s="827"/>
    </row>
    <row r="1369" ht="15.0" customHeight="1">
      <c r="A1369" s="786">
        <v>46060.0</v>
      </c>
      <c r="B1369" s="787" t="s">
        <v>10667</v>
      </c>
      <c r="C1369" s="788" t="s">
        <v>10139</v>
      </c>
      <c r="D1369" s="851" t="s">
        <v>3246</v>
      </c>
      <c r="E1369" s="790" t="str">
        <f>IFERROR(VLOOKUP(D1369,Stock,3,FALSE),"")</f>
        <v>Toyota Calya / Sigra 16-</v>
      </c>
      <c r="F1369" s="788">
        <v>10.0</v>
      </c>
      <c r="G1369" s="860">
        <v>449328.0</v>
      </c>
      <c r="H1369" s="799">
        <f t="shared" si="7"/>
        <v>4493280</v>
      </c>
      <c r="I1369" s="800"/>
      <c r="J1369" s="812"/>
      <c r="K1369" s="848" t="s">
        <v>9900</v>
      </c>
      <c r="L1369" s="806" t="s">
        <v>10137</v>
      </c>
      <c r="M1369" s="806" t="s">
        <v>10502</v>
      </c>
      <c r="N1369" s="837">
        <v>46091.0</v>
      </c>
      <c r="O1369" s="803"/>
    </row>
    <row r="1370" ht="15.0" customHeight="1">
      <c r="A1370" s="786">
        <v>46060.0</v>
      </c>
      <c r="B1370" s="787" t="s">
        <v>10667</v>
      </c>
      <c r="C1370" s="788" t="s">
        <v>10139</v>
      </c>
      <c r="D1370" s="851" t="s">
        <v>3225</v>
      </c>
      <c r="E1370" s="790" t="str">
        <f>IFERROR(VLOOKUP(D1370,Stock,3,FALSE),"")</f>
        <v>Toyota Rush / Terios 18-</v>
      </c>
      <c r="F1370" s="788">
        <v>10.0</v>
      </c>
      <c r="G1370" s="860">
        <v>493284.0</v>
      </c>
      <c r="H1370" s="799">
        <f t="shared" si="7"/>
        <v>4932840</v>
      </c>
      <c r="I1370" s="800"/>
      <c r="J1370" s="812"/>
      <c r="K1370" s="848" t="s">
        <v>9900</v>
      </c>
      <c r="L1370" s="806" t="s">
        <v>10137</v>
      </c>
      <c r="M1370" s="806" t="s">
        <v>10502</v>
      </c>
      <c r="N1370" s="837">
        <v>46091.0</v>
      </c>
      <c r="O1370" s="803"/>
    </row>
    <row r="1371" ht="15.0" customHeight="1">
      <c r="A1371" s="786">
        <v>46060.0</v>
      </c>
      <c r="B1371" s="787" t="s">
        <v>10667</v>
      </c>
      <c r="C1371" s="788" t="s">
        <v>10139</v>
      </c>
      <c r="D1371" s="851" t="s">
        <v>2968</v>
      </c>
      <c r="E1371" s="790" t="str">
        <f>IFERROR(VLOOKUP(D1371,Stock,3,FALSE),"")</f>
        <v>Toyota Rush / Terios 18-</v>
      </c>
      <c r="F1371" s="788">
        <v>20.0</v>
      </c>
      <c r="G1371" s="860">
        <v>339438.0</v>
      </c>
      <c r="H1371" s="799">
        <f t="shared" si="7"/>
        <v>6788760</v>
      </c>
      <c r="I1371" s="800"/>
      <c r="J1371" s="812"/>
      <c r="K1371" s="848" t="s">
        <v>9900</v>
      </c>
      <c r="L1371" s="806" t="s">
        <v>10137</v>
      </c>
      <c r="M1371" s="806" t="s">
        <v>10502</v>
      </c>
      <c r="N1371" s="837">
        <v>46091.0</v>
      </c>
      <c r="O1371" s="803"/>
    </row>
    <row r="1372" ht="15.0" customHeight="1">
      <c r="A1372" s="786">
        <v>46060.0</v>
      </c>
      <c r="B1372" s="787" t="s">
        <v>10667</v>
      </c>
      <c r="C1372" s="788" t="s">
        <v>10139</v>
      </c>
      <c r="D1372" s="851" t="s">
        <v>4644</v>
      </c>
      <c r="E1372" s="790" t="str">
        <f>IFERROR(VLOOKUP(D1372,Stock,3,FALSE),"")</f>
        <v>Toyota Raize / Daihatsu Rocky 20-</v>
      </c>
      <c r="F1372" s="788">
        <v>10.0</v>
      </c>
      <c r="G1372" s="860">
        <v>604395.0</v>
      </c>
      <c r="H1372" s="799">
        <f t="shared" si="7"/>
        <v>6043950</v>
      </c>
      <c r="I1372" s="800"/>
      <c r="J1372" s="812"/>
      <c r="K1372" s="848" t="s">
        <v>9900</v>
      </c>
      <c r="L1372" s="806" t="s">
        <v>10137</v>
      </c>
      <c r="M1372" s="806" t="s">
        <v>10502</v>
      </c>
      <c r="N1372" s="837">
        <v>46091.0</v>
      </c>
      <c r="O1372" s="803"/>
    </row>
    <row r="1373" ht="15.0" customHeight="1">
      <c r="A1373" s="786">
        <v>46062.0</v>
      </c>
      <c r="B1373" s="787" t="s">
        <v>10668</v>
      </c>
      <c r="C1373" s="788" t="s">
        <v>24</v>
      </c>
      <c r="D1373" s="851" t="s">
        <v>10669</v>
      </c>
      <c r="E1373" s="790"/>
      <c r="F1373" s="788">
        <v>1.0</v>
      </c>
      <c r="G1373" s="860">
        <v>1800000.0</v>
      </c>
      <c r="H1373" s="799">
        <f t="shared" si="7"/>
        <v>1800000</v>
      </c>
      <c r="I1373" s="800"/>
      <c r="J1373" s="812"/>
      <c r="K1373" s="848" t="s">
        <v>3191</v>
      </c>
      <c r="L1373" s="806" t="s">
        <v>10137</v>
      </c>
      <c r="M1373" s="806" t="s">
        <v>2763</v>
      </c>
      <c r="N1373" s="837">
        <v>46088.0</v>
      </c>
      <c r="O1373" s="803"/>
    </row>
    <row r="1374" ht="15.0" customHeight="1">
      <c r="A1374" s="786">
        <v>46062.0</v>
      </c>
      <c r="B1374" s="787" t="s">
        <v>10668</v>
      </c>
      <c r="C1374" s="788" t="s">
        <v>24</v>
      </c>
      <c r="D1374" s="851" t="s">
        <v>10163</v>
      </c>
      <c r="E1374" s="790"/>
      <c r="F1374" s="788">
        <v>2.0</v>
      </c>
      <c r="G1374" s="860">
        <v>75000.0</v>
      </c>
      <c r="H1374" s="799">
        <f t="shared" si="7"/>
        <v>150000</v>
      </c>
      <c r="I1374" s="800"/>
      <c r="J1374" s="812"/>
      <c r="K1374" s="848" t="s">
        <v>3191</v>
      </c>
      <c r="L1374" s="806" t="s">
        <v>10137</v>
      </c>
      <c r="M1374" s="806" t="s">
        <v>2763</v>
      </c>
      <c r="N1374" s="837">
        <v>46088.0</v>
      </c>
      <c r="O1374" s="803"/>
    </row>
    <row r="1375" ht="15.0" customHeight="1">
      <c r="A1375" s="786">
        <v>46062.0</v>
      </c>
      <c r="B1375" s="787" t="s">
        <v>10668</v>
      </c>
      <c r="C1375" s="788" t="s">
        <v>24</v>
      </c>
      <c r="D1375" s="851" t="s">
        <v>10438</v>
      </c>
      <c r="E1375" s="790"/>
      <c r="F1375" s="788">
        <v>1.0</v>
      </c>
      <c r="G1375" s="860">
        <v>250000.0</v>
      </c>
      <c r="H1375" s="799">
        <f t="shared" si="7"/>
        <v>250000</v>
      </c>
      <c r="I1375" s="800"/>
      <c r="J1375" s="812"/>
      <c r="K1375" s="848" t="s">
        <v>3191</v>
      </c>
      <c r="L1375" s="806" t="s">
        <v>10137</v>
      </c>
      <c r="M1375" s="806" t="s">
        <v>2763</v>
      </c>
      <c r="N1375" s="837">
        <v>46088.0</v>
      </c>
      <c r="O1375" s="803"/>
    </row>
    <row r="1376" ht="15.0" customHeight="1">
      <c r="A1376" s="786">
        <v>46062.0</v>
      </c>
      <c r="B1376" s="787" t="s">
        <v>10668</v>
      </c>
      <c r="C1376" s="788" t="s">
        <v>24</v>
      </c>
      <c r="D1376" s="851" t="s">
        <v>10670</v>
      </c>
      <c r="E1376" s="790"/>
      <c r="F1376" s="788">
        <v>1.0</v>
      </c>
      <c r="G1376" s="860">
        <v>80000.0</v>
      </c>
      <c r="H1376" s="799">
        <f t="shared" si="7"/>
        <v>80000</v>
      </c>
      <c r="I1376" s="800"/>
      <c r="J1376" s="812"/>
      <c r="K1376" s="848" t="s">
        <v>3191</v>
      </c>
      <c r="L1376" s="806" t="s">
        <v>10137</v>
      </c>
      <c r="M1376" s="806" t="s">
        <v>2763</v>
      </c>
      <c r="N1376" s="837">
        <v>46088.0</v>
      </c>
      <c r="O1376" s="803"/>
    </row>
    <row r="1377" ht="15.0" customHeight="1">
      <c r="A1377" s="786">
        <v>46062.0</v>
      </c>
      <c r="B1377" s="787" t="s">
        <v>10668</v>
      </c>
      <c r="C1377" s="788" t="s">
        <v>24</v>
      </c>
      <c r="D1377" s="851" t="s">
        <v>7224</v>
      </c>
      <c r="E1377" s="790"/>
      <c r="F1377" s="788">
        <v>28.0</v>
      </c>
      <c r="G1377" s="860">
        <v>28000.0</v>
      </c>
      <c r="H1377" s="799">
        <f t="shared" si="7"/>
        <v>784000</v>
      </c>
      <c r="I1377" s="800"/>
      <c r="J1377" s="812"/>
      <c r="K1377" s="848" t="s">
        <v>3191</v>
      </c>
      <c r="L1377" s="806" t="s">
        <v>10137</v>
      </c>
      <c r="M1377" s="806" t="s">
        <v>2763</v>
      </c>
      <c r="N1377" s="837">
        <v>46088.0</v>
      </c>
      <c r="O1377" s="803"/>
    </row>
    <row r="1378" ht="15.0" customHeight="1">
      <c r="A1378" s="786">
        <v>46063.0</v>
      </c>
      <c r="B1378" s="787">
        <v>2602350.0</v>
      </c>
      <c r="C1378" s="788" t="s">
        <v>10136</v>
      </c>
      <c r="D1378" s="851" t="s">
        <v>7978</v>
      </c>
      <c r="E1378" s="790" t="str">
        <f>IFERROR(VLOOKUP(D1378,Stock,3,FALSE),"")</f>
        <v>VW Polo Hatchback 09-17 5th Gen MK5</v>
      </c>
      <c r="F1378" s="788">
        <v>1.0</v>
      </c>
      <c r="G1378" s="860">
        <v>2464000.0</v>
      </c>
      <c r="H1378" s="799">
        <f t="shared" si="7"/>
        <v>2464000</v>
      </c>
      <c r="I1378" s="800"/>
      <c r="J1378" s="812"/>
      <c r="K1378" s="813"/>
      <c r="L1378" s="806" t="s">
        <v>10137</v>
      </c>
      <c r="M1378" s="806" t="s">
        <v>2763</v>
      </c>
      <c r="N1378" s="837">
        <v>46122.0</v>
      </c>
      <c r="O1378" s="803"/>
    </row>
    <row r="1379" ht="15.0" customHeight="1">
      <c r="A1379" s="786">
        <v>46063.0</v>
      </c>
      <c r="B1379" s="787">
        <v>2602350.0</v>
      </c>
      <c r="C1379" s="788" t="s">
        <v>10136</v>
      </c>
      <c r="D1379" s="851" t="s">
        <v>7940</v>
      </c>
      <c r="E1379" s="790" t="str">
        <f>IFERROR(VLOOKUP(D1379,Stock,3,FALSE),"")</f>
        <v>Isuzu Giga Short (PS190,225) FVR33 (Lebar 195cm)</v>
      </c>
      <c r="F1379" s="788">
        <v>1.0</v>
      </c>
      <c r="G1379" s="860">
        <v>1043900.0</v>
      </c>
      <c r="H1379" s="799">
        <f t="shared" si="7"/>
        <v>1043900</v>
      </c>
      <c r="I1379" s="800"/>
      <c r="J1379" s="812"/>
      <c r="K1379" s="813"/>
      <c r="L1379" s="806" t="s">
        <v>10137</v>
      </c>
      <c r="M1379" s="806" t="s">
        <v>2763</v>
      </c>
      <c r="N1379" s="837">
        <v>46122.0</v>
      </c>
      <c r="O1379" s="803"/>
    </row>
    <row r="1380" ht="15.0" customHeight="1">
      <c r="A1380" s="786">
        <v>46063.0</v>
      </c>
      <c r="B1380" s="787" t="s">
        <v>10671</v>
      </c>
      <c r="C1380" s="788" t="s">
        <v>10152</v>
      </c>
      <c r="D1380" s="851" t="s">
        <v>4504</v>
      </c>
      <c r="E1380" s="790" t="str">
        <f>IFERROR(VLOOKUP(D1380,Stock,3,FALSE),"")</f>
        <v>Mitsubishi Xpander 17-21 / Livina 19- 2nd Gen (Mitsubishi)</v>
      </c>
      <c r="F1380" s="788">
        <v>3.0</v>
      </c>
      <c r="G1380" s="860">
        <v>423000.0</v>
      </c>
      <c r="H1380" s="799">
        <f t="shared" si="7"/>
        <v>1269000</v>
      </c>
      <c r="I1380" s="800"/>
      <c r="J1380" s="812"/>
      <c r="K1380" s="848" t="s">
        <v>2735</v>
      </c>
      <c r="L1380" s="806" t="s">
        <v>10137</v>
      </c>
      <c r="M1380" s="806" t="s">
        <v>2763</v>
      </c>
      <c r="N1380" s="837">
        <v>46086.0</v>
      </c>
      <c r="O1380" s="803"/>
    </row>
    <row r="1381" ht="15.0" customHeight="1">
      <c r="A1381" s="786">
        <v>46063.0</v>
      </c>
      <c r="B1381" s="787" t="s">
        <v>10671</v>
      </c>
      <c r="C1381" s="788" t="s">
        <v>10152</v>
      </c>
      <c r="D1381" s="851" t="s">
        <v>4434</v>
      </c>
      <c r="E1381" s="790" t="str">
        <f>IFERROR(VLOOKUP(D1381,Stock,3,FALSE),"")</f>
        <v>Mitsubishi Xpander 17-21 / Livina 19- 2nd Gen</v>
      </c>
      <c r="F1381" s="788">
        <v>4.0</v>
      </c>
      <c r="G1381" s="860">
        <v>375000.0</v>
      </c>
      <c r="H1381" s="799">
        <f t="shared" si="7"/>
        <v>1500000</v>
      </c>
      <c r="I1381" s="800"/>
      <c r="J1381" s="812"/>
      <c r="K1381" s="848" t="s">
        <v>2735</v>
      </c>
      <c r="L1381" s="806" t="s">
        <v>10137</v>
      </c>
      <c r="M1381" s="806" t="s">
        <v>2763</v>
      </c>
      <c r="N1381" s="837">
        <v>46086.0</v>
      </c>
      <c r="O1381" s="803"/>
    </row>
    <row r="1382" ht="15.0" customHeight="1">
      <c r="A1382" s="786">
        <v>46063.0</v>
      </c>
      <c r="B1382" s="787" t="s">
        <v>10671</v>
      </c>
      <c r="C1382" s="788" t="s">
        <v>10152</v>
      </c>
      <c r="D1382" s="851" t="s">
        <v>3424</v>
      </c>
      <c r="E1382" s="790" t="str">
        <f>IFERROR(VLOOKUP(D1382,Stock,3,FALSE),"")</f>
        <v>Mitsubishi Xpander 22-  (Mitsubishi)</v>
      </c>
      <c r="F1382" s="788">
        <v>2.0</v>
      </c>
      <c r="G1382" s="860">
        <v>453000.0</v>
      </c>
      <c r="H1382" s="799">
        <f t="shared" si="7"/>
        <v>906000</v>
      </c>
      <c r="I1382" s="800"/>
      <c r="J1382" s="812"/>
      <c r="K1382" s="848" t="s">
        <v>2735</v>
      </c>
      <c r="L1382" s="806" t="s">
        <v>10137</v>
      </c>
      <c r="M1382" s="806" t="s">
        <v>2763</v>
      </c>
      <c r="N1382" s="837">
        <v>46086.0</v>
      </c>
      <c r="O1382" s="803"/>
    </row>
    <row r="1383" ht="15.0" customHeight="1">
      <c r="A1383" s="786">
        <v>46063.0</v>
      </c>
      <c r="B1383" s="787" t="s">
        <v>10671</v>
      </c>
      <c r="C1383" s="788" t="s">
        <v>10152</v>
      </c>
      <c r="D1383" s="851" t="s">
        <v>6311</v>
      </c>
      <c r="E1383" s="790" t="str">
        <f>IFERROR(VLOOKUP(D1383,Stock,3,FALSE),"")</f>
        <v>Mitsubishi Pajero 23- (1 Sensor / □ ) (Mitsubishi)</v>
      </c>
      <c r="F1383" s="788">
        <v>1.0</v>
      </c>
      <c r="G1383" s="860">
        <v>1953000.0</v>
      </c>
      <c r="H1383" s="799">
        <f t="shared" si="7"/>
        <v>1953000</v>
      </c>
      <c r="I1383" s="800"/>
      <c r="J1383" s="812"/>
      <c r="K1383" s="848" t="s">
        <v>2735</v>
      </c>
      <c r="L1383" s="806" t="s">
        <v>10137</v>
      </c>
      <c r="M1383" s="806" t="s">
        <v>2763</v>
      </c>
      <c r="N1383" s="837">
        <v>46086.0</v>
      </c>
      <c r="O1383" s="803"/>
    </row>
    <row r="1384" ht="15.0" customHeight="1">
      <c r="A1384" s="786">
        <v>46063.0</v>
      </c>
      <c r="B1384" s="787" t="s">
        <v>10671</v>
      </c>
      <c r="C1384" s="788" t="s">
        <v>10152</v>
      </c>
      <c r="D1384" s="851" t="s">
        <v>4482</v>
      </c>
      <c r="E1384" s="790" t="str">
        <f>IFERROR(VLOOKUP(D1384,Stock,3,FALSE),"")</f>
        <v>Mitsubishi X-Force 23- (RS) (Mitsubishi)</v>
      </c>
      <c r="F1384" s="788">
        <v>1.0</v>
      </c>
      <c r="G1384" s="860">
        <v>2736000.0</v>
      </c>
      <c r="H1384" s="799">
        <f t="shared" si="7"/>
        <v>2736000</v>
      </c>
      <c r="I1384" s="800"/>
      <c r="J1384" s="812"/>
      <c r="K1384" s="848" t="s">
        <v>2735</v>
      </c>
      <c r="L1384" s="806" t="s">
        <v>10137</v>
      </c>
      <c r="M1384" s="806" t="s">
        <v>2763</v>
      </c>
      <c r="N1384" s="837">
        <v>46086.0</v>
      </c>
      <c r="O1384" s="803"/>
    </row>
    <row r="1385" ht="15.0" customHeight="1">
      <c r="A1385" s="786">
        <v>46063.0</v>
      </c>
      <c r="B1385" s="787" t="s">
        <v>10672</v>
      </c>
      <c r="C1385" s="788" t="s">
        <v>10300</v>
      </c>
      <c r="D1385" s="851" t="s">
        <v>7944</v>
      </c>
      <c r="E1385" s="790" t="str">
        <f>IFERROR(VLOOKUP(D1385,Stock,3,FALSE),"")</f>
        <v>Toyota Land Cruiser GDJ76 - List Windshield</v>
      </c>
      <c r="F1385" s="788">
        <v>1.0</v>
      </c>
      <c r="G1385" s="860">
        <v>1200000.0</v>
      </c>
      <c r="H1385" s="799">
        <f t="shared" si="7"/>
        <v>1200000</v>
      </c>
      <c r="I1385" s="800"/>
      <c r="J1385" s="812"/>
      <c r="K1385" s="813"/>
      <c r="L1385" s="806" t="s">
        <v>10137</v>
      </c>
      <c r="M1385" s="806" t="s">
        <v>2763</v>
      </c>
      <c r="N1385" s="837">
        <v>46112.0</v>
      </c>
      <c r="O1385" s="803"/>
    </row>
    <row r="1386" ht="15.0" customHeight="1">
      <c r="A1386" s="786">
        <v>46064.0</v>
      </c>
      <c r="B1386" s="787" t="s">
        <v>10673</v>
      </c>
      <c r="C1386" s="788" t="s">
        <v>10152</v>
      </c>
      <c r="D1386" s="851" t="s">
        <v>7998</v>
      </c>
      <c r="E1386" s="790" t="str">
        <f>IFERROR(VLOOKUP(D1386,Stock,3,FALSE),"")</f>
        <v>Moulding List Mitsubishi Canter FE700 01- (PS110,125) (Windshield)</v>
      </c>
      <c r="F1386" s="788">
        <v>1.0</v>
      </c>
      <c r="G1386" s="860">
        <v>575000.0</v>
      </c>
      <c r="H1386" s="799">
        <f t="shared" si="7"/>
        <v>575000</v>
      </c>
      <c r="I1386" s="800"/>
      <c r="J1386" s="812"/>
      <c r="K1386" s="848" t="s">
        <v>2735</v>
      </c>
      <c r="L1386" s="806" t="s">
        <v>10137</v>
      </c>
      <c r="M1386" s="806" t="s">
        <v>2763</v>
      </c>
      <c r="N1386" s="837">
        <v>46086.0</v>
      </c>
      <c r="O1386" s="803"/>
    </row>
    <row r="1387" ht="15.0" customHeight="1">
      <c r="A1387" s="786">
        <v>46064.0</v>
      </c>
      <c r="B1387" s="787">
        <v>2602412.0</v>
      </c>
      <c r="C1387" s="788" t="s">
        <v>10136</v>
      </c>
      <c r="D1387" s="851" t="s">
        <v>8257</v>
      </c>
      <c r="E1387" s="790" t="str">
        <f>IFERROR(VLOOKUP(D1387,Stock,3,FALSE),"")</f>
        <v>Honda HR-V 14-21 5D SUV</v>
      </c>
      <c r="F1387" s="788">
        <v>1.0</v>
      </c>
      <c r="G1387" s="860">
        <v>530750.0</v>
      </c>
      <c r="H1387" s="799">
        <f t="shared" si="7"/>
        <v>530750</v>
      </c>
      <c r="I1387" s="800"/>
      <c r="J1387" s="812"/>
      <c r="K1387" s="813"/>
      <c r="L1387" s="806" t="s">
        <v>10137</v>
      </c>
      <c r="M1387" s="806" t="s">
        <v>2763</v>
      </c>
      <c r="N1387" s="837">
        <v>46126.0</v>
      </c>
      <c r="O1387" s="803"/>
    </row>
    <row r="1388" ht="15.0" customHeight="1">
      <c r="A1388" s="786">
        <v>46064.0</v>
      </c>
      <c r="B1388" s="787">
        <v>2602412.0</v>
      </c>
      <c r="C1388" s="788" t="s">
        <v>10136</v>
      </c>
      <c r="D1388" s="851" t="s">
        <v>7940</v>
      </c>
      <c r="E1388" s="790" t="str">
        <f>IFERROR(VLOOKUP(D1388,Stock,3,FALSE),"")</f>
        <v>Isuzu Giga Short (PS190,225) FVR33 (Lebar 195cm)</v>
      </c>
      <c r="F1388" s="788">
        <v>1.0</v>
      </c>
      <c r="G1388" s="860">
        <v>1043900.0</v>
      </c>
      <c r="H1388" s="799">
        <f t="shared" si="7"/>
        <v>1043900</v>
      </c>
      <c r="I1388" s="800"/>
      <c r="J1388" s="812"/>
      <c r="K1388" s="813"/>
      <c r="L1388" s="806" t="s">
        <v>10137</v>
      </c>
      <c r="M1388" s="806" t="s">
        <v>2763</v>
      </c>
      <c r="N1388" s="837">
        <v>46126.0</v>
      </c>
      <c r="O1388" s="803"/>
    </row>
    <row r="1389" ht="15.0" customHeight="1">
      <c r="A1389" s="786">
        <v>46064.0</v>
      </c>
      <c r="B1389" s="787">
        <v>2602412.0</v>
      </c>
      <c r="C1389" s="788" t="s">
        <v>10136</v>
      </c>
      <c r="D1389" s="851" t="s">
        <v>3029</v>
      </c>
      <c r="E1389" s="790" t="str">
        <f>IFERROR(VLOOKUP(D1389,Stock,3,FALSE),"")</f>
        <v>Mitsubishi Canter FE700 01- (PS110,125)</v>
      </c>
      <c r="F1389" s="788">
        <v>1.0</v>
      </c>
      <c r="G1389" s="860">
        <v>464200.0</v>
      </c>
      <c r="H1389" s="799">
        <f t="shared" si="7"/>
        <v>464200</v>
      </c>
      <c r="I1389" s="800"/>
      <c r="J1389" s="812"/>
      <c r="K1389" s="813"/>
      <c r="L1389" s="806" t="s">
        <v>10137</v>
      </c>
      <c r="M1389" s="806" t="s">
        <v>2763</v>
      </c>
      <c r="N1389" s="837">
        <v>46126.0</v>
      </c>
      <c r="O1389" s="803"/>
    </row>
    <row r="1390" ht="15.0" customHeight="1">
      <c r="A1390" s="786">
        <v>46064.0</v>
      </c>
      <c r="B1390" s="787">
        <v>2602408.0</v>
      </c>
      <c r="C1390" s="788" t="s">
        <v>10136</v>
      </c>
      <c r="D1390" s="851" t="s">
        <v>7983</v>
      </c>
      <c r="E1390" s="790" t="str">
        <f>IFERROR(VLOOKUP(D1390,Stock,3,FALSE),"")</f>
        <v>Toyota Alphard 02-08 ANH10 1st Gen</v>
      </c>
      <c r="F1390" s="788">
        <v>1.0</v>
      </c>
      <c r="G1390" s="860">
        <v>224400.0</v>
      </c>
      <c r="H1390" s="799">
        <f t="shared" si="7"/>
        <v>224400</v>
      </c>
      <c r="I1390" s="800"/>
      <c r="J1390" s="812"/>
      <c r="K1390" s="813"/>
      <c r="L1390" s="806" t="s">
        <v>10137</v>
      </c>
      <c r="M1390" s="806" t="s">
        <v>2763</v>
      </c>
      <c r="N1390" s="837">
        <v>46126.0</v>
      </c>
      <c r="O1390" s="803"/>
    </row>
    <row r="1391" ht="15.0" customHeight="1">
      <c r="A1391" s="786">
        <v>46064.0</v>
      </c>
      <c r="B1391" s="787">
        <v>2602408.0</v>
      </c>
      <c r="C1391" s="788" t="s">
        <v>10136</v>
      </c>
      <c r="D1391" s="851" t="s">
        <v>10674</v>
      </c>
      <c r="E1391" s="790" t="str">
        <f>IFERROR(VLOOKUP(D1391,Stock,3,FALSE),"")</f>
        <v>Nissan Serena 10-19 MKIV C26</v>
      </c>
      <c r="F1391" s="788">
        <v>1.0</v>
      </c>
      <c r="G1391" s="860">
        <v>477950.0</v>
      </c>
      <c r="H1391" s="799">
        <f t="shared" si="7"/>
        <v>477950</v>
      </c>
      <c r="I1391" s="800"/>
      <c r="J1391" s="812"/>
      <c r="K1391" s="813"/>
      <c r="L1391" s="806" t="s">
        <v>10137</v>
      </c>
      <c r="M1391" s="806" t="s">
        <v>2763</v>
      </c>
      <c r="N1391" s="837">
        <v>46126.0</v>
      </c>
      <c r="O1391" s="803"/>
    </row>
    <row r="1392" ht="15.0" customHeight="1">
      <c r="A1392" s="834">
        <v>46064.0</v>
      </c>
      <c r="B1392" s="603" t="s">
        <v>10675</v>
      </c>
      <c r="C1392" s="822" t="s">
        <v>10139</v>
      </c>
      <c r="D1392" s="109" t="s">
        <v>7971</v>
      </c>
      <c r="E1392" s="594" t="str">
        <f>IFERROR(VLOOKUP(D1392,Stock,3,FALSE),"")</f>
        <v>Toyota Voxy 22- 2nd Gen (1 Sensor / /\ )</v>
      </c>
      <c r="F1392" s="822">
        <v>1.0</v>
      </c>
      <c r="G1392" s="756">
        <v>2430000.0</v>
      </c>
      <c r="H1392" s="824">
        <f t="shared" si="7"/>
        <v>2430000</v>
      </c>
      <c r="I1392" s="825"/>
      <c r="J1392" s="826"/>
      <c r="K1392" s="827"/>
    </row>
    <row r="1393" ht="15.0" customHeight="1">
      <c r="A1393" s="786">
        <v>46065.0</v>
      </c>
      <c r="B1393" s="787" t="s">
        <v>10676</v>
      </c>
      <c r="C1393" s="788" t="s">
        <v>10152</v>
      </c>
      <c r="D1393" s="851" t="s">
        <v>4473</v>
      </c>
      <c r="E1393" s="790" t="str">
        <f>IFERROR(VLOOKUP(D1393,Stock,3,FALSE),"")</f>
        <v>Mitsubishi Xpander 17- / Livina 19- 2nd Gen (Mitsubishi)</v>
      </c>
      <c r="F1393" s="788">
        <v>1.0</v>
      </c>
      <c r="G1393" s="860">
        <v>1530000.0</v>
      </c>
      <c r="H1393" s="799">
        <f t="shared" si="7"/>
        <v>1530000</v>
      </c>
      <c r="I1393" s="800"/>
      <c r="J1393" s="812"/>
      <c r="K1393" s="848" t="s">
        <v>2735</v>
      </c>
      <c r="L1393" s="806" t="s">
        <v>10137</v>
      </c>
      <c r="M1393" s="806" t="s">
        <v>2763</v>
      </c>
      <c r="N1393" s="837">
        <v>46086.0</v>
      </c>
      <c r="O1393" s="803"/>
    </row>
    <row r="1394" ht="15.0" customHeight="1">
      <c r="A1394" s="786">
        <v>46065.0</v>
      </c>
      <c r="B1394" s="787" t="s">
        <v>10676</v>
      </c>
      <c r="C1394" s="788" t="s">
        <v>10152</v>
      </c>
      <c r="D1394" s="851" t="s">
        <v>8956</v>
      </c>
      <c r="E1394" s="790" t="str">
        <f>IFERROR(VLOOKUP(D1394,Stock,3,FALSE),"")</f>
        <v>Mitsubishi Pajero 20-23 (1 Sensor / □ ) (Mitsubishi)</v>
      </c>
      <c r="F1394" s="788">
        <v>1.0</v>
      </c>
      <c r="G1394" s="860">
        <v>2105400.0</v>
      </c>
      <c r="H1394" s="799">
        <f t="shared" si="7"/>
        <v>2105400</v>
      </c>
      <c r="I1394" s="800"/>
      <c r="J1394" s="812"/>
      <c r="K1394" s="848" t="s">
        <v>2735</v>
      </c>
      <c r="L1394" s="806" t="s">
        <v>10137</v>
      </c>
      <c r="M1394" s="806" t="s">
        <v>2763</v>
      </c>
      <c r="N1394" s="837">
        <v>46086.0</v>
      </c>
      <c r="O1394" s="803"/>
    </row>
    <row r="1395" ht="15.0" customHeight="1">
      <c r="A1395" s="786">
        <v>46065.0</v>
      </c>
      <c r="B1395" s="787">
        <v>2602439.0</v>
      </c>
      <c r="C1395" s="788" t="s">
        <v>10136</v>
      </c>
      <c r="D1395" s="851" t="s">
        <v>10677</v>
      </c>
      <c r="E1395" s="790" t="str">
        <f>IFERROR(VLOOKUP(D1395,Stock,3,FALSE),"")</f>
        <v>Wuling Cortez</v>
      </c>
      <c r="F1395" s="788">
        <v>1.0</v>
      </c>
      <c r="G1395" s="860">
        <v>628650.0</v>
      </c>
      <c r="H1395" s="799">
        <f t="shared" si="7"/>
        <v>628650</v>
      </c>
      <c r="I1395" s="800"/>
      <c r="J1395" s="812"/>
      <c r="K1395" s="813"/>
      <c r="L1395" s="806" t="s">
        <v>10137</v>
      </c>
      <c r="M1395" s="806" t="s">
        <v>2763</v>
      </c>
      <c r="N1395" s="837">
        <v>46126.0</v>
      </c>
      <c r="O1395" s="803"/>
    </row>
    <row r="1396" ht="15.0" customHeight="1">
      <c r="A1396" s="786">
        <v>46065.0</v>
      </c>
      <c r="B1396" s="787">
        <v>2602439.0</v>
      </c>
      <c r="C1396" s="788" t="s">
        <v>10136</v>
      </c>
      <c r="D1396" s="851" t="s">
        <v>8003</v>
      </c>
      <c r="E1396" s="790" t="str">
        <f>IFERROR(VLOOKUP(D1396,Stock,3,FALSE),"")</f>
        <v>Honda CR-V 07-11 3rd Gen</v>
      </c>
      <c r="F1396" s="788">
        <v>2.0</v>
      </c>
      <c r="G1396" s="860">
        <v>615450.0</v>
      </c>
      <c r="H1396" s="799">
        <f t="shared" si="7"/>
        <v>1230900</v>
      </c>
      <c r="I1396" s="800"/>
      <c r="J1396" s="812"/>
      <c r="K1396" s="813"/>
      <c r="L1396" s="806" t="s">
        <v>10137</v>
      </c>
      <c r="M1396" s="806" t="s">
        <v>2763</v>
      </c>
      <c r="N1396" s="837">
        <v>46126.0</v>
      </c>
      <c r="O1396" s="803"/>
    </row>
    <row r="1397" ht="15.0" customHeight="1">
      <c r="A1397" s="786">
        <v>46065.0</v>
      </c>
      <c r="B1397" s="787">
        <v>2602439.0</v>
      </c>
      <c r="C1397" s="788" t="s">
        <v>10136</v>
      </c>
      <c r="D1397" s="851" t="s">
        <v>3806</v>
      </c>
      <c r="E1397" s="790" t="str">
        <f>IFERROR(VLOOKUP(D1397,Stock,3,FALSE),"")</f>
        <v>Honda CR-V 12-16 4th Gen [Lengkung]</v>
      </c>
      <c r="F1397" s="788">
        <v>1.0</v>
      </c>
      <c r="G1397" s="860">
        <v>657800.0</v>
      </c>
      <c r="H1397" s="799">
        <f t="shared" si="7"/>
        <v>657800</v>
      </c>
      <c r="I1397" s="800"/>
      <c r="J1397" s="812"/>
      <c r="K1397" s="813"/>
      <c r="L1397" s="806" t="s">
        <v>10137</v>
      </c>
      <c r="M1397" s="806" t="s">
        <v>2763</v>
      </c>
      <c r="N1397" s="837">
        <v>46126.0</v>
      </c>
      <c r="O1397" s="803"/>
    </row>
    <row r="1398" ht="15.0" customHeight="1">
      <c r="A1398" s="786">
        <v>46065.0</v>
      </c>
      <c r="B1398" s="787">
        <v>2602439.0</v>
      </c>
      <c r="C1398" s="788" t="s">
        <v>10136</v>
      </c>
      <c r="D1398" s="851" t="s">
        <v>2939</v>
      </c>
      <c r="E1398" s="790" t="str">
        <f>IFERROR(VLOOKUP(D1398,Stock,3,FALSE),"")</f>
        <v>Honda CR-V 17- 5th Gen</v>
      </c>
      <c r="F1398" s="788">
        <v>1.0</v>
      </c>
      <c r="G1398" s="860">
        <v>570350.0</v>
      </c>
      <c r="H1398" s="799">
        <f t="shared" si="7"/>
        <v>570350</v>
      </c>
      <c r="I1398" s="800"/>
      <c r="J1398" s="812"/>
      <c r="K1398" s="813"/>
      <c r="L1398" s="806" t="s">
        <v>10137</v>
      </c>
      <c r="M1398" s="806" t="s">
        <v>2763</v>
      </c>
      <c r="N1398" s="837">
        <v>46126.0</v>
      </c>
      <c r="O1398" s="803"/>
    </row>
    <row r="1399" ht="15.0" customHeight="1">
      <c r="A1399" s="786">
        <v>46065.0</v>
      </c>
      <c r="B1399" s="787">
        <v>2602439.0</v>
      </c>
      <c r="C1399" s="788" t="s">
        <v>10136</v>
      </c>
      <c r="D1399" s="851" t="s">
        <v>3621</v>
      </c>
      <c r="E1399" s="790" t="str">
        <f>IFERROR(VLOOKUP(D1399,Stock,3,FALSE),"")</f>
        <v>Mitsubishi Pajero 08-16</v>
      </c>
      <c r="F1399" s="788">
        <v>1.0</v>
      </c>
      <c r="G1399" s="860">
        <v>772750.0</v>
      </c>
      <c r="H1399" s="799">
        <f t="shared" si="7"/>
        <v>772750</v>
      </c>
      <c r="I1399" s="800"/>
      <c r="J1399" s="812"/>
      <c r="K1399" s="813"/>
      <c r="L1399" s="806" t="s">
        <v>10137</v>
      </c>
      <c r="M1399" s="806" t="s">
        <v>2763</v>
      </c>
      <c r="N1399" s="837">
        <v>46126.0</v>
      </c>
      <c r="O1399" s="803"/>
    </row>
    <row r="1400" ht="15.0" customHeight="1">
      <c r="A1400" s="786">
        <v>46065.0</v>
      </c>
      <c r="B1400" s="787">
        <v>2602439.0</v>
      </c>
      <c r="C1400" s="788" t="s">
        <v>10136</v>
      </c>
      <c r="D1400" s="851" t="s">
        <v>4157</v>
      </c>
      <c r="E1400" s="790" t="str">
        <f>IFERROR(VLOOKUP(D1400,Stock,3,FALSE),"")</f>
        <v>Toyota Yaris 05-13 XP90 1st Gen</v>
      </c>
      <c r="F1400" s="788">
        <v>1.0</v>
      </c>
      <c r="G1400" s="860">
        <v>515900.0</v>
      </c>
      <c r="H1400" s="799">
        <f t="shared" si="7"/>
        <v>515900</v>
      </c>
      <c r="I1400" s="800"/>
      <c r="J1400" s="812"/>
      <c r="K1400" s="813"/>
      <c r="L1400" s="806" t="s">
        <v>10137</v>
      </c>
      <c r="M1400" s="806" t="s">
        <v>2763</v>
      </c>
      <c r="N1400" s="837">
        <v>46126.0</v>
      </c>
      <c r="O1400" s="803"/>
    </row>
    <row r="1401" ht="15.0" customHeight="1">
      <c r="A1401" s="834">
        <v>46066.0</v>
      </c>
      <c r="B1401" s="603" t="s">
        <v>10678</v>
      </c>
      <c r="C1401" s="822" t="s">
        <v>10139</v>
      </c>
      <c r="D1401" s="109" t="s">
        <v>8028</v>
      </c>
      <c r="E1401" s="594" t="str">
        <f>IFERROR(VLOOKUP(D1401,Stock,3,FALSE),"")</f>
        <v>Wuling Binguo</v>
      </c>
      <c r="F1401" s="822">
        <v>1.0</v>
      </c>
      <c r="G1401" s="756">
        <v>2375000.0</v>
      </c>
      <c r="H1401" s="824">
        <f t="shared" si="7"/>
        <v>2375000</v>
      </c>
      <c r="I1401" s="825"/>
      <c r="J1401" s="826"/>
      <c r="K1401" s="827"/>
    </row>
    <row r="1402" ht="15.0" customHeight="1">
      <c r="A1402" s="786">
        <v>46066.0</v>
      </c>
      <c r="B1402" s="787" t="s">
        <v>10679</v>
      </c>
      <c r="C1402" s="788" t="s">
        <v>2643</v>
      </c>
      <c r="D1402" s="851" t="s">
        <v>10680</v>
      </c>
      <c r="E1402" s="790" t="str">
        <f>IFERROR(VLOOKUP(D1402,Stock,3,FALSE),"")</f>
        <v>Honda City 19- GN Sedan (Honda)</v>
      </c>
      <c r="F1402" s="788">
        <v>1.0</v>
      </c>
      <c r="G1402" s="860">
        <v>380952.0</v>
      </c>
      <c r="H1402" s="799">
        <f t="shared" si="7"/>
        <v>380952</v>
      </c>
      <c r="I1402" s="800"/>
      <c r="J1402" s="812"/>
      <c r="K1402" s="813"/>
      <c r="L1402" s="806" t="s">
        <v>10137</v>
      </c>
      <c r="M1402" s="806" t="s">
        <v>2763</v>
      </c>
      <c r="N1402" s="837">
        <v>46112.0</v>
      </c>
      <c r="O1402" s="803"/>
    </row>
    <row r="1403" ht="15.0" customHeight="1">
      <c r="A1403" s="786">
        <v>46066.0</v>
      </c>
      <c r="B1403" s="787" t="s">
        <v>10679</v>
      </c>
      <c r="C1403" s="788" t="s">
        <v>2643</v>
      </c>
      <c r="D1403" s="851" t="s">
        <v>10681</v>
      </c>
      <c r="E1403" s="790" t="str">
        <f>IFERROR(VLOOKUP(D1403,Stock,3,FALSE),"")</f>
        <v>Honda City 19- GN Sedan (Honda)</v>
      </c>
      <c r="F1403" s="788">
        <v>1.0</v>
      </c>
      <c r="G1403" s="860">
        <v>380952.0</v>
      </c>
      <c r="H1403" s="799">
        <f t="shared" si="7"/>
        <v>380952</v>
      </c>
      <c r="I1403" s="800"/>
      <c r="J1403" s="812"/>
      <c r="K1403" s="813"/>
      <c r="L1403" s="806" t="s">
        <v>10137</v>
      </c>
      <c r="M1403" s="806" t="s">
        <v>2763</v>
      </c>
      <c r="N1403" s="837">
        <v>46112.0</v>
      </c>
      <c r="O1403" s="803"/>
    </row>
    <row r="1404" ht="15.0" customHeight="1">
      <c r="A1404" s="786">
        <v>46066.0</v>
      </c>
      <c r="B1404" s="787" t="s">
        <v>10679</v>
      </c>
      <c r="C1404" s="788" t="s">
        <v>2643</v>
      </c>
      <c r="D1404" s="851" t="s">
        <v>5062</v>
      </c>
      <c r="E1404" s="790" t="str">
        <f>IFERROR(VLOOKUP(D1404,Stock,3,FALSE),"")</f>
        <v>Honda CR-V 17-23 5th Gen (Honda)</v>
      </c>
      <c r="F1404" s="788">
        <v>1.0</v>
      </c>
      <c r="G1404" s="860">
        <v>1196580.0</v>
      </c>
      <c r="H1404" s="799">
        <f t="shared" si="7"/>
        <v>1196580</v>
      </c>
      <c r="I1404" s="800"/>
      <c r="J1404" s="812"/>
      <c r="K1404" s="813"/>
      <c r="L1404" s="806" t="s">
        <v>10137</v>
      </c>
      <c r="M1404" s="806" t="s">
        <v>2763</v>
      </c>
      <c r="N1404" s="837">
        <v>46112.0</v>
      </c>
      <c r="O1404" s="803"/>
    </row>
    <row r="1405" ht="15.0" customHeight="1">
      <c r="A1405" s="786">
        <v>46066.0</v>
      </c>
      <c r="B1405" s="787" t="s">
        <v>10682</v>
      </c>
      <c r="C1405" s="788" t="s">
        <v>2643</v>
      </c>
      <c r="D1405" s="851" t="s">
        <v>3354</v>
      </c>
      <c r="E1405" s="790" t="str">
        <f>IFERROR(VLOOKUP(D1405,Stock,3,FALSE),"")</f>
        <v>Honda Brio 10- / Mobilio 11- (Honda)</v>
      </c>
      <c r="F1405" s="788">
        <v>3.0</v>
      </c>
      <c r="G1405" s="860">
        <v>717948.0</v>
      </c>
      <c r="H1405" s="799">
        <f t="shared" si="7"/>
        <v>2153844</v>
      </c>
      <c r="I1405" s="800"/>
      <c r="J1405" s="812"/>
      <c r="K1405" s="813"/>
      <c r="L1405" s="806" t="s">
        <v>10137</v>
      </c>
      <c r="M1405" s="806" t="s">
        <v>2763</v>
      </c>
      <c r="N1405" s="837">
        <v>46122.0</v>
      </c>
      <c r="O1405" s="803"/>
    </row>
    <row r="1406" ht="15.0" customHeight="1">
      <c r="A1406" s="786">
        <v>46066.0</v>
      </c>
      <c r="B1406" s="787" t="s">
        <v>10682</v>
      </c>
      <c r="C1406" s="788" t="s">
        <v>2643</v>
      </c>
      <c r="D1406" s="851" t="s">
        <v>6761</v>
      </c>
      <c r="E1406" s="790" t="str">
        <f>IFERROR(VLOOKUP(D1406,Stock,3,FALSE),"")</f>
        <v>Honda CR-V 17-23 5th Gen (2 Sensor / O /\ ) (Honda)</v>
      </c>
      <c r="F1406" s="788">
        <v>1.0</v>
      </c>
      <c r="G1406" s="860">
        <v>3203904.0</v>
      </c>
      <c r="H1406" s="799">
        <f t="shared" si="7"/>
        <v>3203904</v>
      </c>
      <c r="I1406" s="800"/>
      <c r="J1406" s="812"/>
      <c r="K1406" s="813"/>
      <c r="L1406" s="806" t="s">
        <v>10137</v>
      </c>
      <c r="M1406" s="806" t="s">
        <v>2763</v>
      </c>
      <c r="N1406" s="837">
        <v>46122.0</v>
      </c>
      <c r="O1406" s="803"/>
    </row>
    <row r="1407" ht="15.0" customHeight="1">
      <c r="A1407" s="786">
        <v>46066.0</v>
      </c>
      <c r="B1407" s="787" t="s">
        <v>10682</v>
      </c>
      <c r="C1407" s="788" t="s">
        <v>2643</v>
      </c>
      <c r="D1407" s="851" t="s">
        <v>4468</v>
      </c>
      <c r="E1407" s="790" t="str">
        <f>IFERROR(VLOOKUP(D1407,Stock,3,FALSE),"")</f>
        <v>Honda CR-V 17-23 5th Gen (Honda)</v>
      </c>
      <c r="F1407" s="788">
        <v>1.0</v>
      </c>
      <c r="G1407" s="860">
        <v>2095236.0</v>
      </c>
      <c r="H1407" s="799">
        <f t="shared" si="7"/>
        <v>2095236</v>
      </c>
      <c r="I1407" s="800"/>
      <c r="J1407" s="812"/>
      <c r="K1407" s="813"/>
      <c r="L1407" s="806" t="s">
        <v>10137</v>
      </c>
      <c r="M1407" s="806" t="s">
        <v>2763</v>
      </c>
      <c r="N1407" s="837">
        <v>46122.0</v>
      </c>
      <c r="O1407" s="803"/>
    </row>
    <row r="1408" ht="15.0" customHeight="1">
      <c r="A1408" s="786">
        <v>46066.0</v>
      </c>
      <c r="B1408" s="787" t="s">
        <v>10682</v>
      </c>
      <c r="C1408" s="788" t="s">
        <v>2643</v>
      </c>
      <c r="D1408" s="851" t="s">
        <v>4720</v>
      </c>
      <c r="E1408" s="790" t="str">
        <f>IFERROR(VLOOKUP(D1408,Stock,3,FALSE),"")</f>
        <v>Honda Jazz 13-  3rd Gen (Honda)</v>
      </c>
      <c r="F1408" s="788">
        <v>1.0</v>
      </c>
      <c r="G1408" s="860">
        <v>1670328.0</v>
      </c>
      <c r="H1408" s="799">
        <f t="shared" si="7"/>
        <v>1670328</v>
      </c>
      <c r="I1408" s="800"/>
      <c r="J1408" s="812"/>
      <c r="K1408" s="813"/>
      <c r="L1408" s="806" t="s">
        <v>10137</v>
      </c>
      <c r="M1408" s="806" t="s">
        <v>2763</v>
      </c>
      <c r="N1408" s="837">
        <v>46122.0</v>
      </c>
      <c r="O1408" s="803"/>
    </row>
    <row r="1409" ht="15.0" customHeight="1">
      <c r="A1409" s="786">
        <v>46066.0</v>
      </c>
      <c r="B1409" s="787">
        <v>2602296.0</v>
      </c>
      <c r="C1409" s="788" t="s">
        <v>10136</v>
      </c>
      <c r="D1409" s="851" t="s">
        <v>5313</v>
      </c>
      <c r="E1409" s="790" t="str">
        <f>IFERROR(VLOOKUP(D1409,Stock,3,FALSE),"")</f>
        <v>Toyota Yaris 05-13 XP90 1st Gen</v>
      </c>
      <c r="F1409" s="788">
        <v>1.0</v>
      </c>
      <c r="G1409" s="860">
        <v>659450.0</v>
      </c>
      <c r="H1409" s="799">
        <f t="shared" si="7"/>
        <v>659450</v>
      </c>
      <c r="I1409" s="800"/>
      <c r="J1409" s="812"/>
      <c r="K1409" s="813"/>
      <c r="L1409" s="806" t="s">
        <v>10137</v>
      </c>
      <c r="M1409" s="806" t="s">
        <v>2763</v>
      </c>
      <c r="N1409" s="837">
        <v>46126.0</v>
      </c>
      <c r="O1409" s="803"/>
    </row>
    <row r="1410" ht="15.0" customHeight="1">
      <c r="A1410" s="786">
        <v>46066.0</v>
      </c>
      <c r="B1410" s="787">
        <v>2602296.0</v>
      </c>
      <c r="C1410" s="788" t="s">
        <v>10136</v>
      </c>
      <c r="D1410" s="851" t="s">
        <v>8374</v>
      </c>
      <c r="E1410" s="790" t="str">
        <f>IFERROR(VLOOKUP(D1410,Stock,3,FALSE),"")</f>
        <v>Mers-Benz Axor 98- Truck</v>
      </c>
      <c r="F1410" s="788">
        <v>1.0</v>
      </c>
      <c r="G1410" s="860">
        <v>1072500.0</v>
      </c>
      <c r="H1410" s="799">
        <f t="shared" si="7"/>
        <v>1072500</v>
      </c>
      <c r="I1410" s="800"/>
      <c r="J1410" s="812"/>
      <c r="K1410" s="813"/>
      <c r="L1410" s="806" t="s">
        <v>10137</v>
      </c>
      <c r="M1410" s="806" t="s">
        <v>2763</v>
      </c>
      <c r="N1410" s="837">
        <v>46126.0</v>
      </c>
      <c r="O1410" s="803"/>
    </row>
    <row r="1411" ht="15.0" customHeight="1">
      <c r="A1411" s="786">
        <v>46066.0</v>
      </c>
      <c r="B1411" s="787">
        <v>2602296.0</v>
      </c>
      <c r="C1411" s="788" t="s">
        <v>10136</v>
      </c>
      <c r="D1411" s="851" t="s">
        <v>2003</v>
      </c>
      <c r="E1411" s="790" t="str">
        <f>IFERROR(VLOOKUP(D1411,Stock,3,FALSE),"")</f>
        <v>Toyota Agya/Ayla 13-22 1st Gen</v>
      </c>
      <c r="F1411" s="788">
        <v>1.0</v>
      </c>
      <c r="G1411" s="860">
        <v>385000.0</v>
      </c>
      <c r="H1411" s="799">
        <f t="shared" si="7"/>
        <v>385000</v>
      </c>
      <c r="I1411" s="800"/>
      <c r="J1411" s="812"/>
      <c r="K1411" s="813"/>
      <c r="L1411" s="806" t="s">
        <v>10137</v>
      </c>
      <c r="M1411" s="806" t="s">
        <v>2763</v>
      </c>
      <c r="N1411" s="837">
        <v>46126.0</v>
      </c>
      <c r="O1411" s="803"/>
    </row>
    <row r="1412" ht="15.0" customHeight="1">
      <c r="A1412" s="786">
        <v>46066.0</v>
      </c>
      <c r="B1412" s="787">
        <v>2602497.0</v>
      </c>
      <c r="C1412" s="788" t="s">
        <v>10136</v>
      </c>
      <c r="D1412" s="851" t="s">
        <v>4024</v>
      </c>
      <c r="E1412" s="790" t="str">
        <f>IFERROR(VLOOKUP(D1412,Stock,3,FALSE),"")</f>
        <v>Mazda CX-5 12-17 1st Gen KE Facelift - (2 Sensor / [] /\  )</v>
      </c>
      <c r="F1412" s="788">
        <v>1.0</v>
      </c>
      <c r="G1412" s="860">
        <v>1925000.0</v>
      </c>
      <c r="H1412" s="799">
        <f t="shared" si="7"/>
        <v>1925000</v>
      </c>
      <c r="I1412" s="800"/>
      <c r="J1412" s="812"/>
      <c r="K1412" s="813"/>
      <c r="L1412" s="806" t="s">
        <v>10137</v>
      </c>
      <c r="M1412" s="806" t="s">
        <v>2763</v>
      </c>
      <c r="N1412" s="837">
        <v>46126.0</v>
      </c>
      <c r="O1412" s="803"/>
    </row>
    <row r="1413" ht="15.0" customHeight="1">
      <c r="A1413" s="834">
        <v>46067.0</v>
      </c>
      <c r="B1413" s="603" t="s">
        <v>10683</v>
      </c>
      <c r="C1413" s="822" t="s">
        <v>10156</v>
      </c>
      <c r="D1413" s="109" t="s">
        <v>8058</v>
      </c>
      <c r="E1413" s="594" t="str">
        <f>IFERROR(VLOOKUP(D1413,Stock,3,FALSE),"")</f>
        <v>Hyundai Stargazer 22-</v>
      </c>
      <c r="F1413" s="822">
        <v>1.0</v>
      </c>
      <c r="G1413" s="756">
        <v>325000.0</v>
      </c>
      <c r="H1413" s="824">
        <f t="shared" si="7"/>
        <v>325000</v>
      </c>
      <c r="I1413" s="825"/>
      <c r="J1413" s="826"/>
      <c r="K1413" s="827"/>
    </row>
    <row r="1414" ht="15.0" customHeight="1">
      <c r="A1414" s="834">
        <v>46067.0</v>
      </c>
      <c r="B1414" s="603" t="s">
        <v>10683</v>
      </c>
      <c r="C1414" s="822" t="s">
        <v>10156</v>
      </c>
      <c r="D1414" s="109" t="s">
        <v>8051</v>
      </c>
      <c r="E1414" s="594" t="str">
        <f>IFERROR(VLOOKUP(D1414,Stock,3,FALSE),"")</f>
        <v>Toyota Yaris 05-13 XP90 1st Gen (Toyota)</v>
      </c>
      <c r="F1414" s="822">
        <v>1.0</v>
      </c>
      <c r="G1414" s="756">
        <v>400000.0</v>
      </c>
      <c r="H1414" s="824">
        <f t="shared" si="7"/>
        <v>400000</v>
      </c>
      <c r="I1414" s="825"/>
      <c r="J1414" s="826"/>
      <c r="K1414" s="827"/>
    </row>
    <row r="1415" ht="15.0" customHeight="1">
      <c r="A1415" s="834">
        <v>46067.0</v>
      </c>
      <c r="B1415" s="603" t="s">
        <v>10683</v>
      </c>
      <c r="C1415" s="822" t="s">
        <v>10156</v>
      </c>
      <c r="D1415" s="109" t="s">
        <v>8055</v>
      </c>
      <c r="E1415" s="594" t="str">
        <f>IFERROR(VLOOKUP(D1415,Stock,3,FALSE),"")</f>
        <v>Hyundai Creta 22-</v>
      </c>
      <c r="F1415" s="822">
        <v>1.0</v>
      </c>
      <c r="G1415" s="756">
        <v>390000.0</v>
      </c>
      <c r="H1415" s="824">
        <f t="shared" si="7"/>
        <v>390000</v>
      </c>
      <c r="I1415" s="825"/>
      <c r="J1415" s="826"/>
      <c r="K1415" s="827"/>
    </row>
    <row r="1416" ht="15.0" customHeight="1">
      <c r="A1416" s="834">
        <v>46067.0</v>
      </c>
      <c r="B1416" s="603" t="s">
        <v>10684</v>
      </c>
      <c r="C1416" s="822" t="s">
        <v>10139</v>
      </c>
      <c r="D1416" s="109" t="s">
        <v>8063</v>
      </c>
      <c r="E1416" s="594" t="str">
        <f>IFERROR(VLOOKUP(D1416,Stock,3,FALSE),"")</f>
        <v>Toyota Fortuner 05-15 1st Gen (Hitam)</v>
      </c>
      <c r="F1416" s="822">
        <v>1.0</v>
      </c>
      <c r="G1416" s="756">
        <v>629775.0</v>
      </c>
      <c r="H1416" s="824">
        <f t="shared" si="7"/>
        <v>629775</v>
      </c>
      <c r="I1416" s="825"/>
      <c r="J1416" s="826"/>
      <c r="K1416" s="827"/>
    </row>
    <row r="1417" ht="15.0" customHeight="1">
      <c r="A1417" s="834">
        <v>46067.0</v>
      </c>
      <c r="B1417" s="603" t="s">
        <v>10685</v>
      </c>
      <c r="C1417" s="822" t="s">
        <v>10139</v>
      </c>
      <c r="D1417" s="109" t="s">
        <v>5460</v>
      </c>
      <c r="E1417" s="594" t="str">
        <f>IFERROR(VLOOKUP(D1417,Stock,3,FALSE),"")</f>
        <v>Toyota Avanza / Xenia 11-15 2nd Gen / 15-21 3rd Gen</v>
      </c>
      <c r="F1417" s="822">
        <v>1.0</v>
      </c>
      <c r="G1417" s="756">
        <v>200000.0</v>
      </c>
      <c r="H1417" s="824">
        <f t="shared" si="7"/>
        <v>200000</v>
      </c>
      <c r="I1417" s="825"/>
      <c r="J1417" s="826"/>
      <c r="K1417" s="827"/>
    </row>
    <row r="1418" ht="15.0" customHeight="1">
      <c r="A1418" s="786">
        <v>46067.0</v>
      </c>
      <c r="B1418" s="787" t="s">
        <v>10686</v>
      </c>
      <c r="C1418" s="788" t="s">
        <v>24</v>
      </c>
      <c r="D1418" s="851" t="s">
        <v>10687</v>
      </c>
      <c r="E1418" s="790" t="str">
        <f>IFERROR(VLOOKUP(D1418,Stock,3,FALSE),"")</f>
        <v/>
      </c>
      <c r="F1418" s="788">
        <v>100.0</v>
      </c>
      <c r="G1418" s="860">
        <v>58000.0</v>
      </c>
      <c r="H1418" s="799">
        <f t="shared" si="7"/>
        <v>5800000</v>
      </c>
      <c r="I1418" s="800"/>
      <c r="J1418" s="812"/>
      <c r="K1418" s="813"/>
      <c r="L1418" s="806" t="s">
        <v>10137</v>
      </c>
      <c r="M1418" s="806" t="s">
        <v>2763</v>
      </c>
      <c r="N1418" s="837">
        <v>46097.0</v>
      </c>
      <c r="O1418" s="803"/>
    </row>
    <row r="1419" ht="15.0" customHeight="1">
      <c r="A1419" s="786">
        <v>46067.0</v>
      </c>
      <c r="B1419" s="787" t="s">
        <v>10686</v>
      </c>
      <c r="C1419" s="788" t="s">
        <v>24</v>
      </c>
      <c r="D1419" s="851" t="s">
        <v>10688</v>
      </c>
      <c r="E1419" s="790" t="str">
        <f>IFERROR(VLOOKUP(D1419,Stock,3,FALSE),"")</f>
        <v/>
      </c>
      <c r="F1419" s="788">
        <v>1.0</v>
      </c>
      <c r="G1419" s="860">
        <v>75000.0</v>
      </c>
      <c r="H1419" s="799">
        <f t="shared" si="7"/>
        <v>75000</v>
      </c>
      <c r="I1419" s="800"/>
      <c r="J1419" s="812"/>
      <c r="K1419" s="813"/>
      <c r="L1419" s="806" t="s">
        <v>10137</v>
      </c>
      <c r="M1419" s="806" t="s">
        <v>2763</v>
      </c>
      <c r="N1419" s="837">
        <v>46097.0</v>
      </c>
      <c r="O1419" s="803"/>
    </row>
    <row r="1420" ht="15.0" customHeight="1">
      <c r="A1420" s="786">
        <v>46069.0</v>
      </c>
      <c r="B1420" s="787">
        <v>2602527.0</v>
      </c>
      <c r="C1420" s="788" t="s">
        <v>10136</v>
      </c>
      <c r="D1420" s="851" t="s">
        <v>9561</v>
      </c>
      <c r="E1420" s="790" t="str">
        <f>IFERROR(VLOOKUP(D1420,Stock,3,FALSE),"")</f>
        <v>Mers-Benz C-Class 93-00 W202</v>
      </c>
      <c r="F1420" s="788">
        <v>1.0</v>
      </c>
      <c r="G1420" s="860">
        <v>950400.0</v>
      </c>
      <c r="H1420" s="799">
        <f t="shared" si="7"/>
        <v>950400</v>
      </c>
      <c r="I1420" s="800"/>
      <c r="J1420" s="812"/>
      <c r="K1420" s="813"/>
      <c r="L1420" s="806" t="s">
        <v>10137</v>
      </c>
      <c r="M1420" s="806" t="s">
        <v>2763</v>
      </c>
      <c r="N1420" s="837">
        <v>46126.0</v>
      </c>
      <c r="O1420" s="803"/>
    </row>
    <row r="1421" ht="15.0" customHeight="1">
      <c r="A1421" s="786">
        <v>46069.0</v>
      </c>
      <c r="B1421" s="787">
        <v>2602527.0</v>
      </c>
      <c r="C1421" s="788" t="s">
        <v>10136</v>
      </c>
      <c r="D1421" s="851" t="s">
        <v>10689</v>
      </c>
      <c r="E1421" s="790" t="str">
        <f>IFERROR(VLOOKUP(D1421,Stock,3,FALSE),"")</f>
        <v>Suzuki Splash 09-16</v>
      </c>
      <c r="F1421" s="788">
        <v>1.0</v>
      </c>
      <c r="G1421" s="860">
        <v>904750.0</v>
      </c>
      <c r="H1421" s="799">
        <f t="shared" si="7"/>
        <v>904750</v>
      </c>
      <c r="I1421" s="800"/>
      <c r="J1421" s="812"/>
      <c r="K1421" s="813"/>
      <c r="L1421" s="806" t="s">
        <v>10137</v>
      </c>
      <c r="M1421" s="806" t="s">
        <v>2763</v>
      </c>
      <c r="N1421" s="837">
        <v>46126.0</v>
      </c>
      <c r="O1421" s="803"/>
    </row>
    <row r="1422" ht="15.0" customHeight="1">
      <c r="A1422" s="786">
        <v>46071.0</v>
      </c>
      <c r="B1422" s="787" t="s">
        <v>10690</v>
      </c>
      <c r="C1422" s="788" t="s">
        <v>2643</v>
      </c>
      <c r="D1422" s="851" t="s">
        <v>4292</v>
      </c>
      <c r="E1422" s="790" t="str">
        <f>IFERROR(VLOOKUP(D1422,Stock,3,FALSE),"")</f>
        <v>Honda BR-V 22- 2nd Gen / WRV 23- (Honda)</v>
      </c>
      <c r="F1422" s="788">
        <v>1.0</v>
      </c>
      <c r="G1422" s="860">
        <v>1050060.0</v>
      </c>
      <c r="H1422" s="799">
        <f t="shared" si="7"/>
        <v>1050060</v>
      </c>
      <c r="I1422" s="800"/>
      <c r="J1422" s="812"/>
      <c r="K1422" s="813"/>
      <c r="L1422" s="806" t="s">
        <v>10137</v>
      </c>
      <c r="M1422" s="806" t="s">
        <v>2763</v>
      </c>
      <c r="N1422" s="837">
        <v>46122.0</v>
      </c>
      <c r="O1422" s="803"/>
    </row>
    <row r="1423" ht="15.0" customHeight="1">
      <c r="A1423" s="786">
        <v>46071.0</v>
      </c>
      <c r="B1423" s="787" t="s">
        <v>10690</v>
      </c>
      <c r="C1423" s="788" t="s">
        <v>2643</v>
      </c>
      <c r="D1423" s="851" t="s">
        <v>4226</v>
      </c>
      <c r="E1423" s="790" t="str">
        <f>IFERROR(VLOOKUP(D1423,Stock,3,FALSE),"")</f>
        <v>Honda HR-V 14-21 5D SUV (Honda)</v>
      </c>
      <c r="F1423" s="788">
        <v>2.0</v>
      </c>
      <c r="G1423" s="860">
        <v>1992672.0</v>
      </c>
      <c r="H1423" s="799">
        <f t="shared" si="7"/>
        <v>3985344</v>
      </c>
      <c r="I1423" s="800"/>
      <c r="J1423" s="812"/>
      <c r="K1423" s="813"/>
      <c r="L1423" s="806" t="s">
        <v>10137</v>
      </c>
      <c r="M1423" s="806" t="s">
        <v>2763</v>
      </c>
      <c r="N1423" s="837">
        <v>46122.0</v>
      </c>
      <c r="O1423" s="803"/>
    </row>
    <row r="1424" ht="15.0" customHeight="1">
      <c r="A1424" s="786">
        <v>46071.0</v>
      </c>
      <c r="B1424" s="787" t="s">
        <v>10691</v>
      </c>
      <c r="C1424" s="788" t="s">
        <v>10139</v>
      </c>
      <c r="D1424" s="851" t="s">
        <v>2003</v>
      </c>
      <c r="E1424" s="790" t="str">
        <f>IFERROR(VLOOKUP(D1424,Stock,3,FALSE),"")</f>
        <v>Toyota Agya/Ayla 13-22 1st Gen</v>
      </c>
      <c r="F1424" s="788">
        <v>10.0</v>
      </c>
      <c r="G1424" s="860">
        <v>338217.0</v>
      </c>
      <c r="H1424" s="799">
        <f t="shared" si="7"/>
        <v>3382170</v>
      </c>
      <c r="I1424" s="800"/>
      <c r="J1424" s="812"/>
      <c r="K1424" s="813"/>
      <c r="L1424" s="806" t="s">
        <v>10137</v>
      </c>
      <c r="M1424" s="806" t="s">
        <v>10502</v>
      </c>
      <c r="N1424" s="837">
        <v>46106.0</v>
      </c>
      <c r="O1424" s="803"/>
    </row>
    <row r="1425" ht="15.0" customHeight="1">
      <c r="A1425" s="786">
        <v>46071.0</v>
      </c>
      <c r="B1425" s="787" t="s">
        <v>10691</v>
      </c>
      <c r="C1425" s="788" t="s">
        <v>10139</v>
      </c>
      <c r="D1425" s="851" t="s">
        <v>3434</v>
      </c>
      <c r="E1425" s="790" t="str">
        <f>IFERROR(VLOOKUP(D1425,Stock,3,FALSE),"")</f>
        <v>List Kaca Depan Code 04</v>
      </c>
      <c r="F1425" s="788">
        <v>10.0</v>
      </c>
      <c r="G1425" s="860">
        <v>65000.0</v>
      </c>
      <c r="H1425" s="799">
        <f t="shared" si="7"/>
        <v>650000</v>
      </c>
      <c r="I1425" s="800"/>
      <c r="J1425" s="812"/>
      <c r="K1425" s="813"/>
      <c r="L1425" s="806" t="s">
        <v>10137</v>
      </c>
      <c r="M1425" s="806" t="s">
        <v>10502</v>
      </c>
      <c r="N1425" s="837">
        <v>46106.0</v>
      </c>
      <c r="O1425" s="803"/>
    </row>
    <row r="1426" ht="15.0" customHeight="1">
      <c r="A1426" s="786">
        <v>46071.0</v>
      </c>
      <c r="B1426" s="787" t="s">
        <v>10692</v>
      </c>
      <c r="C1426" s="788" t="s">
        <v>10300</v>
      </c>
      <c r="D1426" s="851" t="s">
        <v>5015</v>
      </c>
      <c r="E1426" s="790" t="str">
        <f>IFERROR(VLOOKUP(D1426,Stock,3,FALSE),"")</f>
        <v>Toyota Raize / Daihatsu Rocky 20- (Toyota/Daihatsu)</v>
      </c>
      <c r="F1426" s="788">
        <v>1.0</v>
      </c>
      <c r="G1426" s="860">
        <v>195960.0</v>
      </c>
      <c r="H1426" s="799">
        <f t="shared" si="7"/>
        <v>195960</v>
      </c>
      <c r="I1426" s="800"/>
      <c r="J1426" s="812"/>
      <c r="K1426" s="813"/>
      <c r="L1426" s="806" t="s">
        <v>10137</v>
      </c>
      <c r="M1426" s="806" t="s">
        <v>2763</v>
      </c>
      <c r="N1426" s="837">
        <v>46112.0</v>
      </c>
      <c r="O1426" s="803"/>
    </row>
    <row r="1427" ht="15.0" customHeight="1">
      <c r="A1427" s="786">
        <v>46071.0</v>
      </c>
      <c r="B1427" s="787" t="s">
        <v>10692</v>
      </c>
      <c r="C1427" s="788" t="s">
        <v>10300</v>
      </c>
      <c r="D1427" s="851" t="s">
        <v>10693</v>
      </c>
      <c r="E1427" s="790" t="str">
        <f>IFERROR(VLOOKUP(D1427,Stock,3,FALSE),"")</f>
        <v>Toyota Rush / Terios 18- (Toyota/Daihatsu)</v>
      </c>
      <c r="F1427" s="788">
        <v>1.0</v>
      </c>
      <c r="G1427" s="860">
        <v>414000.0</v>
      </c>
      <c r="H1427" s="799">
        <f t="shared" si="7"/>
        <v>414000</v>
      </c>
      <c r="I1427" s="800"/>
      <c r="J1427" s="812"/>
      <c r="K1427" s="813"/>
      <c r="L1427" s="806" t="s">
        <v>10137</v>
      </c>
      <c r="M1427" s="806" t="s">
        <v>2763</v>
      </c>
      <c r="N1427" s="837">
        <v>46112.0</v>
      </c>
      <c r="O1427" s="803"/>
    </row>
    <row r="1428" ht="15.0" customHeight="1">
      <c r="A1428" s="786">
        <v>46071.0</v>
      </c>
      <c r="B1428" s="787" t="s">
        <v>10692</v>
      </c>
      <c r="C1428" s="788" t="s">
        <v>10300</v>
      </c>
      <c r="D1428" s="851" t="s">
        <v>9044</v>
      </c>
      <c r="E1428" s="790" t="str">
        <f>IFERROR(VLOOKUP(D1428,Stock,3,FALSE),"")</f>
        <v>Toyota Rush / Terios 18- (Toyota/Daihatsu)</v>
      </c>
      <c r="F1428" s="788">
        <v>1.0</v>
      </c>
      <c r="G1428" s="860">
        <v>349600.0</v>
      </c>
      <c r="H1428" s="799">
        <f t="shared" si="7"/>
        <v>349600</v>
      </c>
      <c r="I1428" s="800"/>
      <c r="J1428" s="812"/>
      <c r="K1428" s="813"/>
      <c r="L1428" s="806" t="s">
        <v>10137</v>
      </c>
      <c r="M1428" s="806" t="s">
        <v>2763</v>
      </c>
      <c r="N1428" s="837">
        <v>46112.0</v>
      </c>
      <c r="O1428" s="803"/>
    </row>
    <row r="1429" ht="15.0" customHeight="1">
      <c r="A1429" s="786">
        <v>46071.0</v>
      </c>
      <c r="B1429" s="787" t="s">
        <v>10692</v>
      </c>
      <c r="C1429" s="788" t="s">
        <v>10300</v>
      </c>
      <c r="D1429" s="851" t="s">
        <v>5047</v>
      </c>
      <c r="E1429" s="790" t="str">
        <f>IFERROR(VLOOKUP(D1429,Stock,3,FALSE),"")</f>
        <v>Toyota Innova 15-22 2nd Gen (Toyota)</v>
      </c>
      <c r="F1429" s="788">
        <v>1.0</v>
      </c>
      <c r="G1429" s="860">
        <v>262200.0</v>
      </c>
      <c r="H1429" s="799">
        <f t="shared" si="7"/>
        <v>262200</v>
      </c>
      <c r="I1429" s="800"/>
      <c r="J1429" s="812"/>
      <c r="K1429" s="813"/>
      <c r="L1429" s="806" t="s">
        <v>10137</v>
      </c>
      <c r="M1429" s="806" t="s">
        <v>2763</v>
      </c>
      <c r="N1429" s="837">
        <v>46112.0</v>
      </c>
      <c r="O1429" s="803"/>
    </row>
    <row r="1430" ht="15.0" customHeight="1">
      <c r="A1430" s="786">
        <v>46071.0</v>
      </c>
      <c r="B1430" s="787" t="s">
        <v>10692</v>
      </c>
      <c r="C1430" s="788" t="s">
        <v>10300</v>
      </c>
      <c r="D1430" s="851" t="s">
        <v>6283</v>
      </c>
      <c r="E1430" s="790" t="str">
        <f>IFERROR(VLOOKUP(D1430,Stock,3,FALSE),"")</f>
        <v>Toyota Rush / Terios 18- (Toyota/Daihatsu)</v>
      </c>
      <c r="F1430" s="788">
        <v>1.0</v>
      </c>
      <c r="G1430" s="860">
        <v>349600.0</v>
      </c>
      <c r="H1430" s="799">
        <f t="shared" si="7"/>
        <v>349600</v>
      </c>
      <c r="I1430" s="800"/>
      <c r="J1430" s="812"/>
      <c r="K1430" s="813"/>
      <c r="L1430" s="806" t="s">
        <v>10137</v>
      </c>
      <c r="M1430" s="806" t="s">
        <v>2763</v>
      </c>
      <c r="N1430" s="837">
        <v>46112.0</v>
      </c>
      <c r="O1430" s="803"/>
    </row>
    <row r="1431" ht="15.0" customHeight="1">
      <c r="A1431" s="834">
        <v>46071.0</v>
      </c>
      <c r="B1431" s="603" t="s">
        <v>10694</v>
      </c>
      <c r="C1431" s="822" t="s">
        <v>10139</v>
      </c>
      <c r="D1431" s="109" t="s">
        <v>7663</v>
      </c>
      <c r="E1431" s="594" t="str">
        <f>IFERROR(VLOOKUP(D1431,Stock,3,FALSE),"")</f>
        <v>Suzuki Carry Futura (1300cc) / Mitsubishi Colt T120</v>
      </c>
      <c r="F1431" s="822">
        <v>1.0</v>
      </c>
      <c r="G1431" s="756">
        <v>494100.0</v>
      </c>
      <c r="H1431" s="824">
        <f t="shared" si="7"/>
        <v>494100</v>
      </c>
      <c r="I1431" s="825"/>
      <c r="J1431" s="826"/>
      <c r="K1431" s="827"/>
    </row>
    <row r="1432" ht="15.0" customHeight="1">
      <c r="A1432" s="786">
        <v>46071.0</v>
      </c>
      <c r="B1432" s="787">
        <v>2602573.0</v>
      </c>
      <c r="C1432" s="788" t="s">
        <v>10136</v>
      </c>
      <c r="D1432" s="851" t="s">
        <v>5110</v>
      </c>
      <c r="E1432" s="790" t="str">
        <f>IFERROR(VLOOKUP(D1432,Stock,3,FALSE),"")</f>
        <v>Ford EcoSport 13- B515</v>
      </c>
      <c r="F1432" s="788">
        <v>1.0</v>
      </c>
      <c r="G1432" s="860">
        <v>1196250.0</v>
      </c>
      <c r="H1432" s="799">
        <f t="shared" si="7"/>
        <v>1196250</v>
      </c>
      <c r="I1432" s="800"/>
      <c r="J1432" s="812"/>
      <c r="K1432" s="813"/>
      <c r="L1432" s="806" t="s">
        <v>10137</v>
      </c>
      <c r="M1432" s="806" t="s">
        <v>2763</v>
      </c>
      <c r="N1432" s="837">
        <v>46126.0</v>
      </c>
      <c r="O1432" s="803"/>
    </row>
    <row r="1433" ht="15.0" customHeight="1">
      <c r="A1433" s="786">
        <v>46072.0</v>
      </c>
      <c r="B1433" s="787" t="s">
        <v>10695</v>
      </c>
      <c r="C1433" s="788" t="s">
        <v>10300</v>
      </c>
      <c r="D1433" s="851" t="s">
        <v>5756</v>
      </c>
      <c r="E1433" s="790" t="str">
        <f>IFERROR(VLOOKUP(D1433,Stock,3,FALSE),"")</f>
        <v>Toyota Yaris 13-17 2nd Gen  / Vios 14-22 3rd Gen (Toyota)</v>
      </c>
      <c r="F1433" s="788">
        <v>1.0</v>
      </c>
      <c r="G1433" s="860">
        <v>2925600.0</v>
      </c>
      <c r="H1433" s="799">
        <f t="shared" si="7"/>
        <v>2925600</v>
      </c>
      <c r="I1433" s="800"/>
      <c r="J1433" s="812"/>
      <c r="K1433" s="813"/>
      <c r="L1433" s="806" t="s">
        <v>10137</v>
      </c>
      <c r="M1433" s="806" t="s">
        <v>2763</v>
      </c>
      <c r="N1433" s="837">
        <v>46112.0</v>
      </c>
      <c r="O1433" s="803"/>
    </row>
    <row r="1434" ht="15.0" customHeight="1">
      <c r="A1434" s="786">
        <v>46072.0</v>
      </c>
      <c r="B1434" s="787" t="s">
        <v>10695</v>
      </c>
      <c r="C1434" s="788" t="s">
        <v>10300</v>
      </c>
      <c r="D1434" s="851" t="s">
        <v>10696</v>
      </c>
      <c r="E1434" s="790" t="str">
        <f>IFERROR(VLOOKUP(D1434,Stock,3,FALSE),"")</f>
        <v>Toyota Raize / Daihatsu Rocky 20- (Toyota/Daihatsu)</v>
      </c>
      <c r="F1434" s="788">
        <v>1.0</v>
      </c>
      <c r="G1434" s="860">
        <v>202400.0</v>
      </c>
      <c r="H1434" s="799">
        <f t="shared" si="7"/>
        <v>202400</v>
      </c>
      <c r="I1434" s="800"/>
      <c r="J1434" s="812"/>
      <c r="K1434" s="813"/>
      <c r="L1434" s="806" t="s">
        <v>10137</v>
      </c>
      <c r="M1434" s="806" t="s">
        <v>2763</v>
      </c>
      <c r="N1434" s="837">
        <v>46112.0</v>
      </c>
      <c r="O1434" s="803"/>
    </row>
    <row r="1435" ht="15.0" customHeight="1">
      <c r="A1435" s="786">
        <v>46072.0</v>
      </c>
      <c r="B1435" s="787" t="s">
        <v>10695</v>
      </c>
      <c r="C1435" s="788" t="s">
        <v>10300</v>
      </c>
      <c r="D1435" s="851" t="s">
        <v>10697</v>
      </c>
      <c r="E1435" s="790" t="str">
        <f>IFERROR(VLOOKUP(D1435,Stock,3,FALSE),"")</f>
        <v>Toyota Raize / Daihatsu Rocky 20- (Toyota/Daihatsu)</v>
      </c>
      <c r="F1435" s="788">
        <v>1.0</v>
      </c>
      <c r="G1435" s="860">
        <v>202400.0</v>
      </c>
      <c r="H1435" s="799">
        <f t="shared" si="7"/>
        <v>202400</v>
      </c>
      <c r="I1435" s="800"/>
      <c r="J1435" s="812"/>
      <c r="K1435" s="813"/>
      <c r="L1435" s="806" t="s">
        <v>10137</v>
      </c>
      <c r="M1435" s="806" t="s">
        <v>2763</v>
      </c>
      <c r="N1435" s="837">
        <v>46112.0</v>
      </c>
      <c r="O1435" s="803"/>
    </row>
    <row r="1436" ht="15.0" customHeight="1">
      <c r="A1436" s="786">
        <v>46072.0</v>
      </c>
      <c r="B1436" s="787" t="s">
        <v>10695</v>
      </c>
      <c r="C1436" s="788" t="s">
        <v>10300</v>
      </c>
      <c r="D1436" s="851" t="s">
        <v>10698</v>
      </c>
      <c r="E1436" s="790" t="str">
        <f>IFERROR(VLOOKUP(D1436,Stock,3,FALSE),"")</f>
        <v>Toyota Raize / Daihatsu Rocky 20- (Toyota/Daihatsu)</v>
      </c>
      <c r="F1436" s="788">
        <v>1.0</v>
      </c>
      <c r="G1436" s="860">
        <v>115000.0</v>
      </c>
      <c r="H1436" s="799">
        <f t="shared" si="7"/>
        <v>115000</v>
      </c>
      <c r="I1436" s="800"/>
      <c r="J1436" s="812"/>
      <c r="K1436" s="813"/>
      <c r="L1436" s="806" t="s">
        <v>10137</v>
      </c>
      <c r="M1436" s="806" t="s">
        <v>2763</v>
      </c>
      <c r="N1436" s="837">
        <v>46112.0</v>
      </c>
      <c r="O1436" s="803"/>
    </row>
    <row r="1437" ht="15.0" customHeight="1">
      <c r="A1437" s="786">
        <v>46072.0</v>
      </c>
      <c r="B1437" s="787" t="s">
        <v>10695</v>
      </c>
      <c r="C1437" s="788" t="s">
        <v>10300</v>
      </c>
      <c r="D1437" s="851" t="s">
        <v>10699</v>
      </c>
      <c r="E1437" s="790" t="str">
        <f>IFERROR(VLOOKUP(D1437,Stock,3,FALSE),"")</f>
        <v>Toyota Raize / Daihatsu Rocky 20- (Toyota/Daihatsu)</v>
      </c>
      <c r="F1437" s="788">
        <v>1.0</v>
      </c>
      <c r="G1437" s="860">
        <v>113160.0</v>
      </c>
      <c r="H1437" s="799">
        <f t="shared" si="7"/>
        <v>113160</v>
      </c>
      <c r="I1437" s="800"/>
      <c r="J1437" s="812"/>
      <c r="K1437" s="813"/>
      <c r="L1437" s="806" t="s">
        <v>10137</v>
      </c>
      <c r="M1437" s="806" t="s">
        <v>2763</v>
      </c>
      <c r="N1437" s="837">
        <v>46112.0</v>
      </c>
      <c r="O1437" s="803"/>
    </row>
    <row r="1438" ht="15.0" customHeight="1">
      <c r="A1438" s="834">
        <v>46072.0</v>
      </c>
      <c r="B1438" s="603">
        <v>2602624.0</v>
      </c>
      <c r="C1438" s="822" t="s">
        <v>10136</v>
      </c>
      <c r="D1438" s="109" t="s">
        <v>8114</v>
      </c>
      <c r="E1438" s="594" t="str">
        <f>IFERROR(VLOOKUP(D1438,Stock,3,FALSE),"")</f>
        <v>Toyota Hi-Ace 04-20 Commuter With Frame</v>
      </c>
      <c r="F1438" s="822">
        <v>1.0</v>
      </c>
      <c r="G1438" s="756">
        <v>1427250.0</v>
      </c>
      <c r="H1438" s="824">
        <f t="shared" si="7"/>
        <v>1427250</v>
      </c>
      <c r="I1438" s="825"/>
      <c r="J1438" s="826"/>
      <c r="K1438" s="827"/>
    </row>
    <row r="1439" ht="15.0" customHeight="1">
      <c r="A1439" s="834">
        <v>46073.0</v>
      </c>
      <c r="B1439" s="603" t="s">
        <v>10700</v>
      </c>
      <c r="C1439" s="822" t="s">
        <v>10139</v>
      </c>
      <c r="D1439" s="109" t="s">
        <v>5180</v>
      </c>
      <c r="E1439" s="594" t="str">
        <f>IFERROR(VLOOKUP(D1439,Stock,3,FALSE),"")</f>
        <v>Honda Mobilio 14- / Honda BR-V 16-21</v>
      </c>
      <c r="F1439" s="822">
        <v>1.0</v>
      </c>
      <c r="G1439" s="756">
        <v>255000.0</v>
      </c>
      <c r="H1439" s="824">
        <f t="shared" si="7"/>
        <v>255000</v>
      </c>
      <c r="I1439" s="825"/>
      <c r="J1439" s="826"/>
      <c r="K1439" s="827"/>
    </row>
    <row r="1440" ht="15.0" customHeight="1">
      <c r="A1440" s="834">
        <v>46073.0</v>
      </c>
      <c r="B1440" s="603" t="s">
        <v>10700</v>
      </c>
      <c r="C1440" s="822" t="s">
        <v>10139</v>
      </c>
      <c r="D1440" s="109" t="s">
        <v>8121</v>
      </c>
      <c r="E1440" s="594" t="str">
        <f>IFERROR(VLOOKUP(D1440,Stock,3,FALSE),"")</f>
        <v>Suzuki Swift 04-11 1st Gen</v>
      </c>
      <c r="F1440" s="822">
        <v>1.0</v>
      </c>
      <c r="G1440" s="756">
        <v>220000.0</v>
      </c>
      <c r="H1440" s="824">
        <f t="shared" si="7"/>
        <v>220000</v>
      </c>
      <c r="I1440" s="825"/>
      <c r="J1440" s="826"/>
      <c r="K1440" s="827"/>
    </row>
    <row r="1441" ht="15.0" customHeight="1">
      <c r="A1441" s="834">
        <v>46073.0</v>
      </c>
      <c r="B1441" s="603">
        <v>2602676.0</v>
      </c>
      <c r="C1441" s="822" t="s">
        <v>10136</v>
      </c>
      <c r="D1441" s="109" t="s">
        <v>8127</v>
      </c>
      <c r="E1441" s="594" t="str">
        <f>IFERROR(VLOOKUP(D1441,Stock,3,FALSE),"")</f>
        <v>Honda Civic 96-00 SO4/SO6 (Ferio)</v>
      </c>
      <c r="F1441" s="822">
        <v>1.0</v>
      </c>
      <c r="G1441" s="756">
        <v>671000.0</v>
      </c>
      <c r="H1441" s="824">
        <f t="shared" si="7"/>
        <v>671000</v>
      </c>
      <c r="I1441" s="825"/>
      <c r="J1441" s="826"/>
      <c r="K1441" s="827"/>
    </row>
    <row r="1442" ht="15.0" customHeight="1">
      <c r="A1442" s="834">
        <v>46073.0</v>
      </c>
      <c r="B1442" s="603">
        <v>2602676.0</v>
      </c>
      <c r="C1442" s="822" t="s">
        <v>10136</v>
      </c>
      <c r="D1442" s="109" t="s">
        <v>8147</v>
      </c>
      <c r="E1442" s="594" t="str">
        <f>IFERROR(VLOOKUP(D1442,Stock,3,FALSE),"")</f>
        <v>Ford Fiesta 09-17</v>
      </c>
      <c r="F1442" s="822">
        <v>1.0</v>
      </c>
      <c r="G1442" s="756">
        <v>699600.0</v>
      </c>
      <c r="H1442" s="824">
        <f t="shared" si="7"/>
        <v>699600</v>
      </c>
      <c r="I1442" s="825"/>
      <c r="J1442" s="826"/>
      <c r="K1442" s="827"/>
    </row>
    <row r="1443" ht="15.0" customHeight="1">
      <c r="A1443" s="786">
        <v>46074.0</v>
      </c>
      <c r="B1443" s="787" t="s">
        <v>10701</v>
      </c>
      <c r="C1443" s="788" t="s">
        <v>79</v>
      </c>
      <c r="D1443" s="851" t="s">
        <v>4017</v>
      </c>
      <c r="E1443" s="790" t="str">
        <f>IFERROR(VLOOKUP(D1443,Stock,3,FALSE),"")</f>
        <v>Black Phantom Solar Gard</v>
      </c>
      <c r="F1443" s="788">
        <v>1.0</v>
      </c>
      <c r="G1443" s="860">
        <v>1125000.0</v>
      </c>
      <c r="H1443" s="799">
        <f t="shared" si="7"/>
        <v>1125000</v>
      </c>
      <c r="I1443" s="800"/>
      <c r="J1443" s="812"/>
      <c r="K1443" s="848" t="s">
        <v>3191</v>
      </c>
      <c r="L1443" s="806" t="s">
        <v>10137</v>
      </c>
      <c r="M1443" s="806" t="s">
        <v>2763</v>
      </c>
      <c r="N1443" s="837">
        <v>46121.0</v>
      </c>
      <c r="O1443" s="803"/>
    </row>
    <row r="1444" ht="15.0" customHeight="1">
      <c r="A1444" s="786">
        <v>46074.0</v>
      </c>
      <c r="B1444" s="787" t="s">
        <v>10702</v>
      </c>
      <c r="C1444" s="788" t="s">
        <v>2643</v>
      </c>
      <c r="D1444" s="851" t="s">
        <v>3013</v>
      </c>
      <c r="E1444" s="790" t="str">
        <f>IFERROR(VLOOKUP(D1444,Stock,3,FALSE),"")</f>
        <v>Honda Freed 08-16 1st Gen (Honda)</v>
      </c>
      <c r="F1444" s="788">
        <v>1.0</v>
      </c>
      <c r="G1444" s="860">
        <v>2124540.0</v>
      </c>
      <c r="H1444" s="799">
        <f t="shared" si="7"/>
        <v>2124540</v>
      </c>
      <c r="I1444" s="800"/>
      <c r="J1444" s="812"/>
      <c r="K1444" s="813"/>
      <c r="L1444" s="806" t="s">
        <v>10137</v>
      </c>
      <c r="M1444" s="806" t="s">
        <v>2763</v>
      </c>
      <c r="N1444" s="837">
        <v>46136.0</v>
      </c>
      <c r="O1444" s="803"/>
    </row>
    <row r="1445" ht="15.0" customHeight="1">
      <c r="A1445" s="786">
        <v>46074.0</v>
      </c>
      <c r="B1445" s="787" t="s">
        <v>10702</v>
      </c>
      <c r="C1445" s="788" t="s">
        <v>2643</v>
      </c>
      <c r="D1445" s="851" t="s">
        <v>5752</v>
      </c>
      <c r="E1445" s="790" t="str">
        <f>IFERROR(VLOOKUP(D1445,Stock,3,FALSE),"")</f>
        <v>Honda Brio 10-17 [Lubang Wiper] (Honda)</v>
      </c>
      <c r="F1445" s="788">
        <v>1.0</v>
      </c>
      <c r="G1445" s="860">
        <v>673992.0</v>
      </c>
      <c r="H1445" s="799">
        <f t="shared" si="7"/>
        <v>673992</v>
      </c>
      <c r="I1445" s="800"/>
      <c r="J1445" s="812"/>
      <c r="K1445" s="813"/>
      <c r="L1445" s="806" t="s">
        <v>10137</v>
      </c>
      <c r="M1445" s="806" t="s">
        <v>2763</v>
      </c>
      <c r="N1445" s="837">
        <v>46136.0</v>
      </c>
      <c r="O1445" s="803"/>
    </row>
    <row r="1446" ht="15.0" customHeight="1">
      <c r="A1446" s="786">
        <v>46074.0</v>
      </c>
      <c r="B1446" s="787" t="s">
        <v>10702</v>
      </c>
      <c r="C1446" s="788" t="s">
        <v>2643</v>
      </c>
      <c r="D1446" s="851" t="s">
        <v>10703</v>
      </c>
      <c r="E1446" s="790" t="str">
        <f>IFERROR(VLOOKUP(D1446,Stock,3,FALSE),"")</f>
        <v>Honda HR-V 14-21 5D SUV (Honda)</v>
      </c>
      <c r="F1446" s="788">
        <v>1.0</v>
      </c>
      <c r="G1446" s="860">
        <v>1225884.0</v>
      </c>
      <c r="H1446" s="799">
        <f t="shared" si="7"/>
        <v>1225884</v>
      </c>
      <c r="I1446" s="800"/>
      <c r="J1446" s="812"/>
      <c r="K1446" s="813"/>
      <c r="L1446" s="806" t="s">
        <v>10137</v>
      </c>
      <c r="M1446" s="806" t="s">
        <v>2763</v>
      </c>
      <c r="N1446" s="837">
        <v>46136.0</v>
      </c>
      <c r="O1446" s="803"/>
    </row>
    <row r="1447" ht="15.0" customHeight="1">
      <c r="A1447" s="786">
        <v>46074.0</v>
      </c>
      <c r="B1447" s="787" t="s">
        <v>10702</v>
      </c>
      <c r="C1447" s="788" t="s">
        <v>2643</v>
      </c>
      <c r="D1447" s="851" t="s">
        <v>10704</v>
      </c>
      <c r="E1447" s="790" t="str">
        <f>IFERROR(VLOOKUP(D1447,Stock,3,FALSE),"")</f>
        <v>Honda HR-V 22- 5D SUV (Honda)</v>
      </c>
      <c r="F1447" s="788">
        <v>1.0</v>
      </c>
      <c r="G1447" s="860">
        <v>390720.0</v>
      </c>
      <c r="H1447" s="799">
        <f t="shared" si="7"/>
        <v>390720</v>
      </c>
      <c r="I1447" s="800"/>
      <c r="J1447" s="812"/>
      <c r="K1447" s="848" t="s">
        <v>9900</v>
      </c>
      <c r="L1447" s="806" t="s">
        <v>10137</v>
      </c>
      <c r="M1447" s="806" t="s">
        <v>2763</v>
      </c>
      <c r="N1447" s="837">
        <v>46136.0</v>
      </c>
      <c r="O1447" s="803"/>
    </row>
    <row r="1448" ht="15.0" customHeight="1">
      <c r="A1448" s="786">
        <v>46074.0</v>
      </c>
      <c r="B1448" s="787" t="s">
        <v>10702</v>
      </c>
      <c r="C1448" s="788" t="s">
        <v>2643</v>
      </c>
      <c r="D1448" s="851" t="s">
        <v>10705</v>
      </c>
      <c r="E1448" s="790" t="str">
        <f>IFERROR(VLOOKUP(D1448,Stock,3,FALSE),"")</f>
        <v>Honda HR-V 22- 5D SUV (Honda)</v>
      </c>
      <c r="F1448" s="788">
        <v>1.0</v>
      </c>
      <c r="G1448" s="860">
        <v>390720.0</v>
      </c>
      <c r="H1448" s="799">
        <f t="shared" si="7"/>
        <v>390720</v>
      </c>
      <c r="I1448" s="800"/>
      <c r="J1448" s="812"/>
      <c r="K1448" s="813"/>
      <c r="L1448" s="806" t="s">
        <v>10137</v>
      </c>
      <c r="M1448" s="806" t="s">
        <v>2763</v>
      </c>
      <c r="N1448" s="837">
        <v>46136.0</v>
      </c>
      <c r="O1448" s="803"/>
    </row>
    <row r="1449" ht="15.0" customHeight="1">
      <c r="A1449" s="786">
        <v>46074.0</v>
      </c>
      <c r="B1449" s="787" t="s">
        <v>10702</v>
      </c>
      <c r="C1449" s="788" t="s">
        <v>2643</v>
      </c>
      <c r="D1449" s="851" t="s">
        <v>10706</v>
      </c>
      <c r="E1449" s="790" t="str">
        <f>IFERROR(VLOOKUP(D1449,Stock,3,FALSE),"")</f>
        <v>Honda HR-V 22- 5D SUV (Honda)</v>
      </c>
      <c r="F1449" s="788">
        <v>1.0</v>
      </c>
      <c r="G1449" s="860">
        <v>351648.0</v>
      </c>
      <c r="H1449" s="799">
        <f t="shared" si="7"/>
        <v>351648</v>
      </c>
      <c r="I1449" s="800"/>
      <c r="J1449" s="812"/>
      <c r="K1449" s="813"/>
      <c r="L1449" s="806" t="s">
        <v>10137</v>
      </c>
      <c r="M1449" s="806" t="s">
        <v>2763</v>
      </c>
      <c r="N1449" s="837">
        <v>46136.0</v>
      </c>
      <c r="O1449" s="803"/>
    </row>
    <row r="1450" ht="15.0" customHeight="1">
      <c r="A1450" s="786">
        <v>46074.0</v>
      </c>
      <c r="B1450" s="787" t="s">
        <v>10707</v>
      </c>
      <c r="C1450" s="788" t="s">
        <v>2643</v>
      </c>
      <c r="D1450" s="851" t="s">
        <v>10708</v>
      </c>
      <c r="E1450" s="790" t="str">
        <f>IFERROR(VLOOKUP(D1450,Stock,3,FALSE),"")</f>
        <v>Honda Mobilio 14- / Honda BR-V 16-21 (Honda)</v>
      </c>
      <c r="F1450" s="788">
        <v>1.0</v>
      </c>
      <c r="G1450" s="860">
        <v>190476.0</v>
      </c>
      <c r="H1450" s="799">
        <f t="shared" si="7"/>
        <v>190476</v>
      </c>
      <c r="I1450" s="800"/>
      <c r="J1450" s="812"/>
      <c r="K1450" s="813"/>
      <c r="L1450" s="806" t="s">
        <v>10137</v>
      </c>
      <c r="M1450" s="806" t="s">
        <v>2763</v>
      </c>
      <c r="N1450" s="837">
        <v>46136.0</v>
      </c>
      <c r="O1450" s="803"/>
    </row>
    <row r="1451" ht="15.0" customHeight="1">
      <c r="A1451" s="786">
        <v>46074.0</v>
      </c>
      <c r="B1451" s="787" t="s">
        <v>10707</v>
      </c>
      <c r="C1451" s="788" t="s">
        <v>2643</v>
      </c>
      <c r="D1451" s="851" t="s">
        <v>10709</v>
      </c>
      <c r="E1451" s="790" t="str">
        <f>IFERROR(VLOOKUP(D1451,Stock,3,FALSE),"")</f>
        <v>Honda BR-V 22- 2nd Gen (Honda)</v>
      </c>
      <c r="F1451" s="788">
        <v>1.0</v>
      </c>
      <c r="G1451" s="860">
        <v>258852.0</v>
      </c>
      <c r="H1451" s="799">
        <f t="shared" si="7"/>
        <v>258852</v>
      </c>
      <c r="I1451" s="800"/>
      <c r="J1451" s="812"/>
      <c r="K1451" s="813"/>
      <c r="L1451" s="806" t="s">
        <v>10137</v>
      </c>
      <c r="M1451" s="806" t="s">
        <v>2763</v>
      </c>
      <c r="N1451" s="837">
        <v>46136.0</v>
      </c>
      <c r="O1451" s="803"/>
    </row>
    <row r="1452" ht="15.0" customHeight="1">
      <c r="A1452" s="834">
        <v>46074.0</v>
      </c>
      <c r="B1452" s="603" t="s">
        <v>10710</v>
      </c>
      <c r="C1452" s="822" t="s">
        <v>10139</v>
      </c>
      <c r="D1452" s="109" t="s">
        <v>4609</v>
      </c>
      <c r="E1452" s="594" t="str">
        <f>IFERROR(VLOOKUP(D1452,Stock,3,FALSE),"")</f>
        <v>Mazda Biante 08- (Hitam)</v>
      </c>
      <c r="F1452" s="822">
        <v>1.0</v>
      </c>
      <c r="G1452" s="756">
        <v>2087775.0</v>
      </c>
      <c r="H1452" s="824">
        <f t="shared" si="7"/>
        <v>2087775</v>
      </c>
      <c r="I1452" s="825"/>
      <c r="J1452" s="826"/>
      <c r="K1452" s="827"/>
    </row>
    <row r="1453" ht="15.0" customHeight="1">
      <c r="A1453" s="834">
        <v>46165.0</v>
      </c>
      <c r="B1453" s="603" t="s">
        <v>10711</v>
      </c>
      <c r="C1453" s="822" t="s">
        <v>10139</v>
      </c>
      <c r="D1453" s="109" t="s">
        <v>8181</v>
      </c>
      <c r="E1453" s="594" t="str">
        <f>IFERROR(VLOOKUP(D1453,Stock,3,FALSE),"")</f>
        <v>Honda Jazz 13-  3rd Gen</v>
      </c>
      <c r="F1453" s="822">
        <v>1.0</v>
      </c>
      <c r="G1453" s="756"/>
      <c r="H1453" s="824">
        <f t="shared" si="7"/>
        <v>0</v>
      </c>
      <c r="I1453" s="825"/>
      <c r="J1453" s="826"/>
      <c r="K1453" s="827"/>
    </row>
    <row r="1454" ht="15.0" customHeight="1">
      <c r="A1454" s="834">
        <v>46165.0</v>
      </c>
      <c r="B1454" s="603" t="s">
        <v>10711</v>
      </c>
      <c r="C1454" s="822" t="s">
        <v>10139</v>
      </c>
      <c r="D1454" s="109" t="s">
        <v>4267</v>
      </c>
      <c r="E1454" s="594" t="str">
        <f>IFERROR(VLOOKUP(D1454,Stock,3,FALSE),"")</f>
        <v>Honda Mobilio 14- / Honda BR-V 16-21</v>
      </c>
      <c r="F1454" s="822">
        <v>1.0</v>
      </c>
      <c r="G1454" s="756"/>
      <c r="H1454" s="824">
        <f t="shared" si="7"/>
        <v>0</v>
      </c>
      <c r="I1454" s="825"/>
      <c r="J1454" s="826"/>
      <c r="K1454" s="827"/>
    </row>
    <row r="1455" ht="15.0" customHeight="1">
      <c r="A1455" s="834">
        <v>46165.0</v>
      </c>
      <c r="B1455" s="603" t="s">
        <v>10711</v>
      </c>
      <c r="C1455" s="822" t="s">
        <v>10139</v>
      </c>
      <c r="D1455" s="109" t="s">
        <v>8204</v>
      </c>
      <c r="E1455" s="594" t="str">
        <f>IFERROR(VLOOKUP(D1455,Stock,3,FALSE),"")</f>
        <v>BMW E81/E87 (116I/120I)</v>
      </c>
      <c r="F1455" s="822">
        <v>1.0</v>
      </c>
      <c r="G1455" s="756"/>
      <c r="H1455" s="824">
        <f t="shared" si="7"/>
        <v>0</v>
      </c>
      <c r="I1455" s="825"/>
      <c r="J1455" s="826"/>
      <c r="K1455" s="827"/>
    </row>
    <row r="1456" ht="15.0" customHeight="1">
      <c r="A1456" s="834">
        <v>46076.0</v>
      </c>
      <c r="B1456" s="603">
        <v>2602734.0</v>
      </c>
      <c r="C1456" s="822" t="s">
        <v>10136</v>
      </c>
      <c r="D1456" s="45" t="s">
        <v>6759</v>
      </c>
      <c r="E1456" s="594" t="str">
        <f>IFERROR(VLOOKUP(D1456,Stock,3,FALSE),"")</f>
        <v>Suzuki Ignis 17-</v>
      </c>
      <c r="F1456" s="822">
        <v>1.0</v>
      </c>
      <c r="G1456" s="756">
        <v>656150.0</v>
      </c>
      <c r="H1456" s="824">
        <f t="shared" si="7"/>
        <v>656150</v>
      </c>
      <c r="I1456" s="825"/>
      <c r="J1456" s="826"/>
      <c r="K1456" s="850" t="s">
        <v>8219</v>
      </c>
      <c r="L1456" s="548" t="s">
        <v>10137</v>
      </c>
    </row>
    <row r="1457" ht="15.0" customHeight="1">
      <c r="A1457" s="834">
        <v>46076.0</v>
      </c>
      <c r="B1457" s="603">
        <v>2602697.0</v>
      </c>
      <c r="C1457" s="822" t="s">
        <v>10136</v>
      </c>
      <c r="D1457" s="109" t="s">
        <v>4380</v>
      </c>
      <c r="E1457" s="594" t="str">
        <f>IFERROR(VLOOKUP(D1457,Stock,3,FALSE),"")</f>
        <v>Nissan Livina 07-12 L10 (Tanpa Lubang)</v>
      </c>
      <c r="F1457" s="822">
        <v>1.0</v>
      </c>
      <c r="G1457" s="756">
        <v>466950.0</v>
      </c>
      <c r="H1457" s="824">
        <f t="shared" si="7"/>
        <v>466950</v>
      </c>
      <c r="I1457" s="825"/>
      <c r="J1457" s="826"/>
      <c r="K1457" s="850" t="s">
        <v>9900</v>
      </c>
    </row>
    <row r="1458" ht="15.0" customHeight="1">
      <c r="A1458" s="786">
        <v>46077.0</v>
      </c>
      <c r="B1458" s="787" t="s">
        <v>10712</v>
      </c>
      <c r="C1458" s="788" t="s">
        <v>2643</v>
      </c>
      <c r="D1458" s="851" t="s">
        <v>10713</v>
      </c>
      <c r="E1458" s="790" t="str">
        <f>IFERROR(VLOOKUP(D1458,Stock,3,FALSE),"")</f>
        <v>Honda BR-V 16-21 (Honda)</v>
      </c>
      <c r="F1458" s="788">
        <v>1.0</v>
      </c>
      <c r="G1458" s="860">
        <v>1040292.0</v>
      </c>
      <c r="H1458" s="799">
        <f t="shared" si="7"/>
        <v>1040292</v>
      </c>
      <c r="I1458" s="800"/>
      <c r="J1458" s="812"/>
      <c r="K1458" s="813"/>
      <c r="L1458" s="806" t="s">
        <v>10137</v>
      </c>
      <c r="M1458" s="806" t="s">
        <v>2763</v>
      </c>
      <c r="N1458" s="837">
        <v>46136.0</v>
      </c>
      <c r="O1458" s="803"/>
    </row>
    <row r="1459" ht="15.0" customHeight="1">
      <c r="A1459" s="786">
        <v>46077.0</v>
      </c>
      <c r="B1459" s="787" t="s">
        <v>10712</v>
      </c>
      <c r="C1459" s="788" t="s">
        <v>2643</v>
      </c>
      <c r="D1459" s="851" t="s">
        <v>7860</v>
      </c>
      <c r="E1459" s="790" t="str">
        <f>IFERROR(VLOOKUP(D1459,Stock,3,FALSE),"")</f>
        <v>Honda BR-V 22- 2nd Gen (Honda)</v>
      </c>
      <c r="F1459" s="788">
        <v>1.0</v>
      </c>
      <c r="G1459" s="860">
        <v>249084.0</v>
      </c>
      <c r="H1459" s="799">
        <f t="shared" si="7"/>
        <v>249084</v>
      </c>
      <c r="I1459" s="800"/>
      <c r="J1459" s="812"/>
      <c r="K1459" s="813"/>
      <c r="L1459" s="806" t="s">
        <v>10137</v>
      </c>
      <c r="M1459" s="806" t="s">
        <v>2763</v>
      </c>
      <c r="N1459" s="837">
        <v>46136.0</v>
      </c>
      <c r="O1459" s="803"/>
    </row>
    <row r="1460" ht="15.0" customHeight="1">
      <c r="A1460" s="786">
        <v>46077.0</v>
      </c>
      <c r="B1460" s="787" t="s">
        <v>10712</v>
      </c>
      <c r="C1460" s="788" t="s">
        <v>2643</v>
      </c>
      <c r="D1460" s="888" t="s">
        <v>10714</v>
      </c>
      <c r="E1460" s="790" t="str">
        <f>IFERROR(VLOOKUP(D1460,Stock,3,FALSE),"")</f>
        <v>Honda Mobilio 14- / Honda BR-V 16-21 (Honda)</v>
      </c>
      <c r="F1460" s="788">
        <v>1.0</v>
      </c>
      <c r="G1460" s="860">
        <v>190476.0</v>
      </c>
      <c r="H1460" s="799">
        <f t="shared" si="7"/>
        <v>190476</v>
      </c>
      <c r="I1460" s="800"/>
      <c r="J1460" s="812"/>
      <c r="K1460" s="813"/>
      <c r="L1460" s="806" t="s">
        <v>10137</v>
      </c>
      <c r="M1460" s="806" t="s">
        <v>2763</v>
      </c>
      <c r="N1460" s="837">
        <v>46136.0</v>
      </c>
      <c r="O1460" s="803"/>
    </row>
    <row r="1461" ht="15.0" customHeight="1">
      <c r="A1461" s="834">
        <v>46077.0</v>
      </c>
      <c r="B1461" s="603" t="s">
        <v>10715</v>
      </c>
      <c r="C1461" s="822" t="s">
        <v>10139</v>
      </c>
      <c r="D1461" s="109" t="s">
        <v>6516</v>
      </c>
      <c r="E1461" s="594" t="str">
        <f>IFERROR(VLOOKUP(D1461,Stock,3,FALSE),"")</f>
        <v>Mitsubishi Outlander 10-21</v>
      </c>
      <c r="F1461" s="822">
        <v>1.0</v>
      </c>
      <c r="G1461" s="756">
        <v>365000.0</v>
      </c>
      <c r="H1461" s="825">
        <v>365000.0</v>
      </c>
      <c r="I1461" s="825"/>
      <c r="J1461" s="826"/>
      <c r="K1461" s="850" t="s">
        <v>8232</v>
      </c>
    </row>
    <row r="1462" ht="15.0" customHeight="1">
      <c r="A1462" s="834">
        <v>46077.0</v>
      </c>
      <c r="B1462" s="603" t="s">
        <v>10715</v>
      </c>
      <c r="C1462" s="822" t="s">
        <v>10139</v>
      </c>
      <c r="D1462" s="109" t="s">
        <v>8226</v>
      </c>
      <c r="E1462" s="594" t="str">
        <f>IFERROR(VLOOKUP(D1462,Stock,3,FALSE),"")</f>
        <v>Suzuki Carry (1000cc)</v>
      </c>
      <c r="F1462" s="822">
        <v>1.0</v>
      </c>
      <c r="G1462" s="756">
        <v>150000.0</v>
      </c>
      <c r="H1462" s="825">
        <v>150000.0</v>
      </c>
      <c r="I1462" s="825"/>
      <c r="J1462" s="826"/>
      <c r="K1462" s="850" t="s">
        <v>8232</v>
      </c>
    </row>
    <row r="1463" ht="15.0" customHeight="1">
      <c r="A1463" s="834">
        <v>46077.0</v>
      </c>
      <c r="B1463" s="603">
        <v>2602759.0</v>
      </c>
      <c r="C1463" s="822" t="s">
        <v>10136</v>
      </c>
      <c r="D1463" s="45" t="s">
        <v>8215</v>
      </c>
      <c r="E1463" s="594" t="str">
        <f>IFERROR(VLOOKUP(D1463,Stock,3,FALSE),"")</f>
        <v>Nissan Juke 11-</v>
      </c>
      <c r="F1463" s="822">
        <v>1.0</v>
      </c>
      <c r="G1463" s="756">
        <v>925100.0</v>
      </c>
      <c r="H1463" s="824">
        <f t="shared" ref="H1463:H1474" si="8">G1463*F1463</f>
        <v>925100</v>
      </c>
      <c r="I1463" s="825"/>
      <c r="J1463" s="826"/>
      <c r="K1463" s="850" t="s">
        <v>8219</v>
      </c>
    </row>
    <row r="1464" ht="15.0" customHeight="1">
      <c r="A1464" s="786">
        <v>46077.0</v>
      </c>
      <c r="B1464" s="787" t="s">
        <v>10716</v>
      </c>
      <c r="C1464" s="788" t="s">
        <v>10300</v>
      </c>
      <c r="D1464" s="851" t="s">
        <v>10717</v>
      </c>
      <c r="E1464" s="790" t="str">
        <f>IFERROR(VLOOKUP(D1464,Stock,3,FALSE),"")</f>
        <v>Toyota Fortuner 15- 2nd Gen (Toyota)</v>
      </c>
      <c r="F1464" s="788">
        <v>1.0</v>
      </c>
      <c r="G1464" s="860">
        <v>823400.0</v>
      </c>
      <c r="H1464" s="799">
        <f t="shared" si="8"/>
        <v>823400</v>
      </c>
      <c r="I1464" s="800"/>
      <c r="J1464" s="812"/>
      <c r="K1464" s="813"/>
      <c r="L1464" s="806" t="s">
        <v>10137</v>
      </c>
      <c r="M1464" s="806" t="s">
        <v>2763</v>
      </c>
      <c r="N1464" s="837">
        <v>46112.0</v>
      </c>
      <c r="O1464" s="803"/>
    </row>
    <row r="1465" ht="15.0" customHeight="1">
      <c r="A1465" s="786">
        <v>46077.0</v>
      </c>
      <c r="B1465" s="787" t="s">
        <v>10716</v>
      </c>
      <c r="C1465" s="788" t="s">
        <v>10300</v>
      </c>
      <c r="D1465" s="851" t="s">
        <v>10718</v>
      </c>
      <c r="E1465" s="790" t="str">
        <f>IFERROR(VLOOKUP(D1465,Stock,3,FALSE),"")</f>
        <v>Toyota Fortuner 15- 2nd Gen (Toyota)</v>
      </c>
      <c r="F1465" s="788">
        <v>1.0</v>
      </c>
      <c r="G1465" s="860">
        <v>823400.0</v>
      </c>
      <c r="H1465" s="799">
        <f t="shared" si="8"/>
        <v>823400</v>
      </c>
      <c r="I1465" s="800"/>
      <c r="J1465" s="812"/>
      <c r="K1465" s="813"/>
      <c r="L1465" s="806" t="s">
        <v>10137</v>
      </c>
      <c r="M1465" s="806" t="s">
        <v>2763</v>
      </c>
      <c r="N1465" s="837">
        <v>46112.0</v>
      </c>
      <c r="O1465" s="803"/>
    </row>
    <row r="1466" ht="15.0" customHeight="1">
      <c r="A1466" s="786">
        <v>46077.0</v>
      </c>
      <c r="B1466" s="787" t="s">
        <v>10716</v>
      </c>
      <c r="C1466" s="788" t="s">
        <v>10300</v>
      </c>
      <c r="D1466" s="851" t="s">
        <v>10719</v>
      </c>
      <c r="E1466" s="790" t="str">
        <f>IFERROR(VLOOKUP(D1466,Stock,3,FALSE),"")</f>
        <v>Toyota Fortuner 15- 2nd Gen (Toyota)</v>
      </c>
      <c r="F1466" s="788">
        <v>1.0</v>
      </c>
      <c r="G1466" s="860">
        <v>101200.0</v>
      </c>
      <c r="H1466" s="799">
        <f t="shared" si="8"/>
        <v>101200</v>
      </c>
      <c r="I1466" s="800"/>
      <c r="J1466" s="812"/>
      <c r="K1466" s="813"/>
      <c r="L1466" s="806" t="s">
        <v>10137</v>
      </c>
      <c r="M1466" s="806" t="s">
        <v>2763</v>
      </c>
      <c r="N1466" s="837">
        <v>46112.0</v>
      </c>
      <c r="O1466" s="803"/>
    </row>
    <row r="1467" ht="15.0" customHeight="1">
      <c r="A1467" s="786">
        <v>46077.0</v>
      </c>
      <c r="B1467" s="787" t="s">
        <v>10716</v>
      </c>
      <c r="C1467" s="788" t="s">
        <v>10300</v>
      </c>
      <c r="D1467" s="851" t="s">
        <v>10720</v>
      </c>
      <c r="E1467" s="790" t="str">
        <f>IFERROR(VLOOKUP(D1467,Stock,3,FALSE),"")</f>
        <v>Toyota Fortuner 15- 2nd Gen (Toyota)</v>
      </c>
      <c r="F1467" s="788">
        <v>1.0</v>
      </c>
      <c r="G1467" s="860">
        <v>101200.0</v>
      </c>
      <c r="H1467" s="799">
        <f t="shared" si="8"/>
        <v>101200</v>
      </c>
      <c r="I1467" s="800"/>
      <c r="J1467" s="812"/>
      <c r="K1467" s="813"/>
      <c r="L1467" s="806" t="s">
        <v>10137</v>
      </c>
      <c r="M1467" s="806" t="s">
        <v>2763</v>
      </c>
      <c r="N1467" s="837">
        <v>46112.0</v>
      </c>
      <c r="O1467" s="803"/>
    </row>
    <row r="1468" ht="15.0" customHeight="1">
      <c r="A1468" s="834">
        <v>46077.0</v>
      </c>
      <c r="B1468" s="603">
        <v>2602769.0</v>
      </c>
      <c r="C1468" s="822" t="s">
        <v>10136</v>
      </c>
      <c r="D1468" s="109" t="s">
        <v>8228</v>
      </c>
      <c r="E1468" s="594" t="str">
        <f>IFERROR(VLOOKUP(D1468,Stock,3,FALSE),"")</f>
        <v>Chevrolet Captiva 06-18 1st gen C100</v>
      </c>
      <c r="F1468" s="822">
        <v>1.0</v>
      </c>
      <c r="G1468" s="756">
        <v>997150.0</v>
      </c>
      <c r="H1468" s="824">
        <f t="shared" si="8"/>
        <v>997150</v>
      </c>
      <c r="I1468" s="825"/>
      <c r="J1468" s="826"/>
      <c r="K1468" s="850" t="s">
        <v>8219</v>
      </c>
      <c r="L1468" s="548" t="s">
        <v>10018</v>
      </c>
    </row>
    <row r="1469" ht="15.0" customHeight="1">
      <c r="A1469" s="834">
        <v>46077.0</v>
      </c>
      <c r="B1469" s="603" t="s">
        <v>10721</v>
      </c>
      <c r="C1469" s="822" t="s">
        <v>10148</v>
      </c>
      <c r="D1469" s="109" t="s">
        <v>10722</v>
      </c>
      <c r="E1469" s="594" t="str">
        <f>IFERROR(VLOOKUP(D1469,Stock,3,FALSE),"")</f>
        <v/>
      </c>
      <c r="F1469" s="822">
        <v>1.0</v>
      </c>
      <c r="G1469" s="756" t="s">
        <v>1973</v>
      </c>
      <c r="H1469" s="824" t="str">
        <f t="shared" si="8"/>
        <v>#VALUE!</v>
      </c>
      <c r="I1469" s="825"/>
      <c r="J1469" s="826"/>
      <c r="K1469" s="850" t="s">
        <v>9900</v>
      </c>
    </row>
    <row r="1470" ht="15.0" customHeight="1">
      <c r="A1470" s="786">
        <v>46077.0</v>
      </c>
      <c r="B1470" s="787" t="s">
        <v>10723</v>
      </c>
      <c r="C1470" s="788" t="s">
        <v>79</v>
      </c>
      <c r="D1470" s="851" t="s">
        <v>4017</v>
      </c>
      <c r="E1470" s="790" t="str">
        <f>IFERROR(VLOOKUP(D1470,Stock,3,FALSE),"")</f>
        <v>Black Phantom Solar Gard</v>
      </c>
      <c r="F1470" s="788">
        <v>1.0</v>
      </c>
      <c r="G1470" s="860">
        <v>1125000.0</v>
      </c>
      <c r="H1470" s="799">
        <f t="shared" si="8"/>
        <v>1125000</v>
      </c>
      <c r="I1470" s="800"/>
      <c r="J1470" s="812"/>
      <c r="K1470" s="848" t="s">
        <v>3191</v>
      </c>
      <c r="L1470" s="806" t="s">
        <v>10137</v>
      </c>
      <c r="M1470" s="806" t="s">
        <v>2763</v>
      </c>
      <c r="N1470" s="837">
        <v>46121.0</v>
      </c>
      <c r="O1470" s="803"/>
    </row>
    <row r="1471" ht="15.0" customHeight="1">
      <c r="A1471" s="786">
        <v>46078.0</v>
      </c>
      <c r="B1471" s="787" t="s">
        <v>10724</v>
      </c>
      <c r="C1471" s="788" t="s">
        <v>10152</v>
      </c>
      <c r="D1471" s="851" t="s">
        <v>10725</v>
      </c>
      <c r="E1471" s="790" t="str">
        <f>IFERROR(VLOOKUP(D1471,Stock,3,FALSE),"")</f>
        <v>Mitsubishi Xpander 17- / Livina 19- 2nd Gen (Chrome)</v>
      </c>
      <c r="F1471" s="788">
        <v>1.0</v>
      </c>
      <c r="G1471" s="860">
        <v>855000.0</v>
      </c>
      <c r="H1471" s="799">
        <f t="shared" si="8"/>
        <v>855000</v>
      </c>
      <c r="I1471" s="800"/>
      <c r="J1471" s="812"/>
      <c r="K1471" s="848" t="s">
        <v>3191</v>
      </c>
      <c r="L1471" s="806" t="s">
        <v>10137</v>
      </c>
      <c r="M1471" s="806" t="s">
        <v>2763</v>
      </c>
      <c r="N1471" s="837">
        <v>46086.0</v>
      </c>
      <c r="O1471" s="803"/>
    </row>
    <row r="1472" ht="15.0" customHeight="1">
      <c r="A1472" s="786">
        <v>46078.0</v>
      </c>
      <c r="B1472" s="787" t="s">
        <v>10724</v>
      </c>
      <c r="C1472" s="788" t="s">
        <v>10152</v>
      </c>
      <c r="D1472" s="851" t="s">
        <v>10726</v>
      </c>
      <c r="E1472" s="790" t="str">
        <f>IFERROR(VLOOKUP(D1472,Stock,3,FALSE),"")</f>
        <v>Mitsubishi Xpander 17- / Livina 19- 2nd Gen (Chrome)</v>
      </c>
      <c r="F1472" s="788">
        <v>1.0</v>
      </c>
      <c r="G1472" s="860">
        <v>855000.0</v>
      </c>
      <c r="H1472" s="799">
        <f t="shared" si="8"/>
        <v>855000</v>
      </c>
      <c r="I1472" s="800"/>
      <c r="J1472" s="812"/>
      <c r="K1472" s="848" t="s">
        <v>3191</v>
      </c>
      <c r="L1472" s="806" t="s">
        <v>10137</v>
      </c>
      <c r="M1472" s="806" t="s">
        <v>2763</v>
      </c>
      <c r="N1472" s="837">
        <v>46086.0</v>
      </c>
      <c r="O1472" s="803"/>
    </row>
    <row r="1473" ht="15.0" customHeight="1">
      <c r="A1473" s="786">
        <v>46078.0</v>
      </c>
      <c r="B1473" s="787" t="s">
        <v>10724</v>
      </c>
      <c r="C1473" s="788" t="s">
        <v>10152</v>
      </c>
      <c r="D1473" s="851" t="s">
        <v>10727</v>
      </c>
      <c r="E1473" s="790" t="str">
        <f>IFERROR(VLOOKUP(D1473,Stock,3,FALSE),"")</f>
        <v>Mitsubishi X-Force 23- (Cam) (Mitsubishi)</v>
      </c>
      <c r="F1473" s="788">
        <v>1.0</v>
      </c>
      <c r="G1473" s="860">
        <v>2034000.0</v>
      </c>
      <c r="H1473" s="799">
        <f t="shared" si="8"/>
        <v>2034000</v>
      </c>
      <c r="I1473" s="800"/>
      <c r="J1473" s="812"/>
      <c r="K1473" s="848" t="s">
        <v>3191</v>
      </c>
      <c r="L1473" s="806" t="s">
        <v>10137</v>
      </c>
      <c r="M1473" s="806" t="s">
        <v>2763</v>
      </c>
      <c r="N1473" s="837">
        <v>46086.0</v>
      </c>
      <c r="O1473" s="803"/>
    </row>
    <row r="1474" ht="15.0" customHeight="1">
      <c r="A1474" s="786">
        <v>46078.0</v>
      </c>
      <c r="B1474" s="787" t="s">
        <v>10728</v>
      </c>
      <c r="C1474" s="788" t="s">
        <v>2643</v>
      </c>
      <c r="D1474" s="851" t="s">
        <v>8086</v>
      </c>
      <c r="E1474" s="790" t="str">
        <f>IFERROR(VLOOKUP(D1474,Stock,3,FALSE),"")</f>
        <v>Hyundai Stargazer 22- No Wiper (Hyundai)</v>
      </c>
      <c r="F1474" s="788">
        <v>1.0</v>
      </c>
      <c r="G1474" s="860">
        <v>731490.0</v>
      </c>
      <c r="H1474" s="799">
        <f t="shared" si="8"/>
        <v>731490</v>
      </c>
      <c r="I1474" s="800"/>
      <c r="J1474" s="812"/>
      <c r="K1474" s="848" t="s">
        <v>8219</v>
      </c>
      <c r="L1474" s="806" t="s">
        <v>10137</v>
      </c>
      <c r="M1474" s="806" t="s">
        <v>2763</v>
      </c>
      <c r="N1474" s="837">
        <v>46136.0</v>
      </c>
      <c r="O1474" s="803"/>
    </row>
    <row r="1475" ht="15.0" customHeight="1">
      <c r="A1475" s="834">
        <v>46078.0</v>
      </c>
      <c r="B1475" s="603" t="s">
        <v>10729</v>
      </c>
      <c r="C1475" s="822" t="s">
        <v>10284</v>
      </c>
      <c r="D1475" s="109" t="s">
        <v>6866</v>
      </c>
      <c r="E1475" s="594" t="str">
        <f>IFERROR(VLOOKUP(D1475,Stock,3,FALSE),"")</f>
        <v>Toyota Alphard 15-17 ANH30 3rd Gen (Hitam)</v>
      </c>
      <c r="F1475" s="822">
        <v>1.0</v>
      </c>
      <c r="G1475" s="756">
        <v>1950000.0</v>
      </c>
      <c r="H1475" s="824">
        <f>G1475</f>
        <v>1950000</v>
      </c>
      <c r="I1475" s="825"/>
      <c r="J1475" s="826"/>
      <c r="K1475" s="827"/>
    </row>
    <row r="1476" ht="15.0" customHeight="1">
      <c r="A1476" s="834">
        <v>46078.0</v>
      </c>
      <c r="B1476" s="603" t="s">
        <v>10730</v>
      </c>
      <c r="C1476" s="822" t="s">
        <v>10139</v>
      </c>
      <c r="D1476" s="109" t="s">
        <v>4125</v>
      </c>
      <c r="E1476" s="594" t="str">
        <f>IFERROR(VLOOKUP(D1476,Stock,3,FALSE),"")</f>
        <v>Hyundai Stargazer 22-</v>
      </c>
      <c r="F1476" s="822">
        <v>1.0</v>
      </c>
      <c r="G1476" s="756">
        <v>1417500.0</v>
      </c>
      <c r="H1476" s="824">
        <f>G1476*F1476</f>
        <v>1417500</v>
      </c>
      <c r="I1476" s="825"/>
      <c r="J1476" s="826"/>
      <c r="K1476" s="850" t="s">
        <v>8388</v>
      </c>
    </row>
    <row r="1477" ht="15.0" customHeight="1">
      <c r="A1477" s="834">
        <v>46079.0</v>
      </c>
      <c r="B1477" s="603" t="s">
        <v>10731</v>
      </c>
      <c r="C1477" s="822" t="s">
        <v>10139</v>
      </c>
      <c r="D1477" s="548" t="s">
        <v>8259</v>
      </c>
      <c r="E1477" s="594" t="str">
        <f>IFERROR(VLOOKUP(D1477,Stock,3,FALSE),"")</f>
        <v>Toyota NAV1/Noah 07-17</v>
      </c>
      <c r="F1477" s="822">
        <v>1.0</v>
      </c>
      <c r="G1477" s="756">
        <v>1843425.0</v>
      </c>
      <c r="H1477" s="824">
        <f t="shared" ref="H1477:H1480" si="9">G1477</f>
        <v>1843425</v>
      </c>
      <c r="I1477" s="825"/>
      <c r="J1477" s="826"/>
      <c r="K1477" s="850" t="s">
        <v>7976</v>
      </c>
      <c r="L1477" s="548" t="s">
        <v>10137</v>
      </c>
    </row>
    <row r="1478" ht="15.0" customHeight="1">
      <c r="A1478" s="834">
        <v>46079.0</v>
      </c>
      <c r="B1478" s="603">
        <v>2602863.0</v>
      </c>
      <c r="C1478" s="822" t="s">
        <v>10136</v>
      </c>
      <c r="D1478" s="109" t="s">
        <v>8293</v>
      </c>
      <c r="E1478" s="594" t="str">
        <f>IFERROR(VLOOKUP(D1478,Stock,3,FALSE),"")</f>
        <v>Nissan Elgrand 10- E52 3rd Gen</v>
      </c>
      <c r="F1478" s="822">
        <v>1.0</v>
      </c>
      <c r="G1478" s="756">
        <v>1553750.0</v>
      </c>
      <c r="H1478" s="824">
        <f t="shared" si="9"/>
        <v>1553750</v>
      </c>
      <c r="I1478" s="825"/>
      <c r="J1478" s="826"/>
      <c r="K1478" s="850" t="s">
        <v>8219</v>
      </c>
      <c r="L1478" s="548" t="s">
        <v>10018</v>
      </c>
    </row>
    <row r="1479" ht="15.0" customHeight="1">
      <c r="A1479" s="834">
        <v>46079.0</v>
      </c>
      <c r="B1479" s="603">
        <v>2602863.0</v>
      </c>
      <c r="C1479" s="822" t="s">
        <v>10136</v>
      </c>
      <c r="D1479" s="109" t="s">
        <v>8280</v>
      </c>
      <c r="E1479" s="594" t="str">
        <f>IFERROR(VLOOKUP(D1479,Stock,3,FALSE),"")</f>
        <v>Suzuki Karimun Estilo 07-</v>
      </c>
      <c r="F1479" s="822">
        <v>1.0</v>
      </c>
      <c r="G1479" s="756">
        <v>847550.0</v>
      </c>
      <c r="H1479" s="824">
        <f t="shared" si="9"/>
        <v>847550</v>
      </c>
      <c r="I1479" s="825"/>
      <c r="J1479" s="826"/>
      <c r="K1479" s="850" t="s">
        <v>8219</v>
      </c>
      <c r="L1479" s="548" t="s">
        <v>10018</v>
      </c>
    </row>
    <row r="1480" ht="15.0" customHeight="1">
      <c r="A1480" s="786">
        <v>46079.0</v>
      </c>
      <c r="B1480" s="787" t="s">
        <v>10732</v>
      </c>
      <c r="C1480" s="788" t="s">
        <v>2643</v>
      </c>
      <c r="D1480" s="851" t="s">
        <v>8298</v>
      </c>
      <c r="E1480" s="790" t="str">
        <f>IFERROR(VLOOKUP(D1480,Stock,3,FALSE),"")</f>
        <v>Honda Civic 16-21 10th Gen Sedan (1 Sensor / I ) (Honda)</v>
      </c>
      <c r="F1480" s="788">
        <v>1.0</v>
      </c>
      <c r="G1480" s="860">
        <v>4459092.0</v>
      </c>
      <c r="H1480" s="799">
        <f t="shared" si="9"/>
        <v>4459092</v>
      </c>
      <c r="I1480" s="800"/>
      <c r="J1480" s="812"/>
      <c r="K1480" s="848" t="s">
        <v>8219</v>
      </c>
      <c r="L1480" s="806" t="s">
        <v>10137</v>
      </c>
      <c r="M1480" s="806" t="s">
        <v>2763</v>
      </c>
      <c r="N1480" s="837">
        <v>46136.0</v>
      </c>
      <c r="O1480" s="803"/>
    </row>
    <row r="1481" ht="15.0" customHeight="1">
      <c r="A1481" s="834">
        <v>46079.0</v>
      </c>
      <c r="B1481" s="603">
        <v>724102.0</v>
      </c>
      <c r="C1481" s="822" t="s">
        <v>10336</v>
      </c>
      <c r="D1481" s="109" t="s">
        <v>8411</v>
      </c>
      <c r="E1481" s="594" t="str">
        <f>IFERROR(VLOOKUP(D1481,Stock,3,FALSE),"")</f>
        <v>Automotive Film Standard - Black 80%</v>
      </c>
      <c r="F1481" s="822">
        <v>1.0</v>
      </c>
      <c r="G1481" s="756"/>
      <c r="H1481" s="824">
        <f>G1481*F1481</f>
        <v>0</v>
      </c>
      <c r="I1481" s="825"/>
      <c r="J1481" s="826"/>
      <c r="K1481" s="827"/>
    </row>
    <row r="1482" ht="15.0" customHeight="1">
      <c r="A1482" s="834">
        <v>46080.0</v>
      </c>
      <c r="B1482" s="603">
        <v>2602886.0</v>
      </c>
      <c r="C1482" s="822" t="s">
        <v>10136</v>
      </c>
      <c r="D1482" s="109" t="s">
        <v>3318</v>
      </c>
      <c r="E1482" s="594" t="str">
        <f>IFERROR(VLOOKUP(D1482,Stock,3,FALSE),"")</f>
        <v>Suzuki Swift 11-17 2nd Gen</v>
      </c>
      <c r="F1482" s="822">
        <v>1.0</v>
      </c>
      <c r="G1482" s="756">
        <v>712800.0</v>
      </c>
      <c r="H1482" s="824">
        <f>G1482</f>
        <v>712800</v>
      </c>
      <c r="I1482" s="825"/>
      <c r="J1482" s="826"/>
      <c r="K1482" s="850" t="s">
        <v>8219</v>
      </c>
    </row>
    <row r="1483" ht="15.0" customHeight="1">
      <c r="A1483" s="834">
        <v>46080.0</v>
      </c>
      <c r="B1483" s="603">
        <v>2602886.0</v>
      </c>
      <c r="C1483" s="822" t="s">
        <v>10136</v>
      </c>
      <c r="D1483" s="109" t="s">
        <v>7220</v>
      </c>
      <c r="E1483" s="594" t="str">
        <f>IFERROR(VLOOKUP(D1483,Stock,3,FALSE),"")</f>
        <v>Toyota Rush / Terios 06-17</v>
      </c>
      <c r="F1483" s="822">
        <v>2.0</v>
      </c>
      <c r="G1483" s="756">
        <v>576400.0</v>
      </c>
      <c r="H1483" s="824">
        <f t="shared" ref="H1483:H1510" si="10">G1483*F1483</f>
        <v>1152800</v>
      </c>
      <c r="I1483" s="825"/>
      <c r="J1483" s="826"/>
      <c r="K1483" s="850" t="s">
        <v>8219</v>
      </c>
    </row>
    <row r="1484" ht="15.0" customHeight="1">
      <c r="A1484" s="786">
        <v>46080.0</v>
      </c>
      <c r="B1484" s="787" t="s">
        <v>10733</v>
      </c>
      <c r="C1484" s="788" t="s">
        <v>2643</v>
      </c>
      <c r="D1484" s="851" t="s">
        <v>10713</v>
      </c>
      <c r="E1484" s="790" t="str">
        <f>IFERROR(VLOOKUP(D1484,Stock,3,FALSE),"")</f>
        <v>Honda BR-V 16-21 (Honda)</v>
      </c>
      <c r="F1484" s="788">
        <v>1.0</v>
      </c>
      <c r="G1484" s="860">
        <v>1040292.0</v>
      </c>
      <c r="H1484" s="799">
        <f t="shared" si="10"/>
        <v>1040292</v>
      </c>
      <c r="I1484" s="800"/>
      <c r="J1484" s="812"/>
      <c r="K1484" s="848" t="s">
        <v>9900</v>
      </c>
      <c r="L1484" s="806" t="s">
        <v>10137</v>
      </c>
      <c r="M1484" s="833" t="s">
        <v>2763</v>
      </c>
      <c r="N1484" s="849">
        <v>46136.0</v>
      </c>
      <c r="O1484" s="803"/>
    </row>
    <row r="1485" ht="15.0" customHeight="1">
      <c r="A1485" s="786">
        <v>46080.0</v>
      </c>
      <c r="B1485" s="787" t="s">
        <v>10733</v>
      </c>
      <c r="C1485" s="788" t="s">
        <v>2643</v>
      </c>
      <c r="D1485" s="851" t="s">
        <v>5062</v>
      </c>
      <c r="E1485" s="790" t="str">
        <f>IFERROR(VLOOKUP(D1485,Stock,3,FALSE),"")</f>
        <v>Honda CR-V 17-23 5th Gen (Honda)</v>
      </c>
      <c r="F1485" s="788">
        <v>2.0</v>
      </c>
      <c r="G1485" s="860">
        <v>1196580.0</v>
      </c>
      <c r="H1485" s="799">
        <f t="shared" si="10"/>
        <v>2393160</v>
      </c>
      <c r="I1485" s="800"/>
      <c r="J1485" s="812"/>
      <c r="K1485" s="848" t="s">
        <v>9900</v>
      </c>
      <c r="L1485" s="806" t="s">
        <v>10137</v>
      </c>
      <c r="M1485" s="833" t="s">
        <v>2763</v>
      </c>
      <c r="N1485" s="849">
        <v>46136.0</v>
      </c>
      <c r="O1485" s="803"/>
    </row>
    <row r="1486" ht="15.0" customHeight="1">
      <c r="A1486" s="834">
        <v>46080.0</v>
      </c>
      <c r="B1486" s="603" t="s">
        <v>10734</v>
      </c>
      <c r="C1486" s="822" t="s">
        <v>10139</v>
      </c>
      <c r="D1486" s="109" t="s">
        <v>6850</v>
      </c>
      <c r="E1486" s="594" t="str">
        <f>IFERROR(VLOOKUP(D1486,Stock,3,FALSE),"")</f>
        <v>Isuzu Elf 17- New NMR NLR / Isuzu Giga </v>
      </c>
      <c r="F1486" s="822">
        <v>1.0</v>
      </c>
      <c r="G1486" s="756">
        <v>325000.0</v>
      </c>
      <c r="H1486" s="824">
        <f t="shared" si="10"/>
        <v>325000</v>
      </c>
      <c r="I1486" s="825"/>
      <c r="J1486" s="826"/>
      <c r="K1486" s="850" t="s">
        <v>8219</v>
      </c>
    </row>
    <row r="1487" ht="15.0" customHeight="1">
      <c r="A1487" s="834">
        <v>46080.0</v>
      </c>
      <c r="B1487" s="603" t="s">
        <v>10735</v>
      </c>
      <c r="C1487" s="822" t="s">
        <v>10139</v>
      </c>
      <c r="D1487" s="109" t="s">
        <v>8003</v>
      </c>
      <c r="E1487" s="594" t="str">
        <f>IFERROR(VLOOKUP(D1487,Stock,3,FALSE),"")</f>
        <v>Honda CR-V 07-11 3rd Gen</v>
      </c>
      <c r="F1487" s="822">
        <v>1.0</v>
      </c>
      <c r="G1487" s="756">
        <v>755325.0</v>
      </c>
      <c r="H1487" s="824">
        <f t="shared" si="10"/>
        <v>755325</v>
      </c>
      <c r="I1487" s="825"/>
      <c r="J1487" s="826"/>
      <c r="K1487" s="850" t="s">
        <v>9900</v>
      </c>
    </row>
    <row r="1488" ht="15.0" customHeight="1">
      <c r="A1488" s="834">
        <v>46080.0</v>
      </c>
      <c r="B1488" s="603">
        <v>2602886.0</v>
      </c>
      <c r="C1488" s="822" t="s">
        <v>10136</v>
      </c>
      <c r="D1488" s="109" t="s">
        <v>4380</v>
      </c>
      <c r="E1488" s="594" t="str">
        <f>IFERROR(VLOOKUP(D1488,Stock,3,FALSE),"")</f>
        <v>Nissan Livina 07-12 L10 (Tanpa Lubang)</v>
      </c>
      <c r="F1488" s="822">
        <v>1.0</v>
      </c>
      <c r="G1488" s="756">
        <v>466950.0</v>
      </c>
      <c r="H1488" s="824">
        <f t="shared" si="10"/>
        <v>466950</v>
      </c>
      <c r="I1488" s="825"/>
      <c r="J1488" s="826"/>
      <c r="K1488" s="850" t="s">
        <v>7976</v>
      </c>
    </row>
    <row r="1489" ht="15.0" customHeight="1">
      <c r="A1489" s="834">
        <v>46080.0</v>
      </c>
      <c r="B1489" s="603">
        <v>2602894.0</v>
      </c>
      <c r="C1489" s="822" t="s">
        <v>10136</v>
      </c>
      <c r="D1489" s="109" t="s">
        <v>4112</v>
      </c>
      <c r="E1489" s="594" t="str">
        <f>IFERROR(VLOOKUP(D1489,Stock,3,FALSE),"")</f>
        <v>Wuling Air EV 22-</v>
      </c>
      <c r="F1489" s="822">
        <v>1.0</v>
      </c>
      <c r="G1489" s="756">
        <v>852000.0</v>
      </c>
      <c r="H1489" s="824">
        <f t="shared" si="10"/>
        <v>852000</v>
      </c>
      <c r="I1489" s="825"/>
      <c r="J1489" s="826"/>
      <c r="K1489" s="850" t="s">
        <v>8219</v>
      </c>
    </row>
    <row r="1490" ht="15.0" customHeight="1">
      <c r="A1490" s="834">
        <v>46080.0</v>
      </c>
      <c r="B1490" s="603">
        <v>2602894.0</v>
      </c>
      <c r="C1490" s="822" t="s">
        <v>10136</v>
      </c>
      <c r="D1490" s="674" t="s">
        <v>2990</v>
      </c>
      <c r="E1490" s="594" t="str">
        <f>IFERROR(VLOOKUP(D1490,Stock,3,FALSE),"")</f>
        <v>Daihatsu Sirion 18- 3rd Gen</v>
      </c>
      <c r="F1490" s="822">
        <v>1.0</v>
      </c>
      <c r="G1490" s="756">
        <v>797500.0</v>
      </c>
      <c r="H1490" s="824">
        <f t="shared" si="10"/>
        <v>797500</v>
      </c>
      <c r="I1490" s="825"/>
      <c r="J1490" s="826"/>
      <c r="K1490" s="850" t="s">
        <v>8219</v>
      </c>
    </row>
    <row r="1491" ht="15.0" customHeight="1">
      <c r="A1491" s="834">
        <v>46080.0</v>
      </c>
      <c r="B1491" s="603">
        <v>2602894.0</v>
      </c>
      <c r="C1491" s="822" t="s">
        <v>10136</v>
      </c>
      <c r="D1491" s="109" t="s">
        <v>3029</v>
      </c>
      <c r="E1491" s="594" t="str">
        <f>IFERROR(VLOOKUP(D1491,Stock,3,FALSE),"")</f>
        <v>Mitsubishi Canter FE700 01- (PS110,125)</v>
      </c>
      <c r="F1491" s="109">
        <v>2.0</v>
      </c>
      <c r="G1491" s="769">
        <v>464200.0</v>
      </c>
      <c r="H1491" s="824">
        <f t="shared" si="10"/>
        <v>928400</v>
      </c>
      <c r="I1491" s="825"/>
      <c r="J1491" s="826"/>
      <c r="K1491" s="850" t="s">
        <v>8219</v>
      </c>
    </row>
    <row r="1492" ht="15.0" customHeight="1">
      <c r="A1492" s="786">
        <v>46080.0</v>
      </c>
      <c r="B1492" s="787" t="s">
        <v>10736</v>
      </c>
      <c r="C1492" s="788" t="s">
        <v>10139</v>
      </c>
      <c r="D1492" s="851" t="s">
        <v>3193</v>
      </c>
      <c r="E1492" s="790" t="str">
        <f>IFERROR(VLOOKUP(D1492,Stock,3,FALSE),"")</f>
        <v>Toyota Avanza / Xenia 11-15 2nd Gen</v>
      </c>
      <c r="F1492" s="788">
        <v>10.0</v>
      </c>
      <c r="G1492" s="860">
        <v>396825.0</v>
      </c>
      <c r="H1492" s="799">
        <f t="shared" si="10"/>
        <v>3968250</v>
      </c>
      <c r="I1492" s="800"/>
      <c r="J1492" s="812"/>
      <c r="K1492" s="806" t="s">
        <v>8219</v>
      </c>
      <c r="L1492" s="806" t="s">
        <v>10137</v>
      </c>
      <c r="M1492" s="806" t="s">
        <v>2763</v>
      </c>
      <c r="N1492" s="837">
        <v>46114.0</v>
      </c>
      <c r="O1492" s="803"/>
    </row>
    <row r="1493" ht="15.0" customHeight="1">
      <c r="A1493" s="834">
        <v>46080.0</v>
      </c>
      <c r="B1493" s="603" t="s">
        <v>10737</v>
      </c>
      <c r="C1493" s="822" t="s">
        <v>66</v>
      </c>
      <c r="D1493" s="109" t="s">
        <v>8307</v>
      </c>
      <c r="E1493" s="594" t="str">
        <f>IFERROR(VLOOKUP(D1493,Stock,3,FALSE),"")</f>
        <v>Suzuki Ertiga 18- 2nd Gen / XL7</v>
      </c>
      <c r="F1493" s="822">
        <v>1.0</v>
      </c>
      <c r="G1493" s="756">
        <v>450000.0</v>
      </c>
      <c r="H1493" s="824">
        <f t="shared" si="10"/>
        <v>450000</v>
      </c>
      <c r="I1493" s="825"/>
      <c r="J1493" s="826"/>
      <c r="K1493" s="850" t="s">
        <v>9900</v>
      </c>
    </row>
    <row r="1494" ht="15.0" customHeight="1">
      <c r="A1494" s="834">
        <v>46081.0</v>
      </c>
      <c r="B1494" s="603" t="s">
        <v>10738</v>
      </c>
      <c r="C1494" s="822" t="s">
        <v>10139</v>
      </c>
      <c r="D1494" s="109" t="s">
        <v>4129</v>
      </c>
      <c r="E1494" s="594" t="str">
        <f>IFERROR(VLOOKUP(D1494,Stock,3,FALSE),"")</f>
        <v>Honda Civic 05-11 8th Gen (Civic Batman FD)</v>
      </c>
      <c r="F1494" s="822">
        <v>1.0</v>
      </c>
      <c r="G1494" s="756">
        <v>1104300.0</v>
      </c>
      <c r="H1494" s="824">
        <f t="shared" si="10"/>
        <v>1104300</v>
      </c>
      <c r="I1494" s="825"/>
      <c r="J1494" s="826"/>
      <c r="K1494" s="850" t="s">
        <v>8219</v>
      </c>
    </row>
    <row r="1495" ht="15.0" customHeight="1">
      <c r="A1495" s="834">
        <v>46081.0</v>
      </c>
      <c r="B1495" s="603" t="s">
        <v>10739</v>
      </c>
      <c r="C1495" s="822" t="s">
        <v>10139</v>
      </c>
      <c r="D1495" s="109" t="s">
        <v>4129</v>
      </c>
      <c r="E1495" s="594" t="str">
        <f>IFERROR(VLOOKUP(D1495,Stock,3,FALSE),"")</f>
        <v>Honda Civic 05-11 8th Gen (Civic Batman FD)</v>
      </c>
      <c r="F1495" s="822">
        <v>1.0</v>
      </c>
      <c r="G1495" s="756">
        <v>1104300.0</v>
      </c>
      <c r="H1495" s="824">
        <f t="shared" si="10"/>
        <v>1104300</v>
      </c>
      <c r="I1495" s="825"/>
      <c r="J1495" s="826"/>
      <c r="K1495" s="850" t="s">
        <v>8219</v>
      </c>
    </row>
    <row r="1496" ht="15.0" customHeight="1">
      <c r="A1496" s="834">
        <v>46081.0</v>
      </c>
      <c r="B1496" s="603" t="s">
        <v>10740</v>
      </c>
      <c r="C1496" s="822" t="s">
        <v>10139</v>
      </c>
      <c r="D1496" s="109" t="s">
        <v>8537</v>
      </c>
      <c r="E1496" s="594" t="str">
        <f>IFERROR(VLOOKUP(D1496,Stock,3,FALSE),"")</f>
        <v>Suzuki Wagon R 12-</v>
      </c>
      <c r="F1496" s="822">
        <v>1.0</v>
      </c>
      <c r="G1496" s="756">
        <v>653000.0</v>
      </c>
      <c r="H1496" s="824">
        <f t="shared" si="10"/>
        <v>653000</v>
      </c>
      <c r="I1496" s="825"/>
      <c r="J1496" s="826"/>
      <c r="K1496" s="850" t="s">
        <v>8219</v>
      </c>
    </row>
    <row r="1497" ht="15.0" customHeight="1">
      <c r="A1497" s="834">
        <v>46081.0</v>
      </c>
      <c r="B1497" s="603" t="s">
        <v>10740</v>
      </c>
      <c r="C1497" s="822" t="s">
        <v>10139</v>
      </c>
      <c r="D1497" s="109" t="s">
        <v>2797</v>
      </c>
      <c r="E1497" s="594" t="str">
        <f>IFERROR(VLOOKUP(D1497,Stock,3,FALSE),"")</f>
        <v>Toyota Calya / Sigra 16-</v>
      </c>
      <c r="F1497" s="822">
        <v>1.0</v>
      </c>
      <c r="G1497" s="756">
        <v>195000.0</v>
      </c>
      <c r="H1497" s="824">
        <f t="shared" si="10"/>
        <v>195000</v>
      </c>
      <c r="I1497" s="825"/>
      <c r="J1497" s="826"/>
      <c r="K1497" s="850" t="s">
        <v>8219</v>
      </c>
    </row>
    <row r="1498" ht="15.0" customHeight="1">
      <c r="A1498" s="786">
        <v>46081.0</v>
      </c>
      <c r="B1498" s="787" t="s">
        <v>10741</v>
      </c>
      <c r="C1498" s="788" t="s">
        <v>2643</v>
      </c>
      <c r="D1498" s="851" t="s">
        <v>8401</v>
      </c>
      <c r="E1498" s="790" t="str">
        <f>IFERROR(VLOOKUP(D1498,Stock,3,FALSE),"")</f>
        <v>Subaru Forester 22- (3 Sensor / /\ [] /\ ) (Subaru)</v>
      </c>
      <c r="F1498" s="788">
        <v>1.0</v>
      </c>
      <c r="G1498" s="860">
        <v>2.78E7</v>
      </c>
      <c r="H1498" s="799">
        <f t="shared" si="10"/>
        <v>27800000</v>
      </c>
      <c r="I1498" s="800"/>
      <c r="J1498" s="812"/>
      <c r="K1498" s="848" t="s">
        <v>9900</v>
      </c>
      <c r="L1498" s="806" t="s">
        <v>10137</v>
      </c>
      <c r="M1498" s="833" t="s">
        <v>2763</v>
      </c>
      <c r="N1498" s="849">
        <v>46136.0</v>
      </c>
      <c r="O1498" s="803"/>
    </row>
    <row r="1499" ht="15.0" customHeight="1">
      <c r="A1499" s="786">
        <v>46083.0</v>
      </c>
      <c r="B1499" s="787" t="s">
        <v>10742</v>
      </c>
      <c r="C1499" s="788" t="s">
        <v>10300</v>
      </c>
      <c r="D1499" s="851" t="s">
        <v>10743</v>
      </c>
      <c r="E1499" s="790" t="str">
        <f>IFERROR(VLOOKUP(D1499,Stock,3,FALSE),"")</f>
        <v>Toyota Innova 15-22 2nd Gen (Toyota)</v>
      </c>
      <c r="F1499" s="788">
        <v>1.0</v>
      </c>
      <c r="G1499" s="860">
        <v>731400.0</v>
      </c>
      <c r="H1499" s="799">
        <f t="shared" si="10"/>
        <v>731400</v>
      </c>
      <c r="I1499" s="800"/>
      <c r="J1499" s="812"/>
      <c r="K1499" s="848" t="s">
        <v>9900</v>
      </c>
      <c r="L1499" s="806" t="s">
        <v>10137</v>
      </c>
      <c r="M1499" s="833" t="s">
        <v>2763</v>
      </c>
      <c r="N1499" s="849">
        <v>46136.0</v>
      </c>
      <c r="O1499" s="803"/>
    </row>
    <row r="1500" ht="15.0" customHeight="1">
      <c r="A1500" s="834">
        <v>46083.0</v>
      </c>
      <c r="B1500" s="603">
        <v>2603071.0</v>
      </c>
      <c r="C1500" s="109" t="s">
        <v>10744</v>
      </c>
      <c r="D1500" s="835" t="s">
        <v>4013</v>
      </c>
      <c r="E1500" s="594" t="str">
        <f>IFERROR(VLOOKUP(D1500,Stock,3,FALSE),"")</f>
        <v>Toyota Sienta 15-</v>
      </c>
      <c r="F1500" s="822">
        <v>1.0</v>
      </c>
      <c r="G1500" s="756">
        <v>568150.0</v>
      </c>
      <c r="H1500" s="824">
        <f t="shared" si="10"/>
        <v>568150</v>
      </c>
      <c r="I1500" s="825"/>
      <c r="J1500" s="826"/>
      <c r="K1500" s="850" t="s">
        <v>8334</v>
      </c>
    </row>
    <row r="1501" ht="15.0" customHeight="1">
      <c r="A1501" s="820"/>
      <c r="B1501" s="603"/>
      <c r="C1501" s="109" t="s">
        <v>10744</v>
      </c>
      <c r="D1501" s="835" t="s">
        <v>4879</v>
      </c>
      <c r="E1501" s="594" t="str">
        <f>IFERROR(VLOOKUP(D1501,Stock,3,FALSE),"")</f>
        <v>Kia Picanto 11-16 2nd Gen</v>
      </c>
      <c r="F1501" s="822">
        <v>1.0</v>
      </c>
      <c r="G1501" s="756">
        <v>707850.0</v>
      </c>
      <c r="H1501" s="824">
        <f t="shared" si="10"/>
        <v>707850</v>
      </c>
      <c r="I1501" s="825"/>
      <c r="J1501" s="826"/>
      <c r="K1501" s="850" t="s">
        <v>8334</v>
      </c>
    </row>
    <row r="1502" ht="15.0" customHeight="1">
      <c r="A1502" s="820"/>
      <c r="B1502" s="603"/>
      <c r="C1502" s="109" t="s">
        <v>10744</v>
      </c>
      <c r="D1502" s="835" t="s">
        <v>4418</v>
      </c>
      <c r="E1502" s="594" t="str">
        <f>IFERROR(VLOOKUP(D1502,Stock,3,FALSE),"")</f>
        <v>Isuzu Elf 93- NKR NHR</v>
      </c>
      <c r="F1502" s="822">
        <v>1.0</v>
      </c>
      <c r="G1502" s="756">
        <v>502700.0</v>
      </c>
      <c r="H1502" s="824">
        <f t="shared" si="10"/>
        <v>502700</v>
      </c>
      <c r="I1502" s="825"/>
      <c r="J1502" s="826"/>
      <c r="K1502" s="850" t="s">
        <v>8334</v>
      </c>
    </row>
    <row r="1503" ht="15.0" customHeight="1">
      <c r="A1503" s="820"/>
      <c r="B1503" s="603"/>
      <c r="C1503" s="109" t="s">
        <v>10744</v>
      </c>
      <c r="D1503" s="835" t="s">
        <v>4103</v>
      </c>
      <c r="E1503" s="594" t="str">
        <f>IFERROR(VLOOKUP(D1503,Stock,3,FALSE),"")</f>
        <v>Toyota Hi-Ace 04-20 Commuter</v>
      </c>
      <c r="F1503" s="822">
        <v>1.0</v>
      </c>
      <c r="G1503" s="756">
        <v>240350.0</v>
      </c>
      <c r="H1503" s="824">
        <f t="shared" si="10"/>
        <v>240350</v>
      </c>
      <c r="I1503" s="825"/>
      <c r="J1503" s="826"/>
      <c r="K1503" s="850" t="s">
        <v>8334</v>
      </c>
    </row>
    <row r="1504" ht="15.0" customHeight="1">
      <c r="A1504" s="820"/>
      <c r="B1504" s="603"/>
      <c r="C1504" s="109" t="s">
        <v>10744</v>
      </c>
      <c r="D1504" s="835" t="s">
        <v>5114</v>
      </c>
      <c r="E1504" s="594" t="str">
        <f>IFERROR(VLOOKUP(D1504,Stock,3,FALSE),"")</f>
        <v>Daihatsu Sirion 11-18 2nd Gen</v>
      </c>
      <c r="F1504" s="822">
        <v>1.0</v>
      </c>
      <c r="G1504" s="756">
        <v>791450.0</v>
      </c>
      <c r="H1504" s="824">
        <f t="shared" si="10"/>
        <v>791450</v>
      </c>
      <c r="I1504" s="825"/>
      <c r="J1504" s="826"/>
      <c r="K1504" s="850" t="s">
        <v>8334</v>
      </c>
    </row>
    <row r="1505" ht="15.0" customHeight="1">
      <c r="A1505" s="820"/>
      <c r="B1505" s="603"/>
      <c r="C1505" s="109" t="s">
        <v>10744</v>
      </c>
      <c r="D1505" s="835" t="s">
        <v>2916</v>
      </c>
      <c r="E1505" s="594" t="str">
        <f>IFERROR(VLOOKUP(D1505,Stock,3,FALSE),"")</f>
        <v>Toyota Alphard 08-15 ANH20 2nd Gen (Hitam)</v>
      </c>
      <c r="F1505" s="822">
        <v>1.0</v>
      </c>
      <c r="G1505" s="756">
        <v>1399200.0</v>
      </c>
      <c r="H1505" s="824">
        <f t="shared" si="10"/>
        <v>1399200</v>
      </c>
      <c r="I1505" s="825"/>
      <c r="J1505" s="826"/>
      <c r="K1505" s="850" t="s">
        <v>8334</v>
      </c>
    </row>
    <row r="1506" ht="15.0" customHeight="1">
      <c r="A1506" s="820"/>
      <c r="B1506" s="603"/>
      <c r="C1506" s="109" t="s">
        <v>10744</v>
      </c>
      <c r="D1506" s="835" t="s">
        <v>3152</v>
      </c>
      <c r="E1506" s="594" t="str">
        <f>IFERROR(VLOOKUP(D1506,Stock,3,FALSE),"")</f>
        <v>Honda Civic 05-11 8th Gen (Civic Batman FD)</v>
      </c>
      <c r="F1506" s="822">
        <v>1.0</v>
      </c>
      <c r="G1506" s="756">
        <v>899800.0</v>
      </c>
      <c r="H1506" s="824">
        <f t="shared" si="10"/>
        <v>899800</v>
      </c>
      <c r="I1506" s="825"/>
      <c r="J1506" s="826"/>
      <c r="K1506" s="850" t="s">
        <v>8334</v>
      </c>
    </row>
    <row r="1507" ht="15.0" customHeight="1">
      <c r="A1507" s="834">
        <v>46083.0</v>
      </c>
      <c r="B1507" s="603" t="s">
        <v>10745</v>
      </c>
      <c r="C1507" s="822" t="s">
        <v>10139</v>
      </c>
      <c r="D1507" s="109" t="s">
        <v>8408</v>
      </c>
      <c r="E1507" s="594" t="str">
        <f>IFERROR(VLOOKUP(D1507,Stock,3,FALSE),"")</f>
        <v>Suzuki APV 03- Van</v>
      </c>
      <c r="F1507" s="822">
        <v>1.0</v>
      </c>
      <c r="G1507" s="756">
        <v>120000.0</v>
      </c>
      <c r="H1507" s="824">
        <f t="shared" si="10"/>
        <v>120000</v>
      </c>
      <c r="I1507" s="825"/>
      <c r="J1507" s="826"/>
      <c r="K1507" s="850" t="s">
        <v>8334</v>
      </c>
    </row>
    <row r="1508" ht="15.0" customHeight="1">
      <c r="A1508" s="834">
        <v>46084.0</v>
      </c>
      <c r="B1508" s="603" t="s">
        <v>10746</v>
      </c>
      <c r="C1508" s="822" t="s">
        <v>10139</v>
      </c>
      <c r="D1508" s="109" t="s">
        <v>6637</v>
      </c>
      <c r="E1508" s="594" t="str">
        <f>IFERROR(VLOOKUP(D1508,Stock,3,FALSE),"")</f>
        <v>Chery Omoda 5 23- (2 Sensor O /\ )</v>
      </c>
      <c r="F1508" s="822">
        <v>1.0</v>
      </c>
      <c r="G1508" s="756">
        <v>2497500.0</v>
      </c>
      <c r="H1508" s="824">
        <f t="shared" si="10"/>
        <v>2497500</v>
      </c>
      <c r="I1508" s="825"/>
      <c r="J1508" s="826"/>
      <c r="K1508" s="850" t="s">
        <v>8334</v>
      </c>
    </row>
    <row r="1509" ht="15.0" customHeight="1">
      <c r="A1509" s="786">
        <v>46084.0</v>
      </c>
      <c r="B1509" s="787" t="s">
        <v>10747</v>
      </c>
      <c r="C1509" s="788" t="s">
        <v>24</v>
      </c>
      <c r="D1509" s="851" t="s">
        <v>10748</v>
      </c>
      <c r="E1509" s="790" t="str">
        <f>IFERROR(VLOOKUP(D1509,Stock,3,FALSE),"")</f>
        <v/>
      </c>
      <c r="F1509" s="788">
        <v>1.0</v>
      </c>
      <c r="G1509" s="860">
        <v>400000.0</v>
      </c>
      <c r="H1509" s="799">
        <f t="shared" si="10"/>
        <v>400000</v>
      </c>
      <c r="I1509" s="800"/>
      <c r="J1509" s="812"/>
      <c r="K1509" s="848" t="s">
        <v>3191</v>
      </c>
      <c r="L1509" s="806" t="s">
        <v>10137</v>
      </c>
      <c r="M1509" s="806" t="s">
        <v>2763</v>
      </c>
      <c r="N1509" s="837">
        <v>46085.0</v>
      </c>
      <c r="O1509" s="803"/>
    </row>
    <row r="1510" ht="15.0" customHeight="1">
      <c r="A1510" s="786">
        <v>46084.0</v>
      </c>
      <c r="B1510" s="787" t="s">
        <v>10747</v>
      </c>
      <c r="C1510" s="788" t="s">
        <v>24</v>
      </c>
      <c r="D1510" s="851" t="s">
        <v>10688</v>
      </c>
      <c r="E1510" s="790" t="str">
        <f>IFERROR(VLOOKUP(D1510,Stock,3,FALSE),"")</f>
        <v/>
      </c>
      <c r="F1510" s="788">
        <v>2.0</v>
      </c>
      <c r="G1510" s="860">
        <v>75000.0</v>
      </c>
      <c r="H1510" s="799">
        <f t="shared" si="10"/>
        <v>150000</v>
      </c>
      <c r="I1510" s="800"/>
      <c r="J1510" s="812"/>
      <c r="K1510" s="848" t="s">
        <v>3191</v>
      </c>
      <c r="L1510" s="806" t="s">
        <v>10137</v>
      </c>
      <c r="M1510" s="806" t="s">
        <v>2763</v>
      </c>
      <c r="N1510" s="837">
        <v>46085.0</v>
      </c>
      <c r="O1510" s="803"/>
    </row>
    <row r="1511" ht="15.0" customHeight="1">
      <c r="A1511" s="834">
        <v>46085.0</v>
      </c>
      <c r="B1511" s="898" t="s">
        <v>10749</v>
      </c>
      <c r="C1511" s="822" t="s">
        <v>10148</v>
      </c>
      <c r="D1511" s="899" t="s">
        <v>6187</v>
      </c>
      <c r="E1511" s="594" t="str">
        <f>IFERROR(VLOOKUP(D1511,Stock,3,FALSE),"")</f>
        <v>Honda Freed 08-16 1st Gen (Honda)</v>
      </c>
      <c r="F1511" s="822">
        <v>1.0</v>
      </c>
      <c r="G1511" s="756">
        <v>0.0</v>
      </c>
      <c r="H1511" s="825">
        <v>0.0</v>
      </c>
      <c r="I1511" s="825"/>
      <c r="J1511" s="826"/>
      <c r="K1511" s="850" t="s">
        <v>8219</v>
      </c>
    </row>
    <row r="1512" ht="15.0" customHeight="1">
      <c r="A1512" s="834">
        <v>46085.0</v>
      </c>
      <c r="B1512" s="898" t="s">
        <v>10749</v>
      </c>
      <c r="C1512" s="822" t="s">
        <v>10148</v>
      </c>
      <c r="D1512" s="899" t="s">
        <v>3220</v>
      </c>
      <c r="E1512" s="594" t="str">
        <f>IFERROR(VLOOKUP(D1512,Stock,3,FALSE),"")</f>
        <v>BMW 3 Series 12-18 F30/F35 (1 Sensor / O )</v>
      </c>
      <c r="F1512" s="822">
        <v>1.0</v>
      </c>
      <c r="G1512" s="756">
        <v>0.0</v>
      </c>
      <c r="H1512" s="825">
        <v>0.0</v>
      </c>
      <c r="I1512" s="825"/>
      <c r="J1512" s="826"/>
      <c r="K1512" s="850" t="s">
        <v>8219</v>
      </c>
    </row>
    <row r="1513" ht="15.0" customHeight="1">
      <c r="A1513" s="786">
        <v>46084.0</v>
      </c>
      <c r="B1513" s="787" t="s">
        <v>10750</v>
      </c>
      <c r="C1513" s="788" t="s">
        <v>10300</v>
      </c>
      <c r="D1513" s="851" t="s">
        <v>5800</v>
      </c>
      <c r="E1513" s="790" t="str">
        <f>IFERROR(VLOOKUP(D1513,Stock,3,FALSE),"")</f>
        <v>Toyota Fortuner 15-  2nd Gen (Toyota)</v>
      </c>
      <c r="F1513" s="788">
        <v>3.0</v>
      </c>
      <c r="G1513" s="860">
        <v>829840.0</v>
      </c>
      <c r="H1513" s="799">
        <f t="shared" ref="H1513:H1710" si="11">G1513*F1513</f>
        <v>2489520</v>
      </c>
      <c r="I1513" s="800"/>
      <c r="J1513" s="812"/>
      <c r="K1513" s="848" t="s">
        <v>9900</v>
      </c>
      <c r="L1513" s="806" t="s">
        <v>10137</v>
      </c>
      <c r="M1513" s="806" t="s">
        <v>2763</v>
      </c>
      <c r="N1513" s="837">
        <v>46112.0</v>
      </c>
      <c r="O1513" s="803"/>
    </row>
    <row r="1514" ht="15.0" customHeight="1">
      <c r="A1514" s="834">
        <v>46083.0</v>
      </c>
      <c r="B1514" s="603" t="s">
        <v>10751</v>
      </c>
      <c r="C1514" s="822" t="s">
        <v>10139</v>
      </c>
      <c r="D1514" s="109" t="s">
        <v>5843</v>
      </c>
      <c r="E1514" s="594" t="str">
        <f>IFERROR(VLOOKUP(D1514,Stock,3,FALSE),"")</f>
        <v>Isuzu Panther 91-99 1st Gen Kotak</v>
      </c>
      <c r="F1514" s="822">
        <v>1.0</v>
      </c>
      <c r="G1514" s="756">
        <v>597375.0</v>
      </c>
      <c r="H1514" s="824">
        <f t="shared" si="11"/>
        <v>597375</v>
      </c>
      <c r="I1514" s="825"/>
      <c r="J1514" s="826"/>
      <c r="K1514" s="850" t="s">
        <v>8219</v>
      </c>
    </row>
    <row r="1515" ht="15.0" customHeight="1">
      <c r="A1515" s="786">
        <v>46084.0</v>
      </c>
      <c r="B1515" s="787" t="s">
        <v>10752</v>
      </c>
      <c r="C1515" s="788" t="s">
        <v>10139</v>
      </c>
      <c r="D1515" s="851" t="s">
        <v>3246</v>
      </c>
      <c r="E1515" s="790" t="str">
        <f>IFERROR(VLOOKUP(D1515,Stock,3,FALSE),"")</f>
        <v>Toyota Calya / Sigra 16-</v>
      </c>
      <c r="F1515" s="788">
        <v>10.0</v>
      </c>
      <c r="G1515" s="860">
        <v>449328.0</v>
      </c>
      <c r="H1515" s="799">
        <f t="shared" si="11"/>
        <v>4493280</v>
      </c>
      <c r="I1515" s="800"/>
      <c r="J1515" s="812"/>
      <c r="K1515" s="848" t="s">
        <v>8219</v>
      </c>
      <c r="L1515" s="806" t="s">
        <v>10137</v>
      </c>
      <c r="M1515" s="806" t="s">
        <v>2763</v>
      </c>
      <c r="N1515" s="837">
        <v>46114.0</v>
      </c>
      <c r="O1515" s="803"/>
    </row>
    <row r="1516" ht="15.0" customHeight="1">
      <c r="A1516" s="786">
        <v>46084.0</v>
      </c>
      <c r="B1516" s="787" t="s">
        <v>10752</v>
      </c>
      <c r="C1516" s="788" t="s">
        <v>10139</v>
      </c>
      <c r="D1516" s="851" t="s">
        <v>2792</v>
      </c>
      <c r="E1516" s="790" t="str">
        <f>IFERROR(VLOOKUP(D1516,Stock,3,FALSE),"")</f>
        <v>Toyota Calya / Sigra 16-</v>
      </c>
      <c r="F1516" s="788">
        <v>20.0</v>
      </c>
      <c r="G1516" s="860">
        <v>299145.0</v>
      </c>
      <c r="H1516" s="799">
        <f t="shared" si="11"/>
        <v>5982900</v>
      </c>
      <c r="I1516" s="800"/>
      <c r="J1516" s="812"/>
      <c r="K1516" s="848" t="s">
        <v>8219</v>
      </c>
      <c r="L1516" s="806" t="s">
        <v>10137</v>
      </c>
      <c r="M1516" s="806" t="s">
        <v>2763</v>
      </c>
      <c r="N1516" s="837">
        <v>46114.0</v>
      </c>
      <c r="O1516" s="803"/>
    </row>
    <row r="1517" ht="15.0" customHeight="1">
      <c r="A1517" s="834">
        <v>46084.0</v>
      </c>
      <c r="B1517" s="603">
        <v>2603108.0</v>
      </c>
      <c r="C1517" s="822" t="s">
        <v>10136</v>
      </c>
      <c r="D1517" s="109" t="s">
        <v>8482</v>
      </c>
      <c r="E1517" s="594" t="str">
        <f>IFERROR(VLOOKUP(D1517,Stock,3,FALSE),"")</f>
        <v>BMW X5 Series 13-18 F15</v>
      </c>
      <c r="F1517" s="822">
        <v>1.0</v>
      </c>
      <c r="G1517" s="756">
        <v>2311100.0</v>
      </c>
      <c r="H1517" s="824">
        <f t="shared" si="11"/>
        <v>2311100</v>
      </c>
      <c r="I1517" s="825"/>
      <c r="J1517" s="826"/>
      <c r="K1517" s="850" t="s">
        <v>8219</v>
      </c>
    </row>
    <row r="1518" ht="15.0" customHeight="1">
      <c r="A1518" s="834">
        <v>46084.0</v>
      </c>
      <c r="B1518" s="603">
        <v>2603108.0</v>
      </c>
      <c r="C1518" s="822" t="s">
        <v>10136</v>
      </c>
      <c r="D1518" s="109" t="s">
        <v>8489</v>
      </c>
      <c r="E1518" s="594" t="str">
        <f>IFERROR(VLOOKUP(D1518,Stock,3,FALSE),"")</f>
        <v>Toyota Alphard 15- ANH30 3rd Gen</v>
      </c>
      <c r="F1518" s="822">
        <v>1.0</v>
      </c>
      <c r="G1518" s="756">
        <v>531300.0</v>
      </c>
      <c r="H1518" s="824">
        <f t="shared" si="11"/>
        <v>531300</v>
      </c>
      <c r="I1518" s="825"/>
      <c r="J1518" s="826"/>
      <c r="K1518" s="850" t="s">
        <v>8219</v>
      </c>
    </row>
    <row r="1519" ht="15.0" customHeight="1">
      <c r="A1519" s="834">
        <v>46084.0</v>
      </c>
      <c r="B1519" s="603">
        <v>2603131.0</v>
      </c>
      <c r="C1519" s="822" t="s">
        <v>10136</v>
      </c>
      <c r="D1519" s="109" t="s">
        <v>8435</v>
      </c>
      <c r="E1519" s="594" t="str">
        <f>IFERROR(VLOOKUP(D1519,Stock,3,FALSE),"")</f>
        <v>Suzuki Vitara 88-97 / Escudo / Sidekick</v>
      </c>
      <c r="F1519" s="822">
        <v>1.0</v>
      </c>
      <c r="G1519" s="756">
        <v>659450.0</v>
      </c>
      <c r="H1519" s="824">
        <f t="shared" si="11"/>
        <v>659450</v>
      </c>
      <c r="I1519" s="825"/>
      <c r="J1519" s="826"/>
      <c r="K1519" s="850" t="s">
        <v>8219</v>
      </c>
    </row>
    <row r="1520" ht="15.0" customHeight="1">
      <c r="A1520" s="834">
        <v>46085.0</v>
      </c>
      <c r="B1520" s="603">
        <v>2603169.0</v>
      </c>
      <c r="C1520" s="822" t="s">
        <v>10136</v>
      </c>
      <c r="D1520" s="109" t="s">
        <v>8465</v>
      </c>
      <c r="E1520" s="594" t="str">
        <f>IFERROR(VLOOKUP(D1520,Stock,3,FALSE),"")</f>
        <v>Suzuki Jimny All New 19-</v>
      </c>
      <c r="F1520" s="822">
        <v>1.0</v>
      </c>
      <c r="G1520" s="756">
        <v>1123100.0</v>
      </c>
      <c r="H1520" s="824">
        <f t="shared" si="11"/>
        <v>1123100</v>
      </c>
      <c r="I1520" s="825"/>
      <c r="J1520" s="826"/>
      <c r="K1520" s="850" t="s">
        <v>8219</v>
      </c>
    </row>
    <row r="1521" ht="15.0" customHeight="1">
      <c r="A1521" s="834">
        <v>46085.0</v>
      </c>
      <c r="B1521" s="603">
        <v>2604124.0</v>
      </c>
      <c r="C1521" s="822" t="s">
        <v>10136</v>
      </c>
      <c r="D1521" s="45" t="s">
        <v>7275</v>
      </c>
      <c r="E1521" s="594" t="str">
        <f>IFERROR(VLOOKUP(D1521,Stock,3,FALSE),"")</f>
        <v>Mazda 2 14- Skyactiv 4th Gen (1 Sensor/ □ )</v>
      </c>
      <c r="F1521" s="822">
        <v>1.0</v>
      </c>
      <c r="G1521" s="756">
        <v>1489400.0</v>
      </c>
      <c r="H1521" s="824">
        <f t="shared" si="11"/>
        <v>1489400</v>
      </c>
      <c r="I1521" s="825"/>
      <c r="J1521" s="826"/>
      <c r="K1521" s="827"/>
    </row>
    <row r="1522" ht="15.0" customHeight="1">
      <c r="A1522" s="834">
        <v>46085.0</v>
      </c>
      <c r="B1522" s="900" t="s">
        <v>10753</v>
      </c>
      <c r="C1522" s="822"/>
      <c r="D1522" s="109" t="s">
        <v>7849</v>
      </c>
      <c r="E1522" s="594" t="str">
        <f>IFERROR(VLOOKUP(D1522,Stock,3,FALSE),"")</f>
        <v>Honda CR-V 07-11 3rd Gen</v>
      </c>
      <c r="F1522" s="822">
        <v>1.0</v>
      </c>
      <c r="G1522" s="756"/>
      <c r="H1522" s="824">
        <f t="shared" si="11"/>
        <v>0</v>
      </c>
      <c r="I1522" s="825"/>
      <c r="J1522" s="826"/>
      <c r="K1522" s="850" t="s">
        <v>8219</v>
      </c>
    </row>
    <row r="1523" ht="15.0" customHeight="1">
      <c r="A1523" s="834">
        <v>46085.0</v>
      </c>
      <c r="B1523" s="603">
        <v>2603143.0</v>
      </c>
      <c r="C1523" s="822" t="s">
        <v>10136</v>
      </c>
      <c r="D1523" s="109" t="s">
        <v>8452</v>
      </c>
      <c r="E1523" s="594" t="str">
        <f>IFERROR(VLOOKUP(D1523,Stock,3,FALSE),"")</f>
        <v>Mazda CX-5 12-17 1st Gen KE Pre</v>
      </c>
      <c r="F1523" s="822">
        <v>1.0</v>
      </c>
      <c r="G1523" s="756">
        <v>1261700.0</v>
      </c>
      <c r="H1523" s="824">
        <f t="shared" si="11"/>
        <v>1261700</v>
      </c>
      <c r="I1523" s="825"/>
      <c r="J1523" s="826"/>
      <c r="K1523" s="850" t="s">
        <v>9900</v>
      </c>
    </row>
    <row r="1524" ht="15.0" customHeight="1">
      <c r="A1524" s="834">
        <v>46086.0</v>
      </c>
      <c r="B1524" s="603">
        <v>2603201.0</v>
      </c>
      <c r="C1524" s="822" t="s">
        <v>10136</v>
      </c>
      <c r="D1524" s="45" t="s">
        <v>7265</v>
      </c>
      <c r="E1524" s="594" t="str">
        <f>IFERROR(VLOOKUP(D1524,Stock,3,FALSE),"")</f>
        <v>Hino Ranger Louhan 03- / Hino 500</v>
      </c>
      <c r="F1524" s="822">
        <v>1.0</v>
      </c>
      <c r="G1524" s="756">
        <v>864050.0</v>
      </c>
      <c r="H1524" s="824">
        <f t="shared" si="11"/>
        <v>864050</v>
      </c>
      <c r="I1524" s="825"/>
      <c r="J1524" s="826"/>
      <c r="K1524" s="850" t="s">
        <v>8219</v>
      </c>
    </row>
    <row r="1525" ht="15.0" customHeight="1">
      <c r="A1525" s="834">
        <v>46086.0</v>
      </c>
      <c r="B1525" s="603" t="s">
        <v>10754</v>
      </c>
      <c r="C1525" s="822" t="s">
        <v>10156</v>
      </c>
      <c r="D1525" s="109" t="s">
        <v>8503</v>
      </c>
      <c r="E1525" s="594" t="str">
        <f>IFERROR(VLOOKUP(D1525,Stock,3,FALSE),"")</f>
        <v>Wuling Confero / Formo</v>
      </c>
      <c r="F1525" s="822">
        <v>1.0</v>
      </c>
      <c r="G1525" s="756">
        <v>250000.0</v>
      </c>
      <c r="H1525" s="824">
        <f t="shared" si="11"/>
        <v>250000</v>
      </c>
      <c r="I1525" s="825"/>
      <c r="J1525" s="826"/>
      <c r="K1525" s="850" t="s">
        <v>9900</v>
      </c>
    </row>
    <row r="1526" ht="15.0" customHeight="1">
      <c r="A1526" s="786">
        <v>46086.0</v>
      </c>
      <c r="B1526" s="787" t="s">
        <v>10755</v>
      </c>
      <c r="C1526" s="788" t="s">
        <v>10300</v>
      </c>
      <c r="D1526" s="851" t="s">
        <v>8398</v>
      </c>
      <c r="E1526" s="790" t="str">
        <f>IFERROR(VLOOKUP(D1526,Stock,3,FALSE),"")</f>
        <v>Toyota Rush / Terios 06-17 (Toyota/Daihatsu)</v>
      </c>
      <c r="F1526" s="788">
        <v>1.0</v>
      </c>
      <c r="G1526" s="860">
        <v>1315600.0</v>
      </c>
      <c r="H1526" s="799">
        <f t="shared" si="11"/>
        <v>1315600</v>
      </c>
      <c r="I1526" s="800"/>
      <c r="J1526" s="812"/>
      <c r="K1526" s="848" t="s">
        <v>9901</v>
      </c>
      <c r="L1526" s="806" t="s">
        <v>10137</v>
      </c>
      <c r="M1526" s="806" t="s">
        <v>10371</v>
      </c>
      <c r="N1526" s="837">
        <v>46112.0</v>
      </c>
      <c r="O1526" s="803"/>
    </row>
    <row r="1527" ht="15.0" customHeight="1">
      <c r="A1527" s="786">
        <v>46086.0</v>
      </c>
      <c r="B1527" s="787" t="s">
        <v>10756</v>
      </c>
      <c r="C1527" s="788" t="s">
        <v>10300</v>
      </c>
      <c r="D1527" s="851" t="s">
        <v>10757</v>
      </c>
      <c r="E1527" s="790" t="str">
        <f>IFERROR(VLOOKUP(D1527,Stock,3,FALSE),"")</f>
        <v>Toyota Fortuner 05-15  1st Gen / Hilux Pickup 05-15 (Toyota)</v>
      </c>
      <c r="F1527" s="788">
        <v>1.0</v>
      </c>
      <c r="G1527" s="860">
        <v>2392000.0</v>
      </c>
      <c r="H1527" s="799">
        <f t="shared" si="11"/>
        <v>2392000</v>
      </c>
      <c r="I1527" s="800"/>
      <c r="J1527" s="812"/>
      <c r="K1527" s="848" t="s">
        <v>9900</v>
      </c>
      <c r="L1527" s="806" t="s">
        <v>10137</v>
      </c>
      <c r="M1527" s="806" t="s">
        <v>10371</v>
      </c>
      <c r="N1527" s="837">
        <v>46112.0</v>
      </c>
      <c r="O1527" s="803"/>
    </row>
    <row r="1528" ht="15.0" customHeight="1">
      <c r="A1528" s="786">
        <v>46086.0</v>
      </c>
      <c r="B1528" s="787" t="s">
        <v>10758</v>
      </c>
      <c r="C1528" s="788" t="s">
        <v>2643</v>
      </c>
      <c r="D1528" s="851" t="s">
        <v>10759</v>
      </c>
      <c r="E1528" s="790" t="str">
        <f>IFERROR(VLOOKUP(D1528,Stock,3,FALSE),"")</f>
        <v>Honda BR-V 22- 2nd Gen (Honda)</v>
      </c>
      <c r="F1528" s="788">
        <v>1.0</v>
      </c>
      <c r="G1528" s="860">
        <v>322344.0</v>
      </c>
      <c r="H1528" s="799">
        <f t="shared" si="11"/>
        <v>322344</v>
      </c>
      <c r="I1528" s="800"/>
      <c r="J1528" s="812"/>
      <c r="K1528" s="848" t="s">
        <v>9900</v>
      </c>
      <c r="L1528" s="806" t="s">
        <v>10137</v>
      </c>
      <c r="M1528" s="833" t="s">
        <v>2763</v>
      </c>
      <c r="N1528" s="849">
        <v>46136.0</v>
      </c>
      <c r="O1528" s="803"/>
    </row>
    <row r="1529" ht="15.0" customHeight="1">
      <c r="A1529" s="786">
        <v>46086.0</v>
      </c>
      <c r="B1529" s="787" t="s">
        <v>10760</v>
      </c>
      <c r="C1529" s="788" t="s">
        <v>2643</v>
      </c>
      <c r="D1529" s="851" t="s">
        <v>10714</v>
      </c>
      <c r="E1529" s="790" t="str">
        <f>IFERROR(VLOOKUP(D1529,Stock,3,FALSE),"")</f>
        <v>Honda Mobilio 14- / Honda BR-V 16-21 (Honda)</v>
      </c>
      <c r="F1529" s="788">
        <v>1.0</v>
      </c>
      <c r="G1529" s="860">
        <v>190476.0</v>
      </c>
      <c r="H1529" s="799">
        <f t="shared" si="11"/>
        <v>190476</v>
      </c>
      <c r="I1529" s="800"/>
      <c r="J1529" s="812"/>
      <c r="K1529" s="848" t="s">
        <v>9900</v>
      </c>
      <c r="L1529" s="806" t="s">
        <v>10137</v>
      </c>
      <c r="M1529" s="833" t="s">
        <v>2763</v>
      </c>
      <c r="N1529" s="849">
        <v>46136.0</v>
      </c>
      <c r="O1529" s="803"/>
    </row>
    <row r="1530" ht="15.0" customHeight="1">
      <c r="A1530" s="786">
        <v>46086.0</v>
      </c>
      <c r="B1530" s="787" t="s">
        <v>10760</v>
      </c>
      <c r="C1530" s="788" t="s">
        <v>2643</v>
      </c>
      <c r="D1530" s="851" t="s">
        <v>10708</v>
      </c>
      <c r="E1530" s="790" t="str">
        <f>IFERROR(VLOOKUP(D1530,Stock,3,FALSE),"")</f>
        <v>Honda Mobilio 14- / Honda BR-V 16-21 (Honda)</v>
      </c>
      <c r="F1530" s="788">
        <v>1.0</v>
      </c>
      <c r="G1530" s="860">
        <v>190476.0</v>
      </c>
      <c r="H1530" s="799">
        <f t="shared" si="11"/>
        <v>190476</v>
      </c>
      <c r="I1530" s="800"/>
      <c r="J1530" s="812"/>
      <c r="K1530" s="848" t="s">
        <v>9900</v>
      </c>
      <c r="L1530" s="806" t="s">
        <v>10137</v>
      </c>
      <c r="M1530" s="833" t="s">
        <v>2763</v>
      </c>
      <c r="N1530" s="849">
        <v>46136.0</v>
      </c>
      <c r="O1530" s="803"/>
    </row>
    <row r="1531" ht="15.0" customHeight="1">
      <c r="A1531" s="834">
        <v>46086.0</v>
      </c>
      <c r="B1531" s="603" t="s">
        <v>10761</v>
      </c>
      <c r="C1531" s="822" t="s">
        <v>10139</v>
      </c>
      <c r="D1531" s="109" t="s">
        <v>8578</v>
      </c>
      <c r="E1531" s="594" t="str">
        <f>IFERROR(VLOOKUP(D1531,Stock,3,FALSE),"")</f>
        <v>Toyota Camry 02-06 ACV30 3rd Gen</v>
      </c>
      <c r="F1531" s="822">
        <v>1.0</v>
      </c>
      <c r="G1531" s="756">
        <v>1807500.0</v>
      </c>
      <c r="H1531" s="824">
        <f t="shared" si="11"/>
        <v>1807500</v>
      </c>
      <c r="I1531" s="825"/>
      <c r="J1531" s="826"/>
      <c r="K1531" s="850" t="s">
        <v>9900</v>
      </c>
    </row>
    <row r="1532" ht="15.0" customHeight="1">
      <c r="A1532" s="834">
        <v>46086.0</v>
      </c>
      <c r="B1532" s="603" t="s">
        <v>10761</v>
      </c>
      <c r="C1532" s="822" t="s">
        <v>10139</v>
      </c>
      <c r="D1532" s="109" t="s">
        <v>10762</v>
      </c>
      <c r="E1532" s="594" t="str">
        <f>IFERROR(VLOOKUP(D1532,Stock,3,FALSE),"")</f>
        <v/>
      </c>
      <c r="F1532" s="822">
        <v>1.0</v>
      </c>
      <c r="G1532" s="756">
        <v>100000.0</v>
      </c>
      <c r="H1532" s="824">
        <f t="shared" si="11"/>
        <v>100000</v>
      </c>
      <c r="I1532" s="825"/>
      <c r="J1532" s="826"/>
      <c r="K1532" s="850" t="s">
        <v>9900</v>
      </c>
    </row>
    <row r="1533" ht="15.0" customHeight="1">
      <c r="A1533" s="834">
        <v>46087.0</v>
      </c>
      <c r="B1533" s="603" t="s">
        <v>10763</v>
      </c>
      <c r="C1533" s="822" t="s">
        <v>10139</v>
      </c>
      <c r="D1533" s="109" t="s">
        <v>10764</v>
      </c>
      <c r="E1533" s="594" t="str">
        <f>IFERROR(VLOOKUP(D1533,Stock,3,FALSE),"")</f>
        <v>Nissan X-Trail 07-13 T31</v>
      </c>
      <c r="F1533" s="822">
        <v>1.0</v>
      </c>
      <c r="G1533" s="756">
        <v>342900.0</v>
      </c>
      <c r="H1533" s="824">
        <f t="shared" si="11"/>
        <v>342900</v>
      </c>
      <c r="I1533" s="825"/>
      <c r="J1533" s="826"/>
      <c r="K1533" s="850" t="s">
        <v>9900</v>
      </c>
    </row>
    <row r="1534" ht="15.0" customHeight="1">
      <c r="A1534" s="834">
        <v>46087.0</v>
      </c>
      <c r="B1534" s="603" t="s">
        <v>10763</v>
      </c>
      <c r="C1534" s="822" t="s">
        <v>10139</v>
      </c>
      <c r="D1534" s="109" t="s">
        <v>3722</v>
      </c>
      <c r="E1534" s="594" t="str">
        <f>IFERROR(VLOOKUP(D1534,Stock,3,FALSE),"")</f>
        <v>Hyundai Santa Fe 12-18</v>
      </c>
      <c r="F1534" s="822">
        <v>1.0</v>
      </c>
      <c r="G1534" s="756">
        <v>1429650.0</v>
      </c>
      <c r="H1534" s="824">
        <f t="shared" si="11"/>
        <v>1429650</v>
      </c>
      <c r="I1534" s="825"/>
      <c r="J1534" s="826"/>
      <c r="K1534" s="850" t="s">
        <v>9900</v>
      </c>
    </row>
    <row r="1535" ht="15.0" customHeight="1">
      <c r="A1535" s="786">
        <v>46087.0</v>
      </c>
      <c r="B1535" s="787" t="s">
        <v>10765</v>
      </c>
      <c r="C1535" s="851" t="s">
        <v>10341</v>
      </c>
      <c r="D1535" s="851" t="s">
        <v>4979</v>
      </c>
      <c r="E1535" s="790" t="str">
        <f>IFERROR(VLOOKUP(D1535,Stock,3,FALSE),"")</f>
        <v>255 Ultra + Actv-100 Application</v>
      </c>
      <c r="F1535" s="851">
        <v>40.0</v>
      </c>
      <c r="G1535" s="860">
        <v>125000.0</v>
      </c>
      <c r="H1535" s="799">
        <f t="shared" si="11"/>
        <v>5000000</v>
      </c>
      <c r="I1535" s="800"/>
      <c r="J1535" s="812"/>
      <c r="K1535" s="848" t="s">
        <v>3191</v>
      </c>
      <c r="L1535" s="806" t="s">
        <v>10137</v>
      </c>
      <c r="M1535" s="806" t="s">
        <v>2763</v>
      </c>
      <c r="N1535" s="837">
        <v>46136.0</v>
      </c>
      <c r="O1535" s="803"/>
    </row>
    <row r="1536" ht="15.0" customHeight="1">
      <c r="A1536" s="834">
        <v>46087.0</v>
      </c>
      <c r="B1536" s="603">
        <v>2603226.0</v>
      </c>
      <c r="C1536" s="822" t="s">
        <v>10136</v>
      </c>
      <c r="D1536" s="109" t="s">
        <v>8569</v>
      </c>
      <c r="E1536" s="594" t="str">
        <f>IFERROR(VLOOKUP(D1536,Stock,3,FALSE),"")</f>
        <v>Nissan Elgrand 02-10 E51 2nd Gen</v>
      </c>
      <c r="F1536" s="822">
        <v>1.0</v>
      </c>
      <c r="G1536" s="756">
        <v>1725350.0</v>
      </c>
      <c r="H1536" s="824">
        <f t="shared" si="11"/>
        <v>1725350</v>
      </c>
      <c r="I1536" s="825"/>
      <c r="J1536" s="826"/>
      <c r="K1536" s="850" t="s">
        <v>8219</v>
      </c>
    </row>
    <row r="1537" ht="15.0" customHeight="1">
      <c r="A1537" s="834">
        <v>46087.0</v>
      </c>
      <c r="B1537" s="603">
        <v>2603226.0</v>
      </c>
      <c r="C1537" s="822" t="s">
        <v>10136</v>
      </c>
      <c r="D1537" s="109" t="s">
        <v>3790</v>
      </c>
      <c r="E1537" s="594" t="str">
        <f>IFERROR(VLOOKUP(D1537,Stock,3,FALSE),"")</f>
        <v>Nissan Serena 99-10 MKII C24</v>
      </c>
      <c r="F1537" s="822">
        <v>1.0</v>
      </c>
      <c r="G1537" s="756" t="s">
        <v>1973</v>
      </c>
      <c r="H1537" s="824" t="str">
        <f t="shared" si="11"/>
        <v>#VALUE!</v>
      </c>
      <c r="I1537" s="825"/>
      <c r="J1537" s="826"/>
      <c r="K1537" s="850" t="s">
        <v>8219</v>
      </c>
    </row>
    <row r="1538" ht="15.0" customHeight="1">
      <c r="A1538" s="834">
        <v>46088.0</v>
      </c>
      <c r="B1538" s="603">
        <v>2603271.0</v>
      </c>
      <c r="C1538" s="822" t="s">
        <v>10136</v>
      </c>
      <c r="D1538" s="109" t="s">
        <v>2944</v>
      </c>
      <c r="E1538" s="594" t="str">
        <f>IFERROR(VLOOKUP(D1538,Stock,3,FALSE),"")</f>
        <v>Toyota Innova 04-15 1st Gen</v>
      </c>
      <c r="F1538" s="822">
        <v>1.0</v>
      </c>
      <c r="G1538" s="756">
        <v>613800.0</v>
      </c>
      <c r="H1538" s="824">
        <f t="shared" si="11"/>
        <v>613800</v>
      </c>
      <c r="I1538" s="825"/>
      <c r="J1538" s="826"/>
      <c r="K1538" s="850" t="s">
        <v>8219</v>
      </c>
    </row>
    <row r="1539" ht="15.0" customHeight="1">
      <c r="A1539" s="901">
        <v>46088.0</v>
      </c>
      <c r="B1539" s="902" t="s">
        <v>10766</v>
      </c>
      <c r="C1539" s="903" t="s">
        <v>10148</v>
      </c>
      <c r="D1539" s="904" t="s">
        <v>6637</v>
      </c>
      <c r="E1539" s="905" t="str">
        <f>IFERROR(VLOOKUP(D1539,Stock,3,FALSE),"")</f>
        <v>Chery Omoda 5 23- (2 Sensor O /\ )</v>
      </c>
      <c r="F1539" s="903">
        <v>1.0</v>
      </c>
      <c r="G1539" s="756"/>
      <c r="H1539" s="824">
        <f t="shared" si="11"/>
        <v>0</v>
      </c>
      <c r="I1539" s="825"/>
      <c r="J1539" s="826"/>
      <c r="K1539" s="827"/>
    </row>
    <row r="1540" ht="15.0" customHeight="1">
      <c r="A1540" s="834">
        <v>46088.0</v>
      </c>
      <c r="B1540" s="603" t="s">
        <v>10767</v>
      </c>
      <c r="C1540" s="822" t="s">
        <v>10139</v>
      </c>
      <c r="D1540" s="109" t="s">
        <v>6892</v>
      </c>
      <c r="E1540" s="594" t="str">
        <f>IFERROR(VLOOKUP(D1540,Stock,3,FALSE),"")</f>
        <v>Toyota Avanza / Xenia 11-15 2nd Gen / 15-21 3rd Gen</v>
      </c>
      <c r="F1540" s="822">
        <v>1.0</v>
      </c>
      <c r="G1540" s="756">
        <v>200000.0</v>
      </c>
      <c r="H1540" s="824">
        <f t="shared" si="11"/>
        <v>200000</v>
      </c>
      <c r="I1540" s="825"/>
      <c r="J1540" s="826"/>
      <c r="K1540" s="850" t="s">
        <v>9900</v>
      </c>
    </row>
    <row r="1541" ht="15.0" customHeight="1">
      <c r="A1541" s="786">
        <v>46088.0</v>
      </c>
      <c r="B1541" s="787" t="s">
        <v>10768</v>
      </c>
      <c r="C1541" s="788" t="s">
        <v>10139</v>
      </c>
      <c r="D1541" s="851" t="s">
        <v>3930</v>
      </c>
      <c r="E1541" s="790" t="str">
        <f>IFERROR(VLOOKUP(D1541,Stock,3,FALSE),"")</f>
        <v>Suzuki Ertiga 18- 2nd Gen / XL7</v>
      </c>
      <c r="F1541" s="788">
        <v>10.0</v>
      </c>
      <c r="G1541" s="860">
        <v>616605.0</v>
      </c>
      <c r="H1541" s="799">
        <f t="shared" si="11"/>
        <v>6166050</v>
      </c>
      <c r="I1541" s="800"/>
      <c r="J1541" s="812"/>
      <c r="K1541" s="848" t="s">
        <v>9900</v>
      </c>
      <c r="L1541" s="806" t="s">
        <v>10137</v>
      </c>
      <c r="M1541" s="806" t="s">
        <v>2763</v>
      </c>
      <c r="N1541" s="837">
        <v>46121.0</v>
      </c>
      <c r="O1541" s="803"/>
    </row>
    <row r="1542" ht="15.0" customHeight="1">
      <c r="A1542" s="834">
        <v>46090.0</v>
      </c>
      <c r="B1542" s="603" t="s">
        <v>10769</v>
      </c>
      <c r="C1542" s="822" t="s">
        <v>10139</v>
      </c>
      <c r="D1542" s="109" t="s">
        <v>5740</v>
      </c>
      <c r="E1542" s="594" t="str">
        <f>IFERROR(VLOOKUP(D1542,Stock,3,FALSE),"")</f>
        <v>Isuzu Elf  93- NKR NHR </v>
      </c>
      <c r="F1542" s="822">
        <v>1.0</v>
      </c>
      <c r="G1542" s="756">
        <v>365000.0</v>
      </c>
      <c r="H1542" s="824">
        <f t="shared" si="11"/>
        <v>365000</v>
      </c>
      <c r="I1542" s="825"/>
      <c r="J1542" s="826"/>
      <c r="K1542" s="850" t="s">
        <v>9900</v>
      </c>
    </row>
    <row r="1543" ht="15.0" customHeight="1">
      <c r="A1543" s="834">
        <v>46090.0</v>
      </c>
      <c r="B1543" s="603" t="s">
        <v>10769</v>
      </c>
      <c r="C1543" s="822" t="s">
        <v>10139</v>
      </c>
      <c r="D1543" s="109" t="s">
        <v>3462</v>
      </c>
      <c r="E1543" s="594" t="str">
        <f>IFERROR(VLOOKUP(D1543,Stock,3,FALSE),"")</f>
        <v>BMW X1 Series 15- F48</v>
      </c>
      <c r="F1543" s="822">
        <v>1.0</v>
      </c>
      <c r="G1543" s="756">
        <v>2494125.0</v>
      </c>
      <c r="H1543" s="824">
        <f t="shared" si="11"/>
        <v>2494125</v>
      </c>
      <c r="I1543" s="825"/>
      <c r="J1543" s="826"/>
      <c r="K1543" s="850" t="s">
        <v>9900</v>
      </c>
    </row>
    <row r="1544" ht="15.0" customHeight="1">
      <c r="A1544" s="834">
        <v>46090.0</v>
      </c>
      <c r="B1544" s="603" t="s">
        <v>10770</v>
      </c>
      <c r="C1544" s="822" t="s">
        <v>10139</v>
      </c>
      <c r="D1544" s="109" t="s">
        <v>8606</v>
      </c>
      <c r="E1544" s="594" t="str">
        <f>IFERROR(VLOOKUP(D1544,Stock,3,FALSE),"")</f>
        <v>Mers-Benz CLA-Class 13-19 W117 </v>
      </c>
      <c r="F1544" s="822">
        <v>1.0</v>
      </c>
      <c r="G1544" s="756">
        <v>3037500.0</v>
      </c>
      <c r="H1544" s="824">
        <f t="shared" si="11"/>
        <v>3037500</v>
      </c>
      <c r="I1544" s="825"/>
      <c r="J1544" s="826"/>
      <c r="K1544" s="827"/>
    </row>
    <row r="1545" ht="15.0" customHeight="1">
      <c r="A1545" s="834">
        <v>46090.0</v>
      </c>
      <c r="B1545" s="603">
        <v>2603330.0</v>
      </c>
      <c r="C1545" s="822" t="s">
        <v>10136</v>
      </c>
      <c r="D1545" s="109" t="s">
        <v>4383</v>
      </c>
      <c r="E1545" s="594" t="str">
        <f>IFERROR(VLOOKUP(D1545,Stock,3,FALSE),"")</f>
        <v>Honda HR-V 14-21 5D SUV</v>
      </c>
      <c r="F1545" s="822">
        <v>1.0</v>
      </c>
      <c r="G1545" s="756">
        <v>883300.0</v>
      </c>
      <c r="H1545" s="824">
        <f t="shared" si="11"/>
        <v>883300</v>
      </c>
      <c r="I1545" s="825"/>
      <c r="J1545" s="826"/>
      <c r="K1545" s="850" t="s">
        <v>7976</v>
      </c>
    </row>
    <row r="1546" ht="15.0" customHeight="1">
      <c r="A1546" s="834">
        <v>46090.0</v>
      </c>
      <c r="B1546" s="603">
        <v>2603330.0</v>
      </c>
      <c r="C1546" s="822" t="s">
        <v>10136</v>
      </c>
      <c r="D1546" s="109" t="s">
        <v>4112</v>
      </c>
      <c r="E1546" s="594" t="str">
        <f>IFERROR(VLOOKUP(D1546,Stock,3,FALSE),"")</f>
        <v>Wuling Air EV 22-</v>
      </c>
      <c r="F1546" s="822">
        <v>1.0</v>
      </c>
      <c r="G1546" s="756">
        <v>852500.0</v>
      </c>
      <c r="H1546" s="824">
        <f t="shared" si="11"/>
        <v>852500</v>
      </c>
      <c r="I1546" s="825"/>
      <c r="J1546" s="826"/>
      <c r="K1546" s="850" t="s">
        <v>7976</v>
      </c>
    </row>
    <row r="1547" ht="15.0" customHeight="1">
      <c r="A1547" s="834">
        <v>46090.0</v>
      </c>
      <c r="B1547" s="603">
        <v>2603297.0</v>
      </c>
      <c r="C1547" s="822" t="s">
        <v>10136</v>
      </c>
      <c r="D1547" s="109" t="s">
        <v>9122</v>
      </c>
      <c r="E1547" s="594" t="str">
        <f>IFERROR(VLOOKUP(D1547,Stock,3,FALSE),"")</f>
        <v>Isuzu Panther 00- 2nd Gen</v>
      </c>
      <c r="F1547" s="822">
        <v>1.0</v>
      </c>
      <c r="G1547" s="756">
        <v>515900.0</v>
      </c>
      <c r="H1547" s="824">
        <f t="shared" si="11"/>
        <v>515900</v>
      </c>
      <c r="I1547" s="825"/>
      <c r="J1547" s="826"/>
      <c r="K1547" s="850" t="s">
        <v>7976</v>
      </c>
    </row>
    <row r="1548" ht="15.0" customHeight="1">
      <c r="A1548" s="834">
        <v>46091.0</v>
      </c>
      <c r="B1548" s="603" t="s">
        <v>10771</v>
      </c>
      <c r="C1548" s="822" t="s">
        <v>10139</v>
      </c>
      <c r="D1548" s="109" t="s">
        <v>8028</v>
      </c>
      <c r="E1548" s="594" t="str">
        <f>IFERROR(VLOOKUP(D1548,Stock,3,FALSE),"")</f>
        <v>Wuling Binguo</v>
      </c>
      <c r="F1548" s="822">
        <v>1.0</v>
      </c>
      <c r="G1548" s="756">
        <v>2375000.0</v>
      </c>
      <c r="H1548" s="824">
        <f t="shared" si="11"/>
        <v>2375000</v>
      </c>
      <c r="I1548" s="825"/>
      <c r="J1548" s="826"/>
      <c r="K1548" s="850" t="s">
        <v>7976</v>
      </c>
    </row>
    <row r="1549" ht="15.0" customHeight="1">
      <c r="A1549" s="834">
        <v>46091.0</v>
      </c>
      <c r="B1549" s="603">
        <v>2603361.0</v>
      </c>
      <c r="C1549" s="822" t="s">
        <v>10136</v>
      </c>
      <c r="D1549" s="109" t="s">
        <v>8655</v>
      </c>
      <c r="E1549" s="594" t="str">
        <f>IFERROR(VLOOKUP(D1549,Stock,3,FALSE),"")</f>
        <v>Suzuki Baleno 08-15 SX4 Hatchback</v>
      </c>
      <c r="F1549" s="822">
        <v>1.0</v>
      </c>
      <c r="G1549" s="756">
        <v>234300.0</v>
      </c>
      <c r="H1549" s="824">
        <f t="shared" si="11"/>
        <v>234300</v>
      </c>
      <c r="I1549" s="825"/>
      <c r="J1549" s="826"/>
      <c r="K1549" s="850" t="s">
        <v>7976</v>
      </c>
    </row>
    <row r="1550" ht="15.0" customHeight="1">
      <c r="A1550" s="834">
        <v>46091.0</v>
      </c>
      <c r="B1550" s="603">
        <v>2603355.0</v>
      </c>
      <c r="C1550" s="822" t="s">
        <v>10136</v>
      </c>
      <c r="D1550" s="109" t="s">
        <v>3382</v>
      </c>
      <c r="E1550" s="594" t="str">
        <f>IFERROR(VLOOKUP(D1550,Stock,3,FALSE),"")</f>
        <v>Mitsubishi Outlander 10-21 GA3</v>
      </c>
      <c r="F1550" s="822">
        <v>1.0</v>
      </c>
      <c r="G1550" s="756">
        <v>605050.0</v>
      </c>
      <c r="H1550" s="824">
        <f t="shared" si="11"/>
        <v>605050</v>
      </c>
      <c r="I1550" s="825"/>
      <c r="J1550" s="826"/>
      <c r="K1550" s="850" t="s">
        <v>7976</v>
      </c>
    </row>
    <row r="1551" ht="15.0" customHeight="1">
      <c r="A1551" s="834">
        <v>46091.0</v>
      </c>
      <c r="B1551" s="603" t="s">
        <v>10772</v>
      </c>
      <c r="C1551" s="822" t="s">
        <v>10139</v>
      </c>
      <c r="D1551" s="109" t="s">
        <v>6054</v>
      </c>
      <c r="E1551" s="594" t="str">
        <f>IFERROR(VLOOKUP(D1551,Stock,3,FALSE),"")</f>
        <v>Mitsubishi Pajero 08-16</v>
      </c>
      <c r="F1551" s="822">
        <v>1.0</v>
      </c>
      <c r="G1551" s="756">
        <v>796500.0</v>
      </c>
      <c r="H1551" s="824">
        <f t="shared" si="11"/>
        <v>796500</v>
      </c>
      <c r="I1551" s="825"/>
      <c r="J1551" s="826"/>
      <c r="K1551" s="850" t="s">
        <v>7976</v>
      </c>
    </row>
    <row r="1552" ht="15.0" customHeight="1">
      <c r="A1552" s="834">
        <v>46091.0</v>
      </c>
      <c r="B1552" s="603" t="s">
        <v>10773</v>
      </c>
      <c r="C1552" s="822" t="s">
        <v>10139</v>
      </c>
      <c r="D1552" s="109" t="s">
        <v>8647</v>
      </c>
      <c r="E1552" s="594" t="str">
        <f>IFERROR(VLOOKUP(D1552,Stock,3,FALSE),"")</f>
        <v>BMW 3 Series 98-06 E46</v>
      </c>
      <c r="F1552" s="822">
        <v>1.0</v>
      </c>
      <c r="G1552" s="756">
        <v>489375.0</v>
      </c>
      <c r="H1552" s="824">
        <f t="shared" si="11"/>
        <v>489375</v>
      </c>
      <c r="I1552" s="825"/>
      <c r="J1552" s="826"/>
      <c r="K1552" s="850" t="s">
        <v>7976</v>
      </c>
    </row>
    <row r="1553" ht="15.0" customHeight="1">
      <c r="A1553" s="834">
        <v>46091.0</v>
      </c>
      <c r="B1553" s="603" t="s">
        <v>10773</v>
      </c>
      <c r="C1553" s="822" t="s">
        <v>10139</v>
      </c>
      <c r="D1553" s="109" t="s">
        <v>2962</v>
      </c>
      <c r="E1553" s="594" t="str">
        <f>IFERROR(VLOOKUP(D1553,Stock,3,FALSE),"")</f>
        <v>Lembur</v>
      </c>
      <c r="F1553" s="822">
        <v>1.0</v>
      </c>
      <c r="G1553" s="756">
        <v>100000.0</v>
      </c>
      <c r="H1553" s="824">
        <f t="shared" si="11"/>
        <v>100000</v>
      </c>
      <c r="I1553" s="825"/>
      <c r="J1553" s="826"/>
      <c r="K1553" s="850" t="s">
        <v>9900</v>
      </c>
    </row>
    <row r="1554" ht="15.0" customHeight="1">
      <c r="A1554" s="786">
        <v>46091.0</v>
      </c>
      <c r="B1554" s="787" t="s">
        <v>10774</v>
      </c>
      <c r="C1554" s="788" t="s">
        <v>10139</v>
      </c>
      <c r="D1554" s="851" t="s">
        <v>2869</v>
      </c>
      <c r="E1554" s="790" t="str">
        <f>IFERROR(VLOOKUP(D1554,Stock,3,FALSE),"")</f>
        <v>Daihatsu Gran Max / Luxio 07-</v>
      </c>
      <c r="F1554" s="788">
        <v>10.0</v>
      </c>
      <c r="G1554" s="860">
        <v>396825.0</v>
      </c>
      <c r="H1554" s="799">
        <f t="shared" si="11"/>
        <v>3968250</v>
      </c>
      <c r="I1554" s="800"/>
      <c r="J1554" s="812"/>
      <c r="K1554" s="848" t="s">
        <v>9900</v>
      </c>
      <c r="L1554" s="806" t="s">
        <v>10137</v>
      </c>
      <c r="M1554" s="806" t="s">
        <v>2763</v>
      </c>
      <c r="N1554" s="837">
        <v>46121.0</v>
      </c>
      <c r="O1554" s="803"/>
    </row>
    <row r="1555" ht="15.0" customHeight="1">
      <c r="A1555" s="906">
        <v>46091.0</v>
      </c>
      <c r="B1555" s="907" t="s">
        <v>10775</v>
      </c>
      <c r="C1555" s="908" t="s">
        <v>2643</v>
      </c>
      <c r="D1555" s="909" t="s">
        <v>3414</v>
      </c>
      <c r="E1555" s="910" t="str">
        <f>IFERROR(VLOOKUP(D1555,Stock,3,FALSE),"")</f>
        <v>Honda Mobilio 11-</v>
      </c>
      <c r="F1555" s="908">
        <v>2.0</v>
      </c>
      <c r="G1555" s="911">
        <v>322344.0</v>
      </c>
      <c r="H1555" s="912">
        <f t="shared" si="11"/>
        <v>644688</v>
      </c>
      <c r="I1555" s="913"/>
      <c r="J1555" s="914"/>
      <c r="K1555" s="915" t="s">
        <v>9900</v>
      </c>
      <c r="L1555" s="916" t="s">
        <v>10137</v>
      </c>
      <c r="M1555" s="917"/>
      <c r="N1555" s="917"/>
      <c r="O1555" s="917"/>
    </row>
    <row r="1556" ht="15.0" customHeight="1">
      <c r="A1556" s="906">
        <v>46091.0</v>
      </c>
      <c r="B1556" s="907" t="s">
        <v>10775</v>
      </c>
      <c r="C1556" s="908" t="s">
        <v>2643</v>
      </c>
      <c r="D1556" s="909" t="s">
        <v>6244</v>
      </c>
      <c r="E1556" s="910" t="str">
        <f>IFERROR(VLOOKUP(D1556,Stock,3,FALSE),"")</f>
        <v>Honda BR-V 16-21 (Honda)</v>
      </c>
      <c r="F1556" s="908">
        <v>1.0</v>
      </c>
      <c r="G1556" s="911">
        <v>410256.0</v>
      </c>
      <c r="H1556" s="912">
        <f t="shared" si="11"/>
        <v>410256</v>
      </c>
      <c r="I1556" s="913"/>
      <c r="J1556" s="914"/>
      <c r="K1556" s="915" t="s">
        <v>9900</v>
      </c>
      <c r="L1556" s="916" t="s">
        <v>10137</v>
      </c>
      <c r="M1556" s="917"/>
      <c r="N1556" s="917"/>
      <c r="O1556" s="917"/>
    </row>
    <row r="1557" ht="15.0" customHeight="1">
      <c r="A1557" s="834">
        <v>46092.0</v>
      </c>
      <c r="B1557" s="603">
        <v>2603418.0</v>
      </c>
      <c r="C1557" s="822" t="s">
        <v>10136</v>
      </c>
      <c r="D1557" s="109" t="s">
        <v>8693</v>
      </c>
      <c r="E1557" s="594" t="str">
        <f>IFERROR(VLOOKUP(D1557,Stock,3,FALSE),"")</f>
        <v>Mers-Benz A180/200/250 13-18 W176 / GLA 13-19 W156</v>
      </c>
      <c r="F1557" s="822">
        <v>1.0</v>
      </c>
      <c r="G1557" s="756">
        <v>2956800.0</v>
      </c>
      <c r="H1557" s="824">
        <f t="shared" si="11"/>
        <v>2956800</v>
      </c>
      <c r="I1557" s="825"/>
      <c r="J1557" s="826"/>
      <c r="K1557" s="850" t="s">
        <v>9900</v>
      </c>
    </row>
    <row r="1558" ht="15.0" customHeight="1">
      <c r="A1558" s="834">
        <v>46092.0</v>
      </c>
      <c r="B1558" s="603">
        <v>2603386.0</v>
      </c>
      <c r="C1558" s="822" t="s">
        <v>10136</v>
      </c>
      <c r="D1558" s="109" t="s">
        <v>8681</v>
      </c>
      <c r="E1558" s="594" t="str">
        <f>IFERROR(VLOOKUP(D1558,Stock,3,FALSE),"")</f>
        <v>Hyundai i10 08-13 - Hatchback</v>
      </c>
      <c r="F1558" s="822">
        <v>1.0</v>
      </c>
      <c r="G1558" s="756">
        <v>1127500.0</v>
      </c>
      <c r="H1558" s="824">
        <f t="shared" si="11"/>
        <v>1127500</v>
      </c>
      <c r="I1558" s="825"/>
      <c r="J1558" s="826"/>
      <c r="K1558" s="850" t="s">
        <v>9900</v>
      </c>
    </row>
    <row r="1559" ht="15.0" customHeight="1">
      <c r="A1559" s="834">
        <v>46092.0</v>
      </c>
      <c r="B1559" s="603">
        <v>2603386.0</v>
      </c>
      <c r="C1559" s="822" t="s">
        <v>10136</v>
      </c>
      <c r="D1559" s="109" t="s">
        <v>3029</v>
      </c>
      <c r="E1559" s="594" t="str">
        <f>IFERROR(VLOOKUP(D1559,Stock,3,FALSE),"")</f>
        <v>Mitsubishi Canter FE700 01- (PS110,125)</v>
      </c>
      <c r="F1559" s="822">
        <v>1.0</v>
      </c>
      <c r="G1559" s="756">
        <v>464200.0</v>
      </c>
      <c r="H1559" s="824">
        <f t="shared" si="11"/>
        <v>464200</v>
      </c>
      <c r="I1559" s="825"/>
      <c r="J1559" s="826"/>
      <c r="K1559" s="850" t="s">
        <v>9900</v>
      </c>
    </row>
    <row r="1560" ht="15.0" customHeight="1">
      <c r="A1560" s="834">
        <v>46092.0</v>
      </c>
      <c r="B1560" s="603" t="s">
        <v>10776</v>
      </c>
      <c r="C1560" s="822" t="s">
        <v>10136</v>
      </c>
      <c r="D1560" s="109" t="s">
        <v>10777</v>
      </c>
      <c r="E1560" s="594" t="str">
        <f>IFERROR(VLOOKUP(D1560,Stock,3,FALSE),"")</f>
        <v>Otoseal Sealant Application</v>
      </c>
      <c r="F1560" s="822">
        <v>5.0</v>
      </c>
      <c r="G1560" s="756">
        <v>33000.0</v>
      </c>
      <c r="H1560" s="824">
        <f t="shared" si="11"/>
        <v>165000</v>
      </c>
      <c r="I1560" s="825"/>
      <c r="J1560" s="826"/>
      <c r="K1560" s="850" t="s">
        <v>9900</v>
      </c>
    </row>
    <row r="1561" ht="15.0" customHeight="1">
      <c r="A1561" s="834">
        <v>46092.0</v>
      </c>
      <c r="B1561" s="603">
        <v>2603378.0</v>
      </c>
      <c r="C1561" s="822" t="s">
        <v>10136</v>
      </c>
      <c r="D1561" s="109" t="s">
        <v>5283</v>
      </c>
      <c r="E1561" s="594" t="str">
        <f>IFERROR(VLOOKUP(D1561,Stock,3,FALSE),"")</f>
        <v>BMW 3 Series 12-18 F30/F35</v>
      </c>
      <c r="F1561" s="822">
        <v>1.0</v>
      </c>
      <c r="G1561" s="756">
        <v>2311100.0</v>
      </c>
      <c r="H1561" s="824">
        <f t="shared" si="11"/>
        <v>2311100</v>
      </c>
      <c r="I1561" s="825"/>
      <c r="J1561" s="826"/>
      <c r="K1561" s="850" t="s">
        <v>9900</v>
      </c>
    </row>
    <row r="1562" ht="15.0" customHeight="1">
      <c r="A1562" s="834">
        <v>46092.0</v>
      </c>
      <c r="B1562" s="603" t="s">
        <v>10778</v>
      </c>
      <c r="C1562" s="822" t="s">
        <v>10139</v>
      </c>
      <c r="D1562" s="109" t="s">
        <v>8715</v>
      </c>
      <c r="E1562" s="594" t="str">
        <f>IFERROR(VLOOKUP(D1562,Stock,3,FALSE),"")</f>
        <v>Toyota Kijang Super/Grand K125</v>
      </c>
      <c r="F1562" s="822">
        <v>1.0</v>
      </c>
      <c r="G1562" s="756">
        <v>750000.0</v>
      </c>
      <c r="H1562" s="824">
        <f t="shared" si="11"/>
        <v>750000</v>
      </c>
      <c r="I1562" s="825"/>
      <c r="J1562" s="826"/>
      <c r="K1562" s="850" t="s">
        <v>7976</v>
      </c>
    </row>
    <row r="1563" ht="15.0" customHeight="1">
      <c r="A1563" s="918">
        <v>46092.0</v>
      </c>
      <c r="B1563" s="603" t="s">
        <v>10778</v>
      </c>
      <c r="C1563" s="822" t="s">
        <v>10139</v>
      </c>
      <c r="D1563" s="109" t="s">
        <v>7222</v>
      </c>
      <c r="E1563" s="594" t="str">
        <f>IFERROR(VLOOKUP(D1563,Stock,3,FALSE),"")</f>
        <v>Jeep Wrangler Rubicon 07-18 JK</v>
      </c>
      <c r="F1563" s="822">
        <v>1.0</v>
      </c>
      <c r="G1563" s="756">
        <v>2619675.0</v>
      </c>
      <c r="H1563" s="824">
        <f t="shared" si="11"/>
        <v>2619675</v>
      </c>
      <c r="I1563" s="825"/>
      <c r="J1563" s="826"/>
      <c r="K1563" s="850" t="s">
        <v>7976</v>
      </c>
    </row>
    <row r="1564" ht="15.0" customHeight="1">
      <c r="A1564" s="834">
        <v>46092.0</v>
      </c>
      <c r="B1564" s="603" t="s">
        <v>10778</v>
      </c>
      <c r="C1564" s="822" t="s">
        <v>10139</v>
      </c>
      <c r="D1564" s="109" t="s">
        <v>8674</v>
      </c>
      <c r="E1564" s="594" t="str">
        <f>IFERROR(VLOOKUP(D1564,Stock,3,FALSE),"")</f>
        <v>Suzuki APV 03- Pickup/ Van</v>
      </c>
      <c r="F1564" s="822">
        <v>1.0</v>
      </c>
      <c r="G1564" s="756">
        <v>200000.0</v>
      </c>
      <c r="H1564" s="824">
        <f t="shared" si="11"/>
        <v>200000</v>
      </c>
      <c r="I1564" s="825"/>
      <c r="J1564" s="826"/>
      <c r="K1564" s="850" t="s">
        <v>7976</v>
      </c>
    </row>
    <row r="1565" ht="15.0" customHeight="1">
      <c r="A1565" s="834">
        <v>46092.0</v>
      </c>
      <c r="B1565" s="603" t="s">
        <v>10779</v>
      </c>
      <c r="C1565" s="822" t="s">
        <v>10780</v>
      </c>
      <c r="D1565" s="109" t="s">
        <v>8667</v>
      </c>
      <c r="E1565" s="594" t="str">
        <f>IFERROR(VLOOKUP(D1565,Stock,3,FALSE),"")</f>
        <v>Suzuki Ertiga 18- 2nd Gen / XL7 (Suzuki)</v>
      </c>
      <c r="F1565" s="822">
        <v>1.0</v>
      </c>
      <c r="G1565" s="756">
        <v>550000.0</v>
      </c>
      <c r="H1565" s="824">
        <f t="shared" si="11"/>
        <v>550000</v>
      </c>
      <c r="I1565" s="825"/>
      <c r="J1565" s="826"/>
      <c r="K1565" s="850" t="s">
        <v>9900</v>
      </c>
    </row>
    <row r="1566" ht="15.0" customHeight="1">
      <c r="A1566" s="786">
        <v>46092.0</v>
      </c>
      <c r="B1566" s="787" t="s">
        <v>10781</v>
      </c>
      <c r="C1566" s="788" t="s">
        <v>10139</v>
      </c>
      <c r="D1566" s="851" t="s">
        <v>3475</v>
      </c>
      <c r="E1566" s="790" t="str">
        <f>IFERROR(VLOOKUP(D1566,Stock,3,FALSE),"")</f>
        <v>Toyota Avanza / Xenia 03-11 1st Gen</v>
      </c>
      <c r="F1566" s="788">
        <v>10.0</v>
      </c>
      <c r="G1566" s="860">
        <v>396825.0</v>
      </c>
      <c r="H1566" s="799">
        <f t="shared" si="11"/>
        <v>3968250</v>
      </c>
      <c r="I1566" s="800"/>
      <c r="J1566" s="812"/>
      <c r="K1566" s="848" t="s">
        <v>9900</v>
      </c>
      <c r="L1566" s="806" t="s">
        <v>10137</v>
      </c>
      <c r="M1566" s="806" t="s">
        <v>2763</v>
      </c>
      <c r="N1566" s="837">
        <v>46122.0</v>
      </c>
      <c r="O1566" s="803"/>
    </row>
    <row r="1567" ht="15.0" customHeight="1">
      <c r="A1567" s="786">
        <v>46092.0</v>
      </c>
      <c r="B1567" s="787" t="s">
        <v>10782</v>
      </c>
      <c r="C1567" s="788" t="s">
        <v>79</v>
      </c>
      <c r="D1567" s="851" t="s">
        <v>4017</v>
      </c>
      <c r="E1567" s="790" t="str">
        <f>IFERROR(VLOOKUP(D1567,Stock,3,FALSE),"")</f>
        <v>Black Phantom Solar Gard</v>
      </c>
      <c r="F1567" s="851">
        <v>1.0</v>
      </c>
      <c r="G1567" s="860">
        <v>1125000.0</v>
      </c>
      <c r="H1567" s="799">
        <f t="shared" si="11"/>
        <v>1125000</v>
      </c>
      <c r="I1567" s="800"/>
      <c r="J1567" s="812"/>
      <c r="K1567" s="813"/>
      <c r="L1567" s="806" t="s">
        <v>10137</v>
      </c>
      <c r="M1567" s="806" t="s">
        <v>2763</v>
      </c>
      <c r="N1567" s="837">
        <v>46136.0</v>
      </c>
      <c r="O1567" s="803"/>
    </row>
    <row r="1568" ht="15.0" customHeight="1">
      <c r="A1568" s="834">
        <v>46092.0</v>
      </c>
      <c r="B1568" s="603" t="s">
        <v>10783</v>
      </c>
      <c r="C1568" s="822" t="s">
        <v>10139</v>
      </c>
      <c r="D1568" s="109" t="s">
        <v>5066</v>
      </c>
      <c r="E1568" s="594" t="str">
        <f>IFERROR(VLOOKUP(D1568,Stock,3,FALSE),"")</f>
        <v>Suzuki Baleno 96-01</v>
      </c>
      <c r="F1568" s="822">
        <v>1.0</v>
      </c>
      <c r="G1568" s="756">
        <v>670275.0</v>
      </c>
      <c r="H1568" s="824">
        <f t="shared" si="11"/>
        <v>670275</v>
      </c>
      <c r="I1568" s="825"/>
      <c r="J1568" s="826"/>
      <c r="K1568" s="850" t="s">
        <v>9900</v>
      </c>
    </row>
    <row r="1569" ht="15.0" customHeight="1">
      <c r="A1569" s="834">
        <v>46092.0</v>
      </c>
      <c r="B1569" s="603" t="s">
        <v>10783</v>
      </c>
      <c r="C1569" s="822" t="s">
        <v>10139</v>
      </c>
      <c r="D1569" s="835" t="s">
        <v>8914</v>
      </c>
      <c r="E1569" s="594" t="str">
        <f>IFERROR(VLOOKUP(D1569,Stock,3,FALSE),"")</f>
        <v>Suzuki Spresso 20-</v>
      </c>
      <c r="F1569" s="822">
        <v>1.0</v>
      </c>
      <c r="G1569" s="756">
        <v>810000.0</v>
      </c>
      <c r="H1569" s="824">
        <f t="shared" si="11"/>
        <v>810000</v>
      </c>
      <c r="I1569" s="825"/>
      <c r="J1569" s="826"/>
      <c r="K1569" s="850" t="s">
        <v>9900</v>
      </c>
    </row>
    <row r="1570" ht="15.0" customHeight="1">
      <c r="A1570" s="834">
        <v>46093.0</v>
      </c>
      <c r="B1570" s="603" t="s">
        <v>10784</v>
      </c>
      <c r="C1570" s="822" t="s">
        <v>10156</v>
      </c>
      <c r="D1570" s="109" t="s">
        <v>5188</v>
      </c>
      <c r="E1570" s="594" t="str">
        <f>IFERROR(VLOOKUP(D1570,Stock,3,FALSE),"")</f>
        <v>Suzuki Ertiga 18- 2nd Gen / XL7</v>
      </c>
      <c r="F1570" s="822">
        <v>1.0</v>
      </c>
      <c r="G1570" s="756">
        <v>375000.0</v>
      </c>
      <c r="H1570" s="824">
        <f t="shared" si="11"/>
        <v>375000</v>
      </c>
      <c r="I1570" s="825"/>
      <c r="J1570" s="826"/>
      <c r="K1570" s="850" t="s">
        <v>9900</v>
      </c>
    </row>
    <row r="1571" ht="15.0" customHeight="1">
      <c r="A1571" s="834">
        <v>46093.0</v>
      </c>
      <c r="B1571" s="603" t="s">
        <v>10784</v>
      </c>
      <c r="C1571" s="822" t="s">
        <v>10156</v>
      </c>
      <c r="D1571" s="109" t="s">
        <v>6604</v>
      </c>
      <c r="E1571" s="594" t="str">
        <f>IFERROR(VLOOKUP(D1571,Stock,3,FALSE),"")</f>
        <v>Toyota Calya /  Sigra 16-</v>
      </c>
      <c r="F1571" s="822">
        <v>1.0</v>
      </c>
      <c r="G1571" s="756">
        <v>65000.0</v>
      </c>
      <c r="H1571" s="824">
        <f t="shared" si="11"/>
        <v>65000</v>
      </c>
      <c r="I1571" s="825"/>
      <c r="J1571" s="826"/>
      <c r="K1571" s="850" t="s">
        <v>9900</v>
      </c>
    </row>
    <row r="1572" ht="15.0" customHeight="1">
      <c r="A1572" s="834">
        <v>46093.0</v>
      </c>
      <c r="B1572" s="603" t="s">
        <v>10785</v>
      </c>
      <c r="C1572" s="822" t="s">
        <v>2643</v>
      </c>
      <c r="D1572" s="109" t="s">
        <v>10786</v>
      </c>
      <c r="E1572" s="594" t="str">
        <f>IFERROR(VLOOKUP(D1572,Stock,3,FALSE),"")</f>
        <v>Honda BR-V 22- 2nd Gen (Honda)</v>
      </c>
      <c r="F1572" s="822">
        <v>1.0</v>
      </c>
      <c r="G1572" s="756">
        <v>249084.0</v>
      </c>
      <c r="H1572" s="824">
        <f t="shared" si="11"/>
        <v>249084</v>
      </c>
      <c r="I1572" s="825"/>
      <c r="J1572" s="826"/>
      <c r="K1572" s="850" t="s">
        <v>9900</v>
      </c>
      <c r="L1572" s="548" t="s">
        <v>10137</v>
      </c>
    </row>
    <row r="1573" ht="15.0" customHeight="1">
      <c r="A1573" s="834">
        <v>46093.0</v>
      </c>
      <c r="B1573" s="603">
        <v>2603443.0</v>
      </c>
      <c r="C1573" s="822" t="s">
        <v>10136</v>
      </c>
      <c r="D1573" s="109" t="s">
        <v>4529</v>
      </c>
      <c r="E1573" s="594" t="str">
        <f>IFERROR(VLOOKUP(D1573,Stock,3,FALSE),"")</f>
        <v>Mitsubishi Pajero 16-</v>
      </c>
      <c r="F1573" s="822">
        <v>1.0</v>
      </c>
      <c r="G1573" s="756">
        <v>302500.0</v>
      </c>
      <c r="H1573" s="824">
        <f t="shared" si="11"/>
        <v>302500</v>
      </c>
      <c r="I1573" s="825"/>
      <c r="J1573" s="826"/>
      <c r="K1573" s="850" t="s">
        <v>9900</v>
      </c>
    </row>
    <row r="1574" ht="15.0" customHeight="1">
      <c r="A1574" s="834">
        <v>46093.0</v>
      </c>
      <c r="B1574" s="603"/>
      <c r="C1574" s="822" t="s">
        <v>10136</v>
      </c>
      <c r="D1574" s="109" t="s">
        <v>4529</v>
      </c>
      <c r="E1574" s="594" t="str">
        <f>IFERROR(VLOOKUP(D1574,Stock,3,FALSE),"")</f>
        <v>Mitsubishi Pajero 16-</v>
      </c>
      <c r="F1574" s="822">
        <v>1.0</v>
      </c>
      <c r="G1574" s="756"/>
      <c r="H1574" s="824">
        <f t="shared" si="11"/>
        <v>0</v>
      </c>
      <c r="I1574" s="825"/>
      <c r="J1574" s="826"/>
      <c r="K1574" s="850" t="s">
        <v>3191</v>
      </c>
    </row>
    <row r="1575" ht="15.0" customHeight="1">
      <c r="A1575" s="834">
        <v>46094.0</v>
      </c>
      <c r="B1575" s="603">
        <v>2603490.0</v>
      </c>
      <c r="C1575" s="822" t="s">
        <v>10136</v>
      </c>
      <c r="D1575" s="835" t="s">
        <v>4112</v>
      </c>
      <c r="E1575" s="594" t="str">
        <f>IFERROR(VLOOKUP(D1575,Stock,3,FALSE),"")</f>
        <v>Wuling Air EV 22-</v>
      </c>
      <c r="F1575" s="822">
        <v>1.0</v>
      </c>
      <c r="G1575" s="756">
        <v>852500.0</v>
      </c>
      <c r="H1575" s="824">
        <f t="shared" si="11"/>
        <v>852500</v>
      </c>
      <c r="I1575" s="825"/>
      <c r="J1575" s="826"/>
      <c r="K1575" s="850" t="s">
        <v>8219</v>
      </c>
    </row>
    <row r="1576" ht="15.0" customHeight="1">
      <c r="A1576" s="834">
        <v>46094.0</v>
      </c>
      <c r="B1576" s="603">
        <v>2603470.0</v>
      </c>
      <c r="C1576" s="109" t="s">
        <v>10136</v>
      </c>
      <c r="D1576" s="108" t="s">
        <v>8723</v>
      </c>
      <c r="E1576" s="594" t="str">
        <f>IFERROR(VLOOKUP(D1576,Stock,3,FALSE),"")</f>
        <v>Chevrolet Spark 10-15 M300 3rd Gen (1200cc)</v>
      </c>
      <c r="F1576" s="822">
        <v>1.0</v>
      </c>
      <c r="G1576" s="756">
        <v>872850.0</v>
      </c>
      <c r="H1576" s="824">
        <f t="shared" si="11"/>
        <v>872850</v>
      </c>
      <c r="I1576" s="825"/>
      <c r="J1576" s="826"/>
      <c r="K1576" s="850" t="s">
        <v>8219</v>
      </c>
    </row>
    <row r="1577" ht="15.0" customHeight="1">
      <c r="A1577" s="834">
        <v>46094.0</v>
      </c>
      <c r="B1577" s="603">
        <v>2603470.0</v>
      </c>
      <c r="C1577" s="109" t="s">
        <v>10136</v>
      </c>
      <c r="D1577" s="919" t="s">
        <v>3029</v>
      </c>
      <c r="E1577" s="594" t="str">
        <f>IFERROR(VLOOKUP(D1577,Stock,3,FALSE),"")</f>
        <v>Mitsubishi Canter FE700 01- (PS110,125)</v>
      </c>
      <c r="F1577" s="822">
        <v>1.0</v>
      </c>
      <c r="G1577" s="756">
        <v>464200.0</v>
      </c>
      <c r="H1577" s="824">
        <f t="shared" si="11"/>
        <v>464200</v>
      </c>
      <c r="I1577" s="825"/>
      <c r="J1577" s="826"/>
      <c r="K1577" s="850" t="s">
        <v>8219</v>
      </c>
    </row>
    <row r="1578" ht="15.0" customHeight="1">
      <c r="A1578" s="834">
        <v>46094.0</v>
      </c>
      <c r="B1578" s="603">
        <v>2603470.0</v>
      </c>
      <c r="C1578" s="109" t="s">
        <v>10136</v>
      </c>
      <c r="D1578" s="108" t="s">
        <v>5096</v>
      </c>
      <c r="E1578" s="594" t="str">
        <f>IFERROR(VLOOKUP(D1578,Stock,3,FALSE),"")</f>
        <v>Suzuki Baleno 16- SX4 Scross Hatchback (1 Sensor / I )</v>
      </c>
      <c r="F1578" s="822">
        <v>1.0</v>
      </c>
      <c r="G1578" s="756">
        <v>852500.0</v>
      </c>
      <c r="H1578" s="824">
        <f t="shared" si="11"/>
        <v>852500</v>
      </c>
      <c r="I1578" s="825"/>
      <c r="J1578" s="826"/>
      <c r="K1578" s="850" t="s">
        <v>8219</v>
      </c>
    </row>
    <row r="1579" ht="15.0" customHeight="1">
      <c r="A1579" s="786">
        <v>46095.0</v>
      </c>
      <c r="B1579" s="787" t="s">
        <v>10787</v>
      </c>
      <c r="C1579" s="788" t="s">
        <v>10152</v>
      </c>
      <c r="D1579" s="851" t="s">
        <v>4504</v>
      </c>
      <c r="E1579" s="790" t="str">
        <f>IFERROR(VLOOKUP(D1579,Stock,3,FALSE),"")</f>
        <v>Mitsubishi Xpander 17-21 / Livina 19- 2nd Gen (Mitsubishi)</v>
      </c>
      <c r="F1579" s="788">
        <v>2.0</v>
      </c>
      <c r="G1579" s="860">
        <v>423000.0</v>
      </c>
      <c r="H1579" s="799">
        <f t="shared" si="11"/>
        <v>846000</v>
      </c>
      <c r="I1579" s="800"/>
      <c r="J1579" s="812"/>
      <c r="K1579" s="848" t="s">
        <v>9900</v>
      </c>
      <c r="L1579" s="806" t="s">
        <v>10137</v>
      </c>
      <c r="M1579" s="806" t="s">
        <v>2763</v>
      </c>
      <c r="N1579" s="837">
        <v>46112.0</v>
      </c>
      <c r="O1579" s="803"/>
    </row>
    <row r="1580" ht="15.0" customHeight="1">
      <c r="A1580" s="834">
        <v>46095.0</v>
      </c>
      <c r="B1580" s="603" t="s">
        <v>10788</v>
      </c>
      <c r="C1580" s="822" t="s">
        <v>10139</v>
      </c>
      <c r="D1580" s="109" t="s">
        <v>6892</v>
      </c>
      <c r="E1580" s="594" t="str">
        <f>IFERROR(VLOOKUP(D1580,Stock,3,FALSE),"")</f>
        <v>Toyota Avanza / Xenia 11-15 2nd Gen / 15-21 3rd Gen</v>
      </c>
      <c r="F1580" s="822">
        <v>1.0</v>
      </c>
      <c r="G1580" s="756">
        <v>200000.0</v>
      </c>
      <c r="H1580" s="824">
        <f t="shared" si="11"/>
        <v>200000</v>
      </c>
      <c r="I1580" s="825"/>
      <c r="J1580" s="826"/>
      <c r="K1580" s="850" t="s">
        <v>9900</v>
      </c>
    </row>
    <row r="1581" ht="15.0" customHeight="1">
      <c r="A1581" s="834">
        <v>46095.0</v>
      </c>
      <c r="B1581" s="603">
        <v>2603530.0</v>
      </c>
      <c r="C1581" s="109" t="s">
        <v>10136</v>
      </c>
      <c r="D1581" s="919" t="s">
        <v>8816</v>
      </c>
      <c r="E1581" s="594" t="str">
        <f>IFERROR(VLOOKUP(D1581,Stock,3,FALSE),"")</f>
        <v>Nissan Serena 19- MKV C27</v>
      </c>
      <c r="F1581" s="822">
        <v>1.0</v>
      </c>
      <c r="G1581" s="756">
        <v>1490500.0</v>
      </c>
      <c r="H1581" s="824">
        <f t="shared" si="11"/>
        <v>1490500</v>
      </c>
      <c r="I1581" s="825"/>
      <c r="J1581" s="826"/>
      <c r="K1581" s="850" t="s">
        <v>8219</v>
      </c>
    </row>
    <row r="1582" ht="15.0" customHeight="1">
      <c r="A1582" s="834">
        <v>46095.0</v>
      </c>
      <c r="B1582" s="603">
        <v>2603521.0</v>
      </c>
      <c r="C1582" s="109" t="s">
        <v>10136</v>
      </c>
      <c r="D1582" s="919" t="s">
        <v>8808</v>
      </c>
      <c r="E1582" s="594" t="str">
        <f>IFERROR(VLOOKUP(D1582,Stock,3,FALSE),"")</f>
        <v>BMW 3 Series 05-12 E90</v>
      </c>
      <c r="F1582" s="822">
        <v>1.0</v>
      </c>
      <c r="G1582" s="756">
        <v>1416800.0</v>
      </c>
      <c r="H1582" s="824">
        <f t="shared" si="11"/>
        <v>1416800</v>
      </c>
      <c r="I1582" s="825"/>
      <c r="J1582" s="826"/>
      <c r="K1582" s="850" t="s">
        <v>8219</v>
      </c>
    </row>
    <row r="1583" ht="15.0" customHeight="1">
      <c r="A1583" s="820"/>
      <c r="B1583" s="603">
        <v>2603521.0</v>
      </c>
      <c r="C1583" s="822" t="s">
        <v>10136</v>
      </c>
      <c r="D1583" s="835" t="s">
        <v>8803</v>
      </c>
      <c r="E1583" s="594" t="str">
        <f>IFERROR(VLOOKUP(D1583,Stock,3,FALSE),"")</f>
        <v>Honda Accord 03-07 7th Gen CM5,6,7</v>
      </c>
      <c r="F1583" s="822">
        <v>1.0</v>
      </c>
      <c r="G1583" s="756">
        <v>1035650.0</v>
      </c>
      <c r="H1583" s="824">
        <f t="shared" si="11"/>
        <v>1035650</v>
      </c>
      <c r="I1583" s="825"/>
      <c r="J1583" s="826"/>
      <c r="K1583" s="850" t="s">
        <v>8219</v>
      </c>
    </row>
    <row r="1584" ht="15.0" customHeight="1">
      <c r="A1584" s="820"/>
      <c r="B1584" s="603">
        <v>2603521.0</v>
      </c>
      <c r="C1584" s="822" t="s">
        <v>10136</v>
      </c>
      <c r="D1584" s="835" t="s">
        <v>10789</v>
      </c>
      <c r="E1584" s="594" t="str">
        <f>IFERROR(VLOOKUP(D1584,Stock,3,FALSE),"")</f>
        <v>Hino Ranger Louhan 03- / Hino 500 (MULIA)</v>
      </c>
      <c r="F1584" s="822">
        <v>1.0</v>
      </c>
      <c r="G1584" s="756">
        <v>261250.0</v>
      </c>
      <c r="H1584" s="824">
        <f t="shared" si="11"/>
        <v>261250</v>
      </c>
      <c r="I1584" s="825"/>
      <c r="J1584" s="826"/>
      <c r="K1584" s="850" t="s">
        <v>8219</v>
      </c>
    </row>
    <row r="1585" ht="15.0" customHeight="1">
      <c r="A1585" s="820"/>
      <c r="B1585" s="603">
        <v>2603521.0</v>
      </c>
      <c r="C1585" s="822" t="s">
        <v>10136</v>
      </c>
      <c r="D1585" s="835" t="s">
        <v>10790</v>
      </c>
      <c r="E1585" s="594" t="str">
        <f>IFERROR(VLOOKUP(D1585,Stock,3,FALSE),"")</f>
        <v>Hino Ranger Louhan 03- / Hino 500 (MULIA)</v>
      </c>
      <c r="F1585" s="822">
        <v>2.0</v>
      </c>
      <c r="G1585" s="756">
        <v>261250.0</v>
      </c>
      <c r="H1585" s="824">
        <f t="shared" si="11"/>
        <v>522500</v>
      </c>
      <c r="I1585" s="825"/>
      <c r="J1585" s="826"/>
      <c r="K1585" s="850" t="s">
        <v>8219</v>
      </c>
    </row>
    <row r="1586" ht="15.0" customHeight="1">
      <c r="A1586" s="834">
        <v>46097.0</v>
      </c>
      <c r="B1586" s="603" t="s">
        <v>10791</v>
      </c>
      <c r="C1586" s="822" t="s">
        <v>10139</v>
      </c>
      <c r="D1586" s="109" t="s">
        <v>5680</v>
      </c>
      <c r="E1586" s="594" t="str">
        <f>IFERROR(VLOOKUP(D1586,Stock,3,FALSE),"")</f>
        <v>Suzuki Wagon R 12-</v>
      </c>
      <c r="F1586" s="822">
        <v>1.0</v>
      </c>
      <c r="G1586" s="756">
        <v>437400.0</v>
      </c>
      <c r="H1586" s="824">
        <f t="shared" si="11"/>
        <v>437400</v>
      </c>
      <c r="I1586" s="825"/>
      <c r="J1586" s="826"/>
      <c r="K1586" s="850" t="s">
        <v>9900</v>
      </c>
    </row>
    <row r="1587" ht="15.0" customHeight="1">
      <c r="A1587" s="786">
        <v>46097.0</v>
      </c>
      <c r="B1587" s="787" t="s">
        <v>10792</v>
      </c>
      <c r="C1587" s="788" t="s">
        <v>10139</v>
      </c>
      <c r="D1587" s="789" t="s">
        <v>3234</v>
      </c>
      <c r="E1587" s="790" t="str">
        <f>IFERROR(VLOOKUP(D1587,Stock,3,FALSE),"")</f>
        <v>Toyota Avanza / Xenia 21- 4th Gen (Non sensor)</v>
      </c>
      <c r="F1587" s="788">
        <v>10.0</v>
      </c>
      <c r="G1587" s="860">
        <v>604395.0</v>
      </c>
      <c r="H1587" s="799">
        <f t="shared" si="11"/>
        <v>6043950</v>
      </c>
      <c r="I1587" s="800"/>
      <c r="J1587" s="812"/>
      <c r="K1587" s="848" t="s">
        <v>8232</v>
      </c>
      <c r="L1587" s="806" t="s">
        <v>10137</v>
      </c>
      <c r="M1587" s="806" t="s">
        <v>2763</v>
      </c>
      <c r="N1587" s="837">
        <v>46128.0</v>
      </c>
      <c r="O1587" s="803"/>
    </row>
    <row r="1588" ht="15.0" customHeight="1">
      <c r="A1588" s="834">
        <v>46097.0</v>
      </c>
      <c r="B1588" s="603" t="s">
        <v>10793</v>
      </c>
      <c r="C1588" s="822" t="s">
        <v>10156</v>
      </c>
      <c r="D1588" s="109" t="s">
        <v>8840</v>
      </c>
      <c r="E1588" s="594" t="str">
        <f>IFERROR(VLOOKUP(D1588,Stock,3,FALSE),"")</f>
        <v>Daihatsu Sirion 18- 3rd Gen (Daihatsu)</v>
      </c>
      <c r="F1588" s="822">
        <v>1.0</v>
      </c>
      <c r="G1588" s="756">
        <v>475000.0</v>
      </c>
      <c r="H1588" s="824">
        <f t="shared" si="11"/>
        <v>475000</v>
      </c>
      <c r="I1588" s="825"/>
      <c r="J1588" s="826"/>
      <c r="K1588" s="850" t="s">
        <v>9900</v>
      </c>
    </row>
    <row r="1589" ht="15.0" customHeight="1">
      <c r="A1589" s="834">
        <v>46097.0</v>
      </c>
      <c r="B1589" s="603" t="s">
        <v>10794</v>
      </c>
      <c r="C1589" s="822" t="s">
        <v>2643</v>
      </c>
      <c r="D1589" s="109" t="s">
        <v>10795</v>
      </c>
      <c r="E1589" s="594" t="str">
        <f>IFERROR(VLOOKUP(D1589,Stock,3,FALSE),"")</f>
        <v>Honda BR-V 16-21 (Honda)</v>
      </c>
      <c r="F1589" s="822">
        <v>1.0</v>
      </c>
      <c r="G1589" s="756">
        <v>322344.0</v>
      </c>
      <c r="H1589" s="824">
        <f t="shared" si="11"/>
        <v>322344</v>
      </c>
      <c r="I1589" s="825"/>
      <c r="J1589" s="826"/>
      <c r="K1589" s="850" t="s">
        <v>10242</v>
      </c>
    </row>
    <row r="1590" ht="15.0" customHeight="1">
      <c r="A1590" s="834">
        <v>46097.0</v>
      </c>
      <c r="B1590" s="603" t="s">
        <v>10794</v>
      </c>
      <c r="C1590" s="822" t="s">
        <v>2643</v>
      </c>
      <c r="D1590" s="109" t="s">
        <v>6244</v>
      </c>
      <c r="E1590" s="594" t="str">
        <f>IFERROR(VLOOKUP(D1590,Stock,3,FALSE),"")</f>
        <v>Honda BR-V 16-21 (Honda)</v>
      </c>
      <c r="F1590" s="822">
        <v>1.0</v>
      </c>
      <c r="G1590" s="756">
        <v>322344.0</v>
      </c>
      <c r="H1590" s="824">
        <f t="shared" si="11"/>
        <v>322344</v>
      </c>
      <c r="I1590" s="825"/>
      <c r="J1590" s="826"/>
      <c r="K1590" s="850" t="s">
        <v>10242</v>
      </c>
    </row>
    <row r="1591" ht="15.0" customHeight="1">
      <c r="A1591" s="834">
        <v>46097.0</v>
      </c>
      <c r="B1591" s="603">
        <v>2603548.0</v>
      </c>
      <c r="C1591" s="822" t="s">
        <v>10136</v>
      </c>
      <c r="D1591" s="109" t="s">
        <v>8866</v>
      </c>
      <c r="E1591" s="594" t="str">
        <f>IFERROR(VLOOKUP(D1591,Stock,3,FALSE),"")</f>
        <v>Toyota Alphard 02-08 ANH10 1st Gen (Hitam)</v>
      </c>
      <c r="F1591" s="822">
        <v>2.0</v>
      </c>
      <c r="G1591" s="756">
        <v>1635700.0</v>
      </c>
      <c r="H1591" s="824">
        <f t="shared" si="11"/>
        <v>3271400</v>
      </c>
      <c r="I1591" s="825"/>
      <c r="J1591" s="826"/>
      <c r="K1591" s="850" t="s">
        <v>9900</v>
      </c>
    </row>
    <row r="1592" ht="15.0" customHeight="1">
      <c r="A1592" s="834">
        <v>46097.0</v>
      </c>
      <c r="B1592" s="603">
        <v>2603548.0</v>
      </c>
      <c r="C1592" s="822" t="s">
        <v>10136</v>
      </c>
      <c r="D1592" s="109" t="s">
        <v>3029</v>
      </c>
      <c r="E1592" s="594" t="str">
        <f>IFERROR(VLOOKUP(D1592,Stock,3,FALSE),"")</f>
        <v>Mitsubishi Canter FE700 01- (PS110,125)</v>
      </c>
      <c r="F1592" s="822">
        <v>1.0</v>
      </c>
      <c r="G1592" s="756">
        <v>462200.0</v>
      </c>
      <c r="H1592" s="824">
        <f t="shared" si="11"/>
        <v>462200</v>
      </c>
      <c r="I1592" s="825"/>
      <c r="J1592" s="826"/>
      <c r="K1592" s="850" t="s">
        <v>9900</v>
      </c>
    </row>
    <row r="1593" ht="15.0" customHeight="1">
      <c r="A1593" s="834">
        <v>46098.0</v>
      </c>
      <c r="B1593" s="603" t="s">
        <v>10796</v>
      </c>
      <c r="C1593" s="822" t="s">
        <v>10156</v>
      </c>
      <c r="D1593" s="109" t="s">
        <v>8946</v>
      </c>
      <c r="E1593" s="594" t="str">
        <f>IFERROR(VLOOKUP(D1593,Stock,3,FALSE),"")</f>
        <v>Honda City 14-18 GM6</v>
      </c>
      <c r="F1593" s="822">
        <v>1.0</v>
      </c>
      <c r="G1593" s="756">
        <v>700000.0</v>
      </c>
      <c r="H1593" s="824">
        <f t="shared" si="11"/>
        <v>700000</v>
      </c>
      <c r="I1593" s="825"/>
      <c r="J1593" s="826"/>
      <c r="K1593" s="850" t="s">
        <v>9900</v>
      </c>
    </row>
    <row r="1594">
      <c r="A1594" s="786">
        <v>46098.0</v>
      </c>
      <c r="B1594" s="787" t="s">
        <v>10797</v>
      </c>
      <c r="C1594" s="788" t="s">
        <v>24</v>
      </c>
      <c r="D1594" s="851" t="s">
        <v>3446</v>
      </c>
      <c r="E1594" s="790" t="str">
        <f>IFERROR(VLOOKUP(D1594,Stock,3,FALSE),"")</f>
        <v>501 Sealant Application</v>
      </c>
      <c r="F1594" s="788">
        <v>200.0</v>
      </c>
      <c r="G1594" s="860">
        <v>58000.0</v>
      </c>
      <c r="H1594" s="799">
        <f t="shared" si="11"/>
        <v>11600000</v>
      </c>
      <c r="I1594" s="800"/>
      <c r="J1594" s="812"/>
      <c r="K1594" s="848" t="s">
        <v>3191</v>
      </c>
      <c r="L1594" s="806" t="s">
        <v>10137</v>
      </c>
      <c r="M1594" s="806" t="s">
        <v>2763</v>
      </c>
      <c r="N1594" s="837">
        <v>46132.0</v>
      </c>
      <c r="O1594" s="803"/>
    </row>
    <row r="1595" ht="15.0" customHeight="1">
      <c r="A1595" s="786">
        <v>46098.0</v>
      </c>
      <c r="B1595" s="787" t="s">
        <v>10797</v>
      </c>
      <c r="C1595" s="788" t="s">
        <v>24</v>
      </c>
      <c r="D1595" s="851" t="s">
        <v>7224</v>
      </c>
      <c r="E1595" s="790" t="str">
        <f>IFERROR(VLOOKUP(D1595,Stock,3,FALSE),"")</f>
        <v/>
      </c>
      <c r="F1595" s="788">
        <v>34.0</v>
      </c>
      <c r="G1595" s="860">
        <v>28000.0</v>
      </c>
      <c r="H1595" s="799">
        <f t="shared" si="11"/>
        <v>952000</v>
      </c>
      <c r="I1595" s="800"/>
      <c r="J1595" s="812"/>
      <c r="K1595" s="848" t="s">
        <v>3191</v>
      </c>
      <c r="L1595" s="806" t="s">
        <v>10137</v>
      </c>
      <c r="M1595" s="806" t="s">
        <v>2763</v>
      </c>
      <c r="N1595" s="837">
        <v>46132.0</v>
      </c>
      <c r="O1595" s="803"/>
    </row>
    <row r="1596" ht="15.0" customHeight="1">
      <c r="A1596" s="834">
        <v>46098.0</v>
      </c>
      <c r="B1596" s="603">
        <v>2603589.0</v>
      </c>
      <c r="C1596" s="109" t="s">
        <v>10136</v>
      </c>
      <c r="D1596" s="919" t="s">
        <v>8908</v>
      </c>
      <c r="E1596" s="594" t="str">
        <f>IFERROR(VLOOKUP(D1596,Stock,3,FALSE),"")</f>
        <v>Mers-Benz C-Class 07-14 W204 (1 Sensor/ □)</v>
      </c>
      <c r="F1596" s="822">
        <v>2.0</v>
      </c>
      <c r="G1596" s="756">
        <v>1799600.0</v>
      </c>
      <c r="H1596" s="824">
        <f t="shared" si="11"/>
        <v>3599200</v>
      </c>
      <c r="I1596" s="825"/>
      <c r="J1596" s="826"/>
      <c r="K1596" s="850" t="s">
        <v>8219</v>
      </c>
    </row>
    <row r="1597" ht="15.0" customHeight="1">
      <c r="A1597" s="820"/>
      <c r="B1597" s="603">
        <v>2603589.0</v>
      </c>
      <c r="C1597" s="109" t="s">
        <v>10136</v>
      </c>
      <c r="D1597" s="835" t="s">
        <v>7813</v>
      </c>
      <c r="E1597" s="594" t="str">
        <f>IFERROR(VLOOKUP(D1597,Stock,3,FALSE),"")</f>
        <v>Mitsubishi Fuso Fighter FK40 82-(PS190,220)</v>
      </c>
      <c r="F1597" s="822">
        <v>1.0</v>
      </c>
      <c r="G1597" s="756">
        <v>779350.0</v>
      </c>
      <c r="H1597" s="824">
        <f t="shared" si="11"/>
        <v>779350</v>
      </c>
      <c r="I1597" s="825"/>
      <c r="J1597" s="826"/>
      <c r="K1597" s="850" t="s">
        <v>8219</v>
      </c>
    </row>
    <row r="1598" ht="15.0" customHeight="1">
      <c r="A1598" s="834">
        <v>46098.0</v>
      </c>
      <c r="B1598" s="603">
        <v>2603604.0</v>
      </c>
      <c r="C1598" s="822" t="s">
        <v>10136</v>
      </c>
      <c r="D1598" s="835" t="s">
        <v>3790</v>
      </c>
      <c r="E1598" s="594" t="str">
        <f>IFERROR(VLOOKUP(D1598,Stock,3,FALSE),"")</f>
        <v>Nissan Serena 99-10 MKII C24</v>
      </c>
      <c r="F1598" s="822">
        <v>1.0</v>
      </c>
      <c r="G1598" s="756">
        <v>983400.0</v>
      </c>
      <c r="H1598" s="824">
        <f t="shared" si="11"/>
        <v>983400</v>
      </c>
      <c r="I1598" s="825"/>
      <c r="J1598" s="826"/>
      <c r="K1598" s="850" t="s">
        <v>8219</v>
      </c>
    </row>
    <row r="1599" ht="15.0" customHeight="1">
      <c r="A1599" s="834">
        <v>46099.0</v>
      </c>
      <c r="B1599" s="603" t="s">
        <v>10798</v>
      </c>
      <c r="C1599" s="822" t="s">
        <v>10139</v>
      </c>
      <c r="D1599" s="835" t="s">
        <v>8936</v>
      </c>
      <c r="E1599" s="594" t="str">
        <f>IFERROR(VLOOKUP(D1599,Stock,3,FALSE),"")</f>
        <v>Toyota Vios 13-17 3rd Gen</v>
      </c>
      <c r="F1599" s="822">
        <v>1.0</v>
      </c>
      <c r="G1599" s="756">
        <v>285000.0</v>
      </c>
      <c r="H1599" s="824">
        <f t="shared" si="11"/>
        <v>285000</v>
      </c>
      <c r="I1599" s="825"/>
      <c r="J1599" s="826"/>
      <c r="K1599" s="850" t="s">
        <v>8232</v>
      </c>
    </row>
    <row r="1600" ht="15.0" customHeight="1">
      <c r="A1600" s="786">
        <v>46099.0</v>
      </c>
      <c r="B1600" s="787" t="s">
        <v>10799</v>
      </c>
      <c r="C1600" s="788" t="s">
        <v>10139</v>
      </c>
      <c r="D1600" s="789" t="s">
        <v>6054</v>
      </c>
      <c r="E1600" s="790" t="str">
        <f>IFERROR(VLOOKUP(D1600,Stock,3,FALSE),"")</f>
        <v>Mitsubishi Pajero 08-16</v>
      </c>
      <c r="F1600" s="788">
        <v>10.0</v>
      </c>
      <c r="G1600" s="860">
        <v>456654.0</v>
      </c>
      <c r="H1600" s="799">
        <f t="shared" si="11"/>
        <v>4566540</v>
      </c>
      <c r="I1600" s="800"/>
      <c r="J1600" s="812"/>
      <c r="K1600" s="848" t="s">
        <v>8232</v>
      </c>
      <c r="L1600" s="806" t="s">
        <v>10137</v>
      </c>
      <c r="M1600" s="806" t="s">
        <v>2763</v>
      </c>
      <c r="N1600" s="837">
        <v>46128.0</v>
      </c>
      <c r="O1600" s="803"/>
    </row>
    <row r="1601" ht="15.0" customHeight="1">
      <c r="A1601" s="834">
        <v>46099.0</v>
      </c>
      <c r="B1601" s="603">
        <v>2603442.0</v>
      </c>
      <c r="C1601" s="822" t="s">
        <v>10136</v>
      </c>
      <c r="D1601" s="835" t="s">
        <v>5283</v>
      </c>
      <c r="E1601" s="594" t="str">
        <f>IFERROR(VLOOKUP(D1601,Stock,3,FALSE),"")</f>
        <v>BMW 3 Series 12-18 F30/F35</v>
      </c>
      <c r="F1601" s="822">
        <v>1.0</v>
      </c>
      <c r="G1601" s="756">
        <v>2311100.0</v>
      </c>
      <c r="H1601" s="824">
        <f t="shared" si="11"/>
        <v>2311100</v>
      </c>
      <c r="I1601" s="825"/>
      <c r="J1601" s="826"/>
      <c r="K1601" s="850" t="s">
        <v>8219</v>
      </c>
    </row>
    <row r="1602" ht="15.0" customHeight="1">
      <c r="A1602" s="834">
        <v>46106.0</v>
      </c>
      <c r="B1602" s="603" t="s">
        <v>10800</v>
      </c>
      <c r="C1602" s="822" t="s">
        <v>10139</v>
      </c>
      <c r="D1602" s="835" t="s">
        <v>4307</v>
      </c>
      <c r="E1602" s="594" t="str">
        <f>IFERROR(VLOOKUP(D1602,Stock,3,FALSE),"")</f>
        <v>Honda City 02-08 4th Gen Idsi GD8 (4 Colokan)</v>
      </c>
      <c r="F1602" s="822">
        <v>1.0</v>
      </c>
      <c r="G1602" s="756">
        <v>1041525.0</v>
      </c>
      <c r="H1602" s="824">
        <f t="shared" si="11"/>
        <v>1041525</v>
      </c>
      <c r="I1602" s="825"/>
      <c r="J1602" s="826"/>
      <c r="K1602" s="850" t="s">
        <v>8219</v>
      </c>
    </row>
    <row r="1603" ht="15.0" customHeight="1">
      <c r="A1603" s="820"/>
      <c r="B1603" s="603" t="s">
        <v>10801</v>
      </c>
      <c r="C1603" s="822" t="s">
        <v>10139</v>
      </c>
      <c r="D1603" s="835" t="s">
        <v>8995</v>
      </c>
      <c r="E1603" s="594" t="str">
        <f>IFERROR(VLOOKUP(D1603,Stock,3,FALSE),"")</f>
        <v>Nissan Evalia 10- X11M</v>
      </c>
      <c r="F1603" s="822">
        <v>1.0</v>
      </c>
      <c r="G1603" s="756">
        <v>842400.0</v>
      </c>
      <c r="H1603" s="824">
        <f t="shared" si="11"/>
        <v>842400</v>
      </c>
      <c r="I1603" s="825"/>
      <c r="J1603" s="826"/>
      <c r="K1603" s="850" t="s">
        <v>8219</v>
      </c>
    </row>
    <row r="1604" ht="15.0" customHeight="1">
      <c r="A1604" s="834">
        <v>46106.0</v>
      </c>
      <c r="B1604" s="603" t="s">
        <v>10802</v>
      </c>
      <c r="C1604" s="109" t="s">
        <v>10139</v>
      </c>
      <c r="D1604" s="919" t="s">
        <v>9011</v>
      </c>
      <c r="E1604" s="594" t="str">
        <f>IFERROR(VLOOKUP(D1604,Stock,3,FALSE),"")</f>
        <v>Ford Everest 06-15</v>
      </c>
      <c r="F1604" s="822">
        <v>1.0</v>
      </c>
      <c r="G1604" s="756">
        <v>1301400.0</v>
      </c>
      <c r="H1604" s="824">
        <f t="shared" si="11"/>
        <v>1301400</v>
      </c>
      <c r="I1604" s="825"/>
      <c r="J1604" s="826"/>
      <c r="K1604" s="850" t="s">
        <v>8219</v>
      </c>
    </row>
    <row r="1605" ht="15.0" customHeight="1">
      <c r="A1605" s="834">
        <v>46107.0</v>
      </c>
      <c r="B1605" s="603" t="s">
        <v>10803</v>
      </c>
      <c r="C1605" s="109" t="s">
        <v>10139</v>
      </c>
      <c r="D1605" s="920" t="s">
        <v>7547</v>
      </c>
      <c r="E1605" s="594" t="str">
        <f>IFERROR(VLOOKUP(D1605,Stock,3,FALSE),"")</f>
        <v>Chevrolet Trax 13- [Tanpa Sensor]</v>
      </c>
      <c r="F1605" s="822">
        <v>1.0</v>
      </c>
      <c r="G1605" s="756">
        <v>1518075.0</v>
      </c>
      <c r="H1605" s="824">
        <f t="shared" si="11"/>
        <v>1518075</v>
      </c>
      <c r="I1605" s="825"/>
      <c r="J1605" s="826"/>
      <c r="K1605" s="850" t="s">
        <v>8219</v>
      </c>
    </row>
    <row r="1606" ht="15.0" customHeight="1">
      <c r="A1606" s="834">
        <v>46107.0</v>
      </c>
      <c r="B1606" s="603">
        <v>2603703.0</v>
      </c>
      <c r="C1606" s="109" t="s">
        <v>10136</v>
      </c>
      <c r="D1606" s="920" t="s">
        <v>4544</v>
      </c>
      <c r="E1606" s="594" t="str">
        <f>IFERROR(VLOOKUP(D1606,Stock,3,FALSE),"")</f>
        <v>Toyota Avanza / Xenia 03-11 1st Gen</v>
      </c>
      <c r="F1606" s="822">
        <v>1.0</v>
      </c>
      <c r="G1606" s="756">
        <v>297550.0</v>
      </c>
      <c r="H1606" s="824">
        <f t="shared" si="11"/>
        <v>297550</v>
      </c>
      <c r="I1606" s="825"/>
      <c r="J1606" s="826"/>
      <c r="K1606" s="850" t="s">
        <v>8219</v>
      </c>
    </row>
    <row r="1607" ht="15.0" customHeight="1">
      <c r="A1607" s="834">
        <v>46107.0</v>
      </c>
      <c r="B1607" s="603">
        <v>2603702.0</v>
      </c>
      <c r="C1607" s="109" t="s">
        <v>10136</v>
      </c>
      <c r="D1607" s="920" t="s">
        <v>2772</v>
      </c>
      <c r="E1607" s="594" t="str">
        <f>IFERROR(VLOOKUP(D1607,Stock,3,FALSE),"")</f>
        <v>Suzuki Ignis 17-</v>
      </c>
      <c r="F1607" s="822">
        <v>1.0</v>
      </c>
      <c r="G1607" s="756">
        <v>466950.0</v>
      </c>
      <c r="H1607" s="824">
        <f t="shared" si="11"/>
        <v>466950</v>
      </c>
      <c r="I1607" s="825"/>
      <c r="J1607" s="826"/>
      <c r="K1607" s="850" t="s">
        <v>8219</v>
      </c>
    </row>
    <row r="1608" ht="15.0" customHeight="1">
      <c r="A1608" s="834">
        <v>46107.0</v>
      </c>
      <c r="B1608" s="603">
        <v>2603702.0</v>
      </c>
      <c r="C1608" s="109" t="s">
        <v>10136</v>
      </c>
      <c r="D1608" s="835" t="s">
        <v>4380</v>
      </c>
      <c r="E1608" s="594" t="str">
        <f>IFERROR(VLOOKUP(D1608,Stock,3,FALSE),"")</f>
        <v>Nissan Livina 07-12 L10 (Tanpa Lubang)</v>
      </c>
      <c r="F1608" s="822">
        <v>1.0</v>
      </c>
      <c r="G1608" s="756">
        <v>466950.0</v>
      </c>
      <c r="H1608" s="824">
        <f t="shared" si="11"/>
        <v>466950</v>
      </c>
      <c r="I1608" s="825"/>
      <c r="J1608" s="826"/>
      <c r="K1608" s="850" t="s">
        <v>8219</v>
      </c>
    </row>
    <row r="1609" ht="15.0" customHeight="1">
      <c r="A1609" s="834">
        <v>46107.0</v>
      </c>
      <c r="B1609" s="603">
        <v>2603676.0</v>
      </c>
      <c r="C1609" s="822" t="s">
        <v>10136</v>
      </c>
      <c r="D1609" s="109" t="s">
        <v>2928</v>
      </c>
      <c r="E1609" s="594" t="str">
        <f>IFERROR(VLOOKUP(D1609,Stock,3,FALSE),"")</f>
        <v>Mers-Benz E-Class 17- W213 (1 Sensor/ □ )</v>
      </c>
      <c r="F1609" s="822">
        <v>1.0</v>
      </c>
      <c r="G1609" s="756">
        <v>4064500.0</v>
      </c>
      <c r="H1609" s="824">
        <f t="shared" si="11"/>
        <v>4064500</v>
      </c>
      <c r="I1609" s="825"/>
      <c r="J1609" s="826"/>
      <c r="K1609" s="850" t="s">
        <v>8219</v>
      </c>
    </row>
    <row r="1610" ht="15.0" customHeight="1">
      <c r="A1610" s="820"/>
      <c r="B1610" s="603">
        <v>2603676.0</v>
      </c>
      <c r="C1610" s="822" t="s">
        <v>10136</v>
      </c>
      <c r="D1610" s="920" t="s">
        <v>4783</v>
      </c>
      <c r="E1610" s="594" t="str">
        <f>IFERROR(VLOOKUP(D1610,Stock,3,FALSE),"")</f>
        <v>Toyota Avanza / Xenia 03-11 1st Gen</v>
      </c>
      <c r="F1610" s="822">
        <v>1.0</v>
      </c>
      <c r="G1610" s="756">
        <v>366850.0</v>
      </c>
      <c r="H1610" s="824">
        <f t="shared" si="11"/>
        <v>366850</v>
      </c>
      <c r="I1610" s="825"/>
      <c r="J1610" s="826"/>
      <c r="K1610" s="850" t="s">
        <v>8219</v>
      </c>
    </row>
    <row r="1611" ht="15.0" customHeight="1">
      <c r="A1611" s="820"/>
      <c r="B1611" s="603">
        <v>2603676.0</v>
      </c>
      <c r="C1611" s="822" t="s">
        <v>10136</v>
      </c>
      <c r="D1611" s="109" t="s">
        <v>3302</v>
      </c>
      <c r="E1611" s="594" t="str">
        <f>IFERROR(VLOOKUP(D1611,Stock,3,FALSE),"")</f>
        <v>Nissan Livina 07-18 L10/L11</v>
      </c>
      <c r="F1611" s="822">
        <v>2.0</v>
      </c>
      <c r="G1611" s="756">
        <v>600600.0</v>
      </c>
      <c r="H1611" s="824">
        <f t="shared" si="11"/>
        <v>1201200</v>
      </c>
      <c r="I1611" s="825"/>
      <c r="J1611" s="826"/>
      <c r="K1611" s="850" t="s">
        <v>8219</v>
      </c>
    </row>
    <row r="1612" ht="15.0" customHeight="1">
      <c r="A1612" s="820"/>
      <c r="B1612" s="603">
        <v>2603676.0</v>
      </c>
      <c r="C1612" s="822" t="s">
        <v>10136</v>
      </c>
      <c r="D1612" s="109" t="s">
        <v>3913</v>
      </c>
      <c r="E1612" s="594" t="str">
        <f>IFERROR(VLOOKUP(D1612,Stock,3,FALSE),"")</f>
        <v>BYD Seal 23- (2 Sensor / /\ O )</v>
      </c>
      <c r="F1612" s="822">
        <v>1.0</v>
      </c>
      <c r="G1612" s="756">
        <v>2145000.0</v>
      </c>
      <c r="H1612" s="824">
        <f t="shared" si="11"/>
        <v>2145000</v>
      </c>
      <c r="I1612" s="825"/>
      <c r="J1612" s="826"/>
      <c r="K1612" s="850" t="s">
        <v>8219</v>
      </c>
    </row>
    <row r="1613" ht="15.0" customHeight="1">
      <c r="A1613" s="834">
        <v>46107.0</v>
      </c>
      <c r="B1613" s="603">
        <v>2603669.0</v>
      </c>
      <c r="C1613" s="822" t="s">
        <v>10136</v>
      </c>
      <c r="D1613" s="109" t="s">
        <v>5954</v>
      </c>
      <c r="E1613" s="594" t="str">
        <f>IFERROR(VLOOKUP(D1613,Stock,3,FALSE),"")</f>
        <v>Toyota Voxy 17-</v>
      </c>
      <c r="F1613" s="822">
        <v>1.0</v>
      </c>
      <c r="G1613" s="756">
        <v>1829300.0</v>
      </c>
      <c r="H1613" s="824">
        <f t="shared" si="11"/>
        <v>1829300</v>
      </c>
      <c r="I1613" s="825"/>
      <c r="J1613" s="826"/>
      <c r="K1613" s="850" t="s">
        <v>8219</v>
      </c>
    </row>
    <row r="1614" ht="15.0" customHeight="1">
      <c r="A1614" s="109" t="s">
        <v>10804</v>
      </c>
      <c r="B1614" s="603" t="s">
        <v>10805</v>
      </c>
      <c r="C1614" s="822" t="s">
        <v>10806</v>
      </c>
      <c r="D1614" s="109" t="s">
        <v>9050</v>
      </c>
      <c r="E1614" s="594" t="str">
        <f>IFERROR(VLOOKUP(D1614,Stock,3,FALSE),"")</f>
        <v>Mitsubishi Canter FE700 01- (PS110,125)</v>
      </c>
      <c r="F1614" s="822">
        <v>1.0</v>
      </c>
      <c r="G1614" s="756">
        <v>290000.0</v>
      </c>
      <c r="H1614" s="824">
        <f t="shared" si="11"/>
        <v>290000</v>
      </c>
      <c r="I1614" s="825"/>
      <c r="J1614" s="826"/>
      <c r="K1614" s="850" t="s">
        <v>8388</v>
      </c>
    </row>
    <row r="1615" ht="15.0" customHeight="1">
      <c r="A1615" s="834">
        <v>46107.0</v>
      </c>
      <c r="B1615" s="603" t="s">
        <v>10807</v>
      </c>
      <c r="C1615" s="822" t="s">
        <v>10139</v>
      </c>
      <c r="D1615" s="109" t="s">
        <v>2003</v>
      </c>
      <c r="E1615" s="594" t="str">
        <f>IFERROR(VLOOKUP(D1615,Stock,3,FALSE),"")</f>
        <v>Toyota Agya/Ayla 13-22 1st Gen</v>
      </c>
      <c r="F1615" s="822">
        <v>10.0</v>
      </c>
      <c r="G1615" s="756">
        <v>338217.0</v>
      </c>
      <c r="H1615" s="824">
        <f t="shared" si="11"/>
        <v>3382170</v>
      </c>
      <c r="I1615" s="825"/>
      <c r="J1615" s="826"/>
      <c r="K1615" s="850" t="s">
        <v>9900</v>
      </c>
    </row>
    <row r="1616" ht="15.0" customHeight="1">
      <c r="A1616" s="834">
        <v>46108.0</v>
      </c>
      <c r="B1616" s="109">
        <v>2603719.0</v>
      </c>
      <c r="C1616" s="822" t="s">
        <v>10136</v>
      </c>
      <c r="D1616" s="109" t="s">
        <v>9028</v>
      </c>
      <c r="E1616" s="594" t="str">
        <f>IFERROR(VLOOKUP(D1616,Stock,3,FALSE),"")</f>
        <v>Mers-Benz C-Class 07-14 W204</v>
      </c>
      <c r="F1616" s="822">
        <v>1.0</v>
      </c>
      <c r="G1616" s="756">
        <v>1413500.0</v>
      </c>
      <c r="H1616" s="824">
        <f t="shared" si="11"/>
        <v>1413500</v>
      </c>
      <c r="I1616" s="825"/>
      <c r="J1616" s="826"/>
      <c r="K1616" s="850" t="s">
        <v>9900</v>
      </c>
    </row>
    <row r="1617" ht="15.0" customHeight="1">
      <c r="A1617" s="834">
        <v>46108.0</v>
      </c>
      <c r="B1617" s="109">
        <v>2603719.0</v>
      </c>
      <c r="C1617" s="822" t="s">
        <v>10136</v>
      </c>
      <c r="D1617" s="109" t="s">
        <v>3138</v>
      </c>
      <c r="E1617" s="594" t="str">
        <f>IFERROR(VLOOKUP(D1617,Stock,3,FALSE),"")</f>
        <v>Toyota Fortuner 05-15 1st Gen (Hitam)</v>
      </c>
      <c r="F1617" s="822">
        <v>1.0</v>
      </c>
      <c r="G1617" s="756">
        <v>1072500.0</v>
      </c>
      <c r="H1617" s="824">
        <f t="shared" si="11"/>
        <v>1072500</v>
      </c>
      <c r="I1617" s="825"/>
      <c r="J1617" s="826"/>
      <c r="K1617" s="850" t="s">
        <v>9900</v>
      </c>
    </row>
    <row r="1618" ht="15.0" customHeight="1">
      <c r="A1618" s="834">
        <v>46108.0</v>
      </c>
      <c r="B1618" s="109">
        <v>2603719.0</v>
      </c>
      <c r="C1618" s="822" t="s">
        <v>10136</v>
      </c>
      <c r="D1618" s="109" t="s">
        <v>7417</v>
      </c>
      <c r="E1618" s="594" t="str">
        <f>IFERROR(VLOOKUP(D1618,Stock,3,FALSE),"")</f>
        <v>Toyota Altis 00-06 E120/130 9th Gen</v>
      </c>
      <c r="F1618" s="822">
        <v>1.0</v>
      </c>
      <c r="G1618" s="756">
        <v>825000.0</v>
      </c>
      <c r="H1618" s="824">
        <f t="shared" si="11"/>
        <v>825000</v>
      </c>
      <c r="I1618" s="825"/>
      <c r="J1618" s="826"/>
      <c r="K1618" s="850" t="s">
        <v>9900</v>
      </c>
    </row>
    <row r="1619" ht="15.0" customHeight="1">
      <c r="A1619" s="834">
        <v>46109.0</v>
      </c>
      <c r="B1619" s="603" t="s">
        <v>10808</v>
      </c>
      <c r="C1619" s="822" t="s">
        <v>10139</v>
      </c>
      <c r="D1619" s="109" t="s">
        <v>9087</v>
      </c>
      <c r="E1619" s="594" t="str">
        <f>IFERROR(VLOOKUP(D1619,Stock,3,FALSE),"")</f>
        <v>Toyota Avanza / Xenia 03-11 1st Gen</v>
      </c>
      <c r="F1619" s="822">
        <v>20.0</v>
      </c>
      <c r="G1619" s="756">
        <v>63492.0</v>
      </c>
      <c r="H1619" s="824">
        <f t="shared" si="11"/>
        <v>1269840</v>
      </c>
      <c r="I1619" s="825"/>
      <c r="J1619" s="826"/>
      <c r="K1619" s="850" t="s">
        <v>9900</v>
      </c>
    </row>
    <row r="1620" ht="15.0" customHeight="1">
      <c r="A1620" s="834">
        <v>46109.0</v>
      </c>
      <c r="B1620" s="603" t="s">
        <v>10809</v>
      </c>
      <c r="C1620" s="822" t="s">
        <v>10139</v>
      </c>
      <c r="D1620" s="109" t="s">
        <v>9075</v>
      </c>
      <c r="E1620" s="594" t="str">
        <f>IFERROR(VLOOKUP(D1620,Stock,3,FALSE),"")</f>
        <v>Honda Freed 08-16 1st Gen</v>
      </c>
      <c r="F1620" s="822">
        <v>1.0</v>
      </c>
      <c r="G1620" s="756">
        <v>370000.0</v>
      </c>
      <c r="H1620" s="824">
        <f t="shared" si="11"/>
        <v>370000</v>
      </c>
      <c r="I1620" s="825"/>
      <c r="J1620" s="826"/>
      <c r="K1620" s="850" t="s">
        <v>9900</v>
      </c>
    </row>
    <row r="1621" ht="15.0" customHeight="1">
      <c r="A1621" s="834">
        <v>46111.0</v>
      </c>
      <c r="B1621" s="603" t="s">
        <v>10810</v>
      </c>
      <c r="C1621" s="822" t="s">
        <v>10139</v>
      </c>
      <c r="D1621" s="109" t="s">
        <v>2973</v>
      </c>
      <c r="E1621" s="594" t="str">
        <f>IFERROR(VLOOKUP(D1621,Stock,3,FALSE),"")</f>
        <v>Suzuki Carry New 19-</v>
      </c>
      <c r="F1621" s="822">
        <v>1.0</v>
      </c>
      <c r="G1621" s="756">
        <v>617000.0</v>
      </c>
      <c r="H1621" s="824">
        <f t="shared" si="11"/>
        <v>617000</v>
      </c>
      <c r="I1621" s="825"/>
      <c r="J1621" s="826"/>
      <c r="K1621" s="850" t="s">
        <v>9900</v>
      </c>
    </row>
    <row r="1622" ht="15.0" customHeight="1">
      <c r="A1622" s="834">
        <v>46111.0</v>
      </c>
      <c r="B1622" s="603" t="s">
        <v>10811</v>
      </c>
      <c r="C1622" s="822" t="s">
        <v>10139</v>
      </c>
      <c r="D1622" s="109" t="s">
        <v>2973</v>
      </c>
      <c r="E1622" s="594" t="str">
        <f>IFERROR(VLOOKUP(D1622,Stock,3,FALSE),"")</f>
        <v>Suzuki Carry New 19-</v>
      </c>
      <c r="F1622" s="822">
        <v>1.0</v>
      </c>
      <c r="G1622" s="756">
        <v>617000.0</v>
      </c>
      <c r="H1622" s="824">
        <f t="shared" si="11"/>
        <v>617000</v>
      </c>
      <c r="I1622" s="825"/>
      <c r="J1622" s="826"/>
      <c r="K1622" s="850" t="s">
        <v>9900</v>
      </c>
    </row>
    <row r="1623" ht="15.0" customHeight="1">
      <c r="A1623" s="834">
        <v>46111.0</v>
      </c>
      <c r="B1623" s="603">
        <v>2603782.0</v>
      </c>
      <c r="C1623" s="822" t="s">
        <v>10136</v>
      </c>
      <c r="D1623" s="109" t="s">
        <v>9079</v>
      </c>
      <c r="E1623" s="594" t="str">
        <f>IFERROR(VLOOKUP(D1623,Stock,3,FALSE),"")</f>
        <v>Mazda CX-5 17- 2nd Gen KF (2 Sensor/ □Δ )</v>
      </c>
      <c r="F1623" s="822">
        <v>1.0</v>
      </c>
      <c r="G1623" s="756">
        <v>2778050.0</v>
      </c>
      <c r="H1623" s="824">
        <f t="shared" si="11"/>
        <v>2778050</v>
      </c>
      <c r="I1623" s="825"/>
      <c r="J1623" s="826"/>
      <c r="K1623" s="850" t="s">
        <v>9900</v>
      </c>
    </row>
    <row r="1624" ht="15.0" customHeight="1">
      <c r="A1624" s="834">
        <v>46111.0</v>
      </c>
      <c r="B1624" s="603">
        <v>2603783.0</v>
      </c>
      <c r="C1624" s="822" t="s">
        <v>10136</v>
      </c>
      <c r="D1624" s="109" t="s">
        <v>9112</v>
      </c>
      <c r="E1624" s="594" t="str">
        <f>IFERROR(VLOOKUP(D1624,Stock,3,FALSE),"")</f>
        <v>Toyota Voxy 17-21 1st Gen (Hitam)</v>
      </c>
      <c r="F1624" s="822">
        <v>1.0</v>
      </c>
      <c r="G1624" s="756">
        <v>1521850.0</v>
      </c>
      <c r="H1624" s="824">
        <f t="shared" si="11"/>
        <v>1521850</v>
      </c>
      <c r="I1624" s="825"/>
      <c r="J1624" s="826"/>
      <c r="K1624" s="850" t="s">
        <v>9900</v>
      </c>
    </row>
    <row r="1625" ht="15.0" customHeight="1">
      <c r="A1625" s="834">
        <v>46111.0</v>
      </c>
      <c r="B1625" s="603">
        <v>2603783.0</v>
      </c>
      <c r="C1625" s="822" t="s">
        <v>10136</v>
      </c>
      <c r="D1625" s="109" t="s">
        <v>9119</v>
      </c>
      <c r="E1625" s="594" t="str">
        <f>IFERROR(VLOOKUP(D1625,Stock,3,FALSE),"")</f>
        <v>Toyota Altis 06-13 E140 10th Gen</v>
      </c>
      <c r="F1625" s="822">
        <v>1.0</v>
      </c>
      <c r="G1625" s="756">
        <v>310200.0</v>
      </c>
      <c r="H1625" s="824">
        <f t="shared" si="11"/>
        <v>310200</v>
      </c>
      <c r="I1625" s="825"/>
      <c r="J1625" s="826"/>
      <c r="K1625" s="850" t="s">
        <v>9900</v>
      </c>
    </row>
    <row r="1626" ht="15.0" customHeight="1">
      <c r="A1626" s="786">
        <v>46111.0</v>
      </c>
      <c r="B1626" s="787" t="s">
        <v>10812</v>
      </c>
      <c r="C1626" s="788" t="s">
        <v>24</v>
      </c>
      <c r="D1626" s="851" t="s">
        <v>10688</v>
      </c>
      <c r="E1626" s="790" t="str">
        <f>IFERROR(VLOOKUP(D1626,Stock,3,FALSE),"")</f>
        <v/>
      </c>
      <c r="F1626" s="788">
        <v>2.0</v>
      </c>
      <c r="G1626" s="860">
        <v>75000.0</v>
      </c>
      <c r="H1626" s="799">
        <f t="shared" si="11"/>
        <v>150000</v>
      </c>
      <c r="I1626" s="800"/>
      <c r="J1626" s="812"/>
      <c r="K1626" s="848" t="s">
        <v>3191</v>
      </c>
      <c r="L1626" s="806" t="s">
        <v>10137</v>
      </c>
      <c r="M1626" s="806" t="s">
        <v>2763</v>
      </c>
      <c r="N1626" s="837">
        <v>46112.0</v>
      </c>
      <c r="O1626" s="803"/>
    </row>
    <row r="1627" ht="15.0" customHeight="1">
      <c r="A1627" s="906">
        <v>46111.0</v>
      </c>
      <c r="B1627" s="907" t="s">
        <v>10813</v>
      </c>
      <c r="C1627" s="908" t="s">
        <v>2643</v>
      </c>
      <c r="D1627" s="909" t="s">
        <v>3354</v>
      </c>
      <c r="E1627" s="910" t="str">
        <f>IFERROR(VLOOKUP(D1627,Stock,3,FALSE),"")</f>
        <v>Honda Brio 10- / Mobilio 11- (Honda)</v>
      </c>
      <c r="F1627" s="908">
        <v>5.0</v>
      </c>
      <c r="G1627" s="911">
        <v>717948.0</v>
      </c>
      <c r="H1627" s="912">
        <f t="shared" si="11"/>
        <v>3589740</v>
      </c>
      <c r="I1627" s="913"/>
      <c r="J1627" s="914"/>
      <c r="K1627" s="915" t="s">
        <v>9900</v>
      </c>
      <c r="L1627" s="916" t="s">
        <v>10137</v>
      </c>
      <c r="M1627" s="917"/>
      <c r="N1627" s="917"/>
      <c r="O1627" s="917"/>
    </row>
    <row r="1628" ht="15.0" customHeight="1">
      <c r="A1628" s="906">
        <v>46111.0</v>
      </c>
      <c r="B1628" s="907" t="s">
        <v>10814</v>
      </c>
      <c r="C1628" s="908" t="s">
        <v>2643</v>
      </c>
      <c r="D1628" s="909" t="s">
        <v>4226</v>
      </c>
      <c r="E1628" s="910" t="str">
        <f>IFERROR(VLOOKUP(D1628,Stock,3,FALSE),"")</f>
        <v>Honda HR-V 14-21 5D SUV (Honda)</v>
      </c>
      <c r="F1628" s="908">
        <v>1.0</v>
      </c>
      <c r="G1628" s="911">
        <v>1992672.0</v>
      </c>
      <c r="H1628" s="912">
        <f t="shared" si="11"/>
        <v>1992672</v>
      </c>
      <c r="I1628" s="913"/>
      <c r="J1628" s="914"/>
      <c r="K1628" s="915" t="s">
        <v>9900</v>
      </c>
      <c r="L1628" s="916" t="s">
        <v>10137</v>
      </c>
      <c r="M1628" s="917"/>
      <c r="N1628" s="917"/>
      <c r="O1628" s="917"/>
    </row>
    <row r="1629" ht="15.0" customHeight="1">
      <c r="A1629" s="906">
        <v>46111.0</v>
      </c>
      <c r="B1629" s="907" t="s">
        <v>10814</v>
      </c>
      <c r="C1629" s="908" t="s">
        <v>2643</v>
      </c>
      <c r="D1629" s="909" t="s">
        <v>6654</v>
      </c>
      <c r="E1629" s="910" t="str">
        <f>IFERROR(VLOOKUP(D1629,Stock,3,FALSE),"")</f>
        <v>Honda CR-V 12-16  4th Gen (Honda)</v>
      </c>
      <c r="F1629" s="908">
        <v>1.0</v>
      </c>
      <c r="G1629" s="911">
        <v>2378508.0</v>
      </c>
      <c r="H1629" s="912">
        <f t="shared" si="11"/>
        <v>2378508</v>
      </c>
      <c r="I1629" s="913"/>
      <c r="J1629" s="914"/>
      <c r="K1629" s="915" t="s">
        <v>9900</v>
      </c>
      <c r="L1629" s="916" t="s">
        <v>10137</v>
      </c>
      <c r="M1629" s="917"/>
      <c r="N1629" s="917"/>
      <c r="O1629" s="917"/>
    </row>
    <row r="1630" ht="15.0" customHeight="1">
      <c r="A1630" s="834">
        <v>46112.0</v>
      </c>
      <c r="B1630" s="603">
        <v>2603847.0</v>
      </c>
      <c r="C1630" s="822" t="s">
        <v>10136</v>
      </c>
      <c r="D1630" s="109" t="s">
        <v>6609</v>
      </c>
      <c r="E1630" s="594" t="str">
        <f>IFERROR(VLOOKUP(D1630,Stock,3,FALSE),"")</f>
        <v>Suzuki APV 03- Van</v>
      </c>
      <c r="F1630" s="822">
        <v>1.0</v>
      </c>
      <c r="G1630" s="756">
        <v>283250.0</v>
      </c>
      <c r="H1630" s="824">
        <f t="shared" si="11"/>
        <v>283250</v>
      </c>
      <c r="I1630" s="825"/>
      <c r="J1630" s="826"/>
      <c r="K1630" s="850" t="s">
        <v>9900</v>
      </c>
    </row>
    <row r="1631" ht="15.0" customHeight="1">
      <c r="A1631" s="834">
        <v>46113.0</v>
      </c>
      <c r="B1631" s="603">
        <v>2604022.0</v>
      </c>
      <c r="C1631" s="822" t="s">
        <v>10136</v>
      </c>
      <c r="D1631" s="109" t="s">
        <v>6511</v>
      </c>
      <c r="E1631" s="594" t="str">
        <f>IFERROR(VLOOKUP(D1631,Stock,3,FALSE),"")</f>
        <v>Mazda 2 09-14 3rd Gen</v>
      </c>
      <c r="F1631" s="822">
        <v>1.0</v>
      </c>
      <c r="G1631" s="756">
        <v>879450.0</v>
      </c>
      <c r="H1631" s="824">
        <f t="shared" si="11"/>
        <v>879450</v>
      </c>
      <c r="I1631" s="825"/>
      <c r="J1631" s="826"/>
      <c r="K1631" s="850" t="s">
        <v>8388</v>
      </c>
    </row>
    <row r="1632" ht="15.0" customHeight="1">
      <c r="A1632" s="834">
        <v>46113.0</v>
      </c>
      <c r="B1632" s="603">
        <v>2604022.0</v>
      </c>
      <c r="C1632" s="822" t="s">
        <v>10136</v>
      </c>
      <c r="D1632" s="109" t="s">
        <v>5526</v>
      </c>
      <c r="E1632" s="594" t="str">
        <f>IFERROR(VLOOKUP(D1632,Stock,3,FALSE),"")</f>
        <v>Toyota Fortuner 05-15 1st Gen (Hitam)</v>
      </c>
      <c r="F1632" s="822">
        <v>1.0</v>
      </c>
      <c r="G1632" s="756">
        <v>1072500.0</v>
      </c>
      <c r="H1632" s="824">
        <f t="shared" si="11"/>
        <v>1072500</v>
      </c>
      <c r="I1632" s="825"/>
      <c r="J1632" s="826"/>
      <c r="K1632" s="850" t="s">
        <v>8388</v>
      </c>
    </row>
    <row r="1633" ht="15.0" customHeight="1">
      <c r="A1633" s="834">
        <v>46113.0</v>
      </c>
      <c r="B1633" s="603" t="s">
        <v>10815</v>
      </c>
      <c r="C1633" s="109" t="s">
        <v>10139</v>
      </c>
      <c r="D1633" s="919" t="s">
        <v>9159</v>
      </c>
      <c r="E1633" s="594" t="str">
        <f>IFERROR(VLOOKUP(D1633,Stock,3,FALSE),"")</f>
        <v>Kia Sportage 04-10 JE/KM</v>
      </c>
      <c r="F1633" s="822">
        <v>1.0</v>
      </c>
      <c r="G1633" s="756">
        <v>1900000.0</v>
      </c>
      <c r="H1633" s="824">
        <f t="shared" si="11"/>
        <v>1900000</v>
      </c>
      <c r="I1633" s="825"/>
      <c r="J1633" s="826"/>
      <c r="K1633" s="850" t="s">
        <v>10017</v>
      </c>
    </row>
    <row r="1634" ht="15.0" customHeight="1">
      <c r="A1634" s="834">
        <v>46113.0</v>
      </c>
      <c r="B1634" s="603" t="s">
        <v>10815</v>
      </c>
      <c r="C1634" s="822" t="s">
        <v>10139</v>
      </c>
      <c r="D1634" s="109" t="s">
        <v>3605</v>
      </c>
      <c r="E1634" s="594" t="str">
        <f>IFERROR(VLOOKUP(D1634,Stock,3,FALSE),"")</f>
        <v>Isuzu Elf  93- NKR NHR </v>
      </c>
      <c r="F1634" s="822">
        <v>1.0</v>
      </c>
      <c r="G1634" s="756">
        <v>365000.0</v>
      </c>
      <c r="H1634" s="824">
        <f t="shared" si="11"/>
        <v>365000</v>
      </c>
      <c r="I1634" s="825"/>
      <c r="J1634" s="826"/>
      <c r="K1634" s="850" t="s">
        <v>10017</v>
      </c>
    </row>
    <row r="1635" ht="15.0" customHeight="1">
      <c r="A1635" s="834">
        <v>46113.0</v>
      </c>
      <c r="B1635" s="603">
        <v>2604065.0</v>
      </c>
      <c r="C1635" s="822" t="s">
        <v>10136</v>
      </c>
      <c r="D1635" s="109" t="s">
        <v>9203</v>
      </c>
      <c r="E1635" s="594" t="str">
        <f>IFERROR(VLOOKUP(D1635,Stock,3,FALSE),"")</f>
        <v>Daihatsu Sirion 11-18 2nd Gen</v>
      </c>
      <c r="F1635" s="822">
        <v>1.0</v>
      </c>
      <c r="G1635" s="756">
        <v>455950.0</v>
      </c>
      <c r="H1635" s="824">
        <f t="shared" si="11"/>
        <v>455950</v>
      </c>
      <c r="I1635" s="825"/>
      <c r="J1635" s="826"/>
      <c r="K1635" s="850" t="s">
        <v>10017</v>
      </c>
    </row>
    <row r="1636" ht="15.0" customHeight="1">
      <c r="A1636" s="834">
        <v>46113.0</v>
      </c>
      <c r="B1636" s="603">
        <v>2604059.0</v>
      </c>
      <c r="C1636" s="822" t="s">
        <v>10136</v>
      </c>
      <c r="D1636" s="109" t="s">
        <v>9199</v>
      </c>
      <c r="E1636" s="594" t="str">
        <f>IFERROR(VLOOKUP(D1636,Stock,3,FALSE),"")</f>
        <v>Kia Picanto 04-11 1st Gen</v>
      </c>
      <c r="F1636" s="822">
        <v>1.0</v>
      </c>
      <c r="G1636" s="756">
        <v>398750.0</v>
      </c>
      <c r="H1636" s="824">
        <f t="shared" si="11"/>
        <v>398750</v>
      </c>
      <c r="I1636" s="825"/>
      <c r="J1636" s="826"/>
      <c r="K1636" s="850" t="s">
        <v>10017</v>
      </c>
    </row>
    <row r="1637" ht="15.0" customHeight="1">
      <c r="A1637" s="834">
        <v>46113.0</v>
      </c>
      <c r="B1637" s="603"/>
      <c r="C1637" s="822" t="s">
        <v>10148</v>
      </c>
      <c r="D1637" s="548" t="s">
        <v>8063</v>
      </c>
      <c r="E1637" s="594" t="str">
        <f>IFERROR(VLOOKUP(D1637,Stock,3,FALSE),"")</f>
        <v>Toyota Fortuner 05-15 1st Gen (Hitam)</v>
      </c>
      <c r="F1637" s="822">
        <v>1.0</v>
      </c>
      <c r="G1637" s="756"/>
      <c r="H1637" s="824">
        <f t="shared" si="11"/>
        <v>0</v>
      </c>
      <c r="I1637" s="825"/>
      <c r="J1637" s="826"/>
      <c r="K1637" s="850" t="s">
        <v>10017</v>
      </c>
    </row>
    <row r="1638" ht="15.0" customHeight="1">
      <c r="A1638" s="834">
        <v>46114.0</v>
      </c>
      <c r="B1638" s="603" t="s">
        <v>10816</v>
      </c>
      <c r="C1638" s="822" t="s">
        <v>10156</v>
      </c>
      <c r="D1638" s="109" t="s">
        <v>10817</v>
      </c>
      <c r="E1638" s="594" t="str">
        <f>IFERROR(VLOOKUP(D1638,Stock,3,FALSE),"")</f>
        <v>Chevrolet TrailBlazer 13- / Isuzu MUX 13-19</v>
      </c>
      <c r="F1638" s="822">
        <v>1.0</v>
      </c>
      <c r="G1638" s="756"/>
      <c r="H1638" s="824">
        <f t="shared" si="11"/>
        <v>0</v>
      </c>
      <c r="I1638" s="825"/>
      <c r="J1638" s="826"/>
      <c r="K1638" s="827"/>
    </row>
    <row r="1639" ht="15.0" customHeight="1">
      <c r="A1639" s="834">
        <v>46114.0</v>
      </c>
      <c r="B1639" s="603">
        <v>2604077.0</v>
      </c>
      <c r="C1639" s="109" t="s">
        <v>10136</v>
      </c>
      <c r="D1639" s="108" t="s">
        <v>6573</v>
      </c>
      <c r="E1639" s="594" t="str">
        <f>IFERROR(VLOOKUP(D1639,Stock,3,FALSE),"")</f>
        <v>Mazda 6 18-23 GJ/GL 3rd Gen (2 Sensor / [] /=\ )</v>
      </c>
      <c r="F1639" s="822">
        <v>1.0</v>
      </c>
      <c r="G1639" s="756">
        <v>2311100.0</v>
      </c>
      <c r="H1639" s="824">
        <f t="shared" si="11"/>
        <v>2311100</v>
      </c>
      <c r="I1639" s="825"/>
      <c r="J1639" s="826"/>
      <c r="K1639" s="850" t="s">
        <v>9828</v>
      </c>
    </row>
    <row r="1640" ht="15.0" customHeight="1">
      <c r="A1640" s="834">
        <v>46114.0</v>
      </c>
      <c r="B1640" s="603">
        <v>2604077.0</v>
      </c>
      <c r="C1640" s="109" t="s">
        <v>10136</v>
      </c>
      <c r="D1640" s="919" t="s">
        <v>6308</v>
      </c>
      <c r="E1640" s="594" t="str">
        <f>IFERROR(VLOOKUP(D1640,Stock,3,FALSE),"")</f>
        <v>Ford Fiesta 09-17 (Sensor Bulat)</v>
      </c>
      <c r="F1640" s="822">
        <v>1.0</v>
      </c>
      <c r="G1640" s="756">
        <v>1386550.0</v>
      </c>
      <c r="H1640" s="824">
        <f t="shared" si="11"/>
        <v>1386550</v>
      </c>
      <c r="I1640" s="825"/>
      <c r="J1640" s="826"/>
      <c r="K1640" s="850" t="s">
        <v>9828</v>
      </c>
    </row>
    <row r="1641" ht="15.0" customHeight="1">
      <c r="A1641" s="834">
        <v>46114.0</v>
      </c>
      <c r="B1641" s="603">
        <v>2604077.0</v>
      </c>
      <c r="C1641" s="109" t="s">
        <v>10136</v>
      </c>
      <c r="D1641" s="919" t="s">
        <v>3225</v>
      </c>
      <c r="E1641" s="594" t="str">
        <f>IFERROR(VLOOKUP(D1641,Stock,3,FALSE),"")</f>
        <v>Toyota Rush / Terios 18-</v>
      </c>
      <c r="F1641" s="822">
        <v>1.0</v>
      </c>
      <c r="G1641" s="756">
        <v>528000.0</v>
      </c>
      <c r="H1641" s="824">
        <f t="shared" si="11"/>
        <v>528000</v>
      </c>
      <c r="I1641" s="825"/>
      <c r="J1641" s="826"/>
      <c r="K1641" s="850" t="s">
        <v>9828</v>
      </c>
    </row>
    <row r="1642" ht="15.0" customHeight="1">
      <c r="A1642" s="834">
        <v>46114.0</v>
      </c>
      <c r="B1642" s="603">
        <v>2604077.0</v>
      </c>
      <c r="C1642" s="109" t="s">
        <v>10136</v>
      </c>
      <c r="D1642" s="921" t="s">
        <v>2756</v>
      </c>
      <c r="E1642" s="594" t="str">
        <f>IFERROR(VLOOKUP(D1642,Stock,3,FALSE),"")</f>
        <v>Wuling Almaz (Sensor)</v>
      </c>
      <c r="F1642" s="822">
        <v>1.0</v>
      </c>
      <c r="G1642" s="756">
        <v>1485000.0</v>
      </c>
      <c r="H1642" s="824">
        <f t="shared" si="11"/>
        <v>1485000</v>
      </c>
      <c r="I1642" s="825"/>
      <c r="J1642" s="826"/>
      <c r="K1642" s="850" t="s">
        <v>9828</v>
      </c>
    </row>
    <row r="1643" ht="15.0" customHeight="1">
      <c r="A1643" s="834">
        <v>46114.0</v>
      </c>
      <c r="B1643" s="603">
        <v>2604077.0</v>
      </c>
      <c r="C1643" s="109" t="s">
        <v>10136</v>
      </c>
      <c r="D1643" s="109" t="s">
        <v>9230</v>
      </c>
      <c r="E1643" s="594" t="str">
        <f>IFERROR(VLOOKUP(D1643,Stock,3,FALSE),"")</f>
        <v>Toyota Alphard 18- ANH30 3rd Gen (with Camera)</v>
      </c>
      <c r="F1643" s="822">
        <v>1.0</v>
      </c>
      <c r="G1643" s="756">
        <v>1618650.0</v>
      </c>
      <c r="H1643" s="824">
        <f t="shared" si="11"/>
        <v>1618650</v>
      </c>
      <c r="I1643" s="825"/>
      <c r="J1643" s="826"/>
      <c r="K1643" s="827"/>
    </row>
    <row r="1644" ht="15.0" customHeight="1">
      <c r="A1644" s="834">
        <v>46118.0</v>
      </c>
      <c r="B1644" s="922" t="s">
        <v>10818</v>
      </c>
      <c r="C1644" s="822"/>
      <c r="D1644" s="899" t="s">
        <v>3891</v>
      </c>
      <c r="E1644" s="594" t="str">
        <f>IFERROR(VLOOKUP(D1644,Stock,3,FALSE),"")</f>
        <v>Toyota Rush / Terios 06-17</v>
      </c>
      <c r="F1644" s="822">
        <v>1.0</v>
      </c>
      <c r="G1644" s="756"/>
      <c r="H1644" s="824">
        <f t="shared" si="11"/>
        <v>0</v>
      </c>
      <c r="I1644" s="825"/>
      <c r="J1644" s="826"/>
      <c r="K1644" s="850" t="s">
        <v>8219</v>
      </c>
    </row>
    <row r="1645" ht="15.0" customHeight="1">
      <c r="A1645" s="834">
        <v>46118.0</v>
      </c>
      <c r="B1645" s="603" t="s">
        <v>10819</v>
      </c>
      <c r="C1645" s="822" t="s">
        <v>10139</v>
      </c>
      <c r="D1645" s="109" t="s">
        <v>3246</v>
      </c>
      <c r="E1645" s="594" t="str">
        <f>IFERROR(VLOOKUP(D1645,Stock,3,FALSE),"")</f>
        <v>Toyota Calya / Sigra 16-</v>
      </c>
      <c r="F1645" s="822">
        <v>10.0</v>
      </c>
      <c r="G1645" s="756">
        <v>449328.0</v>
      </c>
      <c r="H1645" s="824">
        <f t="shared" si="11"/>
        <v>4493280</v>
      </c>
      <c r="I1645" s="825"/>
      <c r="J1645" s="826"/>
      <c r="K1645" s="850" t="s">
        <v>9900</v>
      </c>
    </row>
    <row r="1646" ht="15.0" customHeight="1">
      <c r="A1646" s="834">
        <v>46116.0</v>
      </c>
      <c r="B1646" s="603">
        <v>2604159.0</v>
      </c>
      <c r="C1646" s="822" t="s">
        <v>10136</v>
      </c>
      <c r="D1646" s="109" t="s">
        <v>9267</v>
      </c>
      <c r="E1646" s="594" t="str">
        <f>IFERROR(VLOOKUP(D1646,Stock,3,FALSE),"")</f>
        <v>Toyota Alphard 15-17 ANH30 3rd Gen (Sensor atas keramik)</v>
      </c>
      <c r="F1646" s="822">
        <v>1.0</v>
      </c>
      <c r="G1646" s="756">
        <v>1797400.0</v>
      </c>
      <c r="H1646" s="824">
        <f t="shared" si="11"/>
        <v>1797400</v>
      </c>
      <c r="I1646" s="825"/>
      <c r="J1646" s="826"/>
      <c r="K1646" s="850" t="s">
        <v>8283</v>
      </c>
    </row>
    <row r="1647" ht="15.0" customHeight="1">
      <c r="A1647" s="834">
        <v>46116.0</v>
      </c>
      <c r="B1647" s="603">
        <v>2604159.0</v>
      </c>
      <c r="C1647" s="822" t="s">
        <v>10136</v>
      </c>
      <c r="D1647" s="109" t="s">
        <v>9286</v>
      </c>
      <c r="E1647" s="594" t="str">
        <f>IFERROR(VLOOKUP(D1647,Stock,3,FALSE),"")</f>
        <v>Honda Civic 00-05 VTIS S5A 7th Gen (Venturi)</v>
      </c>
      <c r="F1647" s="822">
        <v>1.0</v>
      </c>
      <c r="G1647" s="756">
        <v>1164900.0</v>
      </c>
      <c r="H1647" s="824">
        <f t="shared" si="11"/>
        <v>1164900</v>
      </c>
      <c r="I1647" s="825"/>
      <c r="J1647" s="826"/>
      <c r="K1647" s="850" t="s">
        <v>8219</v>
      </c>
    </row>
    <row r="1648" ht="15.0" customHeight="1">
      <c r="A1648" s="834">
        <v>46116.0</v>
      </c>
      <c r="B1648" s="603">
        <v>2604159.0</v>
      </c>
      <c r="C1648" s="822" t="s">
        <v>10136</v>
      </c>
      <c r="D1648" s="109" t="s">
        <v>9259</v>
      </c>
      <c r="E1648" s="594" t="str">
        <f>IFERROR(VLOOKUP(D1648,Stock,3,FALSE),"")</f>
        <v>Chevrolet Spark 16- M400 4th Gen</v>
      </c>
      <c r="F1648" s="822">
        <v>1.0</v>
      </c>
      <c r="G1648" s="756">
        <v>872850.0</v>
      </c>
      <c r="H1648" s="824">
        <f t="shared" si="11"/>
        <v>872850</v>
      </c>
      <c r="I1648" s="825"/>
      <c r="J1648" s="826"/>
      <c r="K1648" s="850" t="s">
        <v>8219</v>
      </c>
    </row>
    <row r="1649" ht="15.0" customHeight="1">
      <c r="A1649" s="834">
        <v>46116.0</v>
      </c>
      <c r="B1649" s="603">
        <v>2604159.0</v>
      </c>
      <c r="C1649" s="822" t="s">
        <v>10136</v>
      </c>
      <c r="D1649" s="109" t="s">
        <v>9390</v>
      </c>
      <c r="E1649" s="594" t="str">
        <f>IFERROR(VLOOKUP(D1649,Stock,3,FALSE),"")</f>
        <v>Hyundai Santa Fe 18-23 (thn 21-23) (2 Sensor / /\ O)</v>
      </c>
      <c r="F1649" s="822">
        <v>1.0</v>
      </c>
      <c r="G1649" s="756">
        <v>1925000.0</v>
      </c>
      <c r="H1649" s="824">
        <f t="shared" si="11"/>
        <v>1925000</v>
      </c>
      <c r="I1649" s="825"/>
      <c r="J1649" s="826"/>
      <c r="K1649" s="850" t="s">
        <v>8219</v>
      </c>
    </row>
    <row r="1650" ht="15.0" customHeight="1">
      <c r="A1650" s="834">
        <v>46116.0</v>
      </c>
      <c r="B1650" s="603">
        <v>2604266.0</v>
      </c>
      <c r="C1650" s="822" t="s">
        <v>10136</v>
      </c>
      <c r="D1650" s="109" t="s">
        <v>7265</v>
      </c>
      <c r="E1650" s="594" t="str">
        <f>IFERROR(VLOOKUP(D1650,Stock,3,FALSE),"")</f>
        <v>Hino Ranger Louhan 03- / Hino 500</v>
      </c>
      <c r="F1650" s="822">
        <v>1.0</v>
      </c>
      <c r="G1650" s="756">
        <v>864050.0</v>
      </c>
      <c r="H1650" s="824">
        <f t="shared" si="11"/>
        <v>864050</v>
      </c>
      <c r="I1650" s="825"/>
      <c r="J1650" s="826"/>
      <c r="K1650" s="850" t="s">
        <v>8219</v>
      </c>
    </row>
    <row r="1651" ht="15.0" customHeight="1">
      <c r="A1651" s="834">
        <v>46119.0</v>
      </c>
      <c r="B1651" s="603">
        <v>2604260.0</v>
      </c>
      <c r="C1651" s="822" t="s">
        <v>10136</v>
      </c>
      <c r="D1651" s="109" t="s">
        <v>5052</v>
      </c>
      <c r="E1651" s="594" t="str">
        <f>IFERROR(VLOOKUP(D1651,Stock,3,FALSE),"")</f>
        <v>Suzuki Baleno 08-15 SX4 / Neo Baleno</v>
      </c>
      <c r="F1651" s="822">
        <v>1.0</v>
      </c>
      <c r="G1651" s="756">
        <v>679800.0</v>
      </c>
      <c r="H1651" s="824">
        <f t="shared" si="11"/>
        <v>679800</v>
      </c>
      <c r="I1651" s="825"/>
      <c r="J1651" s="826"/>
      <c r="K1651" s="850" t="s">
        <v>8232</v>
      </c>
    </row>
    <row r="1652" ht="15.0" customHeight="1">
      <c r="A1652" s="834">
        <v>46119.0</v>
      </c>
      <c r="B1652" s="603">
        <v>2604260.0</v>
      </c>
      <c r="C1652" s="822" t="s">
        <v>10136</v>
      </c>
      <c r="D1652" s="109" t="s">
        <v>9392</v>
      </c>
      <c r="E1652" s="594" t="str">
        <f>IFERROR(VLOOKUP(D1652,Stock,3,FALSE),"")</f>
        <v>Mers-Benz C-Class 14 - W205 (3 Sensor/ Δ□Δ)</v>
      </c>
      <c r="F1652" s="822">
        <v>1.0</v>
      </c>
      <c r="G1652" s="756">
        <v>2125750.0</v>
      </c>
      <c r="H1652" s="824">
        <f t="shared" si="11"/>
        <v>2125750</v>
      </c>
      <c r="I1652" s="825"/>
      <c r="J1652" s="826"/>
      <c r="K1652" s="850" t="s">
        <v>8232</v>
      </c>
    </row>
    <row r="1653" ht="15.0" customHeight="1">
      <c r="A1653" s="834">
        <v>46119.0</v>
      </c>
      <c r="B1653" s="603" t="s">
        <v>10820</v>
      </c>
      <c r="C1653" s="822" t="s">
        <v>10139</v>
      </c>
      <c r="D1653" s="109" t="s">
        <v>9353</v>
      </c>
      <c r="E1653" s="594" t="str">
        <f>IFERROR(VLOOKUP(D1653,Stock,3,FALSE),"")</f>
        <v>Toyota Dyna/Hino Dutro 00-</v>
      </c>
      <c r="F1653" s="822">
        <v>1.0</v>
      </c>
      <c r="G1653" s="756">
        <v>236250.0</v>
      </c>
      <c r="H1653" s="824">
        <f t="shared" si="11"/>
        <v>236250</v>
      </c>
      <c r="I1653" s="825"/>
      <c r="J1653" s="826"/>
      <c r="K1653" s="827"/>
    </row>
    <row r="1654" ht="15.0" customHeight="1">
      <c r="A1654" s="834">
        <v>46118.0</v>
      </c>
      <c r="B1654" s="603"/>
      <c r="C1654" s="822" t="s">
        <v>10136</v>
      </c>
      <c r="D1654" s="109" t="s">
        <v>9326</v>
      </c>
      <c r="E1654" s="594" t="str">
        <f>IFERROR(VLOOKUP(D1654,Stock,3,FALSE),"")</f>
        <v>Toyota Camry 02-06 ACV30 3rd Gen</v>
      </c>
      <c r="F1654" s="822">
        <v>1.0</v>
      </c>
      <c r="G1654" s="756"/>
      <c r="H1654" s="824">
        <f t="shared" si="11"/>
        <v>0</v>
      </c>
      <c r="I1654" s="825"/>
      <c r="J1654" s="826"/>
      <c r="K1654" s="827"/>
    </row>
    <row r="1655" ht="15.0" customHeight="1">
      <c r="A1655" s="834">
        <v>46118.0</v>
      </c>
      <c r="B1655" s="603"/>
      <c r="C1655" s="822" t="s">
        <v>10136</v>
      </c>
      <c r="D1655" s="109" t="s">
        <v>5125</v>
      </c>
      <c r="E1655" s="594" t="str">
        <f>IFERROR(VLOOKUP(D1655,Stock,3,FALSE),"")</f>
        <v>Chevrolet Spin 12-</v>
      </c>
      <c r="F1655" s="822">
        <v>1.0</v>
      </c>
      <c r="G1655" s="756"/>
      <c r="H1655" s="824">
        <f t="shared" si="11"/>
        <v>0</v>
      </c>
      <c r="I1655" s="825"/>
      <c r="J1655" s="826"/>
      <c r="K1655" s="827"/>
    </row>
    <row r="1656" ht="15.0" customHeight="1">
      <c r="A1656" s="834">
        <v>46118.0</v>
      </c>
      <c r="B1656" s="603"/>
      <c r="C1656" s="822" t="s">
        <v>10136</v>
      </c>
      <c r="D1656" s="109" t="s">
        <v>9332</v>
      </c>
      <c r="E1656" s="594" t="str">
        <f>IFERROR(VLOOKUP(D1656,Stock,3,FALSE),"")</f>
        <v>Mers-Benz GLE-Class SUV 13- W166 (2 Sensor / □Δ)</v>
      </c>
      <c r="F1656" s="822">
        <v>1.0</v>
      </c>
      <c r="G1656" s="756"/>
      <c r="H1656" s="824">
        <f t="shared" si="11"/>
        <v>0</v>
      </c>
      <c r="I1656" s="825"/>
      <c r="J1656" s="826"/>
      <c r="K1656" s="827"/>
    </row>
    <row r="1657" ht="15.0" customHeight="1">
      <c r="A1657" s="834">
        <v>46119.0</v>
      </c>
      <c r="B1657" s="603" t="s">
        <v>10821</v>
      </c>
      <c r="C1657" s="822" t="s">
        <v>24</v>
      </c>
      <c r="D1657" s="109" t="s">
        <v>10822</v>
      </c>
      <c r="E1657" s="594" t="str">
        <f>IFERROR(VLOOKUP(D1657,Stock,3,FALSE),"")</f>
        <v/>
      </c>
      <c r="F1657" s="822">
        <v>100.0</v>
      </c>
      <c r="G1657" s="756">
        <v>58000.0</v>
      </c>
      <c r="H1657" s="824">
        <f t="shared" si="11"/>
        <v>5800000</v>
      </c>
      <c r="I1657" s="825"/>
      <c r="J1657" s="826"/>
      <c r="K1657" s="827"/>
    </row>
    <row r="1658" ht="15.0" customHeight="1">
      <c r="A1658" s="834">
        <v>46119.0</v>
      </c>
      <c r="B1658" s="603" t="s">
        <v>10821</v>
      </c>
      <c r="C1658" s="822" t="s">
        <v>24</v>
      </c>
      <c r="D1658" s="109" t="s">
        <v>10823</v>
      </c>
      <c r="E1658" s="594" t="str">
        <f>IFERROR(VLOOKUP(D1658,Stock,3,FALSE),"")</f>
        <v/>
      </c>
      <c r="F1658" s="822">
        <v>2.0</v>
      </c>
      <c r="G1658" s="756">
        <v>135000.0</v>
      </c>
      <c r="H1658" s="824">
        <f t="shared" si="11"/>
        <v>270000</v>
      </c>
      <c r="I1658" s="825"/>
      <c r="J1658" s="826"/>
      <c r="K1658" s="827"/>
    </row>
    <row r="1659" ht="15.0" customHeight="1">
      <c r="A1659" s="834">
        <v>46121.0</v>
      </c>
      <c r="B1659" s="603"/>
      <c r="C1659" s="822"/>
      <c r="D1659" s="109" t="s">
        <v>2973</v>
      </c>
      <c r="E1659" s="594" t="str">
        <f>IFERROR(VLOOKUP(D1659,Stock,3,FALSE),"")</f>
        <v>Suzuki Carry New 19-</v>
      </c>
      <c r="F1659" s="822">
        <v>10.0</v>
      </c>
      <c r="G1659" s="756"/>
      <c r="H1659" s="824">
        <f t="shared" si="11"/>
        <v>0</v>
      </c>
      <c r="I1659" s="825"/>
      <c r="J1659" s="826"/>
      <c r="K1659" s="827"/>
    </row>
    <row r="1660" ht="15.0" customHeight="1">
      <c r="A1660" s="834">
        <v>46121.0</v>
      </c>
      <c r="B1660" s="603" t="s">
        <v>10824</v>
      </c>
      <c r="C1660" s="822" t="s">
        <v>10300</v>
      </c>
      <c r="D1660" s="109" t="s">
        <v>4439</v>
      </c>
      <c r="E1660" s="594" t="str">
        <f>IFERROR(VLOOKUP(D1660,Stock,3,FALSE),"")</f>
        <v>Toyota Innova 04-15 1st Gen (Toyota)</v>
      </c>
      <c r="F1660" s="822">
        <v>2.0</v>
      </c>
      <c r="G1660" s="756">
        <v>1711200.0</v>
      </c>
      <c r="H1660" s="824">
        <f t="shared" si="11"/>
        <v>3422400</v>
      </c>
      <c r="I1660" s="825"/>
      <c r="J1660" s="826"/>
      <c r="K1660" s="827"/>
    </row>
    <row r="1661" ht="15.0" customHeight="1">
      <c r="A1661" s="834">
        <v>46121.0</v>
      </c>
      <c r="B1661" s="603" t="s">
        <v>10824</v>
      </c>
      <c r="C1661" s="822" t="s">
        <v>10300</v>
      </c>
      <c r="D1661" s="109" t="s">
        <v>5800</v>
      </c>
      <c r="E1661" s="594" t="str">
        <f>IFERROR(VLOOKUP(D1661,Stock,3,FALSE),"")</f>
        <v>Toyota Fortuner 15-  2nd Gen (Toyota)</v>
      </c>
      <c r="F1661" s="822">
        <v>3.0</v>
      </c>
      <c r="G1661" s="756">
        <v>829840.0</v>
      </c>
      <c r="H1661" s="824">
        <f t="shared" si="11"/>
        <v>2489520</v>
      </c>
      <c r="I1661" s="825"/>
      <c r="J1661" s="826"/>
      <c r="K1661" s="827"/>
    </row>
    <row r="1662" ht="15.0" customHeight="1">
      <c r="A1662" s="834">
        <v>46121.0</v>
      </c>
      <c r="B1662" s="603" t="s">
        <v>10824</v>
      </c>
      <c r="C1662" s="822" t="s">
        <v>10300</v>
      </c>
      <c r="D1662" s="109" t="s">
        <v>7301</v>
      </c>
      <c r="E1662" s="594" t="str">
        <f>IFERROR(VLOOKUP(D1662,Stock,3,FALSE),"")</f>
        <v>Toyota Avanza / Xenia 21- 4th Gen (Toyota/Daihatsu)</v>
      </c>
      <c r="F1662" s="822">
        <v>2.0</v>
      </c>
      <c r="G1662" s="756">
        <v>303600.0</v>
      </c>
      <c r="H1662" s="824">
        <f t="shared" si="11"/>
        <v>607200</v>
      </c>
      <c r="I1662" s="825"/>
      <c r="J1662" s="826"/>
      <c r="K1662" s="827"/>
    </row>
    <row r="1663" ht="15.0" customHeight="1">
      <c r="A1663" s="834">
        <v>46121.0</v>
      </c>
      <c r="B1663" s="603" t="s">
        <v>10824</v>
      </c>
      <c r="C1663" s="822" t="s">
        <v>10300</v>
      </c>
      <c r="D1663" s="109" t="s">
        <v>8903</v>
      </c>
      <c r="E1663" s="594" t="str">
        <f>IFERROR(VLOOKUP(D1663,Stock,3,FALSE),"")</f>
        <v>Toyota Avanza / Xenia 21- 4th Gen (Toyota/Daihatsu)</v>
      </c>
      <c r="F1663" s="822">
        <v>1.0</v>
      </c>
      <c r="G1663" s="756">
        <v>547400.0</v>
      </c>
      <c r="H1663" s="824">
        <f t="shared" si="11"/>
        <v>547400</v>
      </c>
      <c r="I1663" s="825"/>
      <c r="J1663" s="826"/>
      <c r="K1663" s="827"/>
    </row>
    <row r="1664" ht="15.0" customHeight="1">
      <c r="A1664" s="834">
        <v>46121.0</v>
      </c>
      <c r="B1664" s="603" t="s">
        <v>10825</v>
      </c>
      <c r="C1664" s="822" t="s">
        <v>10139</v>
      </c>
      <c r="D1664" s="109" t="s">
        <v>9374</v>
      </c>
      <c r="E1664" s="594" t="str">
        <f>IFERROR(VLOOKUP(D1664,Stock,3,FALSE),"")</f>
        <v>Suzuki Spresso 20-</v>
      </c>
      <c r="F1664" s="822">
        <v>1.0</v>
      </c>
      <c r="G1664" s="756">
        <v>708750.0</v>
      </c>
      <c r="H1664" s="824">
        <f t="shared" si="11"/>
        <v>708750</v>
      </c>
      <c r="I1664" s="825"/>
      <c r="J1664" s="826"/>
      <c r="K1664" s="850" t="s">
        <v>8232</v>
      </c>
    </row>
    <row r="1665" ht="15.0" customHeight="1">
      <c r="A1665" s="834">
        <v>46121.0</v>
      </c>
      <c r="B1665" s="603">
        <v>2604309.0</v>
      </c>
      <c r="C1665" s="822" t="s">
        <v>10136</v>
      </c>
      <c r="D1665" s="109" t="s">
        <v>10826</v>
      </c>
      <c r="E1665" s="594" t="str">
        <f>IFERROR(VLOOKUP(D1665,Stock,3,FALSE),"")</f>
        <v>Honda CR-V 04-06 2nd Gen (Spion Biasa)</v>
      </c>
      <c r="F1665" s="822">
        <v>1.0</v>
      </c>
      <c r="G1665" s="756">
        <v>815100.0</v>
      </c>
      <c r="H1665" s="824">
        <f t="shared" si="11"/>
        <v>815100</v>
      </c>
      <c r="I1665" s="825"/>
      <c r="J1665" s="826"/>
      <c r="K1665" s="850" t="s">
        <v>8232</v>
      </c>
    </row>
    <row r="1666" ht="15.0" customHeight="1">
      <c r="A1666" s="820"/>
      <c r="B1666" s="603">
        <v>2604309.0</v>
      </c>
      <c r="C1666" s="822" t="s">
        <v>10136</v>
      </c>
      <c r="D1666" s="109" t="s">
        <v>2772</v>
      </c>
      <c r="E1666" s="594" t="str">
        <f>IFERROR(VLOOKUP(D1666,Stock,3,FALSE),"")</f>
        <v>Suzuki Ignis 17-</v>
      </c>
      <c r="F1666" s="822">
        <v>1.0</v>
      </c>
      <c r="G1666" s="756">
        <v>466950.0</v>
      </c>
      <c r="H1666" s="824">
        <f t="shared" si="11"/>
        <v>466950</v>
      </c>
      <c r="I1666" s="825"/>
      <c r="J1666" s="826"/>
      <c r="K1666" s="850" t="s">
        <v>8232</v>
      </c>
    </row>
    <row r="1667" ht="15.0" customHeight="1">
      <c r="A1667" s="786">
        <v>46121.0</v>
      </c>
      <c r="B1667" s="796" t="s">
        <v>10827</v>
      </c>
      <c r="C1667" s="851" t="s">
        <v>79</v>
      </c>
      <c r="D1667" s="851" t="s">
        <v>4017</v>
      </c>
      <c r="E1667" s="790" t="str">
        <f>IFERROR(VLOOKUP(D1667,Stock,3,FALSE),"")</f>
        <v>Black Phantom Solar Gard</v>
      </c>
      <c r="F1667" s="851">
        <v>1.0</v>
      </c>
      <c r="G1667" s="860">
        <v>1025000.0</v>
      </c>
      <c r="H1667" s="799">
        <f t="shared" si="11"/>
        <v>1025000</v>
      </c>
      <c r="I1667" s="800"/>
      <c r="J1667" s="812"/>
      <c r="K1667" s="813"/>
      <c r="L1667" s="806" t="s">
        <v>10137</v>
      </c>
      <c r="M1667" s="806" t="s">
        <v>2763</v>
      </c>
      <c r="N1667" s="837">
        <v>46136.0</v>
      </c>
      <c r="O1667" s="803"/>
    </row>
    <row r="1668" ht="15.0" customHeight="1">
      <c r="A1668" s="834">
        <v>46122.0</v>
      </c>
      <c r="B1668" s="603" t="s">
        <v>10828</v>
      </c>
      <c r="C1668" s="822" t="s">
        <v>2643</v>
      </c>
      <c r="D1668" s="109" t="s">
        <v>4176</v>
      </c>
      <c r="E1668" s="594" t="str">
        <f>IFERROR(VLOOKUP(D1668,Stock,3,FALSE),"")</f>
        <v>Honda HR-V 22- 5D SUV (Honda)</v>
      </c>
      <c r="F1668" s="822">
        <v>1.0</v>
      </c>
      <c r="G1668" s="756">
        <v>2124540.0</v>
      </c>
      <c r="H1668" s="824">
        <f t="shared" si="11"/>
        <v>2124540</v>
      </c>
      <c r="I1668" s="825"/>
      <c r="J1668" s="826"/>
      <c r="K1668" s="850" t="s">
        <v>10242</v>
      </c>
    </row>
    <row r="1669" ht="15.0" customHeight="1">
      <c r="A1669" s="834">
        <v>46122.0</v>
      </c>
      <c r="B1669" s="603" t="s">
        <v>10828</v>
      </c>
      <c r="C1669" s="822" t="s">
        <v>2643</v>
      </c>
      <c r="D1669" s="109" t="s">
        <v>3396</v>
      </c>
      <c r="E1669" s="594" t="str">
        <f>IFERROR(VLOOKUP(D1669,Stock,3,FALSE),"")</f>
        <v>Honda HR-V 22- 5D SUV (Honda)</v>
      </c>
      <c r="F1669" s="822">
        <v>1.0</v>
      </c>
      <c r="G1669" s="756">
        <v>351648.0</v>
      </c>
      <c r="H1669" s="824">
        <f t="shared" si="11"/>
        <v>351648</v>
      </c>
      <c r="I1669" s="825"/>
      <c r="J1669" s="826"/>
      <c r="K1669" s="850" t="s">
        <v>10242</v>
      </c>
    </row>
    <row r="1670" ht="15.0" customHeight="1">
      <c r="A1670" s="834">
        <v>46122.0</v>
      </c>
      <c r="B1670" s="603" t="s">
        <v>10828</v>
      </c>
      <c r="C1670" s="822" t="s">
        <v>2643</v>
      </c>
      <c r="D1670" s="109" t="s">
        <v>2665</v>
      </c>
      <c r="E1670" s="594" t="str">
        <f>IFERROR(VLOOKUP(D1670,Stock,3,FALSE),"")</f>
        <v>Honda Brio 10- (Honda)</v>
      </c>
      <c r="F1670" s="822">
        <v>1.0</v>
      </c>
      <c r="G1670" s="756">
        <v>224664.0</v>
      </c>
      <c r="H1670" s="824">
        <f t="shared" si="11"/>
        <v>224664</v>
      </c>
      <c r="I1670" s="825"/>
      <c r="J1670" s="826"/>
      <c r="K1670" s="850" t="s">
        <v>10242</v>
      </c>
    </row>
    <row r="1671" ht="15.0" customHeight="1">
      <c r="A1671" s="834">
        <v>46122.0</v>
      </c>
      <c r="B1671" s="603">
        <v>2604370.0</v>
      </c>
      <c r="C1671" s="822" t="s">
        <v>10136</v>
      </c>
      <c r="D1671" s="109" t="s">
        <v>10829</v>
      </c>
      <c r="E1671" s="594" t="str">
        <f>IFERROR(VLOOKUP(D1671,Stock,3,FALSE),"")</f>
        <v>Mitsubishi Canter FE700 01- (PS110,125)</v>
      </c>
      <c r="F1671" s="822">
        <v>1.0</v>
      </c>
      <c r="G1671" s="756">
        <v>464200.0</v>
      </c>
      <c r="H1671" s="824">
        <f t="shared" si="11"/>
        <v>464200</v>
      </c>
      <c r="I1671" s="825"/>
      <c r="J1671" s="826"/>
      <c r="K1671" s="850" t="s">
        <v>8232</v>
      </c>
    </row>
    <row r="1672" ht="15.0" customHeight="1">
      <c r="A1672" s="820"/>
      <c r="B1672" s="603">
        <v>2604370.0</v>
      </c>
      <c r="C1672" s="822" t="s">
        <v>10136</v>
      </c>
      <c r="D1672" s="109" t="s">
        <v>9413</v>
      </c>
      <c r="E1672" s="594" t="str">
        <f>IFERROR(VLOOKUP(D1672,Stock,3,FALSE),"")</f>
        <v>Toyota Vios 23- 4th Gen</v>
      </c>
      <c r="F1672" s="822">
        <v>1.0</v>
      </c>
      <c r="G1672" s="756">
        <v>880000.0</v>
      </c>
      <c r="H1672" s="824">
        <f t="shared" si="11"/>
        <v>880000</v>
      </c>
      <c r="I1672" s="825"/>
      <c r="J1672" s="826"/>
      <c r="K1672" s="850" t="s">
        <v>8232</v>
      </c>
    </row>
    <row r="1673" ht="15.0" customHeight="1">
      <c r="A1673" s="820"/>
      <c r="B1673" s="603">
        <v>2604370.0</v>
      </c>
      <c r="C1673" s="822" t="s">
        <v>10136</v>
      </c>
      <c r="D1673" s="923" t="s">
        <v>5052</v>
      </c>
      <c r="E1673" s="594" t="str">
        <f>IFERROR(VLOOKUP(D1673,Stock,3,FALSE),"")</f>
        <v>Suzuki Baleno 08-15 SX4 / Neo Baleno</v>
      </c>
      <c r="F1673" s="822">
        <v>1.0</v>
      </c>
      <c r="G1673" s="756">
        <v>679800.0</v>
      </c>
      <c r="H1673" s="824">
        <f t="shared" si="11"/>
        <v>679800</v>
      </c>
      <c r="I1673" s="825"/>
      <c r="J1673" s="826"/>
      <c r="K1673" s="850" t="s">
        <v>8232</v>
      </c>
    </row>
    <row r="1674" ht="15.0" customHeight="1">
      <c r="A1674" s="834">
        <v>46122.0</v>
      </c>
      <c r="B1674" s="603" t="s">
        <v>10830</v>
      </c>
      <c r="C1674" s="822" t="s">
        <v>2643</v>
      </c>
      <c r="D1674" s="109" t="s">
        <v>4468</v>
      </c>
      <c r="E1674" s="594" t="str">
        <f>IFERROR(VLOOKUP(D1674,Stock,3,FALSE),"")</f>
        <v>Honda CR-V 17-23 5th Gen (Honda)</v>
      </c>
      <c r="F1674" s="822">
        <v>1.0</v>
      </c>
      <c r="G1674" s="756">
        <v>2095236.0</v>
      </c>
      <c r="H1674" s="824">
        <f t="shared" si="11"/>
        <v>2095236</v>
      </c>
      <c r="I1674" s="825"/>
      <c r="J1674" s="826"/>
      <c r="K1674" s="850" t="s">
        <v>10242</v>
      </c>
    </row>
    <row r="1675" ht="15.0" customHeight="1">
      <c r="A1675" s="834">
        <v>46122.0</v>
      </c>
      <c r="B1675" s="603" t="s">
        <v>10831</v>
      </c>
      <c r="C1675" s="822" t="s">
        <v>2643</v>
      </c>
      <c r="D1675" s="109" t="s">
        <v>3354</v>
      </c>
      <c r="E1675" s="594" t="str">
        <f>IFERROR(VLOOKUP(D1675,Stock,3,FALSE),"")</f>
        <v>Honda Brio 10- / Mobilio 11- (Honda)</v>
      </c>
      <c r="F1675" s="822">
        <v>3.0</v>
      </c>
      <c r="G1675" s="756">
        <v>2602350.0</v>
      </c>
      <c r="H1675" s="824">
        <f t="shared" si="11"/>
        <v>7807050</v>
      </c>
      <c r="I1675" s="825"/>
      <c r="J1675" s="826"/>
      <c r="K1675" s="850" t="s">
        <v>10242</v>
      </c>
    </row>
    <row r="1676" ht="15.0" customHeight="1">
      <c r="A1676" s="834">
        <v>46122.0</v>
      </c>
      <c r="B1676" s="603"/>
      <c r="C1676" s="822" t="s">
        <v>2643</v>
      </c>
      <c r="D1676" s="109" t="s">
        <v>4226</v>
      </c>
      <c r="E1676" s="594" t="str">
        <f>IFERROR(VLOOKUP(D1676,Stock,3,FALSE),"")</f>
        <v>Honda HR-V 14-21 5D SUV (Honda)</v>
      </c>
      <c r="F1676" s="822">
        <v>2.0</v>
      </c>
      <c r="G1676" s="756"/>
      <c r="H1676" s="824">
        <f t="shared" si="11"/>
        <v>0</v>
      </c>
      <c r="I1676" s="825"/>
      <c r="J1676" s="826"/>
      <c r="K1676" s="827"/>
    </row>
    <row r="1677" ht="15.0" customHeight="1">
      <c r="A1677" s="834">
        <v>46125.0</v>
      </c>
      <c r="B1677" s="603" t="s">
        <v>10832</v>
      </c>
      <c r="C1677" s="822" t="s">
        <v>10300</v>
      </c>
      <c r="D1677" s="109" t="s">
        <v>9225</v>
      </c>
      <c r="E1677" s="594" t="str">
        <f>IFERROR(VLOOKUP(D1677,Stock,3,FALSE),"")</f>
        <v>Mazda CX-3 15-</v>
      </c>
      <c r="F1677" s="822">
        <v>1.0</v>
      </c>
      <c r="G1677" s="756">
        <v>2752032.0</v>
      </c>
      <c r="H1677" s="824">
        <f t="shared" si="11"/>
        <v>2752032</v>
      </c>
      <c r="I1677" s="825"/>
      <c r="J1677" s="826"/>
      <c r="K1677" s="827"/>
    </row>
    <row r="1678" ht="15.0" customHeight="1">
      <c r="A1678" s="834">
        <v>46125.0</v>
      </c>
      <c r="B1678" s="603" t="s">
        <v>10833</v>
      </c>
      <c r="C1678" s="822" t="s">
        <v>10300</v>
      </c>
      <c r="D1678" s="109" t="s">
        <v>4936</v>
      </c>
      <c r="E1678" s="594" t="str">
        <f>IFERROR(VLOOKUP(D1678,Stock,3,FALSE),"")</f>
        <v>Toyota Sienta 15-</v>
      </c>
      <c r="F1678" s="822">
        <v>1.0</v>
      </c>
      <c r="G1678" s="756">
        <v>1628400.0</v>
      </c>
      <c r="H1678" s="824">
        <f t="shared" si="11"/>
        <v>1628400</v>
      </c>
      <c r="I1678" s="825"/>
      <c r="J1678" s="826"/>
      <c r="K1678" s="827"/>
    </row>
    <row r="1679" ht="15.0" customHeight="1">
      <c r="A1679" s="834">
        <v>46125.0</v>
      </c>
      <c r="B1679" s="603" t="s">
        <v>10833</v>
      </c>
      <c r="C1679" s="822" t="s">
        <v>10300</v>
      </c>
      <c r="D1679" s="109" t="s">
        <v>6129</v>
      </c>
      <c r="E1679" s="594" t="str">
        <f>IFERROR(VLOOKUP(D1679,Stock,3,FALSE),"")</f>
        <v>Toyota Innova 04-15 1st Gen (Toyota)</v>
      </c>
      <c r="F1679" s="822">
        <v>1.0</v>
      </c>
      <c r="G1679" s="756">
        <v>1223600.0</v>
      </c>
      <c r="H1679" s="824">
        <f t="shared" si="11"/>
        <v>1223600</v>
      </c>
      <c r="I1679" s="825"/>
      <c r="J1679" s="826"/>
      <c r="K1679" s="827"/>
    </row>
    <row r="1680" ht="15.0" customHeight="1">
      <c r="A1680" s="834">
        <v>46123.0</v>
      </c>
      <c r="B1680" s="603" t="s">
        <v>10834</v>
      </c>
      <c r="C1680" s="822" t="s">
        <v>10139</v>
      </c>
      <c r="D1680" s="109" t="s">
        <v>2832</v>
      </c>
      <c r="E1680" s="594" t="str">
        <f>IFERROR(VLOOKUP(D1680,Stock,3,FALSE),"")</f>
        <v>Toyota Avanza / Xenia 21- 4th Gen</v>
      </c>
      <c r="F1680" s="822">
        <v>1.0</v>
      </c>
      <c r="G1680" s="756">
        <v>675000.0</v>
      </c>
      <c r="H1680" s="824">
        <f t="shared" si="11"/>
        <v>675000</v>
      </c>
      <c r="I1680" s="825"/>
      <c r="J1680" s="826"/>
      <c r="K1680" s="827"/>
    </row>
    <row r="1681" ht="15.0" customHeight="1">
      <c r="A1681" s="834">
        <v>46125.0</v>
      </c>
      <c r="B1681" s="603">
        <v>2604461.0</v>
      </c>
      <c r="C1681" s="822" t="s">
        <v>10136</v>
      </c>
      <c r="D1681" s="109" t="s">
        <v>2772</v>
      </c>
      <c r="E1681" s="594" t="str">
        <f>IFERROR(VLOOKUP(D1681,Stock,3,FALSE),"")</f>
        <v>Suzuki Ignis 17-</v>
      </c>
      <c r="F1681" s="822">
        <v>1.0</v>
      </c>
      <c r="G1681" s="756">
        <v>466950.0</v>
      </c>
      <c r="H1681" s="824">
        <f t="shared" si="11"/>
        <v>466950</v>
      </c>
      <c r="I1681" s="825"/>
      <c r="J1681" s="826"/>
      <c r="K1681" s="827"/>
    </row>
    <row r="1682" ht="15.0" customHeight="1">
      <c r="A1682" s="834">
        <v>46125.0</v>
      </c>
      <c r="B1682" s="603">
        <v>2604461.0</v>
      </c>
      <c r="C1682" s="822" t="s">
        <v>10136</v>
      </c>
      <c r="D1682" s="109" t="s">
        <v>9472</v>
      </c>
      <c r="E1682" s="594" t="str">
        <f>IFERROR(VLOOKUP(D1682,Stock,3,FALSE),"")</f>
        <v>Toyota Fortuner 05-15 1st Gen</v>
      </c>
      <c r="F1682" s="822">
        <v>1.0</v>
      </c>
      <c r="G1682" s="756">
        <v>239800.0</v>
      </c>
      <c r="H1682" s="824">
        <f t="shared" si="11"/>
        <v>239800</v>
      </c>
      <c r="I1682" s="825"/>
      <c r="J1682" s="826"/>
      <c r="K1682" s="827"/>
    </row>
    <row r="1683" ht="15.0" customHeight="1">
      <c r="A1683" s="834">
        <v>46125.0</v>
      </c>
      <c r="B1683" s="603">
        <v>2604461.0</v>
      </c>
      <c r="C1683" s="822" t="s">
        <v>10136</v>
      </c>
      <c r="D1683" s="109" t="s">
        <v>4144</v>
      </c>
      <c r="E1683" s="594" t="str">
        <f>IFERROR(VLOOKUP(D1683,Stock,3,FALSE),"")</f>
        <v>Toyota Rush / Terios 06-17</v>
      </c>
      <c r="F1683" s="822">
        <v>2.0</v>
      </c>
      <c r="G1683" s="756">
        <v>576400.0</v>
      </c>
      <c r="H1683" s="824">
        <f t="shared" si="11"/>
        <v>1152800</v>
      </c>
      <c r="I1683" s="825"/>
      <c r="J1683" s="826"/>
      <c r="K1683" s="827"/>
    </row>
    <row r="1684" ht="15.0" customHeight="1">
      <c r="A1684" s="834">
        <v>46125.0</v>
      </c>
      <c r="B1684" s="603">
        <v>2604440.0</v>
      </c>
      <c r="C1684" s="822" t="s">
        <v>10136</v>
      </c>
      <c r="D1684" s="109" t="s">
        <v>9476</v>
      </c>
      <c r="E1684" s="594" t="str">
        <f>IFERROR(VLOOKUP(D1684,Stock,3,FALSE),"")</f>
        <v>BMW X3 Series 11-17 F25</v>
      </c>
      <c r="F1684" s="822">
        <v>1.0</v>
      </c>
      <c r="G1684" s="756">
        <v>3387450.0</v>
      </c>
      <c r="H1684" s="824">
        <f t="shared" si="11"/>
        <v>3387450</v>
      </c>
      <c r="I1684" s="825"/>
      <c r="J1684" s="826"/>
      <c r="K1684" s="827"/>
    </row>
    <row r="1685" ht="15.0" customHeight="1">
      <c r="A1685" s="820"/>
      <c r="B1685" s="603">
        <v>2604440.0</v>
      </c>
      <c r="C1685" s="822" t="s">
        <v>10136</v>
      </c>
      <c r="D1685" s="109" t="s">
        <v>9467</v>
      </c>
      <c r="E1685" s="594" t="str">
        <f>IFERROR(VLOOKUP(D1685,Stock,3,FALSE),"")</f>
        <v>Toyota Altis 18- E210 12th Gen</v>
      </c>
      <c r="F1685" s="822">
        <v>1.0</v>
      </c>
      <c r="G1685" s="756">
        <v>1531750.0</v>
      </c>
      <c r="H1685" s="824">
        <f t="shared" si="11"/>
        <v>1531750</v>
      </c>
      <c r="I1685" s="825"/>
      <c r="J1685" s="826"/>
      <c r="K1685" s="827"/>
    </row>
    <row r="1686" ht="15.0" customHeight="1">
      <c r="A1686" s="834">
        <v>46122.0</v>
      </c>
      <c r="B1686" s="603">
        <v>2604370.0</v>
      </c>
      <c r="C1686" s="822" t="s">
        <v>10136</v>
      </c>
      <c r="D1686" s="109" t="s">
        <v>10829</v>
      </c>
      <c r="E1686" s="594" t="str">
        <f>IFERROR(VLOOKUP(D1686,Stock,3,FALSE),"")</f>
        <v>Mitsubishi Canter FE700 01- (PS110,125)</v>
      </c>
      <c r="F1686" s="822">
        <v>1.0</v>
      </c>
      <c r="G1686" s="756">
        <v>464200.0</v>
      </c>
      <c r="H1686" s="824">
        <f t="shared" si="11"/>
        <v>464200</v>
      </c>
      <c r="I1686" s="825"/>
      <c r="J1686" s="826"/>
      <c r="K1686" s="827"/>
    </row>
    <row r="1687" ht="15.0" customHeight="1">
      <c r="A1687" s="820"/>
      <c r="B1687" s="603">
        <v>2604370.0</v>
      </c>
      <c r="C1687" s="822" t="s">
        <v>10136</v>
      </c>
      <c r="D1687" s="109" t="s">
        <v>9413</v>
      </c>
      <c r="E1687" s="594" t="str">
        <f>IFERROR(VLOOKUP(D1687,Stock,3,FALSE),"")</f>
        <v>Toyota Vios 23- 4th Gen</v>
      </c>
      <c r="F1687" s="822">
        <v>1.0</v>
      </c>
      <c r="G1687" s="756">
        <v>880000.0</v>
      </c>
      <c r="H1687" s="824">
        <f t="shared" si="11"/>
        <v>880000</v>
      </c>
      <c r="I1687" s="825"/>
      <c r="J1687" s="826"/>
      <c r="K1687" s="827"/>
    </row>
    <row r="1688" ht="15.0" customHeight="1">
      <c r="A1688" s="820"/>
      <c r="B1688" s="603">
        <v>2604370.0</v>
      </c>
      <c r="C1688" s="822" t="s">
        <v>10136</v>
      </c>
      <c r="D1688" s="109" t="s">
        <v>5052</v>
      </c>
      <c r="E1688" s="594" t="str">
        <f>IFERROR(VLOOKUP(D1688,Stock,3,FALSE),"")</f>
        <v>Suzuki Baleno 08-15 SX4 / Neo Baleno</v>
      </c>
      <c r="F1688" s="822">
        <v>1.0</v>
      </c>
      <c r="G1688" s="756">
        <v>679800.0</v>
      </c>
      <c r="H1688" s="824">
        <f t="shared" si="11"/>
        <v>679800</v>
      </c>
      <c r="I1688" s="825"/>
      <c r="J1688" s="826"/>
      <c r="K1688" s="827"/>
    </row>
    <row r="1689" ht="15.0" customHeight="1">
      <c r="A1689" s="834">
        <v>46120.0</v>
      </c>
      <c r="B1689" s="603">
        <v>2604309.0</v>
      </c>
      <c r="C1689" s="822" t="s">
        <v>10136</v>
      </c>
      <c r="D1689" s="109" t="s">
        <v>10826</v>
      </c>
      <c r="E1689" s="594" t="str">
        <f>IFERROR(VLOOKUP(D1689,Stock,3,FALSE),"")</f>
        <v>Honda CR-V 04-06 2nd Gen (Spion Biasa)</v>
      </c>
      <c r="F1689" s="822">
        <v>1.0</v>
      </c>
      <c r="G1689" s="756">
        <v>815100.0</v>
      </c>
      <c r="H1689" s="824">
        <f t="shared" si="11"/>
        <v>815100</v>
      </c>
      <c r="I1689" s="825"/>
      <c r="J1689" s="826"/>
      <c r="K1689" s="827"/>
    </row>
    <row r="1690" ht="15.0" customHeight="1">
      <c r="A1690" s="820"/>
      <c r="B1690" s="603">
        <v>2604309.0</v>
      </c>
      <c r="C1690" s="822" t="s">
        <v>10136</v>
      </c>
      <c r="D1690" s="109" t="s">
        <v>2772</v>
      </c>
      <c r="E1690" s="594" t="str">
        <f>IFERROR(VLOOKUP(D1690,Stock,3,FALSE),"")</f>
        <v>Suzuki Ignis 17-</v>
      </c>
      <c r="F1690" s="822">
        <v>1.0</v>
      </c>
      <c r="G1690" s="756">
        <v>466950.0</v>
      </c>
      <c r="H1690" s="824">
        <f t="shared" si="11"/>
        <v>466950</v>
      </c>
      <c r="I1690" s="825"/>
      <c r="J1690" s="826"/>
      <c r="K1690" s="827"/>
    </row>
    <row r="1691" ht="15.0" customHeight="1">
      <c r="A1691" s="834">
        <v>46126.0</v>
      </c>
      <c r="B1691" s="603" t="s">
        <v>10835</v>
      </c>
      <c r="C1691" s="822" t="s">
        <v>10139</v>
      </c>
      <c r="D1691" s="109" t="s">
        <v>9532</v>
      </c>
      <c r="E1691" s="594" t="str">
        <f>IFERROR(VLOOKUP(D1691,Stock,3,FALSE),"")</f>
        <v>Toyota Altis 06-13 E140 10th Gen</v>
      </c>
      <c r="F1691" s="822">
        <v>1.0</v>
      </c>
      <c r="G1691" s="756">
        <v>1879875.0</v>
      </c>
      <c r="H1691" s="824">
        <f t="shared" si="11"/>
        <v>1879875</v>
      </c>
      <c r="I1691" s="825"/>
      <c r="J1691" s="826"/>
      <c r="K1691" s="850" t="s">
        <v>10242</v>
      </c>
    </row>
    <row r="1692" ht="15.0" customHeight="1">
      <c r="A1692" s="834">
        <v>46126.0</v>
      </c>
      <c r="B1692" s="603">
        <v>2604518.0</v>
      </c>
      <c r="C1692" s="822" t="s">
        <v>10136</v>
      </c>
      <c r="D1692" s="109" t="s">
        <v>9119</v>
      </c>
      <c r="E1692" s="594" t="str">
        <f>IFERROR(VLOOKUP(D1692,Stock,3,FALSE),"")</f>
        <v>Toyota Altis 06-13 E140 10th Gen</v>
      </c>
      <c r="F1692" s="822">
        <v>1.0</v>
      </c>
      <c r="G1692" s="756">
        <v>310200.0</v>
      </c>
      <c r="H1692" s="824">
        <f t="shared" si="11"/>
        <v>310200</v>
      </c>
      <c r="I1692" s="825"/>
      <c r="J1692" s="826"/>
      <c r="K1692" s="827"/>
    </row>
    <row r="1693" ht="15.0" customHeight="1">
      <c r="A1693" s="834">
        <v>46126.0</v>
      </c>
      <c r="B1693" s="603">
        <v>2604482.0</v>
      </c>
      <c r="C1693" s="822" t="s">
        <v>10136</v>
      </c>
      <c r="D1693" s="109" t="s">
        <v>3181</v>
      </c>
      <c r="E1693" s="594" t="str">
        <f>IFERROR(VLOOKUP(D1693,Stock,3,FALSE),"")</f>
        <v>Toyota Kijang 98- Kapsul Karet</v>
      </c>
      <c r="F1693" s="822">
        <v>1.0</v>
      </c>
      <c r="G1693" s="756">
        <v>592900.0</v>
      </c>
      <c r="H1693" s="824">
        <f t="shared" si="11"/>
        <v>592900</v>
      </c>
      <c r="I1693" s="825"/>
      <c r="J1693" s="826"/>
      <c r="K1693" s="827"/>
    </row>
    <row r="1694" ht="15.0" customHeight="1">
      <c r="A1694" s="834"/>
      <c r="B1694" s="603">
        <v>2604482.0</v>
      </c>
      <c r="C1694" s="822" t="s">
        <v>10136</v>
      </c>
      <c r="D1694" s="109" t="s">
        <v>2869</v>
      </c>
      <c r="E1694" s="594" t="str">
        <f>IFERROR(VLOOKUP(D1694,Stock,3,FALSE),"")</f>
        <v>Daihatsu Gran Max / Luxio 07-</v>
      </c>
      <c r="F1694" s="822">
        <v>4.0</v>
      </c>
      <c r="G1694" s="756">
        <v>470250.0</v>
      </c>
      <c r="H1694" s="824">
        <f t="shared" si="11"/>
        <v>1881000</v>
      </c>
      <c r="I1694" s="825"/>
      <c r="J1694" s="826"/>
      <c r="K1694" s="827"/>
    </row>
    <row r="1695" ht="15.0" customHeight="1">
      <c r="A1695" s="820"/>
      <c r="B1695" s="603">
        <v>2604482.0</v>
      </c>
      <c r="C1695" s="822" t="s">
        <v>10136</v>
      </c>
      <c r="D1695" s="109" t="s">
        <v>9533</v>
      </c>
      <c r="E1695" s="594" t="str">
        <f>IFERROR(VLOOKUP(D1695,Stock,3,FALSE),"")</f>
        <v>Toyota Fortuner 15- 2nd Gen</v>
      </c>
      <c r="F1695" s="822">
        <v>1.0</v>
      </c>
      <c r="G1695" s="756">
        <v>175450.0</v>
      </c>
      <c r="H1695" s="824">
        <f t="shared" si="11"/>
        <v>175450</v>
      </c>
      <c r="I1695" s="825"/>
      <c r="J1695" s="826"/>
      <c r="K1695" s="827"/>
    </row>
    <row r="1696" ht="15.0" customHeight="1">
      <c r="A1696" s="820"/>
      <c r="B1696" s="603">
        <v>2604482.0</v>
      </c>
      <c r="C1696" s="822" t="s">
        <v>10136</v>
      </c>
      <c r="D1696" s="109" t="s">
        <v>3588</v>
      </c>
      <c r="E1696" s="594" t="str">
        <f>IFERROR(VLOOKUP(D1696,Stock,3,FALSE),"")</f>
        <v>Toyota Fortuner 15- 2nd Gen</v>
      </c>
      <c r="F1696" s="822">
        <v>1.0</v>
      </c>
      <c r="G1696" s="756">
        <v>175450.0</v>
      </c>
      <c r="H1696" s="824">
        <f t="shared" si="11"/>
        <v>175450</v>
      </c>
      <c r="I1696" s="825"/>
      <c r="J1696" s="826"/>
      <c r="K1696" s="827"/>
    </row>
    <row r="1697" ht="15.0" customHeight="1">
      <c r="A1697" s="820"/>
      <c r="B1697" s="603">
        <v>2604482.0</v>
      </c>
      <c r="C1697" s="822" t="s">
        <v>10136</v>
      </c>
      <c r="D1697" s="109" t="s">
        <v>3073</v>
      </c>
      <c r="E1697" s="594" t="str">
        <f>IFERROR(VLOOKUP(D1697,Stock,3,FALSE),"")</f>
        <v>Toyota Innova 15- 2nd Gen</v>
      </c>
      <c r="F1697" s="822">
        <v>2.0</v>
      </c>
      <c r="G1697" s="756">
        <v>532950.0</v>
      </c>
      <c r="H1697" s="824">
        <f t="shared" si="11"/>
        <v>1065900</v>
      </c>
      <c r="I1697" s="825"/>
      <c r="J1697" s="826"/>
      <c r="K1697" s="827"/>
    </row>
    <row r="1698" ht="15.0" customHeight="1">
      <c r="A1698" s="834">
        <v>46127.0</v>
      </c>
      <c r="B1698" s="603" t="s">
        <v>10836</v>
      </c>
      <c r="C1698" s="822" t="s">
        <v>10139</v>
      </c>
      <c r="D1698" s="109" t="s">
        <v>3434</v>
      </c>
      <c r="E1698" s="594" t="str">
        <f>IFERROR(VLOOKUP(D1698,Stock,3,FALSE),"")</f>
        <v>List Kaca Depan Code 04</v>
      </c>
      <c r="F1698" s="822">
        <v>10.0</v>
      </c>
      <c r="G1698" s="756">
        <v>65000.0</v>
      </c>
      <c r="H1698" s="824">
        <f t="shared" si="11"/>
        <v>650000</v>
      </c>
      <c r="I1698" s="825"/>
      <c r="J1698" s="826"/>
      <c r="K1698" s="850" t="s">
        <v>10242</v>
      </c>
    </row>
    <row r="1699" ht="15.0" customHeight="1">
      <c r="A1699" s="834">
        <v>46127.0</v>
      </c>
      <c r="B1699" s="603" t="s">
        <v>10836</v>
      </c>
      <c r="C1699" s="822" t="s">
        <v>10139</v>
      </c>
      <c r="D1699" s="109" t="s">
        <v>3456</v>
      </c>
      <c r="E1699" s="594" t="str">
        <f>IFERROR(VLOOKUP(D1699,Stock,3,FALSE),"")</f>
        <v>List Kaca Depan Code 11</v>
      </c>
      <c r="F1699" s="822">
        <v>10.0</v>
      </c>
      <c r="G1699" s="756">
        <v>65000.0</v>
      </c>
      <c r="H1699" s="824">
        <f t="shared" si="11"/>
        <v>650000</v>
      </c>
      <c r="I1699" s="825"/>
      <c r="J1699" s="826"/>
      <c r="K1699" s="850" t="s">
        <v>10242</v>
      </c>
    </row>
    <row r="1700" ht="15.0" customHeight="1">
      <c r="A1700" s="834">
        <v>46127.0</v>
      </c>
      <c r="B1700" s="603" t="s">
        <v>10837</v>
      </c>
      <c r="C1700" s="822" t="s">
        <v>10139</v>
      </c>
      <c r="D1700" s="109" t="s">
        <v>4367</v>
      </c>
      <c r="E1700" s="594" t="str">
        <f>IFERROR(VLOOKUP(D1700,Stock,3,FALSE),"")</f>
        <v>Isuzu Panther 00- 2nd Gen</v>
      </c>
      <c r="F1700" s="822">
        <v>1.0</v>
      </c>
      <c r="G1700" s="756">
        <v>210000.0</v>
      </c>
      <c r="H1700" s="824">
        <f t="shared" si="11"/>
        <v>210000</v>
      </c>
      <c r="I1700" s="825"/>
      <c r="J1700" s="826"/>
      <c r="K1700" s="850" t="s">
        <v>10242</v>
      </c>
    </row>
    <row r="1701" ht="15.0" customHeight="1">
      <c r="A1701" s="834">
        <v>46128.0</v>
      </c>
      <c r="B1701" s="603" t="s">
        <v>10838</v>
      </c>
      <c r="C1701" s="822" t="s">
        <v>10139</v>
      </c>
      <c r="D1701" s="109" t="s">
        <v>9548</v>
      </c>
      <c r="E1701" s="594" t="str">
        <f>IFERROR(VLOOKUP(D1701,Stock,3,FALSE),"")</f>
        <v>Suzuki Ertiga 18- 2nd Gen (ORI MULIA) / XL7</v>
      </c>
      <c r="F1701" s="822">
        <v>1.0</v>
      </c>
      <c r="G1701" s="756">
        <v>180000.0</v>
      </c>
      <c r="H1701" s="824">
        <f t="shared" si="11"/>
        <v>180000</v>
      </c>
      <c r="I1701" s="825"/>
      <c r="J1701" s="826"/>
      <c r="K1701" s="850" t="s">
        <v>8219</v>
      </c>
    </row>
    <row r="1702" ht="14.25" customHeight="1">
      <c r="A1702" s="924">
        <v>46128.0</v>
      </c>
      <c r="B1702" s="925"/>
      <c r="C1702" s="926"/>
      <c r="D1702" s="927" t="s">
        <v>8003</v>
      </c>
      <c r="E1702" s="928" t="str">
        <f>IFERROR(VLOOKUP(D1702,Stock,3,FALSE),"")</f>
        <v>Honda CR-V 07-11 3rd Gen</v>
      </c>
      <c r="F1702" s="822">
        <v>2.0</v>
      </c>
      <c r="G1702" s="756"/>
      <c r="H1702" s="824">
        <f t="shared" si="11"/>
        <v>0</v>
      </c>
      <c r="I1702" s="825"/>
      <c r="J1702" s="826"/>
      <c r="K1702" s="827"/>
    </row>
    <row r="1703" ht="15.0" customHeight="1">
      <c r="A1703" s="834">
        <v>46129.0</v>
      </c>
      <c r="B1703" s="603" t="s">
        <v>10839</v>
      </c>
      <c r="C1703" s="822" t="s">
        <v>2643</v>
      </c>
      <c r="D1703" s="109" t="s">
        <v>3354</v>
      </c>
      <c r="E1703" s="594" t="str">
        <f>IFERROR(VLOOKUP(D1703,Stock,3,FALSE),"")</f>
        <v>Honda Brio 10- / Mobilio 11- (Honda)</v>
      </c>
      <c r="F1703" s="822">
        <v>3.0</v>
      </c>
      <c r="G1703" s="756">
        <v>717948.0</v>
      </c>
      <c r="H1703" s="824">
        <f t="shared" si="11"/>
        <v>2153844</v>
      </c>
      <c r="I1703" s="825"/>
      <c r="J1703" s="826"/>
      <c r="K1703" s="827"/>
    </row>
    <row r="1704" ht="15.0" customHeight="1">
      <c r="A1704" s="834">
        <v>46129.0</v>
      </c>
      <c r="B1704" s="603" t="s">
        <v>10840</v>
      </c>
      <c r="C1704" s="822" t="s">
        <v>2643</v>
      </c>
      <c r="D1704" s="109" t="s">
        <v>3013</v>
      </c>
      <c r="E1704" s="594" t="str">
        <f>IFERROR(VLOOKUP(D1704,Stock,3,FALSE),"")</f>
        <v>Honda Freed 08-16 1st Gen (Honda)</v>
      </c>
      <c r="F1704" s="822">
        <v>1.0</v>
      </c>
      <c r="G1704" s="756">
        <v>2124540.0</v>
      </c>
      <c r="H1704" s="824">
        <f t="shared" si="11"/>
        <v>2124540</v>
      </c>
      <c r="I1704" s="825"/>
      <c r="J1704" s="826"/>
      <c r="K1704" s="827"/>
    </row>
    <row r="1705" ht="15.0" customHeight="1">
      <c r="A1705" s="834">
        <v>46132.0</v>
      </c>
      <c r="B1705" s="603">
        <v>2604707.0</v>
      </c>
      <c r="C1705" s="822" t="s">
        <v>10136</v>
      </c>
      <c r="D1705" s="109" t="s">
        <v>5954</v>
      </c>
      <c r="E1705" s="594" t="str">
        <f>IFERROR(VLOOKUP(D1705,Stock,3,FALSE),"")</f>
        <v>Toyota Voxy 17-</v>
      </c>
      <c r="F1705" s="822">
        <v>1.0</v>
      </c>
      <c r="G1705" s="756">
        <v>1829300.0</v>
      </c>
      <c r="H1705" s="824">
        <f t="shared" si="11"/>
        <v>1829300</v>
      </c>
      <c r="I1705" s="825"/>
      <c r="J1705" s="826"/>
      <c r="K1705" s="850" t="s">
        <v>8219</v>
      </c>
    </row>
    <row r="1706" ht="15.0" customHeight="1">
      <c r="A1706" s="834">
        <v>46132.0</v>
      </c>
      <c r="B1706" s="603">
        <v>2604689.0</v>
      </c>
      <c r="C1706" s="822" t="s">
        <v>10136</v>
      </c>
      <c r="D1706" s="109" t="s">
        <v>6237</v>
      </c>
      <c r="E1706" s="594" t="str">
        <f>IFERROR(VLOOKUP(D1706,Stock,3,FALSE),"")</f>
        <v>Nissan Quester / Cw445 Quon 05-</v>
      </c>
      <c r="F1706" s="822">
        <v>2.0</v>
      </c>
      <c r="G1706" s="756">
        <v>1192950.0</v>
      </c>
      <c r="H1706" s="824">
        <f t="shared" si="11"/>
        <v>2385900</v>
      </c>
      <c r="I1706" s="825"/>
      <c r="J1706" s="826"/>
      <c r="K1706" s="850" t="s">
        <v>8219</v>
      </c>
    </row>
    <row r="1707" ht="15.0" customHeight="1">
      <c r="A1707" s="834">
        <v>46132.0</v>
      </c>
      <c r="B1707" s="603">
        <v>2604689.0</v>
      </c>
      <c r="C1707" s="822" t="s">
        <v>10136</v>
      </c>
      <c r="D1707" s="109" t="s">
        <v>8374</v>
      </c>
      <c r="E1707" s="594" t="str">
        <f>IFERROR(VLOOKUP(D1707,Stock,3,FALSE),"")</f>
        <v>Mers-Benz Axor 98- Truck</v>
      </c>
      <c r="F1707" s="822">
        <v>1.0</v>
      </c>
      <c r="G1707" s="756">
        <v>1072500.0</v>
      </c>
      <c r="H1707" s="824">
        <f t="shared" si="11"/>
        <v>1072500</v>
      </c>
      <c r="I1707" s="825"/>
      <c r="J1707" s="826"/>
      <c r="K1707" s="850" t="s">
        <v>8219</v>
      </c>
    </row>
    <row r="1708" ht="15.0" customHeight="1">
      <c r="A1708" s="834">
        <v>46132.0</v>
      </c>
      <c r="B1708" s="603">
        <v>2604689.0</v>
      </c>
      <c r="C1708" s="822" t="s">
        <v>10136</v>
      </c>
      <c r="D1708" s="109" t="s">
        <v>3176</v>
      </c>
      <c r="E1708" s="594" t="str">
        <f>IFERROR(VLOOKUP(D1708,Stock,3,FALSE),"")</f>
        <v>Mazda 2 09-14 3rd Gen</v>
      </c>
      <c r="F1708" s="822">
        <v>1.0</v>
      </c>
      <c r="G1708" s="756">
        <v>879450.0</v>
      </c>
      <c r="H1708" s="824">
        <f t="shared" si="11"/>
        <v>879450</v>
      </c>
      <c r="I1708" s="825"/>
      <c r="J1708" s="826"/>
      <c r="K1708" s="850" t="s">
        <v>8219</v>
      </c>
    </row>
    <row r="1709" ht="15.0" customHeight="1">
      <c r="A1709" s="834">
        <v>46130.0</v>
      </c>
      <c r="B1709" s="603">
        <v>2604682.0</v>
      </c>
      <c r="C1709" s="822" t="s">
        <v>10136</v>
      </c>
      <c r="D1709" s="548" t="s">
        <v>9578</v>
      </c>
      <c r="E1709" s="594" t="str">
        <f>IFERROR(VLOOKUP(D1709,Stock,3,FALSE),"")</f>
        <v>Toyota Vios 02-07 XP40 1st Gen</v>
      </c>
      <c r="F1709" s="822">
        <v>1.0</v>
      </c>
      <c r="G1709" s="756">
        <v>663300.0</v>
      </c>
      <c r="H1709" s="824">
        <f t="shared" si="11"/>
        <v>663300</v>
      </c>
      <c r="I1709" s="825"/>
      <c r="J1709" s="826"/>
      <c r="K1709" s="850" t="s">
        <v>8219</v>
      </c>
    </row>
    <row r="1710" ht="15.0" customHeight="1">
      <c r="A1710" s="834">
        <v>46130.0</v>
      </c>
      <c r="B1710" s="603">
        <v>2604682.0</v>
      </c>
      <c r="C1710" s="822" t="s">
        <v>10136</v>
      </c>
      <c r="D1710" s="109" t="s">
        <v>5819</v>
      </c>
      <c r="E1710" s="594" t="str">
        <f>IFERROR(VLOOKUP(D1710,Stock,3,FALSE),"")</f>
        <v>Nissan Terra 18- (1 Sensor / /\ )</v>
      </c>
      <c r="F1710" s="822">
        <v>1.0</v>
      </c>
      <c r="G1710" s="756">
        <v>1485000.0</v>
      </c>
      <c r="H1710" s="824">
        <f t="shared" si="11"/>
        <v>1485000</v>
      </c>
      <c r="I1710" s="825"/>
      <c r="J1710" s="826"/>
      <c r="K1710" s="850" t="s">
        <v>8219</v>
      </c>
    </row>
    <row r="1711" ht="15.0" customHeight="1">
      <c r="A1711" s="834">
        <v>46130.0</v>
      </c>
      <c r="B1711" s="603">
        <v>2604682.0</v>
      </c>
      <c r="C1711" s="822" t="s">
        <v>10136</v>
      </c>
      <c r="D1711" s="109" t="s">
        <v>5825</v>
      </c>
      <c r="E1711" s="594" t="str">
        <f>IFERROR(VLOOKUP(D1711,Stock,3,FALSE),"")</f>
        <v>Toyota Alphard 18- ANH30 3rd Gen (2 Sensor / □Δ )</v>
      </c>
      <c r="F1711" s="822">
        <v>1.0</v>
      </c>
      <c r="G1711" s="756">
        <f>2278100-300000</f>
        <v>1978100</v>
      </c>
      <c r="H1711" s="824">
        <f>(G1711*F1711)-300000</f>
        <v>1678100</v>
      </c>
      <c r="I1711" s="825"/>
      <c r="J1711" s="826"/>
      <c r="K1711" s="850" t="s">
        <v>8219</v>
      </c>
    </row>
    <row r="1712" ht="15.0" customHeight="1">
      <c r="A1712" s="834">
        <v>46129.0</v>
      </c>
      <c r="B1712" s="603">
        <v>2604618.0</v>
      </c>
      <c r="C1712" s="822" t="s">
        <v>10744</v>
      </c>
      <c r="D1712" s="109" t="s">
        <v>9555</v>
      </c>
      <c r="E1712" s="594" t="str">
        <f>IFERROR(VLOOKUP(D1712,Stock,3,FALSE),"")</f>
        <v>Lexus RX (Harrier) 08-15 AL10 (Hitam)</v>
      </c>
      <c r="F1712" s="822">
        <v>1.0</v>
      </c>
      <c r="G1712" s="756">
        <v>2252800.0</v>
      </c>
      <c r="H1712" s="824">
        <f t="shared" ref="H1712:H1748" si="12">G1712*F1712</f>
        <v>2252800</v>
      </c>
      <c r="I1712" s="825"/>
      <c r="J1712" s="826"/>
      <c r="K1712" s="850" t="s">
        <v>8219</v>
      </c>
    </row>
    <row r="1713" ht="15.0" customHeight="1">
      <c r="A1713" s="834">
        <v>46129.0</v>
      </c>
      <c r="B1713" s="603">
        <v>2604618.0</v>
      </c>
      <c r="C1713" s="822" t="s">
        <v>10744</v>
      </c>
      <c r="D1713" s="109" t="s">
        <v>9563</v>
      </c>
      <c r="E1713" s="594" t="str">
        <f>IFERROR(VLOOKUP(D1713,Stock,3,FALSE),"")</f>
        <v>BMW 3 Series 98-06 E46</v>
      </c>
      <c r="F1713" s="822">
        <v>1.0</v>
      </c>
      <c r="G1713" s="756">
        <v>992750.0</v>
      </c>
      <c r="H1713" s="824">
        <f t="shared" si="12"/>
        <v>992750</v>
      </c>
      <c r="I1713" s="825"/>
      <c r="J1713" s="826"/>
      <c r="K1713" s="850" t="s">
        <v>8219</v>
      </c>
    </row>
    <row r="1714" ht="15.0" customHeight="1">
      <c r="A1714" s="834">
        <v>46129.0</v>
      </c>
      <c r="B1714" s="603">
        <v>2604618.0</v>
      </c>
      <c r="C1714" s="822" t="s">
        <v>10744</v>
      </c>
      <c r="D1714" s="109" t="s">
        <v>9568</v>
      </c>
      <c r="E1714" s="594" t="str">
        <f>IFERROR(VLOOKUP(D1714,Stock,3,FALSE),"")</f>
        <v>Toyota Rush / Terios 06-17</v>
      </c>
      <c r="F1714" s="822">
        <v>1.0</v>
      </c>
      <c r="G1714" s="756">
        <v>387750.0</v>
      </c>
      <c r="H1714" s="824">
        <f t="shared" si="12"/>
        <v>387750</v>
      </c>
      <c r="I1714" s="825"/>
      <c r="J1714" s="826"/>
      <c r="K1714" s="850" t="s">
        <v>8219</v>
      </c>
    </row>
    <row r="1715" ht="15.0" customHeight="1">
      <c r="A1715" s="834">
        <v>46128.0</v>
      </c>
      <c r="B1715" s="201">
        <v>2604590.0</v>
      </c>
      <c r="C1715" s="822" t="s">
        <v>10136</v>
      </c>
      <c r="D1715" s="45" t="s">
        <v>8003</v>
      </c>
      <c r="E1715" s="594" t="str">
        <f>IFERROR(VLOOKUP(D1715,Stock,3,FALSE),"")</f>
        <v>Honda CR-V 07-11 3rd Gen</v>
      </c>
      <c r="F1715" s="822">
        <v>2.0</v>
      </c>
      <c r="G1715" s="756">
        <v>615450.0</v>
      </c>
      <c r="H1715" s="824">
        <f t="shared" si="12"/>
        <v>1230900</v>
      </c>
      <c r="I1715" s="825"/>
      <c r="J1715" s="826"/>
      <c r="K1715" s="850" t="s">
        <v>8219</v>
      </c>
    </row>
    <row r="1716" ht="15.0" customHeight="1">
      <c r="A1716" s="834">
        <v>46128.0</v>
      </c>
      <c r="B1716" s="603">
        <v>2604577.0</v>
      </c>
      <c r="C1716" s="822" t="s">
        <v>10136</v>
      </c>
      <c r="D1716" s="109" t="s">
        <v>9530</v>
      </c>
      <c r="E1716" s="594" t="str">
        <f>IFERROR(VLOOKUP(D1716,Stock,3,FALSE),"")</f>
        <v>Toyota Fortuner 05-15 1st Gen </v>
      </c>
      <c r="F1716" s="822">
        <v>1.0</v>
      </c>
      <c r="G1716" s="756">
        <v>916850.0</v>
      </c>
      <c r="H1716" s="824">
        <f t="shared" si="12"/>
        <v>916850</v>
      </c>
      <c r="I1716" s="825"/>
      <c r="J1716" s="826"/>
      <c r="K1716" s="850" t="s">
        <v>8219</v>
      </c>
    </row>
    <row r="1717" ht="15.0" customHeight="1">
      <c r="A1717" s="834">
        <v>46128.0</v>
      </c>
      <c r="B1717" s="603">
        <v>2604577.0</v>
      </c>
      <c r="C1717" s="822" t="s">
        <v>10136</v>
      </c>
      <c r="D1717" s="109" t="s">
        <v>6581</v>
      </c>
      <c r="E1717" s="594" t="str">
        <f>IFERROR(VLOOKUP(D1717,Stock,3,FALSE),"")</f>
        <v>Nissan X-Trail 01-07 T30</v>
      </c>
      <c r="F1717" s="822">
        <v>1.0</v>
      </c>
      <c r="G1717" s="756">
        <v>809050.0</v>
      </c>
      <c r="H1717" s="824">
        <f t="shared" si="12"/>
        <v>809050</v>
      </c>
      <c r="I1717" s="825"/>
      <c r="J1717" s="826"/>
      <c r="K1717" s="850" t="s">
        <v>8219</v>
      </c>
    </row>
    <row r="1718" ht="15.0" customHeight="1">
      <c r="A1718" s="834">
        <v>46128.0</v>
      </c>
      <c r="B1718" s="603">
        <v>2604577.0</v>
      </c>
      <c r="C1718" s="822" t="s">
        <v>10136</v>
      </c>
      <c r="D1718" s="109" t="s">
        <v>2003</v>
      </c>
      <c r="E1718" s="594" t="str">
        <f>IFERROR(VLOOKUP(D1718,Stock,3,FALSE),"")</f>
        <v>Toyota Agya/Ayla 13-22 1st Gen</v>
      </c>
      <c r="F1718" s="822">
        <v>3.0</v>
      </c>
      <c r="G1718" s="756">
        <v>385000.0</v>
      </c>
      <c r="H1718" s="824">
        <f t="shared" si="12"/>
        <v>1155000</v>
      </c>
      <c r="I1718" s="825"/>
      <c r="J1718" s="826"/>
      <c r="K1718" s="850" t="s">
        <v>8219</v>
      </c>
    </row>
    <row r="1719" ht="15.0" customHeight="1">
      <c r="A1719" s="834">
        <v>46132.0</v>
      </c>
      <c r="B1719" s="603">
        <v>2604723.0</v>
      </c>
      <c r="C1719" s="822" t="s">
        <v>10136</v>
      </c>
      <c r="D1719" s="109" t="s">
        <v>3378</v>
      </c>
      <c r="E1719" s="594" t="str">
        <f>IFERROR(VLOOKUP(D1719,Stock,3,FALSE),"")</f>
        <v>Suzuki APV 03- Pickup/ Van</v>
      </c>
      <c r="F1719" s="822">
        <v>1.0</v>
      </c>
      <c r="G1719" s="756">
        <v>491700.0</v>
      </c>
      <c r="H1719" s="824">
        <f t="shared" si="12"/>
        <v>491700</v>
      </c>
      <c r="I1719" s="825"/>
      <c r="J1719" s="826"/>
      <c r="K1719" s="850" t="s">
        <v>8219</v>
      </c>
    </row>
    <row r="1720" ht="15.0" customHeight="1">
      <c r="A1720" s="834">
        <v>46132.0</v>
      </c>
      <c r="B1720" s="603" t="s">
        <v>10841</v>
      </c>
      <c r="C1720" s="822" t="s">
        <v>10136</v>
      </c>
      <c r="D1720" s="109" t="s">
        <v>9642</v>
      </c>
      <c r="E1720" s="594" t="str">
        <f>IFERROR(VLOOKUP(D1720,Stock,3,FALSE),"")</f>
        <v>Toyota Raize / Daihatsu Rocky 20- [Sensor]</v>
      </c>
      <c r="F1720" s="822">
        <v>1.0</v>
      </c>
      <c r="G1720" s="756">
        <v>1046250.0</v>
      </c>
      <c r="H1720" s="824">
        <f t="shared" si="12"/>
        <v>1046250</v>
      </c>
      <c r="I1720" s="825"/>
      <c r="J1720" s="826"/>
      <c r="K1720" s="850" t="s">
        <v>8219</v>
      </c>
    </row>
    <row r="1721" ht="15.0" customHeight="1">
      <c r="A1721" s="834">
        <v>46132.0</v>
      </c>
      <c r="B1721" s="603" t="s">
        <v>10842</v>
      </c>
      <c r="C1721" s="822" t="s">
        <v>24</v>
      </c>
      <c r="D1721" s="109" t="s">
        <v>3446</v>
      </c>
      <c r="E1721" s="594" t="str">
        <f>IFERROR(VLOOKUP(D1721,Stock,3,FALSE),"")</f>
        <v>501 Sealant Application</v>
      </c>
      <c r="F1721" s="822">
        <v>100.0</v>
      </c>
      <c r="G1721" s="756">
        <v>58000.0</v>
      </c>
      <c r="H1721" s="824">
        <f t="shared" si="12"/>
        <v>5800000</v>
      </c>
      <c r="I1721" s="825"/>
      <c r="J1721" s="826"/>
      <c r="K1721" s="850" t="s">
        <v>3191</v>
      </c>
      <c r="L1721" s="548" t="s">
        <v>10137</v>
      </c>
    </row>
    <row r="1722" ht="15.0" customHeight="1">
      <c r="A1722" s="834">
        <v>46132.0</v>
      </c>
      <c r="B1722" s="603" t="s">
        <v>10842</v>
      </c>
      <c r="C1722" s="822" t="s">
        <v>24</v>
      </c>
      <c r="D1722" s="109" t="s">
        <v>10539</v>
      </c>
      <c r="E1722" s="594" t="str">
        <f>IFERROR(VLOOKUP(D1722,Stock,3,FALSE),"")</f>
        <v/>
      </c>
      <c r="F1722" s="822">
        <v>2.0</v>
      </c>
      <c r="G1722" s="756">
        <v>135000.0</v>
      </c>
      <c r="H1722" s="824">
        <f t="shared" si="12"/>
        <v>270000</v>
      </c>
      <c r="I1722" s="825"/>
      <c r="J1722" s="826"/>
      <c r="K1722" s="850" t="s">
        <v>3191</v>
      </c>
      <c r="L1722" s="548" t="s">
        <v>10137</v>
      </c>
    </row>
    <row r="1723" ht="15.0" customHeight="1">
      <c r="A1723" s="834">
        <v>46129.0</v>
      </c>
      <c r="B1723" s="603" t="s">
        <v>10843</v>
      </c>
      <c r="C1723" s="822" t="s">
        <v>10139</v>
      </c>
      <c r="D1723" s="109" t="s">
        <v>10844</v>
      </c>
      <c r="E1723" s="594" t="str">
        <f>IFERROR(VLOOKUP(D1723,Stock,3,FALSE),"")</f>
        <v>Mers-Benz C-Class  93-00 W202</v>
      </c>
      <c r="F1723" s="822">
        <v>1.0</v>
      </c>
      <c r="G1723" s="756">
        <v>1166400.0</v>
      </c>
      <c r="H1723" s="824">
        <f t="shared" si="12"/>
        <v>1166400</v>
      </c>
      <c r="I1723" s="825"/>
      <c r="J1723" s="826"/>
      <c r="K1723" s="850" t="s">
        <v>8232</v>
      </c>
    </row>
    <row r="1724" ht="15.0" customHeight="1">
      <c r="A1724" s="834">
        <v>46130.0</v>
      </c>
      <c r="B1724" s="603" t="s">
        <v>10845</v>
      </c>
      <c r="C1724" s="822" t="s">
        <v>10139</v>
      </c>
      <c r="D1724" s="109" t="s">
        <v>9599</v>
      </c>
      <c r="E1724" s="594" t="str">
        <f>IFERROR(VLOOKUP(D1724,Stock,3,FALSE),"")</f>
        <v>Toyota Alphard 15-17 ANH30 3rd Gen (Hitam)</v>
      </c>
      <c r="F1724" s="822">
        <v>1.0</v>
      </c>
      <c r="G1724" s="756">
        <v>977400.0</v>
      </c>
      <c r="H1724" s="824">
        <f t="shared" si="12"/>
        <v>977400</v>
      </c>
      <c r="I1724" s="825"/>
      <c r="J1724" s="826"/>
      <c r="K1724" s="827"/>
    </row>
    <row r="1725" ht="15.0" customHeight="1">
      <c r="A1725" s="834">
        <v>46132.0</v>
      </c>
      <c r="B1725" s="603" t="s">
        <v>10841</v>
      </c>
      <c r="C1725" s="822" t="s">
        <v>10139</v>
      </c>
      <c r="D1725" s="109" t="s">
        <v>9642</v>
      </c>
      <c r="E1725" s="594" t="str">
        <f>IFERROR(VLOOKUP(D1725,Stock,3,FALSE),"")</f>
        <v>Toyota Raize / Daihatsu Rocky 20- [Sensor]</v>
      </c>
      <c r="F1725" s="822">
        <v>1.0</v>
      </c>
      <c r="G1725" s="756">
        <v>1046250.0</v>
      </c>
      <c r="H1725" s="824">
        <f t="shared" si="12"/>
        <v>1046250</v>
      </c>
      <c r="I1725" s="825"/>
      <c r="J1725" s="826"/>
      <c r="K1725" s="827"/>
    </row>
    <row r="1726" ht="15.0" customHeight="1">
      <c r="A1726" s="834">
        <v>46133.0</v>
      </c>
      <c r="B1726" s="603">
        <v>2604805.0</v>
      </c>
      <c r="C1726" s="822" t="s">
        <v>10136</v>
      </c>
      <c r="D1726" s="109" t="s">
        <v>9678</v>
      </c>
      <c r="E1726" s="594" t="str">
        <f>IFERROR(VLOOKUP(D1726,Stock,3,FALSE),"")</f>
        <v>Mazda 2 09-14 3rd Gen Hatchback</v>
      </c>
      <c r="F1726" s="822">
        <v>1.0</v>
      </c>
      <c r="G1726" s="756">
        <v>583550.0</v>
      </c>
      <c r="H1726" s="824">
        <f t="shared" si="12"/>
        <v>583550</v>
      </c>
      <c r="I1726" s="825"/>
      <c r="J1726" s="826"/>
      <c r="K1726" s="850" t="s">
        <v>8388</v>
      </c>
    </row>
    <row r="1727" ht="15.0" customHeight="1">
      <c r="A1727" s="834">
        <v>46132.0</v>
      </c>
      <c r="B1727" s="603">
        <v>2604751.0</v>
      </c>
      <c r="C1727" s="822" t="s">
        <v>10136</v>
      </c>
      <c r="D1727" s="109" t="s">
        <v>9659</v>
      </c>
      <c r="E1727" s="594" t="str">
        <f>IFERROR(VLOOKUP(D1727,Stock,3,FALSE),"")</f>
        <v>Lexus RX (Harrier) 03-08 XU30</v>
      </c>
      <c r="F1727" s="822">
        <v>1.0</v>
      </c>
      <c r="G1727" s="756">
        <v>442200.0</v>
      </c>
      <c r="H1727" s="824">
        <f t="shared" si="12"/>
        <v>442200</v>
      </c>
      <c r="I1727" s="825"/>
      <c r="J1727" s="826"/>
      <c r="K1727" s="850" t="s">
        <v>8388</v>
      </c>
    </row>
    <row r="1728" ht="15.0" customHeight="1">
      <c r="A1728" s="834">
        <v>46132.0</v>
      </c>
      <c r="B1728" s="603">
        <v>2604751.0</v>
      </c>
      <c r="C1728" s="822" t="s">
        <v>10136</v>
      </c>
      <c r="D1728" s="109" t="s">
        <v>4322</v>
      </c>
      <c r="E1728" s="594" t="str">
        <f>IFERROR(VLOOKUP(D1728,Stock,3,FALSE),"")</f>
        <v>Nissan Livina 13-18 L11 (Lubang)</v>
      </c>
      <c r="F1728" s="822">
        <v>1.0</v>
      </c>
      <c r="G1728" s="756">
        <v>525250.0</v>
      </c>
      <c r="H1728" s="824">
        <f t="shared" si="12"/>
        <v>525250</v>
      </c>
      <c r="I1728" s="825"/>
      <c r="J1728" s="826"/>
      <c r="K1728" s="850" t="s">
        <v>8388</v>
      </c>
    </row>
    <row r="1729" ht="15.0" customHeight="1">
      <c r="A1729" s="786">
        <v>46135.0</v>
      </c>
      <c r="B1729" s="929" t="s">
        <v>10846</v>
      </c>
      <c r="C1729" s="788" t="s">
        <v>79</v>
      </c>
      <c r="D1729" s="851" t="s">
        <v>4017</v>
      </c>
      <c r="E1729" s="790" t="str">
        <f>IFERROR(VLOOKUP(D1729,Stock,3,FALSE),"")</f>
        <v>Black Phantom Solar Gard</v>
      </c>
      <c r="F1729" s="788">
        <v>1.0</v>
      </c>
      <c r="G1729" s="860">
        <v>250000.0</v>
      </c>
      <c r="H1729" s="799">
        <f t="shared" si="12"/>
        <v>250000</v>
      </c>
      <c r="I1729" s="800"/>
      <c r="J1729" s="812"/>
      <c r="K1729" s="848" t="s">
        <v>8219</v>
      </c>
      <c r="L1729" s="806" t="s">
        <v>10137</v>
      </c>
      <c r="M1729" s="806" t="s">
        <v>2763</v>
      </c>
      <c r="N1729" s="837">
        <v>46136.0</v>
      </c>
      <c r="O1729" s="803"/>
    </row>
    <row r="1730" ht="15.0" customHeight="1">
      <c r="A1730" s="786">
        <v>46135.0</v>
      </c>
      <c r="B1730" s="929" t="s">
        <v>10847</v>
      </c>
      <c r="C1730" s="851" t="s">
        <v>2502</v>
      </c>
      <c r="D1730" s="930" t="s">
        <v>7345</v>
      </c>
      <c r="E1730" s="790" t="str">
        <f>IFERROR(VLOOKUP(D1730,Stock,3,FALSE),"")</f>
        <v>VIP Vkool Automotive Film</v>
      </c>
      <c r="F1730" s="788">
        <v>1.0</v>
      </c>
      <c r="G1730" s="860">
        <v>3234000.0</v>
      </c>
      <c r="H1730" s="799">
        <f t="shared" si="12"/>
        <v>3234000</v>
      </c>
      <c r="I1730" s="800"/>
      <c r="J1730" s="812"/>
      <c r="K1730" s="848" t="s">
        <v>8219</v>
      </c>
      <c r="L1730" s="806" t="s">
        <v>10137</v>
      </c>
      <c r="M1730" s="806" t="s">
        <v>2763</v>
      </c>
      <c r="N1730" s="837">
        <v>46136.0</v>
      </c>
      <c r="O1730" s="803"/>
    </row>
    <row r="1731" ht="15.0" customHeight="1">
      <c r="A1731" s="834">
        <v>46133.0</v>
      </c>
      <c r="B1731" s="603" t="s">
        <v>10848</v>
      </c>
      <c r="C1731" s="822" t="s">
        <v>10139</v>
      </c>
      <c r="D1731" s="109" t="s">
        <v>10849</v>
      </c>
      <c r="E1731" s="594" t="str">
        <f>IFERROR(VLOOKUP(D1731,Stock,3,FALSE),"")</f>
        <v>Honda Odyssey 03-08 3rd Gen RB1-RB2 (Lampu Δ)</v>
      </c>
      <c r="F1731" s="822">
        <v>1.0</v>
      </c>
      <c r="G1731" s="756">
        <v>1800225.0</v>
      </c>
      <c r="H1731" s="824">
        <f t="shared" si="12"/>
        <v>1800225</v>
      </c>
      <c r="I1731" s="825"/>
      <c r="J1731" s="826"/>
      <c r="K1731" s="850" t="s">
        <v>9900</v>
      </c>
    </row>
    <row r="1732" ht="15.0" customHeight="1">
      <c r="A1732" s="834">
        <v>46133.0</v>
      </c>
      <c r="B1732" s="603" t="s">
        <v>10848</v>
      </c>
      <c r="C1732" s="822" t="s">
        <v>10139</v>
      </c>
      <c r="D1732" s="109" t="s">
        <v>9683</v>
      </c>
      <c r="E1732" s="594" t="str">
        <f>IFERROR(VLOOKUP(D1732,Stock,3,FALSE),"")</f>
        <v>Ford Everest 06-15</v>
      </c>
      <c r="F1732" s="822">
        <v>1.0</v>
      </c>
      <c r="G1732" s="756">
        <v>875000.0</v>
      </c>
      <c r="H1732" s="824">
        <f t="shared" si="12"/>
        <v>875000</v>
      </c>
      <c r="I1732" s="825"/>
      <c r="J1732" s="826"/>
      <c r="K1732" s="850" t="s">
        <v>9900</v>
      </c>
    </row>
    <row r="1733" ht="15.0" customHeight="1">
      <c r="A1733" s="834">
        <v>46135.0</v>
      </c>
      <c r="B1733" s="603">
        <v>2604858.0</v>
      </c>
      <c r="C1733" s="822" t="s">
        <v>10136</v>
      </c>
      <c r="D1733" s="109" t="s">
        <v>3130</v>
      </c>
      <c r="E1733" s="594" t="str">
        <f>IFERROR(VLOOKUP(D1733,Stock,3,FALSE),"")</f>
        <v>Toyota Innova 04-15 1st Gen</v>
      </c>
      <c r="F1733" s="822">
        <v>1.0</v>
      </c>
      <c r="G1733" s="756">
        <v>600600.0</v>
      </c>
      <c r="H1733" s="824">
        <f t="shared" si="12"/>
        <v>600600</v>
      </c>
      <c r="I1733" s="825"/>
      <c r="J1733" s="826"/>
      <c r="K1733" s="850" t="s">
        <v>10850</v>
      </c>
    </row>
    <row r="1734" ht="15.0" customHeight="1">
      <c r="A1734" s="834">
        <v>46135.0</v>
      </c>
      <c r="B1734" s="603">
        <v>2604820.0</v>
      </c>
      <c r="C1734" s="822" t="s">
        <v>10136</v>
      </c>
      <c r="D1734" s="109" t="s">
        <v>9674</v>
      </c>
      <c r="E1734" s="594" t="str">
        <f>IFERROR(VLOOKUP(D1734,Stock,3,FALSE),"")</f>
        <v>Isuzu MUX / Colorado</v>
      </c>
      <c r="F1734" s="822">
        <v>1.0</v>
      </c>
      <c r="G1734" s="756">
        <v>915200.0</v>
      </c>
      <c r="H1734" s="824">
        <f t="shared" si="12"/>
        <v>915200</v>
      </c>
      <c r="I1734" s="825"/>
      <c r="J1734" s="826"/>
      <c r="K1734" s="850" t="s">
        <v>10850</v>
      </c>
    </row>
    <row r="1735" ht="15.0" customHeight="1">
      <c r="A1735" s="834">
        <v>46135.0</v>
      </c>
      <c r="B1735" s="603">
        <v>2604820.0</v>
      </c>
      <c r="C1735" s="822" t="s">
        <v>10136</v>
      </c>
      <c r="D1735" s="109" t="s">
        <v>9690</v>
      </c>
      <c r="E1735" s="594" t="str">
        <f>IFERROR(VLOOKUP(D1735,Stock,3,FALSE),"")</f>
        <v>BYD Sealion 7 24- (2 Sensor / /\ O )</v>
      </c>
      <c r="F1735" s="822">
        <v>1.0</v>
      </c>
      <c r="G1735" s="756">
        <v>2750000.0</v>
      </c>
      <c r="H1735" s="824">
        <f t="shared" si="12"/>
        <v>2750000</v>
      </c>
      <c r="I1735" s="825"/>
      <c r="J1735" s="826"/>
      <c r="K1735" s="850" t="s">
        <v>10850</v>
      </c>
    </row>
    <row r="1736" ht="15.0" customHeight="1">
      <c r="A1736" s="834">
        <v>46135.0</v>
      </c>
      <c r="B1736" s="603">
        <v>2604820.0</v>
      </c>
      <c r="C1736" s="822" t="s">
        <v>10136</v>
      </c>
      <c r="D1736" s="931" t="s">
        <v>9390</v>
      </c>
      <c r="E1736" s="594" t="str">
        <f>IFERROR(VLOOKUP(D1736,Stock,3,FALSE),"")</f>
        <v>Hyundai Santa Fe 18-23 (thn 21-23) (2 Sensor / /\ O)</v>
      </c>
      <c r="F1736" s="822">
        <v>1.0</v>
      </c>
      <c r="G1736" s="756">
        <v>1925000.0</v>
      </c>
      <c r="H1736" s="824">
        <f t="shared" si="12"/>
        <v>1925000</v>
      </c>
      <c r="I1736" s="825"/>
      <c r="J1736" s="826"/>
      <c r="K1736" s="850" t="s">
        <v>10850</v>
      </c>
    </row>
    <row r="1737" ht="15.0" customHeight="1">
      <c r="A1737" s="834">
        <v>46135.0</v>
      </c>
      <c r="B1737" s="932" t="s">
        <v>10851</v>
      </c>
      <c r="C1737" s="109" t="s">
        <v>10148</v>
      </c>
      <c r="D1737" s="899" t="s">
        <v>5689</v>
      </c>
      <c r="E1737" s="594" t="str">
        <f>IFERROR(VLOOKUP(D1737,Stock,3,FALSE),"")</f>
        <v>Toyota Avanza / Xenia 21- 4th Gen ( Sensor)</v>
      </c>
      <c r="F1737" s="109">
        <v>1.0</v>
      </c>
      <c r="G1737" s="756"/>
      <c r="H1737" s="824">
        <f t="shared" si="12"/>
        <v>0</v>
      </c>
      <c r="I1737" s="825"/>
      <c r="J1737" s="826"/>
      <c r="K1737" s="827"/>
    </row>
    <row r="1738" ht="15.0" customHeight="1">
      <c r="A1738" s="834">
        <v>46132.0</v>
      </c>
      <c r="B1738" s="603" t="s">
        <v>10852</v>
      </c>
      <c r="C1738" s="822" t="s">
        <v>10300</v>
      </c>
      <c r="D1738" s="109" t="s">
        <v>9636</v>
      </c>
      <c r="E1738" s="594" t="str">
        <f>IFERROR(VLOOKUP(D1738,Stock,3,FALSE),"")</f>
        <v>Toyota Voxy 17-21 1st Gen (Toyota)</v>
      </c>
      <c r="F1738" s="822">
        <v>1.0</v>
      </c>
      <c r="G1738" s="756">
        <v>1352000.0</v>
      </c>
      <c r="H1738" s="824">
        <f t="shared" si="12"/>
        <v>1352000</v>
      </c>
      <c r="I1738" s="825"/>
      <c r="J1738" s="826"/>
      <c r="K1738" s="850" t="s">
        <v>9900</v>
      </c>
    </row>
    <row r="1739" ht="15.0" customHeight="1">
      <c r="A1739" s="834">
        <v>46132.0</v>
      </c>
      <c r="B1739" s="603" t="s">
        <v>10852</v>
      </c>
      <c r="C1739" s="822" t="s">
        <v>10300</v>
      </c>
      <c r="D1739" s="109" t="s">
        <v>10853</v>
      </c>
      <c r="E1739" s="594" t="str">
        <f>IFERROR(VLOOKUP(D1739,Stock,3,FALSE),"")</f>
        <v>Toyota Voxy 17-21 1st Gen (Toyota)</v>
      </c>
      <c r="F1739" s="109">
        <v>1.0</v>
      </c>
      <c r="G1739" s="756">
        <v>4636800.0</v>
      </c>
      <c r="H1739" s="824">
        <f t="shared" si="12"/>
        <v>4636800</v>
      </c>
      <c r="I1739" s="825"/>
      <c r="J1739" s="826"/>
      <c r="K1739" s="850" t="s">
        <v>9900</v>
      </c>
    </row>
    <row r="1740" ht="15.0" customHeight="1">
      <c r="A1740" s="834">
        <v>46132.0</v>
      </c>
      <c r="B1740" s="603" t="s">
        <v>10854</v>
      </c>
      <c r="C1740" s="822" t="s">
        <v>10300</v>
      </c>
      <c r="D1740" s="109" t="s">
        <v>10855</v>
      </c>
      <c r="E1740" s="594" t="str">
        <f>IFERROR(VLOOKUP(D1740,Stock,3,FALSE),"")</f>
        <v/>
      </c>
      <c r="F1740" s="109">
        <v>1.0</v>
      </c>
      <c r="G1740" s="756">
        <v>349740.0</v>
      </c>
      <c r="H1740" s="824">
        <f t="shared" si="12"/>
        <v>349740</v>
      </c>
      <c r="I1740" s="825"/>
      <c r="J1740" s="826"/>
      <c r="K1740" s="850" t="s">
        <v>9900</v>
      </c>
    </row>
    <row r="1741" ht="15.0" customHeight="1">
      <c r="A1741" s="834">
        <v>46134.0</v>
      </c>
      <c r="B1741" s="603" t="s">
        <v>10856</v>
      </c>
      <c r="C1741" s="822" t="s">
        <v>2643</v>
      </c>
      <c r="D1741" s="109" t="s">
        <v>3013</v>
      </c>
      <c r="E1741" s="594" t="str">
        <f>IFERROR(VLOOKUP(D1741,Stock,3,FALSE),"")</f>
        <v>Honda Freed 08-16 1st Gen (Honda)</v>
      </c>
      <c r="F1741" s="109">
        <v>1.0</v>
      </c>
      <c r="G1741" s="756">
        <v>2124540.0</v>
      </c>
      <c r="H1741" s="824">
        <f t="shared" si="12"/>
        <v>2124540</v>
      </c>
      <c r="I1741" s="825"/>
      <c r="J1741" s="826"/>
      <c r="K1741" s="850" t="s">
        <v>9900</v>
      </c>
    </row>
    <row r="1742" ht="15.0" customHeight="1">
      <c r="A1742" s="834">
        <v>46134.0</v>
      </c>
      <c r="B1742" s="603" t="s">
        <v>10856</v>
      </c>
      <c r="C1742" s="822" t="s">
        <v>2643</v>
      </c>
      <c r="D1742" s="109" t="s">
        <v>4720</v>
      </c>
      <c r="E1742" s="594" t="str">
        <f>IFERROR(VLOOKUP(D1742,Stock,3,FALSE),"")</f>
        <v>Honda Jazz 13-  3rd Gen (Honda)</v>
      </c>
      <c r="F1742" s="109">
        <v>2.0</v>
      </c>
      <c r="G1742" s="756">
        <v>1670328.0</v>
      </c>
      <c r="H1742" s="824">
        <f t="shared" si="12"/>
        <v>3340656</v>
      </c>
      <c r="I1742" s="825"/>
      <c r="J1742" s="826"/>
      <c r="K1742" s="850" t="s">
        <v>9900</v>
      </c>
    </row>
    <row r="1743" ht="15.0" customHeight="1">
      <c r="A1743" s="834">
        <v>46133.0</v>
      </c>
      <c r="B1743" s="603" t="s">
        <v>10857</v>
      </c>
      <c r="C1743" s="822" t="s">
        <v>2643</v>
      </c>
      <c r="D1743" s="109" t="s">
        <v>2665</v>
      </c>
      <c r="E1743" s="594" t="str">
        <f>IFERROR(VLOOKUP(D1743,Stock,3,FALSE),"")</f>
        <v>Honda Brio 10- (Honda)</v>
      </c>
      <c r="F1743" s="109">
        <v>1.0</v>
      </c>
      <c r="G1743" s="756">
        <v>224664.0</v>
      </c>
      <c r="H1743" s="824">
        <f t="shared" si="12"/>
        <v>224664</v>
      </c>
      <c r="I1743" s="825"/>
      <c r="J1743" s="826"/>
      <c r="K1743" s="827"/>
    </row>
    <row r="1744" ht="15.0" customHeight="1">
      <c r="A1744" s="834">
        <v>46133.0</v>
      </c>
      <c r="B1744" s="603" t="s">
        <v>10857</v>
      </c>
      <c r="C1744" s="822" t="s">
        <v>2643</v>
      </c>
      <c r="D1744" s="109" t="s">
        <v>3396</v>
      </c>
      <c r="E1744" s="594" t="str">
        <f>IFERROR(VLOOKUP(D1744,Stock,3,FALSE),"")</f>
        <v>Honda HR-V 22- 5D SUV (Honda)</v>
      </c>
      <c r="F1744" s="109">
        <v>1.0</v>
      </c>
      <c r="G1744" s="756">
        <v>351648.0</v>
      </c>
      <c r="H1744" s="824">
        <f t="shared" si="12"/>
        <v>351648</v>
      </c>
      <c r="I1744" s="825"/>
      <c r="J1744" s="826"/>
      <c r="K1744" s="827"/>
    </row>
    <row r="1745" ht="15.0" customHeight="1">
      <c r="A1745" s="834">
        <v>46133.0</v>
      </c>
      <c r="B1745" s="603" t="s">
        <v>10857</v>
      </c>
      <c r="C1745" s="822" t="s">
        <v>2643</v>
      </c>
      <c r="D1745" s="109" t="s">
        <v>5473</v>
      </c>
      <c r="E1745" s="594" t="str">
        <f>IFERROR(VLOOKUP(D1745,Stock,3,FALSE),"")</f>
        <v>Honda HR-V 14-21 5D SUV (Honda)</v>
      </c>
      <c r="F1745" s="109">
        <v>2.0</v>
      </c>
      <c r="G1745" s="756">
        <v>390720.0</v>
      </c>
      <c r="H1745" s="824">
        <f t="shared" si="12"/>
        <v>781440</v>
      </c>
      <c r="I1745" s="825"/>
      <c r="J1745" s="826"/>
      <c r="K1745" s="827"/>
    </row>
    <row r="1746" ht="15.0" customHeight="1">
      <c r="A1746" s="834">
        <v>46122.0</v>
      </c>
      <c r="B1746" s="603" t="s">
        <v>10858</v>
      </c>
      <c r="C1746" s="109" t="s">
        <v>10148</v>
      </c>
      <c r="D1746" s="109" t="s">
        <v>10859</v>
      </c>
      <c r="E1746" s="594" t="str">
        <f>IFERROR(VLOOKUP(D1746,Stock,3,FALSE),"")</f>
        <v>Toyota Avanza / Xenia 03-11 1st Gen</v>
      </c>
      <c r="F1746" s="109">
        <v>1.0</v>
      </c>
      <c r="G1746" s="756"/>
      <c r="H1746" s="824">
        <f t="shared" si="12"/>
        <v>0</v>
      </c>
      <c r="I1746" s="825"/>
      <c r="J1746" s="826"/>
    </row>
    <row r="1747" ht="15.0" customHeight="1">
      <c r="A1747" s="834">
        <v>46122.0</v>
      </c>
      <c r="B1747" s="603" t="s">
        <v>10858</v>
      </c>
      <c r="C1747" s="109" t="s">
        <v>10148</v>
      </c>
      <c r="D1747" s="109" t="s">
        <v>10860</v>
      </c>
      <c r="E1747" s="594" t="str">
        <f>IFERROR(VLOOKUP(D1747,Stock,3,FALSE),"")</f>
        <v>Toyota Avanza / Xenia 03-11 1st Gen</v>
      </c>
      <c r="F1747" s="109">
        <v>1.0</v>
      </c>
      <c r="G1747" s="756"/>
      <c r="H1747" s="824">
        <f t="shared" si="12"/>
        <v>0</v>
      </c>
      <c r="I1747" s="825"/>
      <c r="J1747" s="826"/>
    </row>
    <row r="1748" ht="15.0" customHeight="1">
      <c r="A1748" s="834">
        <v>46122.0</v>
      </c>
      <c r="B1748" s="603" t="s">
        <v>10858</v>
      </c>
      <c r="C1748" s="109" t="s">
        <v>10148</v>
      </c>
      <c r="D1748" s="109" t="s">
        <v>10861</v>
      </c>
      <c r="E1748" s="594" t="str">
        <f>IFERROR(VLOOKUP(D1748,Stock,3,FALSE),"")</f>
        <v>Toyota Avanza / Xenia 03-11 1st Gen</v>
      </c>
      <c r="F1748" s="109">
        <v>2.0</v>
      </c>
      <c r="G1748" s="756"/>
      <c r="H1748" s="824">
        <f t="shared" si="12"/>
        <v>0</v>
      </c>
      <c r="I1748" s="825"/>
      <c r="J1748" s="826"/>
    </row>
    <row r="1749" ht="15.0" customHeight="1">
      <c r="A1749" s="834">
        <v>46122.0</v>
      </c>
      <c r="B1749" s="603" t="s">
        <v>10858</v>
      </c>
      <c r="C1749" s="109" t="s">
        <v>10148</v>
      </c>
      <c r="D1749" s="109" t="s">
        <v>10862</v>
      </c>
      <c r="E1749" s="594" t="str">
        <f>IFERROR(VLOOKUP(D1749,Stock,3,FALSE),"")</f>
        <v>Toyota Avanza / Xenia 21- 4th Gen</v>
      </c>
      <c r="F1749" s="109">
        <v>1.0</v>
      </c>
      <c r="G1749" s="756"/>
      <c r="H1749" s="824"/>
      <c r="I1749" s="825"/>
      <c r="J1749" s="826"/>
    </row>
    <row r="1750" ht="15.0" customHeight="1">
      <c r="A1750" s="834">
        <v>46122.0</v>
      </c>
      <c r="B1750" s="603" t="s">
        <v>10858</v>
      </c>
      <c r="C1750" s="109" t="s">
        <v>10148</v>
      </c>
      <c r="D1750" s="109" t="s">
        <v>10863</v>
      </c>
      <c r="E1750" s="594" t="str">
        <f>IFERROR(VLOOKUP(D1750,Stock,3,FALSE),"")</f>
        <v>Toyota Avanza / Xenia 21- 4th Gen</v>
      </c>
      <c r="F1750" s="109">
        <v>1.0</v>
      </c>
      <c r="G1750" s="756"/>
      <c r="H1750" s="824"/>
      <c r="I1750" s="825"/>
      <c r="J1750" s="826"/>
    </row>
    <row r="1751" ht="15.0" customHeight="1">
      <c r="A1751" s="834">
        <v>46122.0</v>
      </c>
      <c r="B1751" s="603" t="s">
        <v>10858</v>
      </c>
      <c r="C1751" s="109" t="s">
        <v>10148</v>
      </c>
      <c r="D1751" s="109" t="s">
        <v>10864</v>
      </c>
      <c r="E1751" s="594" t="str">
        <f>IFERROR(VLOOKUP(D1751,Stock,3,FALSE),"")</f>
        <v>Toyota Agya/Ayla 13-22 1st Gen</v>
      </c>
      <c r="F1751" s="109">
        <v>1.0</v>
      </c>
      <c r="G1751" s="756"/>
      <c r="H1751" s="824"/>
      <c r="I1751" s="825"/>
      <c r="J1751" s="826"/>
    </row>
    <row r="1752" ht="15.0" customHeight="1">
      <c r="A1752" s="834">
        <v>46122.0</v>
      </c>
      <c r="B1752" s="603" t="s">
        <v>10858</v>
      </c>
      <c r="C1752" s="109" t="s">
        <v>10148</v>
      </c>
      <c r="D1752" s="109" t="s">
        <v>10865</v>
      </c>
      <c r="E1752" s="594" t="str">
        <f>IFERROR(VLOOKUP(D1752,Stock,3,FALSE),"")</f>
        <v>Toyota Agya/Ayla 13-22 1st Gen</v>
      </c>
      <c r="F1752" s="109">
        <v>1.0</v>
      </c>
      <c r="G1752" s="756"/>
      <c r="H1752" s="824"/>
      <c r="I1752" s="825"/>
      <c r="J1752" s="826"/>
    </row>
    <row r="1753" ht="15.0" customHeight="1">
      <c r="A1753" s="834">
        <v>46122.0</v>
      </c>
      <c r="B1753" s="603" t="s">
        <v>10858</v>
      </c>
      <c r="C1753" s="109" t="s">
        <v>10148</v>
      </c>
      <c r="D1753" s="109" t="s">
        <v>10866</v>
      </c>
      <c r="E1753" s="594" t="str">
        <f>IFERROR(VLOOKUP(D1753,Stock,3,FALSE),"")</f>
        <v>Toyota Agya/Ayla 13-22 1st Gen</v>
      </c>
      <c r="F1753" s="109">
        <v>1.0</v>
      </c>
      <c r="G1753" s="756"/>
      <c r="H1753" s="824"/>
      <c r="I1753" s="825"/>
      <c r="J1753" s="826"/>
    </row>
    <row r="1754" ht="15.0" customHeight="1">
      <c r="A1754" s="834">
        <v>46122.0</v>
      </c>
      <c r="B1754" s="603" t="s">
        <v>10858</v>
      </c>
      <c r="C1754" s="109" t="s">
        <v>10148</v>
      </c>
      <c r="D1754" s="109" t="s">
        <v>10867</v>
      </c>
      <c r="E1754" s="594" t="str">
        <f>IFERROR(VLOOKUP(D1754,Stock,3,FALSE),"")</f>
        <v>Toyota Agya/Ayla 13-22 1st Gen</v>
      </c>
      <c r="F1754" s="109">
        <v>1.0</v>
      </c>
      <c r="G1754" s="756"/>
      <c r="H1754" s="824"/>
      <c r="I1754" s="825"/>
      <c r="J1754" s="826"/>
    </row>
    <row r="1755" ht="15.0" customHeight="1">
      <c r="A1755" s="834">
        <v>46122.0</v>
      </c>
      <c r="B1755" s="603" t="s">
        <v>10858</v>
      </c>
      <c r="C1755" s="109" t="s">
        <v>10148</v>
      </c>
      <c r="D1755" s="109" t="s">
        <v>10868</v>
      </c>
      <c r="E1755" s="594" t="str">
        <f>IFERROR(VLOOKUP(D1755,Stock,3,FALSE),"")</f>
        <v>Suzuki Ertiga 18- 2nd Gen (ORI MULIA) / XL7</v>
      </c>
      <c r="F1755" s="109">
        <v>2.0</v>
      </c>
      <c r="G1755" s="756"/>
      <c r="H1755" s="824"/>
      <c r="I1755" s="825"/>
      <c r="J1755" s="826"/>
    </row>
    <row r="1756" ht="15.0" customHeight="1">
      <c r="A1756" s="834">
        <v>46122.0</v>
      </c>
      <c r="B1756" s="603" t="s">
        <v>10858</v>
      </c>
      <c r="C1756" s="109" t="s">
        <v>10148</v>
      </c>
      <c r="D1756" s="109" t="s">
        <v>5535</v>
      </c>
      <c r="E1756" s="594" t="str">
        <f>IFERROR(VLOOKUP(D1756,Stock,3,FALSE),"")</f>
        <v>Nissan Livina   07-18 L10/L11</v>
      </c>
      <c r="F1756" s="109">
        <v>1.0</v>
      </c>
      <c r="G1756" s="756"/>
      <c r="H1756" s="824"/>
      <c r="I1756" s="825"/>
      <c r="J1756" s="826"/>
    </row>
    <row r="1757" ht="15.0" customHeight="1">
      <c r="A1757" s="834">
        <v>46122.0</v>
      </c>
      <c r="B1757" s="603" t="s">
        <v>10858</v>
      </c>
      <c r="C1757" s="109" t="s">
        <v>10148</v>
      </c>
      <c r="D1757" s="109" t="s">
        <v>9406</v>
      </c>
      <c r="E1757" s="594" t="str">
        <f>IFERROR(VLOOKUP(D1757,Stock,3,FALSE),"")</f>
        <v>Toyota Sienta 15-</v>
      </c>
      <c r="F1757" s="109">
        <v>1.0</v>
      </c>
      <c r="G1757" s="756"/>
      <c r="H1757" s="824"/>
      <c r="I1757" s="825"/>
      <c r="J1757" s="826"/>
    </row>
    <row r="1758" ht="15.0" customHeight="1">
      <c r="A1758" s="834">
        <v>46122.0</v>
      </c>
      <c r="B1758" s="603" t="s">
        <v>10858</v>
      </c>
      <c r="C1758" s="109" t="s">
        <v>10148</v>
      </c>
      <c r="D1758" s="109" t="s">
        <v>5562</v>
      </c>
      <c r="E1758" s="594" t="str">
        <f>IFERROR(VLOOKUP(D1758,Stock,3,FALSE),"")</f>
        <v>Honda Jazz 07-13 2nd Gen (Honda)</v>
      </c>
      <c r="F1758" s="109">
        <v>1.0</v>
      </c>
      <c r="G1758" s="756"/>
      <c r="H1758" s="824"/>
      <c r="I1758" s="825"/>
      <c r="J1758" s="826"/>
    </row>
    <row r="1759" ht="15.0" customHeight="1">
      <c r="A1759" s="834">
        <v>46137.0</v>
      </c>
      <c r="B1759" s="603" t="s">
        <v>10869</v>
      </c>
      <c r="C1759" s="109" t="s">
        <v>10139</v>
      </c>
      <c r="D1759" s="109" t="s">
        <v>2973</v>
      </c>
      <c r="E1759" s="594" t="str">
        <f>IFERROR(VLOOKUP(D1759,Stock,3,FALSE),"")</f>
        <v>Suzuki Carry New 19-</v>
      </c>
      <c r="F1759" s="109">
        <v>1.0</v>
      </c>
      <c r="G1759" s="756">
        <v>617000.0</v>
      </c>
      <c r="H1759" s="824"/>
      <c r="I1759" s="825"/>
      <c r="J1759" s="826"/>
    </row>
    <row r="1760" ht="15.0" customHeight="1">
      <c r="A1760" s="834">
        <v>46137.0</v>
      </c>
      <c r="B1760" s="603" t="s">
        <v>10870</v>
      </c>
      <c r="C1760" s="109" t="s">
        <v>10139</v>
      </c>
      <c r="D1760" s="109" t="s">
        <v>9752</v>
      </c>
      <c r="E1760" s="594" t="str">
        <f>IFERROR(VLOOKUP(D1760,Stock,3,FALSE),"")</f>
        <v/>
      </c>
      <c r="F1760" s="109">
        <v>1.0</v>
      </c>
      <c r="G1760" s="756">
        <v>2295000.0</v>
      </c>
      <c r="H1760" s="824"/>
      <c r="I1760" s="825"/>
      <c r="J1760" s="826"/>
    </row>
    <row r="1761" ht="15.0" customHeight="1">
      <c r="A1761" s="834">
        <v>46137.0</v>
      </c>
      <c r="B1761" s="603" t="s">
        <v>10871</v>
      </c>
      <c r="C1761" s="109" t="s">
        <v>10139</v>
      </c>
      <c r="D1761" s="109" t="s">
        <v>9757</v>
      </c>
      <c r="E1761" s="594" t="str">
        <f>IFERROR(VLOOKUP(D1761,Stock,3,FALSE),"")</f>
        <v/>
      </c>
      <c r="F1761" s="109">
        <v>1.0</v>
      </c>
      <c r="G1761" s="756"/>
      <c r="H1761" s="824"/>
      <c r="I1761" s="825"/>
      <c r="J1761" s="826"/>
    </row>
    <row r="1762" ht="15.0" customHeight="1">
      <c r="A1762" s="834"/>
      <c r="B1762" s="603"/>
      <c r="C1762" s="109"/>
      <c r="D1762" s="594"/>
      <c r="E1762" s="594"/>
      <c r="F1762" s="594"/>
      <c r="G1762" s="756"/>
      <c r="H1762" s="824"/>
      <c r="I1762" s="825"/>
      <c r="J1762" s="826"/>
    </row>
    <row r="1763" ht="15.0" customHeight="1">
      <c r="A1763" s="834"/>
      <c r="B1763" s="603"/>
      <c r="C1763" s="109"/>
      <c r="D1763" s="594"/>
      <c r="E1763" s="594"/>
      <c r="F1763" s="594"/>
      <c r="G1763" s="756"/>
      <c r="H1763" s="824"/>
      <c r="I1763" s="825"/>
      <c r="J1763" s="826"/>
    </row>
    <row r="1764" ht="15.0" customHeight="1">
      <c r="A1764" s="834"/>
      <c r="B1764" s="603"/>
      <c r="C1764" s="109"/>
      <c r="D1764" s="594"/>
      <c r="E1764" s="594"/>
      <c r="F1764" s="594"/>
      <c r="G1764" s="756"/>
      <c r="H1764" s="824"/>
      <c r="I1764" s="825"/>
      <c r="J1764" s="826"/>
    </row>
    <row r="1765" ht="15.0" customHeight="1">
      <c r="A1765" s="834"/>
      <c r="B1765" s="603"/>
      <c r="C1765" s="109"/>
      <c r="D1765" s="594"/>
      <c r="E1765" s="594"/>
      <c r="F1765" s="594"/>
      <c r="G1765" s="756"/>
      <c r="H1765" s="824"/>
      <c r="I1765" s="825"/>
      <c r="J1765" s="826"/>
    </row>
    <row r="1766" ht="15.0" customHeight="1">
      <c r="A1766" s="834"/>
      <c r="B1766" s="603"/>
      <c r="C1766" s="109"/>
      <c r="D1766" s="594"/>
      <c r="E1766" s="594"/>
      <c r="F1766" s="594"/>
      <c r="G1766" s="756"/>
      <c r="H1766" s="824"/>
      <c r="I1766" s="825"/>
      <c r="J1766" s="826"/>
    </row>
    <row r="1767" ht="15.0" customHeight="1">
      <c r="A1767" s="834"/>
      <c r="B1767" s="603"/>
      <c r="C1767" s="109"/>
      <c r="D1767" s="594"/>
      <c r="E1767" s="594"/>
      <c r="F1767" s="594"/>
      <c r="G1767" s="756"/>
      <c r="H1767" s="824"/>
      <c r="I1767" s="825"/>
      <c r="J1767" s="826"/>
    </row>
    <row r="1768" ht="15.0" customHeight="1">
      <c r="A1768" s="834"/>
      <c r="B1768" s="603"/>
      <c r="C1768" s="109"/>
      <c r="D1768" s="594"/>
      <c r="E1768" s="594"/>
      <c r="F1768" s="594"/>
      <c r="G1768" s="756"/>
      <c r="H1768" s="824"/>
      <c r="I1768" s="825"/>
      <c r="J1768" s="826"/>
    </row>
    <row r="1769" ht="15.0" customHeight="1">
      <c r="A1769" s="834"/>
      <c r="B1769" s="603"/>
      <c r="C1769" s="109"/>
      <c r="D1769" s="594"/>
      <c r="E1769" s="594"/>
      <c r="F1769" s="594"/>
      <c r="G1769" s="756"/>
      <c r="H1769" s="824"/>
      <c r="I1769" s="825"/>
      <c r="J1769" s="826"/>
    </row>
    <row r="1770" ht="15.0" customHeight="1">
      <c r="A1770" s="834"/>
      <c r="B1770" s="603"/>
      <c r="C1770" s="109"/>
      <c r="D1770" s="594"/>
      <c r="E1770" s="594"/>
      <c r="F1770" s="594"/>
      <c r="G1770" s="756"/>
      <c r="H1770" s="824"/>
      <c r="I1770" s="825"/>
      <c r="J1770" s="826"/>
    </row>
    <row r="1771" ht="15.0" customHeight="1">
      <c r="A1771" s="834"/>
      <c r="B1771" s="603"/>
      <c r="C1771" s="109"/>
      <c r="D1771" s="594"/>
      <c r="E1771" s="594"/>
      <c r="F1771" s="594"/>
      <c r="G1771" s="756"/>
      <c r="H1771" s="824"/>
      <c r="I1771" s="825"/>
      <c r="J1771" s="826"/>
    </row>
    <row r="1772" ht="15.0" customHeight="1">
      <c r="A1772" s="834"/>
      <c r="B1772" s="603"/>
      <c r="C1772" s="109"/>
      <c r="D1772" s="594"/>
      <c r="E1772" s="594"/>
      <c r="F1772" s="594"/>
      <c r="G1772" s="756"/>
      <c r="H1772" s="824"/>
      <c r="I1772" s="825"/>
      <c r="J1772" s="826"/>
    </row>
    <row r="1773" ht="15.0" customHeight="1">
      <c r="A1773" s="834"/>
      <c r="B1773" s="603"/>
      <c r="C1773" s="109"/>
      <c r="D1773" s="594"/>
      <c r="E1773" s="594"/>
      <c r="F1773" s="594"/>
      <c r="G1773" s="756"/>
      <c r="H1773" s="824"/>
      <c r="I1773" s="825"/>
      <c r="J1773" s="826"/>
    </row>
    <row r="1774" ht="15.0" customHeight="1">
      <c r="A1774" s="834"/>
      <c r="B1774" s="603"/>
      <c r="C1774" s="109"/>
      <c r="D1774" s="594"/>
      <c r="E1774" s="594"/>
      <c r="F1774" s="594"/>
      <c r="G1774" s="756"/>
      <c r="H1774" s="824"/>
      <c r="I1774" s="825"/>
      <c r="J1774" s="826"/>
    </row>
    <row r="1775" ht="15.0" customHeight="1">
      <c r="A1775" s="834"/>
      <c r="B1775" s="603"/>
      <c r="C1775" s="109"/>
      <c r="D1775" s="594"/>
      <c r="E1775" s="594"/>
      <c r="F1775" s="594"/>
      <c r="G1775" s="756"/>
      <c r="H1775" s="824"/>
      <c r="I1775" s="825"/>
      <c r="J1775" s="826"/>
    </row>
    <row r="1776" ht="15.0" customHeight="1">
      <c r="A1776" s="834"/>
      <c r="B1776" s="603"/>
      <c r="C1776" s="109"/>
      <c r="D1776" s="594"/>
      <c r="E1776" s="594"/>
      <c r="F1776" s="594"/>
      <c r="G1776" s="756"/>
      <c r="H1776" s="824"/>
      <c r="I1776" s="825"/>
      <c r="J1776" s="826"/>
    </row>
    <row r="1777" ht="15.0" customHeight="1">
      <c r="A1777" s="834"/>
      <c r="B1777" s="603"/>
      <c r="C1777" s="109"/>
      <c r="D1777" s="594"/>
      <c r="E1777" s="594"/>
      <c r="F1777" s="594"/>
      <c r="G1777" s="756"/>
      <c r="H1777" s="824"/>
      <c r="I1777" s="825"/>
      <c r="J1777" s="826"/>
    </row>
    <row r="1778" ht="15.0" customHeight="1">
      <c r="A1778" s="834"/>
      <c r="B1778" s="603"/>
      <c r="C1778" s="109"/>
      <c r="D1778" s="594"/>
      <c r="E1778" s="594"/>
      <c r="F1778" s="594"/>
      <c r="G1778" s="756"/>
      <c r="H1778" s="824"/>
      <c r="I1778" s="825"/>
      <c r="J1778" s="826"/>
    </row>
    <row r="1779" ht="15.0" customHeight="1">
      <c r="A1779" s="834"/>
      <c r="B1779" s="603"/>
      <c r="C1779" s="109"/>
      <c r="D1779" s="594"/>
      <c r="E1779" s="594"/>
      <c r="F1779" s="594"/>
      <c r="G1779" s="756"/>
      <c r="H1779" s="824"/>
      <c r="I1779" s="825"/>
      <c r="J1779" s="826"/>
    </row>
    <row r="1780" ht="15.0" customHeight="1">
      <c r="A1780" s="834"/>
      <c r="B1780" s="603"/>
      <c r="C1780" s="109"/>
      <c r="D1780" s="594"/>
      <c r="E1780" s="594"/>
      <c r="F1780" s="594"/>
      <c r="G1780" s="756"/>
      <c r="H1780" s="824"/>
      <c r="I1780" s="825"/>
      <c r="J1780" s="826"/>
    </row>
    <row r="1781" ht="15.0" customHeight="1">
      <c r="A1781" s="834"/>
      <c r="B1781" s="603"/>
      <c r="C1781" s="109"/>
      <c r="D1781" s="594"/>
      <c r="E1781" s="594"/>
      <c r="F1781" s="594"/>
      <c r="G1781" s="756"/>
      <c r="H1781" s="824"/>
      <c r="I1781" s="825"/>
      <c r="J1781" s="826"/>
    </row>
    <row r="1782" ht="15.0" customHeight="1">
      <c r="A1782" s="834"/>
      <c r="B1782" s="603"/>
      <c r="C1782" s="109"/>
      <c r="D1782" s="594"/>
      <c r="E1782" s="594"/>
      <c r="F1782" s="594"/>
      <c r="G1782" s="756"/>
      <c r="H1782" s="824"/>
      <c r="I1782" s="825"/>
      <c r="J1782" s="826"/>
    </row>
    <row r="1783" ht="15.0" customHeight="1">
      <c r="A1783" s="834"/>
      <c r="B1783" s="603"/>
      <c r="C1783" s="109"/>
      <c r="D1783" s="594"/>
      <c r="E1783" s="594"/>
      <c r="F1783" s="594"/>
      <c r="G1783" s="756"/>
      <c r="H1783" s="824"/>
      <c r="I1783" s="825"/>
      <c r="J1783" s="826"/>
    </row>
    <row r="1784" ht="15.0" customHeight="1">
      <c r="A1784" s="834"/>
      <c r="B1784" s="603"/>
      <c r="C1784" s="109"/>
      <c r="D1784" s="594"/>
      <c r="E1784" s="594"/>
      <c r="F1784" s="594"/>
      <c r="G1784" s="756"/>
      <c r="H1784" s="824"/>
      <c r="I1784" s="825"/>
      <c r="J1784" s="826"/>
    </row>
    <row r="1785" ht="15.0" customHeight="1">
      <c r="A1785" s="834"/>
      <c r="B1785" s="603"/>
      <c r="C1785" s="109"/>
      <c r="D1785" s="594"/>
      <c r="E1785" s="594"/>
      <c r="F1785" s="594"/>
      <c r="G1785" s="756"/>
      <c r="H1785" s="824"/>
      <c r="I1785" s="825"/>
      <c r="J1785" s="826"/>
    </row>
    <row r="1786" ht="15.0" customHeight="1">
      <c r="A1786" s="834"/>
      <c r="B1786" s="603"/>
      <c r="C1786" s="109"/>
      <c r="D1786" s="594"/>
      <c r="E1786" s="594"/>
      <c r="F1786" s="594"/>
      <c r="G1786" s="756"/>
      <c r="H1786" s="824"/>
      <c r="I1786" s="825"/>
      <c r="J1786" s="826"/>
    </row>
    <row r="1787" ht="15.0" customHeight="1">
      <c r="A1787" s="834"/>
      <c r="B1787" s="603"/>
      <c r="C1787" s="109"/>
      <c r="D1787" s="594"/>
      <c r="E1787" s="594"/>
      <c r="F1787" s="594"/>
      <c r="G1787" s="756"/>
      <c r="H1787" s="824"/>
      <c r="I1787" s="825"/>
      <c r="J1787" s="826"/>
    </row>
    <row r="1788" ht="15.0" customHeight="1">
      <c r="A1788" s="834"/>
      <c r="B1788" s="603"/>
      <c r="C1788" s="109"/>
      <c r="D1788" s="594"/>
      <c r="E1788" s="594"/>
      <c r="F1788" s="594"/>
      <c r="G1788" s="756"/>
      <c r="H1788" s="824"/>
      <c r="I1788" s="825"/>
      <c r="J1788" s="826"/>
    </row>
    <row r="1789" ht="15.0" customHeight="1">
      <c r="A1789" s="834"/>
      <c r="B1789" s="603"/>
      <c r="C1789" s="109"/>
      <c r="D1789" s="594"/>
      <c r="E1789" s="594"/>
      <c r="F1789" s="594"/>
      <c r="G1789" s="756"/>
      <c r="H1789" s="824"/>
      <c r="I1789" s="825"/>
      <c r="J1789" s="826"/>
    </row>
    <row r="1790" ht="15.0" customHeight="1">
      <c r="A1790" s="834"/>
      <c r="B1790" s="603"/>
      <c r="C1790" s="109"/>
      <c r="D1790" s="594"/>
      <c r="E1790" s="594"/>
      <c r="F1790" s="594"/>
      <c r="G1790" s="756"/>
      <c r="H1790" s="824"/>
      <c r="I1790" s="825"/>
      <c r="J1790" s="826"/>
    </row>
    <row r="1791" ht="15.0" customHeight="1">
      <c r="A1791" s="834"/>
      <c r="B1791" s="603"/>
      <c r="C1791" s="109"/>
      <c r="D1791" s="594"/>
      <c r="E1791" s="594"/>
      <c r="F1791" s="594"/>
      <c r="G1791" s="756"/>
      <c r="H1791" s="824"/>
      <c r="I1791" s="825"/>
      <c r="J1791" s="826"/>
    </row>
    <row r="1792" ht="15.0" customHeight="1">
      <c r="A1792" s="834"/>
      <c r="B1792" s="603"/>
      <c r="C1792" s="109"/>
      <c r="D1792" s="594"/>
      <c r="E1792" s="594"/>
      <c r="F1792" s="594"/>
      <c r="G1792" s="756"/>
      <c r="H1792" s="824"/>
      <c r="I1792" s="825"/>
      <c r="J1792" s="826"/>
    </row>
    <row r="1793" ht="15.0" customHeight="1">
      <c r="A1793" s="834"/>
      <c r="B1793" s="603"/>
      <c r="C1793" s="109"/>
      <c r="D1793" s="594"/>
      <c r="E1793" s="594"/>
      <c r="F1793" s="594"/>
      <c r="G1793" s="756"/>
      <c r="H1793" s="824"/>
      <c r="I1793" s="825"/>
      <c r="J1793" s="826"/>
    </row>
    <row r="1794" ht="15.0" customHeight="1">
      <c r="A1794" s="834"/>
      <c r="B1794" s="603"/>
      <c r="C1794" s="109"/>
      <c r="D1794" s="594"/>
      <c r="E1794" s="594"/>
      <c r="F1794" s="594"/>
      <c r="G1794" s="756"/>
      <c r="H1794" s="824"/>
      <c r="I1794" s="825"/>
      <c r="J1794" s="826"/>
    </row>
    <row r="1795" ht="15.0" customHeight="1">
      <c r="A1795" s="834"/>
      <c r="B1795" s="603"/>
      <c r="C1795" s="109"/>
      <c r="D1795" s="594"/>
      <c r="E1795" s="594"/>
      <c r="F1795" s="594"/>
      <c r="G1795" s="756"/>
      <c r="H1795" s="824"/>
      <c r="I1795" s="825"/>
      <c r="J1795" s="826"/>
    </row>
    <row r="1796" ht="15.0" customHeight="1">
      <c r="A1796" s="834"/>
      <c r="B1796" s="603"/>
      <c r="C1796" s="109"/>
      <c r="D1796" s="594"/>
      <c r="E1796" s="594"/>
      <c r="F1796" s="594"/>
      <c r="G1796" s="756"/>
      <c r="H1796" s="824"/>
      <c r="I1796" s="825"/>
      <c r="J1796" s="826"/>
    </row>
    <row r="1797" ht="15.0" customHeight="1">
      <c r="A1797" s="834"/>
      <c r="B1797" s="603"/>
      <c r="C1797" s="109"/>
      <c r="D1797" s="594"/>
      <c r="E1797" s="594"/>
      <c r="F1797" s="594"/>
      <c r="G1797" s="756"/>
      <c r="H1797" s="824"/>
      <c r="I1797" s="825"/>
      <c r="J1797" s="826"/>
    </row>
    <row r="1798" ht="15.0" customHeight="1">
      <c r="A1798" s="834"/>
      <c r="B1798" s="603"/>
      <c r="C1798" s="109"/>
      <c r="D1798" s="594"/>
      <c r="E1798" s="594"/>
      <c r="F1798" s="594"/>
      <c r="G1798" s="756"/>
      <c r="H1798" s="824"/>
      <c r="I1798" s="825"/>
      <c r="J1798" s="826"/>
    </row>
    <row r="1799" ht="15.0" customHeight="1">
      <c r="A1799" s="834"/>
      <c r="B1799" s="603"/>
      <c r="C1799" s="109"/>
      <c r="D1799" s="594"/>
      <c r="E1799" s="594"/>
      <c r="F1799" s="594"/>
      <c r="G1799" s="756"/>
      <c r="H1799" s="824"/>
      <c r="I1799" s="825"/>
      <c r="J1799" s="826"/>
    </row>
    <row r="1800" ht="15.0" customHeight="1">
      <c r="A1800" s="834"/>
      <c r="B1800" s="603"/>
      <c r="C1800" s="109"/>
      <c r="D1800" s="594"/>
      <c r="E1800" s="594"/>
      <c r="F1800" s="594"/>
      <c r="G1800" s="756"/>
      <c r="H1800" s="824"/>
      <c r="I1800" s="825"/>
      <c r="J1800" s="826"/>
    </row>
    <row r="1801" ht="15.0" customHeight="1">
      <c r="A1801" s="834"/>
      <c r="B1801" s="603"/>
      <c r="C1801" s="109"/>
      <c r="D1801" s="594"/>
      <c r="E1801" s="594"/>
      <c r="F1801" s="594"/>
      <c r="G1801" s="756"/>
      <c r="H1801" s="824"/>
      <c r="I1801" s="825"/>
      <c r="J1801" s="826"/>
    </row>
    <row r="1802" ht="15.0" customHeight="1">
      <c r="A1802" s="834"/>
      <c r="B1802" s="603"/>
      <c r="C1802" s="109"/>
      <c r="D1802" s="594"/>
      <c r="E1802" s="594"/>
      <c r="F1802" s="594"/>
      <c r="G1802" s="756"/>
      <c r="H1802" s="824"/>
      <c r="I1802" s="825"/>
      <c r="J1802" s="826"/>
    </row>
    <row r="1803" ht="15.0" customHeight="1">
      <c r="A1803" s="834"/>
      <c r="B1803" s="603"/>
      <c r="C1803" s="109"/>
      <c r="D1803" s="594"/>
      <c r="E1803" s="594"/>
      <c r="F1803" s="594"/>
      <c r="G1803" s="756"/>
      <c r="H1803" s="824"/>
      <c r="I1803" s="825"/>
      <c r="J1803" s="826"/>
    </row>
    <row r="1804" ht="15.0" customHeight="1">
      <c r="A1804" s="834"/>
      <c r="B1804" s="603"/>
      <c r="C1804" s="109"/>
      <c r="D1804" s="594"/>
      <c r="E1804" s="594"/>
      <c r="F1804" s="594"/>
      <c r="G1804" s="756"/>
      <c r="H1804" s="824"/>
      <c r="I1804" s="825"/>
      <c r="J1804" s="826"/>
    </row>
    <row r="1805" ht="15.0" customHeight="1">
      <c r="A1805" s="834"/>
      <c r="B1805" s="603"/>
      <c r="C1805" s="109"/>
      <c r="D1805" s="594"/>
      <c r="E1805" s="594"/>
      <c r="F1805" s="594"/>
      <c r="G1805" s="756"/>
      <c r="H1805" s="824"/>
      <c r="I1805" s="825"/>
      <c r="J1805" s="826"/>
    </row>
    <row r="1806" ht="15.0" customHeight="1">
      <c r="A1806" s="834"/>
      <c r="B1806" s="603"/>
      <c r="C1806" s="109"/>
      <c r="D1806" s="594"/>
      <c r="E1806" s="594"/>
      <c r="F1806" s="594"/>
      <c r="G1806" s="756"/>
      <c r="H1806" s="824"/>
      <c r="I1806" s="825"/>
      <c r="J1806" s="826"/>
    </row>
    <row r="1807" ht="15.0" customHeight="1">
      <c r="A1807" s="834"/>
      <c r="B1807" s="603"/>
      <c r="C1807" s="109"/>
      <c r="D1807" s="594"/>
      <c r="E1807" s="594"/>
      <c r="F1807" s="594"/>
      <c r="G1807" s="756"/>
      <c r="H1807" s="824"/>
      <c r="I1807" s="825"/>
      <c r="J1807" s="826"/>
    </row>
    <row r="1808" ht="15.0" customHeight="1">
      <c r="A1808" s="834"/>
      <c r="B1808" s="603"/>
      <c r="C1808" s="109"/>
      <c r="D1808" s="594"/>
      <c r="E1808" s="594"/>
      <c r="F1808" s="594"/>
      <c r="G1808" s="756"/>
      <c r="H1808" s="824"/>
      <c r="I1808" s="825"/>
      <c r="J1808" s="826"/>
    </row>
    <row r="1809" ht="15.0" customHeight="1">
      <c r="A1809" s="834"/>
      <c r="B1809" s="603"/>
      <c r="C1809" s="109"/>
      <c r="D1809" s="594"/>
      <c r="E1809" s="594"/>
      <c r="F1809" s="594"/>
      <c r="G1809" s="756"/>
      <c r="H1809" s="824"/>
      <c r="I1809" s="825"/>
      <c r="J1809" s="826"/>
    </row>
    <row r="1810" ht="15.0" customHeight="1">
      <c r="A1810" s="834"/>
      <c r="B1810" s="603"/>
      <c r="C1810" s="109"/>
      <c r="D1810" s="594"/>
      <c r="E1810" s="594"/>
      <c r="F1810" s="594"/>
      <c r="G1810" s="756"/>
      <c r="H1810" s="824"/>
      <c r="I1810" s="825"/>
      <c r="J1810" s="826"/>
    </row>
    <row r="1811" ht="15.0" customHeight="1">
      <c r="A1811" s="834"/>
      <c r="B1811" s="603"/>
      <c r="C1811" s="109"/>
      <c r="D1811" s="594"/>
      <c r="E1811" s="594"/>
      <c r="F1811" s="594"/>
      <c r="G1811" s="756"/>
      <c r="H1811" s="824"/>
      <c r="I1811" s="825"/>
      <c r="J1811" s="826"/>
    </row>
    <row r="1812" ht="15.0" customHeight="1">
      <c r="A1812" s="834"/>
      <c r="B1812" s="603"/>
      <c r="C1812" s="109"/>
      <c r="D1812" s="594"/>
      <c r="E1812" s="594"/>
      <c r="F1812" s="594"/>
      <c r="G1812" s="756"/>
      <c r="H1812" s="824"/>
      <c r="I1812" s="825"/>
      <c r="J1812" s="826"/>
    </row>
    <row r="1813" ht="15.0" customHeight="1">
      <c r="A1813" s="834"/>
      <c r="B1813" s="603"/>
      <c r="C1813" s="109"/>
      <c r="D1813" s="594"/>
      <c r="E1813" s="594"/>
      <c r="F1813" s="594"/>
      <c r="G1813" s="756"/>
      <c r="H1813" s="824"/>
      <c r="I1813" s="825"/>
      <c r="J1813" s="826"/>
    </row>
    <row r="1814" ht="15.0" customHeight="1">
      <c r="A1814" s="834"/>
      <c r="B1814" s="603"/>
      <c r="C1814" s="109"/>
      <c r="D1814" s="594"/>
      <c r="E1814" s="594"/>
      <c r="F1814" s="594"/>
      <c r="G1814" s="756"/>
      <c r="H1814" s="824"/>
      <c r="I1814" s="825"/>
      <c r="J1814" s="826"/>
    </row>
    <row r="1815" ht="15.0" customHeight="1">
      <c r="A1815" s="834"/>
      <c r="B1815" s="603"/>
      <c r="C1815" s="109"/>
      <c r="D1815" s="594"/>
      <c r="E1815" s="594"/>
      <c r="F1815" s="594"/>
      <c r="G1815" s="756"/>
      <c r="H1815" s="824"/>
      <c r="I1815" s="825"/>
      <c r="J1815" s="826"/>
    </row>
    <row r="1816" ht="15.0" customHeight="1">
      <c r="A1816" s="834"/>
      <c r="B1816" s="603"/>
      <c r="C1816" s="109"/>
      <c r="D1816" s="594"/>
      <c r="E1816" s="594"/>
      <c r="F1816" s="594"/>
      <c r="G1816" s="756"/>
      <c r="H1816" s="824"/>
      <c r="I1816" s="825"/>
      <c r="J1816" s="826"/>
    </row>
    <row r="1817" ht="15.0" customHeight="1">
      <c r="A1817" s="834"/>
      <c r="B1817" s="603"/>
      <c r="C1817" s="109"/>
      <c r="D1817" s="594"/>
      <c r="E1817" s="594"/>
      <c r="F1817" s="594"/>
      <c r="G1817" s="756"/>
      <c r="H1817" s="824"/>
      <c r="I1817" s="825"/>
      <c r="J1817" s="826"/>
    </row>
    <row r="1818" ht="15.0" customHeight="1">
      <c r="A1818" s="834"/>
      <c r="B1818" s="603"/>
      <c r="C1818" s="109"/>
      <c r="D1818" s="594"/>
      <c r="E1818" s="594"/>
      <c r="F1818" s="594"/>
      <c r="G1818" s="756"/>
      <c r="H1818" s="824"/>
      <c r="I1818" s="825"/>
      <c r="J1818" s="826"/>
    </row>
    <row r="1819" ht="15.0" customHeight="1">
      <c r="A1819" s="834"/>
      <c r="B1819" s="603"/>
      <c r="C1819" s="109"/>
      <c r="D1819" s="594"/>
      <c r="E1819" s="594"/>
      <c r="F1819" s="594"/>
      <c r="G1819" s="756"/>
      <c r="H1819" s="824"/>
      <c r="I1819" s="825"/>
      <c r="J1819" s="826"/>
    </row>
    <row r="1820" ht="15.0" customHeight="1">
      <c r="A1820" s="834"/>
      <c r="B1820" s="603"/>
      <c r="C1820" s="109"/>
      <c r="D1820" s="594"/>
      <c r="E1820" s="594"/>
      <c r="F1820" s="594"/>
      <c r="G1820" s="756"/>
      <c r="H1820" s="824"/>
      <c r="I1820" s="825"/>
      <c r="J1820" s="826"/>
    </row>
    <row r="1821" ht="15.0" customHeight="1">
      <c r="A1821" s="834"/>
      <c r="B1821" s="603"/>
      <c r="C1821" s="109"/>
      <c r="D1821" s="594"/>
      <c r="E1821" s="594"/>
      <c r="F1821" s="594"/>
      <c r="G1821" s="756"/>
      <c r="H1821" s="824"/>
      <c r="I1821" s="825"/>
      <c r="J1821" s="826"/>
    </row>
    <row r="1822" ht="15.0" customHeight="1">
      <c r="A1822" s="834"/>
      <c r="B1822" s="603"/>
      <c r="C1822" s="109"/>
      <c r="D1822" s="594"/>
      <c r="E1822" s="594"/>
      <c r="F1822" s="594"/>
      <c r="G1822" s="756"/>
      <c r="H1822" s="824"/>
      <c r="I1822" s="825"/>
      <c r="J1822" s="826"/>
    </row>
    <row r="1823" ht="15.0" customHeight="1">
      <c r="A1823" s="834"/>
      <c r="B1823" s="603"/>
      <c r="C1823" s="109"/>
      <c r="D1823" s="594"/>
      <c r="E1823" s="594"/>
      <c r="F1823" s="594"/>
      <c r="G1823" s="756"/>
      <c r="H1823" s="824"/>
      <c r="I1823" s="825"/>
      <c r="J1823" s="826"/>
    </row>
    <row r="1824" ht="15.0" customHeight="1">
      <c r="A1824" s="834"/>
      <c r="B1824" s="603"/>
      <c r="C1824" s="109"/>
      <c r="D1824" s="594"/>
      <c r="E1824" s="594"/>
      <c r="F1824" s="594"/>
      <c r="G1824" s="756"/>
      <c r="H1824" s="824"/>
      <c r="I1824" s="825"/>
      <c r="J1824" s="826"/>
    </row>
    <row r="1825" ht="15.0" customHeight="1">
      <c r="A1825" s="834"/>
      <c r="B1825" s="603"/>
      <c r="C1825" s="109"/>
      <c r="D1825" s="594"/>
      <c r="E1825" s="594"/>
      <c r="F1825" s="594"/>
      <c r="G1825" s="756"/>
      <c r="H1825" s="824"/>
      <c r="I1825" s="825"/>
      <c r="J1825" s="826"/>
    </row>
    <row r="1826" ht="15.0" customHeight="1">
      <c r="A1826" s="834"/>
      <c r="B1826" s="603"/>
      <c r="C1826" s="109"/>
      <c r="D1826" s="594"/>
      <c r="E1826" s="594"/>
      <c r="F1826" s="594"/>
      <c r="G1826" s="756"/>
      <c r="H1826" s="824"/>
      <c r="I1826" s="825"/>
      <c r="J1826" s="826"/>
    </row>
    <row r="1827" ht="15.0" customHeight="1">
      <c r="A1827" s="834"/>
      <c r="B1827" s="603"/>
      <c r="C1827" s="109"/>
      <c r="D1827" s="594"/>
      <c r="E1827" s="594"/>
      <c r="F1827" s="594"/>
      <c r="G1827" s="756"/>
      <c r="H1827" s="824"/>
      <c r="I1827" s="825"/>
      <c r="J1827" s="826"/>
    </row>
    <row r="1828" ht="15.0" customHeight="1">
      <c r="A1828" s="834"/>
      <c r="B1828" s="603"/>
      <c r="C1828" s="109"/>
      <c r="D1828" s="594"/>
      <c r="E1828" s="594"/>
      <c r="F1828" s="594"/>
      <c r="G1828" s="756"/>
      <c r="H1828" s="824"/>
      <c r="I1828" s="825"/>
      <c r="J1828" s="826"/>
    </row>
    <row r="1829" ht="15.0" customHeight="1">
      <c r="A1829" s="834"/>
      <c r="B1829" s="603"/>
      <c r="C1829" s="109"/>
      <c r="D1829" s="594"/>
      <c r="E1829" s="594"/>
      <c r="F1829" s="594"/>
      <c r="G1829" s="756"/>
      <c r="H1829" s="824"/>
      <c r="I1829" s="825"/>
      <c r="J1829" s="826"/>
    </row>
    <row r="1830" ht="15.0" customHeight="1">
      <c r="A1830" s="834"/>
      <c r="B1830" s="603"/>
      <c r="C1830" s="109"/>
      <c r="D1830" s="594"/>
      <c r="E1830" s="594"/>
      <c r="F1830" s="594"/>
      <c r="G1830" s="756"/>
      <c r="H1830" s="824"/>
      <c r="I1830" s="825"/>
      <c r="J1830" s="826"/>
    </row>
    <row r="1831" ht="15.0" customHeight="1">
      <c r="A1831" s="834"/>
      <c r="B1831" s="603"/>
      <c r="C1831" s="109"/>
      <c r="D1831" s="594"/>
      <c r="E1831" s="594"/>
      <c r="F1831" s="594"/>
      <c r="G1831" s="756"/>
      <c r="H1831" s="824"/>
      <c r="I1831" s="825"/>
      <c r="J1831" s="826"/>
    </row>
    <row r="1832" ht="15.0" customHeight="1">
      <c r="A1832" s="834"/>
      <c r="B1832" s="603"/>
      <c r="C1832" s="109"/>
      <c r="D1832" s="594"/>
      <c r="E1832" s="594"/>
      <c r="F1832" s="594"/>
      <c r="G1832" s="756"/>
      <c r="H1832" s="824"/>
      <c r="I1832" s="825"/>
      <c r="J1832" s="826"/>
    </row>
    <row r="1833" ht="15.0" customHeight="1">
      <c r="A1833" s="834"/>
      <c r="B1833" s="603"/>
      <c r="C1833" s="109"/>
      <c r="D1833" s="594"/>
      <c r="E1833" s="594"/>
      <c r="F1833" s="594"/>
      <c r="G1833" s="756"/>
      <c r="H1833" s="824"/>
      <c r="I1833" s="825"/>
      <c r="J1833" s="826"/>
    </row>
    <row r="1834" ht="15.0" customHeight="1">
      <c r="A1834" s="834"/>
      <c r="B1834" s="603"/>
      <c r="C1834" s="109"/>
      <c r="D1834" s="594"/>
      <c r="E1834" s="594"/>
      <c r="F1834" s="594"/>
      <c r="G1834" s="756"/>
      <c r="H1834" s="824"/>
      <c r="I1834" s="825"/>
      <c r="J1834" s="826"/>
    </row>
    <row r="1835" ht="15.0" customHeight="1">
      <c r="A1835" s="834"/>
      <c r="B1835" s="603"/>
      <c r="C1835" s="109"/>
      <c r="D1835" s="594"/>
      <c r="E1835" s="594"/>
      <c r="F1835" s="594"/>
      <c r="G1835" s="756"/>
      <c r="H1835" s="824"/>
      <c r="I1835" s="825"/>
      <c r="J1835" s="826"/>
    </row>
    <row r="1836" ht="15.0" customHeight="1">
      <c r="A1836" s="834"/>
      <c r="B1836" s="603"/>
      <c r="C1836" s="109"/>
      <c r="D1836" s="594"/>
      <c r="E1836" s="594"/>
      <c r="F1836" s="594"/>
      <c r="G1836" s="756"/>
      <c r="H1836" s="824"/>
      <c r="I1836" s="825"/>
      <c r="J1836" s="826"/>
    </row>
    <row r="1837" ht="15.0" customHeight="1">
      <c r="A1837" s="834"/>
      <c r="B1837" s="603"/>
      <c r="C1837" s="109"/>
      <c r="D1837" s="594"/>
      <c r="E1837" s="594"/>
      <c r="F1837" s="594"/>
      <c r="G1837" s="756"/>
      <c r="H1837" s="824"/>
      <c r="I1837" s="825"/>
      <c r="J1837" s="826"/>
    </row>
    <row r="1838" ht="15.0" customHeight="1">
      <c r="A1838" s="834"/>
      <c r="B1838" s="603"/>
      <c r="C1838" s="109"/>
      <c r="D1838" s="594"/>
      <c r="E1838" s="594"/>
      <c r="F1838" s="594"/>
      <c r="G1838" s="756"/>
      <c r="H1838" s="824"/>
      <c r="I1838" s="825"/>
      <c r="J1838" s="826"/>
    </row>
    <row r="1839" ht="15.0" customHeight="1">
      <c r="A1839" s="834"/>
      <c r="B1839" s="603"/>
      <c r="C1839" s="109"/>
      <c r="D1839" s="594"/>
      <c r="E1839" s="594"/>
      <c r="F1839" s="594"/>
      <c r="G1839" s="756"/>
      <c r="H1839" s="824"/>
      <c r="I1839" s="825"/>
      <c r="J1839" s="826"/>
    </row>
    <row r="1840" ht="15.0" customHeight="1">
      <c r="A1840" s="834"/>
      <c r="B1840" s="603"/>
      <c r="C1840" s="109"/>
      <c r="D1840" s="594"/>
      <c r="E1840" s="594"/>
      <c r="F1840" s="594"/>
      <c r="G1840" s="756"/>
      <c r="H1840" s="824"/>
      <c r="I1840" s="825"/>
      <c r="J1840" s="826"/>
    </row>
    <row r="1841" ht="15.0" customHeight="1">
      <c r="A1841" s="834"/>
      <c r="B1841" s="603"/>
      <c r="C1841" s="109"/>
      <c r="D1841" s="594"/>
      <c r="E1841" s="594"/>
      <c r="F1841" s="594"/>
      <c r="G1841" s="756"/>
      <c r="H1841" s="824"/>
      <c r="I1841" s="825"/>
      <c r="J1841" s="826"/>
    </row>
    <row r="1842" ht="15.0" customHeight="1">
      <c r="A1842" s="834"/>
      <c r="B1842" s="603"/>
      <c r="C1842" s="109"/>
      <c r="D1842" s="594"/>
      <c r="E1842" s="594"/>
      <c r="F1842" s="594"/>
      <c r="G1842" s="756"/>
      <c r="H1842" s="824"/>
      <c r="I1842" s="825"/>
      <c r="J1842" s="826"/>
    </row>
    <row r="1843" ht="15.0" customHeight="1">
      <c r="A1843" s="834"/>
      <c r="B1843" s="603"/>
      <c r="C1843" s="109"/>
      <c r="D1843" s="594"/>
      <c r="E1843" s="594"/>
      <c r="F1843" s="594"/>
      <c r="G1843" s="756"/>
      <c r="H1843" s="824"/>
      <c r="I1843" s="825"/>
      <c r="J1843" s="826"/>
    </row>
    <row r="1844" ht="15.0" customHeight="1">
      <c r="A1844" s="834"/>
      <c r="B1844" s="603"/>
      <c r="C1844" s="109"/>
      <c r="D1844" s="594"/>
      <c r="E1844" s="594"/>
      <c r="F1844" s="594"/>
      <c r="G1844" s="756"/>
      <c r="H1844" s="824"/>
      <c r="I1844" s="825"/>
      <c r="J1844" s="826"/>
    </row>
    <row r="1845" ht="15.0" customHeight="1">
      <c r="A1845" s="834"/>
      <c r="B1845" s="603"/>
      <c r="C1845" s="109"/>
      <c r="D1845" s="594"/>
      <c r="E1845" s="594"/>
      <c r="F1845" s="594"/>
      <c r="G1845" s="756"/>
      <c r="H1845" s="824"/>
      <c r="I1845" s="825"/>
      <c r="J1845" s="826"/>
    </row>
    <row r="1846" ht="15.0" customHeight="1">
      <c r="A1846" s="834"/>
      <c r="B1846" s="603"/>
      <c r="C1846" s="109"/>
      <c r="D1846" s="594"/>
      <c r="E1846" s="594"/>
      <c r="F1846" s="594"/>
      <c r="G1846" s="756"/>
      <c r="H1846" s="824"/>
      <c r="I1846" s="825"/>
      <c r="J1846" s="826"/>
    </row>
    <row r="1847" ht="15.0" customHeight="1">
      <c r="A1847" s="834"/>
      <c r="B1847" s="603"/>
      <c r="C1847" s="109"/>
      <c r="D1847" s="594"/>
      <c r="E1847" s="594"/>
      <c r="F1847" s="594"/>
      <c r="G1847" s="756"/>
      <c r="H1847" s="824"/>
      <c r="I1847" s="825"/>
      <c r="J1847" s="826"/>
    </row>
    <row r="1848" ht="15.0" customHeight="1">
      <c r="A1848" s="834"/>
      <c r="B1848" s="603"/>
      <c r="C1848" s="109"/>
      <c r="D1848" s="594"/>
      <c r="E1848" s="594"/>
      <c r="F1848" s="594"/>
      <c r="G1848" s="756"/>
      <c r="H1848" s="824"/>
      <c r="I1848" s="825"/>
      <c r="J1848" s="826"/>
    </row>
    <row r="1849" ht="15.0" customHeight="1">
      <c r="A1849" s="834"/>
      <c r="B1849" s="603"/>
      <c r="C1849" s="109"/>
      <c r="D1849" s="594"/>
      <c r="E1849" s="594"/>
      <c r="F1849" s="594"/>
      <c r="G1849" s="756"/>
      <c r="H1849" s="824"/>
      <c r="I1849" s="825"/>
      <c r="J1849" s="826"/>
    </row>
    <row r="1850" ht="15.0" customHeight="1">
      <c r="A1850" s="834"/>
      <c r="B1850" s="603"/>
      <c r="C1850" s="109"/>
      <c r="D1850" s="594"/>
      <c r="E1850" s="594"/>
      <c r="F1850" s="594"/>
      <c r="G1850" s="756"/>
      <c r="H1850" s="824"/>
      <c r="I1850" s="825"/>
      <c r="J1850" s="826"/>
    </row>
    <row r="1851" ht="15.0" customHeight="1">
      <c r="A1851" s="834"/>
      <c r="B1851" s="603"/>
      <c r="C1851" s="109"/>
      <c r="D1851" s="594"/>
      <c r="E1851" s="594"/>
      <c r="F1851" s="594"/>
      <c r="G1851" s="756"/>
      <c r="H1851" s="824"/>
      <c r="I1851" s="825"/>
      <c r="J1851" s="826"/>
    </row>
    <row r="1852" ht="15.0" customHeight="1">
      <c r="A1852" s="834"/>
      <c r="B1852" s="603"/>
      <c r="C1852" s="109"/>
      <c r="D1852" s="594"/>
      <c r="E1852" s="594"/>
      <c r="F1852" s="594"/>
      <c r="G1852" s="756"/>
      <c r="H1852" s="824"/>
      <c r="I1852" s="825"/>
      <c r="J1852" s="826"/>
    </row>
    <row r="1853" ht="15.0" customHeight="1">
      <c r="A1853" s="834"/>
      <c r="B1853" s="603"/>
      <c r="C1853" s="109"/>
      <c r="D1853" s="594"/>
      <c r="E1853" s="594"/>
      <c r="F1853" s="594"/>
      <c r="G1853" s="756"/>
      <c r="H1853" s="824"/>
      <c r="I1853" s="825"/>
      <c r="J1853" s="826"/>
    </row>
    <row r="1854" ht="15.0" customHeight="1">
      <c r="A1854" s="834"/>
      <c r="B1854" s="603"/>
      <c r="C1854" s="109"/>
      <c r="D1854" s="594"/>
      <c r="E1854" s="594"/>
      <c r="F1854" s="594"/>
      <c r="G1854" s="756"/>
      <c r="H1854" s="824"/>
      <c r="I1854" s="825"/>
      <c r="J1854" s="826"/>
    </row>
    <row r="1855" ht="15.0" customHeight="1">
      <c r="A1855" s="834"/>
      <c r="B1855" s="603"/>
      <c r="C1855" s="109"/>
      <c r="D1855" s="594"/>
      <c r="E1855" s="594"/>
      <c r="F1855" s="594"/>
      <c r="G1855" s="756"/>
      <c r="H1855" s="824"/>
      <c r="I1855" s="825"/>
      <c r="J1855" s="826"/>
    </row>
    <row r="1856" ht="15.0" customHeight="1">
      <c r="A1856" s="834"/>
      <c r="B1856" s="603"/>
      <c r="C1856" s="109"/>
      <c r="D1856" s="594"/>
      <c r="E1856" s="594"/>
      <c r="F1856" s="594"/>
      <c r="G1856" s="756"/>
      <c r="H1856" s="824"/>
      <c r="I1856" s="825"/>
      <c r="J1856" s="826"/>
    </row>
    <row r="1857" ht="15.0" customHeight="1">
      <c r="A1857" s="834"/>
      <c r="B1857" s="603"/>
      <c r="C1857" s="109"/>
      <c r="D1857" s="594"/>
      <c r="E1857" s="594"/>
      <c r="F1857" s="594"/>
      <c r="G1857" s="756"/>
      <c r="H1857" s="824"/>
      <c r="I1857" s="825"/>
      <c r="J1857" s="826"/>
    </row>
    <row r="1858" ht="15.0" customHeight="1">
      <c r="A1858" s="834"/>
      <c r="B1858" s="603"/>
      <c r="C1858" s="109"/>
      <c r="D1858" s="594"/>
      <c r="E1858" s="594"/>
      <c r="F1858" s="594"/>
      <c r="G1858" s="756"/>
      <c r="H1858" s="824"/>
      <c r="I1858" s="825"/>
      <c r="J1858" s="826"/>
    </row>
    <row r="1859" ht="15.0" customHeight="1">
      <c r="A1859" s="834"/>
      <c r="B1859" s="603"/>
      <c r="C1859" s="109"/>
      <c r="D1859" s="594"/>
      <c r="E1859" s="594"/>
      <c r="F1859" s="594"/>
      <c r="G1859" s="756"/>
      <c r="H1859" s="824"/>
      <c r="I1859" s="825"/>
      <c r="J1859" s="826"/>
    </row>
    <row r="1860" ht="15.0" customHeight="1">
      <c r="A1860" s="834"/>
      <c r="B1860" s="603"/>
      <c r="C1860" s="109"/>
      <c r="D1860" s="594"/>
      <c r="E1860" s="594"/>
      <c r="F1860" s="594"/>
      <c r="G1860" s="756"/>
      <c r="H1860" s="824"/>
      <c r="I1860" s="825"/>
      <c r="J1860" s="826"/>
    </row>
    <row r="1861" ht="15.0" customHeight="1">
      <c r="A1861" s="834"/>
      <c r="B1861" s="603"/>
      <c r="C1861" s="109"/>
      <c r="D1861" s="594"/>
      <c r="E1861" s="594"/>
      <c r="F1861" s="594"/>
      <c r="G1861" s="756"/>
      <c r="H1861" s="824"/>
      <c r="I1861" s="825"/>
      <c r="J1861" s="826"/>
    </row>
    <row r="1862" ht="15.0" customHeight="1">
      <c r="A1862" s="834"/>
      <c r="B1862" s="603"/>
      <c r="C1862" s="109"/>
      <c r="D1862" s="594"/>
      <c r="E1862" s="594"/>
      <c r="F1862" s="594"/>
      <c r="G1862" s="756"/>
      <c r="H1862" s="824"/>
      <c r="I1862" s="825"/>
      <c r="J1862" s="826"/>
    </row>
    <row r="1863" ht="15.0" customHeight="1">
      <c r="A1863" s="834"/>
      <c r="B1863" s="603"/>
      <c r="C1863" s="109"/>
      <c r="D1863" s="594"/>
      <c r="E1863" s="594"/>
      <c r="F1863" s="594"/>
      <c r="G1863" s="756"/>
      <c r="H1863" s="824"/>
      <c r="I1863" s="825"/>
      <c r="J1863" s="826"/>
    </row>
    <row r="1864" ht="15.0" customHeight="1">
      <c r="A1864" s="834"/>
      <c r="B1864" s="603"/>
      <c r="C1864" s="109"/>
      <c r="D1864" s="594"/>
      <c r="E1864" s="594"/>
      <c r="F1864" s="594"/>
      <c r="G1864" s="756"/>
      <c r="H1864" s="824"/>
      <c r="I1864" s="825"/>
      <c r="J1864" s="826"/>
    </row>
    <row r="1865" ht="15.0" customHeight="1">
      <c r="A1865" s="834"/>
      <c r="B1865" s="603"/>
      <c r="C1865" s="109"/>
      <c r="D1865" s="594"/>
      <c r="E1865" s="594"/>
      <c r="F1865" s="594"/>
      <c r="G1865" s="756"/>
      <c r="H1865" s="824"/>
      <c r="I1865" s="825"/>
      <c r="J1865" s="826"/>
    </row>
    <row r="1866" ht="15.0" customHeight="1">
      <c r="A1866" s="834"/>
      <c r="B1866" s="603"/>
      <c r="C1866" s="109"/>
      <c r="D1866" s="594"/>
      <c r="E1866" s="594"/>
      <c r="F1866" s="594"/>
      <c r="G1866" s="756"/>
      <c r="H1866" s="824"/>
      <c r="I1866" s="825"/>
      <c r="J1866" s="826"/>
    </row>
    <row r="1867" ht="15.0" customHeight="1">
      <c r="A1867" s="834"/>
      <c r="B1867" s="603"/>
      <c r="C1867" s="109"/>
      <c r="D1867" s="594"/>
      <c r="E1867" s="594"/>
      <c r="F1867" s="594"/>
      <c r="G1867" s="756"/>
      <c r="H1867" s="824"/>
      <c r="I1867" s="825"/>
      <c r="J1867" s="826"/>
    </row>
    <row r="1868" ht="15.0" customHeight="1">
      <c r="A1868" s="834"/>
      <c r="B1868" s="603"/>
      <c r="C1868" s="109"/>
      <c r="D1868" s="594"/>
      <c r="E1868" s="594"/>
      <c r="F1868" s="594"/>
      <c r="G1868" s="756"/>
      <c r="H1868" s="824"/>
      <c r="I1868" s="825"/>
      <c r="J1868" s="826"/>
    </row>
    <row r="1869" ht="15.0" customHeight="1">
      <c r="A1869" s="834"/>
      <c r="B1869" s="603"/>
      <c r="C1869" s="109"/>
      <c r="D1869" s="594"/>
      <c r="E1869" s="594"/>
      <c r="F1869" s="594"/>
      <c r="G1869" s="756"/>
      <c r="H1869" s="824"/>
      <c r="I1869" s="825"/>
      <c r="J1869" s="826"/>
    </row>
    <row r="1870" ht="15.0" customHeight="1">
      <c r="A1870" s="834"/>
      <c r="B1870" s="603"/>
      <c r="C1870" s="109"/>
      <c r="D1870" s="594"/>
      <c r="E1870" s="594"/>
      <c r="F1870" s="594"/>
      <c r="G1870" s="756"/>
      <c r="H1870" s="824"/>
      <c r="I1870" s="825"/>
      <c r="J1870" s="826"/>
    </row>
    <row r="1871" ht="15.0" customHeight="1">
      <c r="A1871" s="834"/>
      <c r="B1871" s="603"/>
      <c r="C1871" s="109"/>
      <c r="D1871" s="594"/>
      <c r="E1871" s="594"/>
      <c r="F1871" s="594"/>
      <c r="G1871" s="756"/>
      <c r="H1871" s="824"/>
      <c r="I1871" s="825"/>
      <c r="J1871" s="826"/>
    </row>
    <row r="1872" ht="15.0" customHeight="1">
      <c r="A1872" s="834"/>
      <c r="B1872" s="603"/>
      <c r="C1872" s="109"/>
      <c r="D1872" s="594"/>
      <c r="E1872" s="594"/>
      <c r="F1872" s="594"/>
      <c r="G1872" s="756"/>
      <c r="H1872" s="824"/>
      <c r="I1872" s="825"/>
      <c r="J1872" s="826"/>
    </row>
    <row r="1873" ht="15.0" customHeight="1">
      <c r="A1873" s="834"/>
      <c r="B1873" s="603"/>
      <c r="C1873" s="109"/>
      <c r="D1873" s="594"/>
      <c r="E1873" s="594"/>
      <c r="F1873" s="594"/>
      <c r="G1873" s="756"/>
      <c r="H1873" s="824"/>
      <c r="I1873" s="825"/>
      <c r="J1873" s="826"/>
    </row>
    <row r="1874" ht="15.0" customHeight="1">
      <c r="A1874" s="834"/>
      <c r="B1874" s="603"/>
      <c r="C1874" s="109"/>
      <c r="D1874" s="594"/>
      <c r="E1874" s="594"/>
      <c r="F1874" s="594"/>
      <c r="G1874" s="756"/>
      <c r="H1874" s="824"/>
      <c r="I1874" s="825"/>
      <c r="J1874" s="826"/>
    </row>
    <row r="1875" ht="15.0" customHeight="1">
      <c r="A1875" s="834"/>
      <c r="B1875" s="603"/>
      <c r="C1875" s="109"/>
      <c r="D1875" s="594"/>
      <c r="E1875" s="594"/>
      <c r="F1875" s="594"/>
      <c r="G1875" s="756"/>
      <c r="H1875" s="824"/>
      <c r="I1875" s="825"/>
      <c r="J1875" s="826"/>
    </row>
    <row r="1876" ht="15.0" customHeight="1">
      <c r="A1876" s="834"/>
      <c r="B1876" s="603"/>
      <c r="C1876" s="109"/>
      <c r="D1876" s="594"/>
      <c r="E1876" s="594"/>
      <c r="F1876" s="594"/>
      <c r="G1876" s="756"/>
      <c r="H1876" s="824"/>
      <c r="I1876" s="825"/>
      <c r="J1876" s="826"/>
    </row>
    <row r="1877" ht="15.0" customHeight="1">
      <c r="A1877" s="834"/>
      <c r="B1877" s="603"/>
      <c r="C1877" s="109"/>
      <c r="D1877" s="594"/>
      <c r="E1877" s="594"/>
      <c r="F1877" s="594"/>
      <c r="G1877" s="756"/>
      <c r="H1877" s="824"/>
      <c r="I1877" s="825"/>
      <c r="J1877" s="826"/>
    </row>
    <row r="1878" ht="15.0" customHeight="1">
      <c r="A1878" s="834"/>
      <c r="B1878" s="603"/>
      <c r="C1878" s="109"/>
      <c r="D1878" s="594"/>
      <c r="E1878" s="594"/>
      <c r="F1878" s="594"/>
      <c r="G1878" s="756"/>
      <c r="H1878" s="824"/>
      <c r="I1878" s="825"/>
      <c r="J1878" s="826"/>
    </row>
    <row r="1879" ht="15.0" customHeight="1">
      <c r="A1879" s="834"/>
      <c r="B1879" s="603"/>
      <c r="C1879" s="109"/>
      <c r="D1879" s="594"/>
      <c r="E1879" s="594"/>
      <c r="F1879" s="594"/>
      <c r="G1879" s="756"/>
      <c r="H1879" s="824"/>
      <c r="I1879" s="825"/>
      <c r="J1879" s="826"/>
    </row>
    <row r="1880" ht="15.0" customHeight="1">
      <c r="A1880" s="834"/>
      <c r="B1880" s="603"/>
      <c r="C1880" s="109"/>
      <c r="D1880" s="594"/>
      <c r="E1880" s="594"/>
      <c r="F1880" s="594"/>
      <c r="G1880" s="756"/>
      <c r="H1880" s="824"/>
      <c r="I1880" s="825"/>
      <c r="J1880" s="826"/>
    </row>
    <row r="1881" ht="15.0" customHeight="1">
      <c r="A1881" s="834"/>
      <c r="B1881" s="603"/>
      <c r="C1881" s="109"/>
      <c r="D1881" s="594"/>
      <c r="E1881" s="594"/>
      <c r="F1881" s="594"/>
      <c r="G1881" s="756"/>
      <c r="H1881" s="824"/>
      <c r="I1881" s="825"/>
      <c r="J1881" s="826"/>
    </row>
    <row r="1882" ht="15.0" customHeight="1">
      <c r="A1882" s="834"/>
      <c r="B1882" s="603"/>
      <c r="C1882" s="109"/>
      <c r="D1882" s="594"/>
      <c r="E1882" s="594"/>
      <c r="F1882" s="594"/>
      <c r="G1882" s="756"/>
      <c r="H1882" s="824"/>
      <c r="I1882" s="825"/>
      <c r="J1882" s="826"/>
    </row>
    <row r="1883" ht="15.0" customHeight="1">
      <c r="A1883" s="834"/>
      <c r="B1883" s="603"/>
      <c r="C1883" s="109"/>
      <c r="D1883" s="594"/>
      <c r="E1883" s="594"/>
      <c r="F1883" s="594"/>
      <c r="G1883" s="756"/>
      <c r="H1883" s="824"/>
      <c r="I1883" s="825"/>
      <c r="J1883" s="826"/>
    </row>
    <row r="1884" ht="15.0" customHeight="1">
      <c r="A1884" s="834"/>
      <c r="B1884" s="603"/>
      <c r="C1884" s="109"/>
      <c r="D1884" s="594"/>
      <c r="E1884" s="594"/>
      <c r="F1884" s="594"/>
      <c r="G1884" s="756"/>
      <c r="H1884" s="824"/>
      <c r="I1884" s="825"/>
      <c r="J1884" s="826"/>
    </row>
    <row r="1885" ht="15.0" customHeight="1">
      <c r="A1885" s="834"/>
      <c r="B1885" s="603"/>
      <c r="C1885" s="109"/>
      <c r="D1885" s="594"/>
      <c r="E1885" s="594"/>
      <c r="F1885" s="594"/>
      <c r="G1885" s="756"/>
      <c r="H1885" s="824"/>
      <c r="I1885" s="825"/>
      <c r="J1885" s="826"/>
    </row>
    <row r="1886" ht="15.0" customHeight="1">
      <c r="A1886" s="834"/>
      <c r="B1886" s="603"/>
      <c r="C1886" s="109"/>
      <c r="D1886" s="594"/>
      <c r="E1886" s="594"/>
      <c r="F1886" s="594"/>
      <c r="G1886" s="756"/>
      <c r="H1886" s="824"/>
      <c r="I1886" s="825"/>
      <c r="J1886" s="826"/>
    </row>
    <row r="1887" ht="15.0" customHeight="1">
      <c r="A1887" s="834"/>
      <c r="B1887" s="603"/>
      <c r="C1887" s="109"/>
      <c r="D1887" s="594"/>
      <c r="E1887" s="594"/>
      <c r="F1887" s="594"/>
      <c r="G1887" s="756"/>
      <c r="H1887" s="824"/>
      <c r="I1887" s="825"/>
      <c r="J1887" s="826"/>
    </row>
    <row r="1888" ht="15.0" customHeight="1">
      <c r="A1888" s="834"/>
      <c r="B1888" s="603"/>
      <c r="C1888" s="109"/>
      <c r="D1888" s="594"/>
      <c r="E1888" s="594"/>
      <c r="F1888" s="594"/>
      <c r="G1888" s="756"/>
      <c r="H1888" s="824"/>
      <c r="I1888" s="825"/>
      <c r="J1888" s="826"/>
    </row>
    <row r="1889" ht="15.0" customHeight="1">
      <c r="A1889" s="834"/>
      <c r="B1889" s="603"/>
      <c r="C1889" s="109"/>
      <c r="D1889" s="594"/>
      <c r="E1889" s="594"/>
      <c r="F1889" s="594"/>
      <c r="G1889" s="756"/>
      <c r="H1889" s="824"/>
      <c r="I1889" s="825"/>
      <c r="J1889" s="826"/>
    </row>
    <row r="1890" ht="15.0" customHeight="1">
      <c r="A1890" s="834"/>
      <c r="B1890" s="603"/>
      <c r="C1890" s="109"/>
      <c r="D1890" s="594"/>
      <c r="E1890" s="594"/>
      <c r="F1890" s="594"/>
      <c r="G1890" s="756"/>
      <c r="H1890" s="824"/>
      <c r="I1890" s="825"/>
      <c r="J1890" s="826"/>
    </row>
    <row r="1891" ht="15.0" customHeight="1">
      <c r="A1891" s="834"/>
      <c r="B1891" s="603"/>
      <c r="C1891" s="109"/>
      <c r="D1891" s="594"/>
      <c r="E1891" s="594"/>
      <c r="F1891" s="594"/>
      <c r="G1891" s="756"/>
      <c r="H1891" s="824"/>
      <c r="I1891" s="825"/>
      <c r="J1891" s="826"/>
    </row>
    <row r="1892" ht="15.0" customHeight="1">
      <c r="A1892" s="834"/>
      <c r="B1892" s="603"/>
      <c r="C1892" s="109"/>
      <c r="D1892" s="594"/>
      <c r="E1892" s="594"/>
      <c r="F1892" s="594"/>
      <c r="G1892" s="756"/>
      <c r="H1892" s="824"/>
      <c r="I1892" s="825"/>
      <c r="J1892" s="826"/>
    </row>
    <row r="1893" ht="15.0" customHeight="1">
      <c r="A1893" s="834"/>
      <c r="B1893" s="603"/>
      <c r="C1893" s="109"/>
      <c r="D1893" s="594"/>
      <c r="E1893" s="594"/>
      <c r="F1893" s="594"/>
      <c r="G1893" s="756"/>
      <c r="H1893" s="824"/>
      <c r="I1893" s="825"/>
      <c r="J1893" s="826"/>
    </row>
    <row r="1894" ht="15.0" customHeight="1">
      <c r="A1894" s="834"/>
      <c r="B1894" s="603"/>
      <c r="C1894" s="109"/>
      <c r="D1894" s="594"/>
      <c r="E1894" s="594"/>
      <c r="F1894" s="594"/>
      <c r="G1894" s="756"/>
      <c r="H1894" s="824"/>
      <c r="I1894" s="825"/>
      <c r="J1894" s="826"/>
    </row>
    <row r="1895" ht="15.0" customHeight="1">
      <c r="A1895" s="834"/>
      <c r="B1895" s="603"/>
      <c r="C1895" s="109"/>
      <c r="D1895" s="594"/>
      <c r="E1895" s="594"/>
      <c r="F1895" s="594"/>
      <c r="G1895" s="756"/>
      <c r="H1895" s="824"/>
      <c r="I1895" s="825"/>
      <c r="J1895" s="826"/>
    </row>
    <row r="1896" ht="15.0" customHeight="1">
      <c r="A1896" s="834"/>
      <c r="B1896" s="603"/>
      <c r="C1896" s="109"/>
      <c r="D1896" s="594"/>
      <c r="E1896" s="594"/>
      <c r="F1896" s="594"/>
      <c r="G1896" s="756"/>
      <c r="H1896" s="824"/>
      <c r="I1896" s="825"/>
      <c r="J1896" s="826"/>
    </row>
    <row r="1897" ht="15.0" customHeight="1">
      <c r="A1897" s="834"/>
      <c r="B1897" s="603"/>
      <c r="C1897" s="109"/>
      <c r="D1897" s="594"/>
      <c r="E1897" s="594"/>
      <c r="F1897" s="594"/>
      <c r="G1897" s="756"/>
      <c r="H1897" s="824"/>
      <c r="I1897" s="825"/>
      <c r="J1897" s="826"/>
    </row>
    <row r="1898" ht="15.0" customHeight="1">
      <c r="A1898" s="834"/>
      <c r="B1898" s="603"/>
      <c r="C1898" s="109"/>
      <c r="D1898" s="594"/>
      <c r="E1898" s="594"/>
      <c r="F1898" s="594"/>
      <c r="G1898" s="756"/>
      <c r="H1898" s="824"/>
      <c r="I1898" s="825"/>
      <c r="J1898" s="826"/>
    </row>
    <row r="1899" ht="15.0" customHeight="1">
      <c r="A1899" s="834"/>
      <c r="B1899" s="603"/>
      <c r="C1899" s="109"/>
      <c r="D1899" s="594"/>
      <c r="E1899" s="594"/>
      <c r="F1899" s="594"/>
      <c r="G1899" s="756"/>
      <c r="H1899" s="824"/>
      <c r="I1899" s="825"/>
      <c r="J1899" s="826"/>
    </row>
    <row r="1900" ht="15.0" customHeight="1">
      <c r="A1900" s="834"/>
      <c r="B1900" s="603"/>
      <c r="C1900" s="109"/>
      <c r="D1900" s="594"/>
      <c r="E1900" s="594"/>
      <c r="F1900" s="594"/>
      <c r="G1900" s="756"/>
      <c r="H1900" s="824"/>
      <c r="I1900" s="825"/>
      <c r="J1900" s="826"/>
    </row>
    <row r="1901" ht="15.0" customHeight="1">
      <c r="A1901" s="834"/>
      <c r="B1901" s="603"/>
      <c r="C1901" s="109"/>
      <c r="D1901" s="594"/>
      <c r="E1901" s="594"/>
      <c r="F1901" s="594"/>
      <c r="G1901" s="756"/>
      <c r="H1901" s="824"/>
      <c r="I1901" s="825"/>
      <c r="J1901" s="826"/>
    </row>
    <row r="1902" ht="15.0" customHeight="1">
      <c r="A1902" s="834"/>
      <c r="B1902" s="603"/>
      <c r="C1902" s="109"/>
      <c r="D1902" s="594"/>
      <c r="E1902" s="594"/>
      <c r="F1902" s="594"/>
      <c r="G1902" s="756"/>
      <c r="H1902" s="824"/>
      <c r="I1902" s="825"/>
      <c r="J1902" s="826"/>
    </row>
    <row r="1903" ht="15.0" customHeight="1">
      <c r="A1903" s="834"/>
      <c r="B1903" s="603"/>
      <c r="C1903" s="109"/>
      <c r="D1903" s="594"/>
      <c r="E1903" s="594"/>
      <c r="F1903" s="594"/>
      <c r="G1903" s="756"/>
      <c r="H1903" s="824"/>
      <c r="I1903" s="825"/>
      <c r="J1903" s="826"/>
    </row>
    <row r="1904" ht="15.0" customHeight="1">
      <c r="A1904" s="834"/>
      <c r="B1904" s="603"/>
      <c r="C1904" s="109"/>
      <c r="D1904" s="594"/>
      <c r="E1904" s="594"/>
      <c r="F1904" s="594"/>
      <c r="G1904" s="756"/>
      <c r="H1904" s="824"/>
      <c r="I1904" s="825"/>
      <c r="J1904" s="826"/>
    </row>
    <row r="1905" ht="15.0" customHeight="1">
      <c r="A1905" s="834"/>
      <c r="B1905" s="603"/>
      <c r="C1905" s="109"/>
      <c r="D1905" s="594"/>
      <c r="E1905" s="594"/>
      <c r="F1905" s="594"/>
      <c r="G1905" s="756"/>
      <c r="H1905" s="824"/>
      <c r="I1905" s="825"/>
      <c r="J1905" s="826"/>
    </row>
    <row r="1906" ht="15.0" customHeight="1">
      <c r="A1906" s="834"/>
      <c r="B1906" s="603"/>
      <c r="C1906" s="109"/>
      <c r="D1906" s="594"/>
      <c r="E1906" s="594"/>
      <c r="F1906" s="594"/>
      <c r="G1906" s="756"/>
      <c r="H1906" s="824"/>
      <c r="I1906" s="825"/>
      <c r="J1906" s="826"/>
    </row>
    <row r="1907" ht="15.0" customHeight="1">
      <c r="A1907" s="834"/>
      <c r="B1907" s="603"/>
      <c r="C1907" s="109"/>
      <c r="D1907" s="594"/>
      <c r="E1907" s="594"/>
      <c r="F1907" s="594"/>
      <c r="G1907" s="756"/>
      <c r="H1907" s="824"/>
      <c r="I1907" s="825"/>
      <c r="J1907" s="826"/>
    </row>
    <row r="1908" ht="15.0" customHeight="1">
      <c r="A1908" s="834"/>
      <c r="B1908" s="603"/>
      <c r="C1908" s="109"/>
      <c r="D1908" s="594"/>
      <c r="E1908" s="594"/>
      <c r="F1908" s="594"/>
      <c r="G1908" s="756"/>
      <c r="H1908" s="824"/>
      <c r="I1908" s="825"/>
      <c r="J1908" s="826"/>
    </row>
    <row r="1909" ht="15.0" customHeight="1">
      <c r="A1909" s="834"/>
      <c r="B1909" s="603"/>
      <c r="C1909" s="109"/>
      <c r="D1909" s="594"/>
      <c r="E1909" s="594"/>
      <c r="F1909" s="594"/>
      <c r="G1909" s="756"/>
      <c r="H1909" s="824"/>
      <c r="I1909" s="825"/>
      <c r="J1909" s="826"/>
    </row>
    <row r="1910" ht="15.0" customHeight="1">
      <c r="A1910" s="834"/>
      <c r="B1910" s="603"/>
      <c r="C1910" s="109"/>
      <c r="D1910" s="594"/>
      <c r="E1910" s="594"/>
      <c r="F1910" s="594"/>
      <c r="G1910" s="756"/>
      <c r="H1910" s="824"/>
      <c r="I1910" s="825"/>
      <c r="J1910" s="826"/>
    </row>
    <row r="1911" ht="15.0" customHeight="1">
      <c r="A1911" s="834"/>
      <c r="B1911" s="603"/>
      <c r="C1911" s="109"/>
      <c r="D1911" s="594"/>
      <c r="E1911" s="594"/>
      <c r="F1911" s="594"/>
      <c r="G1911" s="756"/>
      <c r="H1911" s="824"/>
      <c r="I1911" s="825"/>
      <c r="J1911" s="826"/>
    </row>
    <row r="1912" ht="15.0" customHeight="1">
      <c r="A1912" s="834"/>
      <c r="B1912" s="603"/>
      <c r="C1912" s="109"/>
      <c r="D1912" s="594"/>
      <c r="E1912" s="594"/>
      <c r="F1912" s="594"/>
      <c r="G1912" s="756"/>
      <c r="H1912" s="824"/>
      <c r="I1912" s="825"/>
      <c r="J1912" s="826"/>
    </row>
    <row r="1913" ht="15.0" customHeight="1">
      <c r="A1913" s="834"/>
      <c r="B1913" s="603"/>
      <c r="C1913" s="109"/>
      <c r="D1913" s="594"/>
      <c r="E1913" s="594"/>
      <c r="F1913" s="594"/>
      <c r="G1913" s="756"/>
      <c r="H1913" s="824"/>
      <c r="I1913" s="825"/>
      <c r="J1913" s="826"/>
    </row>
    <row r="1914" ht="15.0" customHeight="1">
      <c r="A1914" s="834"/>
      <c r="B1914" s="603"/>
      <c r="C1914" s="109"/>
      <c r="D1914" s="594"/>
      <c r="E1914" s="594"/>
      <c r="F1914" s="594"/>
      <c r="G1914" s="756"/>
      <c r="H1914" s="824"/>
      <c r="I1914" s="825"/>
      <c r="J1914" s="826"/>
    </row>
    <row r="1915" ht="15.0" customHeight="1">
      <c r="A1915" s="834"/>
      <c r="B1915" s="603"/>
      <c r="C1915" s="109"/>
      <c r="D1915" s="594"/>
      <c r="E1915" s="594"/>
      <c r="F1915" s="594"/>
      <c r="G1915" s="756"/>
      <c r="H1915" s="824"/>
      <c r="I1915" s="825"/>
      <c r="J1915" s="826"/>
    </row>
    <row r="1916" ht="15.0" customHeight="1">
      <c r="A1916" s="834"/>
      <c r="B1916" s="603"/>
      <c r="C1916" s="109"/>
      <c r="D1916" s="594"/>
      <c r="E1916" s="594"/>
      <c r="F1916" s="594"/>
      <c r="G1916" s="756"/>
      <c r="H1916" s="824"/>
      <c r="I1916" s="825"/>
      <c r="J1916" s="826"/>
    </row>
    <row r="1917" ht="15.0" customHeight="1">
      <c r="A1917" s="834"/>
      <c r="B1917" s="603"/>
      <c r="C1917" s="109"/>
      <c r="D1917" s="594"/>
      <c r="E1917" s="594"/>
      <c r="F1917" s="594"/>
      <c r="G1917" s="756"/>
      <c r="H1917" s="824"/>
      <c r="I1917" s="825"/>
      <c r="J1917" s="826"/>
    </row>
    <row r="1918" ht="15.0" customHeight="1">
      <c r="A1918" s="834"/>
      <c r="B1918" s="603"/>
      <c r="C1918" s="109"/>
      <c r="D1918" s="594"/>
      <c r="E1918" s="594"/>
      <c r="F1918" s="594"/>
      <c r="G1918" s="756"/>
      <c r="H1918" s="824"/>
      <c r="I1918" s="825"/>
      <c r="J1918" s="826"/>
    </row>
    <row r="1919" ht="15.0" customHeight="1">
      <c r="A1919" s="834"/>
      <c r="B1919" s="603"/>
      <c r="C1919" s="109"/>
      <c r="D1919" s="594"/>
      <c r="E1919" s="594"/>
      <c r="F1919" s="594"/>
      <c r="G1919" s="756"/>
      <c r="H1919" s="824"/>
      <c r="I1919" s="825"/>
      <c r="J1919" s="826"/>
    </row>
    <row r="1920" ht="15.0" customHeight="1">
      <c r="A1920" s="834"/>
      <c r="B1920" s="603"/>
      <c r="C1920" s="109"/>
      <c r="D1920" s="594"/>
      <c r="E1920" s="594"/>
      <c r="F1920" s="594"/>
      <c r="G1920" s="756"/>
      <c r="H1920" s="824"/>
      <c r="I1920" s="825"/>
      <c r="J1920" s="826"/>
    </row>
    <row r="1921" ht="15.0" customHeight="1">
      <c r="A1921" s="834"/>
      <c r="B1921" s="603"/>
      <c r="C1921" s="109"/>
      <c r="D1921" s="594"/>
      <c r="E1921" s="594"/>
      <c r="F1921" s="594"/>
      <c r="G1921" s="756"/>
      <c r="H1921" s="824"/>
      <c r="I1921" s="825"/>
      <c r="J1921" s="826"/>
    </row>
    <row r="1922" ht="15.0" customHeight="1">
      <c r="A1922" s="834"/>
      <c r="B1922" s="603"/>
      <c r="C1922" s="109"/>
      <c r="D1922" s="594"/>
      <c r="E1922" s="594"/>
      <c r="F1922" s="594"/>
      <c r="G1922" s="756"/>
      <c r="H1922" s="824"/>
      <c r="I1922" s="825"/>
      <c r="J1922" s="826"/>
    </row>
    <row r="1923" ht="15.0" customHeight="1">
      <c r="A1923" s="834"/>
      <c r="B1923" s="603"/>
      <c r="C1923" s="109"/>
      <c r="D1923" s="594"/>
      <c r="E1923" s="594"/>
      <c r="F1923" s="594"/>
      <c r="G1923" s="756"/>
      <c r="H1923" s="824"/>
      <c r="I1923" s="825"/>
      <c r="J1923" s="826"/>
    </row>
    <row r="1924" ht="15.0" customHeight="1">
      <c r="A1924" s="834"/>
      <c r="B1924" s="603"/>
      <c r="C1924" s="109"/>
      <c r="D1924" s="594"/>
      <c r="E1924" s="594"/>
      <c r="F1924" s="594"/>
      <c r="G1924" s="756"/>
      <c r="H1924" s="824"/>
      <c r="I1924" s="825"/>
      <c r="J1924" s="826"/>
    </row>
    <row r="1925" ht="15.0" customHeight="1">
      <c r="A1925" s="834"/>
      <c r="B1925" s="603"/>
      <c r="C1925" s="109"/>
      <c r="D1925" s="594"/>
      <c r="E1925" s="594"/>
      <c r="F1925" s="594"/>
      <c r="G1925" s="756"/>
      <c r="H1925" s="824"/>
      <c r="I1925" s="825"/>
      <c r="J1925" s="826"/>
    </row>
    <row r="1926" ht="15.0" customHeight="1">
      <c r="A1926" s="834"/>
      <c r="B1926" s="603"/>
      <c r="C1926" s="109"/>
      <c r="D1926" s="594"/>
      <c r="E1926" s="594"/>
      <c r="F1926" s="594"/>
      <c r="G1926" s="756"/>
      <c r="H1926" s="824"/>
      <c r="I1926" s="825"/>
      <c r="J1926" s="826"/>
    </row>
    <row r="1927" ht="15.0" customHeight="1">
      <c r="A1927" s="834"/>
      <c r="B1927" s="603"/>
      <c r="C1927" s="109"/>
      <c r="D1927" s="594"/>
      <c r="E1927" s="594"/>
      <c r="F1927" s="594"/>
      <c r="G1927" s="756"/>
      <c r="H1927" s="824"/>
      <c r="I1927" s="825"/>
      <c r="J1927" s="826"/>
    </row>
    <row r="1928" ht="15.0" customHeight="1">
      <c r="A1928" s="834"/>
      <c r="B1928" s="603"/>
      <c r="C1928" s="109"/>
      <c r="D1928" s="594"/>
      <c r="E1928" s="594"/>
      <c r="F1928" s="594"/>
      <c r="G1928" s="756"/>
      <c r="H1928" s="824"/>
      <c r="I1928" s="825"/>
      <c r="J1928" s="826"/>
    </row>
    <row r="1929" ht="15.0" customHeight="1">
      <c r="A1929" s="834"/>
      <c r="B1929" s="603"/>
      <c r="C1929" s="109"/>
      <c r="D1929" s="594"/>
      <c r="E1929" s="594"/>
      <c r="F1929" s="594"/>
      <c r="G1929" s="756"/>
      <c r="H1929" s="824"/>
      <c r="I1929" s="825"/>
      <c r="J1929" s="826"/>
    </row>
    <row r="1930" ht="15.0" customHeight="1">
      <c r="A1930" s="834"/>
      <c r="B1930" s="603"/>
      <c r="C1930" s="109"/>
      <c r="D1930" s="594"/>
      <c r="E1930" s="594"/>
      <c r="F1930" s="594"/>
      <c r="G1930" s="756"/>
      <c r="H1930" s="824"/>
      <c r="I1930" s="825"/>
      <c r="J1930" s="826"/>
    </row>
    <row r="1931" ht="15.0" customHeight="1">
      <c r="A1931" s="834"/>
      <c r="B1931" s="603"/>
      <c r="C1931" s="109"/>
      <c r="D1931" s="594"/>
      <c r="E1931" s="594"/>
      <c r="F1931" s="594"/>
      <c r="G1931" s="756"/>
      <c r="H1931" s="824"/>
      <c r="I1931" s="825"/>
      <c r="J1931" s="826"/>
    </row>
    <row r="1932" ht="15.0" customHeight="1">
      <c r="A1932" s="834"/>
      <c r="B1932" s="603"/>
      <c r="C1932" s="109"/>
      <c r="D1932" s="594"/>
      <c r="E1932" s="594"/>
      <c r="F1932" s="594"/>
      <c r="G1932" s="756"/>
      <c r="H1932" s="824"/>
      <c r="I1932" s="825"/>
      <c r="J1932" s="826"/>
    </row>
    <row r="1933" ht="15.0" customHeight="1">
      <c r="A1933" s="834"/>
      <c r="B1933" s="603"/>
      <c r="C1933" s="109"/>
      <c r="D1933" s="594"/>
      <c r="E1933" s="594"/>
      <c r="F1933" s="594"/>
      <c r="G1933" s="756"/>
      <c r="H1933" s="824"/>
      <c r="I1933" s="825"/>
      <c r="J1933" s="826"/>
    </row>
    <row r="1934" ht="15.0" customHeight="1">
      <c r="A1934" s="834"/>
      <c r="B1934" s="603"/>
      <c r="C1934" s="109"/>
      <c r="D1934" s="594"/>
      <c r="E1934" s="594"/>
      <c r="F1934" s="594"/>
      <c r="G1934" s="756"/>
      <c r="H1934" s="824"/>
      <c r="I1934" s="825"/>
      <c r="J1934" s="826"/>
    </row>
    <row r="1935" ht="15.0" customHeight="1">
      <c r="A1935" s="834"/>
      <c r="B1935" s="603"/>
      <c r="C1935" s="109"/>
      <c r="D1935" s="594"/>
      <c r="E1935" s="594"/>
      <c r="F1935" s="594"/>
      <c r="G1935" s="756"/>
      <c r="H1935" s="824"/>
      <c r="I1935" s="825"/>
      <c r="J1935" s="826"/>
    </row>
    <row r="1936" ht="15.0" customHeight="1">
      <c r="A1936" s="834"/>
      <c r="B1936" s="603"/>
      <c r="C1936" s="109"/>
      <c r="D1936" s="594"/>
      <c r="E1936" s="594"/>
      <c r="F1936" s="594"/>
      <c r="G1936" s="756"/>
      <c r="H1936" s="824"/>
      <c r="I1936" s="825"/>
      <c r="J1936" s="826"/>
    </row>
    <row r="1937" ht="15.0" customHeight="1">
      <c r="A1937" s="834"/>
      <c r="B1937" s="603"/>
      <c r="C1937" s="109"/>
      <c r="D1937" s="594"/>
      <c r="E1937" s="594"/>
      <c r="F1937" s="594"/>
      <c r="G1937" s="756"/>
      <c r="H1937" s="824"/>
      <c r="I1937" s="825"/>
      <c r="J1937" s="826"/>
    </row>
    <row r="1938" ht="15.0" customHeight="1">
      <c r="A1938" s="834"/>
      <c r="B1938" s="603"/>
      <c r="C1938" s="109"/>
      <c r="D1938" s="594"/>
      <c r="E1938" s="594"/>
      <c r="F1938" s="594"/>
      <c r="G1938" s="756"/>
      <c r="H1938" s="824"/>
      <c r="I1938" s="825"/>
      <c r="J1938" s="826"/>
    </row>
    <row r="1939" ht="15.0" customHeight="1">
      <c r="A1939" s="834"/>
      <c r="B1939" s="603"/>
      <c r="C1939" s="109"/>
      <c r="D1939" s="594"/>
      <c r="E1939" s="594"/>
      <c r="F1939" s="594"/>
      <c r="G1939" s="756"/>
      <c r="H1939" s="824"/>
      <c r="I1939" s="825"/>
      <c r="J1939" s="826"/>
    </row>
    <row r="1940" ht="15.0" customHeight="1">
      <c r="A1940" s="834"/>
      <c r="B1940" s="603"/>
      <c r="C1940" s="109"/>
      <c r="D1940" s="594"/>
      <c r="E1940" s="594"/>
      <c r="F1940" s="594"/>
      <c r="G1940" s="756"/>
      <c r="H1940" s="824"/>
      <c r="I1940" s="825"/>
      <c r="J1940" s="826"/>
    </row>
    <row r="1941" ht="15.0" customHeight="1">
      <c r="A1941" s="834"/>
      <c r="B1941" s="603"/>
      <c r="C1941" s="109"/>
      <c r="D1941" s="594"/>
      <c r="E1941" s="594"/>
      <c r="F1941" s="594"/>
      <c r="G1941" s="756"/>
      <c r="H1941" s="824"/>
      <c r="I1941" s="825"/>
      <c r="J1941" s="826"/>
    </row>
    <row r="1942" ht="15.0" customHeight="1">
      <c r="A1942" s="834"/>
      <c r="B1942" s="603"/>
      <c r="C1942" s="109"/>
      <c r="D1942" s="594"/>
      <c r="E1942" s="594"/>
      <c r="F1942" s="594"/>
      <c r="G1942" s="756"/>
      <c r="H1942" s="824"/>
      <c r="I1942" s="825"/>
      <c r="J1942" s="826"/>
    </row>
    <row r="1943" ht="15.0" customHeight="1">
      <c r="A1943" s="834"/>
      <c r="B1943" s="603"/>
      <c r="C1943" s="109"/>
      <c r="D1943" s="594"/>
      <c r="E1943" s="594"/>
      <c r="F1943" s="594"/>
      <c r="G1943" s="756"/>
      <c r="H1943" s="824"/>
      <c r="I1943" s="825"/>
      <c r="J1943" s="826"/>
    </row>
    <row r="1944" ht="15.0" customHeight="1">
      <c r="A1944" s="834"/>
      <c r="B1944" s="603"/>
      <c r="C1944" s="109"/>
      <c r="D1944" s="594"/>
      <c r="E1944" s="594"/>
      <c r="F1944" s="594"/>
      <c r="G1944" s="756"/>
      <c r="H1944" s="824"/>
      <c r="I1944" s="825"/>
      <c r="J1944" s="826"/>
    </row>
    <row r="1945" ht="15.0" customHeight="1">
      <c r="A1945" s="834"/>
      <c r="B1945" s="603"/>
      <c r="C1945" s="109"/>
      <c r="D1945" s="594"/>
      <c r="E1945" s="594"/>
      <c r="F1945" s="594"/>
      <c r="G1945" s="756"/>
      <c r="H1945" s="824"/>
      <c r="I1945" s="825"/>
      <c r="J1945" s="826"/>
    </row>
    <row r="1946" ht="15.0" customHeight="1">
      <c r="A1946" s="834"/>
      <c r="B1946" s="603"/>
      <c r="C1946" s="109"/>
      <c r="D1946" s="594"/>
      <c r="E1946" s="594"/>
      <c r="F1946" s="594"/>
      <c r="G1946" s="756"/>
      <c r="H1946" s="824"/>
      <c r="I1946" s="825"/>
      <c r="J1946" s="826"/>
    </row>
    <row r="1947" ht="15.0" customHeight="1">
      <c r="A1947" s="834"/>
      <c r="B1947" s="603"/>
      <c r="C1947" s="109"/>
      <c r="D1947" s="594"/>
      <c r="E1947" s="594"/>
      <c r="F1947" s="594"/>
      <c r="G1947" s="756"/>
      <c r="H1947" s="824"/>
      <c r="I1947" s="825"/>
      <c r="J1947" s="826"/>
    </row>
    <row r="1948" ht="15.0" customHeight="1">
      <c r="A1948" s="834"/>
      <c r="B1948" s="603"/>
      <c r="C1948" s="109"/>
      <c r="D1948" s="594"/>
      <c r="E1948" s="594"/>
      <c r="F1948" s="594"/>
      <c r="G1948" s="756"/>
      <c r="H1948" s="824"/>
      <c r="I1948" s="825"/>
      <c r="J1948" s="826"/>
    </row>
    <row r="1949" ht="15.0" customHeight="1">
      <c r="A1949" s="834"/>
      <c r="B1949" s="603"/>
      <c r="C1949" s="109"/>
      <c r="D1949" s="594"/>
      <c r="E1949" s="594"/>
      <c r="F1949" s="594"/>
      <c r="G1949" s="756"/>
      <c r="H1949" s="824"/>
      <c r="I1949" s="825"/>
      <c r="J1949" s="826"/>
    </row>
    <row r="1950" ht="15.0" customHeight="1">
      <c r="A1950" s="834"/>
      <c r="B1950" s="603"/>
      <c r="C1950" s="109"/>
      <c r="D1950" s="594"/>
      <c r="E1950" s="594"/>
      <c r="F1950" s="594"/>
      <c r="G1950" s="756"/>
      <c r="H1950" s="824"/>
      <c r="I1950" s="825"/>
      <c r="J1950" s="826"/>
    </row>
    <row r="1951" ht="15.0" customHeight="1">
      <c r="A1951" s="834"/>
      <c r="B1951" s="603"/>
      <c r="C1951" s="109"/>
      <c r="D1951" s="594"/>
      <c r="E1951" s="594"/>
      <c r="F1951" s="594"/>
      <c r="G1951" s="756"/>
      <c r="H1951" s="824"/>
      <c r="I1951" s="825"/>
      <c r="J1951" s="826"/>
    </row>
    <row r="1952" ht="15.0" customHeight="1">
      <c r="A1952" s="834"/>
      <c r="B1952" s="603"/>
      <c r="C1952" s="109"/>
      <c r="D1952" s="594"/>
      <c r="E1952" s="594"/>
      <c r="F1952" s="594"/>
      <c r="G1952" s="756"/>
      <c r="H1952" s="824"/>
      <c r="I1952" s="825"/>
      <c r="J1952" s="826"/>
    </row>
    <row r="1953" ht="15.0" customHeight="1">
      <c r="A1953" s="834"/>
      <c r="B1953" s="603"/>
      <c r="C1953" s="109"/>
      <c r="D1953" s="594"/>
      <c r="E1953" s="594"/>
      <c r="F1953" s="594"/>
      <c r="G1953" s="756"/>
      <c r="H1953" s="824"/>
      <c r="I1953" s="825"/>
      <c r="J1953" s="826"/>
    </row>
    <row r="1954" ht="15.0" customHeight="1">
      <c r="A1954" s="834"/>
      <c r="B1954" s="603"/>
      <c r="C1954" s="109"/>
      <c r="D1954" s="594"/>
      <c r="E1954" s="594"/>
      <c r="F1954" s="594"/>
      <c r="G1954" s="756"/>
      <c r="H1954" s="824"/>
      <c r="I1954" s="825"/>
      <c r="J1954" s="826"/>
    </row>
    <row r="1955" ht="15.0" customHeight="1">
      <c r="A1955" s="834"/>
      <c r="B1955" s="603"/>
      <c r="C1955" s="109"/>
      <c r="D1955" s="594"/>
      <c r="E1955" s="594"/>
      <c r="F1955" s="594"/>
      <c r="G1955" s="756"/>
      <c r="H1955" s="824"/>
      <c r="I1955" s="825"/>
      <c r="J1955" s="826"/>
    </row>
    <row r="1956" ht="15.0" customHeight="1">
      <c r="A1956" s="834"/>
      <c r="B1956" s="603"/>
      <c r="C1956" s="109"/>
      <c r="D1956" s="594"/>
      <c r="E1956" s="594"/>
      <c r="F1956" s="594"/>
      <c r="G1956" s="756"/>
      <c r="H1956" s="824"/>
      <c r="I1956" s="825"/>
      <c r="J1956" s="826"/>
    </row>
    <row r="1957" ht="15.0" customHeight="1">
      <c r="A1957" s="834"/>
      <c r="B1957" s="603"/>
      <c r="C1957" s="109"/>
      <c r="D1957" s="594"/>
      <c r="E1957" s="594"/>
      <c r="F1957" s="594"/>
      <c r="G1957" s="756"/>
      <c r="H1957" s="824"/>
      <c r="I1957" s="825"/>
      <c r="J1957" s="826"/>
    </row>
    <row r="1958" ht="15.0" customHeight="1">
      <c r="A1958" s="834"/>
      <c r="B1958" s="603"/>
      <c r="C1958" s="109"/>
      <c r="D1958" s="594"/>
      <c r="E1958" s="594"/>
      <c r="F1958" s="594"/>
      <c r="G1958" s="756"/>
      <c r="H1958" s="824"/>
      <c r="I1958" s="825"/>
      <c r="J1958" s="826"/>
    </row>
    <row r="1959" ht="15.0" customHeight="1">
      <c r="A1959" s="834"/>
      <c r="B1959" s="603"/>
      <c r="C1959" s="109"/>
      <c r="D1959" s="594"/>
      <c r="E1959" s="594"/>
      <c r="F1959" s="594"/>
      <c r="G1959" s="756"/>
      <c r="H1959" s="824"/>
      <c r="I1959" s="825"/>
      <c r="J1959" s="826"/>
    </row>
    <row r="1960" ht="15.0" customHeight="1">
      <c r="A1960" s="834"/>
      <c r="B1960" s="603"/>
      <c r="C1960" s="109"/>
      <c r="D1960" s="594"/>
      <c r="E1960" s="594"/>
      <c r="F1960" s="594"/>
      <c r="G1960" s="756"/>
      <c r="H1960" s="824"/>
      <c r="I1960" s="825"/>
      <c r="J1960" s="826"/>
    </row>
    <row r="1961" ht="15.0" customHeight="1">
      <c r="A1961" s="834"/>
      <c r="B1961" s="603"/>
      <c r="C1961" s="109"/>
      <c r="D1961" s="594"/>
      <c r="E1961" s="594"/>
      <c r="F1961" s="594"/>
      <c r="G1961" s="756"/>
      <c r="H1961" s="824"/>
      <c r="I1961" s="825"/>
      <c r="J1961" s="826"/>
    </row>
    <row r="1962" ht="15.0" customHeight="1">
      <c r="A1962" s="834"/>
      <c r="B1962" s="603"/>
      <c r="C1962" s="109"/>
      <c r="D1962" s="594"/>
      <c r="E1962" s="594"/>
      <c r="F1962" s="594"/>
      <c r="G1962" s="756"/>
      <c r="H1962" s="824"/>
      <c r="I1962" s="825"/>
      <c r="J1962" s="826"/>
    </row>
    <row r="1963" ht="15.0" customHeight="1">
      <c r="A1963" s="834"/>
      <c r="B1963" s="603"/>
      <c r="C1963" s="109"/>
      <c r="D1963" s="594"/>
      <c r="E1963" s="594"/>
      <c r="F1963" s="594"/>
      <c r="G1963" s="756"/>
      <c r="H1963" s="824"/>
      <c r="I1963" s="825"/>
      <c r="J1963" s="826"/>
    </row>
    <row r="1964" ht="15.0" customHeight="1">
      <c r="A1964" s="834"/>
      <c r="B1964" s="603"/>
      <c r="C1964" s="109"/>
      <c r="D1964" s="594"/>
      <c r="E1964" s="594"/>
      <c r="F1964" s="594"/>
      <c r="G1964" s="756"/>
      <c r="H1964" s="824"/>
      <c r="I1964" s="825"/>
      <c r="J1964" s="826"/>
    </row>
    <row r="1965" ht="15.0" customHeight="1">
      <c r="A1965" s="834"/>
      <c r="B1965" s="603"/>
      <c r="C1965" s="109"/>
      <c r="D1965" s="594"/>
      <c r="E1965" s="594"/>
      <c r="F1965" s="594"/>
      <c r="G1965" s="756"/>
      <c r="H1965" s="824"/>
      <c r="I1965" s="825"/>
      <c r="J1965" s="826"/>
    </row>
    <row r="1966" ht="15.0" customHeight="1">
      <c r="A1966" s="834"/>
      <c r="B1966" s="603"/>
      <c r="C1966" s="109"/>
      <c r="D1966" s="594"/>
      <c r="E1966" s="594"/>
      <c r="F1966" s="594"/>
      <c r="G1966" s="756"/>
      <c r="H1966" s="824"/>
      <c r="I1966" s="825"/>
      <c r="J1966" s="826"/>
    </row>
    <row r="1967" ht="15.0" customHeight="1">
      <c r="A1967" s="834"/>
      <c r="B1967" s="603"/>
      <c r="C1967" s="109"/>
      <c r="D1967" s="594"/>
      <c r="E1967" s="594"/>
      <c r="F1967" s="594"/>
      <c r="G1967" s="756"/>
      <c r="H1967" s="824"/>
      <c r="I1967" s="825"/>
      <c r="J1967" s="826"/>
    </row>
    <row r="1968" ht="15.0" customHeight="1">
      <c r="A1968" s="834"/>
      <c r="B1968" s="603"/>
      <c r="C1968" s="109"/>
      <c r="D1968" s="594"/>
      <c r="E1968" s="594"/>
      <c r="F1968" s="594"/>
      <c r="G1968" s="756"/>
      <c r="H1968" s="824"/>
      <c r="I1968" s="825"/>
      <c r="J1968" s="826"/>
    </row>
    <row r="1969" ht="15.0" customHeight="1">
      <c r="A1969" s="834"/>
      <c r="B1969" s="603"/>
      <c r="C1969" s="109"/>
      <c r="D1969" s="594"/>
      <c r="E1969" s="594"/>
      <c r="F1969" s="594"/>
      <c r="G1969" s="756"/>
      <c r="H1969" s="824"/>
      <c r="I1969" s="825"/>
      <c r="J1969" s="826"/>
    </row>
    <row r="1970" ht="15.0" customHeight="1">
      <c r="A1970" s="834"/>
      <c r="B1970" s="603"/>
      <c r="C1970" s="109"/>
      <c r="D1970" s="594"/>
      <c r="E1970" s="594"/>
      <c r="F1970" s="594"/>
      <c r="G1970" s="756"/>
      <c r="H1970" s="824"/>
      <c r="I1970" s="825"/>
      <c r="J1970" s="826"/>
    </row>
    <row r="1971" ht="15.0" customHeight="1">
      <c r="A1971" s="834"/>
      <c r="B1971" s="603"/>
      <c r="C1971" s="109"/>
      <c r="D1971" s="594"/>
      <c r="E1971" s="594"/>
      <c r="F1971" s="594"/>
      <c r="G1971" s="756"/>
      <c r="H1971" s="824"/>
      <c r="I1971" s="825"/>
      <c r="J1971" s="826"/>
    </row>
    <row r="1972" ht="15.0" customHeight="1">
      <c r="A1972" s="834"/>
      <c r="B1972" s="603"/>
      <c r="C1972" s="109"/>
      <c r="D1972" s="594"/>
      <c r="E1972" s="594"/>
      <c r="F1972" s="594"/>
      <c r="G1972" s="756"/>
      <c r="H1972" s="824"/>
      <c r="I1972" s="825"/>
      <c r="J1972" s="826"/>
    </row>
    <row r="1973" ht="15.0" customHeight="1">
      <c r="A1973" s="834"/>
      <c r="B1973" s="603"/>
      <c r="C1973" s="109"/>
      <c r="D1973" s="594"/>
      <c r="E1973" s="594"/>
      <c r="F1973" s="594"/>
      <c r="G1973" s="756"/>
      <c r="H1973" s="824"/>
      <c r="I1973" s="825"/>
      <c r="J1973" s="826"/>
    </row>
    <row r="1974" ht="15.0" customHeight="1">
      <c r="A1974" s="834"/>
      <c r="B1974" s="603"/>
      <c r="C1974" s="109"/>
      <c r="D1974" s="594"/>
      <c r="E1974" s="594"/>
      <c r="F1974" s="594"/>
      <c r="G1974" s="756"/>
      <c r="H1974" s="824"/>
      <c r="I1974" s="825"/>
      <c r="J1974" s="826"/>
    </row>
    <row r="1975" ht="15.0" customHeight="1">
      <c r="A1975" s="834"/>
      <c r="B1975" s="603"/>
      <c r="C1975" s="109"/>
      <c r="D1975" s="594"/>
      <c r="E1975" s="594"/>
      <c r="F1975" s="594"/>
      <c r="G1975" s="756"/>
      <c r="H1975" s="824"/>
      <c r="I1975" s="825"/>
      <c r="J1975" s="826"/>
    </row>
    <row r="1976" ht="15.0" customHeight="1">
      <c r="A1976" s="834"/>
      <c r="B1976" s="603"/>
      <c r="C1976" s="109"/>
      <c r="D1976" s="594"/>
      <c r="E1976" s="594"/>
      <c r="F1976" s="594"/>
      <c r="G1976" s="756"/>
      <c r="H1976" s="824"/>
      <c r="I1976" s="825"/>
      <c r="J1976" s="826"/>
    </row>
    <row r="1977" ht="15.0" customHeight="1">
      <c r="A1977" s="834"/>
      <c r="B1977" s="603"/>
      <c r="C1977" s="109"/>
      <c r="D1977" s="594"/>
      <c r="E1977" s="594"/>
      <c r="F1977" s="594"/>
      <c r="G1977" s="756"/>
      <c r="H1977" s="824"/>
      <c r="I1977" s="825"/>
      <c r="J1977" s="826"/>
    </row>
    <row r="1978" ht="15.0" customHeight="1">
      <c r="A1978" s="834"/>
      <c r="B1978" s="603"/>
      <c r="C1978" s="109"/>
      <c r="D1978" s="594"/>
      <c r="E1978" s="594"/>
      <c r="F1978" s="594"/>
      <c r="G1978" s="756"/>
      <c r="H1978" s="824"/>
      <c r="I1978" s="825"/>
      <c r="J1978" s="826"/>
    </row>
    <row r="1979" ht="15.0" customHeight="1">
      <c r="A1979" s="834"/>
      <c r="B1979" s="603"/>
      <c r="C1979" s="109"/>
      <c r="D1979" s="594"/>
      <c r="E1979" s="594"/>
      <c r="F1979" s="594"/>
      <c r="G1979" s="756"/>
      <c r="H1979" s="824"/>
      <c r="I1979" s="825"/>
      <c r="J1979" s="826"/>
    </row>
    <row r="1980" ht="15.0" customHeight="1">
      <c r="A1980" s="834"/>
      <c r="B1980" s="603"/>
      <c r="C1980" s="109"/>
      <c r="D1980" s="594"/>
      <c r="E1980" s="594"/>
      <c r="F1980" s="594"/>
      <c r="G1980" s="756"/>
      <c r="H1980" s="824"/>
      <c r="I1980" s="825"/>
      <c r="J1980" s="826"/>
    </row>
    <row r="1981" ht="15.0" customHeight="1">
      <c r="A1981" s="834"/>
      <c r="B1981" s="603"/>
      <c r="C1981" s="109"/>
      <c r="D1981" s="594"/>
      <c r="E1981" s="594"/>
      <c r="F1981" s="594"/>
      <c r="G1981" s="756"/>
      <c r="H1981" s="824"/>
      <c r="I1981" s="825"/>
      <c r="J1981" s="826"/>
    </row>
    <row r="1982" ht="15.0" customHeight="1">
      <c r="A1982" s="834"/>
      <c r="B1982" s="603"/>
      <c r="C1982" s="109"/>
      <c r="D1982" s="594"/>
      <c r="E1982" s="594"/>
      <c r="F1982" s="594"/>
      <c r="G1982" s="756"/>
      <c r="H1982" s="824"/>
      <c r="I1982" s="825"/>
      <c r="J1982" s="826"/>
    </row>
    <row r="1983" ht="15.0" customHeight="1">
      <c r="A1983" s="834"/>
      <c r="B1983" s="603"/>
      <c r="C1983" s="109"/>
      <c r="D1983" s="594"/>
      <c r="E1983" s="594"/>
      <c r="F1983" s="594"/>
      <c r="G1983" s="756"/>
      <c r="H1983" s="824"/>
      <c r="I1983" s="825"/>
      <c r="J1983" s="826"/>
    </row>
    <row r="1984" ht="15.0" customHeight="1">
      <c r="A1984" s="834"/>
      <c r="B1984" s="603"/>
      <c r="C1984" s="109"/>
      <c r="D1984" s="594"/>
      <c r="E1984" s="594"/>
      <c r="F1984" s="594"/>
      <c r="G1984" s="756"/>
      <c r="H1984" s="824"/>
      <c r="I1984" s="825"/>
      <c r="J1984" s="826"/>
    </row>
    <row r="1985" ht="15.0" customHeight="1">
      <c r="A1985" s="834"/>
      <c r="B1985" s="603"/>
      <c r="C1985" s="109"/>
      <c r="D1985" s="594"/>
      <c r="E1985" s="594"/>
      <c r="F1985" s="594"/>
      <c r="G1985" s="756"/>
      <c r="H1985" s="824"/>
      <c r="I1985" s="825"/>
      <c r="J1985" s="826"/>
    </row>
    <row r="1986" ht="15.0" customHeight="1">
      <c r="A1986" s="834"/>
      <c r="B1986" s="603"/>
      <c r="C1986" s="109"/>
      <c r="D1986" s="594"/>
      <c r="E1986" s="594"/>
      <c r="F1986" s="594"/>
      <c r="G1986" s="756"/>
      <c r="H1986" s="824"/>
      <c r="I1986" s="825"/>
      <c r="J1986" s="826"/>
    </row>
    <row r="1987" ht="15.0" customHeight="1">
      <c r="A1987" s="834"/>
      <c r="B1987" s="603"/>
      <c r="C1987" s="109"/>
      <c r="D1987" s="594"/>
      <c r="E1987" s="594"/>
      <c r="F1987" s="594"/>
      <c r="G1987" s="756"/>
      <c r="H1987" s="824"/>
      <c r="I1987" s="825"/>
      <c r="J1987" s="826"/>
    </row>
    <row r="1988" ht="15.0" customHeight="1">
      <c r="A1988" s="834"/>
      <c r="B1988" s="603"/>
      <c r="C1988" s="109"/>
      <c r="D1988" s="594"/>
      <c r="E1988" s="594"/>
      <c r="F1988" s="594"/>
      <c r="G1988" s="756"/>
      <c r="H1988" s="824"/>
      <c r="I1988" s="825"/>
      <c r="J1988" s="826"/>
    </row>
    <row r="1989" ht="15.0" customHeight="1">
      <c r="A1989" s="834"/>
      <c r="B1989" s="603"/>
      <c r="C1989" s="109"/>
      <c r="D1989" s="594"/>
      <c r="E1989" s="594"/>
      <c r="F1989" s="594"/>
      <c r="G1989" s="756"/>
      <c r="H1989" s="824"/>
      <c r="I1989" s="825"/>
      <c r="J1989" s="826"/>
    </row>
    <row r="1990" ht="15.0" customHeight="1">
      <c r="A1990" s="834"/>
      <c r="B1990" s="603"/>
      <c r="C1990" s="109"/>
      <c r="D1990" s="594"/>
      <c r="E1990" s="594"/>
      <c r="F1990" s="594"/>
      <c r="G1990" s="756"/>
      <c r="H1990" s="824"/>
      <c r="I1990" s="825"/>
      <c r="J1990" s="826"/>
    </row>
    <row r="1991" ht="15.0" customHeight="1">
      <c r="A1991" s="834"/>
      <c r="B1991" s="603"/>
      <c r="C1991" s="109"/>
      <c r="D1991" s="594"/>
      <c r="E1991" s="594"/>
      <c r="F1991" s="594"/>
      <c r="G1991" s="756"/>
      <c r="H1991" s="824"/>
      <c r="I1991" s="825"/>
      <c r="J1991" s="826"/>
    </row>
    <row r="1992" ht="15.0" customHeight="1">
      <c r="A1992" s="834"/>
      <c r="B1992" s="603"/>
      <c r="C1992" s="109"/>
      <c r="D1992" s="594"/>
      <c r="E1992" s="594"/>
      <c r="F1992" s="594"/>
      <c r="G1992" s="756"/>
      <c r="H1992" s="824"/>
      <c r="I1992" s="825"/>
      <c r="J1992" s="826"/>
    </row>
    <row r="1993" ht="15.0" customHeight="1">
      <c r="A1993" s="834"/>
      <c r="B1993" s="603"/>
      <c r="C1993" s="109"/>
      <c r="D1993" s="594"/>
      <c r="E1993" s="594"/>
      <c r="F1993" s="594"/>
      <c r="G1993" s="756"/>
      <c r="H1993" s="824"/>
      <c r="I1993" s="825"/>
      <c r="J1993" s="826"/>
    </row>
    <row r="1994" ht="15.0" customHeight="1">
      <c r="A1994" s="834"/>
      <c r="B1994" s="603"/>
      <c r="C1994" s="109"/>
      <c r="D1994" s="594"/>
      <c r="E1994" s="594"/>
      <c r="F1994" s="594"/>
      <c r="G1994" s="756"/>
      <c r="H1994" s="824"/>
      <c r="I1994" s="825"/>
      <c r="J1994" s="826"/>
    </row>
    <row r="1995" ht="15.0" customHeight="1">
      <c r="A1995" s="834"/>
      <c r="B1995" s="603"/>
      <c r="C1995" s="109"/>
      <c r="D1995" s="594"/>
      <c r="E1995" s="594"/>
      <c r="F1995" s="594"/>
      <c r="G1995" s="756"/>
      <c r="H1995" s="824"/>
      <c r="I1995" s="825"/>
      <c r="J1995" s="826"/>
    </row>
    <row r="1996" ht="15.0" customHeight="1">
      <c r="A1996" s="834"/>
      <c r="B1996" s="603"/>
      <c r="C1996" s="109"/>
      <c r="D1996" s="594"/>
      <c r="E1996" s="594"/>
      <c r="F1996" s="594"/>
      <c r="G1996" s="756"/>
      <c r="H1996" s="824"/>
      <c r="I1996" s="825"/>
      <c r="J1996" s="826"/>
    </row>
    <row r="1997" ht="15.0" customHeight="1">
      <c r="A1997" s="834"/>
      <c r="B1997" s="603"/>
      <c r="C1997" s="109"/>
      <c r="D1997" s="594"/>
      <c r="E1997" s="594"/>
      <c r="F1997" s="594"/>
      <c r="G1997" s="756"/>
      <c r="H1997" s="824"/>
      <c r="I1997" s="825"/>
      <c r="J1997" s="826"/>
    </row>
    <row r="1998" ht="15.0" customHeight="1">
      <c r="A1998" s="834"/>
      <c r="B1998" s="603"/>
      <c r="C1998" s="109"/>
      <c r="D1998" s="594"/>
      <c r="E1998" s="594"/>
      <c r="F1998" s="594"/>
      <c r="G1998" s="756"/>
      <c r="H1998" s="824"/>
      <c r="I1998" s="825"/>
      <c r="J1998" s="826"/>
    </row>
    <row r="1999" ht="15.0" customHeight="1">
      <c r="A1999" s="834"/>
      <c r="B1999" s="603"/>
      <c r="C1999" s="109"/>
      <c r="D1999" s="594"/>
      <c r="E1999" s="594"/>
      <c r="F1999" s="594"/>
      <c r="G1999" s="756"/>
      <c r="H1999" s="824"/>
      <c r="I1999" s="825"/>
      <c r="J1999" s="826"/>
    </row>
    <row r="2000" ht="15.0" customHeight="1">
      <c r="A2000" s="834"/>
      <c r="B2000" s="603"/>
      <c r="C2000" s="109"/>
      <c r="D2000" s="594"/>
      <c r="E2000" s="594"/>
      <c r="F2000" s="594"/>
      <c r="G2000" s="756"/>
      <c r="H2000" s="824"/>
      <c r="I2000" s="825"/>
      <c r="J2000" s="826"/>
    </row>
    <row r="2001" ht="15.0" customHeight="1">
      <c r="A2001" s="834"/>
      <c r="B2001" s="603"/>
      <c r="C2001" s="109"/>
      <c r="D2001" s="594"/>
      <c r="E2001" s="594"/>
      <c r="F2001" s="594"/>
      <c r="G2001" s="756"/>
      <c r="H2001" s="824"/>
      <c r="I2001" s="825"/>
      <c r="J2001" s="826"/>
    </row>
    <row r="2002" ht="15.0" customHeight="1">
      <c r="A2002" s="834"/>
      <c r="B2002" s="603"/>
      <c r="C2002" s="109"/>
      <c r="D2002" s="594"/>
      <c r="E2002" s="594"/>
      <c r="F2002" s="594"/>
      <c r="G2002" s="756"/>
      <c r="H2002" s="824"/>
      <c r="I2002" s="825"/>
      <c r="J2002" s="826"/>
    </row>
    <row r="2003" ht="15.0" customHeight="1">
      <c r="A2003" s="834"/>
      <c r="B2003" s="603"/>
      <c r="C2003" s="109"/>
      <c r="D2003" s="594"/>
      <c r="E2003" s="594"/>
      <c r="F2003" s="594"/>
      <c r="G2003" s="756"/>
      <c r="H2003" s="824"/>
      <c r="I2003" s="825"/>
      <c r="J2003" s="826"/>
    </row>
    <row r="2004" ht="15.0" customHeight="1">
      <c r="A2004" s="834"/>
      <c r="B2004" s="603"/>
      <c r="C2004" s="109"/>
      <c r="D2004" s="594"/>
      <c r="E2004" s="594"/>
      <c r="F2004" s="594"/>
      <c r="G2004" s="756"/>
      <c r="H2004" s="824"/>
      <c r="I2004" s="825"/>
      <c r="J2004" s="826"/>
    </row>
    <row r="2005" ht="15.0" customHeight="1">
      <c r="A2005" s="834"/>
      <c r="B2005" s="603"/>
      <c r="C2005" s="109"/>
      <c r="D2005" s="594"/>
      <c r="E2005" s="594"/>
      <c r="F2005" s="594"/>
      <c r="G2005" s="756"/>
      <c r="H2005" s="824"/>
      <c r="I2005" s="825"/>
      <c r="J2005" s="826"/>
    </row>
    <row r="2006" ht="15.0" customHeight="1">
      <c r="A2006" s="834"/>
      <c r="B2006" s="603"/>
      <c r="C2006" s="109"/>
      <c r="D2006" s="594"/>
      <c r="E2006" s="594"/>
      <c r="F2006" s="594"/>
      <c r="G2006" s="756"/>
      <c r="H2006" s="824"/>
      <c r="I2006" s="825"/>
      <c r="J2006" s="826"/>
    </row>
    <row r="2007" ht="15.0" customHeight="1">
      <c r="A2007" s="834"/>
      <c r="B2007" s="603"/>
      <c r="C2007" s="109"/>
      <c r="D2007" s="594"/>
      <c r="E2007" s="594"/>
      <c r="F2007" s="594"/>
      <c r="G2007" s="756"/>
      <c r="H2007" s="824"/>
      <c r="I2007" s="825"/>
      <c r="J2007" s="826"/>
    </row>
    <row r="2008" ht="15.0" customHeight="1">
      <c r="A2008" s="834"/>
      <c r="B2008" s="603"/>
      <c r="C2008" s="109"/>
      <c r="D2008" s="594"/>
      <c r="E2008" s="594"/>
      <c r="F2008" s="594"/>
      <c r="G2008" s="756"/>
      <c r="H2008" s="824"/>
      <c r="I2008" s="825"/>
      <c r="J2008" s="826"/>
    </row>
    <row r="2009" ht="15.0" customHeight="1">
      <c r="A2009" s="834"/>
      <c r="B2009" s="603"/>
      <c r="C2009" s="109"/>
      <c r="D2009" s="594"/>
      <c r="E2009" s="594"/>
      <c r="F2009" s="594"/>
      <c r="G2009" s="756"/>
      <c r="H2009" s="824"/>
      <c r="I2009" s="825"/>
      <c r="J2009" s="826"/>
    </row>
    <row r="2010" ht="15.0" customHeight="1">
      <c r="A2010" s="834"/>
      <c r="B2010" s="603"/>
      <c r="C2010" s="109"/>
      <c r="D2010" s="594"/>
      <c r="E2010" s="594"/>
      <c r="F2010" s="594"/>
      <c r="G2010" s="756"/>
      <c r="H2010" s="824"/>
      <c r="I2010" s="825"/>
      <c r="J2010" s="826"/>
    </row>
    <row r="2011" ht="15.0" customHeight="1">
      <c r="A2011" s="834"/>
      <c r="B2011" s="603"/>
      <c r="C2011" s="109"/>
      <c r="D2011" s="594"/>
      <c r="E2011" s="594"/>
      <c r="F2011" s="594"/>
      <c r="G2011" s="756"/>
      <c r="H2011" s="824"/>
      <c r="I2011" s="825"/>
      <c r="J2011" s="826"/>
    </row>
    <row r="2012" ht="15.0" customHeight="1">
      <c r="A2012" s="834"/>
      <c r="B2012" s="603"/>
      <c r="C2012" s="109"/>
      <c r="D2012" s="594"/>
      <c r="E2012" s="594"/>
      <c r="F2012" s="594"/>
      <c r="G2012" s="756"/>
      <c r="H2012" s="824"/>
      <c r="I2012" s="825"/>
      <c r="J2012" s="826"/>
    </row>
    <row r="2013" ht="15.0" customHeight="1">
      <c r="A2013" s="834"/>
      <c r="B2013" s="603"/>
      <c r="C2013" s="109"/>
      <c r="D2013" s="594"/>
      <c r="E2013" s="594"/>
      <c r="F2013" s="594"/>
      <c r="G2013" s="756"/>
      <c r="H2013" s="824"/>
      <c r="I2013" s="825"/>
      <c r="J2013" s="826"/>
    </row>
    <row r="2014" ht="15.0" customHeight="1">
      <c r="A2014" s="834"/>
      <c r="B2014" s="603"/>
      <c r="C2014" s="109"/>
      <c r="D2014" s="594"/>
      <c r="E2014" s="594"/>
      <c r="F2014" s="594"/>
      <c r="G2014" s="756"/>
      <c r="H2014" s="824"/>
      <c r="I2014" s="825"/>
      <c r="J2014" s="826"/>
    </row>
    <row r="2015" ht="15.0" customHeight="1">
      <c r="A2015" s="834"/>
      <c r="B2015" s="603"/>
      <c r="C2015" s="109"/>
      <c r="D2015" s="594"/>
      <c r="E2015" s="594"/>
      <c r="F2015" s="594"/>
      <c r="G2015" s="756"/>
      <c r="H2015" s="824"/>
      <c r="I2015" s="825"/>
      <c r="J2015" s="826"/>
    </row>
    <row r="2016" ht="15.0" customHeight="1">
      <c r="A2016" s="834"/>
      <c r="B2016" s="603"/>
      <c r="C2016" s="109"/>
      <c r="D2016" s="594"/>
      <c r="E2016" s="594"/>
      <c r="F2016" s="594"/>
      <c r="G2016" s="756"/>
      <c r="H2016" s="824"/>
      <c r="I2016" s="825"/>
      <c r="J2016" s="826"/>
    </row>
    <row r="2017" ht="15.0" customHeight="1">
      <c r="A2017" s="834"/>
      <c r="B2017" s="603"/>
      <c r="C2017" s="109"/>
      <c r="D2017" s="594"/>
      <c r="E2017" s="594"/>
      <c r="F2017" s="594"/>
      <c r="G2017" s="756"/>
      <c r="H2017" s="824"/>
      <c r="I2017" s="825"/>
      <c r="J2017" s="826"/>
    </row>
    <row r="2018" ht="15.0" customHeight="1">
      <c r="A2018" s="834"/>
      <c r="B2018" s="603"/>
      <c r="C2018" s="109"/>
      <c r="D2018" s="594"/>
      <c r="E2018" s="594"/>
      <c r="F2018" s="594"/>
      <c r="G2018" s="756"/>
      <c r="H2018" s="824"/>
      <c r="I2018" s="825"/>
      <c r="J2018" s="826"/>
    </row>
    <row r="2019" ht="15.0" customHeight="1">
      <c r="A2019" s="834"/>
      <c r="B2019" s="603"/>
      <c r="C2019" s="109"/>
      <c r="D2019" s="594"/>
      <c r="E2019" s="594"/>
      <c r="F2019" s="594"/>
      <c r="G2019" s="756"/>
      <c r="H2019" s="824"/>
      <c r="I2019" s="825"/>
      <c r="J2019" s="826"/>
    </row>
    <row r="2020" ht="15.0" customHeight="1">
      <c r="A2020" s="834"/>
      <c r="B2020" s="603"/>
      <c r="C2020" s="109"/>
      <c r="D2020" s="594"/>
      <c r="E2020" s="594"/>
      <c r="F2020" s="594"/>
      <c r="G2020" s="756"/>
      <c r="H2020" s="824"/>
      <c r="I2020" s="825"/>
      <c r="J2020" s="826"/>
    </row>
    <row r="2021" ht="15.0" customHeight="1">
      <c r="A2021" s="834"/>
      <c r="B2021" s="603"/>
      <c r="C2021" s="109"/>
      <c r="D2021" s="594"/>
      <c r="E2021" s="594"/>
      <c r="F2021" s="594"/>
      <c r="G2021" s="756"/>
      <c r="H2021" s="824"/>
      <c r="I2021" s="825"/>
      <c r="J2021" s="826"/>
    </row>
    <row r="2022" ht="15.0" customHeight="1">
      <c r="A2022" s="834"/>
      <c r="B2022" s="603"/>
      <c r="C2022" s="109"/>
      <c r="D2022" s="594"/>
      <c r="E2022" s="594"/>
      <c r="F2022" s="594"/>
      <c r="G2022" s="756"/>
      <c r="H2022" s="824"/>
      <c r="I2022" s="825"/>
      <c r="J2022" s="826"/>
    </row>
    <row r="2023" ht="15.0" customHeight="1">
      <c r="A2023" s="834"/>
      <c r="B2023" s="603"/>
      <c r="C2023" s="109"/>
      <c r="D2023" s="594"/>
      <c r="E2023" s="594"/>
      <c r="F2023" s="594"/>
      <c r="G2023" s="756"/>
      <c r="H2023" s="824"/>
      <c r="I2023" s="825"/>
      <c r="J2023" s="826"/>
    </row>
    <row r="2024" ht="15.0" customHeight="1">
      <c r="A2024" s="834"/>
      <c r="B2024" s="603"/>
      <c r="C2024" s="109"/>
      <c r="D2024" s="594"/>
      <c r="E2024" s="594"/>
      <c r="F2024" s="594"/>
      <c r="G2024" s="756"/>
      <c r="H2024" s="824"/>
      <c r="I2024" s="825"/>
      <c r="J2024" s="826"/>
    </row>
    <row r="2025" ht="15.0" customHeight="1">
      <c r="A2025" s="834"/>
      <c r="B2025" s="603"/>
      <c r="C2025" s="109"/>
      <c r="D2025" s="594"/>
      <c r="E2025" s="594"/>
      <c r="F2025" s="594"/>
      <c r="G2025" s="756"/>
      <c r="H2025" s="824"/>
      <c r="I2025" s="825"/>
      <c r="J2025" s="826"/>
    </row>
    <row r="2026" ht="15.0" customHeight="1">
      <c r="A2026" s="834"/>
      <c r="B2026" s="603"/>
      <c r="C2026" s="109"/>
      <c r="D2026" s="594"/>
      <c r="E2026" s="594"/>
      <c r="F2026" s="594"/>
      <c r="G2026" s="756"/>
      <c r="H2026" s="824"/>
      <c r="I2026" s="825"/>
      <c r="J2026" s="826"/>
    </row>
    <row r="2027" ht="15.0" customHeight="1">
      <c r="A2027" s="834"/>
      <c r="B2027" s="603"/>
      <c r="C2027" s="109"/>
      <c r="D2027" s="594"/>
      <c r="E2027" s="594"/>
      <c r="F2027" s="594"/>
      <c r="G2027" s="756"/>
      <c r="H2027" s="824"/>
      <c r="I2027" s="825"/>
      <c r="J2027" s="826"/>
    </row>
    <row r="2028" ht="15.0" customHeight="1">
      <c r="A2028" s="834"/>
      <c r="B2028" s="603"/>
      <c r="C2028" s="109"/>
      <c r="D2028" s="594"/>
      <c r="E2028" s="594"/>
      <c r="F2028" s="594"/>
      <c r="G2028" s="756"/>
      <c r="H2028" s="824"/>
      <c r="I2028" s="825"/>
      <c r="J2028" s="826"/>
    </row>
    <row r="2029" ht="15.0" customHeight="1">
      <c r="A2029" s="834"/>
      <c r="B2029" s="603"/>
      <c r="C2029" s="109"/>
      <c r="D2029" s="594"/>
      <c r="E2029" s="594"/>
      <c r="F2029" s="594"/>
      <c r="G2029" s="756"/>
      <c r="H2029" s="824"/>
      <c r="I2029" s="825"/>
      <c r="J2029" s="826"/>
    </row>
    <row r="2030" ht="15.0" customHeight="1">
      <c r="A2030" s="834"/>
      <c r="B2030" s="603"/>
      <c r="C2030" s="109"/>
      <c r="D2030" s="594"/>
      <c r="E2030" s="594"/>
      <c r="F2030" s="594"/>
      <c r="G2030" s="756"/>
      <c r="H2030" s="824"/>
      <c r="I2030" s="825"/>
      <c r="J2030" s="826"/>
    </row>
    <row r="2031" ht="15.0" customHeight="1">
      <c r="A2031" s="834"/>
      <c r="B2031" s="603"/>
      <c r="C2031" s="109"/>
      <c r="D2031" s="594"/>
      <c r="E2031" s="594"/>
      <c r="F2031" s="594"/>
      <c r="G2031" s="756"/>
      <c r="H2031" s="824"/>
      <c r="I2031" s="825"/>
      <c r="J2031" s="826"/>
    </row>
    <row r="2032" ht="15.0" customHeight="1">
      <c r="A2032" s="834"/>
      <c r="B2032" s="603"/>
      <c r="C2032" s="109"/>
      <c r="D2032" s="594"/>
      <c r="E2032" s="594"/>
      <c r="F2032" s="594"/>
      <c r="G2032" s="756"/>
      <c r="H2032" s="824"/>
      <c r="I2032" s="825"/>
      <c r="J2032" s="826"/>
    </row>
    <row r="2033" ht="15.0" customHeight="1">
      <c r="A2033" s="834"/>
      <c r="B2033" s="603"/>
      <c r="C2033" s="109"/>
      <c r="D2033" s="594"/>
      <c r="E2033" s="594"/>
      <c r="F2033" s="594"/>
      <c r="G2033" s="756"/>
      <c r="H2033" s="824"/>
      <c r="I2033" s="825"/>
      <c r="J2033" s="826"/>
    </row>
    <row r="2034" ht="15.0" customHeight="1">
      <c r="A2034" s="834"/>
      <c r="B2034" s="603"/>
      <c r="C2034" s="109"/>
      <c r="D2034" s="594"/>
      <c r="E2034" s="594"/>
      <c r="F2034" s="594"/>
      <c r="G2034" s="756"/>
      <c r="H2034" s="824"/>
      <c r="I2034" s="825"/>
      <c r="J2034" s="826"/>
    </row>
    <row r="2035" ht="15.0" customHeight="1">
      <c r="A2035" s="834"/>
      <c r="B2035" s="603"/>
      <c r="C2035" s="109"/>
      <c r="D2035" s="594"/>
      <c r="E2035" s="594"/>
      <c r="F2035" s="594"/>
      <c r="G2035" s="756"/>
      <c r="H2035" s="824"/>
      <c r="I2035" s="825"/>
      <c r="J2035" s="826"/>
    </row>
    <row r="2036" ht="15.0" customHeight="1">
      <c r="A2036" s="834"/>
      <c r="B2036" s="603"/>
      <c r="C2036" s="109"/>
      <c r="D2036" s="594"/>
      <c r="E2036" s="594"/>
      <c r="F2036" s="594"/>
      <c r="G2036" s="756"/>
      <c r="H2036" s="824"/>
      <c r="I2036" s="825"/>
      <c r="J2036" s="826"/>
    </row>
    <row r="2037" ht="15.0" customHeight="1">
      <c r="A2037" s="834"/>
      <c r="B2037" s="603"/>
      <c r="C2037" s="109"/>
      <c r="D2037" s="594"/>
      <c r="E2037" s="594"/>
      <c r="F2037" s="594"/>
      <c r="G2037" s="756"/>
      <c r="H2037" s="824"/>
      <c r="I2037" s="825"/>
      <c r="J2037" s="826"/>
    </row>
    <row r="2038" ht="15.0" customHeight="1">
      <c r="A2038" s="834"/>
      <c r="B2038" s="603"/>
      <c r="C2038" s="109"/>
      <c r="D2038" s="594"/>
      <c r="E2038" s="594"/>
      <c r="F2038" s="594"/>
      <c r="G2038" s="756"/>
      <c r="H2038" s="824"/>
      <c r="I2038" s="825"/>
      <c r="J2038" s="826"/>
    </row>
    <row r="2039" ht="15.0" customHeight="1">
      <c r="A2039" s="834"/>
      <c r="B2039" s="603"/>
      <c r="C2039" s="109"/>
      <c r="D2039" s="594"/>
      <c r="E2039" s="594"/>
      <c r="F2039" s="594"/>
      <c r="G2039" s="756"/>
      <c r="H2039" s="824"/>
      <c r="I2039" s="825"/>
      <c r="J2039" s="826"/>
    </row>
    <row r="2040" ht="15.0" customHeight="1">
      <c r="A2040" s="834"/>
      <c r="B2040" s="603"/>
      <c r="C2040" s="109"/>
      <c r="D2040" s="594"/>
      <c r="E2040" s="594"/>
      <c r="F2040" s="594"/>
      <c r="G2040" s="756"/>
      <c r="H2040" s="824"/>
      <c r="I2040" s="825"/>
      <c r="J2040" s="826"/>
    </row>
    <row r="2041" ht="15.0" customHeight="1">
      <c r="A2041" s="834"/>
      <c r="B2041" s="603"/>
      <c r="C2041" s="109"/>
      <c r="D2041" s="594"/>
      <c r="E2041" s="594"/>
      <c r="F2041" s="594"/>
      <c r="G2041" s="756"/>
      <c r="H2041" s="824"/>
      <c r="I2041" s="825"/>
      <c r="J2041" s="826"/>
    </row>
    <row r="2042" ht="15.0" customHeight="1">
      <c r="A2042" s="834"/>
      <c r="B2042" s="603"/>
      <c r="C2042" s="109"/>
      <c r="D2042" s="594"/>
      <c r="E2042" s="594"/>
      <c r="F2042" s="594"/>
      <c r="G2042" s="756"/>
      <c r="H2042" s="824"/>
      <c r="I2042" s="825"/>
      <c r="J2042" s="826"/>
    </row>
    <row r="2043" ht="15.0" customHeight="1">
      <c r="A2043" s="834"/>
      <c r="B2043" s="603"/>
      <c r="C2043" s="109"/>
      <c r="D2043" s="594"/>
      <c r="E2043" s="594"/>
      <c r="F2043" s="594"/>
      <c r="G2043" s="756"/>
      <c r="H2043" s="824"/>
      <c r="I2043" s="825"/>
      <c r="J2043" s="826"/>
    </row>
    <row r="2044" ht="15.0" customHeight="1">
      <c r="A2044" s="834"/>
      <c r="B2044" s="603"/>
      <c r="C2044" s="109"/>
      <c r="D2044" s="594"/>
      <c r="E2044" s="594"/>
      <c r="F2044" s="594"/>
      <c r="G2044" s="756"/>
      <c r="H2044" s="824"/>
      <c r="I2044" s="825"/>
      <c r="J2044" s="826"/>
    </row>
    <row r="2045" ht="15.0" customHeight="1">
      <c r="A2045" s="834"/>
      <c r="B2045" s="603"/>
      <c r="C2045" s="109"/>
      <c r="D2045" s="594"/>
      <c r="E2045" s="594"/>
      <c r="F2045" s="594"/>
      <c r="G2045" s="756"/>
      <c r="H2045" s="824"/>
      <c r="I2045" s="825"/>
      <c r="J2045" s="826"/>
    </row>
    <row r="2046" ht="15.0" customHeight="1">
      <c r="A2046" s="834"/>
      <c r="B2046" s="603"/>
      <c r="C2046" s="109"/>
      <c r="D2046" s="594"/>
      <c r="E2046" s="594"/>
      <c r="F2046" s="594"/>
      <c r="G2046" s="756"/>
      <c r="H2046" s="824"/>
      <c r="I2046" s="825"/>
      <c r="J2046" s="826"/>
    </row>
    <row r="2047" ht="15.0" customHeight="1">
      <c r="A2047" s="834"/>
      <c r="B2047" s="603"/>
      <c r="C2047" s="109"/>
      <c r="D2047" s="594"/>
      <c r="E2047" s="594"/>
      <c r="F2047" s="594"/>
      <c r="G2047" s="756"/>
      <c r="H2047" s="824"/>
      <c r="I2047" s="825"/>
      <c r="J2047" s="826"/>
    </row>
    <row r="2048" ht="15.0" customHeight="1">
      <c r="A2048" s="834"/>
      <c r="B2048" s="603"/>
      <c r="C2048" s="109"/>
      <c r="D2048" s="594"/>
      <c r="E2048" s="594"/>
      <c r="F2048" s="594"/>
      <c r="G2048" s="756"/>
      <c r="H2048" s="824"/>
      <c r="I2048" s="825"/>
      <c r="J2048" s="826"/>
    </row>
    <row r="2049" ht="15.0" customHeight="1">
      <c r="A2049" s="834"/>
      <c r="B2049" s="603"/>
      <c r="C2049" s="109"/>
      <c r="D2049" s="594"/>
      <c r="E2049" s="594"/>
      <c r="F2049" s="594"/>
      <c r="G2049" s="756"/>
      <c r="H2049" s="824"/>
      <c r="I2049" s="825"/>
      <c r="J2049" s="826"/>
    </row>
    <row r="2050" ht="15.0" customHeight="1">
      <c r="A2050" s="834"/>
      <c r="B2050" s="603"/>
      <c r="C2050" s="109"/>
      <c r="D2050" s="594"/>
      <c r="E2050" s="594"/>
      <c r="F2050" s="594"/>
      <c r="G2050" s="756"/>
      <c r="H2050" s="824"/>
      <c r="I2050" s="825"/>
      <c r="J2050" s="826"/>
    </row>
    <row r="2051" ht="15.0" customHeight="1">
      <c r="A2051" s="834"/>
      <c r="B2051" s="603"/>
      <c r="C2051" s="109"/>
      <c r="D2051" s="594"/>
      <c r="E2051" s="594"/>
      <c r="F2051" s="594"/>
      <c r="G2051" s="756"/>
      <c r="H2051" s="824"/>
      <c r="I2051" s="825"/>
      <c r="J2051" s="826"/>
    </row>
    <row r="2052" ht="15.0" customHeight="1">
      <c r="A2052" s="834"/>
      <c r="B2052" s="603"/>
      <c r="C2052" s="109"/>
      <c r="D2052" s="594"/>
      <c r="E2052" s="594"/>
      <c r="F2052" s="594"/>
      <c r="G2052" s="756"/>
      <c r="H2052" s="824"/>
      <c r="I2052" s="825"/>
      <c r="J2052" s="826"/>
    </row>
    <row r="2053" ht="15.0" customHeight="1">
      <c r="A2053" s="834"/>
      <c r="B2053" s="603"/>
      <c r="C2053" s="109"/>
      <c r="D2053" s="594"/>
      <c r="E2053" s="594"/>
      <c r="F2053" s="594"/>
      <c r="G2053" s="756"/>
      <c r="H2053" s="824"/>
      <c r="I2053" s="825"/>
      <c r="J2053" s="826"/>
    </row>
    <row r="2054" ht="15.0" customHeight="1">
      <c r="A2054" s="834"/>
      <c r="B2054" s="603"/>
      <c r="C2054" s="109"/>
      <c r="D2054" s="594"/>
      <c r="E2054" s="594"/>
      <c r="F2054" s="594"/>
      <c r="G2054" s="756"/>
      <c r="H2054" s="824"/>
      <c r="I2054" s="825"/>
      <c r="J2054" s="826"/>
    </row>
    <row r="2055" ht="15.0" customHeight="1">
      <c r="A2055" s="834"/>
      <c r="B2055" s="603"/>
      <c r="C2055" s="109"/>
      <c r="D2055" s="594"/>
      <c r="E2055" s="594"/>
      <c r="F2055" s="594"/>
      <c r="G2055" s="756"/>
      <c r="H2055" s="824"/>
      <c r="I2055" s="825"/>
      <c r="J2055" s="826"/>
    </row>
    <row r="2056" ht="15.0" customHeight="1">
      <c r="A2056" s="834"/>
      <c r="B2056" s="603"/>
      <c r="C2056" s="109"/>
      <c r="D2056" s="594"/>
      <c r="E2056" s="594"/>
      <c r="F2056" s="594"/>
      <c r="G2056" s="756"/>
      <c r="H2056" s="824"/>
      <c r="I2056" s="825"/>
      <c r="J2056" s="826"/>
    </row>
    <row r="2057" ht="15.0" customHeight="1">
      <c r="A2057" s="834"/>
      <c r="B2057" s="603"/>
      <c r="C2057" s="109"/>
      <c r="D2057" s="594"/>
      <c r="E2057" s="594"/>
      <c r="F2057" s="594"/>
      <c r="G2057" s="756"/>
      <c r="H2057" s="824"/>
      <c r="I2057" s="825"/>
      <c r="J2057" s="826"/>
    </row>
    <row r="2058" ht="15.0" customHeight="1">
      <c r="A2058" s="834"/>
      <c r="B2058" s="603"/>
      <c r="C2058" s="109"/>
      <c r="D2058" s="594"/>
      <c r="E2058" s="594"/>
      <c r="F2058" s="594"/>
      <c r="G2058" s="756"/>
      <c r="H2058" s="824"/>
      <c r="I2058" s="825"/>
      <c r="J2058" s="826"/>
    </row>
    <row r="2059" ht="15.0" customHeight="1">
      <c r="A2059" s="834"/>
      <c r="B2059" s="603"/>
      <c r="C2059" s="109"/>
      <c r="D2059" s="594"/>
      <c r="E2059" s="594"/>
      <c r="F2059" s="594"/>
      <c r="G2059" s="756"/>
      <c r="H2059" s="824"/>
      <c r="I2059" s="825"/>
      <c r="J2059" s="826"/>
    </row>
    <row r="2060" ht="15.0" customHeight="1">
      <c r="A2060" s="834"/>
      <c r="B2060" s="603"/>
      <c r="C2060" s="109"/>
      <c r="D2060" s="594"/>
      <c r="E2060" s="594"/>
      <c r="F2060" s="594"/>
      <c r="G2060" s="756"/>
      <c r="H2060" s="824"/>
      <c r="I2060" s="825"/>
      <c r="J2060" s="826"/>
    </row>
    <row r="2061" ht="15.0" customHeight="1">
      <c r="A2061" s="834"/>
      <c r="B2061" s="603"/>
      <c r="C2061" s="109"/>
      <c r="D2061" s="594"/>
      <c r="E2061" s="594"/>
      <c r="F2061" s="594"/>
      <c r="G2061" s="756"/>
      <c r="H2061" s="824"/>
      <c r="I2061" s="825"/>
      <c r="J2061" s="826"/>
    </row>
    <row r="2062" ht="15.0" customHeight="1">
      <c r="A2062" s="834"/>
      <c r="B2062" s="603"/>
      <c r="C2062" s="109"/>
      <c r="D2062" s="594"/>
      <c r="E2062" s="594"/>
      <c r="F2062" s="594"/>
      <c r="G2062" s="756"/>
      <c r="H2062" s="824"/>
      <c r="I2062" s="825"/>
      <c r="J2062" s="826"/>
    </row>
    <row r="2063" ht="15.0" customHeight="1">
      <c r="A2063" s="834"/>
      <c r="B2063" s="603"/>
      <c r="C2063" s="109"/>
      <c r="D2063" s="594"/>
      <c r="E2063" s="594"/>
      <c r="F2063" s="594"/>
      <c r="G2063" s="756"/>
      <c r="H2063" s="824"/>
      <c r="I2063" s="825"/>
      <c r="J2063" s="826"/>
    </row>
    <row r="2064" ht="15.0" customHeight="1">
      <c r="A2064" s="834"/>
      <c r="B2064" s="603"/>
      <c r="C2064" s="109"/>
      <c r="D2064" s="594"/>
      <c r="E2064" s="594"/>
      <c r="F2064" s="594"/>
      <c r="G2064" s="756"/>
      <c r="H2064" s="824"/>
      <c r="I2064" s="825"/>
      <c r="J2064" s="826"/>
    </row>
    <row r="2065" ht="15.0" customHeight="1">
      <c r="A2065" s="834"/>
      <c r="B2065" s="603"/>
      <c r="C2065" s="109"/>
      <c r="D2065" s="594"/>
      <c r="E2065" s="594"/>
      <c r="F2065" s="594"/>
      <c r="G2065" s="756"/>
      <c r="H2065" s="824"/>
      <c r="I2065" s="825"/>
      <c r="J2065" s="826"/>
    </row>
    <row r="2066" ht="15.0" customHeight="1">
      <c r="A2066" s="834"/>
      <c r="B2066" s="603"/>
      <c r="C2066" s="109"/>
      <c r="D2066" s="594"/>
      <c r="E2066" s="594"/>
      <c r="F2066" s="594"/>
      <c r="G2066" s="756"/>
      <c r="H2066" s="824"/>
      <c r="I2066" s="825"/>
      <c r="J2066" s="826"/>
    </row>
    <row r="2067" ht="15.0" customHeight="1">
      <c r="A2067" s="834"/>
      <c r="B2067" s="603"/>
      <c r="C2067" s="109"/>
      <c r="D2067" s="594"/>
      <c r="E2067" s="594"/>
      <c r="F2067" s="594"/>
      <c r="G2067" s="756"/>
      <c r="H2067" s="824"/>
      <c r="I2067" s="825"/>
      <c r="J2067" s="826"/>
    </row>
    <row r="2068" ht="15.0" customHeight="1">
      <c r="A2068" s="834"/>
      <c r="B2068" s="603"/>
      <c r="C2068" s="109"/>
      <c r="D2068" s="594"/>
      <c r="E2068" s="594"/>
      <c r="F2068" s="594"/>
      <c r="G2068" s="756"/>
      <c r="H2068" s="824"/>
      <c r="I2068" s="825"/>
      <c r="J2068" s="826"/>
    </row>
    <row r="2069" ht="15.0" customHeight="1">
      <c r="A2069" s="834"/>
      <c r="B2069" s="603"/>
      <c r="C2069" s="109"/>
      <c r="D2069" s="594"/>
      <c r="E2069" s="594"/>
      <c r="F2069" s="594"/>
      <c r="G2069" s="756"/>
      <c r="H2069" s="824"/>
      <c r="I2069" s="825"/>
      <c r="J2069" s="826"/>
    </row>
    <row r="2070" ht="15.0" customHeight="1">
      <c r="A2070" s="834"/>
      <c r="B2070" s="603"/>
      <c r="C2070" s="109"/>
      <c r="D2070" s="594"/>
      <c r="E2070" s="594"/>
      <c r="F2070" s="594"/>
      <c r="G2070" s="756"/>
      <c r="H2070" s="824"/>
      <c r="I2070" s="825"/>
      <c r="J2070" s="826"/>
    </row>
    <row r="2071" ht="15.0" customHeight="1">
      <c r="A2071" s="834"/>
      <c r="B2071" s="603"/>
      <c r="C2071" s="109"/>
      <c r="D2071" s="594"/>
      <c r="E2071" s="594"/>
      <c r="F2071" s="594"/>
      <c r="G2071" s="756"/>
      <c r="H2071" s="824"/>
      <c r="I2071" s="825"/>
      <c r="J2071" s="826"/>
    </row>
    <row r="2072" ht="15.0" customHeight="1">
      <c r="A2072" s="834"/>
      <c r="B2072" s="603"/>
      <c r="C2072" s="109"/>
      <c r="D2072" s="594"/>
      <c r="E2072" s="594"/>
      <c r="F2072" s="594"/>
      <c r="G2072" s="756"/>
      <c r="H2072" s="824"/>
      <c r="I2072" s="825"/>
      <c r="J2072" s="826"/>
    </row>
    <row r="2073" ht="15.0" customHeight="1">
      <c r="A2073" s="834"/>
      <c r="B2073" s="603"/>
      <c r="C2073" s="109"/>
      <c r="D2073" s="594"/>
      <c r="E2073" s="594"/>
      <c r="F2073" s="594"/>
      <c r="G2073" s="756"/>
      <c r="H2073" s="824"/>
      <c r="I2073" s="825"/>
      <c r="J2073" s="826"/>
    </row>
    <row r="2074" ht="15.0" customHeight="1">
      <c r="A2074" s="834"/>
      <c r="B2074" s="603"/>
      <c r="C2074" s="109"/>
      <c r="D2074" s="594"/>
      <c r="E2074" s="594"/>
      <c r="F2074" s="594"/>
      <c r="G2074" s="756"/>
      <c r="H2074" s="824"/>
      <c r="I2074" s="825"/>
      <c r="J2074" s="826"/>
    </row>
    <row r="2075" ht="15.0" customHeight="1">
      <c r="A2075" s="834"/>
      <c r="B2075" s="603"/>
      <c r="C2075" s="109"/>
      <c r="D2075" s="594"/>
      <c r="E2075" s="594"/>
      <c r="F2075" s="594"/>
      <c r="G2075" s="756"/>
      <c r="H2075" s="824"/>
      <c r="I2075" s="825"/>
      <c r="J2075" s="826"/>
    </row>
    <row r="2076" ht="15.0" customHeight="1">
      <c r="A2076" s="834"/>
      <c r="B2076" s="603"/>
      <c r="C2076" s="109"/>
      <c r="D2076" s="594"/>
      <c r="E2076" s="594"/>
      <c r="F2076" s="594"/>
      <c r="G2076" s="756"/>
      <c r="H2076" s="824"/>
      <c r="I2076" s="825"/>
      <c r="J2076" s="826"/>
    </row>
    <row r="2077" ht="15.0" customHeight="1">
      <c r="A2077" s="834"/>
      <c r="B2077" s="603"/>
      <c r="C2077" s="109"/>
      <c r="D2077" s="594"/>
      <c r="E2077" s="594"/>
      <c r="F2077" s="594"/>
      <c r="G2077" s="756"/>
      <c r="H2077" s="824"/>
      <c r="I2077" s="825"/>
      <c r="J2077" s="826"/>
    </row>
    <row r="2078" ht="15.0" customHeight="1">
      <c r="A2078" s="834"/>
      <c r="B2078" s="603"/>
      <c r="C2078" s="109"/>
      <c r="D2078" s="594"/>
      <c r="E2078" s="594"/>
      <c r="F2078" s="594"/>
      <c r="G2078" s="756"/>
      <c r="H2078" s="824"/>
      <c r="I2078" s="825"/>
      <c r="J2078" s="826"/>
    </row>
    <row r="2079" ht="15.0" customHeight="1">
      <c r="A2079" s="834"/>
      <c r="B2079" s="603"/>
      <c r="C2079" s="109"/>
      <c r="D2079" s="594"/>
      <c r="E2079" s="594"/>
      <c r="F2079" s="594"/>
      <c r="G2079" s="756"/>
      <c r="H2079" s="824"/>
      <c r="I2079" s="825"/>
      <c r="J2079" s="826"/>
    </row>
    <row r="2080" ht="15.0" customHeight="1">
      <c r="A2080" s="834"/>
      <c r="B2080" s="603"/>
      <c r="C2080" s="109"/>
      <c r="D2080" s="594"/>
      <c r="E2080" s="594"/>
      <c r="F2080" s="594"/>
      <c r="G2080" s="756"/>
      <c r="H2080" s="824"/>
      <c r="I2080" s="825"/>
      <c r="J2080" s="826"/>
    </row>
    <row r="2081" ht="15.0" customHeight="1">
      <c r="A2081" s="834"/>
      <c r="B2081" s="603"/>
      <c r="C2081" s="109"/>
      <c r="D2081" s="594"/>
      <c r="E2081" s="594"/>
      <c r="F2081" s="594"/>
      <c r="G2081" s="756"/>
      <c r="H2081" s="824"/>
      <c r="I2081" s="825"/>
      <c r="J2081" s="826"/>
    </row>
    <row r="2082" ht="15.0" customHeight="1">
      <c r="A2082" s="834"/>
      <c r="B2082" s="603"/>
      <c r="C2082" s="109"/>
      <c r="D2082" s="594"/>
      <c r="E2082" s="594"/>
      <c r="F2082" s="594"/>
      <c r="G2082" s="756"/>
      <c r="H2082" s="824"/>
      <c r="I2082" s="825"/>
      <c r="J2082" s="826"/>
    </row>
    <row r="2083" ht="15.0" customHeight="1">
      <c r="A2083" s="834"/>
      <c r="B2083" s="603"/>
      <c r="C2083" s="109"/>
      <c r="D2083" s="594"/>
      <c r="E2083" s="594"/>
      <c r="F2083" s="594"/>
      <c r="G2083" s="756"/>
      <c r="H2083" s="824"/>
      <c r="I2083" s="825"/>
      <c r="J2083" s="826"/>
    </row>
    <row r="2084" ht="15.0" customHeight="1">
      <c r="A2084" s="834"/>
      <c r="B2084" s="603"/>
      <c r="C2084" s="109"/>
      <c r="D2084" s="594"/>
      <c r="E2084" s="594"/>
      <c r="F2084" s="594"/>
      <c r="G2084" s="756"/>
      <c r="H2084" s="824"/>
      <c r="I2084" s="825"/>
      <c r="J2084" s="826"/>
    </row>
    <row r="2085" ht="15.0" customHeight="1">
      <c r="A2085" s="834"/>
      <c r="B2085" s="603"/>
      <c r="C2085" s="109"/>
      <c r="D2085" s="594"/>
      <c r="E2085" s="594"/>
      <c r="F2085" s="594"/>
      <c r="G2085" s="756"/>
      <c r="H2085" s="824"/>
      <c r="I2085" s="825"/>
      <c r="J2085" s="826"/>
    </row>
    <row r="2086" ht="15.0" customHeight="1">
      <c r="A2086" s="834"/>
      <c r="B2086" s="603"/>
      <c r="C2086" s="109"/>
      <c r="D2086" s="594"/>
      <c r="E2086" s="594"/>
      <c r="F2086" s="594"/>
      <c r="G2086" s="756"/>
      <c r="H2086" s="824"/>
      <c r="I2086" s="825"/>
      <c r="J2086" s="826"/>
    </row>
    <row r="2087" ht="15.0" customHeight="1">
      <c r="A2087" s="834"/>
      <c r="B2087" s="603"/>
      <c r="C2087" s="109"/>
      <c r="D2087" s="594"/>
      <c r="E2087" s="594"/>
      <c r="F2087" s="594"/>
      <c r="G2087" s="756"/>
      <c r="H2087" s="824"/>
      <c r="I2087" s="825"/>
      <c r="J2087" s="826"/>
    </row>
    <row r="2088" ht="15.0" customHeight="1">
      <c r="A2088" s="834"/>
      <c r="B2088" s="603"/>
      <c r="C2088" s="109"/>
      <c r="D2088" s="594"/>
      <c r="E2088" s="594"/>
      <c r="F2088" s="594"/>
      <c r="G2088" s="756"/>
      <c r="H2088" s="824"/>
      <c r="I2088" s="825"/>
      <c r="J2088" s="826"/>
    </row>
    <row r="2089" ht="15.0" customHeight="1">
      <c r="A2089" s="834"/>
      <c r="B2089" s="603"/>
      <c r="C2089" s="109"/>
      <c r="D2089" s="594"/>
      <c r="E2089" s="594"/>
      <c r="F2089" s="594"/>
      <c r="G2089" s="756"/>
      <c r="H2089" s="824"/>
      <c r="I2089" s="825"/>
      <c r="J2089" s="826"/>
    </row>
    <row r="2090" ht="15.0" customHeight="1">
      <c r="A2090" s="834"/>
      <c r="B2090" s="603"/>
      <c r="C2090" s="109"/>
      <c r="D2090" s="594"/>
      <c r="E2090" s="594"/>
      <c r="F2090" s="594"/>
      <c r="G2090" s="756"/>
      <c r="H2090" s="824"/>
      <c r="I2090" s="825"/>
      <c r="J2090" s="826"/>
    </row>
    <row r="2091" ht="15.0" customHeight="1">
      <c r="A2091" s="834"/>
      <c r="B2091" s="603"/>
      <c r="C2091" s="109"/>
      <c r="D2091" s="594"/>
      <c r="E2091" s="594"/>
      <c r="F2091" s="594"/>
      <c r="G2091" s="756"/>
      <c r="H2091" s="824"/>
      <c r="I2091" s="825"/>
      <c r="J2091" s="826"/>
    </row>
    <row r="2092" ht="15.0" customHeight="1">
      <c r="A2092" s="834"/>
      <c r="B2092" s="603"/>
      <c r="C2092" s="109"/>
      <c r="D2092" s="594"/>
      <c r="E2092" s="594"/>
      <c r="F2092" s="594"/>
      <c r="G2092" s="756"/>
      <c r="H2092" s="824"/>
      <c r="I2092" s="825"/>
      <c r="J2092" s="826"/>
    </row>
    <row r="2093" ht="15.0" customHeight="1">
      <c r="A2093" s="834"/>
      <c r="B2093" s="603"/>
      <c r="C2093" s="109"/>
      <c r="D2093" s="594"/>
      <c r="E2093" s="594"/>
      <c r="F2093" s="594"/>
      <c r="G2093" s="756"/>
      <c r="H2093" s="824"/>
      <c r="I2093" s="825"/>
      <c r="J2093" s="826"/>
    </row>
    <row r="2094" ht="15.0" customHeight="1">
      <c r="A2094" s="834"/>
      <c r="B2094" s="603"/>
      <c r="C2094" s="109"/>
      <c r="D2094" s="594"/>
      <c r="E2094" s="594"/>
      <c r="F2094" s="594"/>
      <c r="G2094" s="756"/>
      <c r="H2094" s="824"/>
      <c r="I2094" s="825"/>
      <c r="J2094" s="826"/>
    </row>
    <row r="2095" ht="15.0" customHeight="1">
      <c r="A2095" s="834"/>
      <c r="B2095" s="603"/>
      <c r="C2095" s="109"/>
      <c r="D2095" s="594"/>
      <c r="E2095" s="594"/>
      <c r="F2095" s="594"/>
      <c r="G2095" s="756"/>
      <c r="H2095" s="824"/>
      <c r="I2095" s="825"/>
      <c r="J2095" s="826"/>
    </row>
    <row r="2096" ht="15.0" customHeight="1">
      <c r="A2096" s="834"/>
      <c r="B2096" s="603"/>
      <c r="C2096" s="109"/>
      <c r="D2096" s="594"/>
      <c r="E2096" s="594"/>
      <c r="F2096" s="594"/>
      <c r="G2096" s="756"/>
      <c r="H2096" s="824"/>
      <c r="I2096" s="825"/>
      <c r="J2096" s="826"/>
    </row>
    <row r="2097" ht="15.0" customHeight="1">
      <c r="A2097" s="834"/>
      <c r="B2097" s="603"/>
      <c r="C2097" s="109"/>
      <c r="D2097" s="594"/>
      <c r="E2097" s="594"/>
      <c r="F2097" s="594"/>
      <c r="G2097" s="756"/>
      <c r="H2097" s="824"/>
      <c r="I2097" s="825"/>
      <c r="J2097" s="826"/>
    </row>
    <row r="2098" ht="15.0" customHeight="1">
      <c r="A2098" s="834"/>
      <c r="B2098" s="603"/>
      <c r="C2098" s="109"/>
      <c r="D2098" s="594"/>
      <c r="E2098" s="594"/>
      <c r="F2098" s="594"/>
      <c r="G2098" s="756"/>
      <c r="H2098" s="824"/>
      <c r="I2098" s="825"/>
      <c r="J2098" s="826"/>
    </row>
    <row r="2099" ht="15.0" customHeight="1">
      <c r="A2099" s="834"/>
      <c r="B2099" s="603"/>
      <c r="C2099" s="109"/>
      <c r="D2099" s="594"/>
      <c r="E2099" s="594"/>
      <c r="F2099" s="594"/>
      <c r="G2099" s="756"/>
      <c r="H2099" s="824"/>
      <c r="I2099" s="825"/>
      <c r="J2099" s="826"/>
    </row>
    <row r="2100" ht="15.0" customHeight="1">
      <c r="A2100" s="834"/>
      <c r="B2100" s="603"/>
      <c r="C2100" s="109"/>
      <c r="D2100" s="594"/>
      <c r="E2100" s="594"/>
      <c r="F2100" s="594"/>
      <c r="G2100" s="756"/>
      <c r="H2100" s="824"/>
      <c r="I2100" s="825"/>
      <c r="J2100" s="826"/>
    </row>
    <row r="2101" ht="15.0" customHeight="1">
      <c r="A2101" s="834"/>
      <c r="B2101" s="603"/>
      <c r="C2101" s="109"/>
      <c r="D2101" s="594"/>
      <c r="E2101" s="594"/>
      <c r="F2101" s="594"/>
      <c r="G2101" s="756"/>
      <c r="H2101" s="824"/>
      <c r="I2101" s="825"/>
      <c r="J2101" s="826"/>
    </row>
    <row r="2102" ht="15.0" customHeight="1">
      <c r="A2102" s="834"/>
      <c r="B2102" s="603"/>
      <c r="C2102" s="109"/>
      <c r="D2102" s="594"/>
      <c r="E2102" s="594"/>
      <c r="F2102" s="594"/>
      <c r="G2102" s="756"/>
      <c r="H2102" s="824"/>
      <c r="I2102" s="825"/>
      <c r="J2102" s="826"/>
    </row>
    <row r="2103" ht="15.0" customHeight="1">
      <c r="A2103" s="834"/>
      <c r="B2103" s="603"/>
      <c r="C2103" s="109"/>
      <c r="D2103" s="594"/>
      <c r="E2103" s="594"/>
      <c r="F2103" s="594"/>
      <c r="G2103" s="756"/>
      <c r="H2103" s="824"/>
      <c r="I2103" s="825"/>
      <c r="J2103" s="826"/>
    </row>
    <row r="2104" ht="15.0" customHeight="1">
      <c r="A2104" s="834"/>
      <c r="B2104" s="603"/>
      <c r="C2104" s="109"/>
      <c r="D2104" s="594"/>
      <c r="E2104" s="594"/>
      <c r="F2104" s="594"/>
      <c r="G2104" s="756"/>
      <c r="H2104" s="824"/>
      <c r="I2104" s="825"/>
      <c r="J2104" s="826"/>
    </row>
    <row r="2105" ht="15.0" customHeight="1">
      <c r="A2105" s="834"/>
      <c r="B2105" s="603"/>
      <c r="C2105" s="109"/>
      <c r="D2105" s="594"/>
      <c r="E2105" s="594"/>
      <c r="F2105" s="594"/>
      <c r="G2105" s="756"/>
      <c r="H2105" s="824"/>
      <c r="I2105" s="825"/>
      <c r="J2105" s="826"/>
    </row>
    <row r="2106" ht="15.0" customHeight="1">
      <c r="A2106" s="834"/>
      <c r="B2106" s="603"/>
      <c r="C2106" s="109"/>
      <c r="D2106" s="594"/>
      <c r="E2106" s="594"/>
      <c r="F2106" s="594"/>
      <c r="G2106" s="756"/>
      <c r="H2106" s="824"/>
      <c r="I2106" s="825"/>
      <c r="J2106" s="826"/>
    </row>
    <row r="2107" ht="15.0" customHeight="1">
      <c r="A2107" s="834"/>
      <c r="B2107" s="603"/>
      <c r="C2107" s="109"/>
      <c r="D2107" s="594"/>
      <c r="E2107" s="594"/>
      <c r="F2107" s="594"/>
      <c r="G2107" s="756"/>
      <c r="H2107" s="824"/>
      <c r="I2107" s="825"/>
      <c r="J2107" s="826"/>
    </row>
    <row r="2108" ht="15.0" customHeight="1">
      <c r="A2108" s="834"/>
      <c r="B2108" s="603"/>
      <c r="C2108" s="109"/>
      <c r="D2108" s="594"/>
      <c r="E2108" s="594"/>
      <c r="F2108" s="594"/>
      <c r="G2108" s="756"/>
      <c r="H2108" s="824"/>
      <c r="I2108" s="825"/>
      <c r="J2108" s="826"/>
    </row>
    <row r="2109" ht="15.0" customHeight="1">
      <c r="A2109" s="834"/>
      <c r="B2109" s="603"/>
      <c r="C2109" s="109"/>
      <c r="D2109" s="594"/>
      <c r="E2109" s="594"/>
      <c r="F2109" s="594"/>
      <c r="G2109" s="756"/>
      <c r="H2109" s="824"/>
      <c r="I2109" s="825"/>
      <c r="J2109" s="826"/>
    </row>
    <row r="2110" ht="15.0" customHeight="1">
      <c r="A2110" s="834"/>
      <c r="B2110" s="603"/>
      <c r="C2110" s="109"/>
      <c r="D2110" s="594"/>
      <c r="E2110" s="594"/>
      <c r="F2110" s="594"/>
      <c r="G2110" s="756"/>
      <c r="H2110" s="824"/>
      <c r="I2110" s="825"/>
      <c r="J2110" s="826"/>
    </row>
    <row r="2111" ht="15.0" customHeight="1">
      <c r="A2111" s="834"/>
      <c r="B2111" s="603"/>
      <c r="C2111" s="109"/>
      <c r="D2111" s="594"/>
      <c r="E2111" s="594"/>
      <c r="F2111" s="594"/>
      <c r="G2111" s="756"/>
      <c r="H2111" s="824"/>
      <c r="I2111" s="825"/>
      <c r="J2111" s="826"/>
    </row>
    <row r="2112" ht="15.0" customHeight="1">
      <c r="A2112" s="834"/>
      <c r="B2112" s="603"/>
      <c r="C2112" s="109"/>
      <c r="D2112" s="594"/>
      <c r="E2112" s="594"/>
      <c r="F2112" s="594"/>
      <c r="G2112" s="756"/>
      <c r="H2112" s="824"/>
      <c r="I2112" s="825"/>
      <c r="J2112" s="826"/>
    </row>
    <row r="2113" ht="15.0" customHeight="1">
      <c r="A2113" s="834"/>
      <c r="B2113" s="603"/>
      <c r="C2113" s="109"/>
      <c r="D2113" s="594"/>
      <c r="E2113" s="594"/>
      <c r="F2113" s="594"/>
      <c r="G2113" s="756"/>
      <c r="H2113" s="824"/>
      <c r="I2113" s="825"/>
      <c r="J2113" s="826"/>
    </row>
    <row r="2114" ht="15.0" customHeight="1">
      <c r="A2114" s="834"/>
      <c r="B2114" s="603"/>
      <c r="C2114" s="109"/>
      <c r="D2114" s="594"/>
      <c r="E2114" s="594"/>
      <c r="F2114" s="594"/>
      <c r="G2114" s="756"/>
      <c r="H2114" s="824"/>
      <c r="I2114" s="825"/>
      <c r="J2114" s="826"/>
    </row>
    <row r="2115" ht="15.0" customHeight="1">
      <c r="A2115" s="834"/>
      <c r="B2115" s="603"/>
      <c r="C2115" s="109"/>
      <c r="D2115" s="594"/>
      <c r="E2115" s="594"/>
      <c r="F2115" s="594"/>
      <c r="G2115" s="756"/>
      <c r="H2115" s="824"/>
      <c r="I2115" s="825"/>
      <c r="J2115" s="826"/>
    </row>
    <row r="2116" ht="15.0" customHeight="1">
      <c r="A2116" s="834"/>
      <c r="B2116" s="603"/>
      <c r="C2116" s="109"/>
      <c r="D2116" s="594"/>
      <c r="E2116" s="594"/>
      <c r="F2116" s="594"/>
      <c r="G2116" s="756"/>
      <c r="H2116" s="824"/>
      <c r="I2116" s="825"/>
      <c r="J2116" s="826"/>
    </row>
    <row r="2117" ht="15.0" customHeight="1">
      <c r="A2117" s="834"/>
      <c r="B2117" s="603"/>
      <c r="C2117" s="109"/>
      <c r="D2117" s="594"/>
      <c r="E2117" s="594"/>
      <c r="F2117" s="594"/>
      <c r="G2117" s="756"/>
      <c r="H2117" s="824"/>
      <c r="I2117" s="825"/>
      <c r="J2117" s="826"/>
    </row>
    <row r="2118" ht="15.0" customHeight="1">
      <c r="A2118" s="834"/>
      <c r="B2118" s="603"/>
      <c r="C2118" s="109"/>
      <c r="D2118" s="594"/>
      <c r="E2118" s="594"/>
      <c r="F2118" s="594"/>
      <c r="G2118" s="756"/>
      <c r="H2118" s="824"/>
      <c r="I2118" s="825"/>
      <c r="J2118" s="826"/>
    </row>
    <row r="2119" ht="15.0" customHeight="1">
      <c r="A2119" s="834"/>
      <c r="B2119" s="603"/>
      <c r="C2119" s="109"/>
      <c r="D2119" s="594"/>
      <c r="E2119" s="594"/>
      <c r="F2119" s="594"/>
      <c r="G2119" s="756"/>
      <c r="H2119" s="824"/>
      <c r="I2119" s="825"/>
      <c r="J2119" s="826"/>
    </row>
    <row r="2120" ht="15.0" customHeight="1">
      <c r="A2120" s="834"/>
      <c r="B2120" s="603"/>
      <c r="C2120" s="109"/>
      <c r="D2120" s="594"/>
      <c r="E2120" s="594"/>
      <c r="F2120" s="594"/>
      <c r="G2120" s="756"/>
      <c r="H2120" s="824"/>
      <c r="I2120" s="825"/>
      <c r="J2120" s="826"/>
    </row>
    <row r="2121" ht="15.0" customHeight="1">
      <c r="A2121" s="834"/>
      <c r="B2121" s="603"/>
      <c r="C2121" s="109"/>
      <c r="D2121" s="594"/>
      <c r="E2121" s="594"/>
      <c r="F2121" s="594"/>
      <c r="G2121" s="756"/>
      <c r="H2121" s="824"/>
      <c r="I2121" s="825"/>
      <c r="J2121" s="826"/>
    </row>
    <row r="2122" ht="15.0" customHeight="1">
      <c r="A2122" s="834"/>
      <c r="B2122" s="603"/>
      <c r="C2122" s="109"/>
      <c r="D2122" s="594"/>
      <c r="E2122" s="594"/>
      <c r="F2122" s="594"/>
      <c r="G2122" s="756"/>
      <c r="H2122" s="824"/>
      <c r="I2122" s="825"/>
      <c r="J2122" s="826"/>
    </row>
    <row r="2123" ht="15.0" customHeight="1">
      <c r="A2123" s="834"/>
      <c r="B2123" s="603"/>
      <c r="C2123" s="109"/>
      <c r="D2123" s="594"/>
      <c r="E2123" s="594"/>
      <c r="F2123" s="594"/>
      <c r="G2123" s="756"/>
      <c r="H2123" s="824"/>
      <c r="I2123" s="825"/>
      <c r="J2123" s="826"/>
    </row>
    <row r="2124" ht="15.0" customHeight="1">
      <c r="A2124" s="834"/>
      <c r="B2124" s="603"/>
      <c r="C2124" s="109"/>
      <c r="D2124" s="594"/>
      <c r="E2124" s="594"/>
      <c r="F2124" s="594"/>
      <c r="G2124" s="756"/>
      <c r="H2124" s="824"/>
      <c r="I2124" s="825"/>
      <c r="J2124" s="826"/>
    </row>
    <row r="2125" ht="15.0" customHeight="1">
      <c r="A2125" s="834"/>
      <c r="B2125" s="603"/>
      <c r="C2125" s="109"/>
      <c r="D2125" s="594"/>
      <c r="E2125" s="594"/>
      <c r="F2125" s="594"/>
      <c r="G2125" s="756"/>
      <c r="H2125" s="824"/>
      <c r="I2125" s="825"/>
      <c r="J2125" s="826"/>
    </row>
    <row r="2126" ht="15.0" customHeight="1">
      <c r="A2126" s="834"/>
      <c r="B2126" s="603"/>
      <c r="C2126" s="109"/>
      <c r="D2126" s="594"/>
      <c r="E2126" s="594"/>
      <c r="F2126" s="594"/>
      <c r="G2126" s="756"/>
      <c r="H2126" s="824"/>
      <c r="I2126" s="825"/>
      <c r="J2126" s="826"/>
    </row>
    <row r="2127" ht="15.0" customHeight="1">
      <c r="A2127" s="834"/>
      <c r="B2127" s="603"/>
      <c r="C2127" s="109"/>
      <c r="D2127" s="594"/>
      <c r="E2127" s="594"/>
      <c r="F2127" s="594"/>
      <c r="G2127" s="756"/>
      <c r="H2127" s="824"/>
      <c r="I2127" s="825"/>
      <c r="J2127" s="826"/>
    </row>
    <row r="2128" ht="15.0" customHeight="1">
      <c r="A2128" s="834"/>
      <c r="B2128" s="603"/>
      <c r="C2128" s="109"/>
      <c r="D2128" s="594"/>
      <c r="E2128" s="594"/>
      <c r="F2128" s="594"/>
      <c r="G2128" s="756"/>
      <c r="H2128" s="824"/>
      <c r="I2128" s="825"/>
      <c r="J2128" s="826"/>
    </row>
    <row r="2129" ht="15.0" customHeight="1">
      <c r="A2129" s="834"/>
      <c r="B2129" s="603"/>
      <c r="C2129" s="109"/>
      <c r="D2129" s="594"/>
      <c r="E2129" s="594"/>
      <c r="F2129" s="594"/>
      <c r="G2129" s="756"/>
      <c r="H2129" s="824"/>
      <c r="I2129" s="825"/>
      <c r="J2129" s="826"/>
    </row>
    <row r="2130" ht="15.0" customHeight="1">
      <c r="A2130" s="834"/>
      <c r="B2130" s="603"/>
      <c r="C2130" s="109"/>
      <c r="D2130" s="594"/>
      <c r="E2130" s="594"/>
      <c r="F2130" s="594"/>
      <c r="G2130" s="756"/>
      <c r="H2130" s="824"/>
      <c r="I2130" s="825"/>
      <c r="J2130" s="826"/>
    </row>
    <row r="2131" ht="15.0" customHeight="1">
      <c r="A2131" s="834"/>
      <c r="B2131" s="603"/>
      <c r="C2131" s="109"/>
      <c r="D2131" s="594"/>
      <c r="E2131" s="594"/>
      <c r="F2131" s="594"/>
      <c r="G2131" s="756"/>
      <c r="H2131" s="824"/>
      <c r="I2131" s="825"/>
      <c r="J2131" s="826"/>
    </row>
    <row r="2132" ht="15.0" customHeight="1">
      <c r="A2132" s="834"/>
      <c r="B2132" s="603"/>
      <c r="C2132" s="109"/>
      <c r="D2132" s="594"/>
      <c r="E2132" s="594"/>
      <c r="F2132" s="594"/>
      <c r="G2132" s="756"/>
      <c r="H2132" s="824"/>
      <c r="I2132" s="825"/>
      <c r="J2132" s="826"/>
    </row>
    <row r="2133" ht="15.0" customHeight="1">
      <c r="A2133" s="834"/>
      <c r="B2133" s="603"/>
      <c r="C2133" s="109"/>
      <c r="D2133" s="594"/>
      <c r="E2133" s="594"/>
      <c r="F2133" s="594"/>
      <c r="G2133" s="756"/>
      <c r="H2133" s="824"/>
      <c r="I2133" s="825"/>
      <c r="J2133" s="826"/>
    </row>
    <row r="2134" ht="15.0" customHeight="1">
      <c r="A2134" s="834"/>
      <c r="B2134" s="603"/>
      <c r="C2134" s="109"/>
      <c r="D2134" s="594"/>
      <c r="E2134" s="594"/>
      <c r="F2134" s="594"/>
      <c r="G2134" s="756"/>
      <c r="H2134" s="824"/>
      <c r="I2134" s="825"/>
      <c r="J2134" s="826"/>
    </row>
    <row r="2135" ht="15.0" customHeight="1">
      <c r="A2135" s="834"/>
      <c r="B2135" s="603"/>
      <c r="C2135" s="109"/>
      <c r="D2135" s="594"/>
      <c r="E2135" s="594"/>
      <c r="F2135" s="594"/>
      <c r="G2135" s="756"/>
      <c r="H2135" s="824"/>
      <c r="I2135" s="825"/>
      <c r="J2135" s="826"/>
    </row>
    <row r="2136" ht="15.0" customHeight="1">
      <c r="A2136" s="834"/>
      <c r="B2136" s="603"/>
      <c r="C2136" s="109"/>
      <c r="D2136" s="594"/>
      <c r="E2136" s="594"/>
      <c r="F2136" s="594"/>
      <c r="G2136" s="756"/>
      <c r="H2136" s="824"/>
      <c r="I2136" s="825"/>
      <c r="J2136" s="826"/>
    </row>
    <row r="2137" ht="15.0" customHeight="1">
      <c r="A2137" s="834"/>
      <c r="B2137" s="603"/>
      <c r="C2137" s="109"/>
      <c r="D2137" s="594"/>
      <c r="E2137" s="594"/>
      <c r="F2137" s="594"/>
      <c r="G2137" s="756"/>
      <c r="H2137" s="824"/>
      <c r="I2137" s="825"/>
      <c r="J2137" s="826"/>
    </row>
    <row r="2138" ht="15.0" customHeight="1">
      <c r="A2138" s="834"/>
      <c r="B2138" s="603"/>
      <c r="C2138" s="109"/>
      <c r="D2138" s="594"/>
      <c r="E2138" s="594"/>
      <c r="F2138" s="594"/>
      <c r="G2138" s="756"/>
      <c r="H2138" s="824"/>
      <c r="I2138" s="825"/>
      <c r="J2138" s="826"/>
    </row>
    <row r="2139" ht="15.0" customHeight="1">
      <c r="A2139" s="834"/>
      <c r="B2139" s="603"/>
      <c r="C2139" s="109"/>
      <c r="D2139" s="594"/>
      <c r="E2139" s="594"/>
      <c r="F2139" s="594"/>
      <c r="G2139" s="756"/>
      <c r="H2139" s="824"/>
      <c r="I2139" s="825"/>
      <c r="J2139" s="826"/>
    </row>
    <row r="2140" ht="15.0" customHeight="1">
      <c r="A2140" s="834"/>
      <c r="B2140" s="603"/>
      <c r="C2140" s="109"/>
      <c r="D2140" s="594"/>
      <c r="E2140" s="594"/>
      <c r="F2140" s="594"/>
      <c r="G2140" s="756"/>
      <c r="H2140" s="824"/>
      <c r="I2140" s="825"/>
      <c r="J2140" s="826"/>
    </row>
    <row r="2141" ht="15.0" customHeight="1">
      <c r="A2141" s="834"/>
      <c r="B2141" s="603"/>
      <c r="C2141" s="109"/>
      <c r="D2141" s="594"/>
      <c r="E2141" s="594"/>
      <c r="F2141" s="594"/>
      <c r="G2141" s="756"/>
      <c r="H2141" s="824"/>
      <c r="I2141" s="825"/>
      <c r="J2141" s="826"/>
    </row>
    <row r="2142" ht="15.0" customHeight="1">
      <c r="A2142" s="834"/>
      <c r="B2142" s="603"/>
      <c r="C2142" s="109"/>
      <c r="D2142" s="594"/>
      <c r="E2142" s="594"/>
      <c r="F2142" s="594"/>
      <c r="G2142" s="756"/>
      <c r="H2142" s="824"/>
      <c r="I2142" s="825"/>
      <c r="J2142" s="826"/>
    </row>
    <row r="2143" ht="15.0" customHeight="1">
      <c r="A2143" s="834"/>
      <c r="B2143" s="603"/>
      <c r="C2143" s="109"/>
      <c r="D2143" s="594"/>
      <c r="E2143" s="594"/>
      <c r="F2143" s="594"/>
      <c r="G2143" s="756"/>
      <c r="H2143" s="824"/>
      <c r="I2143" s="825"/>
      <c r="J2143" s="826"/>
    </row>
    <row r="2144" ht="15.0" customHeight="1">
      <c r="A2144" s="834"/>
      <c r="B2144" s="603"/>
      <c r="C2144" s="109"/>
      <c r="D2144" s="594"/>
      <c r="E2144" s="594"/>
      <c r="F2144" s="594"/>
      <c r="G2144" s="756"/>
      <c r="H2144" s="824"/>
      <c r="I2144" s="825"/>
      <c r="J2144" s="826"/>
    </row>
    <row r="2145" ht="15.0" customHeight="1">
      <c r="A2145" s="834"/>
      <c r="B2145" s="603"/>
      <c r="C2145" s="109"/>
      <c r="D2145" s="594"/>
      <c r="E2145" s="594"/>
      <c r="F2145" s="594"/>
      <c r="G2145" s="756"/>
      <c r="H2145" s="824"/>
      <c r="I2145" s="825"/>
      <c r="J2145" s="826"/>
    </row>
    <row r="2146" ht="15.0" customHeight="1">
      <c r="A2146" s="834"/>
      <c r="B2146" s="603"/>
      <c r="C2146" s="109"/>
      <c r="D2146" s="594"/>
      <c r="E2146" s="594"/>
      <c r="F2146" s="594"/>
      <c r="G2146" s="756"/>
      <c r="H2146" s="824"/>
      <c r="I2146" s="825"/>
      <c r="J2146" s="826"/>
    </row>
    <row r="2147" ht="15.0" customHeight="1">
      <c r="A2147" s="834"/>
      <c r="B2147" s="603"/>
      <c r="C2147" s="109"/>
      <c r="D2147" s="594"/>
      <c r="E2147" s="594"/>
      <c r="F2147" s="594"/>
      <c r="G2147" s="756"/>
      <c r="H2147" s="824"/>
      <c r="I2147" s="825"/>
      <c r="J2147" s="826"/>
    </row>
    <row r="2148" ht="15.0" customHeight="1">
      <c r="A2148" s="834"/>
      <c r="B2148" s="603"/>
      <c r="C2148" s="109"/>
      <c r="D2148" s="594"/>
      <c r="E2148" s="594"/>
      <c r="F2148" s="594"/>
      <c r="G2148" s="756"/>
      <c r="H2148" s="824"/>
      <c r="I2148" s="825"/>
      <c r="J2148" s="826"/>
    </row>
    <row r="2149" ht="15.0" customHeight="1">
      <c r="A2149" s="834"/>
      <c r="B2149" s="603"/>
      <c r="C2149" s="109"/>
      <c r="D2149" s="594"/>
      <c r="E2149" s="594"/>
      <c r="F2149" s="594"/>
      <c r="G2149" s="756"/>
      <c r="H2149" s="824"/>
      <c r="I2149" s="825"/>
      <c r="J2149" s="826"/>
    </row>
    <row r="2150" ht="15.0" customHeight="1">
      <c r="A2150" s="834"/>
      <c r="B2150" s="603"/>
      <c r="C2150" s="109"/>
      <c r="D2150" s="594"/>
      <c r="E2150" s="594"/>
      <c r="F2150" s="594"/>
      <c r="G2150" s="756"/>
      <c r="H2150" s="824"/>
      <c r="I2150" s="825"/>
      <c r="J2150" s="826"/>
    </row>
    <row r="2151" ht="15.0" customHeight="1">
      <c r="A2151" s="834"/>
      <c r="B2151" s="603"/>
      <c r="C2151" s="109"/>
      <c r="D2151" s="594"/>
      <c r="E2151" s="594"/>
      <c r="F2151" s="594"/>
      <c r="G2151" s="756"/>
      <c r="H2151" s="824"/>
      <c r="I2151" s="825"/>
      <c r="J2151" s="826"/>
    </row>
    <row r="2152" ht="15.0" customHeight="1">
      <c r="A2152" s="834"/>
      <c r="B2152" s="603"/>
      <c r="C2152" s="109"/>
      <c r="D2152" s="594"/>
      <c r="E2152" s="594"/>
      <c r="F2152" s="594"/>
      <c r="G2152" s="756"/>
      <c r="H2152" s="824"/>
      <c r="I2152" s="825"/>
      <c r="J2152" s="826"/>
    </row>
    <row r="2153" ht="15.0" customHeight="1">
      <c r="A2153" s="834"/>
      <c r="B2153" s="603"/>
      <c r="C2153" s="109"/>
      <c r="D2153" s="594"/>
      <c r="E2153" s="594"/>
      <c r="F2153" s="594"/>
      <c r="G2153" s="756"/>
      <c r="H2153" s="824"/>
      <c r="I2153" s="825"/>
      <c r="J2153" s="826"/>
    </row>
    <row r="2154" ht="15.0" customHeight="1">
      <c r="A2154" s="834"/>
      <c r="B2154" s="603"/>
      <c r="C2154" s="109"/>
      <c r="D2154" s="594"/>
      <c r="E2154" s="594"/>
      <c r="F2154" s="594"/>
      <c r="G2154" s="756"/>
      <c r="H2154" s="824"/>
      <c r="I2154" s="825"/>
      <c r="J2154" s="826"/>
    </row>
    <row r="2155" ht="15.0" customHeight="1">
      <c r="A2155" s="834"/>
      <c r="B2155" s="603"/>
      <c r="C2155" s="109"/>
      <c r="D2155" s="594"/>
      <c r="E2155" s="594"/>
      <c r="F2155" s="594"/>
      <c r="G2155" s="756"/>
      <c r="H2155" s="824"/>
      <c r="I2155" s="825"/>
      <c r="J2155" s="826"/>
    </row>
    <row r="2156" ht="15.0" customHeight="1">
      <c r="A2156" s="834"/>
      <c r="B2156" s="603"/>
      <c r="C2156" s="109"/>
      <c r="D2156" s="594"/>
      <c r="E2156" s="594"/>
      <c r="F2156" s="594"/>
      <c r="G2156" s="756"/>
      <c r="H2156" s="824"/>
      <c r="I2156" s="825"/>
      <c r="J2156" s="826"/>
    </row>
    <row r="2157" ht="15.0" customHeight="1">
      <c r="A2157" s="834"/>
      <c r="B2157" s="603"/>
      <c r="C2157" s="109"/>
      <c r="D2157" s="594"/>
      <c r="E2157" s="594"/>
      <c r="F2157" s="594"/>
      <c r="G2157" s="756"/>
      <c r="H2157" s="824"/>
      <c r="I2157" s="825"/>
      <c r="J2157" s="826"/>
    </row>
    <row r="2158" ht="15.0" customHeight="1">
      <c r="A2158" s="834"/>
      <c r="B2158" s="603"/>
      <c r="C2158" s="109"/>
      <c r="D2158" s="594"/>
      <c r="E2158" s="594"/>
      <c r="F2158" s="594"/>
      <c r="G2158" s="756"/>
      <c r="H2158" s="824"/>
      <c r="I2158" s="825"/>
      <c r="J2158" s="826"/>
    </row>
    <row r="2159" ht="15.0" customHeight="1">
      <c r="A2159" s="834"/>
      <c r="B2159" s="603"/>
      <c r="C2159" s="109"/>
      <c r="D2159" s="594"/>
      <c r="E2159" s="594"/>
      <c r="F2159" s="594"/>
      <c r="G2159" s="756"/>
      <c r="H2159" s="824"/>
      <c r="I2159" s="825"/>
      <c r="J2159" s="826"/>
    </row>
    <row r="2160" ht="15.0" customHeight="1">
      <c r="A2160" s="834"/>
      <c r="B2160" s="603"/>
      <c r="C2160" s="109"/>
      <c r="D2160" s="594"/>
      <c r="E2160" s="594"/>
      <c r="F2160" s="594"/>
      <c r="G2160" s="756"/>
      <c r="H2160" s="824"/>
      <c r="I2160" s="825"/>
      <c r="J2160" s="826"/>
    </row>
    <row r="2161" ht="15.0" customHeight="1">
      <c r="A2161" s="834"/>
      <c r="B2161" s="603"/>
      <c r="C2161" s="109"/>
      <c r="D2161" s="594"/>
      <c r="E2161" s="594"/>
      <c r="F2161" s="594"/>
      <c r="G2161" s="756"/>
      <c r="H2161" s="824"/>
      <c r="I2161" s="825"/>
      <c r="J2161" s="826"/>
    </row>
    <row r="2162" ht="15.0" customHeight="1">
      <c r="A2162" s="834"/>
      <c r="B2162" s="603"/>
      <c r="C2162" s="109"/>
      <c r="D2162" s="594"/>
      <c r="E2162" s="594"/>
      <c r="F2162" s="594"/>
      <c r="G2162" s="756"/>
      <c r="H2162" s="824"/>
      <c r="I2162" s="825"/>
      <c r="J2162" s="826"/>
    </row>
    <row r="2163" ht="15.0" customHeight="1">
      <c r="A2163" s="834"/>
      <c r="B2163" s="603"/>
      <c r="C2163" s="109"/>
      <c r="D2163" s="594"/>
      <c r="E2163" s="594"/>
      <c r="F2163" s="594"/>
      <c r="G2163" s="756"/>
      <c r="H2163" s="824"/>
      <c r="I2163" s="825"/>
      <c r="J2163" s="826"/>
    </row>
    <row r="2164" ht="15.0" customHeight="1">
      <c r="A2164" s="834"/>
      <c r="B2164" s="603"/>
      <c r="C2164" s="109"/>
      <c r="D2164" s="594"/>
      <c r="E2164" s="594"/>
      <c r="F2164" s="594"/>
      <c r="G2164" s="756"/>
      <c r="H2164" s="824"/>
      <c r="I2164" s="825"/>
      <c r="J2164" s="826"/>
    </row>
    <row r="2165" ht="15.0" customHeight="1">
      <c r="A2165" s="834"/>
      <c r="B2165" s="603"/>
      <c r="C2165" s="109"/>
      <c r="D2165" s="594"/>
      <c r="E2165" s="594"/>
      <c r="F2165" s="594"/>
      <c r="G2165" s="756"/>
      <c r="H2165" s="824"/>
      <c r="I2165" s="825"/>
      <c r="J2165" s="826"/>
    </row>
    <row r="2166" ht="15.0" customHeight="1">
      <c r="A2166" s="834"/>
      <c r="B2166" s="603"/>
      <c r="C2166" s="109"/>
      <c r="D2166" s="594"/>
      <c r="E2166" s="594"/>
      <c r="F2166" s="594"/>
      <c r="G2166" s="756"/>
      <c r="H2166" s="824"/>
      <c r="I2166" s="825"/>
      <c r="J2166" s="826"/>
    </row>
    <row r="2167" ht="15.0" customHeight="1">
      <c r="A2167" s="834"/>
      <c r="B2167" s="603"/>
      <c r="C2167" s="109"/>
      <c r="D2167" s="594"/>
      <c r="E2167" s="594"/>
      <c r="F2167" s="594"/>
      <c r="G2167" s="756"/>
      <c r="H2167" s="824"/>
      <c r="I2167" s="825"/>
      <c r="J2167" s="826"/>
    </row>
    <row r="2168" ht="15.0" customHeight="1">
      <c r="A2168" s="834"/>
      <c r="B2168" s="603"/>
      <c r="C2168" s="109"/>
      <c r="D2168" s="594"/>
      <c r="E2168" s="594"/>
      <c r="F2168" s="594"/>
      <c r="G2168" s="756"/>
      <c r="H2168" s="824"/>
      <c r="I2168" s="825"/>
      <c r="J2168" s="826"/>
    </row>
    <row r="2169" ht="15.0" customHeight="1">
      <c r="A2169" s="834"/>
      <c r="B2169" s="603"/>
      <c r="C2169" s="109"/>
      <c r="D2169" s="594"/>
      <c r="E2169" s="594"/>
      <c r="F2169" s="594"/>
      <c r="G2169" s="756"/>
      <c r="H2169" s="824"/>
      <c r="I2169" s="825"/>
      <c r="J2169" s="826"/>
    </row>
    <row r="2170" ht="15.0" customHeight="1">
      <c r="A2170" s="834"/>
      <c r="B2170" s="603"/>
      <c r="C2170" s="109"/>
      <c r="D2170" s="594"/>
      <c r="E2170" s="594"/>
      <c r="F2170" s="594"/>
      <c r="G2170" s="756"/>
      <c r="H2170" s="824"/>
      <c r="I2170" s="825"/>
      <c r="J2170" s="826"/>
    </row>
    <row r="2171" ht="15.0" customHeight="1">
      <c r="A2171" s="834"/>
      <c r="B2171" s="603"/>
      <c r="C2171" s="109"/>
      <c r="D2171" s="594"/>
      <c r="E2171" s="594"/>
      <c r="F2171" s="594"/>
      <c r="G2171" s="756"/>
      <c r="H2171" s="824"/>
      <c r="I2171" s="825"/>
      <c r="J2171" s="826"/>
    </row>
    <row r="2172" ht="15.0" customHeight="1">
      <c r="A2172" s="834"/>
      <c r="B2172" s="603"/>
      <c r="C2172" s="109"/>
      <c r="D2172" s="594"/>
      <c r="E2172" s="594"/>
      <c r="F2172" s="594"/>
      <c r="G2172" s="756"/>
      <c r="H2172" s="824"/>
      <c r="I2172" s="825"/>
      <c r="J2172" s="826"/>
    </row>
    <row r="2173" ht="15.0" customHeight="1">
      <c r="A2173" s="834"/>
      <c r="B2173" s="603"/>
      <c r="C2173" s="109"/>
      <c r="D2173" s="594"/>
      <c r="E2173" s="594"/>
      <c r="F2173" s="594"/>
      <c r="G2173" s="756"/>
      <c r="H2173" s="824"/>
      <c r="I2173" s="825"/>
      <c r="J2173" s="826"/>
    </row>
    <row r="2174" ht="15.0" customHeight="1">
      <c r="A2174" s="834"/>
      <c r="B2174" s="603"/>
      <c r="C2174" s="109"/>
      <c r="D2174" s="594"/>
      <c r="E2174" s="594"/>
      <c r="F2174" s="594"/>
      <c r="G2174" s="756"/>
      <c r="H2174" s="824"/>
      <c r="I2174" s="825"/>
      <c r="J2174" s="826"/>
    </row>
    <row r="2175" ht="15.0" customHeight="1">
      <c r="A2175" s="834"/>
      <c r="B2175" s="603"/>
      <c r="C2175" s="109"/>
      <c r="D2175" s="594"/>
      <c r="E2175" s="594"/>
      <c r="F2175" s="594"/>
      <c r="G2175" s="756"/>
      <c r="H2175" s="824"/>
      <c r="I2175" s="825"/>
      <c r="J2175" s="826"/>
    </row>
    <row r="2176" ht="15.0" customHeight="1">
      <c r="A2176" s="834"/>
      <c r="B2176" s="603"/>
      <c r="C2176" s="109"/>
      <c r="D2176" s="594"/>
      <c r="E2176" s="594"/>
      <c r="F2176" s="594"/>
      <c r="G2176" s="756"/>
      <c r="H2176" s="824"/>
      <c r="I2176" s="825"/>
      <c r="J2176" s="826"/>
    </row>
    <row r="2177" ht="15.0" customHeight="1">
      <c r="A2177" s="834"/>
      <c r="B2177" s="603"/>
      <c r="C2177" s="109"/>
      <c r="D2177" s="594"/>
      <c r="E2177" s="594"/>
      <c r="F2177" s="594"/>
      <c r="G2177" s="756"/>
      <c r="H2177" s="824"/>
      <c r="I2177" s="825"/>
      <c r="J2177" s="826"/>
    </row>
    <row r="2178" ht="15.0" customHeight="1">
      <c r="A2178" s="834"/>
      <c r="B2178" s="603"/>
      <c r="C2178" s="109"/>
      <c r="D2178" s="594"/>
      <c r="E2178" s="594"/>
      <c r="F2178" s="594"/>
      <c r="G2178" s="756"/>
      <c r="H2178" s="824"/>
      <c r="I2178" s="825"/>
      <c r="J2178" s="826"/>
    </row>
    <row r="2179" ht="15.0" customHeight="1">
      <c r="A2179" s="834"/>
      <c r="B2179" s="603"/>
      <c r="C2179" s="109"/>
      <c r="D2179" s="594"/>
      <c r="E2179" s="594"/>
      <c r="F2179" s="594"/>
      <c r="G2179" s="756"/>
      <c r="H2179" s="824"/>
      <c r="I2179" s="825"/>
      <c r="J2179" s="826"/>
    </row>
    <row r="2180" ht="15.0" customHeight="1">
      <c r="A2180" s="834"/>
      <c r="B2180" s="603"/>
      <c r="C2180" s="109"/>
      <c r="D2180" s="594"/>
      <c r="E2180" s="594"/>
      <c r="F2180" s="594"/>
      <c r="G2180" s="756"/>
      <c r="H2180" s="824"/>
      <c r="I2180" s="825"/>
      <c r="J2180" s="826"/>
    </row>
    <row r="2181" ht="15.0" customHeight="1">
      <c r="A2181" s="834"/>
      <c r="B2181" s="603"/>
      <c r="C2181" s="109"/>
      <c r="D2181" s="594"/>
      <c r="E2181" s="594"/>
      <c r="F2181" s="594"/>
      <c r="G2181" s="756"/>
      <c r="H2181" s="824"/>
      <c r="I2181" s="825"/>
      <c r="J2181" s="826"/>
    </row>
    <row r="2182" ht="15.0" customHeight="1">
      <c r="A2182" s="834"/>
      <c r="B2182" s="603"/>
      <c r="C2182" s="109"/>
      <c r="D2182" s="594"/>
      <c r="E2182" s="594"/>
      <c r="F2182" s="594"/>
      <c r="G2182" s="756"/>
      <c r="H2182" s="824"/>
      <c r="I2182" s="825"/>
      <c r="J2182" s="826"/>
    </row>
    <row r="2183" ht="15.0" customHeight="1">
      <c r="A2183" s="834"/>
      <c r="B2183" s="603"/>
      <c r="C2183" s="109"/>
      <c r="D2183" s="594"/>
      <c r="E2183" s="594"/>
      <c r="F2183" s="594"/>
      <c r="G2183" s="756"/>
      <c r="H2183" s="824"/>
      <c r="I2183" s="825"/>
      <c r="J2183" s="826"/>
    </row>
    <row r="2184" ht="15.0" customHeight="1">
      <c r="A2184" s="834"/>
      <c r="B2184" s="603"/>
      <c r="C2184" s="109"/>
      <c r="D2184" s="594"/>
      <c r="E2184" s="594"/>
      <c r="F2184" s="594"/>
      <c r="G2184" s="756"/>
      <c r="H2184" s="824"/>
      <c r="I2184" s="825"/>
      <c r="J2184" s="826"/>
    </row>
    <row r="2185" ht="15.0" customHeight="1">
      <c r="A2185" s="834"/>
      <c r="B2185" s="603"/>
      <c r="C2185" s="109"/>
      <c r="D2185" s="594"/>
      <c r="E2185" s="594"/>
      <c r="F2185" s="594"/>
      <c r="G2185" s="756"/>
      <c r="H2185" s="824"/>
      <c r="I2185" s="825"/>
      <c r="J2185" s="826"/>
    </row>
    <row r="2186" ht="15.0" customHeight="1">
      <c r="A2186" s="834"/>
      <c r="B2186" s="603"/>
      <c r="C2186" s="109"/>
      <c r="D2186" s="594"/>
      <c r="E2186" s="594"/>
      <c r="F2186" s="594"/>
      <c r="G2186" s="756"/>
      <c r="H2186" s="824"/>
      <c r="I2186" s="825"/>
      <c r="J2186" s="826"/>
    </row>
    <row r="2187" ht="15.0" customHeight="1">
      <c r="A2187" s="834"/>
      <c r="B2187" s="603"/>
      <c r="C2187" s="109"/>
      <c r="D2187" s="594"/>
      <c r="E2187" s="594"/>
      <c r="F2187" s="594"/>
      <c r="G2187" s="756"/>
      <c r="H2187" s="824"/>
      <c r="I2187" s="825"/>
      <c r="J2187" s="826"/>
    </row>
    <row r="2188" ht="15.0" customHeight="1">
      <c r="A2188" s="834"/>
      <c r="B2188" s="603"/>
      <c r="C2188" s="109"/>
      <c r="D2188" s="594"/>
      <c r="E2188" s="594"/>
      <c r="F2188" s="594"/>
      <c r="G2188" s="756"/>
      <c r="H2188" s="824"/>
      <c r="I2188" s="825"/>
      <c r="J2188" s="826"/>
    </row>
    <row r="2189" ht="15.0" customHeight="1">
      <c r="A2189" s="834"/>
      <c r="B2189" s="603"/>
      <c r="C2189" s="109"/>
      <c r="D2189" s="594"/>
      <c r="E2189" s="594"/>
      <c r="F2189" s="594"/>
      <c r="G2189" s="756"/>
      <c r="H2189" s="824"/>
      <c r="I2189" s="825"/>
      <c r="J2189" s="826"/>
    </row>
    <row r="2190" ht="15.0" customHeight="1">
      <c r="A2190" s="834"/>
      <c r="B2190" s="603"/>
      <c r="C2190" s="109"/>
      <c r="D2190" s="594"/>
      <c r="E2190" s="594"/>
      <c r="F2190" s="594"/>
      <c r="G2190" s="756"/>
      <c r="H2190" s="824"/>
      <c r="I2190" s="825"/>
      <c r="J2190" s="826"/>
    </row>
    <row r="2191" ht="15.0" customHeight="1">
      <c r="A2191" s="834"/>
      <c r="B2191" s="603"/>
      <c r="C2191" s="109"/>
      <c r="D2191" s="594"/>
      <c r="E2191" s="594"/>
      <c r="F2191" s="594"/>
      <c r="G2191" s="756"/>
      <c r="H2191" s="824"/>
      <c r="I2191" s="825"/>
      <c r="J2191" s="826"/>
    </row>
    <row r="2192" ht="15.0" customHeight="1">
      <c r="A2192" s="834"/>
      <c r="B2192" s="603"/>
      <c r="C2192" s="109"/>
      <c r="D2192" s="594"/>
      <c r="E2192" s="594"/>
      <c r="F2192" s="594"/>
      <c r="G2192" s="756"/>
      <c r="H2192" s="824"/>
      <c r="I2192" s="825"/>
      <c r="J2192" s="826"/>
    </row>
    <row r="2193" ht="15.0" customHeight="1">
      <c r="A2193" s="834"/>
      <c r="B2193" s="603"/>
      <c r="C2193" s="109"/>
      <c r="D2193" s="594"/>
      <c r="E2193" s="594"/>
      <c r="F2193" s="594"/>
      <c r="G2193" s="756"/>
      <c r="H2193" s="824"/>
      <c r="I2193" s="825"/>
      <c r="J2193" s="826"/>
    </row>
    <row r="2194" ht="15.0" customHeight="1">
      <c r="A2194" s="834"/>
      <c r="B2194" s="603"/>
      <c r="C2194" s="109"/>
      <c r="D2194" s="594"/>
      <c r="E2194" s="594"/>
      <c r="F2194" s="594"/>
      <c r="G2194" s="756"/>
      <c r="H2194" s="824"/>
      <c r="I2194" s="825"/>
      <c r="J2194" s="826"/>
    </row>
    <row r="2195" ht="15.0" customHeight="1">
      <c r="A2195" s="834"/>
      <c r="B2195" s="603"/>
      <c r="C2195" s="109"/>
      <c r="D2195" s="594"/>
      <c r="E2195" s="594"/>
      <c r="F2195" s="594"/>
      <c r="G2195" s="756"/>
      <c r="H2195" s="824"/>
      <c r="I2195" s="825"/>
      <c r="J2195" s="826"/>
    </row>
    <row r="2196" ht="15.0" customHeight="1">
      <c r="A2196" s="834"/>
      <c r="B2196" s="603"/>
      <c r="C2196" s="109"/>
      <c r="D2196" s="594"/>
      <c r="E2196" s="594"/>
      <c r="F2196" s="594"/>
      <c r="G2196" s="756"/>
      <c r="H2196" s="824"/>
      <c r="I2196" s="825"/>
      <c r="J2196" s="826"/>
    </row>
    <row r="2197" ht="15.0" customHeight="1">
      <c r="A2197" s="834"/>
      <c r="B2197" s="603"/>
      <c r="C2197" s="109"/>
      <c r="D2197" s="594"/>
      <c r="E2197" s="594"/>
      <c r="F2197" s="594"/>
      <c r="G2197" s="756"/>
      <c r="H2197" s="824"/>
      <c r="I2197" s="825"/>
      <c r="J2197" s="826"/>
    </row>
    <row r="2198" ht="15.0" customHeight="1">
      <c r="A2198" s="834"/>
      <c r="B2198" s="603"/>
      <c r="C2198" s="109"/>
      <c r="D2198" s="594"/>
      <c r="E2198" s="594"/>
      <c r="F2198" s="594"/>
      <c r="G2198" s="756"/>
      <c r="H2198" s="824"/>
      <c r="I2198" s="825"/>
      <c r="J2198" s="826"/>
    </row>
    <row r="2199" ht="15.0" customHeight="1">
      <c r="A2199" s="834"/>
      <c r="B2199" s="603"/>
      <c r="C2199" s="109"/>
      <c r="D2199" s="594"/>
      <c r="E2199" s="594"/>
      <c r="F2199" s="594"/>
      <c r="G2199" s="756"/>
      <c r="H2199" s="824"/>
      <c r="I2199" s="825"/>
      <c r="J2199" s="826"/>
    </row>
    <row r="2200" ht="15.0" customHeight="1">
      <c r="A2200" s="834"/>
      <c r="B2200" s="603"/>
      <c r="C2200" s="109"/>
      <c r="D2200" s="594"/>
      <c r="E2200" s="594"/>
      <c r="F2200" s="594"/>
      <c r="G2200" s="756"/>
      <c r="H2200" s="824"/>
      <c r="I2200" s="825"/>
      <c r="J2200" s="826"/>
    </row>
    <row r="2201" ht="15.0" customHeight="1">
      <c r="A2201" s="834"/>
      <c r="B2201" s="603"/>
      <c r="C2201" s="109"/>
      <c r="D2201" s="594"/>
      <c r="E2201" s="594"/>
      <c r="F2201" s="594"/>
      <c r="G2201" s="756"/>
      <c r="H2201" s="824"/>
      <c r="I2201" s="825"/>
      <c r="J2201" s="826"/>
    </row>
    <row r="2202" ht="15.0" customHeight="1">
      <c r="A2202" s="834"/>
      <c r="B2202" s="603"/>
      <c r="C2202" s="109"/>
      <c r="D2202" s="594"/>
      <c r="E2202" s="594"/>
      <c r="F2202" s="594"/>
      <c r="G2202" s="756"/>
      <c r="H2202" s="824"/>
      <c r="I2202" s="825"/>
      <c r="J2202" s="826"/>
    </row>
    <row r="2203" ht="15.0" customHeight="1">
      <c r="A2203" s="834"/>
      <c r="B2203" s="603"/>
      <c r="C2203" s="109"/>
      <c r="D2203" s="594"/>
      <c r="E2203" s="594"/>
      <c r="F2203" s="594"/>
      <c r="G2203" s="756"/>
      <c r="H2203" s="824"/>
      <c r="I2203" s="825"/>
      <c r="J2203" s="826"/>
    </row>
    <row r="2204" ht="15.0" customHeight="1">
      <c r="A2204" s="834"/>
      <c r="B2204" s="603"/>
      <c r="C2204" s="109"/>
      <c r="D2204" s="594"/>
      <c r="E2204" s="594"/>
      <c r="F2204" s="594"/>
      <c r="G2204" s="756"/>
      <c r="H2204" s="824"/>
      <c r="I2204" s="825"/>
      <c r="J2204" s="826"/>
    </row>
    <row r="2205" ht="15.0" customHeight="1">
      <c r="A2205" s="834"/>
      <c r="B2205" s="603"/>
      <c r="C2205" s="109"/>
      <c r="D2205" s="594"/>
      <c r="E2205" s="594"/>
      <c r="F2205" s="594"/>
      <c r="G2205" s="756"/>
      <c r="H2205" s="824"/>
      <c r="I2205" s="825"/>
      <c r="J2205" s="826"/>
    </row>
    <row r="2206" ht="15.0" customHeight="1">
      <c r="A2206" s="834"/>
      <c r="B2206" s="603"/>
      <c r="C2206" s="109"/>
      <c r="D2206" s="594"/>
      <c r="E2206" s="594"/>
      <c r="F2206" s="594"/>
      <c r="G2206" s="756"/>
      <c r="H2206" s="824"/>
      <c r="I2206" s="825"/>
      <c r="J2206" s="826"/>
    </row>
    <row r="2207" ht="15.0" customHeight="1">
      <c r="A2207" s="834"/>
      <c r="B2207" s="603"/>
      <c r="C2207" s="109"/>
      <c r="D2207" s="594"/>
      <c r="E2207" s="594"/>
      <c r="F2207" s="594"/>
      <c r="G2207" s="756"/>
      <c r="H2207" s="824"/>
      <c r="I2207" s="825"/>
      <c r="J2207" s="826"/>
    </row>
    <row r="2208" ht="15.0" customHeight="1">
      <c r="A2208" s="834"/>
      <c r="B2208" s="603"/>
      <c r="C2208" s="109"/>
      <c r="D2208" s="594"/>
      <c r="E2208" s="594"/>
      <c r="F2208" s="594"/>
      <c r="G2208" s="756"/>
      <c r="H2208" s="824"/>
      <c r="I2208" s="825"/>
      <c r="J2208" s="826"/>
    </row>
    <row r="2209" ht="15.0" customHeight="1">
      <c r="A2209" s="834"/>
      <c r="B2209" s="603"/>
      <c r="C2209" s="109"/>
      <c r="D2209" s="594"/>
      <c r="E2209" s="594"/>
      <c r="F2209" s="594"/>
      <c r="G2209" s="756"/>
      <c r="H2209" s="824"/>
      <c r="I2209" s="825"/>
      <c r="J2209" s="826"/>
    </row>
    <row r="2210" ht="15.0" customHeight="1">
      <c r="A2210" s="834"/>
      <c r="B2210" s="603"/>
      <c r="C2210" s="109"/>
      <c r="D2210" s="594"/>
      <c r="E2210" s="594"/>
      <c r="F2210" s="594"/>
      <c r="G2210" s="756"/>
      <c r="H2210" s="824"/>
      <c r="I2210" s="825"/>
      <c r="J2210" s="826"/>
    </row>
    <row r="2211" ht="15.0" customHeight="1">
      <c r="A2211" s="834"/>
      <c r="B2211" s="603"/>
      <c r="C2211" s="109"/>
      <c r="D2211" s="594"/>
      <c r="E2211" s="594"/>
      <c r="F2211" s="594"/>
      <c r="G2211" s="756"/>
      <c r="H2211" s="824"/>
      <c r="I2211" s="825"/>
      <c r="J2211" s="826"/>
    </row>
    <row r="2212" ht="15.0" customHeight="1">
      <c r="A2212" s="834"/>
      <c r="B2212" s="603"/>
      <c r="C2212" s="109"/>
      <c r="D2212" s="594"/>
      <c r="E2212" s="594"/>
      <c r="F2212" s="594"/>
      <c r="G2212" s="756"/>
      <c r="H2212" s="824"/>
      <c r="I2212" s="825"/>
      <c r="J2212" s="826"/>
    </row>
    <row r="2213" ht="15.0" customHeight="1">
      <c r="A2213" s="834"/>
      <c r="B2213" s="603"/>
      <c r="C2213" s="109"/>
      <c r="D2213" s="594"/>
      <c r="E2213" s="594"/>
      <c r="F2213" s="594"/>
      <c r="G2213" s="756"/>
      <c r="H2213" s="824"/>
      <c r="I2213" s="825"/>
      <c r="J2213" s="826"/>
    </row>
    <row r="2214" ht="15.0" customHeight="1">
      <c r="A2214" s="834"/>
      <c r="B2214" s="603"/>
      <c r="C2214" s="109"/>
      <c r="D2214" s="594"/>
      <c r="E2214" s="594"/>
      <c r="F2214" s="594"/>
      <c r="G2214" s="756"/>
      <c r="H2214" s="824"/>
      <c r="I2214" s="825"/>
      <c r="J2214" s="826"/>
    </row>
    <row r="2215" ht="15.0" customHeight="1">
      <c r="A2215" s="834"/>
      <c r="B2215" s="603"/>
      <c r="C2215" s="109"/>
      <c r="D2215" s="594"/>
      <c r="E2215" s="594"/>
      <c r="F2215" s="594"/>
      <c r="G2215" s="756"/>
      <c r="H2215" s="824"/>
      <c r="I2215" s="825"/>
      <c r="J2215" s="826"/>
    </row>
    <row r="2216" ht="15.0" customHeight="1">
      <c r="A2216" s="834"/>
      <c r="B2216" s="603"/>
      <c r="C2216" s="109"/>
      <c r="D2216" s="594"/>
      <c r="E2216" s="594"/>
      <c r="F2216" s="594"/>
      <c r="G2216" s="756"/>
      <c r="H2216" s="824"/>
      <c r="I2216" s="825"/>
      <c r="J2216" s="826"/>
    </row>
    <row r="2217" ht="15.0" customHeight="1">
      <c r="A2217" s="834"/>
      <c r="B2217" s="603"/>
      <c r="C2217" s="109"/>
      <c r="D2217" s="594"/>
      <c r="E2217" s="594"/>
      <c r="F2217" s="594"/>
      <c r="G2217" s="756"/>
      <c r="H2217" s="824"/>
      <c r="I2217" s="825"/>
      <c r="J2217" s="826"/>
    </row>
    <row r="2218" ht="15.0" customHeight="1">
      <c r="A2218" s="834"/>
      <c r="B2218" s="603"/>
      <c r="C2218" s="109"/>
      <c r="D2218" s="594"/>
      <c r="E2218" s="594"/>
      <c r="F2218" s="594"/>
      <c r="G2218" s="756"/>
      <c r="H2218" s="824"/>
      <c r="I2218" s="825"/>
      <c r="J2218" s="826"/>
    </row>
    <row r="2219" ht="15.0" customHeight="1">
      <c r="A2219" s="834"/>
      <c r="B2219" s="603"/>
      <c r="C2219" s="109"/>
      <c r="D2219" s="594"/>
      <c r="E2219" s="594"/>
      <c r="F2219" s="594"/>
      <c r="G2219" s="756"/>
      <c r="H2219" s="824"/>
      <c r="I2219" s="825"/>
      <c r="J2219" s="826"/>
    </row>
    <row r="2220" ht="15.0" customHeight="1">
      <c r="A2220" s="834"/>
      <c r="B2220" s="603"/>
      <c r="C2220" s="109"/>
      <c r="D2220" s="594"/>
      <c r="E2220" s="594"/>
      <c r="F2220" s="594"/>
      <c r="G2220" s="756"/>
      <c r="H2220" s="824"/>
      <c r="I2220" s="825"/>
      <c r="J2220" s="826"/>
    </row>
    <row r="2221" ht="15.0" customHeight="1">
      <c r="A2221" s="834"/>
      <c r="B2221" s="603"/>
      <c r="C2221" s="109"/>
      <c r="D2221" s="594"/>
      <c r="E2221" s="594"/>
      <c r="F2221" s="594"/>
      <c r="G2221" s="756"/>
      <c r="H2221" s="824"/>
      <c r="I2221" s="825"/>
      <c r="J2221" s="826"/>
    </row>
    <row r="2222" ht="15.0" customHeight="1">
      <c r="A2222" s="834"/>
      <c r="B2222" s="603"/>
      <c r="C2222" s="109"/>
      <c r="D2222" s="594"/>
      <c r="E2222" s="594"/>
      <c r="F2222" s="594"/>
      <c r="G2222" s="756"/>
      <c r="H2222" s="824"/>
      <c r="I2222" s="825"/>
      <c r="J2222" s="826"/>
    </row>
    <row r="2223" ht="15.0" customHeight="1">
      <c r="A2223" s="834"/>
      <c r="B2223" s="603"/>
      <c r="C2223" s="109"/>
      <c r="D2223" s="594"/>
      <c r="E2223" s="594"/>
      <c r="F2223" s="594"/>
      <c r="G2223" s="756"/>
      <c r="H2223" s="824"/>
      <c r="I2223" s="825"/>
      <c r="J2223" s="826"/>
    </row>
    <row r="2224" ht="15.0" customHeight="1">
      <c r="A2224" s="834"/>
      <c r="B2224" s="603"/>
      <c r="C2224" s="109"/>
      <c r="D2224" s="594"/>
      <c r="E2224" s="594"/>
      <c r="F2224" s="594"/>
      <c r="G2224" s="756"/>
      <c r="H2224" s="824"/>
      <c r="I2224" s="825"/>
      <c r="J2224" s="826"/>
    </row>
    <row r="2225" ht="15.0" customHeight="1">
      <c r="A2225" s="834"/>
      <c r="B2225" s="603"/>
      <c r="C2225" s="109"/>
      <c r="D2225" s="594"/>
      <c r="E2225" s="594"/>
      <c r="F2225" s="594"/>
      <c r="G2225" s="756"/>
      <c r="H2225" s="824"/>
      <c r="I2225" s="825"/>
      <c r="J2225" s="826"/>
    </row>
    <row r="2226" ht="15.0" customHeight="1">
      <c r="A2226" s="834"/>
      <c r="B2226" s="603"/>
      <c r="C2226" s="109"/>
      <c r="D2226" s="594"/>
      <c r="E2226" s="594"/>
      <c r="F2226" s="594"/>
      <c r="G2226" s="756"/>
      <c r="H2226" s="824"/>
      <c r="I2226" s="825"/>
      <c r="J2226" s="826"/>
    </row>
    <row r="2227" ht="15.0" customHeight="1">
      <c r="A2227" s="834"/>
      <c r="B2227" s="603"/>
      <c r="C2227" s="109"/>
      <c r="D2227" s="594"/>
      <c r="E2227" s="594"/>
      <c r="F2227" s="594"/>
      <c r="G2227" s="756"/>
      <c r="H2227" s="824"/>
      <c r="I2227" s="825"/>
      <c r="J2227" s="826"/>
    </row>
    <row r="2228" ht="15.0" customHeight="1">
      <c r="A2228" s="834"/>
      <c r="B2228" s="603"/>
      <c r="C2228" s="109"/>
      <c r="D2228" s="594"/>
      <c r="E2228" s="594"/>
      <c r="F2228" s="594"/>
      <c r="G2228" s="756"/>
      <c r="H2228" s="824"/>
      <c r="I2228" s="825"/>
      <c r="J2228" s="826"/>
    </row>
    <row r="2229" ht="15.0" customHeight="1">
      <c r="A2229" s="834"/>
      <c r="B2229" s="603"/>
      <c r="C2229" s="109"/>
      <c r="D2229" s="594"/>
      <c r="E2229" s="594"/>
      <c r="F2229" s="594"/>
      <c r="G2229" s="756"/>
      <c r="H2229" s="824"/>
      <c r="I2229" s="825"/>
      <c r="J2229" s="826"/>
    </row>
    <row r="2230" ht="15.0" customHeight="1">
      <c r="A2230" s="834"/>
      <c r="B2230" s="603"/>
      <c r="C2230" s="109"/>
      <c r="D2230" s="594"/>
      <c r="E2230" s="594"/>
      <c r="F2230" s="594"/>
      <c r="G2230" s="756"/>
      <c r="H2230" s="824"/>
      <c r="I2230" s="825"/>
      <c r="J2230" s="826"/>
    </row>
    <row r="2231" ht="15.0" customHeight="1">
      <c r="A2231" s="834"/>
      <c r="B2231" s="603"/>
      <c r="C2231" s="109"/>
      <c r="D2231" s="594"/>
      <c r="E2231" s="594"/>
      <c r="F2231" s="594"/>
      <c r="G2231" s="756"/>
      <c r="H2231" s="824"/>
      <c r="I2231" s="825"/>
      <c r="J2231" s="826"/>
    </row>
    <row r="2232" ht="15.0" customHeight="1">
      <c r="A2232" s="834"/>
      <c r="B2232" s="603"/>
      <c r="C2232" s="109"/>
      <c r="D2232" s="594"/>
      <c r="E2232" s="594"/>
      <c r="F2232" s="594"/>
      <c r="G2232" s="756"/>
      <c r="H2232" s="824"/>
      <c r="I2232" s="825"/>
      <c r="J2232" s="826"/>
    </row>
    <row r="2233" ht="15.0" customHeight="1">
      <c r="A2233" s="834"/>
      <c r="B2233" s="603"/>
      <c r="C2233" s="109"/>
      <c r="D2233" s="594"/>
      <c r="E2233" s="594"/>
      <c r="F2233" s="594"/>
      <c r="G2233" s="756"/>
      <c r="H2233" s="824"/>
      <c r="I2233" s="825"/>
      <c r="J2233" s="826"/>
    </row>
    <row r="2234" ht="15.0" customHeight="1">
      <c r="A2234" s="834"/>
      <c r="B2234" s="603"/>
      <c r="C2234" s="109"/>
      <c r="D2234" s="594"/>
      <c r="E2234" s="594"/>
      <c r="F2234" s="594"/>
      <c r="G2234" s="756"/>
      <c r="H2234" s="824"/>
      <c r="I2234" s="825"/>
      <c r="J2234" s="826"/>
    </row>
    <row r="2235" ht="15.0" customHeight="1">
      <c r="A2235" s="834"/>
      <c r="B2235" s="603"/>
      <c r="C2235" s="109"/>
      <c r="D2235" s="594"/>
      <c r="E2235" s="594"/>
      <c r="F2235" s="594"/>
      <c r="G2235" s="756"/>
      <c r="H2235" s="824"/>
      <c r="I2235" s="825"/>
      <c r="J2235" s="826"/>
    </row>
    <row r="2236" ht="15.0" customHeight="1">
      <c r="A2236" s="834"/>
      <c r="B2236" s="603"/>
      <c r="C2236" s="109"/>
      <c r="D2236" s="594"/>
      <c r="E2236" s="594"/>
      <c r="F2236" s="594"/>
      <c r="G2236" s="756"/>
      <c r="H2236" s="824"/>
      <c r="I2236" s="825"/>
      <c r="J2236" s="826"/>
    </row>
    <row r="2237" ht="15.0" customHeight="1">
      <c r="A2237" s="834"/>
      <c r="B2237" s="603"/>
      <c r="C2237" s="109"/>
      <c r="D2237" s="594"/>
      <c r="E2237" s="594"/>
      <c r="F2237" s="594"/>
      <c r="G2237" s="756"/>
      <c r="H2237" s="824"/>
      <c r="I2237" s="825"/>
      <c r="J2237" s="826"/>
    </row>
    <row r="2238" ht="15.0" customHeight="1">
      <c r="A2238" s="834"/>
      <c r="B2238" s="603"/>
      <c r="C2238" s="109"/>
      <c r="D2238" s="594"/>
      <c r="E2238" s="594"/>
      <c r="F2238" s="594"/>
      <c r="G2238" s="756"/>
      <c r="H2238" s="824"/>
      <c r="I2238" s="825"/>
      <c r="J2238" s="826"/>
    </row>
    <row r="2239" ht="15.0" customHeight="1">
      <c r="A2239" s="834"/>
      <c r="B2239" s="603"/>
      <c r="C2239" s="109"/>
      <c r="D2239" s="594"/>
      <c r="E2239" s="594"/>
      <c r="F2239" s="594"/>
      <c r="G2239" s="756"/>
      <c r="H2239" s="824"/>
      <c r="I2239" s="825"/>
      <c r="J2239" s="826"/>
    </row>
    <row r="2240" ht="15.0" customHeight="1">
      <c r="A2240" s="834"/>
      <c r="B2240" s="603"/>
      <c r="C2240" s="109"/>
      <c r="D2240" s="594"/>
      <c r="E2240" s="594"/>
      <c r="F2240" s="594"/>
      <c r="G2240" s="756"/>
      <c r="H2240" s="824"/>
      <c r="I2240" s="825"/>
      <c r="J2240" s="826"/>
    </row>
    <row r="2241" ht="15.0" customHeight="1">
      <c r="A2241" s="834"/>
      <c r="B2241" s="603"/>
      <c r="C2241" s="109"/>
      <c r="D2241" s="594"/>
      <c r="E2241" s="594"/>
      <c r="F2241" s="594"/>
      <c r="G2241" s="756"/>
      <c r="H2241" s="824"/>
      <c r="I2241" s="825"/>
      <c r="J2241" s="826"/>
    </row>
    <row r="2242" ht="15.0" customHeight="1">
      <c r="A2242" s="834"/>
      <c r="B2242" s="603"/>
      <c r="C2242" s="109"/>
      <c r="D2242" s="594"/>
      <c r="E2242" s="594"/>
      <c r="F2242" s="594"/>
      <c r="G2242" s="756"/>
      <c r="H2242" s="824"/>
      <c r="I2242" s="825"/>
      <c r="J2242" s="826"/>
    </row>
    <row r="2243" ht="15.0" customHeight="1">
      <c r="A2243" s="834"/>
      <c r="B2243" s="603"/>
      <c r="C2243" s="109"/>
      <c r="D2243" s="594"/>
      <c r="E2243" s="594"/>
      <c r="F2243" s="594"/>
      <c r="G2243" s="756"/>
      <c r="H2243" s="824"/>
      <c r="I2243" s="825"/>
      <c r="J2243" s="826"/>
    </row>
    <row r="2244" ht="15.0" customHeight="1">
      <c r="A2244" s="834"/>
      <c r="B2244" s="603"/>
      <c r="C2244" s="109"/>
      <c r="D2244" s="594"/>
      <c r="E2244" s="594"/>
      <c r="F2244" s="594"/>
      <c r="G2244" s="756"/>
      <c r="H2244" s="824"/>
      <c r="I2244" s="825"/>
      <c r="J2244" s="826"/>
    </row>
    <row r="2245" ht="15.0" customHeight="1">
      <c r="A2245" s="834"/>
      <c r="B2245" s="603"/>
      <c r="C2245" s="109"/>
      <c r="D2245" s="594"/>
      <c r="E2245" s="594"/>
      <c r="F2245" s="594"/>
      <c r="G2245" s="756"/>
      <c r="H2245" s="824"/>
      <c r="I2245" s="825"/>
      <c r="J2245" s="826"/>
    </row>
    <row r="2246" ht="15.0" customHeight="1">
      <c r="A2246" s="834"/>
      <c r="B2246" s="603"/>
      <c r="C2246" s="109"/>
      <c r="D2246" s="594"/>
      <c r="E2246" s="594"/>
      <c r="F2246" s="594"/>
      <c r="G2246" s="756"/>
      <c r="H2246" s="824"/>
      <c r="I2246" s="825"/>
      <c r="J2246" s="826"/>
    </row>
    <row r="2247" ht="15.0" customHeight="1">
      <c r="A2247" s="834"/>
      <c r="B2247" s="603"/>
      <c r="C2247" s="109"/>
      <c r="D2247" s="594"/>
      <c r="E2247" s="594"/>
      <c r="F2247" s="594"/>
      <c r="G2247" s="756"/>
      <c r="H2247" s="824"/>
      <c r="I2247" s="825"/>
      <c r="J2247" s="826"/>
    </row>
    <row r="2248" ht="15.0" customHeight="1">
      <c r="A2248" s="834"/>
      <c r="B2248" s="603"/>
      <c r="C2248" s="109"/>
      <c r="D2248" s="594"/>
      <c r="E2248" s="594"/>
      <c r="F2248" s="594"/>
      <c r="G2248" s="756"/>
      <c r="H2248" s="824"/>
      <c r="I2248" s="825"/>
      <c r="J2248" s="826"/>
    </row>
    <row r="2249" ht="15.0" customHeight="1">
      <c r="A2249" s="834"/>
      <c r="B2249" s="603"/>
      <c r="C2249" s="109"/>
      <c r="D2249" s="594"/>
      <c r="E2249" s="594"/>
      <c r="F2249" s="594"/>
      <c r="G2249" s="756"/>
      <c r="H2249" s="824"/>
      <c r="I2249" s="825"/>
      <c r="J2249" s="826"/>
    </row>
    <row r="2250" ht="15.0" customHeight="1">
      <c r="A2250" s="834"/>
      <c r="B2250" s="603"/>
      <c r="C2250" s="109"/>
      <c r="D2250" s="594"/>
      <c r="E2250" s="594"/>
      <c r="F2250" s="594"/>
      <c r="G2250" s="756"/>
      <c r="H2250" s="824"/>
      <c r="I2250" s="825"/>
      <c r="J2250" s="826"/>
    </row>
    <row r="2251" ht="15.0" customHeight="1">
      <c r="A2251" s="834"/>
      <c r="B2251" s="603"/>
      <c r="C2251" s="109"/>
      <c r="D2251" s="594"/>
      <c r="E2251" s="594"/>
      <c r="F2251" s="594"/>
      <c r="G2251" s="756"/>
      <c r="H2251" s="824"/>
      <c r="I2251" s="825"/>
      <c r="J2251" s="826"/>
    </row>
    <row r="2252" ht="15.0" customHeight="1">
      <c r="A2252" s="834"/>
      <c r="B2252" s="603"/>
      <c r="C2252" s="109"/>
      <c r="D2252" s="594"/>
      <c r="E2252" s="594"/>
      <c r="F2252" s="594"/>
      <c r="G2252" s="756"/>
      <c r="H2252" s="824"/>
      <c r="I2252" s="825"/>
      <c r="J2252" s="826"/>
    </row>
    <row r="2253" ht="15.0" customHeight="1">
      <c r="A2253" s="834"/>
      <c r="B2253" s="603"/>
      <c r="C2253" s="109"/>
      <c r="D2253" s="594"/>
      <c r="E2253" s="594"/>
      <c r="F2253" s="594"/>
      <c r="G2253" s="756"/>
      <c r="H2253" s="824"/>
      <c r="I2253" s="825"/>
      <c r="J2253" s="826"/>
    </row>
    <row r="2254" ht="15.0" customHeight="1">
      <c r="A2254" s="834"/>
      <c r="B2254" s="603"/>
      <c r="C2254" s="109"/>
      <c r="D2254" s="594"/>
      <c r="E2254" s="594"/>
      <c r="F2254" s="594"/>
      <c r="G2254" s="756"/>
      <c r="H2254" s="824"/>
      <c r="I2254" s="825"/>
      <c r="J2254" s="826"/>
    </row>
    <row r="2255" ht="15.0" customHeight="1">
      <c r="A2255" s="834"/>
      <c r="B2255" s="603"/>
      <c r="C2255" s="109"/>
      <c r="D2255" s="594"/>
      <c r="E2255" s="594"/>
      <c r="F2255" s="594"/>
      <c r="G2255" s="756"/>
      <c r="H2255" s="824"/>
      <c r="I2255" s="825"/>
      <c r="J2255" s="826"/>
    </row>
    <row r="2256" ht="15.0" customHeight="1">
      <c r="A2256" s="834"/>
      <c r="B2256" s="603"/>
      <c r="C2256" s="109"/>
      <c r="D2256" s="594"/>
      <c r="E2256" s="594"/>
      <c r="F2256" s="594"/>
      <c r="G2256" s="756"/>
      <c r="H2256" s="824"/>
      <c r="I2256" s="825"/>
      <c r="J2256" s="826"/>
    </row>
    <row r="2257" ht="15.0" customHeight="1">
      <c r="A2257" s="834"/>
      <c r="B2257" s="603"/>
      <c r="C2257" s="109"/>
      <c r="D2257" s="594"/>
      <c r="E2257" s="594"/>
      <c r="F2257" s="594"/>
      <c r="G2257" s="756"/>
      <c r="H2257" s="824"/>
      <c r="I2257" s="825"/>
      <c r="J2257" s="826"/>
    </row>
    <row r="2258" ht="15.0" customHeight="1">
      <c r="A2258" s="834"/>
      <c r="B2258" s="603"/>
      <c r="C2258" s="109"/>
      <c r="D2258" s="594"/>
      <c r="E2258" s="594"/>
      <c r="F2258" s="594"/>
      <c r="G2258" s="756"/>
      <c r="H2258" s="824"/>
      <c r="I2258" s="825"/>
      <c r="J2258" s="826"/>
    </row>
    <row r="2259" ht="15.0" customHeight="1">
      <c r="A2259" s="834"/>
      <c r="B2259" s="603"/>
      <c r="C2259" s="109"/>
      <c r="D2259" s="594"/>
      <c r="E2259" s="594"/>
      <c r="F2259" s="594"/>
      <c r="G2259" s="756"/>
      <c r="H2259" s="824"/>
      <c r="I2259" s="825"/>
      <c r="J2259" s="826"/>
    </row>
    <row r="2260" ht="15.0" customHeight="1">
      <c r="A2260" s="834"/>
      <c r="B2260" s="603"/>
      <c r="C2260" s="109"/>
      <c r="D2260" s="594"/>
      <c r="E2260" s="594"/>
      <c r="F2260" s="594"/>
      <c r="G2260" s="756"/>
      <c r="H2260" s="824"/>
      <c r="I2260" s="825"/>
      <c r="J2260" s="826"/>
    </row>
    <row r="2261" ht="15.0" customHeight="1">
      <c r="A2261" s="834"/>
      <c r="B2261" s="603"/>
      <c r="C2261" s="109"/>
      <c r="D2261" s="594"/>
      <c r="E2261" s="594"/>
      <c r="F2261" s="594"/>
      <c r="G2261" s="756"/>
      <c r="H2261" s="824"/>
      <c r="I2261" s="825"/>
      <c r="J2261" s="826"/>
    </row>
    <row r="2262" ht="15.0" customHeight="1">
      <c r="A2262" s="834"/>
      <c r="B2262" s="603"/>
      <c r="C2262" s="109"/>
      <c r="D2262" s="594"/>
      <c r="E2262" s="594"/>
      <c r="F2262" s="594"/>
      <c r="G2262" s="756"/>
      <c r="H2262" s="824"/>
      <c r="I2262" s="825"/>
      <c r="J2262" s="826"/>
    </row>
    <row r="2263" ht="15.0" customHeight="1">
      <c r="A2263" s="834"/>
      <c r="B2263" s="603"/>
      <c r="C2263" s="109"/>
      <c r="D2263" s="594"/>
      <c r="E2263" s="594"/>
      <c r="F2263" s="594"/>
      <c r="G2263" s="756"/>
      <c r="H2263" s="824"/>
      <c r="I2263" s="825"/>
      <c r="J2263" s="826"/>
    </row>
    <row r="2264" ht="15.0" customHeight="1">
      <c r="A2264" s="834"/>
      <c r="B2264" s="603"/>
      <c r="C2264" s="109"/>
      <c r="D2264" s="594"/>
      <c r="E2264" s="594"/>
      <c r="F2264" s="594"/>
      <c r="G2264" s="756"/>
      <c r="H2264" s="824"/>
      <c r="I2264" s="825"/>
      <c r="J2264" s="826"/>
    </row>
    <row r="2265" ht="15.0" customHeight="1">
      <c r="A2265" s="834"/>
      <c r="B2265" s="603"/>
      <c r="C2265" s="109"/>
      <c r="D2265" s="594"/>
      <c r="E2265" s="594"/>
      <c r="F2265" s="594"/>
      <c r="G2265" s="756"/>
      <c r="H2265" s="824"/>
      <c r="I2265" s="825"/>
      <c r="J2265" s="826"/>
    </row>
    <row r="2266" ht="15.0" customHeight="1">
      <c r="A2266" s="834"/>
      <c r="B2266" s="603"/>
      <c r="C2266" s="109"/>
      <c r="D2266" s="594"/>
      <c r="E2266" s="594"/>
      <c r="F2266" s="594"/>
      <c r="G2266" s="756"/>
      <c r="H2266" s="824"/>
      <c r="I2266" s="825"/>
      <c r="J2266" s="826"/>
    </row>
    <row r="2267" ht="15.0" customHeight="1">
      <c r="A2267" s="834"/>
      <c r="B2267" s="603"/>
      <c r="C2267" s="109"/>
      <c r="D2267" s="594"/>
      <c r="E2267" s="594"/>
      <c r="F2267" s="594"/>
      <c r="G2267" s="756"/>
      <c r="H2267" s="824"/>
      <c r="I2267" s="825"/>
      <c r="J2267" s="826"/>
    </row>
    <row r="2268" ht="15.0" customHeight="1">
      <c r="A2268" s="834"/>
      <c r="B2268" s="603"/>
      <c r="C2268" s="109"/>
      <c r="D2268" s="594"/>
      <c r="E2268" s="594"/>
      <c r="F2268" s="594"/>
      <c r="G2268" s="756"/>
      <c r="H2268" s="824"/>
      <c r="I2268" s="825"/>
      <c r="J2268" s="826"/>
    </row>
    <row r="2269" ht="15.0" customHeight="1">
      <c r="A2269" s="834"/>
      <c r="B2269" s="603"/>
      <c r="C2269" s="109"/>
      <c r="D2269" s="594"/>
      <c r="E2269" s="594"/>
      <c r="F2269" s="594"/>
      <c r="G2269" s="756"/>
      <c r="H2269" s="824"/>
      <c r="I2269" s="825"/>
      <c r="J2269" s="826"/>
    </row>
    <row r="2270" ht="15.0" customHeight="1">
      <c r="A2270" s="834"/>
      <c r="B2270" s="603"/>
      <c r="C2270" s="109"/>
      <c r="D2270" s="594"/>
      <c r="E2270" s="594"/>
      <c r="F2270" s="594"/>
      <c r="G2270" s="756"/>
      <c r="H2270" s="824"/>
      <c r="I2270" s="825"/>
      <c r="J2270" s="826"/>
    </row>
    <row r="2271" ht="15.0" customHeight="1">
      <c r="A2271" s="834"/>
      <c r="B2271" s="603"/>
      <c r="C2271" s="109"/>
      <c r="D2271" s="594"/>
      <c r="E2271" s="594"/>
      <c r="F2271" s="594"/>
      <c r="G2271" s="756"/>
      <c r="H2271" s="824"/>
      <c r="I2271" s="825"/>
      <c r="J2271" s="826"/>
    </row>
    <row r="2272" ht="15.0" customHeight="1">
      <c r="A2272" s="834"/>
      <c r="B2272" s="603"/>
      <c r="C2272" s="109"/>
      <c r="D2272" s="594"/>
      <c r="E2272" s="594"/>
      <c r="F2272" s="594"/>
      <c r="G2272" s="756"/>
      <c r="H2272" s="824"/>
      <c r="I2272" s="825"/>
      <c r="J2272" s="826"/>
    </row>
    <row r="2273" ht="15.0" customHeight="1">
      <c r="A2273" s="834"/>
      <c r="B2273" s="603"/>
      <c r="C2273" s="109"/>
      <c r="D2273" s="594"/>
      <c r="E2273" s="594"/>
      <c r="F2273" s="594"/>
      <c r="G2273" s="756"/>
      <c r="H2273" s="824"/>
      <c r="I2273" s="825"/>
      <c r="J2273" s="826"/>
    </row>
    <row r="2274" ht="15.0" customHeight="1">
      <c r="A2274" s="834"/>
      <c r="B2274" s="603"/>
      <c r="C2274" s="109"/>
      <c r="D2274" s="594"/>
      <c r="E2274" s="594"/>
      <c r="F2274" s="594"/>
      <c r="G2274" s="756"/>
      <c r="H2274" s="824"/>
      <c r="I2274" s="825"/>
      <c r="J2274" s="826"/>
    </row>
    <row r="2275" ht="15.0" customHeight="1">
      <c r="A2275" s="834"/>
      <c r="B2275" s="603"/>
      <c r="C2275" s="109"/>
      <c r="D2275" s="594"/>
      <c r="E2275" s="594"/>
      <c r="F2275" s="594"/>
      <c r="G2275" s="756"/>
      <c r="H2275" s="824"/>
      <c r="I2275" s="825"/>
      <c r="J2275" s="826"/>
    </row>
    <row r="2276" ht="15.0" customHeight="1">
      <c r="A2276" s="834"/>
      <c r="B2276" s="603"/>
      <c r="C2276" s="109"/>
      <c r="D2276" s="594"/>
      <c r="E2276" s="594"/>
      <c r="F2276" s="594"/>
      <c r="G2276" s="756"/>
      <c r="H2276" s="824"/>
      <c r="I2276" s="825"/>
      <c r="J2276" s="826"/>
    </row>
    <row r="2277" ht="15.0" customHeight="1">
      <c r="A2277" s="834"/>
      <c r="B2277" s="603"/>
      <c r="C2277" s="109"/>
      <c r="D2277" s="594"/>
      <c r="E2277" s="594"/>
      <c r="F2277" s="594"/>
      <c r="G2277" s="756"/>
      <c r="H2277" s="824"/>
      <c r="I2277" s="825"/>
      <c r="J2277" s="826"/>
    </row>
    <row r="2278" ht="15.0" customHeight="1">
      <c r="A2278" s="834"/>
      <c r="B2278" s="603"/>
      <c r="C2278" s="109"/>
      <c r="D2278" s="594"/>
      <c r="E2278" s="594"/>
      <c r="F2278" s="594"/>
      <c r="G2278" s="756"/>
      <c r="H2278" s="824"/>
      <c r="I2278" s="825"/>
      <c r="J2278" s="826"/>
    </row>
    <row r="2279" ht="15.0" customHeight="1">
      <c r="A2279" s="834"/>
      <c r="B2279" s="603"/>
      <c r="C2279" s="109"/>
      <c r="D2279" s="594"/>
      <c r="E2279" s="594"/>
      <c r="F2279" s="594"/>
      <c r="G2279" s="756"/>
      <c r="H2279" s="824"/>
      <c r="I2279" s="825"/>
      <c r="J2279" s="826"/>
    </row>
    <row r="2280" ht="15.0" customHeight="1">
      <c r="A2280" s="834"/>
      <c r="B2280" s="603"/>
      <c r="C2280" s="109"/>
      <c r="D2280" s="594"/>
      <c r="E2280" s="594"/>
      <c r="F2280" s="594"/>
      <c r="G2280" s="756"/>
      <c r="H2280" s="824"/>
      <c r="I2280" s="825"/>
      <c r="J2280" s="826"/>
    </row>
    <row r="2281" ht="15.0" customHeight="1">
      <c r="A2281" s="834"/>
      <c r="B2281" s="603"/>
      <c r="C2281" s="109"/>
      <c r="D2281" s="594"/>
      <c r="E2281" s="594"/>
      <c r="F2281" s="594"/>
      <c r="G2281" s="756"/>
      <c r="H2281" s="824"/>
      <c r="I2281" s="825"/>
      <c r="J2281" s="826"/>
    </row>
    <row r="2282" ht="15.0" customHeight="1">
      <c r="A2282" s="834"/>
      <c r="B2282" s="603"/>
      <c r="C2282" s="109"/>
      <c r="D2282" s="594"/>
      <c r="E2282" s="594"/>
      <c r="F2282" s="594"/>
      <c r="G2282" s="756"/>
      <c r="H2282" s="824"/>
      <c r="I2282" s="825"/>
      <c r="J2282" s="826"/>
    </row>
    <row r="2283" ht="15.0" customHeight="1">
      <c r="A2283" s="834"/>
      <c r="B2283" s="603"/>
      <c r="C2283" s="109"/>
      <c r="D2283" s="594"/>
      <c r="E2283" s="594"/>
      <c r="F2283" s="594"/>
      <c r="G2283" s="756"/>
      <c r="H2283" s="824"/>
      <c r="I2283" s="825"/>
      <c r="J2283" s="826"/>
    </row>
    <row r="2284" ht="15.0" customHeight="1">
      <c r="A2284" s="834"/>
      <c r="B2284" s="603"/>
      <c r="C2284" s="109"/>
      <c r="D2284" s="594"/>
      <c r="E2284" s="594"/>
      <c r="F2284" s="594"/>
      <c r="G2284" s="756"/>
      <c r="H2284" s="824"/>
      <c r="I2284" s="825"/>
      <c r="J2284" s="826"/>
    </row>
    <row r="2285" ht="15.0" customHeight="1">
      <c r="A2285" s="834"/>
      <c r="B2285" s="603"/>
      <c r="C2285" s="109"/>
      <c r="D2285" s="594"/>
      <c r="E2285" s="594"/>
      <c r="F2285" s="594"/>
      <c r="G2285" s="756"/>
      <c r="H2285" s="824"/>
      <c r="I2285" s="825"/>
      <c r="J2285" s="826"/>
    </row>
    <row r="2286" ht="15.0" customHeight="1">
      <c r="A2286" s="834"/>
      <c r="B2286" s="603"/>
      <c r="C2286" s="109"/>
      <c r="D2286" s="594"/>
      <c r="E2286" s="594"/>
      <c r="F2286" s="594"/>
      <c r="G2286" s="756"/>
      <c r="H2286" s="824"/>
      <c r="I2286" s="825"/>
      <c r="J2286" s="826"/>
    </row>
    <row r="2287" ht="15.0" customHeight="1">
      <c r="A2287" s="834"/>
      <c r="B2287" s="603"/>
      <c r="C2287" s="109"/>
      <c r="D2287" s="594"/>
      <c r="E2287" s="594"/>
      <c r="F2287" s="594"/>
      <c r="G2287" s="756"/>
      <c r="H2287" s="824"/>
      <c r="I2287" s="825"/>
      <c r="J2287" s="826"/>
    </row>
    <row r="2288" ht="15.0" customHeight="1">
      <c r="A2288" s="834"/>
      <c r="B2288" s="603"/>
      <c r="C2288" s="109"/>
      <c r="D2288" s="594"/>
      <c r="E2288" s="594"/>
      <c r="F2288" s="594"/>
      <c r="G2288" s="756"/>
      <c r="H2288" s="824"/>
      <c r="I2288" s="825"/>
      <c r="J2288" s="826"/>
    </row>
    <row r="2289" ht="15.0" customHeight="1">
      <c r="A2289" s="834"/>
      <c r="B2289" s="603"/>
      <c r="C2289" s="109"/>
      <c r="D2289" s="594"/>
      <c r="E2289" s="594"/>
      <c r="F2289" s="594"/>
      <c r="G2289" s="756"/>
      <c r="H2289" s="824"/>
      <c r="I2289" s="825"/>
      <c r="J2289" s="826"/>
    </row>
    <row r="2290" ht="15.0" customHeight="1">
      <c r="A2290" s="834"/>
      <c r="B2290" s="603"/>
      <c r="C2290" s="109"/>
      <c r="D2290" s="594"/>
      <c r="E2290" s="594"/>
      <c r="F2290" s="594"/>
      <c r="G2290" s="756"/>
      <c r="H2290" s="824"/>
      <c r="I2290" s="825"/>
      <c r="J2290" s="826"/>
    </row>
    <row r="2291" ht="15.0" customHeight="1">
      <c r="A2291" s="834"/>
      <c r="B2291" s="603"/>
      <c r="C2291" s="109"/>
      <c r="D2291" s="594"/>
      <c r="E2291" s="594"/>
      <c r="F2291" s="594"/>
      <c r="G2291" s="756"/>
      <c r="H2291" s="824"/>
      <c r="I2291" s="825"/>
      <c r="J2291" s="826"/>
    </row>
    <row r="2292" ht="15.0" customHeight="1">
      <c r="A2292" s="834"/>
      <c r="B2292" s="603"/>
      <c r="C2292" s="109"/>
      <c r="D2292" s="594"/>
      <c r="E2292" s="594"/>
      <c r="F2292" s="594"/>
      <c r="G2292" s="756"/>
      <c r="H2292" s="824"/>
      <c r="I2292" s="825"/>
      <c r="J2292" s="826"/>
    </row>
    <row r="2293" ht="15.0" customHeight="1">
      <c r="A2293" s="834"/>
      <c r="B2293" s="603"/>
      <c r="C2293" s="109"/>
      <c r="D2293" s="594"/>
      <c r="E2293" s="594"/>
      <c r="F2293" s="594"/>
      <c r="G2293" s="756"/>
      <c r="H2293" s="824"/>
      <c r="I2293" s="825"/>
      <c r="J2293" s="826"/>
    </row>
    <row r="2294" ht="15.0" customHeight="1">
      <c r="A2294" s="834"/>
      <c r="B2294" s="603"/>
      <c r="C2294" s="109"/>
      <c r="D2294" s="594"/>
      <c r="E2294" s="594"/>
      <c r="F2294" s="594"/>
      <c r="G2294" s="756"/>
      <c r="H2294" s="824"/>
      <c r="I2294" s="825"/>
      <c r="J2294" s="826"/>
    </row>
    <row r="2295" ht="15.0" customHeight="1">
      <c r="A2295" s="834"/>
      <c r="B2295" s="603"/>
      <c r="C2295" s="109"/>
      <c r="D2295" s="594"/>
      <c r="E2295" s="594"/>
      <c r="F2295" s="594"/>
      <c r="G2295" s="756"/>
      <c r="H2295" s="824"/>
      <c r="I2295" s="825"/>
      <c r="J2295" s="826"/>
    </row>
    <row r="2296" ht="15.0" customHeight="1">
      <c r="A2296" s="834"/>
      <c r="B2296" s="603"/>
      <c r="C2296" s="109"/>
      <c r="D2296" s="594"/>
      <c r="E2296" s="594"/>
      <c r="F2296" s="594"/>
      <c r="G2296" s="756"/>
      <c r="H2296" s="824"/>
      <c r="I2296" s="825"/>
      <c r="J2296" s="826"/>
    </row>
    <row r="2297" ht="15.0" customHeight="1">
      <c r="A2297" s="834"/>
      <c r="B2297" s="603"/>
      <c r="C2297" s="109"/>
      <c r="D2297" s="594"/>
      <c r="E2297" s="594"/>
      <c r="F2297" s="594"/>
      <c r="G2297" s="756"/>
      <c r="H2297" s="824"/>
      <c r="I2297" s="825"/>
      <c r="J2297" s="826"/>
    </row>
    <row r="2298" ht="15.0" customHeight="1">
      <c r="A2298" s="834"/>
      <c r="B2298" s="603"/>
      <c r="C2298" s="109"/>
      <c r="D2298" s="594"/>
      <c r="E2298" s="594"/>
      <c r="F2298" s="594"/>
      <c r="G2298" s="756"/>
      <c r="H2298" s="824"/>
      <c r="I2298" s="825"/>
      <c r="J2298" s="826"/>
    </row>
    <row r="2299" ht="15.0" customHeight="1">
      <c r="A2299" s="834"/>
      <c r="B2299" s="603"/>
      <c r="C2299" s="109"/>
      <c r="D2299" s="594"/>
      <c r="E2299" s="594"/>
      <c r="F2299" s="594"/>
      <c r="G2299" s="756"/>
      <c r="H2299" s="824"/>
      <c r="I2299" s="825"/>
      <c r="J2299" s="826"/>
    </row>
    <row r="2300" ht="15.0" customHeight="1">
      <c r="A2300" s="834"/>
      <c r="B2300" s="603"/>
      <c r="C2300" s="109"/>
      <c r="D2300" s="594"/>
      <c r="E2300" s="594"/>
      <c r="F2300" s="594"/>
      <c r="G2300" s="756"/>
      <c r="H2300" s="824"/>
      <c r="I2300" s="825"/>
      <c r="J2300" s="826"/>
    </row>
    <row r="2301" ht="15.0" customHeight="1">
      <c r="A2301" s="834"/>
      <c r="B2301" s="603"/>
      <c r="C2301" s="109"/>
      <c r="D2301" s="594"/>
      <c r="E2301" s="594"/>
      <c r="F2301" s="594"/>
      <c r="G2301" s="756"/>
      <c r="H2301" s="824"/>
      <c r="I2301" s="825"/>
      <c r="J2301" s="826"/>
    </row>
    <row r="2302" ht="15.0" customHeight="1">
      <c r="A2302" s="834"/>
      <c r="B2302" s="603"/>
      <c r="C2302" s="109"/>
      <c r="D2302" s="594"/>
      <c r="E2302" s="594"/>
      <c r="F2302" s="594"/>
      <c r="G2302" s="756"/>
      <c r="H2302" s="824"/>
      <c r="I2302" s="825"/>
      <c r="J2302" s="826"/>
    </row>
    <row r="2303" ht="15.0" customHeight="1">
      <c r="A2303" s="834"/>
      <c r="B2303" s="603"/>
      <c r="C2303" s="109"/>
      <c r="D2303" s="594"/>
      <c r="E2303" s="594"/>
      <c r="F2303" s="594"/>
      <c r="G2303" s="756"/>
      <c r="H2303" s="824"/>
      <c r="I2303" s="825"/>
      <c r="J2303" s="826"/>
    </row>
    <row r="2304" ht="15.0" customHeight="1">
      <c r="A2304" s="834"/>
      <c r="B2304" s="603"/>
      <c r="C2304" s="109"/>
      <c r="D2304" s="594"/>
      <c r="E2304" s="594"/>
      <c r="F2304" s="594"/>
      <c r="G2304" s="756"/>
      <c r="H2304" s="824"/>
      <c r="I2304" s="825"/>
      <c r="J2304" s="826"/>
    </row>
    <row r="2305" ht="15.0" customHeight="1">
      <c r="A2305" s="834"/>
      <c r="B2305" s="603"/>
      <c r="C2305" s="109"/>
      <c r="D2305" s="594"/>
      <c r="E2305" s="594"/>
      <c r="F2305" s="594"/>
      <c r="G2305" s="756"/>
      <c r="H2305" s="824"/>
      <c r="I2305" s="825"/>
      <c r="J2305" s="826"/>
    </row>
    <row r="2306" ht="15.0" customHeight="1">
      <c r="A2306" s="834"/>
      <c r="B2306" s="603"/>
      <c r="C2306" s="109"/>
      <c r="D2306" s="594"/>
      <c r="E2306" s="594"/>
      <c r="F2306" s="594"/>
      <c r="G2306" s="756"/>
      <c r="H2306" s="824"/>
      <c r="I2306" s="825"/>
      <c r="J2306" s="826"/>
    </row>
    <row r="2307" ht="15.0" customHeight="1">
      <c r="A2307" s="834"/>
      <c r="B2307" s="603"/>
      <c r="C2307" s="109"/>
      <c r="D2307" s="594"/>
      <c r="E2307" s="594"/>
      <c r="F2307" s="594"/>
      <c r="G2307" s="756"/>
      <c r="H2307" s="824"/>
      <c r="I2307" s="825"/>
      <c r="J2307" s="826"/>
    </row>
    <row r="2308" ht="15.0" customHeight="1">
      <c r="A2308" s="834"/>
      <c r="B2308" s="603"/>
      <c r="C2308" s="109"/>
      <c r="D2308" s="594"/>
      <c r="E2308" s="594"/>
      <c r="F2308" s="594"/>
      <c r="G2308" s="756"/>
      <c r="H2308" s="824"/>
      <c r="I2308" s="825"/>
      <c r="J2308" s="826"/>
    </row>
    <row r="2309" ht="15.0" customHeight="1">
      <c r="A2309" s="834"/>
      <c r="B2309" s="603"/>
      <c r="C2309" s="109"/>
      <c r="D2309" s="594"/>
      <c r="E2309" s="594"/>
      <c r="F2309" s="594"/>
      <c r="G2309" s="756"/>
      <c r="H2309" s="824"/>
      <c r="I2309" s="825"/>
      <c r="J2309" s="826"/>
    </row>
    <row r="2310" ht="15.0" customHeight="1">
      <c r="A2310" s="834"/>
      <c r="B2310" s="603"/>
      <c r="C2310" s="109"/>
      <c r="D2310" s="594"/>
      <c r="E2310" s="594"/>
      <c r="F2310" s="594"/>
      <c r="G2310" s="756"/>
      <c r="H2310" s="824"/>
      <c r="I2310" s="825"/>
      <c r="J2310" s="826"/>
    </row>
    <row r="2311" ht="15.0" customHeight="1">
      <c r="A2311" s="834"/>
      <c r="B2311" s="603"/>
      <c r="C2311" s="109"/>
      <c r="D2311" s="594"/>
      <c r="E2311" s="594"/>
      <c r="F2311" s="594"/>
      <c r="G2311" s="756"/>
      <c r="H2311" s="824"/>
      <c r="I2311" s="825"/>
      <c r="J2311" s="826"/>
    </row>
    <row r="2312" ht="15.0" customHeight="1">
      <c r="A2312" s="834"/>
      <c r="B2312" s="603"/>
      <c r="C2312" s="109"/>
      <c r="D2312" s="594"/>
      <c r="E2312" s="594"/>
      <c r="F2312" s="594"/>
      <c r="G2312" s="756"/>
      <c r="H2312" s="824"/>
      <c r="I2312" s="825"/>
      <c r="J2312" s="826"/>
    </row>
    <row r="2313" ht="15.0" customHeight="1">
      <c r="A2313" s="834"/>
      <c r="B2313" s="603"/>
      <c r="C2313" s="109"/>
      <c r="D2313" s="594"/>
      <c r="E2313" s="594"/>
      <c r="F2313" s="594"/>
      <c r="G2313" s="756"/>
      <c r="H2313" s="824"/>
      <c r="I2313" s="825"/>
      <c r="J2313" s="826"/>
    </row>
    <row r="2314" ht="15.0" customHeight="1">
      <c r="A2314" s="834"/>
      <c r="B2314" s="603"/>
      <c r="C2314" s="109"/>
      <c r="D2314" s="594"/>
      <c r="E2314" s="594"/>
      <c r="F2314" s="594"/>
      <c r="G2314" s="756"/>
      <c r="H2314" s="824"/>
      <c r="I2314" s="825"/>
      <c r="J2314" s="826"/>
    </row>
    <row r="2315" ht="15.0" customHeight="1">
      <c r="A2315" s="834"/>
      <c r="B2315" s="603"/>
      <c r="C2315" s="109"/>
      <c r="D2315" s="594"/>
      <c r="E2315" s="594"/>
      <c r="F2315" s="594"/>
      <c r="G2315" s="756"/>
      <c r="H2315" s="824"/>
      <c r="I2315" s="825"/>
      <c r="J2315" s="826"/>
    </row>
    <row r="2316" ht="15.0" customHeight="1">
      <c r="A2316" s="834"/>
      <c r="B2316" s="603"/>
      <c r="C2316" s="109"/>
      <c r="D2316" s="594"/>
      <c r="E2316" s="594"/>
      <c r="F2316" s="594"/>
      <c r="G2316" s="756"/>
      <c r="H2316" s="824"/>
      <c r="I2316" s="825"/>
      <c r="J2316" s="826"/>
    </row>
    <row r="2317" ht="15.0" customHeight="1">
      <c r="A2317" s="834"/>
      <c r="B2317" s="603"/>
      <c r="C2317" s="109"/>
      <c r="D2317" s="594"/>
      <c r="E2317" s="594"/>
      <c r="F2317" s="594"/>
      <c r="G2317" s="756"/>
      <c r="H2317" s="824"/>
      <c r="I2317" s="825"/>
      <c r="J2317" s="826"/>
    </row>
    <row r="2318" ht="15.0" customHeight="1">
      <c r="A2318" s="834"/>
      <c r="B2318" s="603"/>
      <c r="C2318" s="109"/>
      <c r="D2318" s="594"/>
      <c r="E2318" s="594"/>
      <c r="F2318" s="594"/>
      <c r="G2318" s="756"/>
      <c r="H2318" s="824"/>
      <c r="I2318" s="825"/>
      <c r="J2318" s="826"/>
    </row>
    <row r="2319" ht="15.0" customHeight="1">
      <c r="A2319" s="834"/>
      <c r="B2319" s="603"/>
      <c r="C2319" s="109"/>
      <c r="D2319" s="594"/>
      <c r="E2319" s="594"/>
      <c r="F2319" s="594"/>
      <c r="G2319" s="756"/>
      <c r="H2319" s="824"/>
      <c r="I2319" s="825"/>
      <c r="J2319" s="826"/>
    </row>
    <row r="2320" ht="15.0" customHeight="1">
      <c r="A2320" s="834"/>
      <c r="B2320" s="603"/>
      <c r="C2320" s="109"/>
      <c r="D2320" s="594"/>
      <c r="E2320" s="594"/>
      <c r="F2320" s="594"/>
      <c r="G2320" s="756"/>
      <c r="H2320" s="824"/>
      <c r="I2320" s="825"/>
      <c r="J2320" s="826"/>
    </row>
    <row r="2321" ht="15.0" customHeight="1">
      <c r="A2321" s="834"/>
      <c r="B2321" s="603"/>
      <c r="C2321" s="109"/>
      <c r="D2321" s="594"/>
      <c r="E2321" s="594"/>
      <c r="F2321" s="594"/>
      <c r="G2321" s="756"/>
      <c r="H2321" s="824"/>
      <c r="I2321" s="825"/>
      <c r="J2321" s="826"/>
    </row>
    <row r="2322" ht="15.0" customHeight="1">
      <c r="A2322" s="834"/>
      <c r="B2322" s="603"/>
      <c r="C2322" s="109"/>
      <c r="D2322" s="594"/>
      <c r="E2322" s="594"/>
      <c r="F2322" s="594"/>
      <c r="G2322" s="756"/>
      <c r="H2322" s="824"/>
      <c r="I2322" s="825"/>
      <c r="J2322" s="826"/>
    </row>
    <row r="2323" ht="15.0" customHeight="1">
      <c r="A2323" s="834"/>
      <c r="B2323" s="603"/>
      <c r="C2323" s="109"/>
      <c r="D2323" s="594"/>
      <c r="E2323" s="594"/>
      <c r="F2323" s="594"/>
      <c r="G2323" s="756"/>
      <c r="H2323" s="824"/>
      <c r="I2323" s="825"/>
      <c r="J2323" s="826"/>
    </row>
    <row r="2324" ht="15.0" customHeight="1">
      <c r="A2324" s="834"/>
      <c r="B2324" s="603"/>
      <c r="C2324" s="109"/>
      <c r="D2324" s="594"/>
      <c r="E2324" s="594"/>
      <c r="F2324" s="594"/>
      <c r="G2324" s="756"/>
      <c r="H2324" s="824"/>
      <c r="I2324" s="825"/>
      <c r="J2324" s="826"/>
    </row>
    <row r="2325" ht="15.0" customHeight="1">
      <c r="A2325" s="834"/>
      <c r="B2325" s="603"/>
      <c r="C2325" s="109"/>
      <c r="D2325" s="594"/>
      <c r="E2325" s="594"/>
      <c r="F2325" s="594"/>
      <c r="G2325" s="756"/>
      <c r="H2325" s="824"/>
      <c r="I2325" s="825"/>
      <c r="J2325" s="826"/>
    </row>
    <row r="2326" ht="15.0" customHeight="1">
      <c r="A2326" s="834"/>
      <c r="B2326" s="603"/>
      <c r="C2326" s="109"/>
      <c r="D2326" s="594"/>
      <c r="E2326" s="594"/>
      <c r="F2326" s="594"/>
      <c r="G2326" s="756"/>
      <c r="H2326" s="824"/>
      <c r="I2326" s="825"/>
      <c r="J2326" s="826"/>
    </row>
    <row r="2327" ht="15.0" customHeight="1">
      <c r="A2327" s="834"/>
      <c r="B2327" s="603"/>
      <c r="C2327" s="109"/>
      <c r="D2327" s="594"/>
      <c r="E2327" s="594"/>
      <c r="F2327" s="594"/>
      <c r="G2327" s="756"/>
      <c r="H2327" s="824"/>
      <c r="I2327" s="825"/>
      <c r="J2327" s="826"/>
    </row>
    <row r="2328" ht="15.0" customHeight="1">
      <c r="A2328" s="834"/>
      <c r="B2328" s="603"/>
      <c r="C2328" s="109"/>
      <c r="D2328" s="594"/>
      <c r="E2328" s="594"/>
      <c r="F2328" s="594"/>
      <c r="G2328" s="756"/>
      <c r="H2328" s="824"/>
      <c r="I2328" s="825"/>
      <c r="J2328" s="826"/>
    </row>
    <row r="2329" ht="15.0" customHeight="1">
      <c r="A2329" s="834"/>
      <c r="B2329" s="603"/>
      <c r="C2329" s="109"/>
      <c r="D2329" s="594"/>
      <c r="E2329" s="594"/>
      <c r="F2329" s="594"/>
      <c r="G2329" s="756"/>
      <c r="H2329" s="824"/>
      <c r="I2329" s="825"/>
      <c r="J2329" s="826"/>
    </row>
    <row r="2330" ht="15.0" customHeight="1">
      <c r="A2330" s="834"/>
      <c r="B2330" s="603"/>
      <c r="C2330" s="109"/>
      <c r="D2330" s="594"/>
      <c r="E2330" s="594"/>
      <c r="F2330" s="594"/>
      <c r="G2330" s="756"/>
      <c r="H2330" s="824"/>
      <c r="I2330" s="825"/>
      <c r="J2330" s="826"/>
    </row>
    <row r="2331" ht="15.0" customHeight="1">
      <c r="A2331" s="834"/>
      <c r="B2331" s="603"/>
      <c r="C2331" s="109"/>
      <c r="D2331" s="594"/>
      <c r="E2331" s="594"/>
      <c r="F2331" s="594"/>
      <c r="G2331" s="756"/>
      <c r="H2331" s="824"/>
      <c r="I2331" s="825"/>
      <c r="J2331" s="826"/>
    </row>
    <row r="2332" ht="15.0" customHeight="1">
      <c r="A2332" s="834"/>
      <c r="B2332" s="603"/>
      <c r="C2332" s="109"/>
      <c r="D2332" s="594"/>
      <c r="E2332" s="594"/>
      <c r="F2332" s="594"/>
      <c r="G2332" s="756"/>
      <c r="H2332" s="824"/>
      <c r="I2332" s="825"/>
      <c r="J2332" s="826"/>
    </row>
    <row r="2333" ht="15.0" customHeight="1">
      <c r="A2333" s="834"/>
      <c r="B2333" s="603"/>
      <c r="C2333" s="109"/>
      <c r="D2333" s="594"/>
      <c r="E2333" s="594"/>
      <c r="F2333" s="594"/>
      <c r="G2333" s="756"/>
      <c r="H2333" s="824"/>
      <c r="I2333" s="825"/>
      <c r="J2333" s="826"/>
    </row>
    <row r="2334" ht="15.0" customHeight="1">
      <c r="A2334" s="834"/>
      <c r="B2334" s="603"/>
      <c r="C2334" s="109"/>
      <c r="D2334" s="594"/>
      <c r="E2334" s="594"/>
      <c r="F2334" s="594"/>
      <c r="G2334" s="756"/>
      <c r="H2334" s="824"/>
      <c r="I2334" s="825"/>
      <c r="J2334" s="826"/>
    </row>
    <row r="2335" ht="15.0" customHeight="1">
      <c r="A2335" s="834"/>
      <c r="B2335" s="603"/>
      <c r="C2335" s="109"/>
      <c r="D2335" s="594"/>
      <c r="E2335" s="594"/>
      <c r="F2335" s="594"/>
      <c r="G2335" s="756"/>
      <c r="H2335" s="824"/>
      <c r="I2335" s="825"/>
      <c r="J2335" s="826"/>
    </row>
    <row r="2336" ht="15.0" customHeight="1">
      <c r="A2336" s="834"/>
      <c r="B2336" s="603"/>
      <c r="C2336" s="109"/>
      <c r="D2336" s="594"/>
      <c r="E2336" s="594"/>
      <c r="F2336" s="594"/>
      <c r="G2336" s="756"/>
      <c r="H2336" s="824"/>
      <c r="I2336" s="825"/>
      <c r="J2336" s="826"/>
    </row>
    <row r="2337" ht="15.0" customHeight="1">
      <c r="A2337" s="834"/>
      <c r="B2337" s="603"/>
      <c r="C2337" s="109"/>
      <c r="D2337" s="594"/>
      <c r="E2337" s="594"/>
      <c r="F2337" s="594"/>
      <c r="G2337" s="756"/>
      <c r="H2337" s="824"/>
      <c r="I2337" s="825"/>
      <c r="J2337" s="826"/>
    </row>
    <row r="2338" ht="15.0" customHeight="1">
      <c r="A2338" s="834"/>
      <c r="B2338" s="603"/>
      <c r="C2338" s="109"/>
      <c r="D2338" s="594"/>
      <c r="E2338" s="594"/>
      <c r="F2338" s="594"/>
      <c r="G2338" s="756"/>
      <c r="H2338" s="824"/>
      <c r="I2338" s="825"/>
      <c r="J2338" s="826"/>
    </row>
    <row r="2339" ht="15.0" customHeight="1">
      <c r="A2339" s="834"/>
      <c r="B2339" s="603"/>
      <c r="C2339" s="109"/>
      <c r="D2339" s="594"/>
      <c r="E2339" s="594"/>
      <c r="F2339" s="594"/>
      <c r="G2339" s="756"/>
      <c r="H2339" s="824"/>
      <c r="I2339" s="825"/>
      <c r="J2339" s="826"/>
    </row>
    <row r="2340" ht="15.0" customHeight="1">
      <c r="A2340" s="834"/>
      <c r="B2340" s="603"/>
      <c r="C2340" s="109"/>
      <c r="D2340" s="594"/>
      <c r="E2340" s="594"/>
      <c r="F2340" s="594"/>
      <c r="G2340" s="756"/>
      <c r="H2340" s="824"/>
      <c r="I2340" s="825"/>
      <c r="J2340" s="826"/>
    </row>
    <row r="2341" ht="15.0" customHeight="1">
      <c r="A2341" s="834"/>
      <c r="B2341" s="603"/>
      <c r="C2341" s="109"/>
      <c r="D2341" s="594"/>
      <c r="E2341" s="594"/>
      <c r="F2341" s="594"/>
      <c r="G2341" s="756"/>
      <c r="H2341" s="824"/>
      <c r="I2341" s="825"/>
      <c r="J2341" s="826"/>
    </row>
    <row r="2342" ht="15.0" customHeight="1">
      <c r="A2342" s="834"/>
      <c r="B2342" s="603"/>
      <c r="C2342" s="109"/>
      <c r="D2342" s="594"/>
      <c r="E2342" s="594"/>
      <c r="F2342" s="594"/>
      <c r="G2342" s="756"/>
      <c r="H2342" s="824"/>
      <c r="I2342" s="825"/>
      <c r="J2342" s="826"/>
    </row>
    <row r="2343" ht="15.0" customHeight="1">
      <c r="A2343" s="834"/>
      <c r="B2343" s="603"/>
      <c r="C2343" s="109"/>
      <c r="D2343" s="594"/>
      <c r="E2343" s="594"/>
      <c r="F2343" s="594"/>
      <c r="G2343" s="756"/>
      <c r="H2343" s="824"/>
      <c r="I2343" s="825"/>
      <c r="J2343" s="826"/>
    </row>
    <row r="2344" ht="15.0" customHeight="1">
      <c r="A2344" s="834"/>
      <c r="B2344" s="603"/>
      <c r="C2344" s="109"/>
      <c r="D2344" s="594"/>
      <c r="E2344" s="594"/>
      <c r="F2344" s="594"/>
      <c r="G2344" s="756"/>
      <c r="H2344" s="824"/>
      <c r="I2344" s="825"/>
      <c r="J2344" s="826"/>
    </row>
    <row r="2345" ht="15.0" customHeight="1">
      <c r="A2345" s="834"/>
      <c r="B2345" s="603"/>
      <c r="C2345" s="109"/>
      <c r="D2345" s="594"/>
      <c r="E2345" s="594"/>
      <c r="F2345" s="594"/>
      <c r="G2345" s="756"/>
      <c r="H2345" s="824"/>
      <c r="I2345" s="825"/>
      <c r="J2345" s="826"/>
    </row>
    <row r="2346" ht="15.0" customHeight="1">
      <c r="A2346" s="834"/>
      <c r="B2346" s="603"/>
      <c r="C2346" s="109"/>
      <c r="D2346" s="594"/>
      <c r="E2346" s="594"/>
      <c r="F2346" s="594"/>
      <c r="G2346" s="756"/>
      <c r="H2346" s="824"/>
      <c r="I2346" s="825"/>
      <c r="J2346" s="826"/>
    </row>
    <row r="2347" ht="15.0" customHeight="1">
      <c r="A2347" s="834"/>
      <c r="B2347" s="603"/>
      <c r="C2347" s="109"/>
      <c r="D2347" s="594"/>
      <c r="E2347" s="594"/>
      <c r="F2347" s="594"/>
      <c r="G2347" s="756"/>
      <c r="H2347" s="824"/>
      <c r="I2347" s="825"/>
      <c r="J2347" s="826"/>
    </row>
    <row r="2348" ht="15.0" customHeight="1">
      <c r="A2348" s="834"/>
      <c r="B2348" s="603"/>
      <c r="C2348" s="109"/>
      <c r="D2348" s="594"/>
      <c r="E2348" s="594"/>
      <c r="F2348" s="594"/>
      <c r="G2348" s="756"/>
      <c r="H2348" s="824"/>
      <c r="I2348" s="825"/>
      <c r="J2348" s="826"/>
    </row>
    <row r="2349" ht="15.0" customHeight="1">
      <c r="A2349" s="834"/>
      <c r="B2349" s="603"/>
      <c r="C2349" s="109"/>
      <c r="D2349" s="594"/>
      <c r="E2349" s="594"/>
      <c r="F2349" s="594"/>
      <c r="G2349" s="756"/>
      <c r="H2349" s="824"/>
      <c r="I2349" s="825"/>
      <c r="J2349" s="826"/>
    </row>
    <row r="2350" ht="15.0" customHeight="1">
      <c r="A2350" s="834"/>
      <c r="B2350" s="603"/>
      <c r="C2350" s="109"/>
      <c r="D2350" s="594"/>
      <c r="E2350" s="594"/>
      <c r="F2350" s="594"/>
      <c r="G2350" s="756"/>
      <c r="H2350" s="824"/>
      <c r="I2350" s="825"/>
      <c r="J2350" s="826"/>
    </row>
    <row r="2351" ht="15.0" customHeight="1">
      <c r="A2351" s="834"/>
      <c r="B2351" s="603"/>
      <c r="C2351" s="109"/>
      <c r="D2351" s="594"/>
      <c r="E2351" s="594"/>
      <c r="F2351" s="594"/>
      <c r="G2351" s="756"/>
      <c r="H2351" s="824"/>
      <c r="I2351" s="825"/>
      <c r="J2351" s="826"/>
    </row>
    <row r="2352" ht="15.0" customHeight="1">
      <c r="A2352" s="834"/>
      <c r="B2352" s="603"/>
      <c r="C2352" s="109"/>
      <c r="D2352" s="594"/>
      <c r="E2352" s="594"/>
      <c r="F2352" s="594"/>
      <c r="G2352" s="756"/>
      <c r="H2352" s="824"/>
      <c r="I2352" s="825"/>
      <c r="J2352" s="826"/>
    </row>
    <row r="2353" ht="15.0" customHeight="1">
      <c r="A2353" s="834"/>
      <c r="B2353" s="603"/>
      <c r="C2353" s="109"/>
      <c r="D2353" s="594"/>
      <c r="E2353" s="594"/>
      <c r="F2353" s="594"/>
      <c r="G2353" s="756"/>
      <c r="H2353" s="824"/>
      <c r="I2353" s="825"/>
      <c r="J2353" s="826"/>
    </row>
    <row r="2354" ht="15.0" customHeight="1">
      <c r="A2354" s="834"/>
      <c r="B2354" s="603"/>
      <c r="C2354" s="109"/>
      <c r="D2354" s="594"/>
      <c r="E2354" s="594"/>
      <c r="F2354" s="594"/>
      <c r="G2354" s="756"/>
      <c r="H2354" s="824"/>
      <c r="I2354" s="825"/>
      <c r="J2354" s="826"/>
    </row>
    <row r="2355" ht="15.0" customHeight="1">
      <c r="A2355" s="834"/>
      <c r="B2355" s="603"/>
      <c r="C2355" s="109"/>
      <c r="D2355" s="594"/>
      <c r="E2355" s="594"/>
      <c r="F2355" s="594"/>
      <c r="G2355" s="756"/>
      <c r="H2355" s="824"/>
      <c r="I2355" s="825"/>
      <c r="J2355" s="826"/>
    </row>
    <row r="2356" ht="15.0" customHeight="1">
      <c r="A2356" s="834"/>
      <c r="B2356" s="603"/>
      <c r="C2356" s="109"/>
      <c r="D2356" s="594"/>
      <c r="E2356" s="594"/>
      <c r="F2356" s="594"/>
      <c r="G2356" s="756"/>
      <c r="H2356" s="824"/>
      <c r="I2356" s="825"/>
      <c r="J2356" s="826"/>
    </row>
    <row r="2357" ht="15.0" customHeight="1">
      <c r="A2357" s="834"/>
      <c r="B2357" s="603"/>
      <c r="C2357" s="109"/>
      <c r="D2357" s="594"/>
      <c r="E2357" s="594"/>
      <c r="F2357" s="594"/>
      <c r="G2357" s="756"/>
      <c r="H2357" s="824"/>
      <c r="I2357" s="825"/>
      <c r="J2357" s="826"/>
    </row>
    <row r="2358" ht="15.0" customHeight="1">
      <c r="A2358" s="834"/>
      <c r="B2358" s="603"/>
      <c r="C2358" s="109"/>
      <c r="D2358" s="594"/>
      <c r="E2358" s="594"/>
      <c r="F2358" s="594"/>
      <c r="G2358" s="756"/>
      <c r="H2358" s="824"/>
      <c r="I2358" s="825"/>
      <c r="J2358" s="826"/>
    </row>
    <row r="2359" ht="15.0" customHeight="1">
      <c r="A2359" s="834"/>
      <c r="B2359" s="603"/>
      <c r="C2359" s="109"/>
      <c r="D2359" s="594"/>
      <c r="E2359" s="594"/>
      <c r="F2359" s="594"/>
      <c r="G2359" s="756"/>
      <c r="H2359" s="824"/>
      <c r="I2359" s="825"/>
      <c r="J2359" s="826"/>
    </row>
    <row r="2360" ht="15.0" customHeight="1">
      <c r="A2360" s="834"/>
      <c r="B2360" s="603"/>
      <c r="C2360" s="109"/>
      <c r="D2360" s="594"/>
      <c r="E2360" s="594"/>
      <c r="F2360" s="594"/>
      <c r="G2360" s="756"/>
      <c r="H2360" s="824"/>
      <c r="I2360" s="825"/>
      <c r="J2360" s="826"/>
    </row>
    <row r="2361" ht="15.0" customHeight="1">
      <c r="A2361" s="834"/>
      <c r="B2361" s="603"/>
      <c r="C2361" s="109"/>
      <c r="D2361" s="594"/>
      <c r="E2361" s="594"/>
      <c r="F2361" s="594"/>
      <c r="G2361" s="756"/>
      <c r="H2361" s="824"/>
      <c r="I2361" s="825"/>
      <c r="J2361" s="826"/>
    </row>
    <row r="2362" ht="15.0" customHeight="1">
      <c r="A2362" s="834"/>
      <c r="B2362" s="603"/>
      <c r="C2362" s="109"/>
      <c r="D2362" s="594"/>
      <c r="E2362" s="594"/>
      <c r="F2362" s="594"/>
      <c r="G2362" s="756"/>
      <c r="H2362" s="824"/>
      <c r="I2362" s="825"/>
      <c r="J2362" s="826"/>
    </row>
    <row r="2363" ht="15.0" customHeight="1">
      <c r="A2363" s="834"/>
      <c r="B2363" s="603"/>
      <c r="C2363" s="109"/>
      <c r="D2363" s="594"/>
      <c r="E2363" s="594"/>
      <c r="F2363" s="594"/>
      <c r="G2363" s="756"/>
      <c r="H2363" s="824"/>
      <c r="I2363" s="825"/>
      <c r="J2363" s="826"/>
    </row>
    <row r="2364" ht="15.0" customHeight="1">
      <c r="A2364" s="834"/>
      <c r="B2364" s="603"/>
      <c r="C2364" s="109"/>
      <c r="D2364" s="594"/>
      <c r="E2364" s="594"/>
      <c r="F2364" s="594"/>
      <c r="G2364" s="756"/>
      <c r="H2364" s="824"/>
      <c r="I2364" s="825"/>
      <c r="J2364" s="826"/>
    </row>
    <row r="2365" ht="15.0" customHeight="1">
      <c r="A2365" s="834"/>
      <c r="B2365" s="603"/>
      <c r="C2365" s="109"/>
      <c r="D2365" s="594"/>
      <c r="E2365" s="594"/>
      <c r="F2365" s="594"/>
      <c r="G2365" s="756"/>
      <c r="H2365" s="824"/>
      <c r="I2365" s="825"/>
      <c r="J2365" s="826"/>
    </row>
    <row r="2366" ht="15.0" customHeight="1">
      <c r="A2366" s="834"/>
      <c r="B2366" s="603"/>
      <c r="C2366" s="109"/>
      <c r="D2366" s="594"/>
      <c r="E2366" s="594"/>
      <c r="F2366" s="594"/>
      <c r="G2366" s="756"/>
      <c r="H2366" s="824"/>
      <c r="I2366" s="825"/>
      <c r="J2366" s="826"/>
    </row>
    <row r="2367" ht="15.0" customHeight="1">
      <c r="A2367" s="834"/>
      <c r="B2367" s="603"/>
      <c r="C2367" s="109"/>
      <c r="D2367" s="594"/>
      <c r="E2367" s="594"/>
      <c r="F2367" s="594"/>
      <c r="G2367" s="756"/>
      <c r="H2367" s="824"/>
      <c r="I2367" s="825"/>
      <c r="J2367" s="826"/>
    </row>
    <row r="2368" ht="15.0" customHeight="1">
      <c r="A2368" s="834"/>
      <c r="B2368" s="603"/>
      <c r="C2368" s="109"/>
      <c r="D2368" s="594"/>
      <c r="E2368" s="594"/>
      <c r="F2368" s="594"/>
      <c r="G2368" s="756"/>
      <c r="H2368" s="824"/>
      <c r="I2368" s="825"/>
      <c r="J2368" s="826"/>
    </row>
    <row r="2369" ht="15.0" customHeight="1">
      <c r="A2369" s="834"/>
      <c r="B2369" s="603"/>
      <c r="C2369" s="109"/>
      <c r="D2369" s="594"/>
      <c r="E2369" s="594"/>
      <c r="F2369" s="594"/>
      <c r="G2369" s="756"/>
      <c r="H2369" s="824"/>
      <c r="I2369" s="825"/>
      <c r="J2369" s="826"/>
    </row>
    <row r="2370" ht="15.0" customHeight="1">
      <c r="A2370" s="834"/>
      <c r="B2370" s="603"/>
      <c r="C2370" s="109"/>
      <c r="D2370" s="594"/>
      <c r="E2370" s="594"/>
      <c r="F2370" s="594"/>
      <c r="G2370" s="756"/>
      <c r="H2370" s="824"/>
      <c r="I2370" s="825"/>
      <c r="J2370" s="826"/>
    </row>
    <row r="2371" ht="15.0" customHeight="1">
      <c r="A2371" s="834"/>
      <c r="B2371" s="603"/>
      <c r="C2371" s="109"/>
      <c r="D2371" s="594"/>
      <c r="E2371" s="594"/>
      <c r="F2371" s="594"/>
      <c r="G2371" s="756"/>
      <c r="H2371" s="824"/>
      <c r="I2371" s="825"/>
      <c r="J2371" s="826"/>
    </row>
    <row r="2372" ht="15.0" customHeight="1">
      <c r="A2372" s="834"/>
      <c r="B2372" s="603"/>
      <c r="C2372" s="109"/>
      <c r="D2372" s="594"/>
      <c r="E2372" s="594"/>
      <c r="F2372" s="594"/>
      <c r="G2372" s="756"/>
      <c r="H2372" s="824"/>
      <c r="I2372" s="825"/>
      <c r="J2372" s="826"/>
    </row>
    <row r="2373" ht="15.0" customHeight="1">
      <c r="A2373" s="834"/>
      <c r="B2373" s="603"/>
      <c r="C2373" s="109"/>
      <c r="D2373" s="594"/>
      <c r="E2373" s="594"/>
      <c r="F2373" s="594"/>
      <c r="G2373" s="756"/>
      <c r="H2373" s="824"/>
      <c r="I2373" s="825"/>
      <c r="J2373" s="826"/>
    </row>
    <row r="2374" ht="15.0" customHeight="1">
      <c r="A2374" s="834"/>
      <c r="B2374" s="603"/>
      <c r="C2374" s="109"/>
      <c r="D2374" s="594"/>
      <c r="E2374" s="594"/>
      <c r="F2374" s="594"/>
      <c r="G2374" s="756"/>
      <c r="H2374" s="824"/>
      <c r="I2374" s="825"/>
      <c r="J2374" s="826"/>
    </row>
    <row r="2375" ht="15.0" customHeight="1">
      <c r="A2375" s="834"/>
      <c r="B2375" s="603"/>
      <c r="C2375" s="109"/>
      <c r="D2375" s="594"/>
      <c r="E2375" s="594"/>
      <c r="F2375" s="594"/>
      <c r="G2375" s="756"/>
      <c r="H2375" s="824"/>
      <c r="I2375" s="825"/>
      <c r="J2375" s="826"/>
    </row>
    <row r="2376" ht="15.0" customHeight="1">
      <c r="A2376" s="834"/>
      <c r="B2376" s="603"/>
      <c r="C2376" s="109"/>
      <c r="D2376" s="594"/>
      <c r="E2376" s="594"/>
      <c r="F2376" s="594"/>
      <c r="G2376" s="756"/>
      <c r="H2376" s="824"/>
      <c r="I2376" s="825"/>
      <c r="J2376" s="826"/>
    </row>
    <row r="2377" ht="15.0" customHeight="1">
      <c r="A2377" s="834"/>
      <c r="B2377" s="603"/>
      <c r="C2377" s="109"/>
      <c r="D2377" s="594"/>
      <c r="E2377" s="594"/>
      <c r="F2377" s="594"/>
      <c r="G2377" s="756"/>
      <c r="H2377" s="824"/>
      <c r="I2377" s="825"/>
      <c r="J2377" s="826"/>
    </row>
    <row r="2378" ht="15.0" customHeight="1">
      <c r="A2378" s="834"/>
      <c r="B2378" s="603"/>
      <c r="C2378" s="109"/>
      <c r="D2378" s="594"/>
      <c r="E2378" s="594"/>
      <c r="F2378" s="594"/>
      <c r="G2378" s="756"/>
      <c r="H2378" s="824"/>
      <c r="I2378" s="825"/>
      <c r="J2378" s="826"/>
    </row>
    <row r="2379" ht="15.0" customHeight="1">
      <c r="A2379" s="834"/>
      <c r="B2379" s="603"/>
      <c r="C2379" s="109"/>
      <c r="D2379" s="594"/>
      <c r="E2379" s="594"/>
      <c r="F2379" s="594"/>
      <c r="G2379" s="756"/>
      <c r="H2379" s="824"/>
      <c r="I2379" s="825"/>
      <c r="J2379" s="826"/>
    </row>
    <row r="2380" ht="15.0" customHeight="1">
      <c r="A2380" s="834"/>
      <c r="B2380" s="603"/>
      <c r="C2380" s="109"/>
      <c r="D2380" s="594"/>
      <c r="E2380" s="594"/>
      <c r="F2380" s="594"/>
      <c r="G2380" s="756"/>
      <c r="H2380" s="824"/>
      <c r="I2380" s="825"/>
      <c r="J2380" s="826"/>
    </row>
    <row r="2381" ht="15.0" customHeight="1">
      <c r="A2381" s="834"/>
      <c r="B2381" s="603"/>
      <c r="C2381" s="109"/>
      <c r="D2381" s="594"/>
      <c r="E2381" s="594"/>
      <c r="F2381" s="594"/>
      <c r="G2381" s="756"/>
      <c r="H2381" s="824"/>
      <c r="I2381" s="825"/>
      <c r="J2381" s="826"/>
    </row>
    <row r="2382" ht="15.0" customHeight="1">
      <c r="A2382" s="834"/>
      <c r="B2382" s="603"/>
      <c r="C2382" s="109"/>
      <c r="D2382" s="594"/>
      <c r="E2382" s="594"/>
      <c r="F2382" s="594"/>
      <c r="G2382" s="756"/>
      <c r="H2382" s="824"/>
      <c r="I2382" s="825"/>
      <c r="J2382" s="826"/>
    </row>
    <row r="2383" ht="15.0" customHeight="1">
      <c r="A2383" s="834"/>
      <c r="B2383" s="603"/>
      <c r="C2383" s="109"/>
      <c r="D2383" s="594"/>
      <c r="E2383" s="594"/>
      <c r="F2383" s="594"/>
      <c r="G2383" s="756"/>
      <c r="H2383" s="824"/>
      <c r="I2383" s="825"/>
      <c r="J2383" s="826"/>
    </row>
    <row r="2384" ht="15.0" customHeight="1">
      <c r="A2384" s="834"/>
      <c r="B2384" s="603"/>
      <c r="C2384" s="109"/>
      <c r="D2384" s="594"/>
      <c r="E2384" s="594"/>
      <c r="F2384" s="594"/>
      <c r="G2384" s="756"/>
      <c r="H2384" s="824"/>
      <c r="I2384" s="825"/>
      <c r="J2384" s="826"/>
    </row>
    <row r="2385" ht="15.0" customHeight="1">
      <c r="A2385" s="834"/>
      <c r="B2385" s="603"/>
      <c r="C2385" s="109"/>
      <c r="D2385" s="594"/>
      <c r="E2385" s="594"/>
      <c r="F2385" s="594"/>
      <c r="G2385" s="756"/>
      <c r="H2385" s="824"/>
      <c r="I2385" s="825"/>
      <c r="J2385" s="826"/>
    </row>
    <row r="2386" ht="15.0" customHeight="1">
      <c r="A2386" s="834"/>
      <c r="B2386" s="603"/>
      <c r="C2386" s="109"/>
      <c r="D2386" s="594"/>
      <c r="E2386" s="594"/>
      <c r="F2386" s="594"/>
      <c r="G2386" s="756"/>
      <c r="H2386" s="824"/>
      <c r="I2386" s="825"/>
      <c r="J2386" s="826"/>
    </row>
    <row r="2387" ht="15.0" customHeight="1">
      <c r="A2387" s="834"/>
      <c r="B2387" s="603"/>
      <c r="C2387" s="109"/>
      <c r="D2387" s="594"/>
      <c r="E2387" s="594"/>
      <c r="F2387" s="594"/>
      <c r="G2387" s="756"/>
      <c r="H2387" s="824"/>
      <c r="I2387" s="825"/>
      <c r="J2387" s="826"/>
    </row>
    <row r="2388" ht="15.0" customHeight="1">
      <c r="A2388" s="834"/>
      <c r="B2388" s="603"/>
      <c r="C2388" s="109"/>
      <c r="D2388" s="594"/>
      <c r="E2388" s="594"/>
      <c r="F2388" s="594"/>
      <c r="G2388" s="756"/>
      <c r="H2388" s="824"/>
      <c r="I2388" s="825"/>
      <c r="J2388" s="826"/>
    </row>
    <row r="2389" ht="15.0" customHeight="1">
      <c r="A2389" s="834"/>
      <c r="B2389" s="603"/>
      <c r="C2389" s="109"/>
      <c r="D2389" s="594"/>
      <c r="E2389" s="594"/>
      <c r="F2389" s="594"/>
      <c r="G2389" s="756"/>
      <c r="H2389" s="824"/>
      <c r="I2389" s="825"/>
      <c r="J2389" s="826"/>
    </row>
    <row r="2390" ht="15.0" customHeight="1">
      <c r="A2390" s="834"/>
      <c r="B2390" s="603"/>
      <c r="C2390" s="109"/>
      <c r="D2390" s="594"/>
      <c r="E2390" s="594"/>
      <c r="F2390" s="594"/>
      <c r="G2390" s="756"/>
      <c r="H2390" s="824"/>
      <c r="I2390" s="825"/>
      <c r="J2390" s="826"/>
    </row>
    <row r="2391" ht="15.0" customHeight="1">
      <c r="A2391" s="834"/>
      <c r="B2391" s="603"/>
      <c r="C2391" s="109"/>
      <c r="D2391" s="594"/>
      <c r="E2391" s="594"/>
      <c r="F2391" s="594"/>
      <c r="G2391" s="756"/>
      <c r="H2391" s="824"/>
      <c r="I2391" s="825"/>
      <c r="J2391" s="826"/>
    </row>
    <row r="2392" ht="15.0" customHeight="1">
      <c r="A2392" s="834"/>
      <c r="B2392" s="603"/>
      <c r="C2392" s="109"/>
      <c r="D2392" s="594"/>
      <c r="E2392" s="594"/>
      <c r="F2392" s="594"/>
      <c r="G2392" s="756"/>
      <c r="H2392" s="824"/>
      <c r="I2392" s="825"/>
      <c r="J2392" s="826"/>
    </row>
    <row r="2393" ht="15.0" customHeight="1">
      <c r="A2393" s="834"/>
      <c r="B2393" s="603"/>
      <c r="C2393" s="109"/>
      <c r="D2393" s="594"/>
      <c r="E2393" s="594"/>
      <c r="F2393" s="594"/>
      <c r="G2393" s="756"/>
      <c r="H2393" s="824"/>
      <c r="I2393" s="825"/>
      <c r="J2393" s="826"/>
    </row>
    <row r="2394" ht="15.0" customHeight="1">
      <c r="A2394" s="834"/>
      <c r="B2394" s="603"/>
      <c r="C2394" s="109"/>
      <c r="D2394" s="594"/>
      <c r="E2394" s="594"/>
      <c r="F2394" s="594"/>
      <c r="G2394" s="756"/>
      <c r="H2394" s="824"/>
      <c r="I2394" s="825"/>
      <c r="J2394" s="826"/>
    </row>
    <row r="2395" ht="15.0" customHeight="1">
      <c r="A2395" s="834"/>
      <c r="B2395" s="603"/>
      <c r="C2395" s="109"/>
      <c r="D2395" s="594"/>
      <c r="E2395" s="594"/>
      <c r="F2395" s="594"/>
      <c r="G2395" s="756"/>
      <c r="H2395" s="824"/>
      <c r="I2395" s="825"/>
      <c r="J2395" s="826"/>
    </row>
    <row r="2396" ht="15.0" customHeight="1">
      <c r="A2396" s="834"/>
      <c r="B2396" s="603"/>
      <c r="C2396" s="109"/>
      <c r="D2396" s="594"/>
      <c r="E2396" s="594"/>
      <c r="F2396" s="594"/>
      <c r="G2396" s="756"/>
      <c r="H2396" s="824"/>
      <c r="I2396" s="825"/>
      <c r="J2396" s="826"/>
    </row>
    <row r="2397" ht="15.0" customHeight="1">
      <c r="A2397" s="834"/>
      <c r="B2397" s="603"/>
      <c r="C2397" s="109"/>
      <c r="D2397" s="594"/>
      <c r="E2397" s="594"/>
      <c r="F2397" s="594"/>
      <c r="G2397" s="756"/>
      <c r="H2397" s="824"/>
      <c r="I2397" s="825"/>
      <c r="J2397" s="826"/>
    </row>
    <row r="2398" ht="15.0" customHeight="1">
      <c r="A2398" s="834"/>
      <c r="B2398" s="603"/>
      <c r="C2398" s="109"/>
      <c r="D2398" s="594"/>
      <c r="E2398" s="594"/>
      <c r="F2398" s="594"/>
      <c r="G2398" s="756"/>
      <c r="H2398" s="824"/>
      <c r="I2398" s="825"/>
      <c r="J2398" s="826"/>
    </row>
    <row r="2399" ht="15.0" customHeight="1">
      <c r="A2399" s="834"/>
      <c r="B2399" s="603"/>
      <c r="C2399" s="109"/>
      <c r="D2399" s="594"/>
      <c r="E2399" s="594"/>
      <c r="F2399" s="594"/>
      <c r="G2399" s="756"/>
      <c r="H2399" s="824"/>
      <c r="I2399" s="825"/>
      <c r="J2399" s="826"/>
    </row>
    <row r="2400" ht="15.0" customHeight="1">
      <c r="A2400" s="834"/>
      <c r="B2400" s="603"/>
      <c r="C2400" s="109"/>
      <c r="D2400" s="594"/>
      <c r="E2400" s="594"/>
      <c r="F2400" s="594"/>
      <c r="G2400" s="756"/>
      <c r="H2400" s="824"/>
      <c r="I2400" s="825"/>
      <c r="J2400" s="826"/>
    </row>
    <row r="2401" ht="15.0" customHeight="1">
      <c r="A2401" s="834"/>
      <c r="B2401" s="603"/>
      <c r="C2401" s="109"/>
      <c r="D2401" s="594"/>
      <c r="E2401" s="594"/>
      <c r="F2401" s="594"/>
      <c r="G2401" s="756"/>
      <c r="H2401" s="824"/>
      <c r="I2401" s="825"/>
      <c r="J2401" s="826"/>
    </row>
    <row r="2402" ht="15.0" customHeight="1">
      <c r="A2402" s="834"/>
      <c r="B2402" s="603"/>
      <c r="C2402" s="109"/>
      <c r="D2402" s="594"/>
      <c r="E2402" s="594"/>
      <c r="F2402" s="594"/>
      <c r="G2402" s="756"/>
      <c r="H2402" s="824"/>
      <c r="I2402" s="825"/>
      <c r="J2402" s="826"/>
    </row>
    <row r="2403" ht="15.0" customHeight="1">
      <c r="A2403" s="834"/>
      <c r="B2403" s="603"/>
      <c r="C2403" s="109"/>
      <c r="D2403" s="594"/>
      <c r="E2403" s="594"/>
      <c r="F2403" s="594"/>
      <c r="G2403" s="756"/>
      <c r="H2403" s="824"/>
      <c r="I2403" s="825"/>
      <c r="J2403" s="826"/>
    </row>
    <row r="2404" ht="15.0" customHeight="1">
      <c r="A2404" s="834"/>
      <c r="B2404" s="603"/>
      <c r="C2404" s="109"/>
      <c r="D2404" s="594"/>
      <c r="E2404" s="594"/>
      <c r="F2404" s="594"/>
      <c r="G2404" s="756"/>
      <c r="H2404" s="824"/>
      <c r="I2404" s="825"/>
      <c r="J2404" s="826"/>
    </row>
    <row r="2405" ht="15.0" customHeight="1">
      <c r="A2405" s="834"/>
      <c r="B2405" s="603"/>
      <c r="C2405" s="109"/>
      <c r="D2405" s="594"/>
      <c r="E2405" s="594"/>
      <c r="F2405" s="594"/>
      <c r="G2405" s="756"/>
      <c r="H2405" s="824"/>
      <c r="I2405" s="825"/>
      <c r="J2405" s="826"/>
    </row>
    <row r="2406" ht="15.0" customHeight="1">
      <c r="A2406" s="834"/>
      <c r="B2406" s="603"/>
      <c r="C2406" s="109"/>
      <c r="D2406" s="594"/>
      <c r="E2406" s="594"/>
      <c r="F2406" s="594"/>
      <c r="G2406" s="756"/>
      <c r="H2406" s="824"/>
      <c r="I2406" s="825"/>
      <c r="J2406" s="826"/>
    </row>
    <row r="2407" ht="15.0" customHeight="1">
      <c r="A2407" s="834"/>
      <c r="B2407" s="603"/>
      <c r="C2407" s="109"/>
      <c r="D2407" s="594"/>
      <c r="E2407" s="594"/>
      <c r="F2407" s="594"/>
      <c r="G2407" s="756"/>
      <c r="H2407" s="824"/>
      <c r="I2407" s="825"/>
      <c r="J2407" s="826"/>
    </row>
    <row r="2408" ht="15.0" customHeight="1">
      <c r="A2408" s="834"/>
      <c r="B2408" s="603"/>
      <c r="C2408" s="109"/>
      <c r="D2408" s="594"/>
      <c r="E2408" s="594"/>
      <c r="F2408" s="594"/>
      <c r="G2408" s="756"/>
      <c r="H2408" s="824"/>
      <c r="I2408" s="825"/>
      <c r="J2408" s="826"/>
    </row>
    <row r="2409" ht="15.0" customHeight="1">
      <c r="A2409" s="834"/>
      <c r="B2409" s="603"/>
      <c r="C2409" s="109"/>
      <c r="D2409" s="594"/>
      <c r="E2409" s="594"/>
      <c r="F2409" s="594"/>
      <c r="G2409" s="756"/>
      <c r="H2409" s="824"/>
      <c r="I2409" s="825"/>
      <c r="J2409" s="826"/>
    </row>
    <row r="2410" ht="15.0" customHeight="1">
      <c r="A2410" s="834"/>
      <c r="B2410" s="603"/>
      <c r="C2410" s="109"/>
      <c r="D2410" s="594"/>
      <c r="E2410" s="594"/>
      <c r="F2410" s="594"/>
      <c r="G2410" s="756"/>
      <c r="H2410" s="824"/>
      <c r="I2410" s="825"/>
      <c r="J2410" s="826"/>
    </row>
    <row r="2411" ht="15.0" customHeight="1">
      <c r="A2411" s="834"/>
      <c r="B2411" s="603"/>
      <c r="C2411" s="109"/>
      <c r="D2411" s="594"/>
      <c r="E2411" s="594"/>
      <c r="F2411" s="594"/>
      <c r="G2411" s="756"/>
      <c r="H2411" s="824"/>
      <c r="I2411" s="825"/>
      <c r="J2411" s="826"/>
    </row>
    <row r="2412" ht="15.0" customHeight="1">
      <c r="A2412" s="834"/>
      <c r="B2412" s="603"/>
      <c r="C2412" s="109"/>
      <c r="D2412" s="594"/>
      <c r="E2412" s="594"/>
      <c r="F2412" s="594"/>
      <c r="G2412" s="756"/>
      <c r="H2412" s="824"/>
      <c r="I2412" s="825"/>
      <c r="J2412" s="826"/>
    </row>
    <row r="2413" ht="15.0" customHeight="1">
      <c r="A2413" s="834"/>
      <c r="B2413" s="603"/>
      <c r="C2413" s="109"/>
      <c r="D2413" s="594"/>
      <c r="E2413" s="594"/>
      <c r="F2413" s="594"/>
      <c r="G2413" s="756"/>
      <c r="H2413" s="824"/>
      <c r="I2413" s="825"/>
      <c r="J2413" s="826"/>
    </row>
    <row r="2414" ht="15.0" customHeight="1">
      <c r="A2414" s="834"/>
      <c r="B2414" s="603"/>
      <c r="C2414" s="109"/>
      <c r="D2414" s="594"/>
      <c r="E2414" s="594"/>
      <c r="F2414" s="594"/>
      <c r="G2414" s="756"/>
      <c r="H2414" s="824"/>
      <c r="I2414" s="825"/>
      <c r="J2414" s="826"/>
    </row>
    <row r="2415" ht="15.0" customHeight="1">
      <c r="A2415" s="834"/>
      <c r="B2415" s="603"/>
      <c r="C2415" s="109"/>
      <c r="D2415" s="594"/>
      <c r="E2415" s="594"/>
      <c r="F2415" s="594"/>
      <c r="G2415" s="756"/>
      <c r="H2415" s="824"/>
      <c r="I2415" s="825"/>
      <c r="J2415" s="826"/>
    </row>
    <row r="2416" ht="15.0" customHeight="1">
      <c r="A2416" s="834"/>
      <c r="B2416" s="603"/>
      <c r="C2416" s="109"/>
      <c r="D2416" s="594"/>
      <c r="E2416" s="594"/>
      <c r="F2416" s="594"/>
      <c r="G2416" s="756"/>
      <c r="H2416" s="824"/>
      <c r="I2416" s="825"/>
      <c r="J2416" s="826"/>
    </row>
    <row r="2417" ht="15.0" customHeight="1">
      <c r="A2417" s="834"/>
      <c r="B2417" s="603"/>
      <c r="C2417" s="109"/>
      <c r="D2417" s="594"/>
      <c r="E2417" s="594"/>
      <c r="F2417" s="594"/>
      <c r="G2417" s="756"/>
      <c r="H2417" s="824"/>
      <c r="I2417" s="825"/>
      <c r="J2417" s="826"/>
    </row>
    <row r="2418" ht="15.0" customHeight="1">
      <c r="A2418" s="834"/>
      <c r="B2418" s="603"/>
      <c r="C2418" s="109"/>
      <c r="D2418" s="594"/>
      <c r="E2418" s="594"/>
      <c r="F2418" s="594"/>
      <c r="G2418" s="756"/>
      <c r="H2418" s="824"/>
      <c r="I2418" s="825"/>
      <c r="J2418" s="826"/>
    </row>
    <row r="2419" ht="15.0" customHeight="1">
      <c r="A2419" s="834"/>
      <c r="B2419" s="603"/>
      <c r="C2419" s="109"/>
      <c r="D2419" s="594"/>
      <c r="E2419" s="594"/>
      <c r="F2419" s="594"/>
      <c r="G2419" s="756"/>
      <c r="H2419" s="824"/>
      <c r="I2419" s="825"/>
      <c r="J2419" s="826"/>
    </row>
    <row r="2420" ht="15.0" customHeight="1">
      <c r="A2420" s="834"/>
      <c r="B2420" s="603"/>
      <c r="C2420" s="109"/>
      <c r="D2420" s="594"/>
      <c r="E2420" s="594"/>
      <c r="F2420" s="594"/>
      <c r="G2420" s="756"/>
      <c r="H2420" s="824"/>
      <c r="I2420" s="825"/>
      <c r="J2420" s="826"/>
    </row>
    <row r="2421" ht="15.0" customHeight="1">
      <c r="A2421" s="834"/>
      <c r="B2421" s="603"/>
      <c r="C2421" s="109"/>
      <c r="D2421" s="594"/>
      <c r="E2421" s="594"/>
      <c r="F2421" s="594"/>
      <c r="G2421" s="756"/>
      <c r="H2421" s="824"/>
      <c r="I2421" s="825"/>
      <c r="J2421" s="826"/>
    </row>
    <row r="2422" ht="15.0" customHeight="1">
      <c r="A2422" s="834"/>
      <c r="B2422" s="603"/>
      <c r="C2422" s="109"/>
      <c r="D2422" s="594"/>
      <c r="E2422" s="594"/>
      <c r="F2422" s="594"/>
      <c r="G2422" s="756"/>
      <c r="H2422" s="824"/>
      <c r="I2422" s="825"/>
      <c r="J2422" s="826"/>
    </row>
    <row r="2423" ht="15.0" customHeight="1">
      <c r="A2423" s="834"/>
      <c r="B2423" s="603"/>
      <c r="C2423" s="109"/>
      <c r="D2423" s="594"/>
      <c r="E2423" s="594"/>
      <c r="F2423" s="594"/>
      <c r="G2423" s="756"/>
      <c r="H2423" s="824"/>
      <c r="I2423" s="825"/>
      <c r="J2423" s="826"/>
    </row>
    <row r="2424" ht="15.0" customHeight="1">
      <c r="A2424" s="834"/>
      <c r="B2424" s="603"/>
      <c r="C2424" s="109"/>
      <c r="D2424" s="594"/>
      <c r="E2424" s="594"/>
      <c r="F2424" s="594"/>
      <c r="G2424" s="756"/>
      <c r="H2424" s="824"/>
      <c r="I2424" s="825"/>
      <c r="J2424" s="826"/>
    </row>
    <row r="2425" ht="15.0" customHeight="1">
      <c r="A2425" s="834"/>
      <c r="B2425" s="603"/>
      <c r="C2425" s="109"/>
      <c r="D2425" s="594"/>
      <c r="E2425" s="594"/>
      <c r="F2425" s="594"/>
      <c r="G2425" s="756"/>
      <c r="H2425" s="824"/>
      <c r="I2425" s="825"/>
      <c r="J2425" s="826"/>
    </row>
    <row r="2426" ht="15.0" customHeight="1">
      <c r="A2426" s="834"/>
      <c r="B2426" s="603"/>
      <c r="C2426" s="109"/>
      <c r="D2426" s="594"/>
      <c r="E2426" s="594"/>
      <c r="F2426" s="594"/>
      <c r="G2426" s="756"/>
      <c r="H2426" s="824"/>
      <c r="I2426" s="825"/>
      <c r="J2426" s="826"/>
    </row>
    <row r="2427" ht="15.0" customHeight="1">
      <c r="A2427" s="834"/>
      <c r="B2427" s="603"/>
      <c r="C2427" s="109"/>
      <c r="D2427" s="594"/>
      <c r="E2427" s="594"/>
      <c r="F2427" s="594"/>
      <c r="G2427" s="756"/>
      <c r="H2427" s="824"/>
      <c r="I2427" s="825"/>
      <c r="J2427" s="826"/>
    </row>
    <row r="2428" ht="15.0" customHeight="1">
      <c r="A2428" s="834"/>
      <c r="B2428" s="603"/>
      <c r="C2428" s="109"/>
      <c r="D2428" s="594"/>
      <c r="E2428" s="594"/>
      <c r="F2428" s="594"/>
      <c r="G2428" s="756"/>
      <c r="H2428" s="824"/>
      <c r="I2428" s="825"/>
      <c r="J2428" s="826"/>
    </row>
    <row r="2429" ht="15.0" customHeight="1">
      <c r="A2429" s="834"/>
      <c r="B2429" s="603"/>
      <c r="C2429" s="109"/>
      <c r="D2429" s="594"/>
      <c r="E2429" s="594"/>
      <c r="F2429" s="594"/>
      <c r="G2429" s="756"/>
      <c r="H2429" s="824"/>
      <c r="I2429" s="825"/>
      <c r="J2429" s="826"/>
    </row>
    <row r="2430" ht="15.0" customHeight="1">
      <c r="A2430" s="834"/>
      <c r="B2430" s="603"/>
      <c r="C2430" s="109"/>
      <c r="D2430" s="594"/>
      <c r="E2430" s="594"/>
      <c r="F2430" s="594"/>
      <c r="G2430" s="756"/>
      <c r="H2430" s="824"/>
      <c r="I2430" s="825"/>
      <c r="J2430" s="826"/>
    </row>
    <row r="2431" ht="15.0" customHeight="1">
      <c r="A2431" s="834"/>
      <c r="B2431" s="603"/>
      <c r="C2431" s="109"/>
      <c r="D2431" s="594"/>
      <c r="E2431" s="594"/>
      <c r="F2431" s="594"/>
      <c r="G2431" s="756"/>
      <c r="H2431" s="824"/>
      <c r="I2431" s="825"/>
      <c r="J2431" s="826"/>
    </row>
    <row r="2432" ht="15.0" customHeight="1">
      <c r="A2432" s="834"/>
      <c r="B2432" s="603"/>
      <c r="C2432" s="109"/>
      <c r="D2432" s="594"/>
      <c r="E2432" s="594"/>
      <c r="F2432" s="594"/>
      <c r="G2432" s="756"/>
      <c r="H2432" s="824"/>
      <c r="I2432" s="825"/>
      <c r="J2432" s="826"/>
    </row>
    <row r="2433" ht="15.0" customHeight="1">
      <c r="A2433" s="834"/>
      <c r="B2433" s="603"/>
      <c r="C2433" s="109"/>
      <c r="D2433" s="594"/>
      <c r="E2433" s="594"/>
      <c r="F2433" s="594"/>
      <c r="G2433" s="756"/>
      <c r="H2433" s="824"/>
      <c r="I2433" s="825"/>
      <c r="J2433" s="826"/>
    </row>
    <row r="2434" ht="15.0" customHeight="1">
      <c r="A2434" s="834"/>
      <c r="B2434" s="603"/>
      <c r="C2434" s="109"/>
      <c r="D2434" s="594"/>
      <c r="E2434" s="594"/>
      <c r="F2434" s="594"/>
      <c r="G2434" s="756"/>
      <c r="H2434" s="824"/>
      <c r="I2434" s="825"/>
      <c r="J2434" s="826"/>
    </row>
    <row r="2435" ht="15.0" customHeight="1">
      <c r="A2435" s="834"/>
      <c r="B2435" s="603"/>
      <c r="C2435" s="109"/>
      <c r="D2435" s="594"/>
      <c r="E2435" s="594"/>
      <c r="F2435" s="594"/>
      <c r="G2435" s="756"/>
      <c r="H2435" s="824"/>
      <c r="I2435" s="825"/>
      <c r="J2435" s="826"/>
    </row>
    <row r="2436" ht="15.0" customHeight="1">
      <c r="A2436" s="834"/>
      <c r="B2436" s="603"/>
      <c r="C2436" s="109"/>
      <c r="D2436" s="594"/>
      <c r="E2436" s="594"/>
      <c r="F2436" s="594"/>
      <c r="G2436" s="756"/>
      <c r="H2436" s="824"/>
      <c r="I2436" s="825"/>
      <c r="J2436" s="826"/>
    </row>
    <row r="2437" ht="15.0" customHeight="1">
      <c r="A2437" s="834"/>
      <c r="B2437" s="603"/>
      <c r="C2437" s="109"/>
      <c r="D2437" s="594"/>
      <c r="E2437" s="594"/>
      <c r="F2437" s="594"/>
      <c r="G2437" s="756"/>
      <c r="H2437" s="824"/>
      <c r="I2437" s="825"/>
      <c r="J2437" s="826"/>
    </row>
    <row r="2438" ht="15.0" customHeight="1">
      <c r="A2438" s="834"/>
      <c r="B2438" s="603"/>
      <c r="C2438" s="109"/>
      <c r="D2438" s="594"/>
      <c r="E2438" s="594"/>
      <c r="F2438" s="594"/>
      <c r="G2438" s="756"/>
      <c r="H2438" s="824"/>
      <c r="I2438" s="825"/>
      <c r="J2438" s="826"/>
    </row>
    <row r="2439" ht="15.0" customHeight="1">
      <c r="A2439" s="834"/>
      <c r="B2439" s="603"/>
      <c r="C2439" s="109"/>
      <c r="D2439" s="594"/>
      <c r="E2439" s="594"/>
      <c r="F2439" s="594"/>
      <c r="G2439" s="756"/>
      <c r="H2439" s="824"/>
      <c r="I2439" s="825"/>
      <c r="J2439" s="826"/>
    </row>
    <row r="2440" ht="15.0" customHeight="1">
      <c r="A2440" s="834"/>
      <c r="B2440" s="603"/>
      <c r="C2440" s="109"/>
      <c r="D2440" s="594"/>
      <c r="E2440" s="594"/>
      <c r="F2440" s="594"/>
      <c r="G2440" s="756"/>
      <c r="H2440" s="824"/>
      <c r="I2440" s="825"/>
      <c r="J2440" s="826"/>
    </row>
    <row r="2441" ht="15.0" customHeight="1">
      <c r="A2441" s="834"/>
      <c r="B2441" s="603"/>
      <c r="C2441" s="109"/>
      <c r="D2441" s="594"/>
      <c r="E2441" s="594"/>
      <c r="F2441" s="594"/>
      <c r="G2441" s="756"/>
      <c r="H2441" s="824"/>
      <c r="I2441" s="825"/>
      <c r="J2441" s="826"/>
    </row>
    <row r="2442" ht="15.0" customHeight="1">
      <c r="A2442" s="834"/>
      <c r="B2442" s="603"/>
      <c r="C2442" s="109"/>
      <c r="D2442" s="594"/>
      <c r="E2442" s="594"/>
      <c r="F2442" s="594"/>
      <c r="G2442" s="756"/>
      <c r="H2442" s="824"/>
      <c r="I2442" s="825"/>
      <c r="J2442" s="826"/>
    </row>
    <row r="2443" ht="15.0" customHeight="1">
      <c r="A2443" s="834"/>
      <c r="B2443" s="603"/>
      <c r="C2443" s="109"/>
      <c r="D2443" s="594"/>
      <c r="E2443" s="594"/>
      <c r="F2443" s="594"/>
      <c r="G2443" s="756"/>
      <c r="H2443" s="824"/>
      <c r="I2443" s="825"/>
      <c r="J2443" s="826"/>
    </row>
    <row r="2444" ht="15.0" customHeight="1">
      <c r="A2444" s="834"/>
      <c r="B2444" s="603"/>
      <c r="C2444" s="109"/>
      <c r="D2444" s="594"/>
      <c r="E2444" s="594"/>
      <c r="F2444" s="594"/>
      <c r="G2444" s="756"/>
      <c r="H2444" s="824"/>
      <c r="I2444" s="825"/>
      <c r="J2444" s="826"/>
    </row>
    <row r="2445" ht="15.0" customHeight="1">
      <c r="A2445" s="834"/>
      <c r="B2445" s="603"/>
      <c r="C2445" s="109"/>
      <c r="D2445" s="594"/>
      <c r="E2445" s="594"/>
      <c r="F2445" s="594"/>
      <c r="G2445" s="756"/>
      <c r="H2445" s="824"/>
      <c r="I2445" s="825"/>
      <c r="J2445" s="826"/>
    </row>
    <row r="2446" ht="15.0" customHeight="1">
      <c r="A2446" s="834"/>
      <c r="B2446" s="603"/>
      <c r="C2446" s="109"/>
      <c r="D2446" s="594"/>
      <c r="E2446" s="594"/>
      <c r="F2446" s="594"/>
      <c r="G2446" s="756"/>
      <c r="H2446" s="824"/>
      <c r="I2446" s="825"/>
      <c r="J2446" s="826"/>
    </row>
    <row r="2447" ht="15.0" customHeight="1">
      <c r="A2447" s="834"/>
      <c r="B2447" s="603"/>
      <c r="C2447" s="109"/>
      <c r="D2447" s="594"/>
      <c r="E2447" s="594"/>
      <c r="F2447" s="594"/>
      <c r="G2447" s="756"/>
      <c r="H2447" s="824"/>
      <c r="I2447" s="825"/>
      <c r="J2447" s="826"/>
    </row>
    <row r="2448" ht="15.0" customHeight="1">
      <c r="A2448" s="834"/>
      <c r="B2448" s="603"/>
      <c r="C2448" s="109"/>
      <c r="D2448" s="594"/>
      <c r="E2448" s="594"/>
      <c r="F2448" s="594"/>
      <c r="G2448" s="756"/>
      <c r="H2448" s="824"/>
      <c r="I2448" s="825"/>
      <c r="J2448" s="826"/>
    </row>
    <row r="2449" ht="15.0" customHeight="1">
      <c r="A2449" s="834"/>
      <c r="B2449" s="603"/>
      <c r="C2449" s="109"/>
      <c r="D2449" s="594"/>
      <c r="E2449" s="594"/>
      <c r="F2449" s="594"/>
      <c r="G2449" s="756"/>
      <c r="H2449" s="824"/>
      <c r="I2449" s="825"/>
      <c r="J2449" s="826"/>
    </row>
    <row r="2450" ht="15.0" customHeight="1">
      <c r="A2450" s="834"/>
      <c r="B2450" s="603"/>
      <c r="C2450" s="109"/>
      <c r="D2450" s="594"/>
      <c r="E2450" s="594"/>
      <c r="F2450" s="594"/>
      <c r="G2450" s="756"/>
      <c r="H2450" s="824"/>
      <c r="I2450" s="825"/>
      <c r="J2450" s="826"/>
    </row>
    <row r="2451" ht="15.0" customHeight="1">
      <c r="A2451" s="834"/>
      <c r="B2451" s="603"/>
      <c r="C2451" s="109"/>
      <c r="D2451" s="594"/>
      <c r="E2451" s="594"/>
      <c r="F2451" s="594"/>
      <c r="G2451" s="756"/>
      <c r="H2451" s="824"/>
      <c r="I2451" s="825"/>
      <c r="J2451" s="826"/>
    </row>
    <row r="2452" ht="15.0" customHeight="1">
      <c r="A2452" s="834"/>
      <c r="B2452" s="603"/>
      <c r="C2452" s="109"/>
      <c r="D2452" s="594"/>
      <c r="E2452" s="594"/>
      <c r="F2452" s="594"/>
      <c r="G2452" s="756"/>
      <c r="H2452" s="824"/>
      <c r="I2452" s="825"/>
      <c r="J2452" s="826"/>
    </row>
    <row r="2453" ht="15.0" customHeight="1">
      <c r="A2453" s="834"/>
      <c r="B2453" s="603"/>
      <c r="C2453" s="109"/>
      <c r="D2453" s="594"/>
      <c r="E2453" s="594"/>
      <c r="F2453" s="594"/>
      <c r="G2453" s="756"/>
      <c r="H2453" s="824"/>
      <c r="I2453" s="825"/>
      <c r="J2453" s="826"/>
    </row>
    <row r="2454" ht="15.0" customHeight="1">
      <c r="A2454" s="834"/>
      <c r="B2454" s="603"/>
      <c r="C2454" s="109"/>
      <c r="D2454" s="594"/>
      <c r="E2454" s="594"/>
      <c r="F2454" s="594"/>
      <c r="G2454" s="756"/>
      <c r="H2454" s="824"/>
      <c r="I2454" s="825"/>
      <c r="J2454" s="826"/>
    </row>
    <row r="2455" ht="15.0" customHeight="1">
      <c r="A2455" s="834"/>
      <c r="B2455" s="603"/>
      <c r="C2455" s="109"/>
      <c r="D2455" s="594"/>
      <c r="E2455" s="594"/>
      <c r="F2455" s="594"/>
      <c r="G2455" s="756"/>
      <c r="H2455" s="824"/>
      <c r="I2455" s="825"/>
      <c r="J2455" s="826"/>
    </row>
    <row r="2456" ht="15.0" customHeight="1">
      <c r="A2456" s="834"/>
      <c r="B2456" s="603"/>
      <c r="C2456" s="109"/>
      <c r="D2456" s="594"/>
      <c r="E2456" s="594"/>
      <c r="F2456" s="594"/>
      <c r="G2456" s="756"/>
      <c r="H2456" s="824"/>
      <c r="I2456" s="825"/>
      <c r="J2456" s="826"/>
    </row>
    <row r="2457" ht="15.0" customHeight="1">
      <c r="A2457" s="834"/>
      <c r="B2457" s="603"/>
      <c r="C2457" s="109"/>
      <c r="D2457" s="594"/>
      <c r="E2457" s="594"/>
      <c r="F2457" s="594"/>
      <c r="G2457" s="756"/>
      <c r="H2457" s="824"/>
      <c r="I2457" s="825"/>
      <c r="J2457" s="826"/>
    </row>
    <row r="2458" ht="15.0" customHeight="1">
      <c r="A2458" s="834"/>
      <c r="B2458" s="603"/>
      <c r="C2458" s="109"/>
      <c r="D2458" s="594"/>
      <c r="E2458" s="594"/>
      <c r="F2458" s="594"/>
      <c r="G2458" s="756"/>
      <c r="H2458" s="824"/>
      <c r="I2458" s="825"/>
      <c r="J2458" s="826"/>
    </row>
    <row r="2459" ht="15.0" customHeight="1">
      <c r="A2459" s="834"/>
      <c r="B2459" s="603"/>
      <c r="C2459" s="109"/>
      <c r="D2459" s="594"/>
      <c r="E2459" s="594"/>
      <c r="F2459" s="594"/>
      <c r="G2459" s="756"/>
      <c r="H2459" s="824"/>
      <c r="I2459" s="825"/>
      <c r="J2459" s="826"/>
    </row>
    <row r="2460" ht="15.0" customHeight="1">
      <c r="A2460" s="834"/>
      <c r="B2460" s="603"/>
      <c r="C2460" s="109"/>
      <c r="D2460" s="594"/>
      <c r="E2460" s="594"/>
      <c r="F2460" s="594"/>
      <c r="G2460" s="756"/>
      <c r="H2460" s="824"/>
      <c r="I2460" s="825"/>
      <c r="J2460" s="826"/>
    </row>
    <row r="2461" ht="15.0" customHeight="1">
      <c r="A2461" s="834"/>
      <c r="B2461" s="603"/>
      <c r="C2461" s="109"/>
      <c r="D2461" s="594"/>
      <c r="E2461" s="594"/>
      <c r="F2461" s="594"/>
      <c r="G2461" s="756"/>
      <c r="H2461" s="824"/>
      <c r="I2461" s="825"/>
      <c r="J2461" s="826"/>
    </row>
    <row r="2462" ht="15.0" customHeight="1">
      <c r="A2462" s="834"/>
      <c r="B2462" s="603"/>
      <c r="C2462" s="109"/>
      <c r="D2462" s="594"/>
      <c r="E2462" s="594"/>
      <c r="F2462" s="594"/>
      <c r="G2462" s="756"/>
      <c r="H2462" s="824"/>
      <c r="I2462" s="825"/>
      <c r="J2462" s="826"/>
    </row>
    <row r="2463" ht="15.0" customHeight="1">
      <c r="A2463" s="834"/>
      <c r="B2463" s="603"/>
      <c r="C2463" s="109"/>
      <c r="D2463" s="594"/>
      <c r="E2463" s="594"/>
      <c r="F2463" s="594"/>
      <c r="G2463" s="756"/>
      <c r="H2463" s="824"/>
      <c r="I2463" s="825"/>
      <c r="J2463" s="826"/>
    </row>
    <row r="2464" ht="15.0" customHeight="1">
      <c r="A2464" s="834"/>
      <c r="B2464" s="603"/>
      <c r="C2464" s="109"/>
      <c r="D2464" s="594"/>
      <c r="E2464" s="594"/>
      <c r="F2464" s="594"/>
      <c r="G2464" s="756"/>
      <c r="H2464" s="824"/>
      <c r="I2464" s="825"/>
      <c r="J2464" s="826"/>
    </row>
    <row r="2465" ht="15.0" customHeight="1">
      <c r="A2465" s="834"/>
      <c r="B2465" s="603"/>
      <c r="C2465" s="109"/>
      <c r="D2465" s="594"/>
      <c r="E2465" s="594"/>
      <c r="F2465" s="594"/>
      <c r="G2465" s="756"/>
      <c r="H2465" s="824"/>
      <c r="I2465" s="825"/>
      <c r="J2465" s="826"/>
    </row>
    <row r="2466" ht="15.0" customHeight="1">
      <c r="A2466" s="834"/>
      <c r="B2466" s="603"/>
      <c r="C2466" s="109"/>
      <c r="D2466" s="594"/>
      <c r="E2466" s="594"/>
      <c r="F2466" s="594"/>
      <c r="G2466" s="756"/>
      <c r="H2466" s="824"/>
      <c r="I2466" s="825"/>
      <c r="J2466" s="826"/>
    </row>
    <row r="2467" ht="15.0" customHeight="1">
      <c r="A2467" s="834"/>
      <c r="B2467" s="603"/>
      <c r="C2467" s="109"/>
      <c r="D2467" s="594"/>
      <c r="E2467" s="594"/>
      <c r="F2467" s="594"/>
      <c r="G2467" s="756"/>
      <c r="H2467" s="824"/>
      <c r="I2467" s="825"/>
      <c r="J2467" s="826"/>
    </row>
    <row r="2468" ht="15.0" customHeight="1">
      <c r="A2468" s="834"/>
      <c r="B2468" s="603"/>
      <c r="C2468" s="109"/>
      <c r="D2468" s="594"/>
      <c r="E2468" s="594"/>
      <c r="F2468" s="594"/>
      <c r="G2468" s="756"/>
      <c r="H2468" s="824"/>
      <c r="I2468" s="825"/>
      <c r="J2468" s="826"/>
    </row>
    <row r="2469" ht="15.0" customHeight="1">
      <c r="A2469" s="834"/>
      <c r="B2469" s="603"/>
      <c r="C2469" s="109"/>
      <c r="D2469" s="594"/>
      <c r="E2469" s="594"/>
      <c r="F2469" s="594"/>
      <c r="G2469" s="756"/>
      <c r="H2469" s="824"/>
      <c r="I2469" s="825"/>
      <c r="J2469" s="826"/>
    </row>
    <row r="2470" ht="15.0" customHeight="1">
      <c r="A2470" s="834"/>
      <c r="B2470" s="603"/>
      <c r="C2470" s="109"/>
      <c r="D2470" s="594"/>
      <c r="E2470" s="594"/>
      <c r="F2470" s="594"/>
      <c r="G2470" s="756"/>
      <c r="H2470" s="824"/>
      <c r="I2470" s="825"/>
      <c r="J2470" s="826"/>
    </row>
    <row r="2471" ht="15.0" customHeight="1">
      <c r="A2471" s="834"/>
      <c r="B2471" s="603"/>
      <c r="C2471" s="109"/>
      <c r="D2471" s="594"/>
      <c r="E2471" s="594"/>
      <c r="F2471" s="594"/>
      <c r="G2471" s="756"/>
      <c r="H2471" s="824"/>
      <c r="I2471" s="825"/>
      <c r="J2471" s="826"/>
    </row>
    <row r="2472" ht="15.0" customHeight="1">
      <c r="A2472" s="834"/>
      <c r="B2472" s="603"/>
      <c r="C2472" s="109"/>
      <c r="D2472" s="594"/>
      <c r="E2472" s="594"/>
      <c r="F2472" s="594"/>
      <c r="G2472" s="756"/>
      <c r="H2472" s="824"/>
      <c r="I2472" s="825"/>
      <c r="J2472" s="826"/>
    </row>
    <row r="2473" ht="15.0" customHeight="1">
      <c r="A2473" s="834"/>
      <c r="B2473" s="603"/>
      <c r="C2473" s="109"/>
      <c r="D2473" s="594"/>
      <c r="E2473" s="594"/>
      <c r="F2473" s="594"/>
      <c r="G2473" s="756"/>
      <c r="H2473" s="824"/>
      <c r="I2473" s="825"/>
      <c r="J2473" s="826"/>
    </row>
    <row r="2474" ht="15.0" customHeight="1">
      <c r="A2474" s="834"/>
      <c r="B2474" s="603"/>
      <c r="C2474" s="109"/>
      <c r="D2474" s="594"/>
      <c r="E2474" s="594"/>
      <c r="F2474" s="594"/>
      <c r="G2474" s="756"/>
      <c r="H2474" s="824"/>
      <c r="I2474" s="825"/>
      <c r="J2474" s="826"/>
    </row>
    <row r="2475" ht="15.0" customHeight="1">
      <c r="A2475" s="834"/>
      <c r="B2475" s="603"/>
      <c r="C2475" s="109"/>
      <c r="D2475" s="594"/>
      <c r="E2475" s="594"/>
      <c r="F2475" s="594"/>
      <c r="G2475" s="756"/>
      <c r="H2475" s="824"/>
      <c r="I2475" s="825"/>
      <c r="J2475" s="826"/>
    </row>
    <row r="2476" ht="15.0" customHeight="1">
      <c r="A2476" s="834"/>
      <c r="B2476" s="603"/>
      <c r="C2476" s="109"/>
      <c r="D2476" s="594"/>
      <c r="E2476" s="594"/>
      <c r="F2476" s="594"/>
      <c r="G2476" s="756"/>
      <c r="H2476" s="824"/>
      <c r="I2476" s="825"/>
      <c r="J2476" s="826"/>
    </row>
    <row r="2477" ht="15.0" customHeight="1">
      <c r="A2477" s="834"/>
      <c r="B2477" s="603"/>
      <c r="C2477" s="109"/>
      <c r="D2477" s="594"/>
      <c r="E2477" s="594"/>
      <c r="F2477" s="594"/>
      <c r="G2477" s="756"/>
      <c r="H2477" s="824"/>
      <c r="I2477" s="825"/>
      <c r="J2477" s="826"/>
    </row>
    <row r="2478" ht="15.0" customHeight="1">
      <c r="A2478" s="834"/>
      <c r="B2478" s="603"/>
      <c r="C2478" s="109"/>
      <c r="D2478" s="594"/>
      <c r="E2478" s="594"/>
      <c r="F2478" s="594"/>
      <c r="G2478" s="756"/>
      <c r="H2478" s="824"/>
      <c r="I2478" s="825"/>
      <c r="J2478" s="826"/>
    </row>
    <row r="2479" ht="15.0" customHeight="1">
      <c r="A2479" s="834"/>
      <c r="B2479" s="603"/>
      <c r="C2479" s="109"/>
      <c r="D2479" s="594"/>
      <c r="E2479" s="594"/>
      <c r="F2479" s="594"/>
      <c r="G2479" s="756"/>
      <c r="H2479" s="824"/>
      <c r="I2479" s="825"/>
      <c r="J2479" s="826"/>
    </row>
    <row r="2480" ht="15.0" customHeight="1">
      <c r="A2480" s="834"/>
      <c r="B2480" s="603"/>
      <c r="C2480" s="109"/>
      <c r="D2480" s="594"/>
      <c r="E2480" s="594"/>
      <c r="F2480" s="594"/>
      <c r="G2480" s="756"/>
      <c r="H2480" s="824"/>
      <c r="I2480" s="825"/>
      <c r="J2480" s="826"/>
    </row>
    <row r="2481" ht="15.0" customHeight="1">
      <c r="A2481" s="834"/>
      <c r="B2481" s="603"/>
      <c r="C2481" s="109"/>
      <c r="D2481" s="594"/>
      <c r="E2481" s="594"/>
      <c r="F2481" s="594"/>
      <c r="G2481" s="756"/>
      <c r="H2481" s="824"/>
      <c r="I2481" s="825"/>
      <c r="J2481" s="826"/>
    </row>
    <row r="2482" ht="15.0" customHeight="1">
      <c r="A2482" s="834"/>
      <c r="B2482" s="603"/>
      <c r="C2482" s="109"/>
      <c r="D2482" s="594"/>
      <c r="E2482" s="594"/>
      <c r="F2482" s="594"/>
      <c r="G2482" s="756"/>
      <c r="H2482" s="824"/>
      <c r="I2482" s="825"/>
      <c r="J2482" s="826"/>
    </row>
    <row r="2483" ht="15.0" customHeight="1">
      <c r="A2483" s="834"/>
      <c r="B2483" s="603"/>
      <c r="C2483" s="109"/>
      <c r="D2483" s="594"/>
      <c r="E2483" s="594"/>
      <c r="F2483" s="594"/>
      <c r="G2483" s="756"/>
      <c r="H2483" s="824"/>
      <c r="I2483" s="825"/>
      <c r="J2483" s="826"/>
    </row>
    <row r="2484" ht="15.0" customHeight="1">
      <c r="A2484" s="834"/>
      <c r="B2484" s="603"/>
      <c r="C2484" s="109"/>
      <c r="D2484" s="594"/>
      <c r="E2484" s="594"/>
      <c r="F2484" s="594"/>
      <c r="G2484" s="756"/>
      <c r="H2484" s="824"/>
      <c r="I2484" s="825"/>
      <c r="J2484" s="826"/>
    </row>
    <row r="2485" ht="15.0" customHeight="1">
      <c r="A2485" s="834"/>
      <c r="B2485" s="603"/>
      <c r="C2485" s="109"/>
      <c r="D2485" s="594"/>
      <c r="E2485" s="594"/>
      <c r="F2485" s="594"/>
      <c r="G2485" s="756"/>
      <c r="H2485" s="824"/>
      <c r="I2485" s="825"/>
      <c r="J2485" s="826"/>
    </row>
    <row r="2486" ht="15.0" customHeight="1">
      <c r="A2486" s="834"/>
      <c r="B2486" s="603"/>
      <c r="C2486" s="109"/>
      <c r="D2486" s="594"/>
      <c r="E2486" s="594"/>
      <c r="F2486" s="594"/>
      <c r="G2486" s="756"/>
      <c r="H2486" s="824"/>
      <c r="I2486" s="825"/>
      <c r="J2486" s="826"/>
    </row>
    <row r="2487" ht="15.0" customHeight="1">
      <c r="A2487" s="834"/>
      <c r="B2487" s="603"/>
      <c r="C2487" s="109"/>
      <c r="D2487" s="594"/>
      <c r="E2487" s="594"/>
      <c r="F2487" s="594"/>
      <c r="G2487" s="756"/>
      <c r="H2487" s="824"/>
      <c r="I2487" s="825"/>
      <c r="J2487" s="826"/>
    </row>
    <row r="2488" ht="15.0" customHeight="1">
      <c r="A2488" s="834"/>
      <c r="B2488" s="603"/>
      <c r="C2488" s="109"/>
      <c r="D2488" s="594"/>
      <c r="E2488" s="594"/>
      <c r="F2488" s="594"/>
      <c r="G2488" s="756"/>
      <c r="H2488" s="824"/>
      <c r="I2488" s="825"/>
      <c r="J2488" s="826"/>
    </row>
    <row r="2489" ht="15.0" customHeight="1">
      <c r="A2489" s="834"/>
      <c r="B2489" s="603"/>
      <c r="C2489" s="109"/>
      <c r="D2489" s="594"/>
      <c r="E2489" s="594"/>
      <c r="F2489" s="594"/>
      <c r="G2489" s="756"/>
      <c r="H2489" s="824"/>
      <c r="I2489" s="825"/>
      <c r="J2489" s="826"/>
    </row>
    <row r="2490" ht="15.0" customHeight="1">
      <c r="A2490" s="834"/>
      <c r="B2490" s="603"/>
      <c r="C2490" s="109"/>
      <c r="D2490" s="594"/>
      <c r="E2490" s="594"/>
      <c r="F2490" s="594"/>
      <c r="G2490" s="756"/>
      <c r="H2490" s="824"/>
      <c r="I2490" s="825"/>
      <c r="J2490" s="826"/>
    </row>
    <row r="2491" ht="15.0" customHeight="1">
      <c r="A2491" s="834"/>
      <c r="B2491" s="603"/>
      <c r="C2491" s="109"/>
      <c r="D2491" s="594"/>
      <c r="E2491" s="594"/>
      <c r="F2491" s="594"/>
      <c r="G2491" s="756"/>
      <c r="H2491" s="824"/>
      <c r="I2491" s="825"/>
      <c r="J2491" s="826"/>
    </row>
    <row r="2492" ht="15.0" customHeight="1">
      <c r="A2492" s="834"/>
      <c r="B2492" s="603"/>
      <c r="C2492" s="109"/>
      <c r="D2492" s="594"/>
      <c r="E2492" s="594"/>
      <c r="F2492" s="594"/>
      <c r="G2492" s="756"/>
      <c r="H2492" s="824"/>
      <c r="I2492" s="825"/>
      <c r="J2492" s="826"/>
    </row>
    <row r="2493" ht="15.0" customHeight="1">
      <c r="A2493" s="834"/>
      <c r="B2493" s="603"/>
      <c r="C2493" s="109"/>
      <c r="D2493" s="594"/>
      <c r="E2493" s="594"/>
      <c r="F2493" s="594"/>
      <c r="G2493" s="756"/>
      <c r="H2493" s="824"/>
      <c r="I2493" s="825"/>
      <c r="J2493" s="826"/>
    </row>
    <row r="2494" ht="15.0" customHeight="1">
      <c r="A2494" s="834"/>
      <c r="B2494" s="603"/>
      <c r="C2494" s="109"/>
      <c r="D2494" s="594"/>
      <c r="E2494" s="594"/>
      <c r="F2494" s="594"/>
      <c r="G2494" s="756"/>
      <c r="H2494" s="824"/>
      <c r="I2494" s="825"/>
      <c r="J2494" s="826"/>
    </row>
    <row r="2495" ht="15.0" customHeight="1">
      <c r="A2495" s="834"/>
      <c r="B2495" s="603"/>
      <c r="C2495" s="109"/>
      <c r="D2495" s="594"/>
      <c r="E2495" s="594"/>
      <c r="F2495" s="594"/>
      <c r="G2495" s="756"/>
      <c r="H2495" s="824"/>
      <c r="I2495" s="825"/>
      <c r="J2495" s="826"/>
    </row>
    <row r="2496" ht="15.0" customHeight="1">
      <c r="A2496" s="834"/>
      <c r="B2496" s="603"/>
      <c r="C2496" s="109"/>
      <c r="D2496" s="594"/>
      <c r="E2496" s="594"/>
      <c r="F2496" s="594"/>
      <c r="G2496" s="756"/>
      <c r="H2496" s="824"/>
      <c r="I2496" s="825"/>
      <c r="J2496" s="826"/>
    </row>
    <row r="2497" ht="15.0" customHeight="1">
      <c r="A2497" s="834"/>
      <c r="B2497" s="603"/>
      <c r="C2497" s="109"/>
      <c r="D2497" s="594"/>
      <c r="E2497" s="594"/>
      <c r="F2497" s="594"/>
      <c r="G2497" s="756"/>
      <c r="H2497" s="824"/>
      <c r="I2497" s="825"/>
      <c r="J2497" s="826"/>
    </row>
    <row r="2498" ht="15.0" customHeight="1">
      <c r="A2498" s="834"/>
      <c r="B2498" s="603"/>
      <c r="C2498" s="109"/>
      <c r="D2498" s="594"/>
      <c r="E2498" s="594"/>
      <c r="F2498" s="594"/>
      <c r="G2498" s="756"/>
      <c r="H2498" s="824"/>
      <c r="I2498" s="825"/>
      <c r="J2498" s="826"/>
    </row>
    <row r="2499" ht="15.0" customHeight="1">
      <c r="A2499" s="834"/>
      <c r="B2499" s="603"/>
      <c r="C2499" s="109"/>
      <c r="D2499" s="594"/>
      <c r="E2499" s="594"/>
      <c r="F2499" s="594"/>
      <c r="G2499" s="756"/>
      <c r="H2499" s="824"/>
      <c r="I2499" s="825"/>
      <c r="J2499" s="826"/>
    </row>
    <row r="2500" ht="15.0" customHeight="1">
      <c r="A2500" s="834"/>
      <c r="B2500" s="603"/>
      <c r="C2500" s="109"/>
      <c r="D2500" s="594"/>
      <c r="E2500" s="594"/>
      <c r="F2500" s="594"/>
      <c r="G2500" s="756"/>
      <c r="H2500" s="824"/>
      <c r="I2500" s="825"/>
      <c r="J2500" s="826"/>
    </row>
    <row r="2501" ht="15.0" customHeight="1">
      <c r="A2501" s="834"/>
      <c r="B2501" s="603"/>
      <c r="C2501" s="109"/>
      <c r="D2501" s="594"/>
      <c r="E2501" s="594"/>
      <c r="F2501" s="594"/>
      <c r="G2501" s="756"/>
      <c r="H2501" s="824"/>
      <c r="I2501" s="825"/>
      <c r="J2501" s="826"/>
    </row>
    <row r="2502" ht="15.0" customHeight="1">
      <c r="A2502" s="834"/>
      <c r="B2502" s="603"/>
      <c r="C2502" s="109"/>
      <c r="D2502" s="594"/>
      <c r="E2502" s="594"/>
      <c r="F2502" s="594"/>
      <c r="G2502" s="756"/>
      <c r="H2502" s="824"/>
      <c r="I2502" s="825"/>
      <c r="J2502" s="826"/>
    </row>
    <row r="2503" ht="15.0" customHeight="1">
      <c r="A2503" s="834"/>
      <c r="B2503" s="603"/>
      <c r="C2503" s="109"/>
      <c r="D2503" s="594"/>
      <c r="E2503" s="594"/>
      <c r="F2503" s="594"/>
      <c r="G2503" s="756"/>
      <c r="H2503" s="824"/>
      <c r="I2503" s="825"/>
      <c r="J2503" s="826"/>
    </row>
    <row r="2504" ht="15.0" customHeight="1">
      <c r="A2504" s="834"/>
      <c r="B2504" s="603"/>
      <c r="C2504" s="109"/>
      <c r="D2504" s="594"/>
      <c r="E2504" s="594"/>
      <c r="F2504" s="594"/>
      <c r="G2504" s="756"/>
      <c r="H2504" s="824"/>
      <c r="I2504" s="825"/>
      <c r="J2504" s="826"/>
    </row>
    <row r="2505" ht="15.0" customHeight="1">
      <c r="A2505" s="834"/>
      <c r="B2505" s="603"/>
      <c r="C2505" s="109"/>
      <c r="D2505" s="594"/>
      <c r="E2505" s="594"/>
      <c r="F2505" s="594"/>
      <c r="G2505" s="756"/>
      <c r="H2505" s="824"/>
      <c r="I2505" s="825"/>
      <c r="J2505" s="826"/>
    </row>
    <row r="2506" ht="15.0" customHeight="1">
      <c r="A2506" s="834"/>
      <c r="B2506" s="603"/>
      <c r="C2506" s="109"/>
      <c r="D2506" s="594"/>
      <c r="E2506" s="594"/>
      <c r="F2506" s="594"/>
      <c r="G2506" s="756"/>
      <c r="H2506" s="824"/>
      <c r="I2506" s="825"/>
      <c r="J2506" s="826"/>
    </row>
    <row r="2507" ht="15.0" customHeight="1">
      <c r="A2507" s="834"/>
      <c r="B2507" s="603"/>
      <c r="C2507" s="109"/>
      <c r="D2507" s="594"/>
      <c r="E2507" s="594"/>
      <c r="F2507" s="594"/>
      <c r="G2507" s="756"/>
      <c r="H2507" s="824"/>
      <c r="I2507" s="825"/>
      <c r="J2507" s="826"/>
    </row>
    <row r="2508" ht="15.0" customHeight="1">
      <c r="A2508" s="834"/>
      <c r="B2508" s="603"/>
      <c r="C2508" s="109"/>
      <c r="D2508" s="594"/>
      <c r="E2508" s="594"/>
      <c r="F2508" s="594"/>
      <c r="G2508" s="756"/>
      <c r="H2508" s="824"/>
      <c r="I2508" s="825"/>
      <c r="J2508" s="826"/>
    </row>
    <row r="2509" ht="15.0" customHeight="1">
      <c r="A2509" s="834"/>
      <c r="B2509" s="603"/>
      <c r="C2509" s="109"/>
      <c r="D2509" s="594"/>
      <c r="E2509" s="594"/>
      <c r="F2509" s="594"/>
      <c r="G2509" s="756"/>
      <c r="H2509" s="824"/>
      <c r="I2509" s="825"/>
      <c r="J2509" s="826"/>
    </row>
    <row r="2510" ht="15.0" customHeight="1">
      <c r="A2510" s="834"/>
      <c r="B2510" s="603"/>
      <c r="C2510" s="109"/>
      <c r="D2510" s="594"/>
      <c r="E2510" s="594"/>
      <c r="F2510" s="594"/>
      <c r="G2510" s="756"/>
      <c r="H2510" s="824"/>
      <c r="I2510" s="825"/>
      <c r="J2510" s="826"/>
    </row>
    <row r="2511" ht="15.0" customHeight="1">
      <c r="A2511" s="834"/>
      <c r="B2511" s="603"/>
      <c r="C2511" s="109"/>
      <c r="D2511" s="594"/>
      <c r="E2511" s="594"/>
      <c r="F2511" s="594"/>
      <c r="G2511" s="756"/>
      <c r="H2511" s="824"/>
      <c r="I2511" s="825"/>
      <c r="J2511" s="826"/>
    </row>
    <row r="2512" ht="15.0" customHeight="1">
      <c r="A2512" s="834"/>
      <c r="B2512" s="603"/>
      <c r="C2512" s="109"/>
      <c r="D2512" s="594"/>
      <c r="E2512" s="594"/>
      <c r="F2512" s="594"/>
      <c r="G2512" s="756"/>
      <c r="H2512" s="824"/>
      <c r="I2512" s="825"/>
      <c r="J2512" s="826"/>
    </row>
    <row r="2513" ht="15.0" customHeight="1">
      <c r="A2513" s="834"/>
      <c r="B2513" s="603"/>
      <c r="C2513" s="109"/>
      <c r="D2513" s="594"/>
      <c r="E2513" s="594"/>
      <c r="F2513" s="594"/>
      <c r="G2513" s="756"/>
      <c r="H2513" s="824"/>
      <c r="I2513" s="825"/>
      <c r="J2513" s="826"/>
    </row>
    <row r="2514" ht="15.0" customHeight="1">
      <c r="A2514" s="834"/>
      <c r="B2514" s="603"/>
      <c r="C2514" s="109"/>
      <c r="D2514" s="594"/>
      <c r="E2514" s="594"/>
      <c r="F2514" s="594"/>
      <c r="G2514" s="756"/>
      <c r="H2514" s="824"/>
      <c r="I2514" s="825"/>
      <c r="J2514" s="826"/>
    </row>
    <row r="2515" ht="15.0" customHeight="1">
      <c r="A2515" s="834"/>
      <c r="B2515" s="603"/>
      <c r="C2515" s="109"/>
      <c r="D2515" s="594"/>
      <c r="E2515" s="594"/>
      <c r="F2515" s="594"/>
      <c r="G2515" s="756"/>
      <c r="H2515" s="824"/>
      <c r="I2515" s="825"/>
      <c r="J2515" s="826"/>
    </row>
    <row r="2516" ht="15.0" customHeight="1">
      <c r="A2516" s="834"/>
      <c r="B2516" s="603"/>
      <c r="C2516" s="109"/>
      <c r="D2516" s="594"/>
      <c r="E2516" s="594"/>
      <c r="F2516" s="594"/>
      <c r="G2516" s="756"/>
      <c r="H2516" s="824"/>
      <c r="I2516" s="825"/>
      <c r="J2516" s="826"/>
    </row>
    <row r="2517" ht="15.0" customHeight="1">
      <c r="A2517" s="834"/>
      <c r="B2517" s="603"/>
      <c r="C2517" s="109"/>
      <c r="D2517" s="594"/>
      <c r="E2517" s="594"/>
      <c r="F2517" s="594"/>
      <c r="G2517" s="756"/>
      <c r="H2517" s="824"/>
      <c r="I2517" s="825"/>
      <c r="J2517" s="826"/>
    </row>
    <row r="2518" ht="15.0" customHeight="1">
      <c r="A2518" s="834"/>
      <c r="B2518" s="603"/>
      <c r="C2518" s="109"/>
      <c r="D2518" s="594"/>
      <c r="E2518" s="594"/>
      <c r="F2518" s="594"/>
      <c r="G2518" s="756"/>
      <c r="H2518" s="824"/>
      <c r="I2518" s="825"/>
      <c r="J2518" s="826"/>
    </row>
    <row r="2519" ht="15.0" customHeight="1">
      <c r="A2519" s="834"/>
      <c r="B2519" s="603"/>
      <c r="C2519" s="109"/>
      <c r="D2519" s="594"/>
      <c r="E2519" s="594"/>
      <c r="F2519" s="594"/>
      <c r="G2519" s="756"/>
      <c r="H2519" s="824"/>
      <c r="I2519" s="825"/>
      <c r="J2519" s="826"/>
    </row>
    <row r="2520" ht="15.0" customHeight="1">
      <c r="A2520" s="834"/>
      <c r="B2520" s="603"/>
      <c r="C2520" s="109"/>
      <c r="D2520" s="594"/>
      <c r="E2520" s="594"/>
      <c r="F2520" s="594"/>
      <c r="G2520" s="756"/>
      <c r="H2520" s="824"/>
      <c r="I2520" s="825"/>
      <c r="J2520" s="826"/>
    </row>
    <row r="2521" ht="15.0" customHeight="1">
      <c r="A2521" s="834"/>
      <c r="B2521" s="603"/>
      <c r="C2521" s="109"/>
      <c r="D2521" s="594"/>
      <c r="E2521" s="594"/>
      <c r="F2521" s="594"/>
      <c r="G2521" s="756"/>
      <c r="H2521" s="824"/>
      <c r="I2521" s="825"/>
      <c r="J2521" s="826"/>
    </row>
    <row r="2522" ht="15.0" customHeight="1">
      <c r="A2522" s="834"/>
      <c r="B2522" s="603"/>
      <c r="C2522" s="109"/>
      <c r="D2522" s="594"/>
      <c r="E2522" s="594"/>
      <c r="F2522" s="594"/>
      <c r="G2522" s="756"/>
      <c r="H2522" s="824"/>
      <c r="I2522" s="825"/>
      <c r="J2522" s="826"/>
    </row>
    <row r="2523" ht="15.0" customHeight="1">
      <c r="A2523" s="834"/>
      <c r="B2523" s="603"/>
      <c r="C2523" s="109"/>
      <c r="D2523" s="594"/>
      <c r="E2523" s="594"/>
      <c r="F2523" s="594"/>
      <c r="G2523" s="756"/>
      <c r="H2523" s="824"/>
      <c r="I2523" s="825"/>
      <c r="J2523" s="826"/>
    </row>
    <row r="2524" ht="15.0" customHeight="1">
      <c r="A2524" s="834"/>
      <c r="B2524" s="603"/>
      <c r="C2524" s="109"/>
      <c r="D2524" s="594"/>
      <c r="E2524" s="594"/>
      <c r="F2524" s="594"/>
      <c r="G2524" s="756"/>
      <c r="H2524" s="824"/>
      <c r="I2524" s="825"/>
      <c r="J2524" s="826"/>
    </row>
    <row r="2525" ht="15.0" customHeight="1">
      <c r="A2525" s="834"/>
      <c r="B2525" s="603"/>
      <c r="C2525" s="109"/>
      <c r="D2525" s="594"/>
      <c r="E2525" s="594"/>
      <c r="F2525" s="594"/>
      <c r="G2525" s="756"/>
      <c r="H2525" s="824"/>
      <c r="I2525" s="825"/>
      <c r="J2525" s="826"/>
    </row>
    <row r="2526" ht="15.0" customHeight="1">
      <c r="A2526" s="834"/>
      <c r="B2526" s="603"/>
      <c r="C2526" s="109"/>
      <c r="D2526" s="594"/>
      <c r="E2526" s="594"/>
      <c r="F2526" s="594"/>
      <c r="G2526" s="756"/>
      <c r="H2526" s="824"/>
      <c r="I2526" s="825"/>
      <c r="J2526" s="826"/>
    </row>
    <row r="2527" ht="15.0" customHeight="1">
      <c r="A2527" s="834"/>
      <c r="B2527" s="603"/>
      <c r="C2527" s="109"/>
      <c r="D2527" s="594"/>
      <c r="E2527" s="594"/>
      <c r="F2527" s="594"/>
      <c r="G2527" s="756"/>
      <c r="H2527" s="824"/>
      <c r="I2527" s="825"/>
      <c r="J2527" s="826"/>
    </row>
    <row r="2528" ht="15.0" customHeight="1">
      <c r="A2528" s="834"/>
      <c r="B2528" s="603"/>
      <c r="C2528" s="109"/>
      <c r="D2528" s="594"/>
      <c r="E2528" s="594"/>
      <c r="F2528" s="594"/>
      <c r="G2528" s="756"/>
      <c r="H2528" s="824"/>
      <c r="I2528" s="825"/>
      <c r="J2528" s="826"/>
    </row>
    <row r="2529" ht="15.0" customHeight="1">
      <c r="A2529" s="834"/>
      <c r="B2529" s="603"/>
      <c r="C2529" s="109"/>
      <c r="D2529" s="594"/>
      <c r="E2529" s="594"/>
      <c r="F2529" s="594"/>
      <c r="G2529" s="756"/>
      <c r="H2529" s="824"/>
      <c r="I2529" s="825"/>
      <c r="J2529" s="826"/>
    </row>
    <row r="2530" ht="15.0" customHeight="1">
      <c r="A2530" s="834"/>
      <c r="B2530" s="603"/>
      <c r="C2530" s="109"/>
      <c r="D2530" s="594"/>
      <c r="E2530" s="594"/>
      <c r="F2530" s="594"/>
      <c r="G2530" s="756"/>
      <c r="H2530" s="824"/>
      <c r="I2530" s="825"/>
      <c r="J2530" s="826"/>
    </row>
    <row r="2531" ht="15.0" customHeight="1">
      <c r="A2531" s="834"/>
      <c r="B2531" s="603"/>
      <c r="C2531" s="109"/>
      <c r="D2531" s="594"/>
      <c r="E2531" s="594"/>
      <c r="F2531" s="594"/>
      <c r="G2531" s="756"/>
      <c r="H2531" s="824"/>
      <c r="I2531" s="825"/>
      <c r="J2531" s="826"/>
    </row>
    <row r="2532" ht="15.0" customHeight="1">
      <c r="A2532" s="834"/>
      <c r="B2532" s="603"/>
      <c r="C2532" s="109"/>
      <c r="D2532" s="594"/>
      <c r="E2532" s="594"/>
      <c r="F2532" s="594"/>
      <c r="G2532" s="756"/>
      <c r="H2532" s="824"/>
      <c r="I2532" s="825"/>
      <c r="J2532" s="826"/>
    </row>
    <row r="2533" ht="15.0" customHeight="1">
      <c r="A2533" s="834"/>
      <c r="B2533" s="603"/>
      <c r="C2533" s="109"/>
      <c r="D2533" s="594"/>
      <c r="E2533" s="594"/>
      <c r="F2533" s="594"/>
      <c r="G2533" s="756"/>
      <c r="H2533" s="824"/>
      <c r="I2533" s="825"/>
      <c r="J2533" s="826"/>
    </row>
    <row r="2534" ht="15.0" customHeight="1">
      <c r="A2534" s="834"/>
      <c r="B2534" s="603"/>
      <c r="C2534" s="109"/>
      <c r="D2534" s="594"/>
      <c r="E2534" s="594"/>
      <c r="F2534" s="594"/>
      <c r="G2534" s="756"/>
      <c r="H2534" s="824"/>
      <c r="I2534" s="825"/>
      <c r="J2534" s="826"/>
    </row>
    <row r="2535" ht="15.0" customHeight="1">
      <c r="A2535" s="834"/>
      <c r="B2535" s="603"/>
      <c r="C2535" s="109"/>
      <c r="D2535" s="594"/>
      <c r="E2535" s="594"/>
      <c r="F2535" s="594"/>
      <c r="G2535" s="756"/>
      <c r="H2535" s="824"/>
      <c r="I2535" s="825"/>
      <c r="J2535" s="826"/>
    </row>
    <row r="2536" ht="15.0" customHeight="1">
      <c r="A2536" s="834"/>
      <c r="B2536" s="603"/>
      <c r="C2536" s="109"/>
      <c r="D2536" s="594"/>
      <c r="E2536" s="594"/>
      <c r="F2536" s="594"/>
      <c r="G2536" s="756"/>
      <c r="H2536" s="824"/>
      <c r="I2536" s="825"/>
      <c r="J2536" s="826"/>
    </row>
    <row r="2537" ht="15.0" customHeight="1">
      <c r="A2537" s="834"/>
      <c r="B2537" s="603"/>
      <c r="C2537" s="109"/>
      <c r="D2537" s="594"/>
      <c r="E2537" s="594"/>
      <c r="F2537" s="594"/>
      <c r="G2537" s="756"/>
      <c r="H2537" s="824"/>
      <c r="I2537" s="825"/>
      <c r="J2537" s="826"/>
    </row>
    <row r="2538" ht="15.0" customHeight="1">
      <c r="A2538" s="834"/>
      <c r="B2538" s="603"/>
      <c r="C2538" s="109"/>
      <c r="D2538" s="594"/>
      <c r="E2538" s="594"/>
      <c r="F2538" s="594"/>
      <c r="G2538" s="756"/>
      <c r="H2538" s="824"/>
      <c r="I2538" s="825"/>
      <c r="J2538" s="826"/>
    </row>
    <row r="2539" ht="15.0" customHeight="1">
      <c r="A2539" s="834"/>
      <c r="B2539" s="603"/>
      <c r="C2539" s="109"/>
      <c r="D2539" s="594"/>
      <c r="E2539" s="594"/>
      <c r="F2539" s="594"/>
      <c r="G2539" s="756"/>
      <c r="H2539" s="824"/>
      <c r="I2539" s="825"/>
      <c r="J2539" s="826"/>
    </row>
    <row r="2540" ht="15.0" customHeight="1">
      <c r="A2540" s="834"/>
      <c r="B2540" s="603"/>
      <c r="C2540" s="109"/>
      <c r="D2540" s="594"/>
      <c r="E2540" s="594"/>
      <c r="F2540" s="594"/>
      <c r="G2540" s="756"/>
      <c r="H2540" s="824"/>
      <c r="I2540" s="825"/>
      <c r="J2540" s="826"/>
    </row>
    <row r="2541" ht="15.0" customHeight="1">
      <c r="A2541" s="834"/>
      <c r="B2541" s="603"/>
      <c r="C2541" s="109"/>
      <c r="D2541" s="594"/>
      <c r="E2541" s="594"/>
      <c r="F2541" s="594"/>
      <c r="G2541" s="756"/>
      <c r="H2541" s="824"/>
      <c r="I2541" s="825"/>
      <c r="J2541" s="826"/>
    </row>
    <row r="2542" ht="15.0" customHeight="1">
      <c r="A2542" s="834"/>
      <c r="B2542" s="603"/>
      <c r="C2542" s="109"/>
      <c r="D2542" s="594"/>
      <c r="E2542" s="594"/>
      <c r="F2542" s="594"/>
      <c r="G2542" s="756"/>
      <c r="H2542" s="824"/>
      <c r="I2542" s="825"/>
      <c r="J2542" s="826"/>
    </row>
    <row r="2543" ht="15.0" customHeight="1">
      <c r="A2543" s="834"/>
      <c r="B2543" s="603"/>
      <c r="C2543" s="109"/>
      <c r="D2543" s="594"/>
      <c r="E2543" s="594"/>
      <c r="F2543" s="594"/>
      <c r="G2543" s="756"/>
      <c r="H2543" s="824"/>
      <c r="I2543" s="825"/>
      <c r="J2543" s="826"/>
    </row>
    <row r="2544" ht="15.0" customHeight="1">
      <c r="A2544" s="834"/>
      <c r="B2544" s="603"/>
      <c r="C2544" s="109"/>
      <c r="D2544" s="594"/>
      <c r="E2544" s="594"/>
      <c r="F2544" s="594"/>
      <c r="G2544" s="756"/>
      <c r="H2544" s="824"/>
      <c r="I2544" s="825"/>
      <c r="J2544" s="826"/>
    </row>
    <row r="2545" ht="15.0" customHeight="1">
      <c r="A2545" s="834"/>
      <c r="B2545" s="603"/>
      <c r="C2545" s="109"/>
      <c r="D2545" s="594"/>
      <c r="E2545" s="594"/>
      <c r="F2545" s="594"/>
      <c r="G2545" s="756"/>
      <c r="H2545" s="824"/>
      <c r="I2545" s="825"/>
      <c r="J2545" s="826"/>
    </row>
    <row r="2546" ht="15.0" customHeight="1">
      <c r="A2546" s="834"/>
      <c r="B2546" s="603"/>
      <c r="C2546" s="109"/>
      <c r="D2546" s="594"/>
      <c r="E2546" s="594"/>
      <c r="F2546" s="594"/>
      <c r="G2546" s="756"/>
      <c r="H2546" s="824"/>
      <c r="I2546" s="825"/>
      <c r="J2546" s="826"/>
    </row>
    <row r="2547" ht="15.0" customHeight="1">
      <c r="A2547" s="834"/>
      <c r="B2547" s="603"/>
      <c r="C2547" s="109"/>
      <c r="D2547" s="594"/>
      <c r="E2547" s="594"/>
      <c r="F2547" s="594"/>
      <c r="G2547" s="756"/>
      <c r="H2547" s="824"/>
      <c r="I2547" s="825"/>
      <c r="J2547" s="826"/>
    </row>
    <row r="2548" ht="15.0" customHeight="1">
      <c r="A2548" s="834"/>
      <c r="B2548" s="603"/>
      <c r="C2548" s="109"/>
      <c r="D2548" s="594"/>
      <c r="E2548" s="594"/>
      <c r="F2548" s="594"/>
      <c r="G2548" s="756"/>
      <c r="H2548" s="824"/>
      <c r="I2548" s="825"/>
      <c r="J2548" s="826"/>
    </row>
    <row r="2549" ht="15.0" customHeight="1">
      <c r="A2549" s="834"/>
      <c r="B2549" s="603"/>
      <c r="C2549" s="109"/>
      <c r="D2549" s="594"/>
      <c r="E2549" s="594"/>
      <c r="F2549" s="594"/>
      <c r="G2549" s="756"/>
      <c r="H2549" s="824"/>
      <c r="I2549" s="825"/>
      <c r="J2549" s="826"/>
    </row>
    <row r="2550" ht="15.0" customHeight="1">
      <c r="A2550" s="834"/>
      <c r="B2550" s="603"/>
      <c r="C2550" s="109"/>
      <c r="D2550" s="594"/>
      <c r="E2550" s="594"/>
      <c r="F2550" s="594"/>
      <c r="G2550" s="756"/>
      <c r="H2550" s="824"/>
      <c r="I2550" s="825"/>
      <c r="J2550" s="826"/>
    </row>
    <row r="2551" ht="15.0" customHeight="1">
      <c r="A2551" s="834"/>
      <c r="B2551" s="603"/>
      <c r="C2551" s="109"/>
      <c r="D2551" s="594"/>
      <c r="E2551" s="594"/>
      <c r="F2551" s="594"/>
      <c r="G2551" s="756"/>
      <c r="H2551" s="824"/>
      <c r="I2551" s="825"/>
      <c r="J2551" s="826"/>
    </row>
    <row r="2552" ht="15.0" customHeight="1">
      <c r="A2552" s="834"/>
      <c r="B2552" s="603"/>
      <c r="C2552" s="109"/>
      <c r="D2552" s="594"/>
      <c r="E2552" s="594"/>
      <c r="F2552" s="594"/>
      <c r="G2552" s="756"/>
      <c r="H2552" s="824"/>
      <c r="I2552" s="825"/>
      <c r="J2552" s="826"/>
    </row>
    <row r="2553" ht="15.0" customHeight="1">
      <c r="A2553" s="834"/>
      <c r="B2553" s="603"/>
      <c r="C2553" s="109"/>
      <c r="D2553" s="594"/>
      <c r="E2553" s="594"/>
      <c r="F2553" s="594"/>
      <c r="G2553" s="756"/>
      <c r="H2553" s="824"/>
      <c r="I2553" s="825"/>
      <c r="J2553" s="826"/>
    </row>
    <row r="2554" ht="15.0" customHeight="1">
      <c r="A2554" s="834"/>
      <c r="B2554" s="603"/>
      <c r="C2554" s="109"/>
      <c r="D2554" s="594"/>
      <c r="E2554" s="594"/>
      <c r="F2554" s="594"/>
      <c r="G2554" s="756"/>
      <c r="H2554" s="824"/>
      <c r="I2554" s="825"/>
      <c r="J2554" s="826"/>
    </row>
    <row r="2555" ht="15.0" customHeight="1">
      <c r="A2555" s="834"/>
      <c r="B2555" s="603"/>
      <c r="C2555" s="109"/>
      <c r="D2555" s="594"/>
      <c r="E2555" s="594"/>
      <c r="F2555" s="594"/>
      <c r="G2555" s="756"/>
      <c r="H2555" s="824"/>
      <c r="I2555" s="825"/>
      <c r="J2555" s="826"/>
    </row>
    <row r="2556" ht="15.0" customHeight="1">
      <c r="A2556" s="834"/>
      <c r="B2556" s="603"/>
      <c r="C2556" s="109"/>
      <c r="D2556" s="594"/>
      <c r="E2556" s="594"/>
      <c r="F2556" s="594"/>
      <c r="G2556" s="756"/>
      <c r="H2556" s="824"/>
      <c r="I2556" s="825"/>
      <c r="J2556" s="826"/>
    </row>
    <row r="2557" ht="15.0" customHeight="1">
      <c r="A2557" s="834"/>
      <c r="B2557" s="603"/>
      <c r="C2557" s="109"/>
      <c r="D2557" s="594"/>
      <c r="E2557" s="594"/>
      <c r="F2557" s="594"/>
      <c r="G2557" s="756"/>
      <c r="H2557" s="824"/>
      <c r="I2557" s="825"/>
      <c r="J2557" s="826"/>
    </row>
    <row r="2558" ht="15.0" customHeight="1">
      <c r="A2558" s="834"/>
      <c r="B2558" s="603"/>
      <c r="C2558" s="109"/>
      <c r="D2558" s="594"/>
      <c r="E2558" s="594"/>
      <c r="F2558" s="594"/>
      <c r="G2558" s="756"/>
      <c r="H2558" s="824"/>
      <c r="I2558" s="825"/>
      <c r="J2558" s="826"/>
    </row>
    <row r="2559" ht="15.0" customHeight="1">
      <c r="A2559" s="834"/>
      <c r="B2559" s="603"/>
      <c r="C2559" s="109"/>
      <c r="D2559" s="594"/>
      <c r="E2559" s="594"/>
      <c r="F2559" s="594"/>
      <c r="G2559" s="756"/>
      <c r="H2559" s="824"/>
      <c r="I2559" s="825"/>
      <c r="J2559" s="826"/>
    </row>
    <row r="2560" ht="15.0" customHeight="1">
      <c r="A2560" s="834"/>
      <c r="B2560" s="603"/>
      <c r="C2560" s="109"/>
      <c r="D2560" s="594"/>
      <c r="E2560" s="594"/>
      <c r="F2560" s="594"/>
      <c r="G2560" s="756"/>
      <c r="H2560" s="824"/>
      <c r="I2560" s="825"/>
      <c r="J2560" s="826"/>
    </row>
    <row r="2561" ht="15.0" customHeight="1">
      <c r="A2561" s="834"/>
      <c r="B2561" s="603"/>
      <c r="C2561" s="109"/>
      <c r="D2561" s="594"/>
      <c r="E2561" s="594"/>
      <c r="F2561" s="594"/>
      <c r="G2561" s="756"/>
      <c r="H2561" s="824"/>
      <c r="I2561" s="825"/>
      <c r="J2561" s="826"/>
    </row>
    <row r="2562" ht="15.0" customHeight="1">
      <c r="A2562" s="834"/>
      <c r="B2562" s="603"/>
      <c r="C2562" s="109"/>
      <c r="D2562" s="594"/>
      <c r="E2562" s="594"/>
      <c r="F2562" s="594"/>
      <c r="G2562" s="756"/>
      <c r="H2562" s="824"/>
      <c r="I2562" s="825"/>
      <c r="J2562" s="826"/>
    </row>
    <row r="2563" ht="15.0" customHeight="1">
      <c r="A2563" s="834"/>
      <c r="B2563" s="603"/>
      <c r="C2563" s="109"/>
      <c r="D2563" s="594"/>
      <c r="E2563" s="594"/>
      <c r="F2563" s="594"/>
      <c r="G2563" s="756"/>
      <c r="H2563" s="824"/>
      <c r="I2563" s="825"/>
      <c r="J2563" s="826"/>
    </row>
    <row r="2564" ht="15.0" customHeight="1">
      <c r="A2564" s="834"/>
      <c r="B2564" s="603"/>
      <c r="C2564" s="109"/>
      <c r="D2564" s="594"/>
      <c r="E2564" s="594"/>
      <c r="F2564" s="594"/>
      <c r="G2564" s="756"/>
      <c r="H2564" s="824"/>
      <c r="I2564" s="825"/>
      <c r="J2564" s="826"/>
    </row>
    <row r="2565" ht="15.0" customHeight="1">
      <c r="A2565" s="834"/>
      <c r="B2565" s="603"/>
      <c r="C2565" s="109"/>
      <c r="D2565" s="594"/>
      <c r="E2565" s="594"/>
      <c r="F2565" s="594"/>
      <c r="G2565" s="756"/>
      <c r="H2565" s="824"/>
      <c r="I2565" s="825"/>
      <c r="J2565" s="826"/>
    </row>
    <row r="2566" ht="15.0" customHeight="1">
      <c r="A2566" s="834"/>
      <c r="B2566" s="603"/>
      <c r="C2566" s="109"/>
      <c r="D2566" s="594"/>
      <c r="E2566" s="594"/>
      <c r="F2566" s="594"/>
      <c r="G2566" s="756"/>
      <c r="H2566" s="824"/>
      <c r="I2566" s="825"/>
      <c r="J2566" s="826"/>
    </row>
    <row r="2567" ht="15.0" customHeight="1">
      <c r="A2567" s="834"/>
      <c r="B2567" s="603"/>
      <c r="C2567" s="109"/>
      <c r="D2567" s="594"/>
      <c r="E2567" s="594"/>
      <c r="F2567" s="594"/>
      <c r="G2567" s="756"/>
      <c r="H2567" s="824"/>
      <c r="I2567" s="825"/>
      <c r="J2567" s="826"/>
    </row>
    <row r="2568" ht="15.0" customHeight="1">
      <c r="A2568" s="834"/>
      <c r="B2568" s="603"/>
      <c r="C2568" s="109"/>
      <c r="D2568" s="594"/>
      <c r="E2568" s="594"/>
      <c r="F2568" s="594"/>
      <c r="G2568" s="756"/>
      <c r="H2568" s="824"/>
      <c r="I2568" s="825"/>
      <c r="J2568" s="826"/>
    </row>
    <row r="2569" ht="15.0" customHeight="1">
      <c r="A2569" s="834"/>
      <c r="B2569" s="603"/>
      <c r="C2569" s="109"/>
      <c r="D2569" s="594"/>
      <c r="E2569" s="594"/>
      <c r="F2569" s="594"/>
      <c r="G2569" s="756"/>
      <c r="H2569" s="824"/>
      <c r="I2569" s="825"/>
      <c r="J2569" s="826"/>
    </row>
    <row r="2570" ht="15.0" customHeight="1">
      <c r="A2570" s="834"/>
      <c r="B2570" s="603"/>
      <c r="C2570" s="109"/>
      <c r="D2570" s="594"/>
      <c r="E2570" s="594"/>
      <c r="F2570" s="594"/>
      <c r="G2570" s="756"/>
      <c r="H2570" s="824"/>
      <c r="I2570" s="825"/>
      <c r="J2570" s="826"/>
    </row>
    <row r="2571" ht="15.0" customHeight="1">
      <c r="A2571" s="834"/>
      <c r="B2571" s="603"/>
      <c r="C2571" s="109"/>
      <c r="D2571" s="594"/>
      <c r="E2571" s="594"/>
      <c r="F2571" s="594"/>
      <c r="G2571" s="756"/>
      <c r="H2571" s="824"/>
      <c r="I2571" s="825"/>
      <c r="J2571" s="826"/>
    </row>
    <row r="2572" ht="15.0" customHeight="1">
      <c r="A2572" s="834"/>
      <c r="B2572" s="603"/>
      <c r="C2572" s="109"/>
      <c r="D2572" s="594"/>
      <c r="E2572" s="594"/>
      <c r="F2572" s="594"/>
      <c r="G2572" s="756"/>
      <c r="H2572" s="824"/>
      <c r="I2572" s="825"/>
      <c r="J2572" s="826"/>
    </row>
    <row r="2573" ht="15.0" customHeight="1">
      <c r="A2573" s="834"/>
      <c r="B2573" s="603"/>
      <c r="C2573" s="109"/>
      <c r="D2573" s="594"/>
      <c r="E2573" s="594"/>
      <c r="F2573" s="594"/>
      <c r="G2573" s="756"/>
      <c r="H2573" s="824"/>
      <c r="I2573" s="825"/>
      <c r="J2573" s="826"/>
    </row>
    <row r="2574" ht="15.0" customHeight="1">
      <c r="A2574" s="834"/>
      <c r="B2574" s="603"/>
      <c r="C2574" s="109"/>
      <c r="D2574" s="594"/>
      <c r="E2574" s="594"/>
      <c r="F2574" s="594"/>
      <c r="G2574" s="756"/>
      <c r="H2574" s="824"/>
      <c r="I2574" s="825"/>
      <c r="J2574" s="826"/>
    </row>
    <row r="2575" ht="15.0" customHeight="1">
      <c r="A2575" s="834"/>
      <c r="B2575" s="603"/>
      <c r="C2575" s="109"/>
      <c r="D2575" s="594"/>
      <c r="E2575" s="594"/>
      <c r="F2575" s="594"/>
      <c r="G2575" s="756"/>
      <c r="H2575" s="824"/>
      <c r="I2575" s="825"/>
      <c r="J2575" s="826"/>
    </row>
    <row r="2576" ht="15.0" customHeight="1">
      <c r="A2576" s="834"/>
      <c r="B2576" s="603"/>
      <c r="C2576" s="109"/>
      <c r="D2576" s="594"/>
      <c r="E2576" s="594"/>
      <c r="F2576" s="594"/>
      <c r="G2576" s="756"/>
      <c r="H2576" s="824"/>
      <c r="I2576" s="825"/>
      <c r="J2576" s="826"/>
    </row>
    <row r="2577" ht="15.0" customHeight="1">
      <c r="A2577" s="834"/>
      <c r="B2577" s="603"/>
      <c r="C2577" s="109"/>
      <c r="D2577" s="594"/>
      <c r="E2577" s="594"/>
      <c r="F2577" s="594"/>
      <c r="G2577" s="756"/>
      <c r="H2577" s="824"/>
      <c r="I2577" s="825"/>
      <c r="J2577" s="826"/>
    </row>
    <row r="2578" ht="15.0" customHeight="1">
      <c r="A2578" s="834"/>
      <c r="B2578" s="603"/>
      <c r="C2578" s="109"/>
      <c r="D2578" s="594"/>
      <c r="E2578" s="594"/>
      <c r="F2578" s="594"/>
      <c r="G2578" s="756"/>
      <c r="H2578" s="824"/>
      <c r="I2578" s="825"/>
      <c r="J2578" s="826"/>
    </row>
    <row r="2579" ht="15.0" customHeight="1">
      <c r="A2579" s="834"/>
      <c r="B2579" s="603"/>
      <c r="C2579" s="109"/>
      <c r="D2579" s="594"/>
      <c r="E2579" s="594"/>
      <c r="F2579" s="594"/>
      <c r="G2579" s="756"/>
      <c r="H2579" s="824"/>
      <c r="I2579" s="825"/>
      <c r="J2579" s="826"/>
    </row>
    <row r="2580" ht="15.0" customHeight="1">
      <c r="A2580" s="834"/>
      <c r="B2580" s="603"/>
      <c r="C2580" s="109"/>
      <c r="D2580" s="594"/>
      <c r="E2580" s="594"/>
      <c r="F2580" s="594"/>
      <c r="G2580" s="756"/>
      <c r="H2580" s="824"/>
      <c r="I2580" s="825"/>
      <c r="J2580" s="826"/>
    </row>
    <row r="2581" ht="15.0" customHeight="1">
      <c r="A2581" s="834"/>
      <c r="B2581" s="603"/>
      <c r="C2581" s="109"/>
      <c r="D2581" s="594"/>
      <c r="E2581" s="594"/>
      <c r="F2581" s="594"/>
      <c r="G2581" s="756"/>
      <c r="H2581" s="824"/>
      <c r="I2581" s="825"/>
      <c r="J2581" s="826"/>
    </row>
    <row r="2582" ht="15.0" customHeight="1">
      <c r="A2582" s="834"/>
      <c r="B2582" s="603"/>
      <c r="C2582" s="109"/>
      <c r="D2582" s="594"/>
      <c r="E2582" s="594"/>
      <c r="F2582" s="594"/>
      <c r="G2582" s="756"/>
      <c r="H2582" s="824"/>
      <c r="I2582" s="825"/>
      <c r="J2582" s="826"/>
    </row>
    <row r="2583" ht="15.0" customHeight="1">
      <c r="A2583" s="834"/>
      <c r="B2583" s="603"/>
      <c r="C2583" s="109"/>
      <c r="D2583" s="594"/>
      <c r="E2583" s="594"/>
      <c r="F2583" s="594"/>
      <c r="G2583" s="756"/>
      <c r="H2583" s="824"/>
      <c r="I2583" s="825"/>
      <c r="J2583" s="826"/>
    </row>
    <row r="2584" ht="15.0" customHeight="1">
      <c r="A2584" s="834"/>
      <c r="B2584" s="603"/>
      <c r="C2584" s="109"/>
      <c r="D2584" s="594"/>
      <c r="E2584" s="594"/>
      <c r="F2584" s="594"/>
      <c r="G2584" s="756"/>
      <c r="H2584" s="824"/>
      <c r="I2584" s="825"/>
      <c r="J2584" s="826"/>
    </row>
    <row r="2585" ht="15.0" customHeight="1">
      <c r="A2585" s="834"/>
      <c r="B2585" s="603"/>
      <c r="C2585" s="109"/>
      <c r="D2585" s="594"/>
      <c r="E2585" s="594"/>
      <c r="F2585" s="594"/>
      <c r="G2585" s="756"/>
      <c r="H2585" s="824"/>
      <c r="I2585" s="825"/>
      <c r="J2585" s="826"/>
    </row>
    <row r="2586" ht="15.0" customHeight="1">
      <c r="A2586" s="834"/>
      <c r="B2586" s="603"/>
      <c r="C2586" s="109"/>
      <c r="D2586" s="594"/>
      <c r="E2586" s="594"/>
      <c r="F2586" s="594"/>
      <c r="G2586" s="756"/>
      <c r="H2586" s="824"/>
      <c r="I2586" s="825"/>
      <c r="J2586" s="826"/>
    </row>
    <row r="2587" ht="15.0" customHeight="1">
      <c r="A2587" s="834"/>
      <c r="B2587" s="603"/>
      <c r="C2587" s="109"/>
      <c r="D2587" s="594"/>
      <c r="E2587" s="594"/>
      <c r="F2587" s="594"/>
      <c r="G2587" s="756"/>
      <c r="H2587" s="824"/>
      <c r="I2587" s="825"/>
      <c r="J2587" s="826"/>
    </row>
    <row r="2588" ht="15.0" customHeight="1">
      <c r="A2588" s="834"/>
      <c r="B2588" s="603"/>
      <c r="C2588" s="109"/>
      <c r="D2588" s="594"/>
      <c r="E2588" s="594"/>
      <c r="F2588" s="594"/>
      <c r="G2588" s="756"/>
      <c r="H2588" s="824"/>
      <c r="I2588" s="825"/>
      <c r="J2588" s="826"/>
    </row>
    <row r="2589" ht="15.0" customHeight="1">
      <c r="A2589" s="834"/>
      <c r="B2589" s="603"/>
      <c r="C2589" s="109"/>
      <c r="D2589" s="594"/>
      <c r="E2589" s="594"/>
      <c r="F2589" s="594"/>
      <c r="G2589" s="756"/>
      <c r="H2589" s="824"/>
      <c r="I2589" s="825"/>
      <c r="J2589" s="826"/>
    </row>
    <row r="2590" ht="15.0" customHeight="1">
      <c r="A2590" s="834"/>
      <c r="B2590" s="603"/>
      <c r="C2590" s="109"/>
      <c r="D2590" s="594"/>
      <c r="E2590" s="594"/>
      <c r="F2590" s="594"/>
      <c r="G2590" s="756"/>
      <c r="H2590" s="824"/>
      <c r="I2590" s="825"/>
      <c r="J2590" s="826"/>
    </row>
    <row r="2591" ht="15.0" customHeight="1">
      <c r="A2591" s="834"/>
      <c r="B2591" s="603"/>
      <c r="C2591" s="109"/>
      <c r="D2591" s="594"/>
      <c r="E2591" s="594"/>
      <c r="F2591" s="594"/>
      <c r="G2591" s="756"/>
      <c r="H2591" s="824"/>
      <c r="I2591" s="825"/>
      <c r="J2591" s="826"/>
    </row>
    <row r="2592" ht="15.0" customHeight="1">
      <c r="A2592" s="834"/>
      <c r="B2592" s="603"/>
      <c r="C2592" s="109"/>
      <c r="D2592" s="594"/>
      <c r="E2592" s="594"/>
      <c r="F2592" s="594"/>
      <c r="G2592" s="756"/>
      <c r="H2592" s="824"/>
      <c r="I2592" s="825"/>
      <c r="J2592" s="826"/>
    </row>
    <row r="2593" ht="15.0" customHeight="1">
      <c r="A2593" s="834"/>
      <c r="B2593" s="603"/>
      <c r="C2593" s="109"/>
      <c r="D2593" s="594"/>
      <c r="E2593" s="594"/>
      <c r="F2593" s="594"/>
      <c r="G2593" s="756"/>
      <c r="H2593" s="824"/>
      <c r="I2593" s="825"/>
      <c r="J2593" s="826"/>
    </row>
    <row r="2594" ht="15.0" customHeight="1">
      <c r="A2594" s="834"/>
      <c r="B2594" s="603"/>
      <c r="C2594" s="109"/>
      <c r="D2594" s="594"/>
      <c r="E2594" s="594"/>
      <c r="F2594" s="594"/>
      <c r="G2594" s="756"/>
      <c r="H2594" s="824"/>
      <c r="I2594" s="825"/>
      <c r="J2594" s="826"/>
    </row>
    <row r="2595" ht="15.0" customHeight="1">
      <c r="A2595" s="834"/>
      <c r="B2595" s="603"/>
      <c r="C2595" s="109"/>
      <c r="D2595" s="594"/>
      <c r="E2595" s="594"/>
      <c r="F2595" s="594"/>
      <c r="G2595" s="756"/>
      <c r="H2595" s="824"/>
      <c r="I2595" s="825"/>
      <c r="J2595" s="826"/>
    </row>
    <row r="2596" ht="15.0" customHeight="1">
      <c r="A2596" s="834"/>
      <c r="B2596" s="603"/>
      <c r="C2596" s="109"/>
      <c r="D2596" s="594"/>
      <c r="E2596" s="594"/>
      <c r="F2596" s="594"/>
      <c r="G2596" s="756"/>
      <c r="H2596" s="824"/>
      <c r="I2596" s="825"/>
      <c r="J2596" s="826"/>
    </row>
    <row r="2597" ht="15.0" customHeight="1">
      <c r="A2597" s="834"/>
      <c r="B2597" s="603"/>
      <c r="C2597" s="109"/>
      <c r="D2597" s="594"/>
      <c r="E2597" s="594"/>
      <c r="F2597" s="594"/>
      <c r="G2597" s="756"/>
      <c r="H2597" s="824"/>
      <c r="I2597" s="825"/>
      <c r="J2597" s="826"/>
    </row>
    <row r="2598" ht="15.0" customHeight="1">
      <c r="A2598" s="834"/>
      <c r="B2598" s="603"/>
      <c r="C2598" s="109"/>
      <c r="D2598" s="594"/>
      <c r="E2598" s="594"/>
      <c r="F2598" s="594"/>
      <c r="G2598" s="756"/>
      <c r="H2598" s="824"/>
      <c r="I2598" s="825"/>
      <c r="J2598" s="826"/>
    </row>
    <row r="2599" ht="15.0" customHeight="1">
      <c r="A2599" s="834"/>
      <c r="B2599" s="603"/>
      <c r="C2599" s="109"/>
      <c r="D2599" s="594"/>
      <c r="E2599" s="594"/>
      <c r="F2599" s="594"/>
      <c r="G2599" s="756"/>
      <c r="H2599" s="824"/>
      <c r="I2599" s="825"/>
      <c r="J2599" s="826"/>
    </row>
    <row r="2600" ht="15.0" customHeight="1">
      <c r="A2600" s="834"/>
      <c r="B2600" s="603"/>
      <c r="C2600" s="109"/>
      <c r="D2600" s="594"/>
      <c r="E2600" s="594"/>
      <c r="F2600" s="594"/>
      <c r="G2600" s="756"/>
      <c r="H2600" s="824"/>
      <c r="I2600" s="825"/>
      <c r="J2600" s="826"/>
    </row>
    <row r="2601" ht="15.0" customHeight="1">
      <c r="A2601" s="834"/>
      <c r="B2601" s="603"/>
      <c r="C2601" s="109"/>
      <c r="D2601" s="594"/>
      <c r="E2601" s="594"/>
      <c r="F2601" s="594"/>
      <c r="G2601" s="756"/>
      <c r="H2601" s="824"/>
      <c r="I2601" s="825"/>
      <c r="J2601" s="826"/>
    </row>
    <row r="2602" ht="15.0" customHeight="1">
      <c r="A2602" s="834"/>
      <c r="B2602" s="603"/>
      <c r="C2602" s="109"/>
      <c r="D2602" s="594"/>
      <c r="E2602" s="594"/>
      <c r="F2602" s="594"/>
      <c r="G2602" s="756"/>
      <c r="H2602" s="824"/>
      <c r="I2602" s="825"/>
      <c r="J2602" s="826"/>
    </row>
    <row r="2603" ht="15.0" customHeight="1">
      <c r="A2603" s="834"/>
      <c r="B2603" s="603"/>
      <c r="C2603" s="109"/>
      <c r="D2603" s="594"/>
      <c r="E2603" s="594"/>
      <c r="F2603" s="594"/>
      <c r="G2603" s="756"/>
      <c r="H2603" s="824"/>
      <c r="I2603" s="825"/>
      <c r="J2603" s="826"/>
    </row>
    <row r="2604" ht="15.0" customHeight="1">
      <c r="A2604" s="834"/>
      <c r="B2604" s="603"/>
      <c r="C2604" s="109"/>
      <c r="D2604" s="594"/>
      <c r="E2604" s="594"/>
      <c r="F2604" s="594"/>
      <c r="G2604" s="756"/>
      <c r="H2604" s="824"/>
      <c r="I2604" s="825"/>
      <c r="J2604" s="826"/>
    </row>
    <row r="2605" ht="15.0" customHeight="1">
      <c r="A2605" s="834"/>
      <c r="B2605" s="603"/>
      <c r="C2605" s="109"/>
      <c r="D2605" s="594"/>
      <c r="E2605" s="594"/>
      <c r="F2605" s="594"/>
      <c r="G2605" s="756"/>
      <c r="H2605" s="824"/>
      <c r="I2605" s="825"/>
      <c r="J2605" s="826"/>
    </row>
    <row r="2606" ht="15.0" customHeight="1">
      <c r="A2606" s="834"/>
      <c r="B2606" s="603"/>
      <c r="C2606" s="109"/>
      <c r="D2606" s="594"/>
      <c r="E2606" s="594"/>
      <c r="F2606" s="594"/>
      <c r="G2606" s="756"/>
      <c r="H2606" s="824"/>
      <c r="I2606" s="825"/>
      <c r="J2606" s="826"/>
    </row>
    <row r="2607" ht="15.0" customHeight="1">
      <c r="A2607" s="834"/>
      <c r="B2607" s="603"/>
      <c r="C2607" s="109"/>
      <c r="D2607" s="594"/>
      <c r="E2607" s="594"/>
      <c r="F2607" s="594"/>
      <c r="G2607" s="756"/>
      <c r="H2607" s="824"/>
      <c r="I2607" s="825"/>
      <c r="J2607" s="826"/>
    </row>
    <row r="2608" ht="15.0" customHeight="1">
      <c r="A2608" s="834"/>
      <c r="B2608" s="603"/>
      <c r="C2608" s="109"/>
      <c r="D2608" s="594"/>
      <c r="E2608" s="594"/>
      <c r="F2608" s="594"/>
      <c r="G2608" s="756"/>
      <c r="H2608" s="824"/>
      <c r="I2608" s="825"/>
      <c r="J2608" s="826"/>
    </row>
    <row r="2609" ht="15.0" customHeight="1">
      <c r="A2609" s="834"/>
      <c r="B2609" s="603"/>
      <c r="C2609" s="109"/>
      <c r="D2609" s="594"/>
      <c r="E2609" s="594"/>
      <c r="F2609" s="594"/>
      <c r="G2609" s="756"/>
      <c r="H2609" s="824"/>
      <c r="I2609" s="825"/>
      <c r="J2609" s="826"/>
    </row>
    <row r="2610" ht="15.0" customHeight="1">
      <c r="A2610" s="834"/>
      <c r="B2610" s="603"/>
      <c r="C2610" s="109"/>
      <c r="D2610" s="594"/>
      <c r="E2610" s="594"/>
      <c r="F2610" s="594"/>
      <c r="G2610" s="756"/>
      <c r="H2610" s="824"/>
      <c r="I2610" s="825"/>
      <c r="J2610" s="826"/>
    </row>
    <row r="2611" ht="15.0" customHeight="1">
      <c r="A2611" s="834"/>
      <c r="B2611" s="603"/>
      <c r="C2611" s="109"/>
      <c r="D2611" s="594"/>
      <c r="E2611" s="594"/>
      <c r="F2611" s="594"/>
      <c r="G2611" s="756"/>
      <c r="H2611" s="824"/>
      <c r="I2611" s="825"/>
      <c r="J2611" s="826"/>
    </row>
    <row r="2612" ht="15.0" customHeight="1">
      <c r="A2612" s="834"/>
      <c r="B2612" s="603"/>
      <c r="C2612" s="109"/>
      <c r="D2612" s="594"/>
      <c r="E2612" s="594"/>
      <c r="F2612" s="594"/>
      <c r="G2612" s="756"/>
      <c r="H2612" s="824"/>
      <c r="I2612" s="825"/>
      <c r="J2612" s="826"/>
    </row>
    <row r="2613" ht="15.0" customHeight="1">
      <c r="A2613" s="834"/>
      <c r="B2613" s="603"/>
      <c r="C2613" s="109"/>
      <c r="D2613" s="594"/>
      <c r="E2613" s="594"/>
      <c r="F2613" s="594"/>
      <c r="G2613" s="756"/>
      <c r="H2613" s="824"/>
      <c r="I2613" s="825"/>
      <c r="J2613" s="826"/>
    </row>
    <row r="2614" ht="15.0" customHeight="1">
      <c r="A2614" s="834"/>
      <c r="B2614" s="603"/>
      <c r="C2614" s="109"/>
      <c r="D2614" s="594"/>
      <c r="E2614" s="594"/>
      <c r="F2614" s="594"/>
      <c r="G2614" s="756"/>
      <c r="H2614" s="824"/>
      <c r="I2614" s="825"/>
      <c r="J2614" s="826"/>
    </row>
    <row r="2615" ht="15.0" customHeight="1">
      <c r="A2615" s="834"/>
      <c r="B2615" s="603"/>
      <c r="C2615" s="109"/>
      <c r="D2615" s="594"/>
      <c r="E2615" s="594"/>
      <c r="F2615" s="594"/>
      <c r="G2615" s="756"/>
      <c r="H2615" s="824"/>
      <c r="I2615" s="825"/>
      <c r="J2615" s="826"/>
    </row>
    <row r="2616" ht="15.0" customHeight="1">
      <c r="A2616" s="834"/>
      <c r="B2616" s="603"/>
      <c r="C2616" s="109"/>
      <c r="D2616" s="594"/>
      <c r="E2616" s="594"/>
      <c r="F2616" s="594"/>
      <c r="G2616" s="756"/>
      <c r="H2616" s="824"/>
      <c r="I2616" s="825"/>
      <c r="J2616" s="826"/>
    </row>
    <row r="2617" ht="15.0" customHeight="1">
      <c r="A2617" s="834"/>
      <c r="B2617" s="603"/>
      <c r="C2617" s="109"/>
      <c r="D2617" s="594"/>
      <c r="E2617" s="594"/>
      <c r="F2617" s="594"/>
      <c r="G2617" s="756"/>
      <c r="H2617" s="824"/>
      <c r="I2617" s="825"/>
      <c r="J2617" s="826"/>
    </row>
    <row r="2618" ht="15.0" customHeight="1">
      <c r="A2618" s="834"/>
      <c r="B2618" s="603"/>
      <c r="C2618" s="109"/>
      <c r="D2618" s="594"/>
      <c r="E2618" s="594"/>
      <c r="F2618" s="594"/>
      <c r="G2618" s="756"/>
      <c r="H2618" s="824"/>
      <c r="I2618" s="825"/>
      <c r="J2618" s="826"/>
    </row>
    <row r="2619" ht="15.0" customHeight="1">
      <c r="A2619" s="834"/>
      <c r="B2619" s="603"/>
      <c r="C2619" s="109"/>
      <c r="D2619" s="594"/>
      <c r="E2619" s="594"/>
      <c r="F2619" s="594"/>
      <c r="G2619" s="756"/>
      <c r="H2619" s="824"/>
      <c r="I2619" s="825"/>
      <c r="J2619" s="826"/>
    </row>
    <row r="2620" ht="15.0" customHeight="1">
      <c r="A2620" s="834"/>
      <c r="B2620" s="603"/>
      <c r="C2620" s="109"/>
      <c r="D2620" s="594"/>
      <c r="E2620" s="594"/>
      <c r="F2620" s="594"/>
      <c r="G2620" s="756"/>
      <c r="H2620" s="824"/>
      <c r="I2620" s="825"/>
      <c r="J2620" s="826"/>
    </row>
    <row r="2621" ht="15.0" customHeight="1">
      <c r="A2621" s="834"/>
      <c r="B2621" s="603"/>
      <c r="C2621" s="109"/>
      <c r="D2621" s="594"/>
      <c r="E2621" s="594"/>
      <c r="F2621" s="594"/>
      <c r="G2621" s="756"/>
      <c r="H2621" s="824"/>
      <c r="I2621" s="825"/>
      <c r="J2621" s="826"/>
    </row>
    <row r="2622" ht="15.0" customHeight="1">
      <c r="A2622" s="834"/>
      <c r="B2622" s="603"/>
      <c r="C2622" s="109"/>
      <c r="D2622" s="594"/>
      <c r="E2622" s="594"/>
      <c r="F2622" s="594"/>
      <c r="G2622" s="756"/>
      <c r="H2622" s="824"/>
      <c r="I2622" s="825"/>
      <c r="J2622" s="826"/>
    </row>
    <row r="2623" ht="15.0" customHeight="1">
      <c r="A2623" s="834"/>
      <c r="B2623" s="603"/>
      <c r="C2623" s="109"/>
      <c r="D2623" s="594"/>
      <c r="E2623" s="594"/>
      <c r="F2623" s="594"/>
      <c r="G2623" s="756"/>
      <c r="H2623" s="824"/>
      <c r="I2623" s="825"/>
      <c r="J2623" s="826"/>
    </row>
    <row r="2624" ht="15.0" customHeight="1">
      <c r="A2624" s="834"/>
      <c r="B2624" s="603"/>
      <c r="C2624" s="109"/>
      <c r="D2624" s="594"/>
      <c r="E2624" s="594"/>
      <c r="F2624" s="594"/>
      <c r="G2624" s="756"/>
      <c r="H2624" s="824"/>
      <c r="I2624" s="825"/>
      <c r="J2624" s="826"/>
    </row>
    <row r="2625" ht="15.0" customHeight="1">
      <c r="A2625" s="834"/>
      <c r="B2625" s="603"/>
      <c r="C2625" s="109"/>
      <c r="D2625" s="594"/>
      <c r="E2625" s="594"/>
      <c r="F2625" s="594"/>
      <c r="G2625" s="756"/>
      <c r="H2625" s="824"/>
      <c r="I2625" s="825"/>
      <c r="J2625" s="826"/>
    </row>
    <row r="2626" ht="15.0" customHeight="1">
      <c r="A2626" s="834"/>
      <c r="B2626" s="603"/>
      <c r="C2626" s="109"/>
      <c r="D2626" s="594"/>
      <c r="E2626" s="594"/>
      <c r="F2626" s="594"/>
      <c r="G2626" s="756"/>
      <c r="H2626" s="824"/>
      <c r="I2626" s="825"/>
      <c r="J2626" s="826"/>
    </row>
    <row r="2627" ht="15.0" customHeight="1">
      <c r="A2627" s="834"/>
      <c r="B2627" s="603"/>
      <c r="C2627" s="109"/>
      <c r="D2627" s="594"/>
      <c r="E2627" s="594"/>
      <c r="F2627" s="594"/>
      <c r="G2627" s="756"/>
      <c r="H2627" s="824"/>
      <c r="I2627" s="825"/>
      <c r="J2627" s="826"/>
    </row>
    <row r="2628" ht="15.0" customHeight="1">
      <c r="A2628" s="834"/>
      <c r="B2628" s="603"/>
      <c r="C2628" s="109"/>
      <c r="D2628" s="594"/>
      <c r="E2628" s="594"/>
      <c r="F2628" s="594"/>
      <c r="G2628" s="756"/>
      <c r="H2628" s="824"/>
      <c r="I2628" s="825"/>
      <c r="J2628" s="826"/>
    </row>
    <row r="2629" ht="15.0" customHeight="1">
      <c r="A2629" s="834"/>
      <c r="B2629" s="603"/>
      <c r="C2629" s="109"/>
      <c r="D2629" s="594"/>
      <c r="E2629" s="594"/>
      <c r="F2629" s="594"/>
      <c r="G2629" s="756"/>
      <c r="H2629" s="824"/>
      <c r="I2629" s="825"/>
      <c r="J2629" s="826"/>
    </row>
    <row r="2630" ht="15.0" customHeight="1">
      <c r="A2630" s="834"/>
      <c r="B2630" s="603"/>
      <c r="C2630" s="109"/>
      <c r="D2630" s="594"/>
      <c r="E2630" s="594"/>
      <c r="F2630" s="594"/>
      <c r="G2630" s="756"/>
      <c r="H2630" s="824"/>
      <c r="I2630" s="825"/>
      <c r="J2630" s="826"/>
    </row>
    <row r="2631" ht="15.0" customHeight="1">
      <c r="A2631" s="834"/>
      <c r="B2631" s="603"/>
      <c r="C2631" s="109"/>
      <c r="D2631" s="594"/>
      <c r="E2631" s="594"/>
      <c r="F2631" s="594"/>
      <c r="G2631" s="756"/>
      <c r="H2631" s="824"/>
      <c r="I2631" s="825"/>
      <c r="J2631" s="826"/>
    </row>
    <row r="2632" ht="15.0" customHeight="1">
      <c r="A2632" s="834"/>
      <c r="B2632" s="603"/>
      <c r="C2632" s="109"/>
      <c r="D2632" s="594"/>
      <c r="E2632" s="594"/>
      <c r="F2632" s="594"/>
      <c r="G2632" s="756"/>
      <c r="H2632" s="824"/>
      <c r="I2632" s="825"/>
      <c r="J2632" s="826"/>
    </row>
    <row r="2633" ht="15.0" customHeight="1">
      <c r="A2633" s="834"/>
      <c r="B2633" s="603"/>
      <c r="C2633" s="109"/>
      <c r="D2633" s="594"/>
      <c r="E2633" s="594"/>
      <c r="F2633" s="594"/>
      <c r="G2633" s="756"/>
      <c r="H2633" s="824"/>
      <c r="I2633" s="825"/>
      <c r="J2633" s="826"/>
    </row>
    <row r="2634" ht="15.0" customHeight="1">
      <c r="A2634" s="834"/>
      <c r="B2634" s="603"/>
      <c r="C2634" s="109"/>
      <c r="D2634" s="594"/>
      <c r="E2634" s="594"/>
      <c r="F2634" s="594"/>
      <c r="G2634" s="756"/>
      <c r="H2634" s="824"/>
      <c r="I2634" s="825"/>
      <c r="J2634" s="826"/>
    </row>
    <row r="2635" ht="15.0" customHeight="1">
      <c r="A2635" s="834"/>
      <c r="B2635" s="603"/>
      <c r="C2635" s="109"/>
      <c r="D2635" s="594"/>
      <c r="E2635" s="594"/>
      <c r="F2635" s="594"/>
      <c r="G2635" s="756"/>
      <c r="H2635" s="824"/>
      <c r="I2635" s="825"/>
      <c r="J2635" s="826"/>
    </row>
    <row r="2636" ht="15.0" customHeight="1">
      <c r="A2636" s="834"/>
      <c r="B2636" s="603"/>
      <c r="C2636" s="109"/>
      <c r="D2636" s="594"/>
      <c r="E2636" s="594"/>
      <c r="F2636" s="594"/>
      <c r="G2636" s="756"/>
      <c r="H2636" s="824"/>
      <c r="I2636" s="825"/>
      <c r="J2636" s="826"/>
    </row>
    <row r="2637" ht="15.0" customHeight="1">
      <c r="A2637" s="834"/>
      <c r="B2637" s="603"/>
      <c r="C2637" s="109"/>
      <c r="D2637" s="594"/>
      <c r="E2637" s="594"/>
      <c r="F2637" s="594"/>
      <c r="G2637" s="756"/>
      <c r="H2637" s="824"/>
      <c r="I2637" s="825"/>
      <c r="J2637" s="826"/>
    </row>
    <row r="2638" ht="15.0" customHeight="1">
      <c r="A2638" s="834"/>
      <c r="B2638" s="603"/>
      <c r="C2638" s="109"/>
      <c r="D2638" s="594"/>
      <c r="E2638" s="594"/>
      <c r="F2638" s="594"/>
      <c r="G2638" s="756"/>
      <c r="H2638" s="824"/>
      <c r="I2638" s="825"/>
      <c r="J2638" s="826"/>
    </row>
    <row r="2639" ht="15.0" customHeight="1">
      <c r="A2639" s="834"/>
      <c r="B2639" s="603"/>
      <c r="C2639" s="109"/>
      <c r="D2639" s="594"/>
      <c r="E2639" s="594"/>
      <c r="F2639" s="594"/>
      <c r="G2639" s="756"/>
      <c r="H2639" s="824"/>
      <c r="I2639" s="825"/>
      <c r="J2639" s="826"/>
    </row>
    <row r="2640" ht="15.0" customHeight="1">
      <c r="A2640" s="834"/>
      <c r="B2640" s="603"/>
      <c r="C2640" s="109"/>
      <c r="D2640" s="594"/>
      <c r="E2640" s="594"/>
      <c r="F2640" s="594"/>
      <c r="G2640" s="756"/>
      <c r="H2640" s="824"/>
      <c r="I2640" s="825"/>
      <c r="J2640" s="826"/>
    </row>
    <row r="2641" ht="15.0" customHeight="1">
      <c r="A2641" s="834"/>
      <c r="B2641" s="603"/>
      <c r="C2641" s="109"/>
      <c r="D2641" s="594"/>
      <c r="E2641" s="594"/>
      <c r="F2641" s="594"/>
      <c r="G2641" s="756"/>
      <c r="H2641" s="824"/>
      <c r="I2641" s="825"/>
      <c r="J2641" s="826"/>
    </row>
    <row r="2642" ht="15.0" customHeight="1">
      <c r="A2642" s="834"/>
      <c r="B2642" s="603"/>
      <c r="C2642" s="109"/>
      <c r="D2642" s="594"/>
      <c r="E2642" s="594"/>
      <c r="F2642" s="594"/>
      <c r="G2642" s="756"/>
      <c r="H2642" s="824"/>
      <c r="I2642" s="825"/>
      <c r="J2642" s="826"/>
    </row>
    <row r="2643" ht="15.0" customHeight="1">
      <c r="A2643" s="834"/>
      <c r="B2643" s="603"/>
      <c r="C2643" s="109"/>
      <c r="D2643" s="594"/>
      <c r="E2643" s="594"/>
      <c r="F2643" s="594"/>
      <c r="G2643" s="756"/>
      <c r="H2643" s="824"/>
      <c r="I2643" s="825"/>
      <c r="J2643" s="826"/>
    </row>
    <row r="2644" ht="15.0" customHeight="1">
      <c r="A2644" s="834"/>
      <c r="B2644" s="603"/>
      <c r="C2644" s="109"/>
      <c r="D2644" s="594"/>
      <c r="E2644" s="594"/>
      <c r="F2644" s="594"/>
      <c r="G2644" s="756"/>
      <c r="H2644" s="824"/>
      <c r="I2644" s="825"/>
      <c r="J2644" s="826"/>
    </row>
    <row r="2645" ht="15.0" customHeight="1">
      <c r="A2645" s="834"/>
      <c r="B2645" s="603"/>
      <c r="C2645" s="109"/>
      <c r="D2645" s="594"/>
      <c r="E2645" s="594"/>
      <c r="F2645" s="594"/>
      <c r="G2645" s="756"/>
      <c r="H2645" s="824"/>
      <c r="I2645" s="825"/>
      <c r="J2645" s="826"/>
    </row>
    <row r="2646" ht="15.0" customHeight="1">
      <c r="A2646" s="834"/>
      <c r="B2646" s="603"/>
      <c r="C2646" s="109"/>
      <c r="D2646" s="594"/>
      <c r="E2646" s="594"/>
      <c r="F2646" s="594"/>
      <c r="G2646" s="756"/>
      <c r="H2646" s="824"/>
      <c r="I2646" s="825"/>
      <c r="J2646" s="826"/>
    </row>
    <row r="2647" ht="15.0" customHeight="1">
      <c r="A2647" s="834"/>
      <c r="B2647" s="603"/>
      <c r="C2647" s="109"/>
      <c r="D2647" s="594"/>
      <c r="E2647" s="594"/>
      <c r="F2647" s="594"/>
      <c r="G2647" s="756"/>
      <c r="H2647" s="824"/>
      <c r="I2647" s="825"/>
      <c r="J2647" s="826"/>
    </row>
    <row r="2648" ht="15.0" customHeight="1">
      <c r="A2648" s="834"/>
      <c r="B2648" s="603"/>
      <c r="C2648" s="109"/>
      <c r="D2648" s="594"/>
      <c r="E2648" s="594"/>
      <c r="F2648" s="594"/>
      <c r="G2648" s="756"/>
      <c r="H2648" s="824"/>
      <c r="I2648" s="825"/>
      <c r="J2648" s="826"/>
    </row>
    <row r="2649" ht="15.0" customHeight="1">
      <c r="A2649" s="834"/>
      <c r="B2649" s="603"/>
      <c r="C2649" s="109"/>
      <c r="D2649" s="594"/>
      <c r="E2649" s="594"/>
      <c r="F2649" s="594"/>
      <c r="G2649" s="756"/>
      <c r="H2649" s="824"/>
      <c r="I2649" s="825"/>
      <c r="J2649" s="826"/>
    </row>
    <row r="2650" ht="15.0" customHeight="1">
      <c r="A2650" s="834"/>
      <c r="B2650" s="603"/>
      <c r="C2650" s="109"/>
      <c r="D2650" s="594"/>
      <c r="E2650" s="594"/>
      <c r="F2650" s="594"/>
      <c r="G2650" s="756"/>
      <c r="H2650" s="824"/>
      <c r="I2650" s="825"/>
      <c r="J2650" s="826"/>
    </row>
    <row r="2651" ht="15.0" customHeight="1">
      <c r="A2651" s="834"/>
      <c r="B2651" s="603"/>
      <c r="C2651" s="109"/>
      <c r="D2651" s="594"/>
      <c r="E2651" s="594"/>
      <c r="F2651" s="594"/>
      <c r="G2651" s="756"/>
      <c r="H2651" s="824"/>
      <c r="I2651" s="825"/>
      <c r="J2651" s="826"/>
    </row>
    <row r="2652" ht="15.0" customHeight="1">
      <c r="A2652" s="834"/>
      <c r="B2652" s="603"/>
      <c r="C2652" s="109"/>
      <c r="D2652" s="594"/>
      <c r="E2652" s="594"/>
      <c r="F2652" s="594"/>
      <c r="G2652" s="756"/>
      <c r="H2652" s="824"/>
      <c r="I2652" s="825"/>
      <c r="J2652" s="826"/>
    </row>
    <row r="2653" ht="15.0" customHeight="1">
      <c r="A2653" s="834"/>
      <c r="B2653" s="603"/>
      <c r="C2653" s="109"/>
      <c r="D2653" s="594"/>
      <c r="E2653" s="594"/>
      <c r="F2653" s="594"/>
      <c r="G2653" s="756"/>
      <c r="H2653" s="824"/>
      <c r="I2653" s="825"/>
      <c r="J2653" s="826"/>
    </row>
    <row r="2654" ht="15.0" customHeight="1">
      <c r="A2654" s="834"/>
      <c r="B2654" s="603"/>
      <c r="C2654" s="109"/>
      <c r="D2654" s="594"/>
      <c r="E2654" s="594"/>
      <c r="F2654" s="594"/>
      <c r="G2654" s="756"/>
      <c r="H2654" s="824"/>
      <c r="I2654" s="825"/>
      <c r="J2654" s="826"/>
    </row>
    <row r="2655" ht="15.0" customHeight="1">
      <c r="A2655" s="834"/>
      <c r="B2655" s="603"/>
      <c r="C2655" s="109"/>
      <c r="D2655" s="594"/>
      <c r="E2655" s="594"/>
      <c r="F2655" s="594"/>
      <c r="G2655" s="756"/>
      <c r="H2655" s="824"/>
      <c r="I2655" s="825"/>
      <c r="J2655" s="826"/>
    </row>
    <row r="2656" ht="15.0" customHeight="1">
      <c r="A2656" s="834"/>
      <c r="B2656" s="603"/>
      <c r="C2656" s="109"/>
      <c r="D2656" s="594"/>
      <c r="E2656" s="594"/>
      <c r="F2656" s="594"/>
      <c r="G2656" s="756"/>
      <c r="H2656" s="824"/>
      <c r="I2656" s="825"/>
      <c r="J2656" s="826"/>
    </row>
    <row r="2657" ht="15.0" customHeight="1">
      <c r="A2657" s="834"/>
      <c r="B2657" s="603"/>
      <c r="C2657" s="109"/>
      <c r="D2657" s="594"/>
      <c r="E2657" s="594"/>
      <c r="F2657" s="594"/>
      <c r="G2657" s="756"/>
      <c r="H2657" s="824"/>
      <c r="I2657" s="825"/>
      <c r="J2657" s="826"/>
    </row>
    <row r="2658" ht="15.0" customHeight="1">
      <c r="A2658" s="834"/>
      <c r="B2658" s="603"/>
      <c r="C2658" s="109"/>
      <c r="D2658" s="594"/>
      <c r="E2658" s="594"/>
      <c r="F2658" s="594"/>
      <c r="G2658" s="756"/>
      <c r="H2658" s="824"/>
      <c r="I2658" s="825"/>
      <c r="J2658" s="826"/>
    </row>
    <row r="2659" ht="15.0" customHeight="1">
      <c r="A2659" s="834"/>
      <c r="B2659" s="603"/>
      <c r="C2659" s="109"/>
      <c r="D2659" s="594"/>
      <c r="E2659" s="594"/>
      <c r="F2659" s="594"/>
      <c r="G2659" s="756"/>
      <c r="H2659" s="824"/>
      <c r="I2659" s="825"/>
      <c r="J2659" s="826"/>
    </row>
    <row r="2660" ht="15.0" customHeight="1">
      <c r="A2660" s="834"/>
      <c r="B2660" s="603"/>
      <c r="C2660" s="109"/>
      <c r="D2660" s="594"/>
      <c r="E2660" s="594"/>
      <c r="F2660" s="594"/>
      <c r="G2660" s="756"/>
      <c r="H2660" s="824"/>
      <c r="I2660" s="825"/>
      <c r="J2660" s="826"/>
    </row>
    <row r="2661" ht="15.0" customHeight="1">
      <c r="A2661" s="834"/>
      <c r="B2661" s="603"/>
      <c r="C2661" s="109"/>
      <c r="D2661" s="594"/>
      <c r="E2661" s="594"/>
      <c r="F2661" s="594"/>
      <c r="G2661" s="756"/>
      <c r="H2661" s="824"/>
      <c r="I2661" s="825"/>
      <c r="J2661" s="826"/>
    </row>
    <row r="2662" ht="15.0" customHeight="1">
      <c r="A2662" s="834"/>
      <c r="B2662" s="603"/>
      <c r="C2662" s="109"/>
      <c r="D2662" s="594"/>
      <c r="E2662" s="594"/>
      <c r="F2662" s="594"/>
      <c r="G2662" s="756"/>
      <c r="H2662" s="824"/>
      <c r="I2662" s="825"/>
      <c r="J2662" s="826"/>
    </row>
    <row r="2663" ht="15.0" customHeight="1">
      <c r="A2663" s="834"/>
      <c r="B2663" s="603"/>
      <c r="C2663" s="109"/>
      <c r="D2663" s="594"/>
      <c r="E2663" s="594"/>
      <c r="F2663" s="594"/>
      <c r="G2663" s="756"/>
      <c r="H2663" s="824"/>
      <c r="I2663" s="825"/>
      <c r="J2663" s="826"/>
    </row>
    <row r="2664" ht="15.0" customHeight="1">
      <c r="A2664" s="834"/>
      <c r="B2664" s="603"/>
      <c r="C2664" s="109"/>
      <c r="D2664" s="594"/>
      <c r="E2664" s="594"/>
      <c r="F2664" s="594"/>
      <c r="G2664" s="756"/>
      <c r="H2664" s="824"/>
      <c r="I2664" s="825"/>
      <c r="J2664" s="826"/>
    </row>
    <row r="2665" ht="15.0" customHeight="1">
      <c r="A2665" s="834"/>
      <c r="B2665" s="603"/>
      <c r="C2665" s="109"/>
      <c r="D2665" s="594"/>
      <c r="E2665" s="594"/>
      <c r="F2665" s="594"/>
      <c r="G2665" s="756"/>
      <c r="H2665" s="824"/>
      <c r="I2665" s="825"/>
      <c r="J2665" s="826"/>
    </row>
    <row r="2666" ht="15.0" customHeight="1">
      <c r="A2666" s="834"/>
      <c r="B2666" s="603"/>
      <c r="C2666" s="109"/>
      <c r="D2666" s="594"/>
      <c r="E2666" s="594"/>
      <c r="F2666" s="594"/>
      <c r="G2666" s="756"/>
      <c r="H2666" s="824"/>
      <c r="I2666" s="825"/>
      <c r="J2666" s="826"/>
    </row>
    <row r="2667" ht="15.0" customHeight="1">
      <c r="A2667" s="834"/>
      <c r="B2667" s="603"/>
      <c r="C2667" s="109"/>
      <c r="D2667" s="594"/>
      <c r="E2667" s="594"/>
      <c r="F2667" s="594"/>
      <c r="G2667" s="756"/>
      <c r="H2667" s="824"/>
      <c r="I2667" s="825"/>
      <c r="J2667" s="826"/>
    </row>
    <row r="2668" ht="15.0" customHeight="1">
      <c r="A2668" s="834"/>
      <c r="B2668" s="603"/>
      <c r="C2668" s="109"/>
      <c r="D2668" s="594"/>
      <c r="E2668" s="594"/>
      <c r="F2668" s="594"/>
      <c r="G2668" s="756"/>
      <c r="H2668" s="824"/>
      <c r="I2668" s="825"/>
      <c r="J2668" s="826"/>
    </row>
    <row r="2669" ht="15.0" customHeight="1">
      <c r="A2669" s="834"/>
      <c r="B2669" s="603"/>
      <c r="C2669" s="109"/>
      <c r="D2669" s="594"/>
      <c r="E2669" s="594"/>
      <c r="F2669" s="594"/>
      <c r="G2669" s="756"/>
      <c r="H2669" s="824"/>
      <c r="I2669" s="825"/>
      <c r="J2669" s="826"/>
    </row>
    <row r="2670" ht="15.0" customHeight="1">
      <c r="A2670" s="834"/>
      <c r="B2670" s="603"/>
      <c r="C2670" s="109"/>
      <c r="D2670" s="594"/>
      <c r="E2670" s="594"/>
      <c r="F2670" s="594"/>
      <c r="G2670" s="756"/>
      <c r="H2670" s="824"/>
      <c r="I2670" s="825"/>
      <c r="J2670" s="826"/>
    </row>
    <row r="2671" ht="15.0" customHeight="1">
      <c r="A2671" s="834"/>
      <c r="B2671" s="603"/>
      <c r="C2671" s="109"/>
      <c r="D2671" s="594"/>
      <c r="E2671" s="594"/>
      <c r="F2671" s="594"/>
      <c r="G2671" s="756"/>
      <c r="H2671" s="824"/>
      <c r="I2671" s="825"/>
      <c r="J2671" s="826"/>
    </row>
    <row r="2672" ht="15.0" customHeight="1">
      <c r="A2672" s="834"/>
      <c r="B2672" s="603"/>
      <c r="C2672" s="109"/>
      <c r="D2672" s="594"/>
      <c r="E2672" s="594"/>
      <c r="F2672" s="594"/>
      <c r="G2672" s="756"/>
      <c r="H2672" s="824"/>
      <c r="I2672" s="825"/>
      <c r="J2672" s="826"/>
    </row>
    <row r="2673" ht="15.0" customHeight="1">
      <c r="A2673" s="834"/>
      <c r="B2673" s="603"/>
      <c r="C2673" s="109"/>
      <c r="D2673" s="594"/>
      <c r="E2673" s="594"/>
      <c r="F2673" s="594"/>
      <c r="G2673" s="756"/>
      <c r="H2673" s="824"/>
      <c r="I2673" s="825"/>
      <c r="J2673" s="826"/>
    </row>
    <row r="2674" ht="15.0" customHeight="1">
      <c r="A2674" s="834"/>
      <c r="B2674" s="603"/>
      <c r="C2674" s="109"/>
      <c r="D2674" s="594"/>
      <c r="E2674" s="594"/>
      <c r="F2674" s="594"/>
      <c r="G2674" s="756"/>
      <c r="H2674" s="824"/>
      <c r="I2674" s="825"/>
      <c r="J2674" s="826"/>
    </row>
    <row r="2675" ht="15.0" customHeight="1">
      <c r="A2675" s="834"/>
      <c r="B2675" s="603"/>
      <c r="C2675" s="109"/>
      <c r="D2675" s="594"/>
      <c r="E2675" s="594"/>
      <c r="F2675" s="594"/>
      <c r="G2675" s="756"/>
      <c r="H2675" s="824"/>
      <c r="I2675" s="825"/>
      <c r="J2675" s="826"/>
    </row>
    <row r="2676" ht="15.0" customHeight="1">
      <c r="A2676" s="834"/>
      <c r="B2676" s="603"/>
      <c r="C2676" s="109"/>
      <c r="D2676" s="594"/>
      <c r="E2676" s="594"/>
      <c r="F2676" s="594"/>
      <c r="G2676" s="756"/>
      <c r="H2676" s="824"/>
      <c r="I2676" s="825"/>
      <c r="J2676" s="826"/>
    </row>
    <row r="2677" ht="15.0" customHeight="1">
      <c r="A2677" s="834"/>
      <c r="B2677" s="603"/>
      <c r="C2677" s="109"/>
      <c r="D2677" s="594"/>
      <c r="E2677" s="594"/>
      <c r="F2677" s="594"/>
      <c r="G2677" s="756"/>
      <c r="H2677" s="824"/>
      <c r="I2677" s="825"/>
      <c r="J2677" s="826"/>
    </row>
    <row r="2678" ht="15.0" customHeight="1">
      <c r="A2678" s="834"/>
      <c r="B2678" s="603"/>
      <c r="C2678" s="109"/>
      <c r="D2678" s="594"/>
      <c r="E2678" s="594"/>
      <c r="F2678" s="594"/>
      <c r="G2678" s="756"/>
      <c r="H2678" s="824"/>
      <c r="I2678" s="825"/>
      <c r="J2678" s="826"/>
    </row>
    <row r="2679" ht="15.0" customHeight="1">
      <c r="A2679" s="834"/>
      <c r="B2679" s="603"/>
      <c r="C2679" s="109"/>
      <c r="D2679" s="594"/>
      <c r="E2679" s="594"/>
      <c r="F2679" s="594"/>
      <c r="G2679" s="756"/>
      <c r="H2679" s="824"/>
      <c r="I2679" s="825"/>
      <c r="J2679" s="826"/>
    </row>
    <row r="2680" ht="15.0" customHeight="1">
      <c r="A2680" s="834"/>
      <c r="B2680" s="603"/>
      <c r="C2680" s="109"/>
      <c r="D2680" s="594"/>
      <c r="E2680" s="594"/>
      <c r="F2680" s="594"/>
      <c r="G2680" s="756"/>
      <c r="H2680" s="824"/>
      <c r="I2680" s="825"/>
      <c r="J2680" s="826"/>
    </row>
    <row r="2681" ht="15.0" customHeight="1">
      <c r="A2681" s="834"/>
      <c r="B2681" s="603"/>
      <c r="C2681" s="109"/>
      <c r="D2681" s="594"/>
      <c r="E2681" s="594"/>
      <c r="F2681" s="594"/>
      <c r="G2681" s="756"/>
      <c r="H2681" s="824"/>
      <c r="I2681" s="825"/>
      <c r="J2681" s="826"/>
    </row>
    <row r="2682" ht="15.0" customHeight="1">
      <c r="A2682" s="834"/>
      <c r="B2682" s="603"/>
      <c r="C2682" s="109"/>
      <c r="D2682" s="594"/>
      <c r="E2682" s="594"/>
      <c r="F2682" s="594"/>
      <c r="G2682" s="756"/>
      <c r="H2682" s="824"/>
      <c r="I2682" s="825"/>
      <c r="J2682" s="826"/>
    </row>
    <row r="2683" ht="15.0" customHeight="1">
      <c r="A2683" s="834"/>
      <c r="B2683" s="603"/>
      <c r="C2683" s="109"/>
      <c r="D2683" s="594"/>
      <c r="E2683" s="594"/>
      <c r="F2683" s="594"/>
      <c r="G2683" s="756"/>
      <c r="H2683" s="824"/>
      <c r="I2683" s="825"/>
      <c r="J2683" s="826"/>
    </row>
    <row r="2684" ht="15.0" customHeight="1">
      <c r="A2684" s="834"/>
      <c r="B2684" s="603"/>
      <c r="C2684" s="109"/>
      <c r="D2684" s="594"/>
      <c r="E2684" s="594"/>
      <c r="F2684" s="594"/>
      <c r="G2684" s="756"/>
      <c r="H2684" s="824"/>
      <c r="I2684" s="825"/>
      <c r="J2684" s="826"/>
    </row>
    <row r="2685" ht="15.0" customHeight="1">
      <c r="A2685" s="834"/>
      <c r="B2685" s="603"/>
      <c r="C2685" s="109"/>
      <c r="D2685" s="594"/>
      <c r="E2685" s="594"/>
      <c r="F2685" s="594"/>
      <c r="G2685" s="756"/>
      <c r="H2685" s="824"/>
      <c r="I2685" s="825"/>
      <c r="J2685" s="826"/>
    </row>
    <row r="2686" ht="15.0" customHeight="1">
      <c r="A2686" s="834"/>
      <c r="B2686" s="603"/>
      <c r="C2686" s="109"/>
      <c r="D2686" s="594"/>
      <c r="E2686" s="594"/>
      <c r="F2686" s="594"/>
      <c r="G2686" s="756"/>
      <c r="H2686" s="824"/>
      <c r="I2686" s="825"/>
      <c r="J2686" s="826"/>
    </row>
    <row r="2687" ht="15.0" customHeight="1">
      <c r="A2687" s="834"/>
      <c r="B2687" s="603"/>
      <c r="C2687" s="109"/>
      <c r="D2687" s="594"/>
      <c r="E2687" s="594"/>
      <c r="F2687" s="594"/>
      <c r="G2687" s="756"/>
      <c r="H2687" s="824"/>
      <c r="I2687" s="825"/>
      <c r="J2687" s="826"/>
    </row>
    <row r="2688" ht="15.0" customHeight="1">
      <c r="A2688" s="834"/>
      <c r="B2688" s="603"/>
      <c r="C2688" s="109"/>
      <c r="D2688" s="594"/>
      <c r="E2688" s="594"/>
      <c r="F2688" s="594"/>
      <c r="G2688" s="756"/>
      <c r="H2688" s="824"/>
      <c r="I2688" s="825"/>
      <c r="J2688" s="826"/>
    </row>
    <row r="2689" ht="15.0" customHeight="1">
      <c r="A2689" s="834"/>
      <c r="B2689" s="603"/>
      <c r="C2689" s="109"/>
      <c r="D2689" s="594"/>
      <c r="E2689" s="594"/>
      <c r="F2689" s="594"/>
      <c r="G2689" s="756"/>
      <c r="H2689" s="824"/>
      <c r="I2689" s="825"/>
      <c r="J2689" s="826"/>
    </row>
    <row r="2690" ht="15.0" customHeight="1">
      <c r="A2690" s="834"/>
      <c r="B2690" s="603"/>
      <c r="C2690" s="109"/>
      <c r="D2690" s="594"/>
      <c r="E2690" s="594"/>
      <c r="F2690" s="594"/>
      <c r="G2690" s="756"/>
      <c r="H2690" s="824"/>
      <c r="I2690" s="825"/>
      <c r="J2690" s="826"/>
    </row>
    <row r="2691" ht="15.0" customHeight="1">
      <c r="A2691" s="834"/>
      <c r="B2691" s="603"/>
      <c r="C2691" s="109"/>
      <c r="D2691" s="594"/>
      <c r="E2691" s="594"/>
      <c r="F2691" s="594"/>
      <c r="G2691" s="756"/>
      <c r="H2691" s="824"/>
      <c r="I2691" s="825"/>
      <c r="J2691" s="826"/>
    </row>
    <row r="2692" ht="15.0" customHeight="1">
      <c r="A2692" s="834"/>
      <c r="B2692" s="603"/>
      <c r="C2692" s="109"/>
      <c r="D2692" s="594"/>
      <c r="E2692" s="594"/>
      <c r="F2692" s="594"/>
      <c r="G2692" s="756"/>
      <c r="H2692" s="824"/>
      <c r="I2692" s="825"/>
      <c r="J2692" s="826"/>
    </row>
    <row r="2693" ht="15.0" customHeight="1">
      <c r="A2693" s="834"/>
      <c r="B2693" s="603"/>
      <c r="C2693" s="109"/>
      <c r="D2693" s="594"/>
      <c r="E2693" s="594"/>
      <c r="F2693" s="594"/>
      <c r="G2693" s="756"/>
      <c r="H2693" s="824"/>
      <c r="I2693" s="825"/>
      <c r="J2693" s="826"/>
    </row>
    <row r="2694" ht="15.0" customHeight="1">
      <c r="A2694" s="834"/>
      <c r="B2694" s="603"/>
      <c r="C2694" s="109"/>
      <c r="D2694" s="594"/>
      <c r="E2694" s="594"/>
      <c r="F2694" s="594"/>
      <c r="G2694" s="756"/>
      <c r="H2694" s="824"/>
      <c r="I2694" s="825"/>
      <c r="J2694" s="826"/>
    </row>
    <row r="2695" ht="15.0" customHeight="1">
      <c r="A2695" s="834"/>
      <c r="B2695" s="603"/>
      <c r="C2695" s="109"/>
      <c r="D2695" s="594"/>
      <c r="E2695" s="594"/>
      <c r="F2695" s="594"/>
      <c r="G2695" s="756"/>
      <c r="H2695" s="824"/>
      <c r="I2695" s="825"/>
      <c r="J2695" s="826"/>
    </row>
    <row r="2696" ht="15.0" customHeight="1">
      <c r="A2696" s="834"/>
      <c r="B2696" s="603"/>
      <c r="C2696" s="109"/>
      <c r="D2696" s="594"/>
      <c r="E2696" s="594"/>
      <c r="F2696" s="594"/>
      <c r="G2696" s="756"/>
      <c r="H2696" s="824"/>
      <c r="I2696" s="825"/>
      <c r="J2696" s="826"/>
    </row>
    <row r="2697" ht="15.0" customHeight="1">
      <c r="A2697" s="834"/>
      <c r="B2697" s="603"/>
      <c r="C2697" s="109"/>
      <c r="D2697" s="594"/>
      <c r="E2697" s="594"/>
      <c r="F2697" s="594"/>
      <c r="G2697" s="756"/>
      <c r="H2697" s="824"/>
      <c r="I2697" s="825"/>
      <c r="J2697" s="826"/>
    </row>
    <row r="2698" ht="15.0" customHeight="1">
      <c r="A2698" s="834"/>
      <c r="B2698" s="603"/>
      <c r="C2698" s="109"/>
      <c r="D2698" s="594"/>
      <c r="E2698" s="594"/>
      <c r="F2698" s="594"/>
      <c r="G2698" s="756"/>
      <c r="H2698" s="824"/>
      <c r="I2698" s="825"/>
      <c r="J2698" s="826"/>
    </row>
    <row r="2699" ht="15.0" customHeight="1">
      <c r="A2699" s="834"/>
      <c r="B2699" s="603"/>
      <c r="C2699" s="109"/>
      <c r="D2699" s="594"/>
      <c r="E2699" s="594"/>
      <c r="F2699" s="594"/>
      <c r="G2699" s="756"/>
      <c r="H2699" s="824"/>
      <c r="I2699" s="825"/>
      <c r="J2699" s="826"/>
    </row>
    <row r="2700" ht="15.0" customHeight="1">
      <c r="A2700" s="834"/>
      <c r="B2700" s="603"/>
      <c r="C2700" s="109"/>
      <c r="D2700" s="594"/>
      <c r="E2700" s="594"/>
      <c r="F2700" s="594"/>
      <c r="G2700" s="756"/>
      <c r="H2700" s="824"/>
      <c r="I2700" s="825"/>
      <c r="J2700" s="826"/>
    </row>
    <row r="2701" ht="15.0" customHeight="1">
      <c r="A2701" s="834"/>
      <c r="B2701" s="603"/>
      <c r="C2701" s="109"/>
      <c r="D2701" s="594"/>
      <c r="E2701" s="594"/>
      <c r="F2701" s="594"/>
      <c r="G2701" s="756"/>
      <c r="H2701" s="824"/>
      <c r="I2701" s="825"/>
      <c r="J2701" s="826"/>
    </row>
    <row r="2702" ht="15.0" customHeight="1">
      <c r="A2702" s="834"/>
      <c r="B2702" s="603"/>
      <c r="C2702" s="109"/>
      <c r="D2702" s="594"/>
      <c r="E2702" s="594"/>
      <c r="F2702" s="594"/>
      <c r="G2702" s="756"/>
      <c r="H2702" s="824"/>
      <c r="I2702" s="825"/>
      <c r="J2702" s="826"/>
    </row>
    <row r="2703" ht="15.0" customHeight="1">
      <c r="A2703" s="834"/>
      <c r="B2703" s="603"/>
      <c r="C2703" s="109"/>
      <c r="D2703" s="594"/>
      <c r="E2703" s="594"/>
      <c r="F2703" s="594"/>
      <c r="G2703" s="756"/>
      <c r="H2703" s="824"/>
      <c r="I2703" s="825"/>
      <c r="J2703" s="826"/>
    </row>
    <row r="2704" ht="15.0" customHeight="1">
      <c r="A2704" s="834"/>
      <c r="B2704" s="603"/>
      <c r="C2704" s="109"/>
      <c r="D2704" s="594"/>
      <c r="E2704" s="594"/>
      <c r="F2704" s="594"/>
      <c r="G2704" s="756"/>
      <c r="H2704" s="824"/>
      <c r="I2704" s="825"/>
      <c r="J2704" s="826"/>
    </row>
    <row r="2705" ht="15.0" customHeight="1">
      <c r="A2705" s="834"/>
      <c r="B2705" s="603"/>
      <c r="C2705" s="109"/>
      <c r="D2705" s="594"/>
      <c r="E2705" s="594"/>
      <c r="F2705" s="594"/>
      <c r="G2705" s="756"/>
      <c r="H2705" s="824"/>
      <c r="I2705" s="825"/>
      <c r="J2705" s="826"/>
    </row>
    <row r="2706" ht="15.0" customHeight="1">
      <c r="A2706" s="834"/>
      <c r="B2706" s="603"/>
      <c r="C2706" s="109"/>
      <c r="D2706" s="594"/>
      <c r="E2706" s="594"/>
      <c r="F2706" s="594"/>
      <c r="G2706" s="756"/>
      <c r="H2706" s="824"/>
      <c r="I2706" s="825"/>
      <c r="J2706" s="826"/>
    </row>
    <row r="2707" ht="15.0" customHeight="1">
      <c r="A2707" s="834"/>
      <c r="B2707" s="603"/>
      <c r="C2707" s="109"/>
      <c r="D2707" s="594"/>
      <c r="E2707" s="594"/>
      <c r="F2707" s="594"/>
      <c r="G2707" s="756"/>
      <c r="H2707" s="824"/>
      <c r="I2707" s="825"/>
      <c r="J2707" s="826"/>
    </row>
    <row r="2708" ht="15.0" customHeight="1">
      <c r="A2708" s="834"/>
      <c r="B2708" s="603"/>
      <c r="C2708" s="109"/>
      <c r="D2708" s="594"/>
      <c r="E2708" s="594"/>
      <c r="F2708" s="594"/>
      <c r="G2708" s="756"/>
      <c r="H2708" s="824"/>
      <c r="I2708" s="825"/>
      <c r="J2708" s="826"/>
    </row>
    <row r="2709" ht="15.0" customHeight="1">
      <c r="A2709" s="834"/>
      <c r="B2709" s="603"/>
      <c r="C2709" s="109"/>
      <c r="D2709" s="594"/>
      <c r="E2709" s="594"/>
      <c r="F2709" s="594"/>
      <c r="G2709" s="756"/>
      <c r="H2709" s="824"/>
      <c r="I2709" s="825"/>
      <c r="J2709" s="826"/>
    </row>
    <row r="2710" ht="15.0" customHeight="1">
      <c r="A2710" s="834"/>
      <c r="B2710" s="603"/>
      <c r="C2710" s="109"/>
      <c r="D2710" s="594"/>
      <c r="E2710" s="594"/>
      <c r="F2710" s="594"/>
      <c r="G2710" s="756"/>
      <c r="H2710" s="824"/>
      <c r="I2710" s="825"/>
      <c r="J2710" s="826"/>
    </row>
    <row r="2711" ht="15.0" customHeight="1">
      <c r="A2711" s="834"/>
      <c r="B2711" s="603"/>
      <c r="C2711" s="109"/>
      <c r="D2711" s="594"/>
      <c r="E2711" s="594"/>
      <c r="F2711" s="594"/>
      <c r="G2711" s="756"/>
      <c r="H2711" s="824"/>
      <c r="I2711" s="825"/>
      <c r="J2711" s="826"/>
    </row>
    <row r="2712" ht="15.0" customHeight="1">
      <c r="A2712" s="834"/>
      <c r="B2712" s="603"/>
      <c r="C2712" s="109"/>
      <c r="D2712" s="594"/>
      <c r="E2712" s="594"/>
      <c r="F2712" s="594"/>
      <c r="G2712" s="756"/>
      <c r="H2712" s="824"/>
      <c r="I2712" s="825"/>
      <c r="J2712" s="826"/>
    </row>
    <row r="2713" ht="15.0" customHeight="1">
      <c r="A2713" s="834"/>
      <c r="B2713" s="603"/>
      <c r="C2713" s="109"/>
      <c r="D2713" s="594"/>
      <c r="E2713" s="594"/>
      <c r="F2713" s="594"/>
      <c r="G2713" s="756"/>
      <c r="H2713" s="824"/>
      <c r="I2713" s="825"/>
      <c r="J2713" s="826"/>
    </row>
    <row r="2714" ht="15.0" customHeight="1">
      <c r="A2714" s="834"/>
      <c r="B2714" s="603"/>
      <c r="C2714" s="109"/>
      <c r="D2714" s="594"/>
      <c r="E2714" s="594"/>
      <c r="F2714" s="594"/>
      <c r="G2714" s="756"/>
      <c r="H2714" s="824"/>
      <c r="I2714" s="825"/>
      <c r="J2714" s="826"/>
    </row>
    <row r="2715" ht="15.0" customHeight="1">
      <c r="A2715" s="834"/>
      <c r="B2715" s="603"/>
      <c r="C2715" s="109"/>
      <c r="D2715" s="594"/>
      <c r="E2715" s="594"/>
      <c r="F2715" s="594"/>
      <c r="G2715" s="756"/>
      <c r="H2715" s="824"/>
      <c r="I2715" s="825"/>
      <c r="J2715" s="826"/>
    </row>
  </sheetData>
  <mergeCells count="15">
    <mergeCell ref="H1:H2"/>
    <mergeCell ref="I1:I2"/>
    <mergeCell ref="J1:J2"/>
    <mergeCell ref="K1:K2"/>
    <mergeCell ref="L1:L2"/>
    <mergeCell ref="M1:M2"/>
    <mergeCell ref="N1:N2"/>
    <mergeCell ref="O1:O2"/>
    <mergeCell ref="A1:A2"/>
    <mergeCell ref="B1:B2"/>
    <mergeCell ref="C1:C2"/>
    <mergeCell ref="D1:D2"/>
    <mergeCell ref="E1:E2"/>
    <mergeCell ref="F1:F2"/>
    <mergeCell ref="G1:G2"/>
  </mergeCells>
  <dataValidations>
    <dataValidation type="list" allowBlank="1" showErrorMessage="1" sqref="D3">
      <formula1>'Current Stock'!$A$2:$A$1812</formula1>
    </dataValidation>
  </dataValidations>
  <printOptions/>
  <pageMargins bottom="0.75" footer="0.0" header="0.0" left="0.7" right="0.7" top="0.75"/>
  <pageSetup orientation="portrait"/>
  <drawing r:id="rId4"/>
  <legacy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3.71"/>
    <col customWidth="1" min="3" max="3" width="8.71"/>
    <col customWidth="1" min="4" max="4" width="11.43"/>
    <col customWidth="1" min="5" max="5" width="8.71"/>
    <col customWidth="1" min="6" max="6" width="6.71"/>
    <col customWidth="1" min="7" max="7" width="7.57"/>
    <col customWidth="1" min="8" max="8" width="3.57"/>
    <col customWidth="1" min="9" max="9" width="3.43"/>
    <col customWidth="1" min="10" max="10" width="6.43"/>
    <col customWidth="1" min="11" max="11" width="9.29"/>
    <col customWidth="1" min="12" max="12" width="12.71"/>
    <col customWidth="1" min="13" max="20" width="8.71"/>
  </cols>
  <sheetData>
    <row r="1" ht="13.5" customHeight="1">
      <c r="A1" s="590" t="s">
        <v>9772</v>
      </c>
      <c r="B1" s="591"/>
      <c r="C1" s="592"/>
      <c r="D1" s="592"/>
      <c r="E1" s="592"/>
      <c r="F1" s="592"/>
      <c r="G1" s="592"/>
      <c r="H1" s="592"/>
      <c r="I1" s="821" t="s">
        <v>9773</v>
      </c>
      <c r="L1" s="595">
        <v>46135.0</v>
      </c>
    </row>
    <row r="2" ht="13.5" customHeight="1">
      <c r="A2" s="596" t="s">
        <v>10872</v>
      </c>
      <c r="B2" s="597"/>
      <c r="C2" s="598"/>
      <c r="D2" s="598"/>
      <c r="E2" s="598"/>
      <c r="F2" s="592"/>
      <c r="G2" s="592"/>
      <c r="H2" s="592"/>
      <c r="I2" s="821" t="s">
        <v>9775</v>
      </c>
    </row>
    <row r="3" ht="13.5" customHeight="1">
      <c r="A3" s="599" t="s">
        <v>10873</v>
      </c>
      <c r="B3" s="600"/>
      <c r="C3" s="592"/>
      <c r="D3" s="601"/>
      <c r="E3" s="601"/>
      <c r="F3" s="601"/>
      <c r="G3" s="601"/>
      <c r="H3" s="601"/>
      <c r="I3" s="109" t="s">
        <v>4509</v>
      </c>
      <c r="K3" s="676"/>
      <c r="L3" s="109"/>
    </row>
    <row r="4" ht="13.5" customHeight="1">
      <c r="A4" s="604"/>
      <c r="B4" s="604"/>
      <c r="C4" s="592"/>
      <c r="D4" s="601"/>
      <c r="E4" s="601"/>
      <c r="F4" s="601"/>
      <c r="G4" s="601"/>
      <c r="H4" s="601"/>
      <c r="I4" s="933"/>
      <c r="L4" s="603"/>
    </row>
    <row r="5" ht="13.5" customHeight="1">
      <c r="A5" s="604"/>
      <c r="B5" s="604"/>
      <c r="C5" s="592"/>
      <c r="D5" s="601"/>
      <c r="E5" s="601"/>
      <c r="F5" s="601"/>
      <c r="G5" s="601"/>
      <c r="H5" s="601"/>
      <c r="I5" s="603"/>
    </row>
    <row r="6" ht="13.5" customHeight="1">
      <c r="A6" s="604"/>
      <c r="B6" s="604"/>
      <c r="C6" s="592"/>
      <c r="D6" s="601"/>
      <c r="E6" s="601"/>
      <c r="F6" s="601"/>
      <c r="G6" s="601"/>
      <c r="H6" s="601"/>
    </row>
    <row r="7" ht="13.5" customHeight="1">
      <c r="A7" s="604"/>
      <c r="B7" s="604"/>
      <c r="C7" s="592"/>
      <c r="D7" s="608" t="s">
        <v>10874</v>
      </c>
      <c r="G7" s="601"/>
      <c r="H7" s="601"/>
      <c r="I7" s="601"/>
      <c r="J7" s="612"/>
      <c r="K7" s="612"/>
      <c r="L7" s="612"/>
    </row>
    <row r="8" ht="13.5" customHeight="1">
      <c r="A8" s="17"/>
      <c r="B8" s="600"/>
      <c r="C8" s="17"/>
      <c r="D8" s="611"/>
      <c r="E8" s="611"/>
      <c r="F8" s="611"/>
      <c r="G8" s="17"/>
      <c r="H8" s="17"/>
      <c r="I8" s="17"/>
      <c r="J8" s="612"/>
      <c r="K8" s="612"/>
      <c r="L8" s="612"/>
    </row>
    <row r="9" ht="13.5" customHeight="1">
      <c r="A9" s="934" t="s">
        <v>9794</v>
      </c>
      <c r="B9" s="935" t="s">
        <v>9734</v>
      </c>
      <c r="C9" s="17"/>
      <c r="D9" s="615"/>
      <c r="E9" s="17"/>
      <c r="F9" s="17"/>
      <c r="G9" s="17"/>
      <c r="H9" s="616"/>
      <c r="I9" s="617"/>
      <c r="J9" s="616"/>
      <c r="K9" s="617"/>
      <c r="L9" s="616"/>
    </row>
    <row r="10" ht="13.5" customHeight="1">
      <c r="A10" s="936" t="s">
        <v>9779</v>
      </c>
      <c r="B10" s="937" t="s">
        <v>0</v>
      </c>
      <c r="C10" s="938" t="s">
        <v>9780</v>
      </c>
      <c r="D10" s="122"/>
      <c r="E10" s="122"/>
      <c r="F10" s="122"/>
      <c r="G10" s="122"/>
      <c r="H10" s="938" t="s">
        <v>9819</v>
      </c>
      <c r="I10" s="122"/>
      <c r="J10" s="122"/>
      <c r="K10" s="122"/>
      <c r="L10" s="16" t="s">
        <v>10875</v>
      </c>
    </row>
    <row r="11" ht="13.5" customHeight="1">
      <c r="A11" s="939">
        <v>1.0</v>
      </c>
      <c r="B11" s="45" t="s">
        <v>2869</v>
      </c>
      <c r="C11" s="940" t="str">
        <f>IFERROR(VLOOKUP(B11,Stock,3,FALSE),"")</f>
        <v>Daihatsu Gran Max / Luxio 07-</v>
      </c>
      <c r="H11" s="941"/>
      <c r="L11" s="942">
        <v>2.0</v>
      </c>
    </row>
    <row r="12" ht="13.5" customHeight="1">
      <c r="A12" s="943">
        <v>2.0</v>
      </c>
      <c r="B12" s="45" t="s">
        <v>5123</v>
      </c>
      <c r="C12" s="940" t="str">
        <f>IFERROR(VLOOKUP(B12,Stock,3,FALSE),"")</f>
        <v>BMW 3 Series 90-99 E36</v>
      </c>
      <c r="H12" s="941"/>
      <c r="L12" s="942">
        <v>2.0</v>
      </c>
    </row>
    <row r="13" ht="13.5" customHeight="1">
      <c r="A13" s="944">
        <v>3.0</v>
      </c>
      <c r="B13" s="45" t="s">
        <v>7370</v>
      </c>
      <c r="C13" s="940" t="str">
        <f>IFERROR(VLOOKUP(B13,Stock,3,FALSE),"")</f>
        <v>Honda City 02-08 4th Gen Idsi GD8</v>
      </c>
      <c r="H13" s="941"/>
      <c r="L13" s="664">
        <v>2.0</v>
      </c>
    </row>
    <row r="14" ht="13.5" customHeight="1">
      <c r="A14" s="945">
        <v>4.0</v>
      </c>
      <c r="B14" s="45" t="s">
        <v>3234</v>
      </c>
      <c r="C14" s="940" t="str">
        <f>IFERROR(VLOOKUP(B14,Stock,3,FALSE),"")</f>
        <v>Toyota Avanza / Xenia 21- 4th Gen (Non sensor)</v>
      </c>
      <c r="H14" s="941"/>
      <c r="L14" s="664">
        <v>2.0</v>
      </c>
    </row>
    <row r="15" ht="13.5" customHeight="1">
      <c r="A15" s="945">
        <v>5.0</v>
      </c>
      <c r="B15" s="45" t="s">
        <v>7160</v>
      </c>
      <c r="C15" s="940" t="str">
        <f>IFERROR(VLOOKUP(B15,Stock,3,FALSE),"")</f>
        <v>Toyota Avanza / Xenia 11-15 2nd Gen</v>
      </c>
      <c r="H15" s="941"/>
      <c r="L15" s="942">
        <v>2.0</v>
      </c>
    </row>
    <row r="16" ht="13.5" customHeight="1">
      <c r="A16" s="945">
        <v>6.0</v>
      </c>
      <c r="B16" s="45" t="s">
        <v>3193</v>
      </c>
      <c r="C16" s="940" t="str">
        <f>IFERROR(VLOOKUP(B16,Stock,3,FALSE),"")</f>
        <v>Toyota Avanza / Xenia 11-15 2nd Gen</v>
      </c>
      <c r="H16" s="941"/>
      <c r="L16" s="942">
        <v>2.0</v>
      </c>
    </row>
    <row r="17" ht="13.5" customHeight="1">
      <c r="A17" s="945">
        <v>7.0</v>
      </c>
      <c r="B17" s="45" t="s">
        <v>7318</v>
      </c>
      <c r="C17" s="940" t="str">
        <f>IFERROR(VLOOKUP(B17,Stock,3,FALSE),"")</f>
        <v>Toyota Avanza / Xenia 15-21 3rd Gen</v>
      </c>
      <c r="H17" s="941"/>
      <c r="L17" s="942">
        <v>3.0</v>
      </c>
    </row>
    <row r="18" ht="13.5" customHeight="1">
      <c r="A18" s="945">
        <v>8.0</v>
      </c>
      <c r="B18" s="45" t="s">
        <v>7149</v>
      </c>
      <c r="C18" s="940" t="str">
        <f>IFERROR(VLOOKUP(B18,Stock,3,FALSE),"")</f>
        <v>Toyota Dyna/Hino Dutro 00-</v>
      </c>
      <c r="H18" s="941"/>
      <c r="L18" s="942">
        <v>5.0</v>
      </c>
    </row>
    <row r="19" ht="13.5" customHeight="1">
      <c r="A19" s="945">
        <v>9.0</v>
      </c>
      <c r="B19" s="45"/>
      <c r="C19" s="940" t="str">
        <f>IFERROR(VLOOKUP(B19,Stock,3,FALSE),"")</f>
        <v/>
      </c>
      <c r="H19" s="941"/>
      <c r="L19" s="942"/>
    </row>
    <row r="20" ht="13.5" customHeight="1">
      <c r="A20" s="945">
        <v>10.0</v>
      </c>
      <c r="B20" s="45"/>
      <c r="C20" s="940" t="str">
        <f>IFERROR(VLOOKUP(B20,Stock,3,FALSE),"")</f>
        <v/>
      </c>
      <c r="H20" s="941"/>
      <c r="L20" s="942"/>
    </row>
    <row r="21" ht="13.5" customHeight="1">
      <c r="A21" s="945">
        <v>11.0</v>
      </c>
      <c r="B21" s="45"/>
      <c r="C21" s="940" t="str">
        <f>IFERROR(VLOOKUP(B21,Stock,3,FALSE),"")</f>
        <v/>
      </c>
      <c r="H21" s="941"/>
      <c r="L21" s="946"/>
    </row>
    <row r="22" ht="13.5" customHeight="1">
      <c r="A22" s="945">
        <v>12.0</v>
      </c>
      <c r="B22" s="45"/>
      <c r="C22" s="940" t="str">
        <f>IFERROR(VLOOKUP(B22,Stock,3,FALSE),"")</f>
        <v/>
      </c>
      <c r="H22" s="941"/>
      <c r="L22" s="946"/>
    </row>
    <row r="23" ht="13.5" customHeight="1">
      <c r="A23" s="947">
        <v>13.0</v>
      </c>
      <c r="B23" s="463"/>
      <c r="C23" s="948" t="str">
        <f>IFERROR(VLOOKUP(B23,Stock,3,FALSE),"")</f>
        <v/>
      </c>
      <c r="D23" s="617"/>
      <c r="E23" s="617"/>
      <c r="F23" s="617"/>
      <c r="G23" s="617"/>
      <c r="H23" s="949"/>
      <c r="I23" s="617"/>
      <c r="J23" s="617"/>
      <c r="K23" s="617"/>
      <c r="L23" s="950"/>
    </row>
    <row r="24" ht="13.5" customHeight="1">
      <c r="A24" s="951"/>
      <c r="B24" s="443"/>
      <c r="C24" s="951"/>
      <c r="D24" s="951"/>
      <c r="E24" s="951"/>
      <c r="F24" s="951"/>
      <c r="G24" s="951"/>
      <c r="H24" s="952"/>
      <c r="I24" s="676"/>
      <c r="J24" s="636"/>
      <c r="K24" s="201" t="s">
        <v>10876</v>
      </c>
      <c r="L24" s="717">
        <f>SUM(L11:L23)</f>
        <v>20</v>
      </c>
    </row>
    <row r="25" ht="13.5" customHeight="1">
      <c r="A25" s="676"/>
      <c r="B25" s="628"/>
      <c r="C25" s="676"/>
      <c r="D25" s="628"/>
      <c r="E25" s="628" t="s">
        <v>10877</v>
      </c>
      <c r="F25" s="609"/>
      <c r="G25" s="953"/>
      <c r="H25" s="953"/>
      <c r="I25" s="953"/>
      <c r="J25" s="954"/>
    </row>
    <row r="26" ht="13.5" customHeight="1">
      <c r="A26" s="592"/>
      <c r="B26" s="628"/>
      <c r="C26" s="628"/>
      <c r="D26" s="628"/>
      <c r="E26" s="628"/>
      <c r="F26" s="953"/>
      <c r="G26" s="953"/>
      <c r="H26" s="953"/>
      <c r="I26" s="953"/>
    </row>
    <row r="27" ht="13.5" customHeight="1">
      <c r="A27" s="592"/>
      <c r="B27" s="604"/>
      <c r="C27" s="604"/>
      <c r="D27" s="649"/>
      <c r="E27" s="649"/>
      <c r="F27" s="953"/>
      <c r="G27" s="953"/>
      <c r="H27" s="953"/>
      <c r="I27" s="953"/>
      <c r="J27" s="650"/>
      <c r="K27" s="637"/>
      <c r="L27" s="651"/>
    </row>
    <row r="28" ht="13.5" customHeight="1">
      <c r="A28" s="592"/>
      <c r="B28" s="604"/>
      <c r="C28" s="604"/>
      <c r="D28" s="604"/>
      <c r="E28" s="955" t="s">
        <v>1973</v>
      </c>
      <c r="G28" s="953"/>
      <c r="H28" s="953"/>
      <c r="I28" s="953"/>
      <c r="J28" s="650"/>
      <c r="K28" s="653"/>
      <c r="L28" s="956"/>
    </row>
    <row r="29" ht="13.5" customHeight="1">
      <c r="A29" s="592"/>
      <c r="B29" s="957" t="s">
        <v>9792</v>
      </c>
      <c r="E29" s="604" t="s">
        <v>10878</v>
      </c>
      <c r="G29" s="707"/>
      <c r="H29" s="707"/>
      <c r="I29" s="707"/>
      <c r="J29" s="650"/>
      <c r="K29" s="653"/>
      <c r="L29" s="958"/>
    </row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7">
    <mergeCell ref="I1:K1"/>
    <mergeCell ref="I2:L2"/>
    <mergeCell ref="I4:K4"/>
    <mergeCell ref="I5:L5"/>
    <mergeCell ref="D7:F7"/>
    <mergeCell ref="H9:I9"/>
    <mergeCell ref="J9:K9"/>
    <mergeCell ref="C10:G10"/>
    <mergeCell ref="H10:K10"/>
    <mergeCell ref="C11:G11"/>
    <mergeCell ref="H11:K11"/>
    <mergeCell ref="C12:G12"/>
    <mergeCell ref="H12:K12"/>
    <mergeCell ref="H13:K13"/>
    <mergeCell ref="C13:G13"/>
    <mergeCell ref="C14:G14"/>
    <mergeCell ref="H14:K14"/>
    <mergeCell ref="C15:G15"/>
    <mergeCell ref="H15:K15"/>
    <mergeCell ref="C16:G16"/>
    <mergeCell ref="H16:K16"/>
    <mergeCell ref="C17:G17"/>
    <mergeCell ref="H17:K17"/>
    <mergeCell ref="C18:G18"/>
    <mergeCell ref="H18:K18"/>
    <mergeCell ref="C19:G19"/>
    <mergeCell ref="H19:K19"/>
    <mergeCell ref="H20:K20"/>
    <mergeCell ref="C23:G23"/>
    <mergeCell ref="B29:D29"/>
    <mergeCell ref="C20:G20"/>
    <mergeCell ref="C21:G21"/>
    <mergeCell ref="H21:K21"/>
    <mergeCell ref="C22:G22"/>
    <mergeCell ref="H22:K22"/>
    <mergeCell ref="H23:K23"/>
    <mergeCell ref="J25:L26"/>
  </mergeCells>
  <printOptions horizontalCentered="1"/>
  <pageMargins bottom="0.14690907960295685" footer="0.0" header="0.0" left="0.39370078740157477" right="0.0" top="0.07178914502546807"/>
  <pageSetup paperSize="11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3.71"/>
    <col customWidth="1" min="3" max="3" width="8.71"/>
    <col customWidth="1" min="4" max="4" width="11.43"/>
    <col customWidth="1" min="5" max="5" width="8.71"/>
    <col customWidth="1" min="6" max="6" width="6.71"/>
    <col customWidth="1" min="7" max="7" width="7.57"/>
    <col customWidth="1" min="8" max="8" width="3.57"/>
    <col customWidth="1" min="9" max="9" width="3.43"/>
    <col customWidth="1" min="10" max="10" width="6.43"/>
    <col customWidth="1" min="11" max="11" width="9.29"/>
    <col customWidth="1" min="12" max="12" width="12.71"/>
    <col customWidth="1" min="13" max="20" width="8.71"/>
  </cols>
  <sheetData>
    <row r="1" ht="13.5" customHeight="1">
      <c r="A1" s="590" t="s">
        <v>9772</v>
      </c>
      <c r="B1" s="591"/>
      <c r="C1" s="592"/>
      <c r="D1" s="592"/>
      <c r="E1" s="592"/>
      <c r="F1" s="592"/>
      <c r="G1" s="592"/>
      <c r="H1" s="592"/>
      <c r="I1" s="821" t="s">
        <v>9773</v>
      </c>
      <c r="L1" s="595">
        <v>46121.0</v>
      </c>
    </row>
    <row r="2" ht="13.5" customHeight="1">
      <c r="A2" s="596" t="s">
        <v>10872</v>
      </c>
      <c r="B2" s="597"/>
      <c r="C2" s="598"/>
      <c r="D2" s="598"/>
      <c r="E2" s="598"/>
      <c r="F2" s="592"/>
      <c r="G2" s="592"/>
      <c r="H2" s="592"/>
      <c r="I2" s="821" t="s">
        <v>9775</v>
      </c>
    </row>
    <row r="3" ht="13.5" customHeight="1">
      <c r="A3" s="599" t="s">
        <v>10873</v>
      </c>
      <c r="B3" s="600"/>
      <c r="C3" s="592"/>
      <c r="D3" s="601"/>
      <c r="E3" s="601"/>
      <c r="F3" s="601"/>
      <c r="G3" s="601"/>
      <c r="H3" s="601"/>
      <c r="I3" s="109" t="s">
        <v>4509</v>
      </c>
      <c r="K3" s="676"/>
      <c r="L3" s="109"/>
    </row>
    <row r="4" ht="13.5" customHeight="1">
      <c r="A4" s="604"/>
      <c r="B4" s="604"/>
      <c r="C4" s="592"/>
      <c r="D4" s="601"/>
      <c r="E4" s="601"/>
      <c r="F4" s="601"/>
      <c r="G4" s="601"/>
      <c r="H4" s="601"/>
      <c r="I4" s="933"/>
      <c r="L4" s="603"/>
    </row>
    <row r="5" ht="13.5" customHeight="1">
      <c r="A5" s="604"/>
      <c r="B5" s="604"/>
      <c r="C5" s="592"/>
      <c r="D5" s="601"/>
      <c r="E5" s="601"/>
      <c r="F5" s="601"/>
      <c r="G5" s="601"/>
      <c r="H5" s="601"/>
      <c r="I5" s="603"/>
    </row>
    <row r="6" ht="13.5" customHeight="1">
      <c r="A6" s="604"/>
      <c r="B6" s="604"/>
      <c r="C6" s="592"/>
      <c r="D6" s="601"/>
      <c r="E6" s="601"/>
      <c r="F6" s="601"/>
      <c r="G6" s="601"/>
      <c r="H6" s="601"/>
    </row>
    <row r="7" ht="13.5" customHeight="1">
      <c r="A7" s="604"/>
      <c r="B7" s="604"/>
      <c r="C7" s="592"/>
      <c r="D7" s="608" t="s">
        <v>10874</v>
      </c>
      <c r="G7" s="601"/>
      <c r="H7" s="601"/>
      <c r="I7" s="601"/>
      <c r="J7" s="612"/>
      <c r="K7" s="612"/>
      <c r="L7" s="612"/>
    </row>
    <row r="8" ht="13.5" customHeight="1">
      <c r="A8" s="17"/>
      <c r="B8" s="600"/>
      <c r="C8" s="17"/>
      <c r="D8" s="611"/>
      <c r="E8" s="611"/>
      <c r="F8" s="611"/>
      <c r="G8" s="17"/>
      <c r="H8" s="17"/>
      <c r="I8" s="17"/>
      <c r="J8" s="612"/>
      <c r="K8" s="612"/>
      <c r="L8" s="612"/>
    </row>
    <row r="9" ht="13.5" customHeight="1">
      <c r="A9" s="934" t="s">
        <v>9794</v>
      </c>
      <c r="B9" s="935" t="s">
        <v>9393</v>
      </c>
      <c r="C9" s="17"/>
      <c r="D9" s="615"/>
      <c r="E9" s="17"/>
      <c r="F9" s="17"/>
      <c r="G9" s="17"/>
      <c r="H9" s="616"/>
      <c r="I9" s="617"/>
      <c r="J9" s="616"/>
      <c r="K9" s="617"/>
      <c r="L9" s="616"/>
    </row>
    <row r="10" ht="13.5" customHeight="1">
      <c r="A10" s="936" t="s">
        <v>9779</v>
      </c>
      <c r="B10" s="937" t="s">
        <v>0</v>
      </c>
      <c r="C10" s="938" t="s">
        <v>9780</v>
      </c>
      <c r="D10" s="122"/>
      <c r="E10" s="122"/>
      <c r="F10" s="122"/>
      <c r="G10" s="122"/>
      <c r="H10" s="938" t="s">
        <v>9819</v>
      </c>
      <c r="I10" s="122"/>
      <c r="J10" s="122"/>
      <c r="K10" s="122"/>
      <c r="L10" s="16" t="s">
        <v>10875</v>
      </c>
    </row>
    <row r="11" ht="13.5" customHeight="1">
      <c r="A11" s="939">
        <v>1.0</v>
      </c>
      <c r="B11" s="45" t="s">
        <v>2964</v>
      </c>
      <c r="C11" s="940" t="str">
        <f>IFERROR(VLOOKUP(B11,Stock,3,FALSE),"")</f>
        <v>Toyota Fortuner 15- 2nd Gen (Toyota)</v>
      </c>
      <c r="H11" s="941"/>
      <c r="L11" s="942">
        <v>1.0</v>
      </c>
    </row>
    <row r="12" ht="13.5" customHeight="1">
      <c r="A12" s="943">
        <v>2.0</v>
      </c>
      <c r="B12" s="45"/>
      <c r="C12" s="940" t="str">
        <f>IFERROR(VLOOKUP(B12,Stock,3,FALSE),"")</f>
        <v/>
      </c>
      <c r="H12" s="941"/>
      <c r="L12" s="942"/>
    </row>
    <row r="13" ht="13.5" customHeight="1">
      <c r="A13" s="944">
        <v>3.0</v>
      </c>
      <c r="B13" s="45"/>
      <c r="C13" s="940" t="str">
        <f>IFERROR(VLOOKUP(B13,Stock,3,FALSE),"")</f>
        <v/>
      </c>
      <c r="H13" s="941"/>
      <c r="L13" s="942"/>
    </row>
    <row r="14" ht="13.5" customHeight="1">
      <c r="A14" s="944">
        <v>4.0</v>
      </c>
      <c r="C14" s="940" t="str">
        <f>IFERROR(VLOOKUP(B15,Stock,3,FALSE),"")</f>
        <v/>
      </c>
      <c r="H14" s="941"/>
      <c r="L14" s="959"/>
    </row>
    <row r="15" ht="13.5" customHeight="1">
      <c r="A15" s="944">
        <v>5.0</v>
      </c>
      <c r="B15" s="45"/>
      <c r="C15" s="940" t="str">
        <f>IFERROR(VLOOKUP(#REF!,Stock,3,FALSE),"")</f>
        <v/>
      </c>
      <c r="H15" s="940"/>
      <c r="I15" s="940"/>
      <c r="J15" s="940"/>
      <c r="K15" s="940"/>
      <c r="L15" s="959"/>
    </row>
    <row r="16" ht="13.5" customHeight="1">
      <c r="A16" s="944">
        <v>6.0</v>
      </c>
      <c r="B16" s="45"/>
      <c r="C16" s="940" t="str">
        <f>IFERROR(VLOOKUP(B16,Stock,3,FALSE),"")</f>
        <v/>
      </c>
      <c r="H16" s="941"/>
      <c r="L16" s="946"/>
    </row>
    <row r="17" ht="13.5" customHeight="1">
      <c r="A17" s="944">
        <v>7.0</v>
      </c>
      <c r="B17" s="463"/>
      <c r="C17" s="948" t="str">
        <f>IFERROR(VLOOKUP(B17,Stock,3,FALSE),"")</f>
        <v/>
      </c>
      <c r="D17" s="617"/>
      <c r="E17" s="617"/>
      <c r="F17" s="617"/>
      <c r="G17" s="617"/>
      <c r="H17" s="949"/>
      <c r="I17" s="617"/>
      <c r="J17" s="617"/>
      <c r="K17" s="617"/>
      <c r="L17" s="950"/>
    </row>
    <row r="18" ht="13.5" customHeight="1">
      <c r="A18" s="951"/>
      <c r="B18" s="443"/>
      <c r="C18" s="951"/>
      <c r="D18" s="951"/>
      <c r="E18" s="951"/>
      <c r="F18" s="951"/>
      <c r="G18" s="951"/>
      <c r="H18" s="952"/>
      <c r="I18" s="676"/>
      <c r="J18" s="636"/>
      <c r="K18" s="201" t="s">
        <v>10876</v>
      </c>
      <c r="L18" s="717">
        <f>SUM(L11:L17)</f>
        <v>1</v>
      </c>
    </row>
    <row r="19" ht="13.5" customHeight="1">
      <c r="A19" s="676"/>
      <c r="B19" s="628"/>
      <c r="C19" s="676"/>
      <c r="D19" s="628"/>
      <c r="E19" s="628" t="s">
        <v>10877</v>
      </c>
      <c r="F19" s="609"/>
      <c r="G19" s="953"/>
      <c r="H19" s="953"/>
      <c r="I19" s="953"/>
      <c r="J19" s="954"/>
    </row>
    <row r="20" ht="13.5" customHeight="1">
      <c r="A20" s="592"/>
      <c r="B20" s="628"/>
      <c r="C20" s="628"/>
      <c r="D20" s="628"/>
      <c r="E20" s="628"/>
      <c r="F20" s="953"/>
      <c r="G20" s="953"/>
      <c r="H20" s="953"/>
      <c r="I20" s="953"/>
    </row>
    <row r="21" ht="13.5" customHeight="1">
      <c r="A21" s="592"/>
      <c r="B21" s="604"/>
      <c r="C21" s="604"/>
      <c r="D21" s="649"/>
      <c r="E21" s="649"/>
      <c r="F21" s="953"/>
      <c r="G21" s="953"/>
      <c r="H21" s="953"/>
      <c r="I21" s="953"/>
      <c r="J21" s="650"/>
      <c r="K21" s="637"/>
      <c r="L21" s="651"/>
    </row>
    <row r="22" ht="13.5" customHeight="1">
      <c r="A22" s="592"/>
      <c r="B22" s="604"/>
      <c r="C22" s="604"/>
      <c r="D22" s="604"/>
      <c r="E22" s="955" t="s">
        <v>1973</v>
      </c>
      <c r="G22" s="953"/>
      <c r="H22" s="953"/>
      <c r="I22" s="953"/>
      <c r="J22" s="650"/>
      <c r="K22" s="653"/>
      <c r="L22" s="956"/>
    </row>
    <row r="23" ht="13.5" customHeight="1">
      <c r="A23" s="592"/>
      <c r="B23" s="957" t="s">
        <v>9792</v>
      </c>
      <c r="E23" s="604" t="s">
        <v>10878</v>
      </c>
      <c r="G23" s="707"/>
      <c r="H23" s="707"/>
      <c r="I23" s="707"/>
      <c r="J23" s="650"/>
      <c r="K23" s="653"/>
      <c r="L23" s="958"/>
    </row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4">
    <mergeCell ref="I1:K1"/>
    <mergeCell ref="I2:L2"/>
    <mergeCell ref="I4:K4"/>
    <mergeCell ref="I5:L5"/>
    <mergeCell ref="D7:F7"/>
    <mergeCell ref="H9:I9"/>
    <mergeCell ref="J9:K9"/>
    <mergeCell ref="C10:G10"/>
    <mergeCell ref="H10:K10"/>
    <mergeCell ref="C11:G11"/>
    <mergeCell ref="H11:K11"/>
    <mergeCell ref="C12:G12"/>
    <mergeCell ref="H12:K12"/>
    <mergeCell ref="H13:K13"/>
    <mergeCell ref="H17:K17"/>
    <mergeCell ref="J19:L20"/>
    <mergeCell ref="B23:D23"/>
    <mergeCell ref="C13:G13"/>
    <mergeCell ref="C14:G14"/>
    <mergeCell ref="H14:K14"/>
    <mergeCell ref="C15:G15"/>
    <mergeCell ref="C16:G16"/>
    <mergeCell ref="H16:K16"/>
    <mergeCell ref="C17:G17"/>
  </mergeCells>
  <printOptions horizontalCentered="1"/>
  <pageMargins bottom="0.14690907960295685" footer="0.0" header="0.0" left="0.39370078740157477" right="0.0" top="0.07178914502546807"/>
  <pageSetup paperSize="11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1.0"/>
    <col customWidth="1" min="3" max="3" width="8.71"/>
    <col customWidth="1" min="4" max="4" width="11.43"/>
    <col customWidth="1" min="5" max="5" width="8.71"/>
    <col customWidth="1" min="6" max="6" width="6.71"/>
    <col customWidth="1" min="7" max="7" width="7.57"/>
    <col customWidth="1" min="8" max="8" width="3.57"/>
    <col customWidth="1" min="9" max="9" width="3.43"/>
    <col customWidth="1" min="10" max="10" width="6.43"/>
    <col customWidth="1" min="11" max="11" width="7.71"/>
    <col customWidth="1" min="12" max="12" width="12.0"/>
    <col customWidth="1" min="13" max="16" width="8.71"/>
  </cols>
  <sheetData>
    <row r="1" ht="13.5" customHeight="1">
      <c r="A1" s="601"/>
      <c r="B1" s="591"/>
      <c r="C1" s="592"/>
      <c r="D1" s="592"/>
      <c r="E1" s="592"/>
      <c r="F1" s="592"/>
      <c r="G1" s="592"/>
      <c r="H1" s="592"/>
      <c r="I1" s="592"/>
      <c r="J1" s="594" t="s">
        <v>9773</v>
      </c>
      <c r="L1" s="595">
        <v>46128.0</v>
      </c>
    </row>
    <row r="2" ht="13.5" customHeight="1">
      <c r="A2" s="17"/>
      <c r="B2" s="600"/>
      <c r="C2" s="592"/>
      <c r="D2" s="592"/>
      <c r="E2" s="592"/>
      <c r="F2" s="592"/>
      <c r="G2" s="592"/>
      <c r="H2" s="592"/>
      <c r="I2" s="592"/>
      <c r="J2" s="594" t="s">
        <v>9775</v>
      </c>
      <c r="L2" s="676"/>
    </row>
    <row r="3" ht="14.25" customHeight="1">
      <c r="A3" s="600"/>
      <c r="B3" s="600"/>
      <c r="C3" s="592"/>
      <c r="D3" s="601"/>
      <c r="E3" s="601"/>
      <c r="F3" s="601"/>
      <c r="G3" s="601"/>
      <c r="H3" s="601"/>
      <c r="I3" s="601"/>
      <c r="J3" s="548" t="s">
        <v>10879</v>
      </c>
      <c r="K3" s="109"/>
      <c r="L3" s="677"/>
    </row>
    <row r="4" ht="13.5" customHeight="1">
      <c r="A4" s="604"/>
      <c r="B4" s="604"/>
      <c r="C4" s="592"/>
      <c r="D4" s="601"/>
      <c r="E4" s="601"/>
      <c r="F4" s="601"/>
      <c r="G4" s="601"/>
      <c r="H4" s="601"/>
      <c r="I4" s="601"/>
      <c r="J4" s="694" t="s">
        <v>9550</v>
      </c>
    </row>
    <row r="5" ht="13.5" customHeight="1">
      <c r="A5" s="604"/>
      <c r="B5" s="604"/>
      <c r="C5" s="592"/>
      <c r="D5" s="601"/>
      <c r="E5" s="601"/>
      <c r="F5" s="601"/>
      <c r="G5" s="601"/>
      <c r="H5" s="601"/>
      <c r="I5" s="601"/>
      <c r="J5" s="109" t="s">
        <v>10880</v>
      </c>
    </row>
    <row r="6" ht="13.5" customHeight="1">
      <c r="A6" s="604"/>
      <c r="B6" s="604"/>
      <c r="C6" s="592"/>
      <c r="D6" s="601"/>
      <c r="E6" s="601"/>
      <c r="F6" s="601"/>
      <c r="G6" s="601"/>
      <c r="H6" s="601"/>
      <c r="I6" s="601"/>
      <c r="J6" s="711" t="s">
        <v>10881</v>
      </c>
    </row>
    <row r="7" ht="13.5" customHeight="1">
      <c r="A7" s="604"/>
      <c r="B7" s="604"/>
      <c r="C7" s="592"/>
      <c r="D7" s="601"/>
      <c r="E7" s="601"/>
      <c r="F7" s="601"/>
      <c r="G7" s="601"/>
      <c r="H7" s="601"/>
      <c r="I7" s="601"/>
      <c r="J7" s="960"/>
    </row>
    <row r="8" ht="13.5" customHeight="1">
      <c r="A8" s="604"/>
      <c r="B8" s="604"/>
      <c r="C8" s="592"/>
      <c r="D8" s="608" t="s">
        <v>9777</v>
      </c>
      <c r="G8" s="601"/>
      <c r="H8" s="601"/>
      <c r="I8" s="601"/>
      <c r="J8" s="960"/>
    </row>
    <row r="9" ht="13.5" customHeight="1">
      <c r="A9" s="17"/>
      <c r="B9" s="600"/>
      <c r="C9" s="17"/>
      <c r="D9" s="611"/>
      <c r="E9" s="611"/>
      <c r="F9" s="611"/>
      <c r="G9" s="17"/>
      <c r="H9" s="17"/>
      <c r="I9" s="17"/>
      <c r="J9" s="612"/>
      <c r="K9" s="612"/>
      <c r="L9" s="64"/>
    </row>
    <row r="10" ht="13.5" customHeight="1">
      <c r="A10" s="961" t="s">
        <v>2727</v>
      </c>
      <c r="B10" s="679" t="s">
        <v>9547</v>
      </c>
      <c r="C10" s="17"/>
      <c r="D10" s="615"/>
      <c r="E10" s="17"/>
      <c r="F10" s="17"/>
      <c r="G10" s="17"/>
      <c r="H10" s="616"/>
      <c r="I10" s="617"/>
      <c r="J10" s="533" t="s">
        <v>9778</v>
      </c>
      <c r="K10" s="617"/>
      <c r="L10" s="962" t="s">
        <v>10882</v>
      </c>
    </row>
    <row r="11" ht="13.5" customHeight="1">
      <c r="A11" s="938" t="s">
        <v>9779</v>
      </c>
      <c r="B11" s="937" t="s">
        <v>0</v>
      </c>
      <c r="C11" s="963" t="s">
        <v>9780</v>
      </c>
      <c r="D11" s="621"/>
      <c r="E11" s="621"/>
      <c r="F11" s="621"/>
      <c r="G11" s="621"/>
      <c r="H11" s="938" t="s">
        <v>9781</v>
      </c>
      <c r="I11" s="122"/>
      <c r="J11" s="938" t="s">
        <v>9782</v>
      </c>
      <c r="K11" s="122"/>
      <c r="L11" s="938" t="s">
        <v>2740</v>
      </c>
    </row>
    <row r="12" ht="13.5" customHeight="1">
      <c r="A12" s="623">
        <v>1.0</v>
      </c>
      <c r="B12" s="45" t="s">
        <v>9548</v>
      </c>
      <c r="C12" s="964" t="str">
        <f>IFERROR(VLOOKUP(B12,Stock,3,FALSE),"")</f>
        <v>Suzuki Ertiga 18- 2nd Gen (ORI MULIA) / XL7</v>
      </c>
      <c r="D12" s="621"/>
      <c r="E12" s="621"/>
      <c r="F12" s="621"/>
      <c r="G12" s="621"/>
      <c r="H12" s="444">
        <v>1.0</v>
      </c>
      <c r="I12" s="628" t="s">
        <v>2729</v>
      </c>
      <c r="J12" s="683">
        <v>2800000.0</v>
      </c>
      <c r="K12" s="621"/>
      <c r="L12" s="625">
        <f t="shared" ref="L12:L16" si="1">H12*J12</f>
        <v>2800000</v>
      </c>
    </row>
    <row r="13" ht="13.5" customHeight="1">
      <c r="A13" s="623">
        <v>2.0</v>
      </c>
      <c r="B13" s="45" t="s">
        <v>5254</v>
      </c>
      <c r="C13" s="181" t="str">
        <f>IFERROR(VLOOKUP(B13,Stock,3,FALSE),"")</f>
        <v>Automotive Film Standard - Black 40%				</v>
      </c>
      <c r="H13" s="444">
        <v>1.0</v>
      </c>
      <c r="I13" s="444" t="s">
        <v>2729</v>
      </c>
      <c r="J13" s="627">
        <v>375000.0</v>
      </c>
      <c r="L13" s="625">
        <f t="shared" si="1"/>
        <v>375000</v>
      </c>
    </row>
    <row r="14" ht="13.5" customHeight="1">
      <c r="A14" s="623">
        <v>3.0</v>
      </c>
      <c r="B14" s="201" t="s">
        <v>2770</v>
      </c>
      <c r="C14" s="181" t="str">
        <f>IFERROR(VLOOKUP(B14,Stock,3,FALSE),"")</f>
        <v>Transport</v>
      </c>
      <c r="H14" s="444">
        <v>1.0</v>
      </c>
      <c r="I14" s="444" t="s">
        <v>109</v>
      </c>
      <c r="J14" s="965">
        <v>175000.0</v>
      </c>
      <c r="L14" s="625">
        <f t="shared" si="1"/>
        <v>175000</v>
      </c>
      <c r="P14" s="17"/>
    </row>
    <row r="15" ht="13.5" customHeight="1">
      <c r="A15" s="626"/>
      <c r="B15" s="966"/>
      <c r="C15" s="181" t="str">
        <f>IFERROR(VLOOKUP(B15,Stock,3,FALSE),"")</f>
        <v/>
      </c>
      <c r="H15" s="444"/>
      <c r="I15" s="444"/>
      <c r="J15" s="965"/>
      <c r="L15" s="625">
        <f t="shared" si="1"/>
        <v>0</v>
      </c>
    </row>
    <row r="16" ht="13.5" customHeight="1">
      <c r="A16" s="628"/>
      <c r="B16" s="628"/>
      <c r="C16" s="181" t="str">
        <f>IFERROR(VLOOKUP(B16,Stock,3,FALSE),"")</f>
        <v/>
      </c>
      <c r="H16" s="628"/>
      <c r="I16" s="628"/>
      <c r="J16" s="967"/>
      <c r="L16" s="625">
        <f t="shared" si="1"/>
        <v>0</v>
      </c>
    </row>
    <row r="17" ht="13.5" customHeight="1">
      <c r="A17" s="713"/>
      <c r="B17" s="17"/>
      <c r="C17" s="968"/>
      <c r="D17" s="617"/>
      <c r="E17" s="617"/>
      <c r="F17" s="617"/>
      <c r="G17" s="617"/>
      <c r="H17" s="628"/>
      <c r="I17" s="628"/>
      <c r="J17" s="631"/>
      <c r="K17" s="617"/>
      <c r="L17" s="625"/>
    </row>
    <row r="18" ht="13.5" customHeight="1">
      <c r="A18" s="632"/>
      <c r="B18" s="621"/>
      <c r="C18" s="621"/>
      <c r="D18" s="621"/>
      <c r="E18" s="632"/>
      <c r="F18" s="633"/>
      <c r="G18" s="633"/>
      <c r="H18" s="969"/>
      <c r="I18" s="635"/>
      <c r="J18" s="636"/>
      <c r="K18" s="637" t="s">
        <v>9786</v>
      </c>
      <c r="L18" s="638">
        <f>SUM(L12:L17)</f>
        <v>3350000</v>
      </c>
    </row>
    <row r="19" ht="13.5" customHeight="1">
      <c r="A19" s="676"/>
      <c r="B19" s="628"/>
      <c r="C19" s="970"/>
      <c r="D19" s="628"/>
      <c r="E19" s="645" t="s">
        <v>9788</v>
      </c>
      <c r="J19" s="643"/>
      <c r="K19" s="201" t="s">
        <v>9787</v>
      </c>
      <c r="L19" s="687">
        <v>0.0</v>
      </c>
    </row>
    <row r="20" ht="13.5" customHeight="1">
      <c r="A20" s="592"/>
      <c r="B20" s="628"/>
      <c r="C20" s="628"/>
      <c r="D20" s="628"/>
      <c r="J20" s="646"/>
      <c r="K20" s="614" t="s">
        <v>9811</v>
      </c>
      <c r="L20" s="648">
        <f>L18-L19</f>
        <v>3350000</v>
      </c>
    </row>
    <row r="21" ht="13.5" customHeight="1">
      <c r="A21" s="592"/>
      <c r="B21" s="604"/>
      <c r="C21" s="604"/>
      <c r="D21" s="649"/>
      <c r="J21" s="650"/>
      <c r="K21" s="637"/>
      <c r="L21" s="651"/>
    </row>
    <row r="22" ht="13.5" customHeight="1">
      <c r="A22" s="592"/>
      <c r="B22" s="604"/>
      <c r="C22" s="955"/>
      <c r="D22" s="604"/>
      <c r="J22" s="650"/>
      <c r="K22" s="653" t="s">
        <v>9791</v>
      </c>
      <c r="L22" s="956"/>
    </row>
    <row r="23" ht="13.5" customHeight="1">
      <c r="A23" s="592"/>
      <c r="B23" s="604"/>
      <c r="C23" s="604"/>
      <c r="D23" s="604"/>
      <c r="E23" s="641"/>
      <c r="F23" s="707"/>
      <c r="G23" s="707"/>
      <c r="H23" s="707"/>
      <c r="I23" s="707"/>
      <c r="J23" s="650"/>
      <c r="K23" s="708"/>
    </row>
    <row r="24" ht="13.5" customHeight="1">
      <c r="B24" s="657"/>
      <c r="F24" s="594" t="s">
        <v>1973</v>
      </c>
      <c r="H24" s="658"/>
      <c r="I24" s="658"/>
      <c r="J24" s="650"/>
    </row>
    <row r="25" ht="13.5" customHeight="1">
      <c r="B25" s="657"/>
      <c r="L25" s="971"/>
    </row>
    <row r="26" ht="13.5" customHeight="1">
      <c r="B26" s="657"/>
      <c r="L26" s="972"/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3">
    <mergeCell ref="J7:L7"/>
    <mergeCell ref="D8:F8"/>
    <mergeCell ref="J8:L8"/>
    <mergeCell ref="H10:I10"/>
    <mergeCell ref="J10:K10"/>
    <mergeCell ref="H11:I11"/>
    <mergeCell ref="J11:K11"/>
    <mergeCell ref="J14:K14"/>
    <mergeCell ref="J15:K15"/>
    <mergeCell ref="K23:L24"/>
    <mergeCell ref="C16:G16"/>
    <mergeCell ref="J16:K16"/>
    <mergeCell ref="C17:G17"/>
    <mergeCell ref="J17:K17"/>
    <mergeCell ref="A18:D18"/>
    <mergeCell ref="E19:I22"/>
    <mergeCell ref="C11:G11"/>
    <mergeCell ref="C12:G12"/>
    <mergeCell ref="J12:K12"/>
    <mergeCell ref="C13:G13"/>
    <mergeCell ref="J13:K13"/>
    <mergeCell ref="C14:G14"/>
    <mergeCell ref="C15:G15"/>
  </mergeCells>
  <printOptions/>
  <pageMargins bottom="0.30899546647578147" footer="0.0" header="0.0" left="0.324527191110457" right="0.23154848046309695" top="0.3424003817704606"/>
  <pageSetup paperSize="11" scale="93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4" width="29.14"/>
    <col customWidth="1" min="5" max="5" width="29.29"/>
    <col customWidth="1" min="6" max="6" width="28.43"/>
    <col customWidth="1" min="7" max="7" width="28.86"/>
    <col customWidth="1" min="8" max="9" width="17.29"/>
    <col customWidth="1" min="10" max="10" width="20.57"/>
  </cols>
  <sheetData>
    <row r="1">
      <c r="A1" s="973" t="s">
        <v>9773</v>
      </c>
      <c r="B1" s="974" t="s">
        <v>10883</v>
      </c>
      <c r="C1" s="975" t="s">
        <v>10884</v>
      </c>
      <c r="D1" s="976" t="s">
        <v>10885</v>
      </c>
      <c r="E1" s="977" t="s">
        <v>10886</v>
      </c>
      <c r="F1" s="978" t="s">
        <v>10887</v>
      </c>
      <c r="G1" s="978" t="s">
        <v>9819</v>
      </c>
      <c r="H1" s="979" t="s">
        <v>10888</v>
      </c>
      <c r="I1" s="979" t="s">
        <v>10889</v>
      </c>
      <c r="J1" s="980" t="s">
        <v>10890</v>
      </c>
      <c r="K1" s="981"/>
      <c r="L1" s="981"/>
      <c r="M1" s="981"/>
      <c r="N1" s="981"/>
      <c r="O1" s="981"/>
      <c r="P1" s="981"/>
      <c r="Q1" s="981"/>
      <c r="R1" s="981"/>
      <c r="S1" s="981"/>
      <c r="T1" s="981"/>
      <c r="U1" s="981"/>
      <c r="V1" s="981"/>
      <c r="W1" s="981"/>
      <c r="X1" s="981"/>
      <c r="Y1" s="981"/>
      <c r="Z1" s="981"/>
      <c r="AA1" s="981"/>
      <c r="AB1" s="981"/>
    </row>
    <row r="2">
      <c r="A2" s="982">
        <v>45955.0</v>
      </c>
      <c r="B2" s="983" t="s">
        <v>10891</v>
      </c>
      <c r="C2" s="984">
        <v>100000.0</v>
      </c>
      <c r="D2" s="984">
        <v>1300000.0</v>
      </c>
      <c r="E2" s="984" t="s">
        <v>5154</v>
      </c>
      <c r="F2" s="984">
        <v>1300000.0</v>
      </c>
      <c r="G2" s="985" t="s">
        <v>10892</v>
      </c>
      <c r="H2" s="986" t="s">
        <v>10893</v>
      </c>
      <c r="I2" s="986"/>
      <c r="J2" s="986" t="s">
        <v>10893</v>
      </c>
      <c r="K2" s="981"/>
      <c r="L2" s="981"/>
      <c r="M2" s="981"/>
      <c r="N2" s="981"/>
      <c r="O2" s="981"/>
      <c r="P2" s="981"/>
      <c r="Q2" s="981"/>
      <c r="R2" s="981"/>
      <c r="S2" s="981"/>
      <c r="T2" s="981"/>
      <c r="U2" s="981"/>
      <c r="V2" s="981"/>
      <c r="W2" s="981"/>
      <c r="X2" s="981"/>
      <c r="Y2" s="981"/>
      <c r="Z2" s="981"/>
      <c r="AA2" s="981"/>
      <c r="AB2" s="981"/>
    </row>
    <row r="3">
      <c r="A3" s="982">
        <v>45958.0</v>
      </c>
      <c r="B3" s="983" t="s">
        <v>10894</v>
      </c>
      <c r="C3" s="984">
        <v>1185000.0</v>
      </c>
      <c r="H3" s="986" t="s">
        <v>10893</v>
      </c>
      <c r="I3" s="986"/>
      <c r="J3" s="986" t="s">
        <v>10893</v>
      </c>
      <c r="K3" s="981"/>
      <c r="L3" s="981"/>
      <c r="M3" s="981"/>
      <c r="N3" s="981"/>
      <c r="O3" s="981"/>
      <c r="P3" s="981"/>
      <c r="Q3" s="981"/>
      <c r="R3" s="981"/>
      <c r="S3" s="981"/>
      <c r="T3" s="981"/>
      <c r="U3" s="981"/>
      <c r="V3" s="981"/>
      <c r="W3" s="981"/>
      <c r="X3" s="981"/>
      <c r="Y3" s="981"/>
      <c r="Z3" s="981"/>
      <c r="AA3" s="981"/>
      <c r="AB3" s="981"/>
    </row>
    <row r="4">
      <c r="A4" s="982">
        <v>45965.0</v>
      </c>
      <c r="B4" s="983" t="s">
        <v>10895</v>
      </c>
      <c r="C4" s="984">
        <v>2650000.0</v>
      </c>
      <c r="D4" s="984">
        <v>3150000.0</v>
      </c>
      <c r="E4" s="984" t="s">
        <v>5154</v>
      </c>
      <c r="F4" s="984">
        <v>1350000.0</v>
      </c>
      <c r="G4" s="985" t="s">
        <v>10896</v>
      </c>
      <c r="H4" s="986" t="s">
        <v>10893</v>
      </c>
      <c r="I4" s="986"/>
      <c r="J4" s="986" t="s">
        <v>10893</v>
      </c>
      <c r="K4" s="981"/>
      <c r="L4" s="981"/>
      <c r="M4" s="981"/>
      <c r="N4" s="981"/>
      <c r="O4" s="981"/>
      <c r="P4" s="981"/>
      <c r="Q4" s="981"/>
      <c r="R4" s="981"/>
      <c r="S4" s="981"/>
      <c r="T4" s="981"/>
      <c r="U4" s="981"/>
      <c r="V4" s="981"/>
      <c r="W4" s="981"/>
      <c r="X4" s="981"/>
      <c r="Y4" s="981"/>
      <c r="Z4" s="981"/>
      <c r="AA4" s="981"/>
      <c r="AB4" s="981"/>
    </row>
    <row r="5">
      <c r="A5" s="982">
        <v>45965.0</v>
      </c>
      <c r="B5" s="983" t="s">
        <v>10897</v>
      </c>
      <c r="C5" s="984">
        <v>515000.0</v>
      </c>
      <c r="H5" s="986" t="s">
        <v>10893</v>
      </c>
      <c r="I5" s="986"/>
      <c r="J5" s="986" t="s">
        <v>10893</v>
      </c>
      <c r="K5" s="981"/>
      <c r="L5" s="981"/>
      <c r="M5" s="981"/>
      <c r="N5" s="981"/>
      <c r="O5" s="981"/>
      <c r="P5" s="981"/>
      <c r="Q5" s="981"/>
      <c r="R5" s="981"/>
      <c r="S5" s="981"/>
      <c r="T5" s="981"/>
      <c r="U5" s="981"/>
      <c r="V5" s="981"/>
      <c r="W5" s="981"/>
      <c r="X5" s="981"/>
      <c r="Y5" s="981"/>
      <c r="Z5" s="981"/>
      <c r="AA5" s="981"/>
      <c r="AB5" s="981"/>
    </row>
    <row r="6">
      <c r="A6" s="982">
        <v>45967.0</v>
      </c>
      <c r="B6" s="983" t="s">
        <v>10898</v>
      </c>
      <c r="C6" s="984">
        <v>1100000.0</v>
      </c>
      <c r="D6" s="984">
        <v>3250000.0</v>
      </c>
      <c r="E6" s="984" t="s">
        <v>5154</v>
      </c>
      <c r="F6" s="984">
        <v>3230000.0</v>
      </c>
      <c r="G6" s="985" t="s">
        <v>10899</v>
      </c>
      <c r="H6" s="986" t="s">
        <v>10893</v>
      </c>
      <c r="I6" s="986"/>
      <c r="J6" s="986" t="s">
        <v>10893</v>
      </c>
      <c r="K6" s="981"/>
      <c r="L6" s="981"/>
      <c r="M6" s="981"/>
      <c r="N6" s="981"/>
      <c r="O6" s="981"/>
      <c r="P6" s="981"/>
      <c r="Q6" s="981"/>
      <c r="R6" s="981"/>
      <c r="S6" s="981"/>
      <c r="T6" s="981"/>
      <c r="U6" s="981"/>
      <c r="V6" s="981"/>
      <c r="W6" s="981"/>
      <c r="X6" s="981"/>
      <c r="Y6" s="981"/>
      <c r="Z6" s="981"/>
      <c r="AA6" s="981"/>
      <c r="AB6" s="981"/>
    </row>
    <row r="7">
      <c r="A7" s="982">
        <v>45968.0</v>
      </c>
      <c r="B7" s="983" t="s">
        <v>10900</v>
      </c>
      <c r="C7" s="984">
        <v>2150000.0</v>
      </c>
      <c r="G7" s="985" t="s">
        <v>10901</v>
      </c>
      <c r="H7" s="986" t="s">
        <v>10893</v>
      </c>
      <c r="I7" s="986"/>
      <c r="J7" s="986" t="s">
        <v>10893</v>
      </c>
      <c r="K7" s="981"/>
      <c r="L7" s="981"/>
      <c r="M7" s="981"/>
      <c r="N7" s="981"/>
      <c r="O7" s="981"/>
      <c r="P7" s="981"/>
      <c r="Q7" s="981"/>
      <c r="R7" s="981"/>
      <c r="S7" s="981"/>
      <c r="T7" s="981"/>
      <c r="U7" s="981"/>
      <c r="V7" s="981"/>
      <c r="W7" s="981"/>
      <c r="X7" s="981"/>
      <c r="Y7" s="981"/>
      <c r="Z7" s="981"/>
      <c r="AA7" s="981"/>
      <c r="AB7" s="981"/>
    </row>
    <row r="8">
      <c r="A8" s="982">
        <v>45971.0</v>
      </c>
      <c r="B8" s="987" t="s">
        <v>10902</v>
      </c>
      <c r="C8" s="988">
        <v>1000000.0</v>
      </c>
      <c r="D8" s="988">
        <v>2300000.0</v>
      </c>
      <c r="E8" s="988" t="s">
        <v>5154</v>
      </c>
      <c r="F8" s="988">
        <v>2250000.0</v>
      </c>
      <c r="G8" s="986" t="s">
        <v>10903</v>
      </c>
      <c r="H8" s="986" t="s">
        <v>10893</v>
      </c>
      <c r="I8" s="986"/>
      <c r="J8" s="986" t="s">
        <v>10893</v>
      </c>
      <c r="K8" s="981"/>
      <c r="L8" s="981"/>
      <c r="M8" s="981"/>
      <c r="N8" s="981"/>
      <c r="O8" s="981"/>
      <c r="P8" s="981"/>
      <c r="Q8" s="981"/>
      <c r="R8" s="981"/>
      <c r="S8" s="981"/>
      <c r="T8" s="981"/>
      <c r="U8" s="981"/>
      <c r="V8" s="981"/>
      <c r="W8" s="981"/>
      <c r="X8" s="981"/>
      <c r="Y8" s="981"/>
      <c r="Z8" s="981"/>
      <c r="AA8" s="981"/>
      <c r="AB8" s="981"/>
    </row>
    <row r="9">
      <c r="A9" s="982">
        <v>45971.0</v>
      </c>
      <c r="B9" s="987" t="s">
        <v>10904</v>
      </c>
      <c r="C9" s="988">
        <v>1300000.0</v>
      </c>
      <c r="G9" s="986" t="s">
        <v>10905</v>
      </c>
      <c r="H9" s="986" t="s">
        <v>10893</v>
      </c>
      <c r="I9" s="986"/>
      <c r="J9" s="986" t="s">
        <v>10893</v>
      </c>
      <c r="K9" s="981"/>
      <c r="L9" s="981"/>
      <c r="M9" s="981"/>
      <c r="N9" s="981"/>
      <c r="O9" s="981"/>
      <c r="P9" s="981"/>
      <c r="Q9" s="981"/>
      <c r="R9" s="981"/>
      <c r="S9" s="981"/>
      <c r="T9" s="981"/>
      <c r="U9" s="981"/>
      <c r="V9" s="981"/>
      <c r="W9" s="981"/>
      <c r="X9" s="981"/>
      <c r="Y9" s="981"/>
      <c r="Z9" s="981"/>
      <c r="AA9" s="981"/>
      <c r="AB9" s="981"/>
    </row>
    <row r="10">
      <c r="A10" s="982">
        <v>45973.0</v>
      </c>
      <c r="B10" s="987" t="s">
        <v>10906</v>
      </c>
      <c r="C10" s="988">
        <v>1000000.0</v>
      </c>
      <c r="D10" s="988">
        <v>1000000.0</v>
      </c>
      <c r="E10" s="988" t="s">
        <v>5154</v>
      </c>
      <c r="F10" s="988">
        <v>1000000.0</v>
      </c>
      <c r="G10" s="986" t="s">
        <v>10907</v>
      </c>
      <c r="H10" s="986" t="s">
        <v>10893</v>
      </c>
      <c r="I10" s="986"/>
      <c r="J10" s="986" t="s">
        <v>10893</v>
      </c>
      <c r="K10" s="981"/>
      <c r="L10" s="981"/>
      <c r="M10" s="981"/>
      <c r="N10" s="981"/>
      <c r="O10" s="981"/>
      <c r="P10" s="981"/>
      <c r="Q10" s="981"/>
      <c r="R10" s="981"/>
      <c r="S10" s="981"/>
      <c r="T10" s="981"/>
      <c r="U10" s="981"/>
      <c r="V10" s="981"/>
      <c r="W10" s="981"/>
      <c r="X10" s="981"/>
      <c r="Y10" s="981"/>
      <c r="Z10" s="981"/>
      <c r="AA10" s="981"/>
      <c r="AB10" s="981"/>
    </row>
    <row r="11">
      <c r="A11" s="982">
        <v>45974.0</v>
      </c>
      <c r="B11" s="987" t="s">
        <v>10908</v>
      </c>
      <c r="C11" s="988">
        <v>2700000.0</v>
      </c>
      <c r="D11" s="988">
        <v>2200000.0</v>
      </c>
      <c r="E11" s="988">
        <v>500000.0</v>
      </c>
      <c r="F11" s="988">
        <v>2200000.0</v>
      </c>
      <c r="G11" s="986" t="s">
        <v>10909</v>
      </c>
      <c r="H11" s="986" t="s">
        <v>10893</v>
      </c>
      <c r="I11" s="986"/>
      <c r="J11" s="986" t="s">
        <v>10893</v>
      </c>
      <c r="K11" s="981"/>
      <c r="L11" s="981"/>
      <c r="M11" s="981"/>
      <c r="N11" s="981"/>
      <c r="O11" s="981"/>
      <c r="P11" s="981"/>
      <c r="Q11" s="981"/>
      <c r="R11" s="981"/>
      <c r="S11" s="981"/>
      <c r="T11" s="981"/>
      <c r="U11" s="981"/>
      <c r="V11" s="981"/>
      <c r="W11" s="981"/>
      <c r="X11" s="981"/>
      <c r="Y11" s="981"/>
      <c r="Z11" s="981"/>
      <c r="AA11" s="981"/>
      <c r="AB11" s="981"/>
    </row>
    <row r="12">
      <c r="A12" s="982">
        <v>45975.0</v>
      </c>
      <c r="B12" s="987" t="s">
        <v>10910</v>
      </c>
      <c r="C12" s="989" t="s">
        <v>10911</v>
      </c>
      <c r="D12" s="988"/>
      <c r="E12" s="988"/>
      <c r="F12" s="988"/>
      <c r="G12" s="986" t="s">
        <v>10912</v>
      </c>
      <c r="H12" s="986" t="s">
        <v>10893</v>
      </c>
      <c r="I12" s="986"/>
      <c r="J12" s="986" t="s">
        <v>10893</v>
      </c>
      <c r="K12" s="981"/>
      <c r="L12" s="981"/>
      <c r="M12" s="981"/>
      <c r="N12" s="981"/>
      <c r="O12" s="981"/>
      <c r="P12" s="981"/>
      <c r="Q12" s="981"/>
      <c r="R12" s="981"/>
      <c r="S12" s="981"/>
      <c r="T12" s="981"/>
      <c r="U12" s="981"/>
      <c r="V12" s="981"/>
      <c r="W12" s="981"/>
      <c r="X12" s="981"/>
      <c r="Y12" s="981"/>
      <c r="Z12" s="981"/>
      <c r="AA12" s="981"/>
      <c r="AB12" s="981"/>
    </row>
    <row r="13">
      <c r="A13" s="982">
        <v>45976.0</v>
      </c>
      <c r="B13" s="987" t="s">
        <v>10913</v>
      </c>
      <c r="C13" s="988">
        <v>1000000.0</v>
      </c>
      <c r="D13" s="988">
        <v>1000000.0</v>
      </c>
      <c r="E13" s="988" t="s">
        <v>5154</v>
      </c>
      <c r="F13" s="988">
        <v>1000000.0</v>
      </c>
      <c r="G13" s="986" t="s">
        <v>10914</v>
      </c>
      <c r="H13" s="986" t="s">
        <v>10893</v>
      </c>
      <c r="I13" s="986"/>
      <c r="J13" s="986" t="s">
        <v>10893</v>
      </c>
      <c r="K13" s="981"/>
      <c r="L13" s="981"/>
      <c r="M13" s="981"/>
      <c r="N13" s="981"/>
      <c r="O13" s="981"/>
      <c r="P13" s="981"/>
      <c r="Q13" s="981"/>
      <c r="R13" s="981"/>
      <c r="S13" s="981"/>
      <c r="T13" s="981"/>
      <c r="U13" s="981"/>
      <c r="V13" s="981"/>
      <c r="W13" s="981"/>
      <c r="X13" s="981"/>
      <c r="Y13" s="981"/>
      <c r="Z13" s="981"/>
      <c r="AA13" s="981"/>
      <c r="AB13" s="981"/>
    </row>
    <row r="14">
      <c r="A14" s="982">
        <v>45978.0</v>
      </c>
      <c r="B14" s="987" t="s">
        <v>10915</v>
      </c>
      <c r="C14" s="988">
        <v>1327000.0</v>
      </c>
      <c r="D14" s="988">
        <v>1327000.0</v>
      </c>
      <c r="E14" s="988">
        <v>497000.0</v>
      </c>
      <c r="F14" s="988"/>
      <c r="G14" s="986" t="s">
        <v>10916</v>
      </c>
      <c r="H14" s="986" t="s">
        <v>10893</v>
      </c>
      <c r="I14" s="986"/>
      <c r="J14" s="986" t="s">
        <v>10893</v>
      </c>
      <c r="K14" s="981"/>
      <c r="L14" s="981"/>
      <c r="M14" s="981"/>
      <c r="N14" s="981"/>
      <c r="O14" s="981"/>
      <c r="P14" s="981"/>
      <c r="Q14" s="981"/>
      <c r="R14" s="981"/>
      <c r="S14" s="981"/>
      <c r="T14" s="981"/>
      <c r="U14" s="981"/>
      <c r="V14" s="981"/>
      <c r="W14" s="981"/>
      <c r="X14" s="981"/>
      <c r="Y14" s="981"/>
      <c r="Z14" s="981"/>
      <c r="AA14" s="981"/>
      <c r="AB14" s="981"/>
    </row>
    <row r="15">
      <c r="A15" s="982">
        <v>45979.0</v>
      </c>
      <c r="B15" s="987" t="s">
        <v>10917</v>
      </c>
      <c r="C15" s="988">
        <v>1950000.0</v>
      </c>
      <c r="D15" s="988">
        <v>1950000.0</v>
      </c>
      <c r="G15" s="986" t="s">
        <v>10918</v>
      </c>
      <c r="H15" s="986" t="s">
        <v>10893</v>
      </c>
      <c r="I15" s="986"/>
      <c r="J15" s="986" t="s">
        <v>10893</v>
      </c>
      <c r="K15" s="981"/>
      <c r="L15" s="981"/>
      <c r="M15" s="981"/>
      <c r="N15" s="981"/>
      <c r="O15" s="981"/>
      <c r="P15" s="981"/>
      <c r="Q15" s="981"/>
      <c r="R15" s="981"/>
      <c r="S15" s="981"/>
      <c r="T15" s="981"/>
      <c r="U15" s="981"/>
      <c r="V15" s="981"/>
      <c r="W15" s="981"/>
      <c r="X15" s="981"/>
      <c r="Y15" s="981"/>
      <c r="Z15" s="981"/>
      <c r="AA15" s="981"/>
      <c r="AB15" s="981"/>
    </row>
    <row r="16">
      <c r="A16" s="990">
        <v>45979.0</v>
      </c>
      <c r="B16" s="987" t="s">
        <v>10919</v>
      </c>
      <c r="C16" s="988">
        <v>620000.0</v>
      </c>
      <c r="D16" s="988">
        <v>620000.0</v>
      </c>
      <c r="J16" s="986"/>
      <c r="K16" s="981"/>
      <c r="L16" s="981"/>
      <c r="M16" s="981"/>
      <c r="N16" s="981"/>
      <c r="O16" s="981"/>
      <c r="P16" s="981"/>
      <c r="Q16" s="981"/>
      <c r="R16" s="981"/>
      <c r="S16" s="981"/>
      <c r="T16" s="981"/>
      <c r="U16" s="981"/>
      <c r="V16" s="981"/>
      <c r="W16" s="981"/>
      <c r="X16" s="981"/>
      <c r="Y16" s="981"/>
      <c r="Z16" s="981"/>
      <c r="AA16" s="981"/>
      <c r="AB16" s="981"/>
    </row>
    <row r="17">
      <c r="A17" s="990">
        <v>45980.0</v>
      </c>
      <c r="B17" s="987" t="s">
        <v>10920</v>
      </c>
      <c r="C17" s="988">
        <v>1400000.0</v>
      </c>
      <c r="D17" s="988">
        <v>1400000.0</v>
      </c>
      <c r="E17" s="988" t="s">
        <v>5154</v>
      </c>
      <c r="F17" s="988">
        <v>2400000.0</v>
      </c>
      <c r="G17" s="986" t="s">
        <v>10921</v>
      </c>
      <c r="H17" s="986" t="s">
        <v>10893</v>
      </c>
      <c r="I17" s="986"/>
      <c r="J17" s="986"/>
      <c r="K17" s="981"/>
      <c r="L17" s="981"/>
      <c r="M17" s="981"/>
      <c r="N17" s="981"/>
      <c r="O17" s="981"/>
      <c r="P17" s="981"/>
      <c r="Q17" s="981"/>
      <c r="R17" s="981"/>
      <c r="S17" s="981"/>
      <c r="T17" s="981"/>
      <c r="U17" s="981"/>
      <c r="V17" s="981"/>
      <c r="W17" s="981"/>
      <c r="X17" s="981"/>
      <c r="Y17" s="981"/>
      <c r="Z17" s="981"/>
      <c r="AA17" s="981"/>
      <c r="AB17" s="981"/>
    </row>
    <row r="18">
      <c r="A18" s="990">
        <v>45980.0</v>
      </c>
      <c r="B18" s="987" t="s">
        <v>10922</v>
      </c>
      <c r="C18" s="988">
        <v>1000000.0</v>
      </c>
      <c r="D18" s="988">
        <v>1000000.0</v>
      </c>
      <c r="E18" s="988" t="s">
        <v>5154</v>
      </c>
      <c r="J18" s="986"/>
      <c r="K18" s="981"/>
      <c r="L18" s="981"/>
      <c r="M18" s="981"/>
      <c r="N18" s="981"/>
      <c r="O18" s="981"/>
      <c r="P18" s="981"/>
      <c r="Q18" s="981"/>
      <c r="R18" s="981"/>
      <c r="S18" s="981"/>
      <c r="T18" s="981"/>
      <c r="U18" s="981"/>
      <c r="V18" s="981"/>
      <c r="W18" s="981"/>
      <c r="X18" s="981"/>
      <c r="Y18" s="981"/>
      <c r="Z18" s="981"/>
      <c r="AA18" s="981"/>
      <c r="AB18" s="981"/>
    </row>
    <row r="19">
      <c r="A19" s="990">
        <v>45981.0</v>
      </c>
      <c r="B19" s="987" t="s">
        <v>10923</v>
      </c>
      <c r="C19" s="988">
        <v>600000.0</v>
      </c>
      <c r="D19" s="988">
        <v>100000.0</v>
      </c>
      <c r="E19" s="988">
        <v>500000.0</v>
      </c>
      <c r="F19" s="988">
        <v>1950000.0</v>
      </c>
      <c r="G19" s="986" t="s">
        <v>10924</v>
      </c>
      <c r="H19" s="986" t="s">
        <v>10893</v>
      </c>
      <c r="I19" s="986"/>
      <c r="J19" s="986" t="s">
        <v>10893</v>
      </c>
      <c r="K19" s="981"/>
      <c r="L19" s="981"/>
      <c r="M19" s="981"/>
      <c r="N19" s="981"/>
      <c r="O19" s="981"/>
      <c r="P19" s="981"/>
      <c r="Q19" s="981"/>
      <c r="R19" s="981"/>
      <c r="S19" s="981"/>
      <c r="T19" s="981"/>
      <c r="U19" s="981"/>
      <c r="V19" s="981"/>
      <c r="W19" s="981"/>
      <c r="X19" s="981"/>
      <c r="Y19" s="981"/>
      <c r="Z19" s="981"/>
      <c r="AA19" s="981"/>
      <c r="AB19" s="981"/>
    </row>
    <row r="20">
      <c r="A20" s="990">
        <v>45981.0</v>
      </c>
      <c r="B20" s="987" t="s">
        <v>10925</v>
      </c>
      <c r="C20" s="988">
        <v>850000.0</v>
      </c>
      <c r="D20" s="988">
        <v>850000.0</v>
      </c>
      <c r="E20" s="988" t="s">
        <v>5154</v>
      </c>
      <c r="G20" s="986" t="s">
        <v>10926</v>
      </c>
      <c r="J20" s="986" t="s">
        <v>10893</v>
      </c>
      <c r="K20" s="981"/>
      <c r="L20" s="981"/>
      <c r="M20" s="981"/>
      <c r="N20" s="981"/>
      <c r="O20" s="981"/>
      <c r="P20" s="981"/>
      <c r="Q20" s="981"/>
      <c r="R20" s="981"/>
      <c r="S20" s="981"/>
      <c r="T20" s="981"/>
      <c r="U20" s="981"/>
      <c r="V20" s="981"/>
      <c r="W20" s="981"/>
      <c r="X20" s="981"/>
      <c r="Y20" s="981"/>
      <c r="Z20" s="981"/>
      <c r="AA20" s="981"/>
      <c r="AB20" s="981"/>
    </row>
    <row r="21">
      <c r="A21" s="990">
        <v>45981.0</v>
      </c>
      <c r="B21" s="987" t="s">
        <v>10927</v>
      </c>
      <c r="C21" s="988">
        <v>1000000.0</v>
      </c>
      <c r="D21" s="988">
        <v>1000000.0</v>
      </c>
      <c r="E21" s="988" t="s">
        <v>5154</v>
      </c>
      <c r="G21" s="986" t="s">
        <v>10928</v>
      </c>
      <c r="J21" s="986" t="s">
        <v>10893</v>
      </c>
      <c r="K21" s="981"/>
      <c r="L21" s="981"/>
      <c r="M21" s="981"/>
      <c r="N21" s="981"/>
      <c r="O21" s="981"/>
      <c r="P21" s="981"/>
      <c r="Q21" s="981"/>
      <c r="R21" s="981"/>
      <c r="S21" s="981"/>
      <c r="T21" s="981"/>
      <c r="U21" s="981"/>
      <c r="V21" s="981"/>
      <c r="W21" s="981"/>
      <c r="X21" s="981"/>
      <c r="Y21" s="981"/>
      <c r="Z21" s="981"/>
      <c r="AA21" s="981"/>
      <c r="AB21" s="981"/>
    </row>
    <row r="22">
      <c r="A22" s="990">
        <v>45982.0</v>
      </c>
      <c r="B22" s="987" t="s">
        <v>10929</v>
      </c>
      <c r="C22" s="988">
        <v>1244000.0</v>
      </c>
      <c r="D22" s="988">
        <v>744000.0</v>
      </c>
      <c r="E22" s="988">
        <v>500000.0</v>
      </c>
      <c r="F22" s="988">
        <v>1204000.0</v>
      </c>
      <c r="G22" s="986" t="s">
        <v>10930</v>
      </c>
      <c r="H22" s="986" t="s">
        <v>10893</v>
      </c>
      <c r="I22" s="986"/>
      <c r="J22" s="986" t="s">
        <v>10931</v>
      </c>
      <c r="K22" s="981"/>
      <c r="L22" s="981"/>
      <c r="M22" s="981"/>
      <c r="N22" s="981"/>
      <c r="O22" s="981"/>
      <c r="P22" s="981"/>
      <c r="Q22" s="981"/>
      <c r="R22" s="981"/>
      <c r="S22" s="981"/>
      <c r="T22" s="981"/>
      <c r="U22" s="981"/>
      <c r="V22" s="981"/>
      <c r="W22" s="981"/>
      <c r="X22" s="981"/>
      <c r="Y22" s="981"/>
      <c r="Z22" s="981"/>
      <c r="AA22" s="981"/>
      <c r="AB22" s="981"/>
    </row>
    <row r="23">
      <c r="A23" s="990">
        <v>45985.0</v>
      </c>
      <c r="B23" s="987" t="s">
        <v>10932</v>
      </c>
      <c r="C23" s="988">
        <v>1260000.0</v>
      </c>
      <c r="D23" s="988">
        <v>1260000.0</v>
      </c>
      <c r="E23" s="988">
        <v>800000.0</v>
      </c>
      <c r="G23" s="986" t="s">
        <v>10933</v>
      </c>
      <c r="H23" s="986" t="s">
        <v>10893</v>
      </c>
      <c r="I23" s="986"/>
      <c r="J23" s="986" t="s">
        <v>10931</v>
      </c>
      <c r="K23" s="981"/>
      <c r="L23" s="981"/>
      <c r="M23" s="981"/>
      <c r="N23" s="981"/>
      <c r="O23" s="981"/>
      <c r="P23" s="981"/>
      <c r="Q23" s="981"/>
      <c r="R23" s="981"/>
      <c r="S23" s="981"/>
      <c r="T23" s="981"/>
      <c r="U23" s="981"/>
      <c r="V23" s="981"/>
      <c r="W23" s="981"/>
      <c r="X23" s="981"/>
      <c r="Y23" s="981"/>
      <c r="Z23" s="981"/>
      <c r="AA23" s="981"/>
      <c r="AB23" s="981"/>
    </row>
    <row r="24">
      <c r="A24" s="990">
        <v>45990.0</v>
      </c>
      <c r="B24" s="987" t="s">
        <v>10934</v>
      </c>
      <c r="C24" s="988">
        <v>1710000.0</v>
      </c>
      <c r="D24" s="988">
        <v>1705000.0</v>
      </c>
      <c r="E24" s="988" t="s">
        <v>5154</v>
      </c>
      <c r="F24" s="988">
        <v>2205000.0</v>
      </c>
      <c r="G24" s="986" t="s">
        <v>10930</v>
      </c>
      <c r="H24" s="986" t="s">
        <v>10893</v>
      </c>
      <c r="I24" s="986"/>
      <c r="J24" s="986" t="s">
        <v>10931</v>
      </c>
      <c r="K24" s="981"/>
      <c r="L24" s="981"/>
      <c r="M24" s="981"/>
      <c r="N24" s="981"/>
      <c r="O24" s="981"/>
      <c r="P24" s="981"/>
      <c r="Q24" s="981"/>
      <c r="R24" s="981"/>
      <c r="S24" s="981"/>
      <c r="T24" s="981"/>
      <c r="U24" s="981"/>
      <c r="V24" s="981"/>
      <c r="W24" s="981"/>
      <c r="X24" s="981"/>
      <c r="Y24" s="981"/>
      <c r="Z24" s="981"/>
      <c r="AA24" s="981"/>
      <c r="AB24" s="981"/>
    </row>
    <row r="25">
      <c r="A25" s="990">
        <v>45990.0</v>
      </c>
      <c r="B25" s="987" t="s">
        <v>10935</v>
      </c>
      <c r="C25" s="988">
        <v>900000.0</v>
      </c>
      <c r="D25" s="988">
        <v>400000.0</v>
      </c>
      <c r="E25" s="988">
        <v>500000.0</v>
      </c>
      <c r="J25" s="986" t="s">
        <v>10931</v>
      </c>
      <c r="K25" s="981"/>
      <c r="L25" s="981"/>
      <c r="M25" s="981"/>
      <c r="N25" s="981"/>
      <c r="O25" s="981"/>
      <c r="P25" s="981"/>
      <c r="Q25" s="981"/>
      <c r="R25" s="981"/>
      <c r="S25" s="981"/>
      <c r="T25" s="981"/>
      <c r="U25" s="981"/>
      <c r="V25" s="981"/>
      <c r="W25" s="981"/>
      <c r="X25" s="981"/>
      <c r="Y25" s="981"/>
      <c r="Z25" s="981"/>
      <c r="AA25" s="981"/>
      <c r="AB25" s="981"/>
    </row>
    <row r="26">
      <c r="A26" s="990">
        <v>45992.0</v>
      </c>
      <c r="B26" s="987" t="s">
        <v>10936</v>
      </c>
      <c r="C26" s="988">
        <v>100000.0</v>
      </c>
      <c r="D26" s="988">
        <v>100000.0</v>
      </c>
      <c r="E26" s="988" t="s">
        <v>5154</v>
      </c>
      <c r="J26" s="986" t="s">
        <v>10931</v>
      </c>
      <c r="K26" s="981"/>
      <c r="L26" s="981"/>
      <c r="M26" s="981"/>
      <c r="N26" s="981"/>
      <c r="O26" s="981"/>
      <c r="P26" s="981"/>
      <c r="Q26" s="981"/>
      <c r="R26" s="981"/>
      <c r="S26" s="981"/>
      <c r="T26" s="981"/>
      <c r="U26" s="981"/>
      <c r="V26" s="981"/>
      <c r="W26" s="981"/>
      <c r="X26" s="981"/>
      <c r="Y26" s="981"/>
      <c r="Z26" s="981"/>
      <c r="AA26" s="981"/>
      <c r="AB26" s="981"/>
    </row>
    <row r="27">
      <c r="A27" s="990">
        <v>45993.0</v>
      </c>
      <c r="B27" s="987" t="s">
        <v>10937</v>
      </c>
      <c r="C27" s="988">
        <v>450000.0</v>
      </c>
      <c r="D27" s="988">
        <v>450000.0</v>
      </c>
      <c r="E27" s="988" t="s">
        <v>5154</v>
      </c>
      <c r="F27" s="988">
        <v>3700000.0</v>
      </c>
      <c r="G27" s="986" t="s">
        <v>10930</v>
      </c>
      <c r="H27" s="986" t="s">
        <v>10893</v>
      </c>
      <c r="I27" s="986"/>
      <c r="J27" s="986" t="s">
        <v>10931</v>
      </c>
      <c r="K27" s="981"/>
      <c r="L27" s="981"/>
      <c r="M27" s="981"/>
      <c r="N27" s="981"/>
      <c r="O27" s="981"/>
      <c r="P27" s="981"/>
      <c r="Q27" s="981"/>
      <c r="R27" s="981"/>
      <c r="S27" s="981"/>
      <c r="T27" s="981"/>
      <c r="U27" s="981"/>
      <c r="V27" s="981"/>
      <c r="W27" s="981"/>
      <c r="X27" s="981"/>
      <c r="Y27" s="981"/>
      <c r="Z27" s="981"/>
      <c r="AA27" s="981"/>
      <c r="AB27" s="981"/>
    </row>
    <row r="28">
      <c r="A28" s="990">
        <v>45994.0</v>
      </c>
      <c r="B28" s="987" t="s">
        <v>10938</v>
      </c>
      <c r="C28" s="988">
        <v>3750000.0</v>
      </c>
      <c r="D28" s="988">
        <v>3750000.0</v>
      </c>
      <c r="E28" s="988">
        <v>500000.0</v>
      </c>
      <c r="H28" s="986" t="s">
        <v>10893</v>
      </c>
      <c r="I28" s="986"/>
      <c r="J28" s="986" t="s">
        <v>10931</v>
      </c>
      <c r="K28" s="981"/>
      <c r="L28" s="981"/>
      <c r="M28" s="981"/>
      <c r="N28" s="981"/>
      <c r="O28" s="981"/>
      <c r="P28" s="981"/>
      <c r="Q28" s="981"/>
      <c r="R28" s="981"/>
      <c r="S28" s="981"/>
      <c r="T28" s="981"/>
      <c r="U28" s="981"/>
      <c r="V28" s="981"/>
      <c r="W28" s="981"/>
      <c r="X28" s="981"/>
      <c r="Y28" s="981"/>
      <c r="Z28" s="981"/>
      <c r="AA28" s="981"/>
      <c r="AB28" s="981"/>
    </row>
    <row r="29">
      <c r="A29" s="990">
        <v>45996.0</v>
      </c>
      <c r="B29" s="987" t="s">
        <v>10939</v>
      </c>
      <c r="C29" s="988">
        <v>1000000.0</v>
      </c>
      <c r="D29" s="988">
        <v>1000000.0</v>
      </c>
      <c r="E29" s="988">
        <v>800000.0</v>
      </c>
      <c r="F29" s="988">
        <f>D29-E29</f>
        <v>200000</v>
      </c>
      <c r="G29" s="986" t="s">
        <v>10940</v>
      </c>
      <c r="H29" s="986" t="s">
        <v>10893</v>
      </c>
      <c r="I29" s="986"/>
      <c r="J29" s="986" t="s">
        <v>10893</v>
      </c>
      <c r="K29" s="981"/>
      <c r="L29" s="981"/>
      <c r="M29" s="981"/>
      <c r="N29" s="981"/>
      <c r="O29" s="981"/>
      <c r="P29" s="981"/>
      <c r="Q29" s="981"/>
      <c r="R29" s="981"/>
      <c r="S29" s="981"/>
      <c r="T29" s="981"/>
      <c r="U29" s="981"/>
      <c r="V29" s="981"/>
      <c r="W29" s="981"/>
      <c r="X29" s="981"/>
      <c r="Y29" s="981"/>
      <c r="Z29" s="981"/>
      <c r="AA29" s="981"/>
      <c r="AB29" s="981"/>
    </row>
    <row r="30">
      <c r="A30" s="990">
        <v>45996.0</v>
      </c>
      <c r="B30" s="987" t="s">
        <v>10941</v>
      </c>
      <c r="C30" s="988">
        <v>500000.0</v>
      </c>
      <c r="D30" s="988">
        <v>500000.0</v>
      </c>
      <c r="E30" s="988" t="s">
        <v>5154</v>
      </c>
      <c r="F30" s="988">
        <v>500000.0</v>
      </c>
      <c r="G30" s="986" t="s">
        <v>10942</v>
      </c>
      <c r="H30" s="986" t="s">
        <v>10893</v>
      </c>
      <c r="I30" s="986"/>
      <c r="J30" s="986" t="s">
        <v>10893</v>
      </c>
      <c r="K30" s="981"/>
      <c r="L30" s="981"/>
      <c r="M30" s="981"/>
      <c r="N30" s="981"/>
      <c r="O30" s="981"/>
      <c r="P30" s="981"/>
      <c r="Q30" s="981"/>
      <c r="R30" s="981"/>
      <c r="S30" s="981"/>
      <c r="T30" s="981"/>
      <c r="U30" s="981"/>
      <c r="V30" s="981"/>
      <c r="W30" s="981"/>
      <c r="X30" s="981"/>
      <c r="Y30" s="981"/>
      <c r="Z30" s="981"/>
      <c r="AA30" s="981"/>
      <c r="AB30" s="981"/>
    </row>
    <row r="31">
      <c r="A31" s="990">
        <v>45999.0</v>
      </c>
      <c r="B31" s="987" t="s">
        <v>10943</v>
      </c>
      <c r="C31" s="988">
        <v>500000.0</v>
      </c>
      <c r="D31" s="988">
        <v>500000.0</v>
      </c>
      <c r="E31" s="988" t="s">
        <v>5154</v>
      </c>
      <c r="F31" s="988">
        <f>D31+D32</f>
        <v>1800000</v>
      </c>
      <c r="G31" s="981"/>
      <c r="H31" s="986" t="s">
        <v>10893</v>
      </c>
      <c r="I31" s="986"/>
      <c r="J31" s="986" t="s">
        <v>10931</v>
      </c>
      <c r="K31" s="981"/>
      <c r="L31" s="981"/>
      <c r="M31" s="981"/>
      <c r="N31" s="981"/>
      <c r="O31" s="981"/>
      <c r="P31" s="981"/>
      <c r="Q31" s="981"/>
      <c r="R31" s="981"/>
      <c r="S31" s="981"/>
      <c r="T31" s="981"/>
      <c r="U31" s="981"/>
      <c r="V31" s="981"/>
      <c r="W31" s="981"/>
      <c r="X31" s="981"/>
      <c r="Y31" s="981"/>
      <c r="Z31" s="981"/>
      <c r="AA31" s="981"/>
      <c r="AB31" s="981"/>
    </row>
    <row r="32">
      <c r="A32" s="990">
        <v>45999.0</v>
      </c>
      <c r="B32" s="987" t="s">
        <v>10944</v>
      </c>
      <c r="C32" s="988">
        <v>1300000.0</v>
      </c>
      <c r="D32" s="988">
        <v>1300000.0</v>
      </c>
      <c r="E32" s="988" t="s">
        <v>5154</v>
      </c>
      <c r="G32" s="986" t="s">
        <v>10945</v>
      </c>
      <c r="H32" s="986" t="s">
        <v>10893</v>
      </c>
      <c r="I32" s="986"/>
      <c r="J32" s="986" t="s">
        <v>10893</v>
      </c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</row>
    <row r="33">
      <c r="A33" s="990">
        <v>46002.0</v>
      </c>
      <c r="B33" s="987" t="s">
        <v>10946</v>
      </c>
      <c r="C33" s="988">
        <v>100000.0</v>
      </c>
      <c r="D33" s="988">
        <v>100000.0</v>
      </c>
      <c r="E33" s="988" t="s">
        <v>5154</v>
      </c>
      <c r="F33" s="988">
        <v>100000.0</v>
      </c>
      <c r="G33" s="981"/>
      <c r="H33" s="986" t="s">
        <v>10947</v>
      </c>
      <c r="I33" s="986"/>
      <c r="J33" s="986" t="s">
        <v>10931</v>
      </c>
      <c r="K33" s="981"/>
      <c r="L33" s="981"/>
      <c r="M33" s="981"/>
      <c r="N33" s="981"/>
      <c r="O33" s="981"/>
      <c r="P33" s="981"/>
      <c r="Q33" s="981"/>
      <c r="R33" s="981"/>
      <c r="S33" s="981"/>
      <c r="T33" s="981"/>
      <c r="U33" s="981"/>
      <c r="V33" s="981"/>
      <c r="W33" s="981"/>
      <c r="X33" s="981"/>
      <c r="Y33" s="981"/>
      <c r="Z33" s="981"/>
      <c r="AA33" s="981"/>
      <c r="AB33" s="981"/>
    </row>
    <row r="34">
      <c r="A34" s="990">
        <v>46004.0</v>
      </c>
      <c r="B34" s="987" t="s">
        <v>10948</v>
      </c>
      <c r="C34" s="988">
        <v>1300000.0</v>
      </c>
      <c r="D34" s="988">
        <v>800000.0</v>
      </c>
      <c r="E34" s="988">
        <v>500000.0</v>
      </c>
      <c r="F34" s="988">
        <v>800000.0</v>
      </c>
      <c r="G34" s="986" t="s">
        <v>10949</v>
      </c>
      <c r="H34" s="986"/>
      <c r="I34" s="986" t="s">
        <v>10893</v>
      </c>
      <c r="J34" s="986" t="s">
        <v>10931</v>
      </c>
      <c r="K34" s="981"/>
      <c r="L34" s="981"/>
      <c r="M34" s="981"/>
      <c r="N34" s="981"/>
      <c r="O34" s="981"/>
      <c r="P34" s="981"/>
      <c r="Q34" s="981"/>
      <c r="R34" s="981"/>
      <c r="S34" s="981"/>
      <c r="T34" s="981"/>
      <c r="U34" s="981"/>
      <c r="V34" s="981"/>
      <c r="W34" s="981"/>
      <c r="X34" s="981"/>
      <c r="Y34" s="981"/>
      <c r="Z34" s="981"/>
      <c r="AA34" s="981"/>
      <c r="AB34" s="981"/>
    </row>
    <row r="35">
      <c r="A35" s="990">
        <v>46006.0</v>
      </c>
      <c r="B35" s="987" t="s">
        <v>10950</v>
      </c>
      <c r="C35" s="988">
        <v>1408000.0</v>
      </c>
      <c r="D35" s="988">
        <v>1408000.0</v>
      </c>
      <c r="E35" s="988" t="s">
        <v>5154</v>
      </c>
      <c r="F35" s="988">
        <v>1408000.0</v>
      </c>
      <c r="G35" s="986" t="s">
        <v>10951</v>
      </c>
      <c r="H35" s="986"/>
      <c r="I35" s="986" t="s">
        <v>10893</v>
      </c>
      <c r="J35" s="986" t="s">
        <v>10931</v>
      </c>
      <c r="K35" s="981"/>
      <c r="L35" s="981"/>
      <c r="M35" s="981"/>
      <c r="N35" s="981"/>
      <c r="O35" s="981"/>
      <c r="P35" s="981"/>
      <c r="Q35" s="981"/>
      <c r="R35" s="981"/>
      <c r="S35" s="981"/>
      <c r="T35" s="981"/>
      <c r="U35" s="981"/>
      <c r="V35" s="981"/>
      <c r="W35" s="981"/>
      <c r="X35" s="981"/>
      <c r="Y35" s="981"/>
      <c r="Z35" s="981"/>
      <c r="AA35" s="981"/>
      <c r="AB35" s="981"/>
    </row>
    <row r="36">
      <c r="A36" s="990">
        <v>46006.0</v>
      </c>
      <c r="B36" s="987" t="s">
        <v>10952</v>
      </c>
      <c r="C36" s="988">
        <v>330000.0</v>
      </c>
      <c r="D36" s="988">
        <v>30000.0</v>
      </c>
      <c r="E36" s="988">
        <v>300000.0</v>
      </c>
      <c r="F36" s="988">
        <v>30000.0</v>
      </c>
      <c r="G36" s="986" t="s">
        <v>10953</v>
      </c>
      <c r="H36" s="986"/>
      <c r="I36" s="986" t="s">
        <v>10893</v>
      </c>
      <c r="J36" s="986" t="s">
        <v>10931</v>
      </c>
      <c r="K36" s="981"/>
      <c r="L36" s="981"/>
      <c r="M36" s="981"/>
      <c r="N36" s="981"/>
      <c r="O36" s="981"/>
      <c r="P36" s="981"/>
      <c r="Q36" s="981"/>
      <c r="R36" s="981"/>
      <c r="S36" s="981"/>
      <c r="T36" s="981"/>
      <c r="U36" s="981"/>
      <c r="V36" s="981"/>
      <c r="W36" s="981"/>
      <c r="X36" s="981"/>
      <c r="Y36" s="981"/>
      <c r="Z36" s="981"/>
      <c r="AA36" s="981"/>
      <c r="AB36" s="981"/>
    </row>
    <row r="37">
      <c r="A37" s="990">
        <v>46011.0</v>
      </c>
      <c r="B37" s="987" t="s">
        <v>10954</v>
      </c>
      <c r="C37" s="988">
        <v>4802000.0</v>
      </c>
      <c r="D37" s="988">
        <v>4802000.0</v>
      </c>
      <c r="E37" s="988">
        <v>4802000.0</v>
      </c>
      <c r="F37" s="988">
        <v>4802000.0</v>
      </c>
      <c r="G37" s="986" t="s">
        <v>10955</v>
      </c>
      <c r="H37" s="986"/>
      <c r="I37" s="986" t="s">
        <v>10893</v>
      </c>
      <c r="J37" s="986" t="s">
        <v>10931</v>
      </c>
      <c r="K37" s="981"/>
      <c r="L37" s="981"/>
      <c r="M37" s="981"/>
      <c r="N37" s="981"/>
      <c r="O37" s="981"/>
      <c r="P37" s="981"/>
      <c r="Q37" s="981"/>
      <c r="R37" s="981"/>
      <c r="S37" s="981"/>
      <c r="T37" s="981"/>
      <c r="U37" s="981"/>
      <c r="V37" s="981"/>
      <c r="W37" s="981"/>
      <c r="X37" s="981"/>
      <c r="Y37" s="981"/>
      <c r="Z37" s="981"/>
      <c r="AA37" s="981"/>
      <c r="AB37" s="981"/>
    </row>
    <row r="38">
      <c r="A38" s="990">
        <v>46015.0</v>
      </c>
      <c r="B38" s="987" t="s">
        <v>10956</v>
      </c>
      <c r="C38" s="988">
        <v>1800000.0</v>
      </c>
      <c r="D38" s="988">
        <v>1300000.0</v>
      </c>
      <c r="E38" s="988">
        <v>500000.0</v>
      </c>
      <c r="F38" s="988">
        <v>1300000.0</v>
      </c>
      <c r="G38" s="986" t="s">
        <v>10957</v>
      </c>
      <c r="H38" s="986"/>
      <c r="I38" s="986" t="s">
        <v>10893</v>
      </c>
      <c r="J38" s="986"/>
      <c r="K38" s="981"/>
      <c r="L38" s="981"/>
      <c r="M38" s="981"/>
      <c r="N38" s="981"/>
      <c r="O38" s="981"/>
      <c r="P38" s="981"/>
      <c r="Q38" s="981"/>
      <c r="R38" s="981"/>
      <c r="S38" s="981"/>
      <c r="T38" s="981"/>
      <c r="U38" s="981"/>
      <c r="V38" s="981"/>
      <c r="W38" s="981"/>
      <c r="X38" s="981"/>
      <c r="Y38" s="981"/>
      <c r="Z38" s="981"/>
      <c r="AA38" s="981"/>
      <c r="AB38" s="981"/>
    </row>
    <row r="39">
      <c r="A39" s="990">
        <v>46017.0</v>
      </c>
      <c r="B39" s="987" t="s">
        <v>10958</v>
      </c>
      <c r="C39" s="988">
        <v>750000.0</v>
      </c>
      <c r="D39" s="988">
        <v>750000.0</v>
      </c>
      <c r="E39" s="988" t="s">
        <v>5154</v>
      </c>
      <c r="F39" s="988">
        <v>750000.0</v>
      </c>
      <c r="G39" s="986" t="s">
        <v>10959</v>
      </c>
      <c r="H39" s="986"/>
      <c r="I39" s="986" t="s">
        <v>10893</v>
      </c>
      <c r="J39" s="986"/>
      <c r="K39" s="981"/>
      <c r="L39" s="981"/>
      <c r="M39" s="981"/>
      <c r="N39" s="981"/>
      <c r="O39" s="981"/>
      <c r="P39" s="981"/>
      <c r="Q39" s="981"/>
      <c r="R39" s="981"/>
      <c r="S39" s="981"/>
      <c r="T39" s="981"/>
      <c r="U39" s="981"/>
      <c r="V39" s="981"/>
      <c r="W39" s="981"/>
      <c r="X39" s="981"/>
      <c r="Y39" s="981"/>
      <c r="Z39" s="981"/>
      <c r="AA39" s="981"/>
      <c r="AB39" s="981"/>
    </row>
    <row r="40">
      <c r="A40" s="990">
        <v>46022.0</v>
      </c>
      <c r="B40" s="987" t="s">
        <v>10960</v>
      </c>
      <c r="C40" s="988">
        <v>5000000.0</v>
      </c>
      <c r="D40" s="988">
        <v>5000000.0</v>
      </c>
      <c r="E40" s="988"/>
      <c r="F40" s="988">
        <v>5000000.0</v>
      </c>
      <c r="G40" s="986" t="s">
        <v>10961</v>
      </c>
      <c r="H40" s="986"/>
      <c r="I40" s="986" t="s">
        <v>10893</v>
      </c>
      <c r="J40" s="986"/>
      <c r="K40" s="981"/>
      <c r="L40" s="981"/>
      <c r="M40" s="981"/>
      <c r="N40" s="981"/>
      <c r="O40" s="981"/>
      <c r="P40" s="981"/>
      <c r="Q40" s="981"/>
      <c r="R40" s="981"/>
      <c r="S40" s="981"/>
      <c r="T40" s="981"/>
      <c r="U40" s="981"/>
      <c r="V40" s="981"/>
      <c r="W40" s="981"/>
      <c r="X40" s="981"/>
      <c r="Y40" s="981"/>
      <c r="Z40" s="981"/>
      <c r="AA40" s="981"/>
      <c r="AB40" s="981"/>
    </row>
    <row r="41">
      <c r="A41" s="981"/>
      <c r="B41" s="991"/>
      <c r="C41" s="988"/>
      <c r="D41" s="988"/>
      <c r="E41" s="988"/>
      <c r="F41" s="988"/>
      <c r="G41" s="981"/>
      <c r="H41" s="986"/>
      <c r="I41" s="986"/>
      <c r="J41" s="986"/>
      <c r="K41" s="981"/>
      <c r="L41" s="981"/>
      <c r="M41" s="981"/>
      <c r="N41" s="981"/>
      <c r="O41" s="981"/>
      <c r="P41" s="981"/>
      <c r="Q41" s="981"/>
      <c r="R41" s="981"/>
      <c r="S41" s="981"/>
      <c r="T41" s="981"/>
      <c r="U41" s="981"/>
      <c r="V41" s="981"/>
      <c r="W41" s="981"/>
      <c r="X41" s="981"/>
      <c r="Y41" s="981"/>
      <c r="Z41" s="981"/>
      <c r="AA41" s="981"/>
      <c r="AB41" s="981"/>
    </row>
    <row r="42">
      <c r="A42" s="981"/>
      <c r="B42" s="991"/>
      <c r="C42" s="988"/>
      <c r="D42" s="988"/>
      <c r="E42" s="988"/>
      <c r="F42" s="988"/>
      <c r="G42" s="981"/>
      <c r="H42" s="986"/>
      <c r="I42" s="986"/>
      <c r="J42" s="986"/>
      <c r="K42" s="981"/>
      <c r="L42" s="981"/>
      <c r="M42" s="981"/>
      <c r="N42" s="981"/>
      <c r="O42" s="981"/>
      <c r="P42" s="981"/>
      <c r="Q42" s="981"/>
      <c r="R42" s="981"/>
      <c r="S42" s="981"/>
      <c r="T42" s="981"/>
      <c r="U42" s="981"/>
      <c r="V42" s="981"/>
      <c r="W42" s="981"/>
      <c r="X42" s="981"/>
      <c r="Y42" s="981"/>
      <c r="Z42" s="981"/>
      <c r="AA42" s="981"/>
      <c r="AB42" s="981"/>
    </row>
    <row r="43">
      <c r="A43" s="981"/>
      <c r="B43" s="991"/>
      <c r="C43" s="988"/>
      <c r="D43" s="988"/>
      <c r="E43" s="988"/>
      <c r="F43" s="988"/>
      <c r="G43" s="981"/>
      <c r="H43" s="986"/>
      <c r="I43" s="986"/>
      <c r="J43" s="986"/>
      <c r="K43" s="981"/>
      <c r="L43" s="981"/>
      <c r="M43" s="981"/>
      <c r="N43" s="981"/>
      <c r="O43" s="981"/>
      <c r="P43" s="981"/>
      <c r="Q43" s="981"/>
      <c r="R43" s="981"/>
      <c r="S43" s="981"/>
      <c r="T43" s="981"/>
      <c r="U43" s="981"/>
      <c r="V43" s="981"/>
      <c r="W43" s="981"/>
      <c r="X43" s="981"/>
      <c r="Y43" s="981"/>
      <c r="Z43" s="981"/>
      <c r="AA43" s="981"/>
      <c r="AB43" s="981"/>
    </row>
    <row r="44">
      <c r="A44" s="981"/>
      <c r="B44" s="991"/>
      <c r="C44" s="988"/>
      <c r="D44" s="988"/>
      <c r="E44" s="988"/>
      <c r="F44" s="988"/>
      <c r="G44" s="981"/>
      <c r="H44" s="986"/>
      <c r="I44" s="986"/>
      <c r="J44" s="986"/>
      <c r="K44" s="981"/>
      <c r="L44" s="981"/>
      <c r="M44" s="981"/>
      <c r="N44" s="981"/>
      <c r="O44" s="981"/>
      <c r="P44" s="981"/>
      <c r="Q44" s="981"/>
      <c r="R44" s="981"/>
      <c r="S44" s="981"/>
      <c r="T44" s="981"/>
      <c r="U44" s="981"/>
      <c r="V44" s="981"/>
      <c r="W44" s="981"/>
      <c r="X44" s="981"/>
      <c r="Y44" s="981"/>
      <c r="Z44" s="981"/>
      <c r="AA44" s="981"/>
      <c r="AB44" s="981"/>
    </row>
    <row r="45">
      <c r="A45" s="981"/>
      <c r="B45" s="991"/>
      <c r="C45" s="988"/>
      <c r="D45" s="988"/>
      <c r="E45" s="988"/>
      <c r="F45" s="988"/>
      <c r="G45" s="981"/>
      <c r="H45" s="986"/>
      <c r="I45" s="986"/>
      <c r="J45" s="986"/>
      <c r="K45" s="981"/>
      <c r="L45" s="981"/>
      <c r="M45" s="981"/>
      <c r="N45" s="981"/>
      <c r="O45" s="981"/>
      <c r="P45" s="981"/>
      <c r="Q45" s="981"/>
      <c r="R45" s="981"/>
      <c r="S45" s="981"/>
      <c r="T45" s="981"/>
      <c r="U45" s="981"/>
      <c r="V45" s="981"/>
      <c r="W45" s="981"/>
      <c r="X45" s="981"/>
      <c r="Y45" s="981"/>
      <c r="Z45" s="981"/>
      <c r="AA45" s="981"/>
      <c r="AB45" s="981"/>
    </row>
    <row r="46">
      <c r="A46" s="981"/>
      <c r="B46" s="991"/>
      <c r="C46" s="988"/>
      <c r="D46" s="988"/>
      <c r="E46" s="988"/>
      <c r="F46" s="988"/>
      <c r="G46" s="981"/>
      <c r="H46" s="981"/>
      <c r="I46" s="981"/>
      <c r="J46" s="981"/>
      <c r="K46" s="981"/>
      <c r="L46" s="981"/>
      <c r="M46" s="981"/>
      <c r="N46" s="981"/>
      <c r="O46" s="981"/>
      <c r="P46" s="981"/>
      <c r="Q46" s="981"/>
      <c r="R46" s="981"/>
      <c r="S46" s="981"/>
      <c r="T46" s="981"/>
      <c r="U46" s="981"/>
      <c r="V46" s="981"/>
      <c r="W46" s="981"/>
      <c r="X46" s="981"/>
      <c r="Y46" s="981"/>
      <c r="Z46" s="981"/>
      <c r="AA46" s="981"/>
      <c r="AB46" s="981"/>
    </row>
    <row r="47">
      <c r="A47" s="981"/>
      <c r="B47" s="991"/>
      <c r="C47" s="988"/>
      <c r="D47" s="988"/>
      <c r="E47" s="988"/>
      <c r="F47" s="988"/>
      <c r="G47" s="981"/>
      <c r="H47" s="981"/>
      <c r="I47" s="981"/>
      <c r="J47" s="981"/>
      <c r="K47" s="981"/>
      <c r="L47" s="981"/>
      <c r="M47" s="981"/>
      <c r="N47" s="981"/>
      <c r="O47" s="981"/>
      <c r="P47" s="981"/>
      <c r="Q47" s="981"/>
      <c r="R47" s="981"/>
      <c r="S47" s="981"/>
      <c r="T47" s="981"/>
      <c r="U47" s="981"/>
      <c r="V47" s="981"/>
      <c r="W47" s="981"/>
      <c r="X47" s="981"/>
      <c r="Y47" s="981"/>
      <c r="Z47" s="981"/>
      <c r="AA47" s="981"/>
      <c r="AB47" s="981"/>
    </row>
    <row r="48">
      <c r="A48" s="981"/>
      <c r="B48" s="991"/>
      <c r="C48" s="988"/>
      <c r="D48" s="988"/>
      <c r="E48" s="988"/>
      <c r="F48" s="988"/>
      <c r="G48" s="981"/>
      <c r="H48" s="981"/>
      <c r="I48" s="981"/>
      <c r="J48" s="981"/>
      <c r="K48" s="981"/>
      <c r="L48" s="981"/>
      <c r="M48" s="981"/>
      <c r="N48" s="981"/>
      <c r="O48" s="981"/>
      <c r="P48" s="981"/>
      <c r="Q48" s="981"/>
      <c r="R48" s="981"/>
      <c r="S48" s="981"/>
      <c r="T48" s="981"/>
      <c r="U48" s="981"/>
      <c r="V48" s="981"/>
      <c r="W48" s="981"/>
      <c r="X48" s="981"/>
      <c r="Y48" s="981"/>
      <c r="Z48" s="981"/>
      <c r="AA48" s="981"/>
      <c r="AB48" s="981"/>
    </row>
    <row r="49">
      <c r="A49" s="981"/>
      <c r="B49" s="991"/>
      <c r="C49" s="988"/>
      <c r="D49" s="988"/>
      <c r="E49" s="988"/>
      <c r="F49" s="988"/>
      <c r="G49" s="981"/>
      <c r="H49" s="981"/>
      <c r="I49" s="981"/>
      <c r="J49" s="981"/>
      <c r="K49" s="981"/>
      <c r="L49" s="981"/>
      <c r="M49" s="981"/>
      <c r="N49" s="981"/>
      <c r="O49" s="981"/>
      <c r="P49" s="981"/>
      <c r="Q49" s="981"/>
      <c r="R49" s="981"/>
      <c r="S49" s="981"/>
      <c r="T49" s="981"/>
      <c r="U49" s="981"/>
      <c r="V49" s="981"/>
      <c r="W49" s="981"/>
      <c r="X49" s="981"/>
      <c r="Y49" s="981"/>
      <c r="Z49" s="981"/>
      <c r="AA49" s="981"/>
      <c r="AB49" s="981"/>
    </row>
    <row r="50">
      <c r="A50" s="981"/>
      <c r="B50" s="991"/>
      <c r="C50" s="988"/>
      <c r="D50" s="988"/>
      <c r="E50" s="988"/>
      <c r="F50" s="988"/>
      <c r="G50" s="981"/>
      <c r="H50" s="981"/>
      <c r="I50" s="981"/>
      <c r="J50" s="981"/>
      <c r="K50" s="981"/>
      <c r="L50" s="981"/>
      <c r="M50" s="981"/>
      <c r="N50" s="981"/>
      <c r="O50" s="981"/>
      <c r="P50" s="981"/>
      <c r="Q50" s="981"/>
      <c r="R50" s="981"/>
      <c r="S50" s="981"/>
      <c r="T50" s="981"/>
      <c r="U50" s="981"/>
      <c r="V50" s="981"/>
      <c r="W50" s="981"/>
      <c r="X50" s="981"/>
      <c r="Y50" s="981"/>
      <c r="Z50" s="981"/>
      <c r="AA50" s="981"/>
      <c r="AB50" s="981"/>
    </row>
    <row r="51">
      <c r="A51" s="981"/>
      <c r="B51" s="991"/>
      <c r="C51" s="988"/>
      <c r="D51" s="988"/>
      <c r="E51" s="988"/>
      <c r="F51" s="988"/>
      <c r="G51" s="981"/>
      <c r="H51" s="981"/>
      <c r="I51" s="981"/>
      <c r="J51" s="981"/>
      <c r="K51" s="981"/>
      <c r="L51" s="981"/>
      <c r="M51" s="981"/>
      <c r="N51" s="981"/>
      <c r="O51" s="981"/>
      <c r="P51" s="981"/>
      <c r="Q51" s="981"/>
      <c r="R51" s="981"/>
      <c r="S51" s="981"/>
      <c r="T51" s="981"/>
      <c r="U51" s="981"/>
      <c r="V51" s="981"/>
      <c r="W51" s="981"/>
      <c r="X51" s="981"/>
      <c r="Y51" s="981"/>
      <c r="Z51" s="981"/>
      <c r="AA51" s="981"/>
      <c r="AB51" s="981"/>
    </row>
    <row r="52">
      <c r="A52" s="981"/>
      <c r="B52" s="991"/>
      <c r="C52" s="988"/>
      <c r="D52" s="988"/>
      <c r="E52" s="988"/>
      <c r="F52" s="988"/>
      <c r="G52" s="981"/>
      <c r="H52" s="981"/>
      <c r="I52" s="981"/>
      <c r="J52" s="981"/>
      <c r="K52" s="981"/>
      <c r="L52" s="981"/>
      <c r="M52" s="981"/>
      <c r="N52" s="981"/>
      <c r="O52" s="981"/>
      <c r="P52" s="981"/>
      <c r="Q52" s="981"/>
      <c r="R52" s="981"/>
      <c r="S52" s="981"/>
      <c r="T52" s="981"/>
      <c r="U52" s="981"/>
      <c r="V52" s="981"/>
      <c r="W52" s="981"/>
      <c r="X52" s="981"/>
      <c r="Y52" s="981"/>
      <c r="Z52" s="981"/>
      <c r="AA52" s="981"/>
      <c r="AB52" s="981"/>
    </row>
    <row r="53">
      <c r="A53" s="981"/>
      <c r="B53" s="991"/>
      <c r="C53" s="988"/>
      <c r="D53" s="988"/>
      <c r="E53" s="988"/>
      <c r="F53" s="988"/>
      <c r="G53" s="981"/>
      <c r="H53" s="981"/>
      <c r="I53" s="981"/>
      <c r="J53" s="981"/>
      <c r="K53" s="981"/>
      <c r="L53" s="981"/>
      <c r="M53" s="981"/>
      <c r="N53" s="981"/>
      <c r="O53" s="981"/>
      <c r="P53" s="981"/>
      <c r="Q53" s="981"/>
      <c r="R53" s="981"/>
      <c r="S53" s="981"/>
      <c r="T53" s="981"/>
      <c r="U53" s="981"/>
      <c r="V53" s="981"/>
      <c r="W53" s="981"/>
      <c r="X53" s="981"/>
      <c r="Y53" s="981"/>
      <c r="Z53" s="981"/>
      <c r="AA53" s="981"/>
      <c r="AB53" s="981"/>
    </row>
    <row r="54">
      <c r="A54" s="981"/>
      <c r="B54" s="991"/>
      <c r="C54" s="988"/>
      <c r="D54" s="988"/>
      <c r="E54" s="988"/>
      <c r="F54" s="988"/>
      <c r="G54" s="981"/>
      <c r="H54" s="981"/>
      <c r="I54" s="981"/>
      <c r="J54" s="981"/>
      <c r="K54" s="981"/>
      <c r="L54" s="981"/>
      <c r="M54" s="981"/>
      <c r="N54" s="981"/>
      <c r="O54" s="981"/>
      <c r="P54" s="981"/>
      <c r="Q54" s="981"/>
      <c r="R54" s="981"/>
      <c r="S54" s="981"/>
      <c r="T54" s="981"/>
      <c r="U54" s="981"/>
      <c r="V54" s="981"/>
      <c r="W54" s="981"/>
      <c r="X54" s="981"/>
      <c r="Y54" s="981"/>
      <c r="Z54" s="981"/>
      <c r="AA54" s="981"/>
      <c r="AB54" s="981"/>
    </row>
    <row r="55">
      <c r="A55" s="981"/>
      <c r="B55" s="991"/>
      <c r="C55" s="981"/>
      <c r="D55" s="981"/>
      <c r="E55" s="981"/>
      <c r="F55" s="988"/>
      <c r="G55" s="981"/>
      <c r="H55" s="981"/>
      <c r="I55" s="981"/>
      <c r="J55" s="981"/>
      <c r="K55" s="981"/>
      <c r="L55" s="981"/>
      <c r="M55" s="981"/>
      <c r="N55" s="981"/>
      <c r="O55" s="981"/>
      <c r="P55" s="981"/>
      <c r="Q55" s="981"/>
      <c r="R55" s="981"/>
      <c r="S55" s="981"/>
      <c r="T55" s="981"/>
      <c r="U55" s="981"/>
      <c r="V55" s="981"/>
      <c r="W55" s="981"/>
      <c r="X55" s="981"/>
      <c r="Y55" s="981"/>
      <c r="Z55" s="981"/>
      <c r="AA55" s="981"/>
      <c r="AB55" s="981"/>
    </row>
    <row r="56">
      <c r="A56" s="981"/>
      <c r="B56" s="991"/>
      <c r="C56" s="981"/>
      <c r="D56" s="981"/>
      <c r="E56" s="981"/>
      <c r="F56" s="988"/>
      <c r="G56" s="981"/>
      <c r="H56" s="981"/>
      <c r="I56" s="981"/>
      <c r="J56" s="981"/>
      <c r="K56" s="981"/>
      <c r="L56" s="981"/>
      <c r="M56" s="981"/>
      <c r="N56" s="981"/>
      <c r="O56" s="981"/>
      <c r="P56" s="981"/>
      <c r="Q56" s="981"/>
      <c r="R56" s="981"/>
      <c r="S56" s="981"/>
      <c r="T56" s="981"/>
      <c r="U56" s="981"/>
      <c r="V56" s="981"/>
      <c r="W56" s="981"/>
      <c r="X56" s="981"/>
      <c r="Y56" s="981"/>
      <c r="Z56" s="981"/>
      <c r="AA56" s="981"/>
      <c r="AB56" s="981"/>
    </row>
    <row r="57">
      <c r="A57" s="981"/>
      <c r="B57" s="991"/>
      <c r="C57" s="981"/>
      <c r="D57" s="981"/>
      <c r="E57" s="981"/>
      <c r="F57" s="988"/>
      <c r="G57" s="981"/>
      <c r="H57" s="981"/>
      <c r="I57" s="981"/>
      <c r="J57" s="981"/>
      <c r="K57" s="981"/>
      <c r="L57" s="981"/>
      <c r="M57" s="981"/>
      <c r="N57" s="981"/>
      <c r="O57" s="981"/>
      <c r="P57" s="981"/>
      <c r="Q57" s="981"/>
      <c r="R57" s="981"/>
      <c r="S57" s="981"/>
      <c r="T57" s="981"/>
      <c r="U57" s="981"/>
      <c r="V57" s="981"/>
      <c r="W57" s="981"/>
      <c r="X57" s="981"/>
      <c r="Y57" s="981"/>
      <c r="Z57" s="981"/>
      <c r="AA57" s="981"/>
      <c r="AB57" s="981"/>
    </row>
    <row r="58">
      <c r="A58" s="981"/>
      <c r="B58" s="991"/>
      <c r="C58" s="981"/>
      <c r="D58" s="981"/>
      <c r="E58" s="981"/>
      <c r="F58" s="988"/>
      <c r="G58" s="981"/>
      <c r="H58" s="981"/>
      <c r="I58" s="981"/>
      <c r="J58" s="981"/>
      <c r="K58" s="981"/>
      <c r="L58" s="981"/>
      <c r="M58" s="981"/>
      <c r="N58" s="981"/>
      <c r="O58" s="981"/>
      <c r="P58" s="981"/>
      <c r="Q58" s="981"/>
      <c r="R58" s="981"/>
      <c r="S58" s="981"/>
      <c r="T58" s="981"/>
      <c r="U58" s="981"/>
      <c r="V58" s="981"/>
      <c r="W58" s="981"/>
      <c r="X58" s="981"/>
      <c r="Y58" s="981"/>
      <c r="Z58" s="981"/>
      <c r="AA58" s="981"/>
      <c r="AB58" s="981"/>
    </row>
    <row r="59">
      <c r="A59" s="981"/>
      <c r="B59" s="991"/>
      <c r="C59" s="981"/>
      <c r="D59" s="981"/>
      <c r="E59" s="981"/>
      <c r="F59" s="988"/>
      <c r="G59" s="981"/>
      <c r="H59" s="981"/>
      <c r="I59" s="981"/>
      <c r="J59" s="981"/>
      <c r="K59" s="981"/>
      <c r="L59" s="981"/>
      <c r="M59" s="981"/>
      <c r="N59" s="981"/>
      <c r="O59" s="981"/>
      <c r="P59" s="981"/>
      <c r="Q59" s="981"/>
      <c r="R59" s="981"/>
      <c r="S59" s="981"/>
      <c r="T59" s="981"/>
      <c r="U59" s="981"/>
      <c r="V59" s="981"/>
      <c r="W59" s="981"/>
      <c r="X59" s="981"/>
      <c r="Y59" s="981"/>
      <c r="Z59" s="981"/>
      <c r="AA59" s="981"/>
      <c r="AB59" s="981"/>
    </row>
    <row r="60">
      <c r="A60" s="981"/>
      <c r="B60" s="991"/>
      <c r="C60" s="981"/>
      <c r="D60" s="981"/>
      <c r="E60" s="981"/>
      <c r="F60" s="988"/>
      <c r="G60" s="981"/>
      <c r="H60" s="981"/>
      <c r="I60" s="981"/>
      <c r="J60" s="981"/>
      <c r="K60" s="981"/>
      <c r="L60" s="981"/>
      <c r="M60" s="981"/>
      <c r="N60" s="981"/>
      <c r="O60" s="981"/>
      <c r="P60" s="981"/>
      <c r="Q60" s="981"/>
      <c r="R60" s="981"/>
      <c r="S60" s="981"/>
      <c r="T60" s="981"/>
      <c r="U60" s="981"/>
      <c r="V60" s="981"/>
      <c r="W60" s="981"/>
      <c r="X60" s="981"/>
      <c r="Y60" s="981"/>
      <c r="Z60" s="981"/>
      <c r="AA60" s="981"/>
      <c r="AB60" s="981"/>
    </row>
    <row r="61">
      <c r="A61" s="981"/>
      <c r="B61" s="991"/>
      <c r="C61" s="981"/>
      <c r="D61" s="981"/>
      <c r="E61" s="981"/>
      <c r="F61" s="988"/>
      <c r="G61" s="981"/>
      <c r="H61" s="981"/>
      <c r="I61" s="981"/>
      <c r="J61" s="981"/>
      <c r="K61" s="981"/>
      <c r="L61" s="981"/>
      <c r="M61" s="981"/>
      <c r="N61" s="981"/>
      <c r="O61" s="981"/>
      <c r="P61" s="981"/>
      <c r="Q61" s="981"/>
      <c r="R61" s="981"/>
      <c r="S61" s="981"/>
      <c r="T61" s="981"/>
      <c r="U61" s="981"/>
      <c r="V61" s="981"/>
      <c r="W61" s="981"/>
      <c r="X61" s="981"/>
      <c r="Y61" s="981"/>
      <c r="Z61" s="981"/>
      <c r="AA61" s="981"/>
      <c r="AB61" s="981"/>
    </row>
    <row r="62">
      <c r="A62" s="981"/>
      <c r="B62" s="991"/>
      <c r="C62" s="981"/>
      <c r="D62" s="981"/>
      <c r="E62" s="981"/>
      <c r="F62" s="988"/>
      <c r="G62" s="981"/>
      <c r="H62" s="981"/>
      <c r="I62" s="981"/>
      <c r="J62" s="981"/>
      <c r="K62" s="981"/>
      <c r="L62" s="981"/>
      <c r="M62" s="981"/>
      <c r="N62" s="981"/>
      <c r="O62" s="981"/>
      <c r="P62" s="981"/>
      <c r="Q62" s="981"/>
      <c r="R62" s="981"/>
      <c r="S62" s="981"/>
      <c r="T62" s="981"/>
      <c r="U62" s="981"/>
      <c r="V62" s="981"/>
      <c r="W62" s="981"/>
      <c r="X62" s="981"/>
      <c r="Y62" s="981"/>
      <c r="Z62" s="981"/>
      <c r="AA62" s="981"/>
      <c r="AB62" s="981"/>
    </row>
    <row r="63">
      <c r="A63" s="981"/>
      <c r="B63" s="991"/>
      <c r="C63" s="981"/>
      <c r="D63" s="981"/>
      <c r="E63" s="981"/>
      <c r="F63" s="988"/>
      <c r="G63" s="981"/>
      <c r="H63" s="981"/>
      <c r="I63" s="981"/>
      <c r="J63" s="981"/>
      <c r="K63" s="981"/>
      <c r="L63" s="981"/>
      <c r="M63" s="981"/>
      <c r="N63" s="981"/>
      <c r="O63" s="981"/>
      <c r="P63" s="981"/>
      <c r="Q63" s="981"/>
      <c r="R63" s="981"/>
      <c r="S63" s="981"/>
      <c r="T63" s="981"/>
      <c r="U63" s="981"/>
      <c r="V63" s="981"/>
      <c r="W63" s="981"/>
      <c r="X63" s="981"/>
      <c r="Y63" s="981"/>
      <c r="Z63" s="981"/>
      <c r="AA63" s="981"/>
      <c r="AB63" s="981"/>
    </row>
    <row r="64">
      <c r="A64" s="981"/>
      <c r="B64" s="991"/>
      <c r="C64" s="981"/>
      <c r="D64" s="981"/>
      <c r="E64" s="981"/>
      <c r="F64" s="988"/>
      <c r="G64" s="981"/>
      <c r="H64" s="981"/>
      <c r="I64" s="981"/>
      <c r="J64" s="981"/>
      <c r="K64" s="981"/>
      <c r="L64" s="981"/>
      <c r="M64" s="981"/>
      <c r="N64" s="981"/>
      <c r="O64" s="981"/>
      <c r="P64" s="981"/>
      <c r="Q64" s="981"/>
      <c r="R64" s="981"/>
      <c r="S64" s="981"/>
      <c r="T64" s="981"/>
      <c r="U64" s="981"/>
      <c r="V64" s="981"/>
      <c r="W64" s="981"/>
      <c r="X64" s="981"/>
      <c r="Y64" s="981"/>
      <c r="Z64" s="981"/>
      <c r="AA64" s="981"/>
      <c r="AB64" s="981"/>
    </row>
    <row r="65">
      <c r="A65" s="981"/>
      <c r="B65" s="991"/>
      <c r="C65" s="981"/>
      <c r="D65" s="981"/>
      <c r="E65" s="981"/>
      <c r="F65" s="988"/>
      <c r="G65" s="981"/>
      <c r="H65" s="981"/>
      <c r="I65" s="981"/>
      <c r="J65" s="981"/>
      <c r="K65" s="981"/>
      <c r="L65" s="981"/>
      <c r="M65" s="981"/>
      <c r="N65" s="981"/>
      <c r="O65" s="981"/>
      <c r="P65" s="981"/>
      <c r="Q65" s="981"/>
      <c r="R65" s="981"/>
      <c r="S65" s="981"/>
      <c r="T65" s="981"/>
      <c r="U65" s="981"/>
      <c r="V65" s="981"/>
      <c r="W65" s="981"/>
      <c r="X65" s="981"/>
      <c r="Y65" s="981"/>
      <c r="Z65" s="981"/>
      <c r="AA65" s="981"/>
      <c r="AB65" s="981"/>
    </row>
    <row r="66">
      <c r="A66" s="981"/>
      <c r="B66" s="991"/>
      <c r="C66" s="981"/>
      <c r="D66" s="981"/>
      <c r="E66" s="981"/>
      <c r="F66" s="988"/>
      <c r="G66" s="981"/>
      <c r="H66" s="981"/>
      <c r="I66" s="981"/>
      <c r="J66" s="981"/>
      <c r="K66" s="981"/>
      <c r="L66" s="981"/>
      <c r="M66" s="981"/>
      <c r="N66" s="981"/>
      <c r="O66" s="981"/>
      <c r="P66" s="981"/>
      <c r="Q66" s="981"/>
      <c r="R66" s="981"/>
      <c r="S66" s="981"/>
      <c r="T66" s="981"/>
      <c r="U66" s="981"/>
      <c r="V66" s="981"/>
      <c r="W66" s="981"/>
      <c r="X66" s="981"/>
      <c r="Y66" s="981"/>
      <c r="Z66" s="981"/>
      <c r="AA66" s="981"/>
      <c r="AB66" s="981"/>
    </row>
    <row r="67">
      <c r="A67" s="981"/>
      <c r="B67" s="991"/>
      <c r="C67" s="981"/>
      <c r="D67" s="981"/>
      <c r="E67" s="981"/>
      <c r="F67" s="988"/>
      <c r="G67" s="981"/>
      <c r="H67" s="981"/>
      <c r="I67" s="981"/>
      <c r="J67" s="981"/>
      <c r="K67" s="981"/>
      <c r="L67" s="981"/>
      <c r="M67" s="981"/>
      <c r="N67" s="981"/>
      <c r="O67" s="981"/>
      <c r="P67" s="981"/>
      <c r="Q67" s="981"/>
      <c r="R67" s="981"/>
      <c r="S67" s="981"/>
      <c r="T67" s="981"/>
      <c r="U67" s="981"/>
      <c r="V67" s="981"/>
      <c r="W67" s="981"/>
      <c r="X67" s="981"/>
      <c r="Y67" s="981"/>
      <c r="Z67" s="981"/>
      <c r="AA67" s="981"/>
      <c r="AB67" s="981"/>
    </row>
    <row r="68">
      <c r="A68" s="981"/>
      <c r="B68" s="991"/>
      <c r="C68" s="981"/>
      <c r="D68" s="981"/>
      <c r="E68" s="981"/>
      <c r="F68" s="988"/>
      <c r="G68" s="981"/>
      <c r="H68" s="981"/>
      <c r="I68" s="981"/>
      <c r="J68" s="981"/>
      <c r="K68" s="981"/>
      <c r="L68" s="981"/>
      <c r="M68" s="981"/>
      <c r="N68" s="981"/>
      <c r="O68" s="981"/>
      <c r="P68" s="981"/>
      <c r="Q68" s="981"/>
      <c r="R68" s="981"/>
      <c r="S68" s="981"/>
      <c r="T68" s="981"/>
      <c r="U68" s="981"/>
      <c r="V68" s="981"/>
      <c r="W68" s="981"/>
      <c r="X68" s="981"/>
      <c r="Y68" s="981"/>
      <c r="Z68" s="981"/>
      <c r="AA68" s="981"/>
      <c r="AB68" s="981"/>
    </row>
    <row r="69">
      <c r="A69" s="981"/>
      <c r="B69" s="991"/>
      <c r="C69" s="981"/>
      <c r="D69" s="981"/>
      <c r="E69" s="981"/>
      <c r="F69" s="988"/>
      <c r="G69" s="981"/>
      <c r="H69" s="981"/>
      <c r="I69" s="981"/>
      <c r="J69" s="981"/>
      <c r="K69" s="981"/>
      <c r="L69" s="981"/>
      <c r="M69" s="981"/>
      <c r="N69" s="981"/>
      <c r="O69" s="981"/>
      <c r="P69" s="981"/>
      <c r="Q69" s="981"/>
      <c r="R69" s="981"/>
      <c r="S69" s="981"/>
      <c r="T69" s="981"/>
      <c r="U69" s="981"/>
      <c r="V69" s="981"/>
      <c r="W69" s="981"/>
      <c r="X69" s="981"/>
      <c r="Y69" s="981"/>
      <c r="Z69" s="981"/>
      <c r="AA69" s="981"/>
      <c r="AB69" s="981"/>
    </row>
    <row r="70">
      <c r="A70" s="981"/>
      <c r="B70" s="991"/>
      <c r="C70" s="981"/>
      <c r="D70" s="981"/>
      <c r="E70" s="981"/>
      <c r="F70" s="988"/>
      <c r="G70" s="981"/>
      <c r="H70" s="981"/>
      <c r="I70" s="981"/>
      <c r="J70" s="981"/>
      <c r="K70" s="981"/>
      <c r="L70" s="981"/>
      <c r="M70" s="981"/>
      <c r="N70" s="981"/>
      <c r="O70" s="981"/>
      <c r="P70" s="981"/>
      <c r="Q70" s="981"/>
      <c r="R70" s="981"/>
      <c r="S70" s="981"/>
      <c r="T70" s="981"/>
      <c r="U70" s="981"/>
      <c r="V70" s="981"/>
      <c r="W70" s="981"/>
      <c r="X70" s="981"/>
      <c r="Y70" s="981"/>
      <c r="Z70" s="981"/>
      <c r="AA70" s="981"/>
      <c r="AB70" s="981"/>
    </row>
    <row r="71">
      <c r="A71" s="981"/>
      <c r="B71" s="991"/>
      <c r="C71" s="981"/>
      <c r="D71" s="981"/>
      <c r="E71" s="981"/>
      <c r="F71" s="988"/>
      <c r="G71" s="981"/>
      <c r="H71" s="981"/>
      <c r="I71" s="981"/>
      <c r="J71" s="981"/>
      <c r="K71" s="981"/>
      <c r="L71" s="981"/>
      <c r="M71" s="981"/>
      <c r="N71" s="981"/>
      <c r="O71" s="981"/>
      <c r="P71" s="981"/>
      <c r="Q71" s="981"/>
      <c r="R71" s="981"/>
      <c r="S71" s="981"/>
      <c r="T71" s="981"/>
      <c r="U71" s="981"/>
      <c r="V71" s="981"/>
      <c r="W71" s="981"/>
      <c r="X71" s="981"/>
      <c r="Y71" s="981"/>
      <c r="Z71" s="981"/>
      <c r="AA71" s="981"/>
      <c r="AB71" s="981"/>
    </row>
    <row r="72">
      <c r="A72" s="981"/>
      <c r="B72" s="991"/>
      <c r="C72" s="981"/>
      <c r="D72" s="981"/>
      <c r="E72" s="981"/>
      <c r="F72" s="988"/>
      <c r="G72" s="981"/>
      <c r="H72" s="981"/>
      <c r="I72" s="981"/>
      <c r="J72" s="981"/>
      <c r="K72" s="981"/>
      <c r="L72" s="981"/>
      <c r="M72" s="981"/>
      <c r="N72" s="981"/>
      <c r="O72" s="981"/>
      <c r="P72" s="981"/>
      <c r="Q72" s="981"/>
      <c r="R72" s="981"/>
      <c r="S72" s="981"/>
      <c r="T72" s="981"/>
      <c r="U72" s="981"/>
      <c r="V72" s="981"/>
      <c r="W72" s="981"/>
      <c r="X72" s="981"/>
      <c r="Y72" s="981"/>
      <c r="Z72" s="981"/>
      <c r="AA72" s="981"/>
      <c r="AB72" s="981"/>
    </row>
    <row r="73">
      <c r="A73" s="981"/>
      <c r="B73" s="991"/>
      <c r="C73" s="981"/>
      <c r="D73" s="981"/>
      <c r="E73" s="981"/>
      <c r="F73" s="988"/>
      <c r="G73" s="981"/>
      <c r="H73" s="981"/>
      <c r="I73" s="981"/>
      <c r="J73" s="981"/>
      <c r="K73" s="981"/>
      <c r="L73" s="981"/>
      <c r="M73" s="981"/>
      <c r="N73" s="981"/>
      <c r="O73" s="981"/>
      <c r="P73" s="981"/>
      <c r="Q73" s="981"/>
      <c r="R73" s="981"/>
      <c r="S73" s="981"/>
      <c r="T73" s="981"/>
      <c r="U73" s="981"/>
      <c r="V73" s="981"/>
      <c r="W73" s="981"/>
      <c r="X73" s="981"/>
      <c r="Y73" s="981"/>
      <c r="Z73" s="981"/>
      <c r="AA73" s="981"/>
      <c r="AB73" s="981"/>
    </row>
    <row r="74">
      <c r="A74" s="981"/>
      <c r="B74" s="991"/>
      <c r="C74" s="981"/>
      <c r="D74" s="981"/>
      <c r="E74" s="981"/>
      <c r="F74" s="988"/>
      <c r="G74" s="981"/>
      <c r="H74" s="981"/>
      <c r="I74" s="981"/>
      <c r="J74" s="981"/>
      <c r="K74" s="981"/>
      <c r="L74" s="981"/>
      <c r="M74" s="981"/>
      <c r="N74" s="981"/>
      <c r="O74" s="981"/>
      <c r="P74" s="981"/>
      <c r="Q74" s="981"/>
      <c r="R74" s="981"/>
      <c r="S74" s="981"/>
      <c r="T74" s="981"/>
      <c r="U74" s="981"/>
      <c r="V74" s="981"/>
      <c r="W74" s="981"/>
      <c r="X74" s="981"/>
      <c r="Y74" s="981"/>
      <c r="Z74" s="981"/>
      <c r="AA74" s="981"/>
      <c r="AB74" s="981"/>
    </row>
    <row r="75">
      <c r="A75" s="981"/>
      <c r="B75" s="991"/>
      <c r="C75" s="981"/>
      <c r="D75" s="981"/>
      <c r="E75" s="981"/>
      <c r="F75" s="988"/>
      <c r="G75" s="981"/>
      <c r="H75" s="981"/>
      <c r="I75" s="981"/>
      <c r="J75" s="981"/>
      <c r="K75" s="981"/>
      <c r="L75" s="981"/>
      <c r="M75" s="981"/>
      <c r="N75" s="981"/>
      <c r="O75" s="981"/>
      <c r="P75" s="981"/>
      <c r="Q75" s="981"/>
      <c r="R75" s="981"/>
      <c r="S75" s="981"/>
      <c r="T75" s="981"/>
      <c r="U75" s="981"/>
      <c r="V75" s="981"/>
      <c r="W75" s="981"/>
      <c r="X75" s="981"/>
      <c r="Y75" s="981"/>
      <c r="Z75" s="981"/>
      <c r="AA75" s="981"/>
      <c r="AB75" s="981"/>
    </row>
    <row r="76">
      <c r="A76" s="981"/>
      <c r="B76" s="991"/>
      <c r="C76" s="981"/>
      <c r="D76" s="981"/>
      <c r="E76" s="981"/>
      <c r="F76" s="988"/>
      <c r="G76" s="981"/>
      <c r="H76" s="981"/>
      <c r="I76" s="981"/>
      <c r="J76" s="981"/>
      <c r="K76" s="981"/>
      <c r="L76" s="981"/>
      <c r="M76" s="981"/>
      <c r="N76" s="981"/>
      <c r="O76" s="981"/>
      <c r="P76" s="981"/>
      <c r="Q76" s="981"/>
      <c r="R76" s="981"/>
      <c r="S76" s="981"/>
      <c r="T76" s="981"/>
      <c r="U76" s="981"/>
      <c r="V76" s="981"/>
      <c r="W76" s="981"/>
      <c r="X76" s="981"/>
      <c r="Y76" s="981"/>
      <c r="Z76" s="981"/>
      <c r="AA76" s="981"/>
      <c r="AB76" s="981"/>
    </row>
    <row r="77">
      <c r="A77" s="981"/>
      <c r="B77" s="991"/>
      <c r="C77" s="981"/>
      <c r="D77" s="981"/>
      <c r="E77" s="981"/>
      <c r="F77" s="988"/>
      <c r="G77" s="981"/>
      <c r="H77" s="981"/>
      <c r="I77" s="981"/>
      <c r="J77" s="981"/>
      <c r="K77" s="981"/>
      <c r="L77" s="981"/>
      <c r="M77" s="981"/>
      <c r="N77" s="981"/>
      <c r="O77" s="981"/>
      <c r="P77" s="981"/>
      <c r="Q77" s="981"/>
      <c r="R77" s="981"/>
      <c r="S77" s="981"/>
      <c r="T77" s="981"/>
      <c r="U77" s="981"/>
      <c r="V77" s="981"/>
      <c r="W77" s="981"/>
      <c r="X77" s="981"/>
      <c r="Y77" s="981"/>
      <c r="Z77" s="981"/>
      <c r="AA77" s="981"/>
      <c r="AB77" s="981"/>
    </row>
    <row r="78">
      <c r="A78" s="981"/>
      <c r="B78" s="991"/>
      <c r="C78" s="981"/>
      <c r="D78" s="981"/>
      <c r="E78" s="981"/>
      <c r="F78" s="988"/>
      <c r="G78" s="981"/>
      <c r="H78" s="981"/>
      <c r="I78" s="981"/>
      <c r="J78" s="981"/>
      <c r="K78" s="981"/>
      <c r="L78" s="981"/>
      <c r="M78" s="981"/>
      <c r="N78" s="981"/>
      <c r="O78" s="981"/>
      <c r="P78" s="981"/>
      <c r="Q78" s="981"/>
      <c r="R78" s="981"/>
      <c r="S78" s="981"/>
      <c r="T78" s="981"/>
      <c r="U78" s="981"/>
      <c r="V78" s="981"/>
      <c r="W78" s="981"/>
      <c r="X78" s="981"/>
      <c r="Y78" s="981"/>
      <c r="Z78" s="981"/>
      <c r="AA78" s="981"/>
      <c r="AB78" s="981"/>
    </row>
    <row r="79">
      <c r="A79" s="981"/>
      <c r="B79" s="991"/>
      <c r="C79" s="981"/>
      <c r="D79" s="981"/>
      <c r="E79" s="981"/>
      <c r="F79" s="988"/>
      <c r="G79" s="981"/>
      <c r="H79" s="981"/>
      <c r="I79" s="981"/>
      <c r="J79" s="981"/>
      <c r="K79" s="981"/>
      <c r="L79" s="981"/>
      <c r="M79" s="981"/>
      <c r="N79" s="981"/>
      <c r="O79" s="981"/>
      <c r="P79" s="981"/>
      <c r="Q79" s="981"/>
      <c r="R79" s="981"/>
      <c r="S79" s="981"/>
      <c r="T79" s="981"/>
      <c r="U79" s="981"/>
      <c r="V79" s="981"/>
      <c r="W79" s="981"/>
      <c r="X79" s="981"/>
      <c r="Y79" s="981"/>
      <c r="Z79" s="981"/>
      <c r="AA79" s="981"/>
      <c r="AB79" s="981"/>
    </row>
    <row r="80">
      <c r="A80" s="981"/>
      <c r="B80" s="991"/>
      <c r="C80" s="981"/>
      <c r="D80" s="981"/>
      <c r="E80" s="981"/>
      <c r="F80" s="988"/>
      <c r="G80" s="981"/>
      <c r="H80" s="981"/>
      <c r="I80" s="981"/>
      <c r="J80" s="981"/>
      <c r="K80" s="981"/>
      <c r="L80" s="981"/>
      <c r="M80" s="981"/>
      <c r="N80" s="981"/>
      <c r="O80" s="981"/>
      <c r="P80" s="981"/>
      <c r="Q80" s="981"/>
      <c r="R80" s="981"/>
      <c r="S80" s="981"/>
      <c r="T80" s="981"/>
      <c r="U80" s="981"/>
      <c r="V80" s="981"/>
      <c r="W80" s="981"/>
      <c r="X80" s="981"/>
      <c r="Y80" s="981"/>
      <c r="Z80" s="981"/>
      <c r="AA80" s="981"/>
      <c r="AB80" s="981"/>
    </row>
    <row r="81">
      <c r="A81" s="981"/>
      <c r="B81" s="991"/>
      <c r="C81" s="981"/>
      <c r="D81" s="981"/>
      <c r="E81" s="981"/>
      <c r="F81" s="988"/>
      <c r="G81" s="981"/>
      <c r="H81" s="981"/>
      <c r="I81" s="981"/>
      <c r="J81" s="981"/>
      <c r="K81" s="981"/>
      <c r="L81" s="981"/>
      <c r="M81" s="981"/>
      <c r="N81" s="981"/>
      <c r="O81" s="981"/>
      <c r="P81" s="981"/>
      <c r="Q81" s="981"/>
      <c r="R81" s="981"/>
      <c r="S81" s="981"/>
      <c r="T81" s="981"/>
      <c r="U81" s="981"/>
      <c r="V81" s="981"/>
      <c r="W81" s="981"/>
      <c r="X81" s="981"/>
      <c r="Y81" s="981"/>
      <c r="Z81" s="981"/>
      <c r="AA81" s="981"/>
      <c r="AB81" s="981"/>
    </row>
    <row r="82">
      <c r="A82" s="981"/>
      <c r="B82" s="991"/>
      <c r="C82" s="981"/>
      <c r="D82" s="981"/>
      <c r="E82" s="981"/>
      <c r="F82" s="988"/>
      <c r="G82" s="981"/>
      <c r="H82" s="981"/>
      <c r="I82" s="981"/>
      <c r="J82" s="981"/>
      <c r="K82" s="981"/>
      <c r="L82" s="981"/>
      <c r="M82" s="981"/>
      <c r="N82" s="981"/>
      <c r="O82" s="981"/>
      <c r="P82" s="981"/>
      <c r="Q82" s="981"/>
      <c r="R82" s="981"/>
      <c r="S82" s="981"/>
      <c r="T82" s="981"/>
      <c r="U82" s="981"/>
      <c r="V82" s="981"/>
      <c r="W82" s="981"/>
      <c r="X82" s="981"/>
      <c r="Y82" s="981"/>
      <c r="Z82" s="981"/>
      <c r="AA82" s="981"/>
      <c r="AB82" s="981"/>
    </row>
    <row r="83">
      <c r="A83" s="981"/>
      <c r="B83" s="991"/>
      <c r="C83" s="981"/>
      <c r="D83" s="981"/>
      <c r="E83" s="981"/>
      <c r="F83" s="988"/>
      <c r="G83" s="981"/>
      <c r="H83" s="981"/>
      <c r="I83" s="981"/>
      <c r="J83" s="981"/>
      <c r="K83" s="981"/>
      <c r="L83" s="981"/>
      <c r="M83" s="981"/>
      <c r="N83" s="981"/>
      <c r="O83" s="981"/>
      <c r="P83" s="981"/>
      <c r="Q83" s="981"/>
      <c r="R83" s="981"/>
      <c r="S83" s="981"/>
      <c r="T83" s="981"/>
      <c r="U83" s="981"/>
      <c r="V83" s="981"/>
      <c r="W83" s="981"/>
      <c r="X83" s="981"/>
      <c r="Y83" s="981"/>
      <c r="Z83" s="981"/>
      <c r="AA83" s="981"/>
      <c r="AB83" s="981"/>
    </row>
    <row r="84">
      <c r="A84" s="981"/>
      <c r="B84" s="991"/>
      <c r="C84" s="981"/>
      <c r="D84" s="981"/>
      <c r="E84" s="981"/>
      <c r="F84" s="988"/>
      <c r="G84" s="981"/>
      <c r="H84" s="981"/>
      <c r="I84" s="981"/>
      <c r="J84" s="981"/>
      <c r="K84" s="981"/>
      <c r="L84" s="981"/>
      <c r="M84" s="981"/>
      <c r="N84" s="981"/>
      <c r="O84" s="981"/>
      <c r="P84" s="981"/>
      <c r="Q84" s="981"/>
      <c r="R84" s="981"/>
      <c r="S84" s="981"/>
      <c r="T84" s="981"/>
      <c r="U84" s="981"/>
      <c r="V84" s="981"/>
      <c r="W84" s="981"/>
      <c r="X84" s="981"/>
      <c r="Y84" s="981"/>
      <c r="Z84" s="981"/>
      <c r="AA84" s="981"/>
      <c r="AB84" s="981"/>
    </row>
    <row r="85">
      <c r="A85" s="981"/>
      <c r="B85" s="991"/>
      <c r="C85" s="981"/>
      <c r="D85" s="981"/>
      <c r="E85" s="981"/>
      <c r="F85" s="988"/>
      <c r="G85" s="981"/>
      <c r="H85" s="981"/>
      <c r="I85" s="981"/>
      <c r="J85" s="981"/>
      <c r="K85" s="981"/>
      <c r="L85" s="981"/>
      <c r="M85" s="981"/>
      <c r="N85" s="981"/>
      <c r="O85" s="981"/>
      <c r="P85" s="981"/>
      <c r="Q85" s="981"/>
      <c r="R85" s="981"/>
      <c r="S85" s="981"/>
      <c r="T85" s="981"/>
      <c r="U85" s="981"/>
      <c r="V85" s="981"/>
      <c r="W85" s="981"/>
      <c r="X85" s="981"/>
      <c r="Y85" s="981"/>
      <c r="Z85" s="981"/>
      <c r="AA85" s="981"/>
      <c r="AB85" s="981"/>
    </row>
    <row r="86">
      <c r="A86" s="981"/>
      <c r="B86" s="991"/>
      <c r="C86" s="981"/>
      <c r="D86" s="981"/>
      <c r="E86" s="981"/>
      <c r="F86" s="988"/>
      <c r="G86" s="981"/>
      <c r="H86" s="981"/>
      <c r="I86" s="981"/>
      <c r="J86" s="981"/>
      <c r="K86" s="981"/>
      <c r="L86" s="981"/>
      <c r="M86" s="981"/>
      <c r="N86" s="981"/>
      <c r="O86" s="981"/>
      <c r="P86" s="981"/>
      <c r="Q86" s="981"/>
      <c r="R86" s="981"/>
      <c r="S86" s="981"/>
      <c r="T86" s="981"/>
      <c r="U86" s="981"/>
      <c r="V86" s="981"/>
      <c r="W86" s="981"/>
      <c r="X86" s="981"/>
      <c r="Y86" s="981"/>
      <c r="Z86" s="981"/>
      <c r="AA86" s="981"/>
      <c r="AB86" s="981"/>
    </row>
    <row r="87">
      <c r="A87" s="981"/>
      <c r="B87" s="991"/>
      <c r="C87" s="981"/>
      <c r="D87" s="981"/>
      <c r="E87" s="981"/>
      <c r="F87" s="988"/>
      <c r="G87" s="981"/>
      <c r="H87" s="981"/>
      <c r="I87" s="981"/>
      <c r="J87" s="981"/>
      <c r="K87" s="981"/>
      <c r="L87" s="981"/>
      <c r="M87" s="981"/>
      <c r="N87" s="981"/>
      <c r="O87" s="981"/>
      <c r="P87" s="981"/>
      <c r="Q87" s="981"/>
      <c r="R87" s="981"/>
      <c r="S87" s="981"/>
      <c r="T87" s="981"/>
      <c r="U87" s="981"/>
      <c r="V87" s="981"/>
      <c r="W87" s="981"/>
      <c r="X87" s="981"/>
      <c r="Y87" s="981"/>
      <c r="Z87" s="981"/>
      <c r="AA87" s="981"/>
      <c r="AB87" s="981"/>
    </row>
    <row r="88">
      <c r="A88" s="981"/>
      <c r="B88" s="991"/>
      <c r="C88" s="981"/>
      <c r="D88" s="981"/>
      <c r="E88" s="981"/>
      <c r="F88" s="988"/>
      <c r="G88" s="981"/>
      <c r="H88" s="981"/>
      <c r="I88" s="981"/>
      <c r="J88" s="981"/>
      <c r="K88" s="981"/>
      <c r="L88" s="981"/>
      <c r="M88" s="981"/>
      <c r="N88" s="981"/>
      <c r="O88" s="981"/>
      <c r="P88" s="981"/>
      <c r="Q88" s="981"/>
      <c r="R88" s="981"/>
      <c r="S88" s="981"/>
      <c r="T88" s="981"/>
      <c r="U88" s="981"/>
      <c r="V88" s="981"/>
      <c r="W88" s="981"/>
      <c r="X88" s="981"/>
      <c r="Y88" s="981"/>
      <c r="Z88" s="981"/>
      <c r="AA88" s="981"/>
      <c r="AB88" s="981"/>
    </row>
    <row r="89">
      <c r="A89" s="981"/>
      <c r="B89" s="991"/>
      <c r="C89" s="981"/>
      <c r="D89" s="981"/>
      <c r="E89" s="981"/>
      <c r="F89" s="988"/>
      <c r="G89" s="981"/>
      <c r="H89" s="981"/>
      <c r="I89" s="981"/>
      <c r="J89" s="981"/>
      <c r="K89" s="981"/>
      <c r="L89" s="981"/>
      <c r="M89" s="981"/>
      <c r="N89" s="981"/>
      <c r="O89" s="981"/>
      <c r="P89" s="981"/>
      <c r="Q89" s="981"/>
      <c r="R89" s="981"/>
      <c r="S89" s="981"/>
      <c r="T89" s="981"/>
      <c r="U89" s="981"/>
      <c r="V89" s="981"/>
      <c r="W89" s="981"/>
      <c r="X89" s="981"/>
      <c r="Y89" s="981"/>
      <c r="Z89" s="981"/>
      <c r="AA89" s="981"/>
      <c r="AB89" s="981"/>
    </row>
    <row r="90">
      <c r="A90" s="981"/>
      <c r="B90" s="991"/>
      <c r="C90" s="981"/>
      <c r="D90" s="981"/>
      <c r="E90" s="981"/>
      <c r="F90" s="988"/>
      <c r="G90" s="981"/>
      <c r="H90" s="981"/>
      <c r="I90" s="981"/>
      <c r="J90" s="981"/>
      <c r="K90" s="981"/>
      <c r="L90" s="981"/>
      <c r="M90" s="981"/>
      <c r="N90" s="981"/>
      <c r="O90" s="981"/>
      <c r="P90" s="981"/>
      <c r="Q90" s="981"/>
      <c r="R90" s="981"/>
      <c r="S90" s="981"/>
      <c r="T90" s="981"/>
      <c r="U90" s="981"/>
      <c r="V90" s="981"/>
      <c r="W90" s="981"/>
      <c r="X90" s="981"/>
      <c r="Y90" s="981"/>
      <c r="Z90" s="981"/>
      <c r="AA90" s="981"/>
      <c r="AB90" s="981"/>
    </row>
    <row r="91">
      <c r="A91" s="981"/>
      <c r="B91" s="991"/>
      <c r="C91" s="981"/>
      <c r="D91" s="981"/>
      <c r="E91" s="981"/>
      <c r="F91" s="988"/>
      <c r="G91" s="981"/>
      <c r="H91" s="981"/>
      <c r="I91" s="981"/>
      <c r="J91" s="981"/>
      <c r="K91" s="981"/>
      <c r="L91" s="981"/>
      <c r="M91" s="981"/>
      <c r="N91" s="981"/>
      <c r="O91" s="981"/>
      <c r="P91" s="981"/>
      <c r="Q91" s="981"/>
      <c r="R91" s="981"/>
      <c r="S91" s="981"/>
      <c r="T91" s="981"/>
      <c r="U91" s="981"/>
      <c r="V91" s="981"/>
      <c r="W91" s="981"/>
      <c r="X91" s="981"/>
      <c r="Y91" s="981"/>
      <c r="Z91" s="981"/>
      <c r="AA91" s="981"/>
      <c r="AB91" s="981"/>
    </row>
    <row r="92">
      <c r="A92" s="981"/>
      <c r="B92" s="991"/>
      <c r="C92" s="981"/>
      <c r="D92" s="981"/>
      <c r="E92" s="981"/>
      <c r="F92" s="988"/>
      <c r="G92" s="981"/>
      <c r="H92" s="981"/>
      <c r="I92" s="981"/>
      <c r="J92" s="981"/>
      <c r="K92" s="981"/>
      <c r="L92" s="981"/>
      <c r="M92" s="981"/>
      <c r="N92" s="981"/>
      <c r="O92" s="981"/>
      <c r="P92" s="981"/>
      <c r="Q92" s="981"/>
      <c r="R92" s="981"/>
      <c r="S92" s="981"/>
      <c r="T92" s="981"/>
      <c r="U92" s="981"/>
      <c r="V92" s="981"/>
      <c r="W92" s="981"/>
      <c r="X92" s="981"/>
      <c r="Y92" s="981"/>
      <c r="Z92" s="981"/>
      <c r="AA92" s="981"/>
      <c r="AB92" s="981"/>
    </row>
    <row r="93">
      <c r="A93" s="981"/>
      <c r="B93" s="991"/>
      <c r="C93" s="981"/>
      <c r="D93" s="981"/>
      <c r="E93" s="981"/>
      <c r="F93" s="988"/>
      <c r="G93" s="981"/>
      <c r="H93" s="981"/>
      <c r="I93" s="981"/>
      <c r="J93" s="981"/>
      <c r="K93" s="981"/>
      <c r="L93" s="981"/>
      <c r="M93" s="981"/>
      <c r="N93" s="981"/>
      <c r="O93" s="981"/>
      <c r="P93" s="981"/>
      <c r="Q93" s="981"/>
      <c r="R93" s="981"/>
      <c r="S93" s="981"/>
      <c r="T93" s="981"/>
      <c r="U93" s="981"/>
      <c r="V93" s="981"/>
      <c r="W93" s="981"/>
      <c r="X93" s="981"/>
      <c r="Y93" s="981"/>
      <c r="Z93" s="981"/>
      <c r="AA93" s="981"/>
      <c r="AB93" s="981"/>
    </row>
    <row r="94">
      <c r="A94" s="981"/>
      <c r="B94" s="991"/>
      <c r="C94" s="981"/>
      <c r="D94" s="981"/>
      <c r="E94" s="981"/>
      <c r="F94" s="988"/>
      <c r="G94" s="981"/>
      <c r="H94" s="981"/>
      <c r="I94" s="981"/>
      <c r="J94" s="981"/>
      <c r="K94" s="981"/>
      <c r="L94" s="981"/>
      <c r="M94" s="981"/>
      <c r="N94" s="981"/>
      <c r="O94" s="981"/>
      <c r="P94" s="981"/>
      <c r="Q94" s="981"/>
      <c r="R94" s="981"/>
      <c r="S94" s="981"/>
      <c r="T94" s="981"/>
      <c r="U94" s="981"/>
      <c r="V94" s="981"/>
      <c r="W94" s="981"/>
      <c r="X94" s="981"/>
      <c r="Y94" s="981"/>
      <c r="Z94" s="981"/>
      <c r="AA94" s="981"/>
      <c r="AB94" s="981"/>
    </row>
    <row r="95">
      <c r="A95" s="981"/>
      <c r="B95" s="991"/>
      <c r="C95" s="981"/>
      <c r="D95" s="981"/>
      <c r="E95" s="981"/>
      <c r="F95" s="988"/>
      <c r="G95" s="981"/>
      <c r="H95" s="981"/>
      <c r="I95" s="981"/>
      <c r="J95" s="981"/>
      <c r="K95" s="981"/>
      <c r="L95" s="981"/>
      <c r="M95" s="981"/>
      <c r="N95" s="981"/>
      <c r="O95" s="981"/>
      <c r="P95" s="981"/>
      <c r="Q95" s="981"/>
      <c r="R95" s="981"/>
      <c r="S95" s="981"/>
      <c r="T95" s="981"/>
      <c r="U95" s="981"/>
      <c r="V95" s="981"/>
      <c r="W95" s="981"/>
      <c r="X95" s="981"/>
      <c r="Y95" s="981"/>
      <c r="Z95" s="981"/>
      <c r="AA95" s="981"/>
      <c r="AB95" s="981"/>
    </row>
    <row r="96">
      <c r="A96" s="981"/>
      <c r="B96" s="991"/>
      <c r="C96" s="981"/>
      <c r="D96" s="981"/>
      <c r="E96" s="981"/>
      <c r="F96" s="988"/>
      <c r="G96" s="981"/>
      <c r="H96" s="981"/>
      <c r="I96" s="981"/>
      <c r="J96" s="981"/>
      <c r="K96" s="981"/>
      <c r="L96" s="981"/>
      <c r="M96" s="981"/>
      <c r="N96" s="981"/>
      <c r="O96" s="981"/>
      <c r="P96" s="981"/>
      <c r="Q96" s="981"/>
      <c r="R96" s="981"/>
      <c r="S96" s="981"/>
      <c r="T96" s="981"/>
      <c r="U96" s="981"/>
      <c r="V96" s="981"/>
      <c r="W96" s="981"/>
      <c r="X96" s="981"/>
      <c r="Y96" s="981"/>
      <c r="Z96" s="981"/>
      <c r="AA96" s="981"/>
      <c r="AB96" s="981"/>
    </row>
    <row r="97">
      <c r="A97" s="981"/>
      <c r="B97" s="991"/>
      <c r="C97" s="981"/>
      <c r="D97" s="981"/>
      <c r="E97" s="981"/>
      <c r="F97" s="988"/>
      <c r="G97" s="981"/>
      <c r="H97" s="981"/>
      <c r="I97" s="981"/>
      <c r="J97" s="981"/>
      <c r="K97" s="981"/>
      <c r="L97" s="981"/>
      <c r="M97" s="981"/>
      <c r="N97" s="981"/>
      <c r="O97" s="981"/>
      <c r="P97" s="981"/>
      <c r="Q97" s="981"/>
      <c r="R97" s="981"/>
      <c r="S97" s="981"/>
      <c r="T97" s="981"/>
      <c r="U97" s="981"/>
      <c r="V97" s="981"/>
      <c r="W97" s="981"/>
      <c r="X97" s="981"/>
      <c r="Y97" s="981"/>
      <c r="Z97" s="981"/>
      <c r="AA97" s="981"/>
      <c r="AB97" s="981"/>
    </row>
    <row r="98">
      <c r="A98" s="981"/>
      <c r="B98" s="991"/>
      <c r="C98" s="981"/>
      <c r="D98" s="981"/>
      <c r="E98" s="981"/>
      <c r="F98" s="988"/>
      <c r="G98" s="981"/>
      <c r="H98" s="981"/>
      <c r="I98" s="981"/>
      <c r="J98" s="981"/>
      <c r="K98" s="981"/>
      <c r="L98" s="981"/>
      <c r="M98" s="981"/>
      <c r="N98" s="981"/>
      <c r="O98" s="981"/>
      <c r="P98" s="981"/>
      <c r="Q98" s="981"/>
      <c r="R98" s="981"/>
      <c r="S98" s="981"/>
      <c r="T98" s="981"/>
      <c r="U98" s="981"/>
      <c r="V98" s="981"/>
      <c r="W98" s="981"/>
      <c r="X98" s="981"/>
      <c r="Y98" s="981"/>
      <c r="Z98" s="981"/>
      <c r="AA98" s="981"/>
      <c r="AB98" s="981"/>
    </row>
    <row r="99">
      <c r="A99" s="981"/>
      <c r="B99" s="991"/>
      <c r="C99" s="981"/>
      <c r="D99" s="981"/>
      <c r="E99" s="981"/>
      <c r="F99" s="988"/>
      <c r="G99" s="981"/>
      <c r="H99" s="981"/>
      <c r="I99" s="981"/>
      <c r="J99" s="981"/>
      <c r="K99" s="981"/>
      <c r="L99" s="981"/>
      <c r="M99" s="981"/>
      <c r="N99" s="981"/>
      <c r="O99" s="981"/>
      <c r="P99" s="981"/>
      <c r="Q99" s="981"/>
      <c r="R99" s="981"/>
      <c r="S99" s="981"/>
      <c r="T99" s="981"/>
      <c r="U99" s="981"/>
      <c r="V99" s="981"/>
      <c r="W99" s="981"/>
      <c r="X99" s="981"/>
      <c r="Y99" s="981"/>
      <c r="Z99" s="981"/>
      <c r="AA99" s="981"/>
      <c r="AB99" s="981"/>
    </row>
    <row r="100">
      <c r="A100" s="981"/>
      <c r="B100" s="991"/>
      <c r="C100" s="981"/>
      <c r="D100" s="981"/>
      <c r="E100" s="981"/>
      <c r="F100" s="988"/>
      <c r="G100" s="981"/>
      <c r="H100" s="981"/>
      <c r="I100" s="981"/>
      <c r="J100" s="981"/>
      <c r="K100" s="981"/>
      <c r="L100" s="981"/>
      <c r="M100" s="981"/>
      <c r="N100" s="981"/>
      <c r="O100" s="981"/>
      <c r="P100" s="981"/>
      <c r="Q100" s="981"/>
      <c r="R100" s="981"/>
      <c r="S100" s="981"/>
      <c r="T100" s="981"/>
      <c r="U100" s="981"/>
      <c r="V100" s="981"/>
      <c r="W100" s="981"/>
      <c r="X100" s="981"/>
      <c r="Y100" s="981"/>
      <c r="Z100" s="981"/>
      <c r="AA100" s="981"/>
      <c r="AB100" s="981"/>
    </row>
    <row r="101">
      <c r="A101" s="981"/>
      <c r="B101" s="991"/>
      <c r="C101" s="981"/>
      <c r="D101" s="981"/>
      <c r="E101" s="981"/>
      <c r="F101" s="988"/>
      <c r="G101" s="981"/>
      <c r="H101" s="981"/>
      <c r="I101" s="981"/>
      <c r="J101" s="981"/>
      <c r="K101" s="981"/>
      <c r="L101" s="981"/>
      <c r="M101" s="981"/>
      <c r="N101" s="981"/>
      <c r="O101" s="981"/>
      <c r="P101" s="981"/>
      <c r="Q101" s="981"/>
      <c r="R101" s="981"/>
      <c r="S101" s="981"/>
      <c r="T101" s="981"/>
      <c r="U101" s="981"/>
      <c r="V101" s="981"/>
      <c r="W101" s="981"/>
      <c r="X101" s="981"/>
      <c r="Y101" s="981"/>
      <c r="Z101" s="981"/>
      <c r="AA101" s="981"/>
      <c r="AB101" s="981"/>
    </row>
    <row r="102">
      <c r="A102" s="981"/>
      <c r="B102" s="991"/>
      <c r="C102" s="981"/>
      <c r="D102" s="981"/>
      <c r="E102" s="981"/>
      <c r="F102" s="988"/>
      <c r="G102" s="981"/>
      <c r="H102" s="981"/>
      <c r="I102" s="981"/>
      <c r="J102" s="981"/>
      <c r="K102" s="981"/>
      <c r="L102" s="981"/>
      <c r="M102" s="981"/>
      <c r="N102" s="981"/>
      <c r="O102" s="981"/>
      <c r="P102" s="981"/>
      <c r="Q102" s="981"/>
      <c r="R102" s="981"/>
      <c r="S102" s="981"/>
      <c r="T102" s="981"/>
      <c r="U102" s="981"/>
      <c r="V102" s="981"/>
      <c r="W102" s="981"/>
      <c r="X102" s="981"/>
      <c r="Y102" s="981"/>
      <c r="Z102" s="981"/>
      <c r="AA102" s="981"/>
      <c r="AB102" s="981"/>
    </row>
    <row r="103">
      <c r="A103" s="981"/>
      <c r="B103" s="991"/>
      <c r="C103" s="981"/>
      <c r="D103" s="981"/>
      <c r="E103" s="981"/>
      <c r="F103" s="988"/>
      <c r="G103" s="981"/>
      <c r="H103" s="981"/>
      <c r="I103" s="981"/>
      <c r="J103" s="981"/>
      <c r="K103" s="981"/>
      <c r="L103" s="981"/>
      <c r="M103" s="981"/>
      <c r="N103" s="981"/>
      <c r="O103" s="981"/>
      <c r="P103" s="981"/>
      <c r="Q103" s="981"/>
      <c r="R103" s="981"/>
      <c r="S103" s="981"/>
      <c r="T103" s="981"/>
      <c r="U103" s="981"/>
      <c r="V103" s="981"/>
      <c r="W103" s="981"/>
      <c r="X103" s="981"/>
      <c r="Y103" s="981"/>
      <c r="Z103" s="981"/>
      <c r="AA103" s="981"/>
      <c r="AB103" s="981"/>
    </row>
    <row r="104">
      <c r="A104" s="981"/>
      <c r="B104" s="991"/>
      <c r="C104" s="981"/>
      <c r="D104" s="981"/>
      <c r="E104" s="981"/>
      <c r="F104" s="988"/>
      <c r="G104" s="981"/>
      <c r="H104" s="981"/>
      <c r="I104" s="981"/>
      <c r="J104" s="981"/>
      <c r="K104" s="981"/>
      <c r="L104" s="981"/>
      <c r="M104" s="981"/>
      <c r="N104" s="981"/>
      <c r="O104" s="981"/>
      <c r="P104" s="981"/>
      <c r="Q104" s="981"/>
      <c r="R104" s="981"/>
      <c r="S104" s="981"/>
      <c r="T104" s="981"/>
      <c r="U104" s="981"/>
      <c r="V104" s="981"/>
      <c r="W104" s="981"/>
      <c r="X104" s="981"/>
      <c r="Y104" s="981"/>
      <c r="Z104" s="981"/>
      <c r="AA104" s="981"/>
      <c r="AB104" s="981"/>
    </row>
    <row r="105">
      <c r="A105" s="981"/>
      <c r="B105" s="991"/>
      <c r="C105" s="981"/>
      <c r="D105" s="981"/>
      <c r="E105" s="981"/>
      <c r="F105" s="988"/>
      <c r="G105" s="981"/>
      <c r="H105" s="981"/>
      <c r="I105" s="981"/>
      <c r="J105" s="981"/>
      <c r="K105" s="981"/>
      <c r="L105" s="981"/>
      <c r="M105" s="981"/>
      <c r="N105" s="981"/>
      <c r="O105" s="981"/>
      <c r="P105" s="981"/>
      <c r="Q105" s="981"/>
      <c r="R105" s="981"/>
      <c r="S105" s="981"/>
      <c r="T105" s="981"/>
      <c r="U105" s="981"/>
      <c r="V105" s="981"/>
      <c r="W105" s="981"/>
      <c r="X105" s="981"/>
      <c r="Y105" s="981"/>
      <c r="Z105" s="981"/>
      <c r="AA105" s="981"/>
      <c r="AB105" s="981"/>
    </row>
    <row r="106">
      <c r="A106" s="981"/>
      <c r="B106" s="991"/>
      <c r="C106" s="981"/>
      <c r="D106" s="981"/>
      <c r="E106" s="981"/>
      <c r="F106" s="988"/>
      <c r="G106" s="981"/>
      <c r="H106" s="981"/>
      <c r="I106" s="981"/>
      <c r="J106" s="981"/>
      <c r="K106" s="981"/>
      <c r="L106" s="981"/>
      <c r="M106" s="981"/>
      <c r="N106" s="981"/>
      <c r="O106" s="981"/>
      <c r="P106" s="981"/>
      <c r="Q106" s="981"/>
      <c r="R106" s="981"/>
      <c r="S106" s="981"/>
      <c r="T106" s="981"/>
      <c r="U106" s="981"/>
      <c r="V106" s="981"/>
      <c r="W106" s="981"/>
      <c r="X106" s="981"/>
      <c r="Y106" s="981"/>
      <c r="Z106" s="981"/>
      <c r="AA106" s="981"/>
      <c r="AB106" s="981"/>
    </row>
    <row r="107">
      <c r="A107" s="981"/>
      <c r="B107" s="991"/>
      <c r="C107" s="981"/>
      <c r="D107" s="981"/>
      <c r="E107" s="981"/>
      <c r="F107" s="988"/>
      <c r="G107" s="981"/>
      <c r="H107" s="981"/>
      <c r="I107" s="981"/>
      <c r="J107" s="981"/>
      <c r="K107" s="981"/>
      <c r="L107" s="981"/>
      <c r="M107" s="981"/>
      <c r="N107" s="981"/>
      <c r="O107" s="981"/>
      <c r="P107" s="981"/>
      <c r="Q107" s="981"/>
      <c r="R107" s="981"/>
      <c r="S107" s="981"/>
      <c r="T107" s="981"/>
      <c r="U107" s="981"/>
      <c r="V107" s="981"/>
      <c r="W107" s="981"/>
      <c r="X107" s="981"/>
      <c r="Y107" s="981"/>
      <c r="Z107" s="981"/>
      <c r="AA107" s="981"/>
      <c r="AB107" s="981"/>
    </row>
    <row r="108">
      <c r="A108" s="981"/>
      <c r="B108" s="991"/>
      <c r="C108" s="981"/>
      <c r="D108" s="981"/>
      <c r="E108" s="981"/>
      <c r="F108" s="988"/>
      <c r="G108" s="981"/>
      <c r="H108" s="981"/>
      <c r="I108" s="981"/>
      <c r="J108" s="981"/>
      <c r="K108" s="981"/>
      <c r="L108" s="981"/>
      <c r="M108" s="981"/>
      <c r="N108" s="981"/>
      <c r="O108" s="981"/>
      <c r="P108" s="981"/>
      <c r="Q108" s="981"/>
      <c r="R108" s="981"/>
      <c r="S108" s="981"/>
      <c r="T108" s="981"/>
      <c r="U108" s="981"/>
      <c r="V108" s="981"/>
      <c r="W108" s="981"/>
      <c r="X108" s="981"/>
      <c r="Y108" s="981"/>
      <c r="Z108" s="981"/>
      <c r="AA108" s="981"/>
      <c r="AB108" s="981"/>
    </row>
    <row r="109">
      <c r="A109" s="981"/>
      <c r="B109" s="991"/>
      <c r="C109" s="981"/>
      <c r="D109" s="981"/>
      <c r="E109" s="981"/>
      <c r="F109" s="988"/>
      <c r="G109" s="981"/>
      <c r="H109" s="981"/>
      <c r="I109" s="981"/>
      <c r="J109" s="981"/>
      <c r="K109" s="981"/>
      <c r="L109" s="981"/>
      <c r="M109" s="981"/>
      <c r="N109" s="981"/>
      <c r="O109" s="981"/>
      <c r="P109" s="981"/>
      <c r="Q109" s="981"/>
      <c r="R109" s="981"/>
      <c r="S109" s="981"/>
      <c r="T109" s="981"/>
      <c r="U109" s="981"/>
      <c r="V109" s="981"/>
      <c r="W109" s="981"/>
      <c r="X109" s="981"/>
      <c r="Y109" s="981"/>
      <c r="Z109" s="981"/>
      <c r="AA109" s="981"/>
      <c r="AB109" s="981"/>
    </row>
    <row r="110">
      <c r="A110" s="981"/>
      <c r="B110" s="991"/>
      <c r="C110" s="981"/>
      <c r="D110" s="981"/>
      <c r="E110" s="981"/>
      <c r="F110" s="988"/>
      <c r="G110" s="981"/>
      <c r="H110" s="981"/>
      <c r="I110" s="981"/>
      <c r="J110" s="981"/>
      <c r="K110" s="981"/>
      <c r="L110" s="981"/>
      <c r="M110" s="981"/>
      <c r="N110" s="981"/>
      <c r="O110" s="981"/>
      <c r="P110" s="981"/>
      <c r="Q110" s="981"/>
      <c r="R110" s="981"/>
      <c r="S110" s="981"/>
      <c r="T110" s="981"/>
      <c r="U110" s="981"/>
      <c r="V110" s="981"/>
      <c r="W110" s="981"/>
      <c r="X110" s="981"/>
      <c r="Y110" s="981"/>
      <c r="Z110" s="981"/>
      <c r="AA110" s="981"/>
      <c r="AB110" s="981"/>
    </row>
    <row r="111">
      <c r="A111" s="981"/>
      <c r="B111" s="991"/>
      <c r="C111" s="981"/>
      <c r="D111" s="981"/>
      <c r="E111" s="981"/>
      <c r="F111" s="988"/>
      <c r="G111" s="981"/>
      <c r="H111" s="981"/>
      <c r="I111" s="981"/>
      <c r="J111" s="981"/>
      <c r="K111" s="981"/>
      <c r="L111" s="981"/>
      <c r="M111" s="981"/>
      <c r="N111" s="981"/>
      <c r="O111" s="981"/>
      <c r="P111" s="981"/>
      <c r="Q111" s="981"/>
      <c r="R111" s="981"/>
      <c r="S111" s="981"/>
      <c r="T111" s="981"/>
      <c r="U111" s="981"/>
      <c r="V111" s="981"/>
      <c r="W111" s="981"/>
      <c r="X111" s="981"/>
      <c r="Y111" s="981"/>
      <c r="Z111" s="981"/>
      <c r="AA111" s="981"/>
      <c r="AB111" s="981"/>
    </row>
    <row r="112">
      <c r="A112" s="981"/>
      <c r="B112" s="991"/>
      <c r="C112" s="981"/>
      <c r="D112" s="981"/>
      <c r="E112" s="981"/>
      <c r="F112" s="988"/>
      <c r="G112" s="981"/>
      <c r="H112" s="981"/>
      <c r="I112" s="981"/>
      <c r="J112" s="981"/>
      <c r="K112" s="981"/>
      <c r="L112" s="981"/>
      <c r="M112" s="981"/>
      <c r="N112" s="981"/>
      <c r="O112" s="981"/>
      <c r="P112" s="981"/>
      <c r="Q112" s="981"/>
      <c r="R112" s="981"/>
      <c r="S112" s="981"/>
      <c r="T112" s="981"/>
      <c r="U112" s="981"/>
      <c r="V112" s="981"/>
      <c r="W112" s="981"/>
      <c r="X112" s="981"/>
      <c r="Y112" s="981"/>
      <c r="Z112" s="981"/>
      <c r="AA112" s="981"/>
      <c r="AB112" s="981"/>
    </row>
    <row r="113">
      <c r="A113" s="981"/>
      <c r="B113" s="991"/>
      <c r="C113" s="981"/>
      <c r="D113" s="981"/>
      <c r="E113" s="981"/>
      <c r="F113" s="988"/>
      <c r="G113" s="981"/>
      <c r="H113" s="981"/>
      <c r="I113" s="981"/>
      <c r="J113" s="981"/>
      <c r="K113" s="981"/>
      <c r="L113" s="981"/>
      <c r="M113" s="981"/>
      <c r="N113" s="981"/>
      <c r="O113" s="981"/>
      <c r="P113" s="981"/>
      <c r="Q113" s="981"/>
      <c r="R113" s="981"/>
      <c r="S113" s="981"/>
      <c r="T113" s="981"/>
      <c r="U113" s="981"/>
      <c r="V113" s="981"/>
      <c r="W113" s="981"/>
      <c r="X113" s="981"/>
      <c r="Y113" s="981"/>
      <c r="Z113" s="981"/>
      <c r="AA113" s="981"/>
      <c r="AB113" s="981"/>
    </row>
    <row r="114">
      <c r="A114" s="981"/>
      <c r="B114" s="991"/>
      <c r="C114" s="981"/>
      <c r="D114" s="981"/>
      <c r="E114" s="981"/>
      <c r="F114" s="988"/>
      <c r="G114" s="981"/>
      <c r="H114" s="981"/>
      <c r="I114" s="981"/>
      <c r="J114" s="981"/>
      <c r="K114" s="981"/>
      <c r="L114" s="981"/>
      <c r="M114" s="981"/>
      <c r="N114" s="981"/>
      <c r="O114" s="981"/>
      <c r="P114" s="981"/>
      <c r="Q114" s="981"/>
      <c r="R114" s="981"/>
      <c r="S114" s="981"/>
      <c r="T114" s="981"/>
      <c r="U114" s="981"/>
      <c r="V114" s="981"/>
      <c r="W114" s="981"/>
      <c r="X114" s="981"/>
      <c r="Y114" s="981"/>
      <c r="Z114" s="981"/>
      <c r="AA114" s="981"/>
      <c r="AB114" s="981"/>
    </row>
    <row r="115">
      <c r="A115" s="981"/>
      <c r="B115" s="991"/>
      <c r="C115" s="981"/>
      <c r="D115" s="981"/>
      <c r="E115" s="981"/>
      <c r="F115" s="988"/>
      <c r="G115" s="981"/>
      <c r="H115" s="981"/>
      <c r="I115" s="981"/>
      <c r="J115" s="981"/>
      <c r="K115" s="981"/>
      <c r="L115" s="981"/>
      <c r="M115" s="981"/>
      <c r="N115" s="981"/>
      <c r="O115" s="981"/>
      <c r="P115" s="981"/>
      <c r="Q115" s="981"/>
      <c r="R115" s="981"/>
      <c r="S115" s="981"/>
      <c r="T115" s="981"/>
      <c r="U115" s="981"/>
      <c r="V115" s="981"/>
      <c r="W115" s="981"/>
      <c r="X115" s="981"/>
      <c r="Y115" s="981"/>
      <c r="Z115" s="981"/>
      <c r="AA115" s="981"/>
      <c r="AB115" s="981"/>
    </row>
    <row r="116">
      <c r="A116" s="981"/>
      <c r="B116" s="991"/>
      <c r="C116" s="981"/>
      <c r="D116" s="981"/>
      <c r="E116" s="981"/>
      <c r="F116" s="988"/>
      <c r="G116" s="981"/>
      <c r="H116" s="981"/>
      <c r="I116" s="981"/>
      <c r="J116" s="981"/>
      <c r="K116" s="981"/>
      <c r="L116" s="981"/>
      <c r="M116" s="981"/>
      <c r="N116" s="981"/>
      <c r="O116" s="981"/>
      <c r="P116" s="981"/>
      <c r="Q116" s="981"/>
      <c r="R116" s="981"/>
      <c r="S116" s="981"/>
      <c r="T116" s="981"/>
      <c r="U116" s="981"/>
      <c r="V116" s="981"/>
      <c r="W116" s="981"/>
      <c r="X116" s="981"/>
      <c r="Y116" s="981"/>
      <c r="Z116" s="981"/>
      <c r="AA116" s="981"/>
      <c r="AB116" s="981"/>
    </row>
    <row r="117">
      <c r="A117" s="981"/>
      <c r="B117" s="991"/>
      <c r="C117" s="981"/>
      <c r="D117" s="981"/>
      <c r="E117" s="981"/>
      <c r="F117" s="988"/>
      <c r="G117" s="981"/>
      <c r="H117" s="981"/>
      <c r="I117" s="981"/>
      <c r="J117" s="981"/>
      <c r="K117" s="981"/>
      <c r="L117" s="981"/>
      <c r="M117" s="981"/>
      <c r="N117" s="981"/>
      <c r="O117" s="981"/>
      <c r="P117" s="981"/>
      <c r="Q117" s="981"/>
      <c r="R117" s="981"/>
      <c r="S117" s="981"/>
      <c r="T117" s="981"/>
      <c r="U117" s="981"/>
      <c r="V117" s="981"/>
      <c r="W117" s="981"/>
      <c r="X117" s="981"/>
      <c r="Y117" s="981"/>
      <c r="Z117" s="981"/>
      <c r="AA117" s="981"/>
      <c r="AB117" s="981"/>
    </row>
    <row r="118">
      <c r="A118" s="981"/>
      <c r="B118" s="991"/>
      <c r="C118" s="981"/>
      <c r="D118" s="981"/>
      <c r="E118" s="981"/>
      <c r="F118" s="988"/>
      <c r="G118" s="981"/>
      <c r="H118" s="981"/>
      <c r="I118" s="981"/>
      <c r="J118" s="981"/>
      <c r="K118" s="981"/>
      <c r="L118" s="981"/>
      <c r="M118" s="981"/>
      <c r="N118" s="981"/>
      <c r="O118" s="981"/>
      <c r="P118" s="981"/>
      <c r="Q118" s="981"/>
      <c r="R118" s="981"/>
      <c r="S118" s="981"/>
      <c r="T118" s="981"/>
      <c r="U118" s="981"/>
      <c r="V118" s="981"/>
      <c r="W118" s="981"/>
      <c r="X118" s="981"/>
      <c r="Y118" s="981"/>
      <c r="Z118" s="981"/>
      <c r="AA118" s="981"/>
      <c r="AB118" s="981"/>
    </row>
    <row r="119">
      <c r="A119" s="981"/>
      <c r="B119" s="991"/>
      <c r="C119" s="981"/>
      <c r="D119" s="981"/>
      <c r="E119" s="981"/>
      <c r="F119" s="988"/>
      <c r="G119" s="981"/>
      <c r="H119" s="981"/>
      <c r="I119" s="981"/>
      <c r="J119" s="981"/>
      <c r="K119" s="981"/>
      <c r="L119" s="981"/>
      <c r="M119" s="981"/>
      <c r="N119" s="981"/>
      <c r="O119" s="981"/>
      <c r="P119" s="981"/>
      <c r="Q119" s="981"/>
      <c r="R119" s="981"/>
      <c r="S119" s="981"/>
      <c r="T119" s="981"/>
      <c r="U119" s="981"/>
      <c r="V119" s="981"/>
      <c r="W119" s="981"/>
      <c r="X119" s="981"/>
      <c r="Y119" s="981"/>
      <c r="Z119" s="981"/>
      <c r="AA119" s="981"/>
      <c r="AB119" s="981"/>
    </row>
    <row r="120">
      <c r="A120" s="981"/>
      <c r="B120" s="991"/>
      <c r="C120" s="981"/>
      <c r="D120" s="981"/>
      <c r="E120" s="981"/>
      <c r="F120" s="988"/>
      <c r="G120" s="981"/>
      <c r="H120" s="981"/>
      <c r="I120" s="981"/>
      <c r="J120" s="981"/>
      <c r="K120" s="981"/>
      <c r="L120" s="981"/>
      <c r="M120" s="981"/>
      <c r="N120" s="981"/>
      <c r="O120" s="981"/>
      <c r="P120" s="981"/>
      <c r="Q120" s="981"/>
      <c r="R120" s="981"/>
      <c r="S120" s="981"/>
      <c r="T120" s="981"/>
      <c r="U120" s="981"/>
      <c r="V120" s="981"/>
      <c r="W120" s="981"/>
      <c r="X120" s="981"/>
      <c r="Y120" s="981"/>
      <c r="Z120" s="981"/>
      <c r="AA120" s="981"/>
      <c r="AB120" s="981"/>
    </row>
    <row r="121">
      <c r="A121" s="981"/>
      <c r="B121" s="991"/>
      <c r="C121" s="981"/>
      <c r="D121" s="981"/>
      <c r="E121" s="981"/>
      <c r="F121" s="988"/>
      <c r="G121" s="981"/>
      <c r="H121" s="981"/>
      <c r="I121" s="981"/>
      <c r="J121" s="981"/>
      <c r="K121" s="981"/>
      <c r="L121" s="981"/>
      <c r="M121" s="981"/>
      <c r="N121" s="981"/>
      <c r="O121" s="981"/>
      <c r="P121" s="981"/>
      <c r="Q121" s="981"/>
      <c r="R121" s="981"/>
      <c r="S121" s="981"/>
      <c r="T121" s="981"/>
      <c r="U121" s="981"/>
      <c r="V121" s="981"/>
      <c r="W121" s="981"/>
      <c r="X121" s="981"/>
      <c r="Y121" s="981"/>
      <c r="Z121" s="981"/>
      <c r="AA121" s="981"/>
      <c r="AB121" s="981"/>
    </row>
    <row r="122">
      <c r="A122" s="981"/>
      <c r="B122" s="991"/>
      <c r="C122" s="981"/>
      <c r="D122" s="981"/>
      <c r="E122" s="981"/>
      <c r="F122" s="988"/>
      <c r="G122" s="981"/>
      <c r="H122" s="981"/>
      <c r="I122" s="981"/>
      <c r="J122" s="981"/>
      <c r="K122" s="981"/>
      <c r="L122" s="981"/>
      <c r="M122" s="981"/>
      <c r="N122" s="981"/>
      <c r="O122" s="981"/>
      <c r="P122" s="981"/>
      <c r="Q122" s="981"/>
      <c r="R122" s="981"/>
      <c r="S122" s="981"/>
      <c r="T122" s="981"/>
      <c r="U122" s="981"/>
      <c r="V122" s="981"/>
      <c r="W122" s="981"/>
      <c r="X122" s="981"/>
      <c r="Y122" s="981"/>
      <c r="Z122" s="981"/>
      <c r="AA122" s="981"/>
      <c r="AB122" s="981"/>
    </row>
    <row r="123">
      <c r="A123" s="981"/>
      <c r="B123" s="991"/>
      <c r="C123" s="981"/>
      <c r="D123" s="981"/>
      <c r="E123" s="981"/>
      <c r="F123" s="988"/>
      <c r="G123" s="981"/>
      <c r="H123" s="981"/>
      <c r="I123" s="981"/>
      <c r="J123" s="981"/>
      <c r="K123" s="981"/>
      <c r="L123" s="981"/>
      <c r="M123" s="981"/>
      <c r="N123" s="981"/>
      <c r="O123" s="981"/>
      <c r="P123" s="981"/>
      <c r="Q123" s="981"/>
      <c r="R123" s="981"/>
      <c r="S123" s="981"/>
      <c r="T123" s="981"/>
      <c r="U123" s="981"/>
      <c r="V123" s="981"/>
      <c r="W123" s="981"/>
      <c r="X123" s="981"/>
      <c r="Y123" s="981"/>
      <c r="Z123" s="981"/>
      <c r="AA123" s="981"/>
      <c r="AB123" s="981"/>
    </row>
    <row r="124">
      <c r="A124" s="981"/>
      <c r="B124" s="991"/>
      <c r="C124" s="981"/>
      <c r="D124" s="981"/>
      <c r="E124" s="981"/>
      <c r="F124" s="988"/>
      <c r="G124" s="981"/>
      <c r="H124" s="981"/>
      <c r="I124" s="981"/>
      <c r="J124" s="981"/>
      <c r="K124" s="981"/>
      <c r="L124" s="981"/>
      <c r="M124" s="981"/>
      <c r="N124" s="981"/>
      <c r="O124" s="981"/>
      <c r="P124" s="981"/>
      <c r="Q124" s="981"/>
      <c r="R124" s="981"/>
      <c r="S124" s="981"/>
      <c r="T124" s="981"/>
      <c r="U124" s="981"/>
      <c r="V124" s="981"/>
      <c r="W124" s="981"/>
      <c r="X124" s="981"/>
      <c r="Y124" s="981"/>
      <c r="Z124" s="981"/>
      <c r="AA124" s="981"/>
      <c r="AB124" s="981"/>
    </row>
    <row r="125">
      <c r="A125" s="981"/>
      <c r="B125" s="991"/>
      <c r="C125" s="981"/>
      <c r="D125" s="981"/>
      <c r="E125" s="981"/>
      <c r="F125" s="988"/>
      <c r="G125" s="981"/>
      <c r="H125" s="981"/>
      <c r="I125" s="981"/>
      <c r="J125" s="981"/>
      <c r="K125" s="981"/>
      <c r="L125" s="981"/>
      <c r="M125" s="981"/>
      <c r="N125" s="981"/>
      <c r="O125" s="981"/>
      <c r="P125" s="981"/>
      <c r="Q125" s="981"/>
      <c r="R125" s="981"/>
      <c r="S125" s="981"/>
      <c r="T125" s="981"/>
      <c r="U125" s="981"/>
      <c r="V125" s="981"/>
      <c r="W125" s="981"/>
      <c r="X125" s="981"/>
      <c r="Y125" s="981"/>
      <c r="Z125" s="981"/>
      <c r="AA125" s="981"/>
      <c r="AB125" s="981"/>
    </row>
    <row r="126">
      <c r="A126" s="981"/>
      <c r="B126" s="991"/>
      <c r="C126" s="981"/>
      <c r="D126" s="981"/>
      <c r="E126" s="981"/>
      <c r="F126" s="988"/>
      <c r="G126" s="981"/>
      <c r="H126" s="981"/>
      <c r="I126" s="981"/>
      <c r="J126" s="981"/>
      <c r="K126" s="981"/>
      <c r="L126" s="981"/>
      <c r="M126" s="981"/>
      <c r="N126" s="981"/>
      <c r="O126" s="981"/>
      <c r="P126" s="981"/>
      <c r="Q126" s="981"/>
      <c r="R126" s="981"/>
      <c r="S126" s="981"/>
      <c r="T126" s="981"/>
      <c r="U126" s="981"/>
      <c r="V126" s="981"/>
      <c r="W126" s="981"/>
      <c r="X126" s="981"/>
      <c r="Y126" s="981"/>
      <c r="Z126" s="981"/>
      <c r="AA126" s="981"/>
      <c r="AB126" s="981"/>
    </row>
    <row r="127">
      <c r="A127" s="981"/>
      <c r="B127" s="991"/>
      <c r="C127" s="981"/>
      <c r="D127" s="981"/>
      <c r="E127" s="981"/>
      <c r="F127" s="988"/>
      <c r="G127" s="981"/>
      <c r="H127" s="981"/>
      <c r="I127" s="981"/>
      <c r="J127" s="981"/>
      <c r="K127" s="981"/>
      <c r="L127" s="981"/>
      <c r="M127" s="981"/>
      <c r="N127" s="981"/>
      <c r="O127" s="981"/>
      <c r="P127" s="981"/>
      <c r="Q127" s="981"/>
      <c r="R127" s="981"/>
      <c r="S127" s="981"/>
      <c r="T127" s="981"/>
      <c r="U127" s="981"/>
      <c r="V127" s="981"/>
      <c r="W127" s="981"/>
      <c r="X127" s="981"/>
      <c r="Y127" s="981"/>
      <c r="Z127" s="981"/>
      <c r="AA127" s="981"/>
      <c r="AB127" s="981"/>
    </row>
    <row r="128">
      <c r="A128" s="981"/>
      <c r="B128" s="991"/>
      <c r="C128" s="981"/>
      <c r="D128" s="981"/>
      <c r="E128" s="981"/>
      <c r="F128" s="988"/>
      <c r="G128" s="981"/>
      <c r="H128" s="981"/>
      <c r="I128" s="981"/>
      <c r="J128" s="981"/>
      <c r="K128" s="981"/>
      <c r="L128" s="981"/>
      <c r="M128" s="981"/>
      <c r="N128" s="981"/>
      <c r="O128" s="981"/>
      <c r="P128" s="981"/>
      <c r="Q128" s="981"/>
      <c r="R128" s="981"/>
      <c r="S128" s="981"/>
      <c r="T128" s="981"/>
      <c r="U128" s="981"/>
      <c r="V128" s="981"/>
      <c r="W128" s="981"/>
      <c r="X128" s="981"/>
      <c r="Y128" s="981"/>
      <c r="Z128" s="981"/>
      <c r="AA128" s="981"/>
      <c r="AB128" s="981"/>
    </row>
    <row r="129">
      <c r="A129" s="981"/>
      <c r="B129" s="991"/>
      <c r="C129" s="981"/>
      <c r="D129" s="981"/>
      <c r="E129" s="981"/>
      <c r="F129" s="988"/>
      <c r="G129" s="981"/>
      <c r="H129" s="981"/>
      <c r="I129" s="981"/>
      <c r="J129" s="981"/>
      <c r="K129" s="981"/>
      <c r="L129" s="981"/>
      <c r="M129" s="981"/>
      <c r="N129" s="981"/>
      <c r="O129" s="981"/>
      <c r="P129" s="981"/>
      <c r="Q129" s="981"/>
      <c r="R129" s="981"/>
      <c r="S129" s="981"/>
      <c r="T129" s="981"/>
      <c r="U129" s="981"/>
      <c r="V129" s="981"/>
      <c r="W129" s="981"/>
      <c r="X129" s="981"/>
      <c r="Y129" s="981"/>
      <c r="Z129" s="981"/>
      <c r="AA129" s="981"/>
      <c r="AB129" s="981"/>
    </row>
    <row r="130">
      <c r="A130" s="981"/>
      <c r="B130" s="991"/>
      <c r="C130" s="981"/>
      <c r="D130" s="981"/>
      <c r="E130" s="981"/>
      <c r="F130" s="988"/>
      <c r="G130" s="981"/>
      <c r="H130" s="981"/>
      <c r="I130" s="981"/>
      <c r="J130" s="981"/>
      <c r="K130" s="981"/>
      <c r="L130" s="981"/>
      <c r="M130" s="981"/>
      <c r="N130" s="981"/>
      <c r="O130" s="981"/>
      <c r="P130" s="981"/>
      <c r="Q130" s="981"/>
      <c r="R130" s="981"/>
      <c r="S130" s="981"/>
      <c r="T130" s="981"/>
      <c r="U130" s="981"/>
      <c r="V130" s="981"/>
      <c r="W130" s="981"/>
      <c r="X130" s="981"/>
      <c r="Y130" s="981"/>
      <c r="Z130" s="981"/>
      <c r="AA130" s="981"/>
      <c r="AB130" s="981"/>
    </row>
    <row r="131">
      <c r="A131" s="981"/>
      <c r="B131" s="991"/>
      <c r="C131" s="981"/>
      <c r="D131" s="981"/>
      <c r="E131" s="981"/>
      <c r="F131" s="988"/>
      <c r="G131" s="981"/>
      <c r="H131" s="981"/>
      <c r="I131" s="981"/>
      <c r="J131" s="981"/>
      <c r="K131" s="981"/>
      <c r="L131" s="981"/>
      <c r="M131" s="981"/>
      <c r="N131" s="981"/>
      <c r="O131" s="981"/>
      <c r="P131" s="981"/>
      <c r="Q131" s="981"/>
      <c r="R131" s="981"/>
      <c r="S131" s="981"/>
      <c r="T131" s="981"/>
      <c r="U131" s="981"/>
      <c r="V131" s="981"/>
      <c r="W131" s="981"/>
      <c r="X131" s="981"/>
      <c r="Y131" s="981"/>
      <c r="Z131" s="981"/>
      <c r="AA131" s="981"/>
      <c r="AB131" s="981"/>
    </row>
    <row r="132">
      <c r="A132" s="981"/>
      <c r="B132" s="991"/>
      <c r="C132" s="981"/>
      <c r="D132" s="981"/>
      <c r="E132" s="981"/>
      <c r="F132" s="988"/>
      <c r="G132" s="981"/>
      <c r="H132" s="981"/>
      <c r="I132" s="981"/>
      <c r="J132" s="981"/>
      <c r="K132" s="981"/>
      <c r="L132" s="981"/>
      <c r="M132" s="981"/>
      <c r="N132" s="981"/>
      <c r="O132" s="981"/>
      <c r="P132" s="981"/>
      <c r="Q132" s="981"/>
      <c r="R132" s="981"/>
      <c r="S132" s="981"/>
      <c r="T132" s="981"/>
      <c r="U132" s="981"/>
      <c r="V132" s="981"/>
      <c r="W132" s="981"/>
      <c r="X132" s="981"/>
      <c r="Y132" s="981"/>
      <c r="Z132" s="981"/>
      <c r="AA132" s="981"/>
      <c r="AB132" s="981"/>
    </row>
    <row r="133">
      <c r="A133" s="981"/>
      <c r="B133" s="991"/>
      <c r="C133" s="981"/>
      <c r="D133" s="981"/>
      <c r="E133" s="981"/>
      <c r="F133" s="988"/>
      <c r="G133" s="981"/>
      <c r="H133" s="981"/>
      <c r="I133" s="981"/>
      <c r="J133" s="981"/>
      <c r="K133" s="981"/>
      <c r="L133" s="981"/>
      <c r="M133" s="981"/>
      <c r="N133" s="981"/>
      <c r="O133" s="981"/>
      <c r="P133" s="981"/>
      <c r="Q133" s="981"/>
      <c r="R133" s="981"/>
      <c r="S133" s="981"/>
      <c r="T133" s="981"/>
      <c r="U133" s="981"/>
      <c r="V133" s="981"/>
      <c r="W133" s="981"/>
      <c r="X133" s="981"/>
      <c r="Y133" s="981"/>
      <c r="Z133" s="981"/>
      <c r="AA133" s="981"/>
      <c r="AB133" s="981"/>
    </row>
    <row r="134">
      <c r="A134" s="981"/>
      <c r="B134" s="991"/>
      <c r="C134" s="981"/>
      <c r="D134" s="981"/>
      <c r="E134" s="981"/>
      <c r="F134" s="988"/>
      <c r="G134" s="981"/>
      <c r="H134" s="981"/>
      <c r="I134" s="981"/>
      <c r="J134" s="981"/>
      <c r="K134" s="981"/>
      <c r="L134" s="981"/>
      <c r="M134" s="981"/>
      <c r="N134" s="981"/>
      <c r="O134" s="981"/>
      <c r="P134" s="981"/>
      <c r="Q134" s="981"/>
      <c r="R134" s="981"/>
      <c r="S134" s="981"/>
      <c r="T134" s="981"/>
      <c r="U134" s="981"/>
      <c r="V134" s="981"/>
      <c r="W134" s="981"/>
      <c r="X134" s="981"/>
      <c r="Y134" s="981"/>
      <c r="Z134" s="981"/>
      <c r="AA134" s="981"/>
      <c r="AB134" s="981"/>
    </row>
    <row r="135">
      <c r="A135" s="981"/>
      <c r="B135" s="991"/>
      <c r="C135" s="981"/>
      <c r="D135" s="981"/>
      <c r="E135" s="981"/>
      <c r="F135" s="988"/>
      <c r="G135" s="981"/>
      <c r="H135" s="981"/>
      <c r="I135" s="981"/>
      <c r="J135" s="981"/>
      <c r="K135" s="981"/>
      <c r="L135" s="981"/>
      <c r="M135" s="981"/>
      <c r="N135" s="981"/>
      <c r="O135" s="981"/>
      <c r="P135" s="981"/>
      <c r="Q135" s="981"/>
      <c r="R135" s="981"/>
      <c r="S135" s="981"/>
      <c r="T135" s="981"/>
      <c r="U135" s="981"/>
      <c r="V135" s="981"/>
      <c r="W135" s="981"/>
      <c r="X135" s="981"/>
      <c r="Y135" s="981"/>
      <c r="Z135" s="981"/>
      <c r="AA135" s="981"/>
      <c r="AB135" s="981"/>
    </row>
    <row r="136">
      <c r="A136" s="981"/>
      <c r="B136" s="991"/>
      <c r="C136" s="981"/>
      <c r="D136" s="981"/>
      <c r="E136" s="981"/>
      <c r="F136" s="988"/>
      <c r="G136" s="981"/>
      <c r="H136" s="981"/>
      <c r="I136" s="981"/>
      <c r="J136" s="981"/>
      <c r="K136" s="981"/>
      <c r="L136" s="981"/>
      <c r="M136" s="981"/>
      <c r="N136" s="981"/>
      <c r="O136" s="981"/>
      <c r="P136" s="981"/>
      <c r="Q136" s="981"/>
      <c r="R136" s="981"/>
      <c r="S136" s="981"/>
      <c r="T136" s="981"/>
      <c r="U136" s="981"/>
      <c r="V136" s="981"/>
      <c r="W136" s="981"/>
      <c r="X136" s="981"/>
      <c r="Y136" s="981"/>
      <c r="Z136" s="981"/>
      <c r="AA136" s="981"/>
      <c r="AB136" s="981"/>
    </row>
    <row r="137">
      <c r="A137" s="981"/>
      <c r="B137" s="991"/>
      <c r="C137" s="981"/>
      <c r="D137" s="981"/>
      <c r="E137" s="981"/>
      <c r="F137" s="981"/>
      <c r="G137" s="981"/>
      <c r="H137" s="981"/>
      <c r="I137" s="981"/>
      <c r="J137" s="981"/>
      <c r="K137" s="981"/>
      <c r="L137" s="981"/>
      <c r="M137" s="981"/>
      <c r="N137" s="981"/>
      <c r="O137" s="981"/>
      <c r="P137" s="981"/>
      <c r="Q137" s="981"/>
      <c r="R137" s="981"/>
      <c r="S137" s="981"/>
      <c r="T137" s="981"/>
      <c r="U137" s="981"/>
      <c r="V137" s="981"/>
      <c r="W137" s="981"/>
      <c r="X137" s="981"/>
      <c r="Y137" s="981"/>
      <c r="Z137" s="981"/>
      <c r="AA137" s="981"/>
      <c r="AB137" s="981"/>
    </row>
    <row r="138">
      <c r="A138" s="981"/>
      <c r="B138" s="991"/>
      <c r="C138" s="981"/>
      <c r="D138" s="981"/>
      <c r="E138" s="981"/>
      <c r="F138" s="981"/>
      <c r="G138" s="981"/>
      <c r="H138" s="981"/>
      <c r="I138" s="981"/>
      <c r="J138" s="981"/>
      <c r="K138" s="981"/>
      <c r="L138" s="981"/>
      <c r="M138" s="981"/>
      <c r="N138" s="981"/>
      <c r="O138" s="981"/>
      <c r="P138" s="981"/>
      <c r="Q138" s="981"/>
      <c r="R138" s="981"/>
      <c r="S138" s="981"/>
      <c r="T138" s="981"/>
      <c r="U138" s="981"/>
      <c r="V138" s="981"/>
      <c r="W138" s="981"/>
      <c r="X138" s="981"/>
      <c r="Y138" s="981"/>
      <c r="Z138" s="981"/>
      <c r="AA138" s="981"/>
      <c r="AB138" s="981"/>
    </row>
    <row r="139">
      <c r="A139" s="981"/>
      <c r="B139" s="991"/>
      <c r="C139" s="981"/>
      <c r="D139" s="981"/>
      <c r="E139" s="981"/>
      <c r="F139" s="981"/>
      <c r="G139" s="981"/>
      <c r="H139" s="981"/>
      <c r="I139" s="981"/>
      <c r="J139" s="981"/>
      <c r="K139" s="981"/>
      <c r="L139" s="981"/>
      <c r="M139" s="981"/>
      <c r="N139" s="981"/>
      <c r="O139" s="981"/>
      <c r="P139" s="981"/>
      <c r="Q139" s="981"/>
      <c r="R139" s="981"/>
      <c r="S139" s="981"/>
      <c r="T139" s="981"/>
      <c r="U139" s="981"/>
      <c r="V139" s="981"/>
      <c r="W139" s="981"/>
      <c r="X139" s="981"/>
      <c r="Y139" s="981"/>
      <c r="Z139" s="981"/>
      <c r="AA139" s="981"/>
      <c r="AB139" s="981"/>
    </row>
    <row r="140">
      <c r="A140" s="981"/>
      <c r="B140" s="991"/>
      <c r="C140" s="981"/>
      <c r="D140" s="981"/>
      <c r="E140" s="981"/>
      <c r="F140" s="981"/>
      <c r="G140" s="981"/>
      <c r="H140" s="981"/>
      <c r="I140" s="981"/>
      <c r="J140" s="981"/>
      <c r="K140" s="981"/>
      <c r="L140" s="981"/>
      <c r="M140" s="981"/>
      <c r="N140" s="981"/>
      <c r="O140" s="981"/>
      <c r="P140" s="981"/>
      <c r="Q140" s="981"/>
      <c r="R140" s="981"/>
      <c r="S140" s="981"/>
      <c r="T140" s="981"/>
      <c r="U140" s="981"/>
      <c r="V140" s="981"/>
      <c r="W140" s="981"/>
      <c r="X140" s="981"/>
      <c r="Y140" s="981"/>
      <c r="Z140" s="981"/>
      <c r="AA140" s="981"/>
      <c r="AB140" s="981"/>
    </row>
    <row r="141">
      <c r="A141" s="981"/>
      <c r="B141" s="991"/>
      <c r="C141" s="981"/>
      <c r="D141" s="981"/>
      <c r="E141" s="981"/>
      <c r="F141" s="981"/>
      <c r="G141" s="981"/>
      <c r="H141" s="981"/>
      <c r="I141" s="981"/>
      <c r="J141" s="981"/>
      <c r="K141" s="981"/>
      <c r="L141" s="981"/>
      <c r="M141" s="981"/>
      <c r="N141" s="981"/>
      <c r="O141" s="981"/>
      <c r="P141" s="981"/>
      <c r="Q141" s="981"/>
      <c r="R141" s="981"/>
      <c r="S141" s="981"/>
      <c r="T141" s="981"/>
      <c r="U141" s="981"/>
      <c r="V141" s="981"/>
      <c r="W141" s="981"/>
      <c r="X141" s="981"/>
      <c r="Y141" s="981"/>
      <c r="Z141" s="981"/>
      <c r="AA141" s="981"/>
      <c r="AB141" s="981"/>
    </row>
    <row r="142">
      <c r="A142" s="981"/>
      <c r="B142" s="991"/>
      <c r="C142" s="981"/>
      <c r="D142" s="981"/>
      <c r="E142" s="981"/>
      <c r="F142" s="981"/>
      <c r="G142" s="981"/>
      <c r="H142" s="981"/>
      <c r="I142" s="981"/>
      <c r="J142" s="981"/>
      <c r="K142" s="981"/>
      <c r="L142" s="981"/>
      <c r="M142" s="981"/>
      <c r="N142" s="981"/>
      <c r="O142" s="981"/>
      <c r="P142" s="981"/>
      <c r="Q142" s="981"/>
      <c r="R142" s="981"/>
      <c r="S142" s="981"/>
      <c r="T142" s="981"/>
      <c r="U142" s="981"/>
      <c r="V142" s="981"/>
      <c r="W142" s="981"/>
      <c r="X142" s="981"/>
      <c r="Y142" s="981"/>
      <c r="Z142" s="981"/>
      <c r="AA142" s="981"/>
      <c r="AB142" s="981"/>
    </row>
    <row r="143">
      <c r="A143" s="981"/>
      <c r="B143" s="991"/>
      <c r="C143" s="981"/>
      <c r="D143" s="981"/>
      <c r="E143" s="981"/>
      <c r="F143" s="981"/>
      <c r="G143" s="981"/>
      <c r="H143" s="981"/>
      <c r="I143" s="981"/>
      <c r="J143" s="981"/>
      <c r="K143" s="981"/>
      <c r="L143" s="981"/>
      <c r="M143" s="981"/>
      <c r="N143" s="981"/>
      <c r="O143" s="981"/>
      <c r="P143" s="981"/>
      <c r="Q143" s="981"/>
      <c r="R143" s="981"/>
      <c r="S143" s="981"/>
      <c r="T143" s="981"/>
      <c r="U143" s="981"/>
      <c r="V143" s="981"/>
      <c r="W143" s="981"/>
      <c r="X143" s="981"/>
      <c r="Y143" s="981"/>
      <c r="Z143" s="981"/>
      <c r="AA143" s="981"/>
      <c r="AB143" s="981"/>
    </row>
    <row r="144">
      <c r="A144" s="981"/>
      <c r="B144" s="991"/>
      <c r="C144" s="981"/>
      <c r="D144" s="981"/>
      <c r="E144" s="981"/>
      <c r="F144" s="981"/>
      <c r="G144" s="981"/>
      <c r="H144" s="981"/>
      <c r="I144" s="981"/>
      <c r="J144" s="981"/>
      <c r="K144" s="981"/>
      <c r="L144" s="981"/>
      <c r="M144" s="981"/>
      <c r="N144" s="981"/>
      <c r="O144" s="981"/>
      <c r="P144" s="981"/>
      <c r="Q144" s="981"/>
      <c r="R144" s="981"/>
      <c r="S144" s="981"/>
      <c r="T144" s="981"/>
      <c r="U144" s="981"/>
      <c r="V144" s="981"/>
      <c r="W144" s="981"/>
      <c r="X144" s="981"/>
      <c r="Y144" s="981"/>
      <c r="Z144" s="981"/>
      <c r="AA144" s="981"/>
      <c r="AB144" s="981"/>
    </row>
    <row r="145">
      <c r="A145" s="981"/>
      <c r="B145" s="991"/>
      <c r="C145" s="981"/>
      <c r="D145" s="981"/>
      <c r="E145" s="981"/>
      <c r="F145" s="981"/>
      <c r="G145" s="981"/>
      <c r="H145" s="981"/>
      <c r="I145" s="981"/>
      <c r="J145" s="981"/>
      <c r="K145" s="981"/>
      <c r="L145" s="981"/>
      <c r="M145" s="981"/>
      <c r="N145" s="981"/>
      <c r="O145" s="981"/>
      <c r="P145" s="981"/>
      <c r="Q145" s="981"/>
      <c r="R145" s="981"/>
      <c r="S145" s="981"/>
      <c r="T145" s="981"/>
      <c r="U145" s="981"/>
      <c r="V145" s="981"/>
      <c r="W145" s="981"/>
      <c r="X145" s="981"/>
      <c r="Y145" s="981"/>
      <c r="Z145" s="981"/>
      <c r="AA145" s="981"/>
      <c r="AB145" s="981"/>
    </row>
    <row r="146">
      <c r="A146" s="981"/>
      <c r="B146" s="991"/>
      <c r="C146" s="981"/>
      <c r="D146" s="981"/>
      <c r="E146" s="981"/>
      <c r="F146" s="981"/>
      <c r="G146" s="981"/>
      <c r="H146" s="981"/>
      <c r="I146" s="981"/>
      <c r="J146" s="981"/>
      <c r="K146" s="981"/>
      <c r="L146" s="981"/>
      <c r="M146" s="981"/>
      <c r="N146" s="981"/>
      <c r="O146" s="981"/>
      <c r="P146" s="981"/>
      <c r="Q146" s="981"/>
      <c r="R146" s="981"/>
      <c r="S146" s="981"/>
      <c r="T146" s="981"/>
      <c r="U146" s="981"/>
      <c r="V146" s="981"/>
      <c r="W146" s="981"/>
      <c r="X146" s="981"/>
      <c r="Y146" s="981"/>
      <c r="Z146" s="981"/>
      <c r="AA146" s="981"/>
      <c r="AB146" s="981"/>
    </row>
    <row r="147">
      <c r="A147" s="981"/>
      <c r="B147" s="991"/>
      <c r="C147" s="981"/>
      <c r="D147" s="981"/>
      <c r="E147" s="981"/>
      <c r="F147" s="981"/>
      <c r="G147" s="981"/>
      <c r="H147" s="981"/>
      <c r="I147" s="981"/>
      <c r="J147" s="981"/>
      <c r="K147" s="981"/>
      <c r="L147" s="981"/>
      <c r="M147" s="981"/>
      <c r="N147" s="981"/>
      <c r="O147" s="981"/>
      <c r="P147" s="981"/>
      <c r="Q147" s="981"/>
      <c r="R147" s="981"/>
      <c r="S147" s="981"/>
      <c r="T147" s="981"/>
      <c r="U147" s="981"/>
      <c r="V147" s="981"/>
      <c r="W147" s="981"/>
      <c r="X147" s="981"/>
      <c r="Y147" s="981"/>
      <c r="Z147" s="981"/>
      <c r="AA147" s="981"/>
      <c r="AB147" s="981"/>
    </row>
    <row r="148">
      <c r="A148" s="981"/>
      <c r="B148" s="991"/>
      <c r="C148" s="981"/>
      <c r="D148" s="981"/>
      <c r="E148" s="981"/>
      <c r="F148" s="981"/>
      <c r="G148" s="981"/>
      <c r="H148" s="981"/>
      <c r="I148" s="981"/>
      <c r="J148" s="981"/>
      <c r="K148" s="981"/>
      <c r="L148" s="981"/>
      <c r="M148" s="981"/>
      <c r="N148" s="981"/>
      <c r="O148" s="981"/>
      <c r="P148" s="981"/>
      <c r="Q148" s="981"/>
      <c r="R148" s="981"/>
      <c r="S148" s="981"/>
      <c r="T148" s="981"/>
      <c r="U148" s="981"/>
      <c r="V148" s="981"/>
      <c r="W148" s="981"/>
      <c r="X148" s="981"/>
      <c r="Y148" s="981"/>
      <c r="Z148" s="981"/>
      <c r="AA148" s="981"/>
      <c r="AB148" s="981"/>
    </row>
    <row r="149">
      <c r="A149" s="981"/>
      <c r="B149" s="991"/>
      <c r="C149" s="981"/>
      <c r="D149" s="981"/>
      <c r="E149" s="981"/>
      <c r="F149" s="981"/>
      <c r="G149" s="981"/>
      <c r="H149" s="981"/>
      <c r="I149" s="981"/>
      <c r="J149" s="981"/>
      <c r="K149" s="981"/>
      <c r="L149" s="981"/>
      <c r="M149" s="981"/>
      <c r="N149" s="981"/>
      <c r="O149" s="981"/>
      <c r="P149" s="981"/>
      <c r="Q149" s="981"/>
      <c r="R149" s="981"/>
      <c r="S149" s="981"/>
      <c r="T149" s="981"/>
      <c r="U149" s="981"/>
      <c r="V149" s="981"/>
      <c r="W149" s="981"/>
      <c r="X149" s="981"/>
      <c r="Y149" s="981"/>
      <c r="Z149" s="981"/>
      <c r="AA149" s="981"/>
      <c r="AB149" s="981"/>
    </row>
    <row r="150">
      <c r="A150" s="981"/>
      <c r="B150" s="991"/>
      <c r="C150" s="981"/>
      <c r="D150" s="981"/>
      <c r="E150" s="981"/>
      <c r="F150" s="981"/>
      <c r="G150" s="981"/>
      <c r="H150" s="981"/>
      <c r="I150" s="981"/>
      <c r="J150" s="981"/>
      <c r="K150" s="981"/>
      <c r="L150" s="981"/>
      <c r="M150" s="981"/>
      <c r="N150" s="981"/>
      <c r="O150" s="981"/>
      <c r="P150" s="981"/>
      <c r="Q150" s="981"/>
      <c r="R150" s="981"/>
      <c r="S150" s="981"/>
      <c r="T150" s="981"/>
      <c r="U150" s="981"/>
      <c r="V150" s="981"/>
      <c r="W150" s="981"/>
      <c r="X150" s="981"/>
      <c r="Y150" s="981"/>
      <c r="Z150" s="981"/>
      <c r="AA150" s="981"/>
      <c r="AB150" s="981"/>
    </row>
    <row r="151">
      <c r="A151" s="981"/>
      <c r="B151" s="991"/>
      <c r="C151" s="981"/>
      <c r="D151" s="981"/>
      <c r="E151" s="981"/>
      <c r="F151" s="981"/>
      <c r="G151" s="981"/>
      <c r="H151" s="981"/>
      <c r="I151" s="981"/>
      <c r="J151" s="981"/>
      <c r="K151" s="981"/>
      <c r="L151" s="981"/>
      <c r="M151" s="981"/>
      <c r="N151" s="981"/>
      <c r="O151" s="981"/>
      <c r="P151" s="981"/>
      <c r="Q151" s="981"/>
      <c r="R151" s="981"/>
      <c r="S151" s="981"/>
      <c r="T151" s="981"/>
      <c r="U151" s="981"/>
      <c r="V151" s="981"/>
      <c r="W151" s="981"/>
      <c r="X151" s="981"/>
      <c r="Y151" s="981"/>
      <c r="Z151" s="981"/>
      <c r="AA151" s="981"/>
      <c r="AB151" s="981"/>
    </row>
    <row r="152">
      <c r="A152" s="981"/>
      <c r="B152" s="991"/>
      <c r="C152" s="981"/>
      <c r="D152" s="981"/>
      <c r="E152" s="981"/>
      <c r="F152" s="981"/>
      <c r="G152" s="981"/>
      <c r="H152" s="981"/>
      <c r="I152" s="981"/>
      <c r="J152" s="981"/>
      <c r="K152" s="981"/>
      <c r="L152" s="981"/>
      <c r="M152" s="981"/>
      <c r="N152" s="981"/>
      <c r="O152" s="981"/>
      <c r="P152" s="981"/>
      <c r="Q152" s="981"/>
      <c r="R152" s="981"/>
      <c r="S152" s="981"/>
      <c r="T152" s="981"/>
      <c r="U152" s="981"/>
      <c r="V152" s="981"/>
      <c r="W152" s="981"/>
      <c r="X152" s="981"/>
      <c r="Y152" s="981"/>
      <c r="Z152" s="981"/>
      <c r="AA152" s="981"/>
      <c r="AB152" s="981"/>
    </row>
    <row r="153">
      <c r="A153" s="981"/>
      <c r="B153" s="991"/>
      <c r="C153" s="981"/>
      <c r="D153" s="981"/>
      <c r="E153" s="981"/>
      <c r="F153" s="981"/>
      <c r="G153" s="981"/>
      <c r="H153" s="981"/>
      <c r="I153" s="981"/>
      <c r="J153" s="981"/>
      <c r="K153" s="981"/>
      <c r="L153" s="981"/>
      <c r="M153" s="981"/>
      <c r="N153" s="981"/>
      <c r="O153" s="981"/>
      <c r="P153" s="981"/>
      <c r="Q153" s="981"/>
      <c r="R153" s="981"/>
      <c r="S153" s="981"/>
      <c r="T153" s="981"/>
      <c r="U153" s="981"/>
      <c r="V153" s="981"/>
      <c r="W153" s="981"/>
      <c r="X153" s="981"/>
      <c r="Y153" s="981"/>
      <c r="Z153" s="981"/>
      <c r="AA153" s="981"/>
      <c r="AB153" s="981"/>
    </row>
    <row r="154">
      <c r="A154" s="981"/>
      <c r="B154" s="991"/>
      <c r="C154" s="981"/>
      <c r="D154" s="981"/>
      <c r="E154" s="981"/>
      <c r="F154" s="981"/>
      <c r="G154" s="981"/>
      <c r="H154" s="981"/>
      <c r="I154" s="981"/>
      <c r="J154" s="981"/>
      <c r="K154" s="981"/>
      <c r="L154" s="981"/>
      <c r="M154" s="981"/>
      <c r="N154" s="981"/>
      <c r="O154" s="981"/>
      <c r="P154" s="981"/>
      <c r="Q154" s="981"/>
      <c r="R154" s="981"/>
      <c r="S154" s="981"/>
      <c r="T154" s="981"/>
      <c r="U154" s="981"/>
      <c r="V154" s="981"/>
      <c r="W154" s="981"/>
      <c r="X154" s="981"/>
      <c r="Y154" s="981"/>
      <c r="Z154" s="981"/>
      <c r="AA154" s="981"/>
      <c r="AB154" s="981"/>
    </row>
    <row r="155">
      <c r="A155" s="981"/>
      <c r="B155" s="991"/>
      <c r="C155" s="981"/>
      <c r="D155" s="981"/>
      <c r="E155" s="981"/>
      <c r="F155" s="981"/>
      <c r="G155" s="981"/>
      <c r="H155" s="981"/>
      <c r="I155" s="981"/>
      <c r="J155" s="981"/>
      <c r="K155" s="981"/>
      <c r="L155" s="981"/>
      <c r="M155" s="981"/>
      <c r="N155" s="981"/>
      <c r="O155" s="981"/>
      <c r="P155" s="981"/>
      <c r="Q155" s="981"/>
      <c r="R155" s="981"/>
      <c r="S155" s="981"/>
      <c r="T155" s="981"/>
      <c r="U155" s="981"/>
      <c r="V155" s="981"/>
      <c r="W155" s="981"/>
      <c r="X155" s="981"/>
      <c r="Y155" s="981"/>
      <c r="Z155" s="981"/>
      <c r="AA155" s="981"/>
      <c r="AB155" s="981"/>
    </row>
    <row r="156">
      <c r="A156" s="981"/>
      <c r="B156" s="991"/>
      <c r="C156" s="981"/>
      <c r="D156" s="981"/>
      <c r="E156" s="981"/>
      <c r="F156" s="981"/>
      <c r="G156" s="981"/>
      <c r="H156" s="981"/>
      <c r="I156" s="981"/>
      <c r="J156" s="981"/>
      <c r="K156" s="981"/>
      <c r="L156" s="981"/>
      <c r="M156" s="981"/>
      <c r="N156" s="981"/>
      <c r="O156" s="981"/>
      <c r="P156" s="981"/>
      <c r="Q156" s="981"/>
      <c r="R156" s="981"/>
      <c r="S156" s="981"/>
      <c r="T156" s="981"/>
      <c r="U156" s="981"/>
      <c r="V156" s="981"/>
      <c r="W156" s="981"/>
      <c r="X156" s="981"/>
      <c r="Y156" s="981"/>
      <c r="Z156" s="981"/>
      <c r="AA156" s="981"/>
      <c r="AB156" s="981"/>
    </row>
    <row r="157">
      <c r="A157" s="981"/>
      <c r="B157" s="991"/>
      <c r="C157" s="981"/>
      <c r="D157" s="981"/>
      <c r="E157" s="981"/>
      <c r="F157" s="981"/>
      <c r="G157" s="981"/>
      <c r="H157" s="981"/>
      <c r="I157" s="981"/>
      <c r="J157" s="981"/>
      <c r="K157" s="981"/>
      <c r="L157" s="981"/>
      <c r="M157" s="981"/>
      <c r="N157" s="981"/>
      <c r="O157" s="981"/>
      <c r="P157" s="981"/>
      <c r="Q157" s="981"/>
      <c r="R157" s="981"/>
      <c r="S157" s="981"/>
      <c r="T157" s="981"/>
      <c r="U157" s="981"/>
      <c r="V157" s="981"/>
      <c r="W157" s="981"/>
      <c r="X157" s="981"/>
      <c r="Y157" s="981"/>
      <c r="Z157" s="981"/>
      <c r="AA157" s="981"/>
      <c r="AB157" s="981"/>
    </row>
    <row r="158">
      <c r="A158" s="981"/>
      <c r="B158" s="991"/>
      <c r="C158" s="981"/>
      <c r="D158" s="981"/>
      <c r="E158" s="981"/>
      <c r="F158" s="981"/>
      <c r="G158" s="981"/>
      <c r="H158" s="981"/>
      <c r="I158" s="981"/>
      <c r="J158" s="981"/>
      <c r="K158" s="981"/>
      <c r="L158" s="981"/>
      <c r="M158" s="981"/>
      <c r="N158" s="981"/>
      <c r="O158" s="981"/>
      <c r="P158" s="981"/>
      <c r="Q158" s="981"/>
      <c r="R158" s="981"/>
      <c r="S158" s="981"/>
      <c r="T158" s="981"/>
      <c r="U158" s="981"/>
      <c r="V158" s="981"/>
      <c r="W158" s="981"/>
      <c r="X158" s="981"/>
      <c r="Y158" s="981"/>
      <c r="Z158" s="981"/>
      <c r="AA158" s="981"/>
      <c r="AB158" s="981"/>
    </row>
    <row r="159">
      <c r="A159" s="981"/>
      <c r="B159" s="991"/>
      <c r="C159" s="981"/>
      <c r="D159" s="981"/>
      <c r="E159" s="981"/>
      <c r="F159" s="981"/>
      <c r="G159" s="981"/>
      <c r="H159" s="981"/>
      <c r="I159" s="981"/>
      <c r="J159" s="981"/>
      <c r="K159" s="981"/>
      <c r="L159" s="981"/>
      <c r="M159" s="981"/>
      <c r="N159" s="981"/>
      <c r="O159" s="981"/>
      <c r="P159" s="981"/>
      <c r="Q159" s="981"/>
      <c r="R159" s="981"/>
      <c r="S159" s="981"/>
      <c r="T159" s="981"/>
      <c r="U159" s="981"/>
      <c r="V159" s="981"/>
      <c r="W159" s="981"/>
      <c r="X159" s="981"/>
      <c r="Y159" s="981"/>
      <c r="Z159" s="981"/>
      <c r="AA159" s="981"/>
      <c r="AB159" s="981"/>
    </row>
    <row r="160">
      <c r="A160" s="981"/>
      <c r="B160" s="991"/>
      <c r="C160" s="981"/>
      <c r="D160" s="981"/>
      <c r="E160" s="981"/>
      <c r="F160" s="981"/>
      <c r="G160" s="981"/>
      <c r="H160" s="981"/>
      <c r="I160" s="981"/>
      <c r="J160" s="981"/>
      <c r="K160" s="981"/>
      <c r="L160" s="981"/>
      <c r="M160" s="981"/>
      <c r="N160" s="981"/>
      <c r="O160" s="981"/>
      <c r="P160" s="981"/>
      <c r="Q160" s="981"/>
      <c r="R160" s="981"/>
      <c r="S160" s="981"/>
      <c r="T160" s="981"/>
      <c r="U160" s="981"/>
      <c r="V160" s="981"/>
      <c r="W160" s="981"/>
      <c r="X160" s="981"/>
      <c r="Y160" s="981"/>
      <c r="Z160" s="981"/>
      <c r="AA160" s="981"/>
      <c r="AB160" s="981"/>
    </row>
    <row r="161">
      <c r="A161" s="981"/>
      <c r="B161" s="991"/>
      <c r="C161" s="981"/>
      <c r="D161" s="981"/>
      <c r="E161" s="981"/>
      <c r="F161" s="981"/>
      <c r="G161" s="981"/>
      <c r="H161" s="981"/>
      <c r="I161" s="981"/>
      <c r="J161" s="981"/>
      <c r="K161" s="981"/>
      <c r="L161" s="981"/>
      <c r="M161" s="981"/>
      <c r="N161" s="981"/>
      <c r="O161" s="981"/>
      <c r="P161" s="981"/>
      <c r="Q161" s="981"/>
      <c r="R161" s="981"/>
      <c r="S161" s="981"/>
      <c r="T161" s="981"/>
      <c r="U161" s="981"/>
      <c r="V161" s="981"/>
      <c r="W161" s="981"/>
      <c r="X161" s="981"/>
      <c r="Y161" s="981"/>
      <c r="Z161" s="981"/>
      <c r="AA161" s="981"/>
      <c r="AB161" s="981"/>
    </row>
    <row r="162">
      <c r="A162" s="981"/>
      <c r="B162" s="991"/>
      <c r="C162" s="981"/>
      <c r="D162" s="981"/>
      <c r="E162" s="981"/>
      <c r="F162" s="981"/>
      <c r="G162" s="981"/>
      <c r="H162" s="981"/>
      <c r="I162" s="981"/>
      <c r="J162" s="981"/>
      <c r="K162" s="981"/>
      <c r="L162" s="981"/>
      <c r="M162" s="981"/>
      <c r="N162" s="981"/>
      <c r="O162" s="981"/>
      <c r="P162" s="981"/>
      <c r="Q162" s="981"/>
      <c r="R162" s="981"/>
      <c r="S162" s="981"/>
      <c r="T162" s="981"/>
      <c r="U162" s="981"/>
      <c r="V162" s="981"/>
      <c r="W162" s="981"/>
      <c r="X162" s="981"/>
      <c r="Y162" s="981"/>
      <c r="Z162" s="981"/>
      <c r="AA162" s="981"/>
      <c r="AB162" s="981"/>
    </row>
    <row r="163">
      <c r="A163" s="981"/>
      <c r="B163" s="991"/>
      <c r="C163" s="981"/>
      <c r="D163" s="981"/>
      <c r="E163" s="981"/>
      <c r="F163" s="981"/>
      <c r="G163" s="981"/>
      <c r="H163" s="981"/>
      <c r="I163" s="981"/>
      <c r="J163" s="981"/>
      <c r="K163" s="981"/>
      <c r="L163" s="981"/>
      <c r="M163" s="981"/>
      <c r="N163" s="981"/>
      <c r="O163" s="981"/>
      <c r="P163" s="981"/>
      <c r="Q163" s="981"/>
      <c r="R163" s="981"/>
      <c r="S163" s="981"/>
      <c r="T163" s="981"/>
      <c r="U163" s="981"/>
      <c r="V163" s="981"/>
      <c r="W163" s="981"/>
      <c r="X163" s="981"/>
      <c r="Y163" s="981"/>
      <c r="Z163" s="981"/>
      <c r="AA163" s="981"/>
      <c r="AB163" s="981"/>
    </row>
    <row r="164">
      <c r="A164" s="981"/>
      <c r="B164" s="991"/>
      <c r="C164" s="981"/>
      <c r="D164" s="981"/>
      <c r="E164" s="981"/>
      <c r="F164" s="981"/>
      <c r="G164" s="981"/>
      <c r="H164" s="981"/>
      <c r="I164" s="981"/>
      <c r="J164" s="981"/>
      <c r="K164" s="981"/>
      <c r="L164" s="981"/>
      <c r="M164" s="981"/>
      <c r="N164" s="981"/>
      <c r="O164" s="981"/>
      <c r="P164" s="981"/>
      <c r="Q164" s="981"/>
      <c r="R164" s="981"/>
      <c r="S164" s="981"/>
      <c r="T164" s="981"/>
      <c r="U164" s="981"/>
      <c r="V164" s="981"/>
      <c r="W164" s="981"/>
      <c r="X164" s="981"/>
      <c r="Y164" s="981"/>
      <c r="Z164" s="981"/>
      <c r="AA164" s="981"/>
      <c r="AB164" s="981"/>
    </row>
    <row r="165">
      <c r="A165" s="981"/>
      <c r="B165" s="991"/>
      <c r="C165" s="981"/>
      <c r="D165" s="981"/>
      <c r="E165" s="981"/>
      <c r="F165" s="981"/>
      <c r="G165" s="981"/>
      <c r="H165" s="981"/>
      <c r="I165" s="981"/>
      <c r="J165" s="981"/>
      <c r="K165" s="981"/>
      <c r="L165" s="981"/>
      <c r="M165" s="981"/>
      <c r="N165" s="981"/>
      <c r="O165" s="981"/>
      <c r="P165" s="981"/>
      <c r="Q165" s="981"/>
      <c r="R165" s="981"/>
      <c r="S165" s="981"/>
      <c r="T165" s="981"/>
      <c r="U165" s="981"/>
      <c r="V165" s="981"/>
      <c r="W165" s="981"/>
      <c r="X165" s="981"/>
      <c r="Y165" s="981"/>
      <c r="Z165" s="981"/>
      <c r="AA165" s="981"/>
      <c r="AB165" s="981"/>
    </row>
    <row r="166">
      <c r="A166" s="981"/>
      <c r="B166" s="991"/>
      <c r="C166" s="981"/>
      <c r="D166" s="981"/>
      <c r="E166" s="981"/>
      <c r="F166" s="981"/>
      <c r="G166" s="981"/>
      <c r="H166" s="981"/>
      <c r="I166" s="981"/>
      <c r="J166" s="981"/>
      <c r="K166" s="981"/>
      <c r="L166" s="981"/>
      <c r="M166" s="981"/>
      <c r="N166" s="981"/>
      <c r="O166" s="981"/>
      <c r="P166" s="981"/>
      <c r="Q166" s="981"/>
      <c r="R166" s="981"/>
      <c r="S166" s="981"/>
      <c r="T166" s="981"/>
      <c r="U166" s="981"/>
      <c r="V166" s="981"/>
      <c r="W166" s="981"/>
      <c r="X166" s="981"/>
      <c r="Y166" s="981"/>
      <c r="Z166" s="981"/>
      <c r="AA166" s="981"/>
      <c r="AB166" s="981"/>
    </row>
    <row r="167">
      <c r="A167" s="981"/>
      <c r="B167" s="991"/>
      <c r="C167" s="981"/>
      <c r="D167" s="981"/>
      <c r="E167" s="981"/>
      <c r="F167" s="981"/>
      <c r="G167" s="981"/>
      <c r="H167" s="981"/>
      <c r="I167" s="981"/>
      <c r="J167" s="981"/>
      <c r="K167" s="981"/>
      <c r="L167" s="981"/>
      <c r="M167" s="981"/>
      <c r="N167" s="981"/>
      <c r="O167" s="981"/>
      <c r="P167" s="981"/>
      <c r="Q167" s="981"/>
      <c r="R167" s="981"/>
      <c r="S167" s="981"/>
      <c r="T167" s="981"/>
      <c r="U167" s="981"/>
      <c r="V167" s="981"/>
      <c r="W167" s="981"/>
      <c r="X167" s="981"/>
      <c r="Y167" s="981"/>
      <c r="Z167" s="981"/>
      <c r="AA167" s="981"/>
      <c r="AB167" s="981"/>
    </row>
    <row r="168">
      <c r="A168" s="981"/>
      <c r="B168" s="991"/>
      <c r="C168" s="981"/>
      <c r="D168" s="981"/>
      <c r="E168" s="981"/>
      <c r="F168" s="981"/>
      <c r="G168" s="981"/>
      <c r="H168" s="981"/>
      <c r="I168" s="981"/>
      <c r="J168" s="981"/>
      <c r="K168" s="981"/>
      <c r="L168" s="981"/>
      <c r="M168" s="981"/>
      <c r="N168" s="981"/>
      <c r="O168" s="981"/>
      <c r="P168" s="981"/>
      <c r="Q168" s="981"/>
      <c r="R168" s="981"/>
      <c r="S168" s="981"/>
      <c r="T168" s="981"/>
      <c r="U168" s="981"/>
      <c r="V168" s="981"/>
      <c r="W168" s="981"/>
      <c r="X168" s="981"/>
      <c r="Y168" s="981"/>
      <c r="Z168" s="981"/>
      <c r="AA168" s="981"/>
      <c r="AB168" s="981"/>
    </row>
    <row r="169">
      <c r="A169" s="981"/>
      <c r="B169" s="991"/>
      <c r="C169" s="981"/>
      <c r="D169" s="981"/>
      <c r="E169" s="981"/>
      <c r="F169" s="981"/>
      <c r="G169" s="981"/>
      <c r="H169" s="981"/>
      <c r="I169" s="981"/>
      <c r="J169" s="981"/>
      <c r="K169" s="981"/>
      <c r="L169" s="981"/>
      <c r="M169" s="981"/>
      <c r="N169" s="981"/>
      <c r="O169" s="981"/>
      <c r="P169" s="981"/>
      <c r="Q169" s="981"/>
      <c r="R169" s="981"/>
      <c r="S169" s="981"/>
      <c r="T169" s="981"/>
      <c r="U169" s="981"/>
      <c r="V169" s="981"/>
      <c r="W169" s="981"/>
      <c r="X169" s="981"/>
      <c r="Y169" s="981"/>
      <c r="Z169" s="981"/>
      <c r="AA169" s="981"/>
      <c r="AB169" s="981"/>
    </row>
    <row r="170">
      <c r="A170" s="981"/>
      <c r="B170" s="991"/>
      <c r="C170" s="981"/>
      <c r="D170" s="981"/>
      <c r="E170" s="981"/>
      <c r="F170" s="981"/>
      <c r="G170" s="981"/>
      <c r="H170" s="981"/>
      <c r="I170" s="981"/>
      <c r="J170" s="981"/>
      <c r="K170" s="981"/>
      <c r="L170" s="981"/>
      <c r="M170" s="981"/>
      <c r="N170" s="981"/>
      <c r="O170" s="981"/>
      <c r="P170" s="981"/>
      <c r="Q170" s="981"/>
      <c r="R170" s="981"/>
      <c r="S170" s="981"/>
      <c r="T170" s="981"/>
      <c r="U170" s="981"/>
      <c r="V170" s="981"/>
      <c r="W170" s="981"/>
      <c r="X170" s="981"/>
      <c r="Y170" s="981"/>
      <c r="Z170" s="981"/>
      <c r="AA170" s="981"/>
      <c r="AB170" s="981"/>
    </row>
    <row r="171">
      <c r="A171" s="981"/>
      <c r="B171" s="991"/>
      <c r="C171" s="981"/>
      <c r="D171" s="981"/>
      <c r="E171" s="981"/>
      <c r="F171" s="981"/>
      <c r="G171" s="981"/>
      <c r="H171" s="981"/>
      <c r="I171" s="981"/>
      <c r="J171" s="981"/>
      <c r="K171" s="981"/>
      <c r="L171" s="981"/>
      <c r="M171" s="981"/>
      <c r="N171" s="981"/>
      <c r="O171" s="981"/>
      <c r="P171" s="981"/>
      <c r="Q171" s="981"/>
      <c r="R171" s="981"/>
      <c r="S171" s="981"/>
      <c r="T171" s="981"/>
      <c r="U171" s="981"/>
      <c r="V171" s="981"/>
      <c r="W171" s="981"/>
      <c r="X171" s="981"/>
      <c r="Y171" s="981"/>
      <c r="Z171" s="981"/>
      <c r="AA171" s="981"/>
      <c r="AB171" s="981"/>
    </row>
    <row r="172">
      <c r="A172" s="981"/>
      <c r="B172" s="991"/>
      <c r="C172" s="981"/>
      <c r="D172" s="981"/>
      <c r="E172" s="981"/>
      <c r="F172" s="981"/>
      <c r="G172" s="981"/>
      <c r="H172" s="981"/>
      <c r="I172" s="981"/>
      <c r="J172" s="981"/>
      <c r="K172" s="981"/>
      <c r="L172" s="981"/>
      <c r="M172" s="981"/>
      <c r="N172" s="981"/>
      <c r="O172" s="981"/>
      <c r="P172" s="981"/>
      <c r="Q172" s="981"/>
      <c r="R172" s="981"/>
      <c r="S172" s="981"/>
      <c r="T172" s="981"/>
      <c r="U172" s="981"/>
      <c r="V172" s="981"/>
      <c r="W172" s="981"/>
      <c r="X172" s="981"/>
      <c r="Y172" s="981"/>
      <c r="Z172" s="981"/>
      <c r="AA172" s="981"/>
      <c r="AB172" s="981"/>
    </row>
    <row r="173">
      <c r="A173" s="981"/>
      <c r="B173" s="991"/>
      <c r="C173" s="981"/>
      <c r="D173" s="981"/>
      <c r="E173" s="981"/>
      <c r="F173" s="981"/>
      <c r="G173" s="981"/>
      <c r="H173" s="981"/>
      <c r="I173" s="981"/>
      <c r="J173" s="981"/>
      <c r="K173" s="981"/>
      <c r="L173" s="981"/>
      <c r="M173" s="981"/>
      <c r="N173" s="981"/>
      <c r="O173" s="981"/>
      <c r="P173" s="981"/>
      <c r="Q173" s="981"/>
      <c r="R173" s="981"/>
      <c r="S173" s="981"/>
      <c r="T173" s="981"/>
      <c r="U173" s="981"/>
      <c r="V173" s="981"/>
      <c r="W173" s="981"/>
      <c r="X173" s="981"/>
      <c r="Y173" s="981"/>
      <c r="Z173" s="981"/>
      <c r="AA173" s="981"/>
      <c r="AB173" s="981"/>
    </row>
    <row r="174">
      <c r="A174" s="981"/>
      <c r="B174" s="991"/>
      <c r="C174" s="981"/>
      <c r="D174" s="981"/>
      <c r="E174" s="981"/>
      <c r="F174" s="981"/>
      <c r="G174" s="981"/>
      <c r="H174" s="981"/>
      <c r="I174" s="981"/>
      <c r="J174" s="981"/>
      <c r="K174" s="981"/>
      <c r="L174" s="981"/>
      <c r="M174" s="981"/>
      <c r="N174" s="981"/>
      <c r="O174" s="981"/>
      <c r="P174" s="981"/>
      <c r="Q174" s="981"/>
      <c r="R174" s="981"/>
      <c r="S174" s="981"/>
      <c r="T174" s="981"/>
      <c r="U174" s="981"/>
      <c r="V174" s="981"/>
      <c r="W174" s="981"/>
      <c r="X174" s="981"/>
      <c r="Y174" s="981"/>
      <c r="Z174" s="981"/>
      <c r="AA174" s="981"/>
      <c r="AB174" s="981"/>
    </row>
    <row r="175">
      <c r="A175" s="981"/>
      <c r="B175" s="991"/>
      <c r="C175" s="981"/>
      <c r="D175" s="981"/>
      <c r="E175" s="981"/>
      <c r="F175" s="981"/>
      <c r="G175" s="981"/>
      <c r="H175" s="981"/>
      <c r="I175" s="981"/>
      <c r="J175" s="981"/>
      <c r="K175" s="981"/>
      <c r="L175" s="981"/>
      <c r="M175" s="981"/>
      <c r="N175" s="981"/>
      <c r="O175" s="981"/>
      <c r="P175" s="981"/>
      <c r="Q175" s="981"/>
      <c r="R175" s="981"/>
      <c r="S175" s="981"/>
      <c r="T175" s="981"/>
      <c r="U175" s="981"/>
      <c r="V175" s="981"/>
      <c r="W175" s="981"/>
      <c r="X175" s="981"/>
      <c r="Y175" s="981"/>
      <c r="Z175" s="981"/>
      <c r="AA175" s="981"/>
      <c r="AB175" s="981"/>
    </row>
    <row r="176">
      <c r="A176" s="981"/>
      <c r="B176" s="991"/>
      <c r="C176" s="981"/>
      <c r="D176" s="981"/>
      <c r="E176" s="981"/>
      <c r="F176" s="981"/>
      <c r="G176" s="981"/>
      <c r="H176" s="981"/>
      <c r="I176" s="981"/>
      <c r="J176" s="981"/>
      <c r="K176" s="981"/>
      <c r="L176" s="981"/>
      <c r="M176" s="981"/>
      <c r="N176" s="981"/>
      <c r="O176" s="981"/>
      <c r="P176" s="981"/>
      <c r="Q176" s="981"/>
      <c r="R176" s="981"/>
      <c r="S176" s="981"/>
      <c r="T176" s="981"/>
      <c r="U176" s="981"/>
      <c r="V176" s="981"/>
      <c r="W176" s="981"/>
      <c r="X176" s="981"/>
      <c r="Y176" s="981"/>
      <c r="Z176" s="981"/>
      <c r="AA176" s="981"/>
      <c r="AB176" s="981"/>
    </row>
    <row r="177">
      <c r="A177" s="981"/>
      <c r="B177" s="991"/>
      <c r="C177" s="981"/>
      <c r="D177" s="981"/>
      <c r="E177" s="981"/>
      <c r="F177" s="981"/>
      <c r="G177" s="981"/>
      <c r="H177" s="981"/>
      <c r="I177" s="981"/>
      <c r="J177" s="981"/>
      <c r="K177" s="981"/>
      <c r="L177" s="981"/>
      <c r="M177" s="981"/>
      <c r="N177" s="981"/>
      <c r="O177" s="981"/>
      <c r="P177" s="981"/>
      <c r="Q177" s="981"/>
      <c r="R177" s="981"/>
      <c r="S177" s="981"/>
      <c r="T177" s="981"/>
      <c r="U177" s="981"/>
      <c r="V177" s="981"/>
      <c r="W177" s="981"/>
      <c r="X177" s="981"/>
      <c r="Y177" s="981"/>
      <c r="Z177" s="981"/>
      <c r="AA177" s="981"/>
      <c r="AB177" s="981"/>
    </row>
    <row r="178">
      <c r="A178" s="981"/>
      <c r="B178" s="991"/>
      <c r="C178" s="981"/>
      <c r="D178" s="981"/>
      <c r="E178" s="981"/>
      <c r="F178" s="981"/>
      <c r="G178" s="981"/>
      <c r="H178" s="981"/>
      <c r="I178" s="981"/>
      <c r="J178" s="981"/>
      <c r="K178" s="981"/>
      <c r="L178" s="981"/>
      <c r="M178" s="981"/>
      <c r="N178" s="981"/>
      <c r="O178" s="981"/>
      <c r="P178" s="981"/>
      <c r="Q178" s="981"/>
      <c r="R178" s="981"/>
      <c r="S178" s="981"/>
      <c r="T178" s="981"/>
      <c r="U178" s="981"/>
      <c r="V178" s="981"/>
      <c r="W178" s="981"/>
      <c r="X178" s="981"/>
      <c r="Y178" s="981"/>
      <c r="Z178" s="981"/>
      <c r="AA178" s="981"/>
      <c r="AB178" s="981"/>
    </row>
    <row r="179">
      <c r="A179" s="981"/>
      <c r="B179" s="991"/>
      <c r="C179" s="981"/>
      <c r="D179" s="981"/>
      <c r="E179" s="981"/>
      <c r="F179" s="981"/>
      <c r="G179" s="981"/>
      <c r="H179" s="981"/>
      <c r="I179" s="981"/>
      <c r="J179" s="981"/>
      <c r="K179" s="981"/>
      <c r="L179" s="981"/>
      <c r="M179" s="981"/>
      <c r="N179" s="981"/>
      <c r="O179" s="981"/>
      <c r="P179" s="981"/>
      <c r="Q179" s="981"/>
      <c r="R179" s="981"/>
      <c r="S179" s="981"/>
      <c r="T179" s="981"/>
      <c r="U179" s="981"/>
      <c r="V179" s="981"/>
      <c r="W179" s="981"/>
      <c r="X179" s="981"/>
      <c r="Y179" s="981"/>
      <c r="Z179" s="981"/>
      <c r="AA179" s="981"/>
      <c r="AB179" s="981"/>
    </row>
    <row r="180">
      <c r="A180" s="981"/>
      <c r="B180" s="991"/>
      <c r="C180" s="981"/>
      <c r="D180" s="981"/>
      <c r="E180" s="981"/>
      <c r="F180" s="981"/>
      <c r="G180" s="981"/>
      <c r="H180" s="981"/>
      <c r="I180" s="981"/>
      <c r="J180" s="981"/>
      <c r="K180" s="981"/>
      <c r="L180" s="981"/>
      <c r="M180" s="981"/>
      <c r="N180" s="981"/>
      <c r="O180" s="981"/>
      <c r="P180" s="981"/>
      <c r="Q180" s="981"/>
      <c r="R180" s="981"/>
      <c r="S180" s="981"/>
      <c r="T180" s="981"/>
      <c r="U180" s="981"/>
      <c r="V180" s="981"/>
      <c r="W180" s="981"/>
      <c r="X180" s="981"/>
      <c r="Y180" s="981"/>
      <c r="Z180" s="981"/>
      <c r="AA180" s="981"/>
      <c r="AB180" s="981"/>
    </row>
    <row r="181">
      <c r="A181" s="981"/>
      <c r="B181" s="991"/>
      <c r="C181" s="981"/>
      <c r="D181" s="981"/>
      <c r="E181" s="981"/>
      <c r="F181" s="981"/>
      <c r="G181" s="981"/>
      <c r="H181" s="981"/>
      <c r="I181" s="981"/>
      <c r="J181" s="981"/>
      <c r="K181" s="981"/>
      <c r="L181" s="981"/>
      <c r="M181" s="981"/>
      <c r="N181" s="981"/>
      <c r="O181" s="981"/>
      <c r="P181" s="981"/>
      <c r="Q181" s="981"/>
      <c r="R181" s="981"/>
      <c r="S181" s="981"/>
      <c r="T181" s="981"/>
      <c r="U181" s="981"/>
      <c r="V181" s="981"/>
      <c r="W181" s="981"/>
      <c r="X181" s="981"/>
      <c r="Y181" s="981"/>
      <c r="Z181" s="981"/>
      <c r="AA181" s="981"/>
      <c r="AB181" s="981"/>
    </row>
    <row r="182">
      <c r="A182" s="981"/>
      <c r="B182" s="991"/>
      <c r="C182" s="981"/>
      <c r="D182" s="981"/>
      <c r="E182" s="981"/>
      <c r="F182" s="981"/>
      <c r="G182" s="981"/>
      <c r="H182" s="981"/>
      <c r="I182" s="981"/>
      <c r="J182" s="981"/>
      <c r="K182" s="981"/>
      <c r="L182" s="981"/>
      <c r="M182" s="981"/>
      <c r="N182" s="981"/>
      <c r="O182" s="981"/>
      <c r="P182" s="981"/>
      <c r="Q182" s="981"/>
      <c r="R182" s="981"/>
      <c r="S182" s="981"/>
      <c r="T182" s="981"/>
      <c r="U182" s="981"/>
      <c r="V182" s="981"/>
      <c r="W182" s="981"/>
      <c r="X182" s="981"/>
      <c r="Y182" s="981"/>
      <c r="Z182" s="981"/>
      <c r="AA182" s="981"/>
      <c r="AB182" s="981"/>
    </row>
    <row r="183">
      <c r="A183" s="981"/>
      <c r="B183" s="991"/>
      <c r="C183" s="981"/>
      <c r="D183" s="981"/>
      <c r="E183" s="981"/>
      <c r="F183" s="981"/>
      <c r="G183" s="981"/>
      <c r="H183" s="981"/>
      <c r="I183" s="981"/>
      <c r="J183" s="981"/>
      <c r="K183" s="981"/>
      <c r="L183" s="981"/>
      <c r="M183" s="981"/>
      <c r="N183" s="981"/>
      <c r="O183" s="981"/>
      <c r="P183" s="981"/>
      <c r="Q183" s="981"/>
      <c r="R183" s="981"/>
      <c r="S183" s="981"/>
      <c r="T183" s="981"/>
      <c r="U183" s="981"/>
      <c r="V183" s="981"/>
      <c r="W183" s="981"/>
      <c r="X183" s="981"/>
      <c r="Y183" s="981"/>
      <c r="Z183" s="981"/>
      <c r="AA183" s="981"/>
      <c r="AB183" s="981"/>
    </row>
    <row r="184">
      <c r="A184" s="981"/>
      <c r="B184" s="991"/>
      <c r="C184" s="981"/>
      <c r="D184" s="981"/>
      <c r="E184" s="981"/>
      <c r="F184" s="981"/>
      <c r="G184" s="981"/>
      <c r="H184" s="981"/>
      <c r="I184" s="981"/>
      <c r="J184" s="981"/>
      <c r="K184" s="981"/>
      <c r="L184" s="981"/>
      <c r="M184" s="981"/>
      <c r="N184" s="981"/>
      <c r="O184" s="981"/>
      <c r="P184" s="981"/>
      <c r="Q184" s="981"/>
      <c r="R184" s="981"/>
      <c r="S184" s="981"/>
      <c r="T184" s="981"/>
      <c r="U184" s="981"/>
      <c r="V184" s="981"/>
      <c r="W184" s="981"/>
      <c r="X184" s="981"/>
      <c r="Y184" s="981"/>
      <c r="Z184" s="981"/>
      <c r="AA184" s="981"/>
      <c r="AB184" s="981"/>
    </row>
    <row r="185">
      <c r="A185" s="981"/>
      <c r="B185" s="991"/>
      <c r="C185" s="981"/>
      <c r="D185" s="981"/>
      <c r="E185" s="981"/>
      <c r="F185" s="981"/>
      <c r="G185" s="981"/>
      <c r="H185" s="981"/>
      <c r="I185" s="981"/>
      <c r="J185" s="981"/>
      <c r="K185" s="981"/>
      <c r="L185" s="981"/>
      <c r="M185" s="981"/>
      <c r="N185" s="981"/>
      <c r="O185" s="981"/>
      <c r="P185" s="981"/>
      <c r="Q185" s="981"/>
      <c r="R185" s="981"/>
      <c r="S185" s="981"/>
      <c r="T185" s="981"/>
      <c r="U185" s="981"/>
      <c r="V185" s="981"/>
      <c r="W185" s="981"/>
      <c r="X185" s="981"/>
      <c r="Y185" s="981"/>
      <c r="Z185" s="981"/>
      <c r="AA185" s="981"/>
      <c r="AB185" s="981"/>
    </row>
    <row r="186">
      <c r="A186" s="981"/>
      <c r="B186" s="991"/>
      <c r="C186" s="981"/>
      <c r="D186" s="981"/>
      <c r="E186" s="981"/>
      <c r="F186" s="981"/>
      <c r="G186" s="981"/>
      <c r="H186" s="981"/>
      <c r="I186" s="981"/>
      <c r="J186" s="981"/>
      <c r="K186" s="981"/>
      <c r="L186" s="981"/>
      <c r="M186" s="981"/>
      <c r="N186" s="981"/>
      <c r="O186" s="981"/>
      <c r="P186" s="981"/>
      <c r="Q186" s="981"/>
      <c r="R186" s="981"/>
      <c r="S186" s="981"/>
      <c r="T186" s="981"/>
      <c r="U186" s="981"/>
      <c r="V186" s="981"/>
      <c r="W186" s="981"/>
      <c r="X186" s="981"/>
      <c r="Y186" s="981"/>
      <c r="Z186" s="981"/>
      <c r="AA186" s="981"/>
      <c r="AB186" s="981"/>
    </row>
    <row r="187">
      <c r="A187" s="981"/>
      <c r="B187" s="991"/>
      <c r="C187" s="981"/>
      <c r="D187" s="981"/>
      <c r="E187" s="981"/>
      <c r="F187" s="981"/>
      <c r="G187" s="981"/>
      <c r="H187" s="981"/>
      <c r="I187" s="981"/>
      <c r="J187" s="981"/>
      <c r="K187" s="981"/>
      <c r="L187" s="981"/>
      <c r="M187" s="981"/>
      <c r="N187" s="981"/>
      <c r="O187" s="981"/>
      <c r="P187" s="981"/>
      <c r="Q187" s="981"/>
      <c r="R187" s="981"/>
      <c r="S187" s="981"/>
      <c r="T187" s="981"/>
      <c r="U187" s="981"/>
      <c r="V187" s="981"/>
      <c r="W187" s="981"/>
      <c r="X187" s="981"/>
      <c r="Y187" s="981"/>
      <c r="Z187" s="981"/>
      <c r="AA187" s="981"/>
      <c r="AB187" s="981"/>
    </row>
    <row r="188">
      <c r="A188" s="981"/>
      <c r="B188" s="991"/>
      <c r="C188" s="981"/>
      <c r="D188" s="981"/>
      <c r="E188" s="981"/>
      <c r="F188" s="981"/>
      <c r="G188" s="981"/>
      <c r="H188" s="981"/>
      <c r="I188" s="981"/>
      <c r="J188" s="981"/>
      <c r="K188" s="981"/>
      <c r="L188" s="981"/>
      <c r="M188" s="981"/>
      <c r="N188" s="981"/>
      <c r="O188" s="981"/>
      <c r="P188" s="981"/>
      <c r="Q188" s="981"/>
      <c r="R188" s="981"/>
      <c r="S188" s="981"/>
      <c r="T188" s="981"/>
      <c r="U188" s="981"/>
      <c r="V188" s="981"/>
      <c r="W188" s="981"/>
      <c r="X188" s="981"/>
      <c r="Y188" s="981"/>
      <c r="Z188" s="981"/>
      <c r="AA188" s="981"/>
      <c r="AB188" s="981"/>
    </row>
    <row r="189">
      <c r="A189" s="981"/>
      <c r="B189" s="991"/>
      <c r="C189" s="981"/>
      <c r="D189" s="981"/>
      <c r="E189" s="981"/>
      <c r="F189" s="981"/>
      <c r="G189" s="981"/>
      <c r="H189" s="981"/>
      <c r="I189" s="981"/>
      <c r="J189" s="981"/>
      <c r="K189" s="981"/>
      <c r="L189" s="981"/>
      <c r="M189" s="981"/>
      <c r="N189" s="981"/>
      <c r="O189" s="981"/>
      <c r="P189" s="981"/>
      <c r="Q189" s="981"/>
      <c r="R189" s="981"/>
      <c r="S189" s="981"/>
      <c r="T189" s="981"/>
      <c r="U189" s="981"/>
      <c r="V189" s="981"/>
      <c r="W189" s="981"/>
      <c r="X189" s="981"/>
      <c r="Y189" s="981"/>
      <c r="Z189" s="981"/>
      <c r="AA189" s="981"/>
      <c r="AB189" s="981"/>
    </row>
    <row r="190">
      <c r="A190" s="981"/>
      <c r="B190" s="991"/>
      <c r="C190" s="981"/>
      <c r="D190" s="981"/>
      <c r="E190" s="981"/>
      <c r="F190" s="981"/>
      <c r="G190" s="981"/>
      <c r="H190" s="981"/>
      <c r="I190" s="981"/>
      <c r="J190" s="981"/>
      <c r="K190" s="981"/>
      <c r="L190" s="981"/>
      <c r="M190" s="981"/>
      <c r="N190" s="981"/>
      <c r="O190" s="981"/>
      <c r="P190" s="981"/>
      <c r="Q190" s="981"/>
      <c r="R190" s="981"/>
      <c r="S190" s="981"/>
      <c r="T190" s="981"/>
      <c r="U190" s="981"/>
      <c r="V190" s="981"/>
      <c r="W190" s="981"/>
      <c r="X190" s="981"/>
      <c r="Y190" s="981"/>
      <c r="Z190" s="981"/>
      <c r="AA190" s="981"/>
      <c r="AB190" s="981"/>
    </row>
    <row r="191">
      <c r="A191" s="981"/>
      <c r="B191" s="991"/>
      <c r="C191" s="981"/>
      <c r="D191" s="981"/>
      <c r="E191" s="981"/>
      <c r="F191" s="981"/>
      <c r="G191" s="981"/>
      <c r="H191" s="981"/>
      <c r="I191" s="981"/>
      <c r="J191" s="981"/>
      <c r="K191" s="981"/>
      <c r="L191" s="981"/>
      <c r="M191" s="981"/>
      <c r="N191" s="981"/>
      <c r="O191" s="981"/>
      <c r="P191" s="981"/>
      <c r="Q191" s="981"/>
      <c r="R191" s="981"/>
      <c r="S191" s="981"/>
      <c r="T191" s="981"/>
      <c r="U191" s="981"/>
      <c r="V191" s="981"/>
      <c r="W191" s="981"/>
      <c r="X191" s="981"/>
      <c r="Y191" s="981"/>
      <c r="Z191" s="981"/>
      <c r="AA191" s="981"/>
      <c r="AB191" s="981"/>
    </row>
    <row r="192">
      <c r="A192" s="981"/>
      <c r="B192" s="991"/>
      <c r="C192" s="981"/>
      <c r="D192" s="981"/>
      <c r="E192" s="981"/>
      <c r="F192" s="981"/>
      <c r="G192" s="981"/>
      <c r="H192" s="981"/>
      <c r="I192" s="981"/>
      <c r="J192" s="981"/>
      <c r="K192" s="981"/>
      <c r="L192" s="981"/>
      <c r="M192" s="981"/>
      <c r="N192" s="981"/>
      <c r="O192" s="981"/>
      <c r="P192" s="981"/>
      <c r="Q192" s="981"/>
      <c r="R192" s="981"/>
      <c r="S192" s="981"/>
      <c r="T192" s="981"/>
      <c r="U192" s="981"/>
      <c r="V192" s="981"/>
      <c r="W192" s="981"/>
      <c r="X192" s="981"/>
      <c r="Y192" s="981"/>
      <c r="Z192" s="981"/>
      <c r="AA192" s="981"/>
      <c r="AB192" s="981"/>
    </row>
    <row r="193">
      <c r="A193" s="981"/>
      <c r="B193" s="991"/>
      <c r="C193" s="981"/>
      <c r="D193" s="981"/>
      <c r="E193" s="981"/>
      <c r="F193" s="981"/>
      <c r="G193" s="981"/>
      <c r="H193" s="981"/>
      <c r="I193" s="981"/>
      <c r="J193" s="981"/>
      <c r="K193" s="981"/>
      <c r="L193" s="981"/>
      <c r="M193" s="981"/>
      <c r="N193" s="981"/>
      <c r="O193" s="981"/>
      <c r="P193" s="981"/>
      <c r="Q193" s="981"/>
      <c r="R193" s="981"/>
      <c r="S193" s="981"/>
      <c r="T193" s="981"/>
      <c r="U193" s="981"/>
      <c r="V193" s="981"/>
      <c r="W193" s="981"/>
      <c r="X193" s="981"/>
      <c r="Y193" s="981"/>
      <c r="Z193" s="981"/>
      <c r="AA193" s="981"/>
      <c r="AB193" s="981"/>
    </row>
    <row r="194">
      <c r="A194" s="981"/>
      <c r="B194" s="991"/>
      <c r="C194" s="981"/>
      <c r="D194" s="981"/>
      <c r="E194" s="981"/>
      <c r="F194" s="981"/>
      <c r="G194" s="981"/>
      <c r="H194" s="981"/>
      <c r="I194" s="981"/>
      <c r="J194" s="981"/>
      <c r="K194" s="981"/>
      <c r="L194" s="981"/>
      <c r="M194" s="981"/>
      <c r="N194" s="981"/>
      <c r="O194" s="981"/>
      <c r="P194" s="981"/>
      <c r="Q194" s="981"/>
      <c r="R194" s="981"/>
      <c r="S194" s="981"/>
      <c r="T194" s="981"/>
      <c r="U194" s="981"/>
      <c r="V194" s="981"/>
      <c r="W194" s="981"/>
      <c r="X194" s="981"/>
      <c r="Y194" s="981"/>
      <c r="Z194" s="981"/>
      <c r="AA194" s="981"/>
      <c r="AB194" s="981"/>
    </row>
    <row r="195">
      <c r="A195" s="981"/>
      <c r="B195" s="991"/>
      <c r="C195" s="981"/>
      <c r="D195" s="981"/>
      <c r="E195" s="981"/>
      <c r="F195" s="981"/>
      <c r="G195" s="981"/>
      <c r="H195" s="981"/>
      <c r="I195" s="981"/>
      <c r="J195" s="981"/>
      <c r="K195" s="981"/>
      <c r="L195" s="981"/>
      <c r="M195" s="981"/>
      <c r="N195" s="981"/>
      <c r="O195" s="981"/>
      <c r="P195" s="981"/>
      <c r="Q195" s="981"/>
      <c r="R195" s="981"/>
      <c r="S195" s="981"/>
      <c r="T195" s="981"/>
      <c r="U195" s="981"/>
      <c r="V195" s="981"/>
      <c r="W195" s="981"/>
      <c r="X195" s="981"/>
      <c r="Y195" s="981"/>
      <c r="Z195" s="981"/>
      <c r="AA195" s="981"/>
      <c r="AB195" s="981"/>
    </row>
    <row r="196">
      <c r="A196" s="981"/>
      <c r="B196" s="991"/>
      <c r="C196" s="981"/>
      <c r="D196" s="981"/>
      <c r="E196" s="981"/>
      <c r="F196" s="981"/>
      <c r="G196" s="981"/>
      <c r="H196" s="981"/>
      <c r="I196" s="981"/>
      <c r="J196" s="981"/>
      <c r="K196" s="981"/>
      <c r="L196" s="981"/>
      <c r="M196" s="981"/>
      <c r="N196" s="981"/>
      <c r="O196" s="981"/>
      <c r="P196" s="981"/>
      <c r="Q196" s="981"/>
      <c r="R196" s="981"/>
      <c r="S196" s="981"/>
      <c r="T196" s="981"/>
      <c r="U196" s="981"/>
      <c r="V196" s="981"/>
      <c r="W196" s="981"/>
      <c r="X196" s="981"/>
      <c r="Y196" s="981"/>
      <c r="Z196" s="981"/>
      <c r="AA196" s="981"/>
      <c r="AB196" s="981"/>
    </row>
    <row r="197">
      <c r="A197" s="981"/>
      <c r="B197" s="991"/>
      <c r="C197" s="981"/>
      <c r="D197" s="981"/>
      <c r="E197" s="981"/>
      <c r="F197" s="981"/>
      <c r="G197" s="981"/>
      <c r="H197" s="981"/>
      <c r="I197" s="981"/>
      <c r="J197" s="981"/>
      <c r="K197" s="981"/>
      <c r="L197" s="981"/>
      <c r="M197" s="981"/>
      <c r="N197" s="981"/>
      <c r="O197" s="981"/>
      <c r="P197" s="981"/>
      <c r="Q197" s="981"/>
      <c r="R197" s="981"/>
      <c r="S197" s="981"/>
      <c r="T197" s="981"/>
      <c r="U197" s="981"/>
      <c r="V197" s="981"/>
      <c r="W197" s="981"/>
      <c r="X197" s="981"/>
      <c r="Y197" s="981"/>
      <c r="Z197" s="981"/>
      <c r="AA197" s="981"/>
      <c r="AB197" s="981"/>
    </row>
    <row r="198">
      <c r="A198" s="981"/>
      <c r="B198" s="991"/>
      <c r="C198" s="981"/>
      <c r="D198" s="981"/>
      <c r="E198" s="981"/>
      <c r="F198" s="981"/>
      <c r="G198" s="981"/>
      <c r="H198" s="981"/>
      <c r="I198" s="981"/>
      <c r="J198" s="981"/>
      <c r="K198" s="981"/>
      <c r="L198" s="981"/>
      <c r="M198" s="981"/>
      <c r="N198" s="981"/>
      <c r="O198" s="981"/>
      <c r="P198" s="981"/>
      <c r="Q198" s="981"/>
      <c r="R198" s="981"/>
      <c r="S198" s="981"/>
      <c r="T198" s="981"/>
      <c r="U198" s="981"/>
      <c r="V198" s="981"/>
      <c r="W198" s="981"/>
      <c r="X198" s="981"/>
      <c r="Y198" s="981"/>
      <c r="Z198" s="981"/>
      <c r="AA198" s="981"/>
      <c r="AB198" s="981"/>
    </row>
    <row r="199">
      <c r="A199" s="981"/>
      <c r="B199" s="991"/>
      <c r="C199" s="981"/>
      <c r="D199" s="981"/>
      <c r="E199" s="981"/>
      <c r="F199" s="981"/>
      <c r="G199" s="981"/>
      <c r="H199" s="981"/>
      <c r="I199" s="981"/>
      <c r="J199" s="981"/>
      <c r="K199" s="981"/>
      <c r="L199" s="981"/>
      <c r="M199" s="981"/>
      <c r="N199" s="981"/>
      <c r="O199" s="981"/>
      <c r="P199" s="981"/>
      <c r="Q199" s="981"/>
      <c r="R199" s="981"/>
      <c r="S199" s="981"/>
      <c r="T199" s="981"/>
      <c r="U199" s="981"/>
      <c r="V199" s="981"/>
      <c r="W199" s="981"/>
      <c r="X199" s="981"/>
      <c r="Y199" s="981"/>
      <c r="Z199" s="981"/>
      <c r="AA199" s="981"/>
      <c r="AB199" s="981"/>
    </row>
    <row r="200">
      <c r="A200" s="981"/>
      <c r="B200" s="991"/>
      <c r="C200" s="981"/>
      <c r="D200" s="981"/>
      <c r="E200" s="981"/>
      <c r="F200" s="981"/>
      <c r="G200" s="981"/>
      <c r="H200" s="981"/>
      <c r="I200" s="981"/>
      <c r="J200" s="981"/>
      <c r="K200" s="981"/>
      <c r="L200" s="981"/>
      <c r="M200" s="981"/>
      <c r="N200" s="981"/>
      <c r="O200" s="981"/>
      <c r="P200" s="981"/>
      <c r="Q200" s="981"/>
      <c r="R200" s="981"/>
      <c r="S200" s="981"/>
      <c r="T200" s="981"/>
      <c r="U200" s="981"/>
      <c r="V200" s="981"/>
      <c r="W200" s="981"/>
      <c r="X200" s="981"/>
      <c r="Y200" s="981"/>
      <c r="Z200" s="981"/>
      <c r="AA200" s="981"/>
      <c r="AB200" s="981"/>
    </row>
    <row r="201">
      <c r="A201" s="981"/>
      <c r="B201" s="991"/>
      <c r="C201" s="981"/>
      <c r="D201" s="981"/>
      <c r="E201" s="981"/>
      <c r="F201" s="981"/>
      <c r="G201" s="981"/>
      <c r="H201" s="981"/>
      <c r="I201" s="981"/>
      <c r="J201" s="981"/>
      <c r="K201" s="981"/>
      <c r="L201" s="981"/>
      <c r="M201" s="981"/>
      <c r="N201" s="981"/>
      <c r="O201" s="981"/>
      <c r="P201" s="981"/>
      <c r="Q201" s="981"/>
      <c r="R201" s="981"/>
      <c r="S201" s="981"/>
      <c r="T201" s="981"/>
      <c r="U201" s="981"/>
      <c r="V201" s="981"/>
      <c r="W201" s="981"/>
      <c r="X201" s="981"/>
      <c r="Y201" s="981"/>
      <c r="Z201" s="981"/>
      <c r="AA201" s="981"/>
      <c r="AB201" s="981"/>
    </row>
    <row r="202">
      <c r="A202" s="981"/>
      <c r="B202" s="991"/>
      <c r="C202" s="981"/>
      <c r="D202" s="981"/>
      <c r="E202" s="981"/>
      <c r="F202" s="981"/>
      <c r="G202" s="981"/>
      <c r="H202" s="981"/>
      <c r="I202" s="981"/>
      <c r="J202" s="981"/>
      <c r="K202" s="981"/>
      <c r="L202" s="981"/>
      <c r="M202" s="981"/>
      <c r="N202" s="981"/>
      <c r="O202" s="981"/>
      <c r="P202" s="981"/>
      <c r="Q202" s="981"/>
      <c r="R202" s="981"/>
      <c r="S202" s="981"/>
      <c r="T202" s="981"/>
      <c r="U202" s="981"/>
      <c r="V202" s="981"/>
      <c r="W202" s="981"/>
      <c r="X202" s="981"/>
      <c r="Y202" s="981"/>
      <c r="Z202" s="981"/>
      <c r="AA202" s="981"/>
      <c r="AB202" s="981"/>
    </row>
    <row r="203">
      <c r="A203" s="981"/>
      <c r="B203" s="991"/>
      <c r="C203" s="981"/>
      <c r="D203" s="981"/>
      <c r="E203" s="981"/>
      <c r="F203" s="981"/>
      <c r="G203" s="981"/>
      <c r="H203" s="981"/>
      <c r="I203" s="981"/>
      <c r="J203" s="981"/>
      <c r="K203" s="981"/>
      <c r="L203" s="981"/>
      <c r="M203" s="981"/>
      <c r="N203" s="981"/>
      <c r="O203" s="981"/>
      <c r="P203" s="981"/>
      <c r="Q203" s="981"/>
      <c r="R203" s="981"/>
      <c r="S203" s="981"/>
      <c r="T203" s="981"/>
      <c r="U203" s="981"/>
      <c r="V203" s="981"/>
      <c r="W203" s="981"/>
      <c r="X203" s="981"/>
      <c r="Y203" s="981"/>
      <c r="Z203" s="981"/>
      <c r="AA203" s="981"/>
      <c r="AB203" s="981"/>
    </row>
    <row r="204">
      <c r="A204" s="981"/>
      <c r="B204" s="991"/>
      <c r="C204" s="981"/>
      <c r="D204" s="981"/>
      <c r="E204" s="981"/>
      <c r="F204" s="981"/>
      <c r="G204" s="981"/>
      <c r="H204" s="981"/>
      <c r="I204" s="981"/>
      <c r="J204" s="981"/>
      <c r="K204" s="981"/>
      <c r="L204" s="981"/>
      <c r="M204" s="981"/>
      <c r="N204" s="981"/>
      <c r="O204" s="981"/>
      <c r="P204" s="981"/>
      <c r="Q204" s="981"/>
      <c r="R204" s="981"/>
      <c r="S204" s="981"/>
      <c r="T204" s="981"/>
      <c r="U204" s="981"/>
      <c r="V204" s="981"/>
      <c r="W204" s="981"/>
      <c r="X204" s="981"/>
      <c r="Y204" s="981"/>
      <c r="Z204" s="981"/>
      <c r="AA204" s="981"/>
      <c r="AB204" s="981"/>
    </row>
    <row r="205">
      <c r="A205" s="981"/>
      <c r="B205" s="991"/>
      <c r="C205" s="981"/>
      <c r="D205" s="981"/>
      <c r="E205" s="981"/>
      <c r="F205" s="981"/>
      <c r="G205" s="981"/>
      <c r="H205" s="981"/>
      <c r="I205" s="981"/>
      <c r="J205" s="981"/>
      <c r="K205" s="981"/>
      <c r="L205" s="981"/>
      <c r="M205" s="981"/>
      <c r="N205" s="981"/>
      <c r="O205" s="981"/>
      <c r="P205" s="981"/>
      <c r="Q205" s="981"/>
      <c r="R205" s="981"/>
      <c r="S205" s="981"/>
      <c r="T205" s="981"/>
      <c r="U205" s="981"/>
      <c r="V205" s="981"/>
      <c r="W205" s="981"/>
      <c r="X205" s="981"/>
      <c r="Y205" s="981"/>
      <c r="Z205" s="981"/>
      <c r="AA205" s="981"/>
      <c r="AB205" s="981"/>
    </row>
    <row r="206">
      <c r="A206" s="981"/>
      <c r="B206" s="991"/>
      <c r="C206" s="981"/>
      <c r="D206" s="981"/>
      <c r="E206" s="981"/>
      <c r="F206" s="981"/>
      <c r="G206" s="981"/>
      <c r="H206" s="981"/>
      <c r="I206" s="981"/>
      <c r="J206" s="981"/>
      <c r="K206" s="981"/>
      <c r="L206" s="981"/>
      <c r="M206" s="981"/>
      <c r="N206" s="981"/>
      <c r="O206" s="981"/>
      <c r="P206" s="981"/>
      <c r="Q206" s="981"/>
      <c r="R206" s="981"/>
      <c r="S206" s="981"/>
      <c r="T206" s="981"/>
      <c r="U206" s="981"/>
      <c r="V206" s="981"/>
      <c r="W206" s="981"/>
      <c r="X206" s="981"/>
      <c r="Y206" s="981"/>
      <c r="Z206" s="981"/>
      <c r="AA206" s="981"/>
      <c r="AB206" s="981"/>
    </row>
    <row r="207">
      <c r="A207" s="981"/>
      <c r="B207" s="991"/>
      <c r="C207" s="981"/>
      <c r="D207" s="981"/>
      <c r="E207" s="981"/>
      <c r="F207" s="981"/>
      <c r="G207" s="981"/>
      <c r="H207" s="981"/>
      <c r="I207" s="981"/>
      <c r="J207" s="981"/>
      <c r="K207" s="981"/>
      <c r="L207" s="981"/>
      <c r="M207" s="981"/>
      <c r="N207" s="981"/>
      <c r="O207" s="981"/>
      <c r="P207" s="981"/>
      <c r="Q207" s="981"/>
      <c r="R207" s="981"/>
      <c r="S207" s="981"/>
      <c r="T207" s="981"/>
      <c r="U207" s="981"/>
      <c r="V207" s="981"/>
      <c r="W207" s="981"/>
      <c r="X207" s="981"/>
      <c r="Y207" s="981"/>
      <c r="Z207" s="981"/>
      <c r="AA207" s="981"/>
      <c r="AB207" s="981"/>
    </row>
    <row r="208">
      <c r="A208" s="981"/>
      <c r="B208" s="991"/>
      <c r="C208" s="981"/>
      <c r="D208" s="981"/>
      <c r="E208" s="981"/>
      <c r="F208" s="981"/>
      <c r="G208" s="981"/>
      <c r="H208" s="981"/>
      <c r="I208" s="981"/>
      <c r="J208" s="981"/>
      <c r="K208" s="981"/>
      <c r="L208" s="981"/>
      <c r="M208" s="981"/>
      <c r="N208" s="981"/>
      <c r="O208" s="981"/>
      <c r="P208" s="981"/>
      <c r="Q208" s="981"/>
      <c r="R208" s="981"/>
      <c r="S208" s="981"/>
      <c r="T208" s="981"/>
      <c r="U208" s="981"/>
      <c r="V208" s="981"/>
      <c r="W208" s="981"/>
      <c r="X208" s="981"/>
      <c r="Y208" s="981"/>
      <c r="Z208" s="981"/>
      <c r="AA208" s="981"/>
      <c r="AB208" s="981"/>
    </row>
    <row r="209">
      <c r="A209" s="981"/>
      <c r="B209" s="991"/>
      <c r="C209" s="981"/>
      <c r="D209" s="981"/>
      <c r="E209" s="981"/>
      <c r="F209" s="981"/>
      <c r="G209" s="981"/>
      <c r="H209" s="981"/>
      <c r="I209" s="981"/>
      <c r="J209" s="981"/>
      <c r="K209" s="981"/>
      <c r="L209" s="981"/>
      <c r="M209" s="981"/>
      <c r="N209" s="981"/>
      <c r="O209" s="981"/>
      <c r="P209" s="981"/>
      <c r="Q209" s="981"/>
      <c r="R209" s="981"/>
      <c r="S209" s="981"/>
      <c r="T209" s="981"/>
      <c r="U209" s="981"/>
      <c r="V209" s="981"/>
      <c r="W209" s="981"/>
      <c r="X209" s="981"/>
      <c r="Y209" s="981"/>
      <c r="Z209" s="981"/>
      <c r="AA209" s="981"/>
      <c r="AB209" s="981"/>
    </row>
    <row r="210">
      <c r="A210" s="981"/>
      <c r="B210" s="991"/>
      <c r="C210" s="981"/>
      <c r="D210" s="981"/>
      <c r="E210" s="981"/>
      <c r="F210" s="981"/>
      <c r="G210" s="981"/>
      <c r="H210" s="981"/>
      <c r="I210" s="981"/>
      <c r="J210" s="981"/>
      <c r="K210" s="981"/>
      <c r="L210" s="981"/>
      <c r="M210" s="981"/>
      <c r="N210" s="981"/>
      <c r="O210" s="981"/>
      <c r="P210" s="981"/>
      <c r="Q210" s="981"/>
      <c r="R210" s="981"/>
      <c r="S210" s="981"/>
      <c r="T210" s="981"/>
      <c r="U210" s="981"/>
      <c r="V210" s="981"/>
      <c r="W210" s="981"/>
      <c r="X210" s="981"/>
      <c r="Y210" s="981"/>
      <c r="Z210" s="981"/>
      <c r="AA210" s="981"/>
      <c r="AB210" s="981"/>
    </row>
    <row r="211">
      <c r="A211" s="981"/>
      <c r="B211" s="991"/>
      <c r="C211" s="981"/>
      <c r="D211" s="981"/>
      <c r="E211" s="981"/>
      <c r="F211" s="981"/>
      <c r="G211" s="981"/>
      <c r="H211" s="981"/>
      <c r="I211" s="981"/>
      <c r="J211" s="981"/>
      <c r="K211" s="981"/>
      <c r="L211" s="981"/>
      <c r="M211" s="981"/>
      <c r="N211" s="981"/>
      <c r="O211" s="981"/>
      <c r="P211" s="981"/>
      <c r="Q211" s="981"/>
      <c r="R211" s="981"/>
      <c r="S211" s="981"/>
      <c r="T211" s="981"/>
      <c r="U211" s="981"/>
      <c r="V211" s="981"/>
      <c r="W211" s="981"/>
      <c r="X211" s="981"/>
      <c r="Y211" s="981"/>
      <c r="Z211" s="981"/>
      <c r="AA211" s="981"/>
      <c r="AB211" s="981"/>
    </row>
    <row r="212">
      <c r="A212" s="981"/>
      <c r="B212" s="991"/>
      <c r="C212" s="981"/>
      <c r="D212" s="981"/>
      <c r="E212" s="981"/>
      <c r="F212" s="981"/>
      <c r="G212" s="981"/>
      <c r="H212" s="981"/>
      <c r="I212" s="981"/>
      <c r="J212" s="981"/>
      <c r="K212" s="981"/>
      <c r="L212" s="981"/>
      <c r="M212" s="981"/>
      <c r="N212" s="981"/>
      <c r="O212" s="981"/>
      <c r="P212" s="981"/>
      <c r="Q212" s="981"/>
      <c r="R212" s="981"/>
      <c r="S212" s="981"/>
      <c r="T212" s="981"/>
      <c r="U212" s="981"/>
      <c r="V212" s="981"/>
      <c r="W212" s="981"/>
      <c r="X212" s="981"/>
      <c r="Y212" s="981"/>
      <c r="Z212" s="981"/>
      <c r="AA212" s="981"/>
      <c r="AB212" s="981"/>
    </row>
    <row r="213">
      <c r="A213" s="981"/>
      <c r="B213" s="991"/>
      <c r="C213" s="981"/>
      <c r="D213" s="981"/>
      <c r="E213" s="981"/>
      <c r="F213" s="981"/>
      <c r="G213" s="981"/>
      <c r="H213" s="981"/>
      <c r="I213" s="981"/>
      <c r="J213" s="981"/>
      <c r="K213" s="981"/>
      <c r="L213" s="981"/>
      <c r="M213" s="981"/>
      <c r="N213" s="981"/>
      <c r="O213" s="981"/>
      <c r="P213" s="981"/>
      <c r="Q213" s="981"/>
      <c r="R213" s="981"/>
      <c r="S213" s="981"/>
      <c r="T213" s="981"/>
      <c r="U213" s="981"/>
      <c r="V213" s="981"/>
      <c r="W213" s="981"/>
      <c r="X213" s="981"/>
      <c r="Y213" s="981"/>
      <c r="Z213" s="981"/>
      <c r="AA213" s="981"/>
      <c r="AB213" s="981"/>
    </row>
    <row r="214">
      <c r="A214" s="981"/>
      <c r="B214" s="991"/>
      <c r="C214" s="981"/>
      <c r="D214" s="981"/>
      <c r="E214" s="981"/>
      <c r="F214" s="981"/>
      <c r="G214" s="981"/>
      <c r="H214" s="981"/>
      <c r="I214" s="981"/>
      <c r="J214" s="981"/>
      <c r="K214" s="981"/>
      <c r="L214" s="981"/>
      <c r="M214" s="981"/>
      <c r="N214" s="981"/>
      <c r="O214" s="981"/>
      <c r="P214" s="981"/>
      <c r="Q214" s="981"/>
      <c r="R214" s="981"/>
      <c r="S214" s="981"/>
      <c r="T214" s="981"/>
      <c r="U214" s="981"/>
      <c r="V214" s="981"/>
      <c r="W214" s="981"/>
      <c r="X214" s="981"/>
      <c r="Y214" s="981"/>
      <c r="Z214" s="981"/>
      <c r="AA214" s="981"/>
      <c r="AB214" s="981"/>
    </row>
    <row r="215">
      <c r="A215" s="981"/>
      <c r="B215" s="991"/>
      <c r="C215" s="981"/>
      <c r="D215" s="981"/>
      <c r="E215" s="981"/>
      <c r="F215" s="981"/>
      <c r="G215" s="981"/>
      <c r="H215" s="981"/>
      <c r="I215" s="981"/>
      <c r="J215" s="981"/>
      <c r="K215" s="981"/>
      <c r="L215" s="981"/>
      <c r="M215" s="981"/>
      <c r="N215" s="981"/>
      <c r="O215" s="981"/>
      <c r="P215" s="981"/>
      <c r="Q215" s="981"/>
      <c r="R215" s="981"/>
      <c r="S215" s="981"/>
      <c r="T215" s="981"/>
      <c r="U215" s="981"/>
      <c r="V215" s="981"/>
      <c r="W215" s="981"/>
      <c r="X215" s="981"/>
      <c r="Y215" s="981"/>
      <c r="Z215" s="981"/>
      <c r="AA215" s="981"/>
      <c r="AB215" s="981"/>
    </row>
    <row r="216">
      <c r="A216" s="981"/>
      <c r="B216" s="991"/>
      <c r="C216" s="981"/>
      <c r="D216" s="981"/>
      <c r="E216" s="981"/>
      <c r="F216" s="981"/>
      <c r="G216" s="981"/>
      <c r="H216" s="981"/>
      <c r="I216" s="981"/>
      <c r="J216" s="981"/>
      <c r="K216" s="981"/>
      <c r="L216" s="981"/>
      <c r="M216" s="981"/>
      <c r="N216" s="981"/>
      <c r="O216" s="981"/>
      <c r="P216" s="981"/>
      <c r="Q216" s="981"/>
      <c r="R216" s="981"/>
      <c r="S216" s="981"/>
      <c r="T216" s="981"/>
      <c r="U216" s="981"/>
      <c r="V216" s="981"/>
      <c r="W216" s="981"/>
      <c r="X216" s="981"/>
      <c r="Y216" s="981"/>
      <c r="Z216" s="981"/>
      <c r="AA216" s="981"/>
      <c r="AB216" s="981"/>
    </row>
    <row r="217">
      <c r="A217" s="981"/>
      <c r="B217" s="991"/>
      <c r="C217" s="981"/>
      <c r="D217" s="981"/>
      <c r="E217" s="981"/>
      <c r="F217" s="981"/>
      <c r="G217" s="981"/>
      <c r="H217" s="981"/>
      <c r="I217" s="981"/>
      <c r="J217" s="981"/>
      <c r="K217" s="981"/>
      <c r="L217" s="981"/>
      <c r="M217" s="981"/>
      <c r="N217" s="981"/>
      <c r="O217" s="981"/>
      <c r="P217" s="981"/>
      <c r="Q217" s="981"/>
      <c r="R217" s="981"/>
      <c r="S217" s="981"/>
      <c r="T217" s="981"/>
      <c r="U217" s="981"/>
      <c r="V217" s="981"/>
      <c r="W217" s="981"/>
      <c r="X217" s="981"/>
      <c r="Y217" s="981"/>
      <c r="Z217" s="981"/>
      <c r="AA217" s="981"/>
      <c r="AB217" s="981"/>
    </row>
    <row r="218">
      <c r="A218" s="981"/>
      <c r="B218" s="991"/>
      <c r="C218" s="981"/>
      <c r="D218" s="981"/>
      <c r="E218" s="981"/>
      <c r="F218" s="981"/>
      <c r="G218" s="981"/>
      <c r="H218" s="981"/>
      <c r="I218" s="981"/>
      <c r="J218" s="981"/>
      <c r="K218" s="981"/>
      <c r="L218" s="981"/>
      <c r="M218" s="981"/>
      <c r="N218" s="981"/>
      <c r="O218" s="981"/>
      <c r="P218" s="981"/>
      <c r="Q218" s="981"/>
      <c r="R218" s="981"/>
      <c r="S218" s="981"/>
      <c r="T218" s="981"/>
      <c r="U218" s="981"/>
      <c r="V218" s="981"/>
      <c r="W218" s="981"/>
      <c r="X218" s="981"/>
      <c r="Y218" s="981"/>
      <c r="Z218" s="981"/>
      <c r="AA218" s="981"/>
      <c r="AB218" s="981"/>
    </row>
    <row r="219">
      <c r="A219" s="981"/>
      <c r="B219" s="991"/>
      <c r="C219" s="981"/>
      <c r="D219" s="981"/>
      <c r="E219" s="981"/>
      <c r="F219" s="981"/>
      <c r="G219" s="981"/>
      <c r="H219" s="981"/>
      <c r="I219" s="981"/>
      <c r="J219" s="981"/>
      <c r="K219" s="981"/>
      <c r="L219" s="981"/>
      <c r="M219" s="981"/>
      <c r="N219" s="981"/>
      <c r="O219" s="981"/>
      <c r="P219" s="981"/>
      <c r="Q219" s="981"/>
      <c r="R219" s="981"/>
      <c r="S219" s="981"/>
      <c r="T219" s="981"/>
      <c r="U219" s="981"/>
      <c r="V219" s="981"/>
      <c r="W219" s="981"/>
      <c r="X219" s="981"/>
      <c r="Y219" s="981"/>
      <c r="Z219" s="981"/>
      <c r="AA219" s="981"/>
      <c r="AB219" s="981"/>
    </row>
    <row r="220">
      <c r="A220" s="981"/>
      <c r="B220" s="991"/>
      <c r="C220" s="981"/>
      <c r="D220" s="981"/>
      <c r="E220" s="981"/>
      <c r="F220" s="981"/>
      <c r="G220" s="981"/>
      <c r="H220" s="981"/>
      <c r="I220" s="981"/>
      <c r="J220" s="981"/>
      <c r="K220" s="981"/>
      <c r="L220" s="981"/>
      <c r="M220" s="981"/>
      <c r="N220" s="981"/>
      <c r="O220" s="981"/>
      <c r="P220" s="981"/>
      <c r="Q220" s="981"/>
      <c r="R220" s="981"/>
      <c r="S220" s="981"/>
      <c r="T220" s="981"/>
      <c r="U220" s="981"/>
      <c r="V220" s="981"/>
      <c r="W220" s="981"/>
      <c r="X220" s="981"/>
      <c r="Y220" s="981"/>
      <c r="Z220" s="981"/>
      <c r="AA220" s="981"/>
      <c r="AB220" s="981"/>
    </row>
    <row r="221">
      <c r="A221" s="981"/>
      <c r="B221" s="991"/>
      <c r="C221" s="981"/>
      <c r="D221" s="981"/>
      <c r="E221" s="981"/>
      <c r="F221" s="981"/>
      <c r="G221" s="981"/>
      <c r="H221" s="981"/>
      <c r="I221" s="981"/>
      <c r="J221" s="981"/>
      <c r="K221" s="981"/>
      <c r="L221" s="981"/>
      <c r="M221" s="981"/>
      <c r="N221" s="981"/>
      <c r="O221" s="981"/>
      <c r="P221" s="981"/>
      <c r="Q221" s="981"/>
      <c r="R221" s="981"/>
      <c r="S221" s="981"/>
      <c r="T221" s="981"/>
      <c r="U221" s="981"/>
      <c r="V221" s="981"/>
      <c r="W221" s="981"/>
      <c r="X221" s="981"/>
      <c r="Y221" s="981"/>
      <c r="Z221" s="981"/>
      <c r="AA221" s="981"/>
      <c r="AB221" s="981"/>
    </row>
    <row r="222">
      <c r="A222" s="981"/>
      <c r="B222" s="991"/>
      <c r="C222" s="981"/>
      <c r="D222" s="981"/>
      <c r="E222" s="981"/>
      <c r="F222" s="981"/>
      <c r="G222" s="981"/>
      <c r="H222" s="981"/>
      <c r="I222" s="981"/>
      <c r="J222" s="981"/>
      <c r="K222" s="981"/>
      <c r="L222" s="981"/>
      <c r="M222" s="981"/>
      <c r="N222" s="981"/>
      <c r="O222" s="981"/>
      <c r="P222" s="981"/>
      <c r="Q222" s="981"/>
      <c r="R222" s="981"/>
      <c r="S222" s="981"/>
      <c r="T222" s="981"/>
      <c r="U222" s="981"/>
      <c r="V222" s="981"/>
      <c r="W222" s="981"/>
      <c r="X222" s="981"/>
      <c r="Y222" s="981"/>
      <c r="Z222" s="981"/>
      <c r="AA222" s="981"/>
      <c r="AB222" s="981"/>
    </row>
    <row r="223">
      <c r="A223" s="981"/>
      <c r="B223" s="991"/>
      <c r="C223" s="981"/>
      <c r="D223" s="981"/>
      <c r="E223" s="981"/>
      <c r="F223" s="981"/>
      <c r="G223" s="981"/>
      <c r="H223" s="981"/>
      <c r="I223" s="981"/>
      <c r="J223" s="981"/>
      <c r="K223" s="981"/>
      <c r="L223" s="981"/>
      <c r="M223" s="981"/>
      <c r="N223" s="981"/>
      <c r="O223" s="981"/>
      <c r="P223" s="981"/>
      <c r="Q223" s="981"/>
      <c r="R223" s="981"/>
      <c r="S223" s="981"/>
      <c r="T223" s="981"/>
      <c r="U223" s="981"/>
      <c r="V223" s="981"/>
      <c r="W223" s="981"/>
      <c r="X223" s="981"/>
      <c r="Y223" s="981"/>
      <c r="Z223" s="981"/>
      <c r="AA223" s="981"/>
      <c r="AB223" s="981"/>
    </row>
    <row r="224">
      <c r="A224" s="981"/>
      <c r="B224" s="991"/>
      <c r="C224" s="981"/>
      <c r="D224" s="981"/>
      <c r="E224" s="981"/>
      <c r="F224" s="981"/>
      <c r="G224" s="981"/>
      <c r="H224" s="981"/>
      <c r="I224" s="981"/>
      <c r="J224" s="981"/>
      <c r="K224" s="981"/>
      <c r="L224" s="981"/>
      <c r="M224" s="981"/>
      <c r="N224" s="981"/>
      <c r="O224" s="981"/>
      <c r="P224" s="981"/>
      <c r="Q224" s="981"/>
      <c r="R224" s="981"/>
      <c r="S224" s="981"/>
      <c r="T224" s="981"/>
      <c r="U224" s="981"/>
      <c r="V224" s="981"/>
      <c r="W224" s="981"/>
      <c r="X224" s="981"/>
      <c r="Y224" s="981"/>
      <c r="Z224" s="981"/>
      <c r="AA224" s="981"/>
      <c r="AB224" s="981"/>
    </row>
    <row r="225">
      <c r="A225" s="981"/>
      <c r="B225" s="991"/>
      <c r="C225" s="981"/>
      <c r="D225" s="981"/>
      <c r="E225" s="981"/>
      <c r="F225" s="981"/>
      <c r="G225" s="981"/>
      <c r="H225" s="981"/>
      <c r="I225" s="981"/>
      <c r="J225" s="981"/>
      <c r="K225" s="981"/>
      <c r="L225" s="981"/>
      <c r="M225" s="981"/>
      <c r="N225" s="981"/>
      <c r="O225" s="981"/>
      <c r="P225" s="981"/>
      <c r="Q225" s="981"/>
      <c r="R225" s="981"/>
      <c r="S225" s="981"/>
      <c r="T225" s="981"/>
      <c r="U225" s="981"/>
      <c r="V225" s="981"/>
      <c r="W225" s="981"/>
      <c r="X225" s="981"/>
      <c r="Y225" s="981"/>
      <c r="Z225" s="981"/>
      <c r="AA225" s="981"/>
      <c r="AB225" s="981"/>
    </row>
    <row r="226">
      <c r="A226" s="981"/>
      <c r="B226" s="991"/>
      <c r="C226" s="981"/>
      <c r="D226" s="981"/>
      <c r="E226" s="981"/>
      <c r="F226" s="981"/>
      <c r="G226" s="981"/>
      <c r="H226" s="981"/>
      <c r="I226" s="981"/>
      <c r="J226" s="981"/>
      <c r="K226" s="981"/>
      <c r="L226" s="981"/>
      <c r="M226" s="981"/>
      <c r="N226" s="981"/>
      <c r="O226" s="981"/>
      <c r="P226" s="981"/>
      <c r="Q226" s="981"/>
      <c r="R226" s="981"/>
      <c r="S226" s="981"/>
      <c r="T226" s="981"/>
      <c r="U226" s="981"/>
      <c r="V226" s="981"/>
      <c r="W226" s="981"/>
      <c r="X226" s="981"/>
      <c r="Y226" s="981"/>
      <c r="Z226" s="981"/>
      <c r="AA226" s="981"/>
      <c r="AB226" s="981"/>
    </row>
    <row r="227">
      <c r="A227" s="981"/>
      <c r="B227" s="991"/>
      <c r="C227" s="981"/>
      <c r="D227" s="981"/>
      <c r="E227" s="981"/>
      <c r="F227" s="981"/>
      <c r="G227" s="981"/>
      <c r="H227" s="981"/>
      <c r="I227" s="981"/>
      <c r="J227" s="981"/>
      <c r="K227" s="981"/>
      <c r="L227" s="981"/>
      <c r="M227" s="981"/>
      <c r="N227" s="981"/>
      <c r="O227" s="981"/>
      <c r="P227" s="981"/>
      <c r="Q227" s="981"/>
      <c r="R227" s="981"/>
      <c r="S227" s="981"/>
      <c r="T227" s="981"/>
      <c r="U227" s="981"/>
      <c r="V227" s="981"/>
      <c r="W227" s="981"/>
      <c r="X227" s="981"/>
      <c r="Y227" s="981"/>
      <c r="Z227" s="981"/>
      <c r="AA227" s="981"/>
      <c r="AB227" s="981"/>
    </row>
    <row r="228">
      <c r="A228" s="981"/>
      <c r="B228" s="991"/>
      <c r="C228" s="981"/>
      <c r="D228" s="981"/>
      <c r="E228" s="981"/>
      <c r="F228" s="981"/>
      <c r="G228" s="981"/>
      <c r="H228" s="981"/>
      <c r="I228" s="981"/>
      <c r="J228" s="981"/>
      <c r="K228" s="981"/>
      <c r="L228" s="981"/>
      <c r="M228" s="981"/>
      <c r="N228" s="981"/>
      <c r="O228" s="981"/>
      <c r="P228" s="981"/>
      <c r="Q228" s="981"/>
      <c r="R228" s="981"/>
      <c r="S228" s="981"/>
      <c r="T228" s="981"/>
      <c r="U228" s="981"/>
      <c r="V228" s="981"/>
      <c r="W228" s="981"/>
      <c r="X228" s="981"/>
      <c r="Y228" s="981"/>
      <c r="Z228" s="981"/>
      <c r="AA228" s="981"/>
      <c r="AB228" s="981"/>
    </row>
    <row r="229">
      <c r="A229" s="981"/>
      <c r="B229" s="991"/>
      <c r="C229" s="981"/>
      <c r="D229" s="981"/>
      <c r="E229" s="981"/>
      <c r="F229" s="981"/>
      <c r="G229" s="981"/>
      <c r="H229" s="981"/>
      <c r="I229" s="981"/>
      <c r="J229" s="981"/>
      <c r="K229" s="981"/>
      <c r="L229" s="981"/>
      <c r="M229" s="981"/>
      <c r="N229" s="981"/>
      <c r="O229" s="981"/>
      <c r="P229" s="981"/>
      <c r="Q229" s="981"/>
      <c r="R229" s="981"/>
      <c r="S229" s="981"/>
      <c r="T229" s="981"/>
      <c r="U229" s="981"/>
      <c r="V229" s="981"/>
      <c r="W229" s="981"/>
      <c r="X229" s="981"/>
      <c r="Y229" s="981"/>
      <c r="Z229" s="981"/>
      <c r="AA229" s="981"/>
      <c r="AB229" s="981"/>
    </row>
    <row r="230">
      <c r="A230" s="981"/>
      <c r="B230" s="991"/>
      <c r="C230" s="981"/>
      <c r="D230" s="981"/>
      <c r="E230" s="981"/>
      <c r="F230" s="981"/>
      <c r="G230" s="981"/>
      <c r="H230" s="981"/>
      <c r="I230" s="981"/>
      <c r="J230" s="981"/>
      <c r="K230" s="981"/>
      <c r="L230" s="981"/>
      <c r="M230" s="981"/>
      <c r="N230" s="981"/>
      <c r="O230" s="981"/>
      <c r="P230" s="981"/>
      <c r="Q230" s="981"/>
      <c r="R230" s="981"/>
      <c r="S230" s="981"/>
      <c r="T230" s="981"/>
      <c r="U230" s="981"/>
      <c r="V230" s="981"/>
      <c r="W230" s="981"/>
      <c r="X230" s="981"/>
      <c r="Y230" s="981"/>
      <c r="Z230" s="981"/>
      <c r="AA230" s="981"/>
      <c r="AB230" s="981"/>
    </row>
    <row r="231">
      <c r="A231" s="981"/>
      <c r="B231" s="991"/>
      <c r="C231" s="981"/>
      <c r="D231" s="981"/>
      <c r="E231" s="981"/>
      <c r="F231" s="981"/>
      <c r="G231" s="981"/>
      <c r="H231" s="981"/>
      <c r="I231" s="981"/>
      <c r="J231" s="981"/>
      <c r="K231" s="981"/>
      <c r="L231" s="981"/>
      <c r="M231" s="981"/>
      <c r="N231" s="981"/>
      <c r="O231" s="981"/>
      <c r="P231" s="981"/>
      <c r="Q231" s="981"/>
      <c r="R231" s="981"/>
      <c r="S231" s="981"/>
      <c r="T231" s="981"/>
      <c r="U231" s="981"/>
      <c r="V231" s="981"/>
      <c r="W231" s="981"/>
      <c r="X231" s="981"/>
      <c r="Y231" s="981"/>
      <c r="Z231" s="981"/>
      <c r="AA231" s="981"/>
      <c r="AB231" s="981"/>
    </row>
    <row r="232">
      <c r="A232" s="981"/>
      <c r="B232" s="991"/>
      <c r="C232" s="981"/>
      <c r="D232" s="981"/>
      <c r="E232" s="981"/>
      <c r="F232" s="981"/>
      <c r="G232" s="981"/>
      <c r="H232" s="981"/>
      <c r="I232" s="981"/>
      <c r="J232" s="981"/>
      <c r="K232" s="981"/>
      <c r="L232" s="981"/>
      <c r="M232" s="981"/>
      <c r="N232" s="981"/>
      <c r="O232" s="981"/>
      <c r="P232" s="981"/>
      <c r="Q232" s="981"/>
      <c r="R232" s="981"/>
      <c r="S232" s="981"/>
      <c r="T232" s="981"/>
      <c r="U232" s="981"/>
      <c r="V232" s="981"/>
      <c r="W232" s="981"/>
      <c r="X232" s="981"/>
      <c r="Y232" s="981"/>
      <c r="Z232" s="981"/>
      <c r="AA232" s="981"/>
      <c r="AB232" s="981"/>
    </row>
    <row r="233">
      <c r="A233" s="981"/>
      <c r="B233" s="991"/>
      <c r="C233" s="981"/>
      <c r="D233" s="981"/>
      <c r="E233" s="981"/>
      <c r="F233" s="981"/>
      <c r="G233" s="981"/>
      <c r="H233" s="981"/>
      <c r="I233" s="981"/>
      <c r="J233" s="981"/>
      <c r="K233" s="981"/>
      <c r="L233" s="981"/>
      <c r="M233" s="981"/>
      <c r="N233" s="981"/>
      <c r="O233" s="981"/>
      <c r="P233" s="981"/>
      <c r="Q233" s="981"/>
      <c r="R233" s="981"/>
      <c r="S233" s="981"/>
      <c r="T233" s="981"/>
      <c r="U233" s="981"/>
      <c r="V233" s="981"/>
      <c r="W233" s="981"/>
      <c r="X233" s="981"/>
      <c r="Y233" s="981"/>
      <c r="Z233" s="981"/>
      <c r="AA233" s="981"/>
      <c r="AB233" s="981"/>
    </row>
    <row r="234">
      <c r="A234" s="981"/>
      <c r="B234" s="991"/>
      <c r="C234" s="981"/>
      <c r="D234" s="981"/>
      <c r="E234" s="981"/>
      <c r="F234" s="981"/>
      <c r="G234" s="981"/>
      <c r="H234" s="981"/>
      <c r="I234" s="981"/>
      <c r="J234" s="981"/>
      <c r="K234" s="981"/>
      <c r="L234" s="981"/>
      <c r="M234" s="981"/>
      <c r="N234" s="981"/>
      <c r="O234" s="981"/>
      <c r="P234" s="981"/>
      <c r="Q234" s="981"/>
      <c r="R234" s="981"/>
      <c r="S234" s="981"/>
      <c r="T234" s="981"/>
      <c r="U234" s="981"/>
      <c r="V234" s="981"/>
      <c r="W234" s="981"/>
      <c r="X234" s="981"/>
      <c r="Y234" s="981"/>
      <c r="Z234" s="981"/>
      <c r="AA234" s="981"/>
      <c r="AB234" s="981"/>
    </row>
    <row r="235">
      <c r="A235" s="981"/>
      <c r="B235" s="991"/>
      <c r="C235" s="981"/>
      <c r="D235" s="981"/>
      <c r="E235" s="981"/>
      <c r="F235" s="981"/>
      <c r="G235" s="981"/>
      <c r="H235" s="981"/>
      <c r="I235" s="981"/>
      <c r="J235" s="981"/>
      <c r="K235" s="981"/>
      <c r="L235" s="981"/>
      <c r="M235" s="981"/>
      <c r="N235" s="981"/>
      <c r="O235" s="981"/>
      <c r="P235" s="981"/>
      <c r="Q235" s="981"/>
      <c r="R235" s="981"/>
      <c r="S235" s="981"/>
      <c r="T235" s="981"/>
      <c r="U235" s="981"/>
      <c r="V235" s="981"/>
      <c r="W235" s="981"/>
      <c r="X235" s="981"/>
      <c r="Y235" s="981"/>
      <c r="Z235" s="981"/>
      <c r="AA235" s="981"/>
      <c r="AB235" s="981"/>
    </row>
    <row r="236">
      <c r="A236" s="981"/>
      <c r="B236" s="991"/>
      <c r="C236" s="981"/>
      <c r="D236" s="981"/>
      <c r="E236" s="981"/>
      <c r="F236" s="981"/>
      <c r="G236" s="981"/>
      <c r="H236" s="981"/>
      <c r="I236" s="981"/>
      <c r="J236" s="981"/>
      <c r="K236" s="981"/>
      <c r="L236" s="981"/>
      <c r="M236" s="981"/>
      <c r="N236" s="981"/>
      <c r="O236" s="981"/>
      <c r="P236" s="981"/>
      <c r="Q236" s="981"/>
      <c r="R236" s="981"/>
      <c r="S236" s="981"/>
      <c r="T236" s="981"/>
      <c r="U236" s="981"/>
      <c r="V236" s="981"/>
      <c r="W236" s="981"/>
      <c r="X236" s="981"/>
      <c r="Y236" s="981"/>
      <c r="Z236" s="981"/>
      <c r="AA236" s="981"/>
      <c r="AB236" s="981"/>
    </row>
    <row r="237">
      <c r="A237" s="981"/>
      <c r="B237" s="991"/>
      <c r="C237" s="981"/>
      <c r="D237" s="981"/>
      <c r="E237" s="981"/>
      <c r="F237" s="981"/>
      <c r="G237" s="981"/>
      <c r="H237" s="981"/>
      <c r="I237" s="981"/>
      <c r="J237" s="981"/>
      <c r="K237" s="981"/>
      <c r="L237" s="981"/>
      <c r="M237" s="981"/>
      <c r="N237" s="981"/>
      <c r="O237" s="981"/>
      <c r="P237" s="981"/>
      <c r="Q237" s="981"/>
      <c r="R237" s="981"/>
      <c r="S237" s="981"/>
      <c r="T237" s="981"/>
      <c r="U237" s="981"/>
      <c r="V237" s="981"/>
      <c r="W237" s="981"/>
      <c r="X237" s="981"/>
      <c r="Y237" s="981"/>
      <c r="Z237" s="981"/>
      <c r="AA237" s="981"/>
      <c r="AB237" s="981"/>
    </row>
    <row r="238">
      <c r="A238" s="981"/>
      <c r="B238" s="991"/>
      <c r="C238" s="981"/>
      <c r="D238" s="981"/>
      <c r="E238" s="981"/>
      <c r="F238" s="981"/>
      <c r="G238" s="981"/>
      <c r="H238" s="981"/>
      <c r="I238" s="981"/>
      <c r="J238" s="981"/>
      <c r="K238" s="981"/>
      <c r="L238" s="981"/>
      <c r="M238" s="981"/>
      <c r="N238" s="981"/>
      <c r="O238" s="981"/>
      <c r="P238" s="981"/>
      <c r="Q238" s="981"/>
      <c r="R238" s="981"/>
      <c r="S238" s="981"/>
      <c r="T238" s="981"/>
      <c r="U238" s="981"/>
      <c r="V238" s="981"/>
      <c r="W238" s="981"/>
      <c r="X238" s="981"/>
      <c r="Y238" s="981"/>
      <c r="Z238" s="981"/>
      <c r="AA238" s="981"/>
      <c r="AB238" s="981"/>
    </row>
    <row r="239">
      <c r="A239" s="981"/>
      <c r="B239" s="991"/>
      <c r="C239" s="981"/>
      <c r="D239" s="981"/>
      <c r="E239" s="981"/>
      <c r="F239" s="981"/>
      <c r="G239" s="981"/>
      <c r="H239" s="981"/>
      <c r="I239" s="981"/>
      <c r="J239" s="981"/>
      <c r="K239" s="981"/>
      <c r="L239" s="981"/>
      <c r="M239" s="981"/>
      <c r="N239" s="981"/>
      <c r="O239" s="981"/>
      <c r="P239" s="981"/>
      <c r="Q239" s="981"/>
      <c r="R239" s="981"/>
      <c r="S239" s="981"/>
      <c r="T239" s="981"/>
      <c r="U239" s="981"/>
      <c r="V239" s="981"/>
      <c r="W239" s="981"/>
      <c r="X239" s="981"/>
      <c r="Y239" s="981"/>
      <c r="Z239" s="981"/>
      <c r="AA239" s="981"/>
      <c r="AB239" s="981"/>
    </row>
    <row r="240">
      <c r="A240" s="981"/>
      <c r="B240" s="991"/>
      <c r="C240" s="981"/>
      <c r="D240" s="981"/>
      <c r="E240" s="981"/>
      <c r="F240" s="981"/>
      <c r="G240" s="981"/>
      <c r="H240" s="981"/>
      <c r="I240" s="981"/>
      <c r="J240" s="981"/>
      <c r="K240" s="981"/>
      <c r="L240" s="981"/>
      <c r="M240" s="981"/>
      <c r="N240" s="981"/>
      <c r="O240" s="981"/>
      <c r="P240" s="981"/>
      <c r="Q240" s="981"/>
      <c r="R240" s="981"/>
      <c r="S240" s="981"/>
      <c r="T240" s="981"/>
      <c r="U240" s="981"/>
      <c r="V240" s="981"/>
      <c r="W240" s="981"/>
      <c r="X240" s="981"/>
      <c r="Y240" s="981"/>
      <c r="Z240" s="981"/>
      <c r="AA240" s="981"/>
      <c r="AB240" s="981"/>
    </row>
    <row r="241">
      <c r="A241" s="981"/>
      <c r="B241" s="991"/>
      <c r="C241" s="981"/>
      <c r="D241" s="981"/>
      <c r="E241" s="981"/>
      <c r="F241" s="981"/>
      <c r="G241" s="981"/>
      <c r="H241" s="981"/>
      <c r="I241" s="981"/>
      <c r="J241" s="981"/>
      <c r="K241" s="981"/>
      <c r="L241" s="981"/>
      <c r="M241" s="981"/>
      <c r="N241" s="981"/>
      <c r="O241" s="981"/>
      <c r="P241" s="981"/>
      <c r="Q241" s="981"/>
      <c r="R241" s="981"/>
      <c r="S241" s="981"/>
      <c r="T241" s="981"/>
      <c r="U241" s="981"/>
      <c r="V241" s="981"/>
      <c r="W241" s="981"/>
      <c r="X241" s="981"/>
      <c r="Y241" s="981"/>
      <c r="Z241" s="981"/>
      <c r="AA241" s="981"/>
      <c r="AB241" s="981"/>
    </row>
    <row r="242">
      <c r="A242" s="981"/>
      <c r="B242" s="991"/>
      <c r="C242" s="981"/>
      <c r="D242" s="981"/>
      <c r="E242" s="981"/>
      <c r="F242" s="981"/>
      <c r="G242" s="981"/>
      <c r="H242" s="981"/>
      <c r="I242" s="981"/>
      <c r="J242" s="981"/>
      <c r="K242" s="981"/>
      <c r="L242" s="981"/>
      <c r="M242" s="981"/>
      <c r="N242" s="981"/>
      <c r="O242" s="981"/>
      <c r="P242" s="981"/>
      <c r="Q242" s="981"/>
      <c r="R242" s="981"/>
      <c r="S242" s="981"/>
      <c r="T242" s="981"/>
      <c r="U242" s="981"/>
      <c r="V242" s="981"/>
      <c r="W242" s="981"/>
      <c r="X242" s="981"/>
      <c r="Y242" s="981"/>
      <c r="Z242" s="981"/>
      <c r="AA242" s="981"/>
      <c r="AB242" s="981"/>
    </row>
    <row r="243">
      <c r="A243" s="981"/>
      <c r="B243" s="991"/>
      <c r="C243" s="981"/>
      <c r="D243" s="981"/>
      <c r="E243" s="981"/>
      <c r="F243" s="981"/>
      <c r="G243" s="981"/>
      <c r="H243" s="981"/>
      <c r="I243" s="981"/>
      <c r="J243" s="981"/>
      <c r="K243" s="981"/>
      <c r="L243" s="981"/>
      <c r="M243" s="981"/>
      <c r="N243" s="981"/>
      <c r="O243" s="981"/>
      <c r="P243" s="981"/>
      <c r="Q243" s="981"/>
      <c r="R243" s="981"/>
      <c r="S243" s="981"/>
      <c r="T243" s="981"/>
      <c r="U243" s="981"/>
      <c r="V243" s="981"/>
      <c r="W243" s="981"/>
      <c r="X243" s="981"/>
      <c r="Y243" s="981"/>
      <c r="Z243" s="981"/>
      <c r="AA243" s="981"/>
      <c r="AB243" s="981"/>
    </row>
    <row r="244">
      <c r="A244" s="981"/>
      <c r="B244" s="991"/>
      <c r="C244" s="981"/>
      <c r="D244" s="981"/>
      <c r="E244" s="981"/>
      <c r="F244" s="981"/>
      <c r="G244" s="981"/>
      <c r="H244" s="981"/>
      <c r="I244" s="981"/>
      <c r="J244" s="981"/>
      <c r="K244" s="981"/>
      <c r="L244" s="981"/>
      <c r="M244" s="981"/>
      <c r="N244" s="981"/>
      <c r="O244" s="981"/>
      <c r="P244" s="981"/>
      <c r="Q244" s="981"/>
      <c r="R244" s="981"/>
      <c r="S244" s="981"/>
      <c r="T244" s="981"/>
      <c r="U244" s="981"/>
      <c r="V244" s="981"/>
      <c r="W244" s="981"/>
      <c r="X244" s="981"/>
      <c r="Y244" s="981"/>
      <c r="Z244" s="981"/>
      <c r="AA244" s="981"/>
      <c r="AB244" s="981"/>
    </row>
    <row r="245">
      <c r="A245" s="981"/>
      <c r="B245" s="991"/>
      <c r="C245" s="981"/>
      <c r="D245" s="981"/>
      <c r="E245" s="981"/>
      <c r="F245" s="981"/>
      <c r="G245" s="981"/>
      <c r="H245" s="981"/>
      <c r="I245" s="981"/>
      <c r="J245" s="981"/>
      <c r="K245" s="981"/>
      <c r="L245" s="981"/>
      <c r="M245" s="981"/>
      <c r="N245" s="981"/>
      <c r="O245" s="981"/>
      <c r="P245" s="981"/>
      <c r="Q245" s="981"/>
      <c r="R245" s="981"/>
      <c r="S245" s="981"/>
      <c r="T245" s="981"/>
      <c r="U245" s="981"/>
      <c r="V245" s="981"/>
      <c r="W245" s="981"/>
      <c r="X245" s="981"/>
      <c r="Y245" s="981"/>
      <c r="Z245" s="981"/>
      <c r="AA245" s="981"/>
      <c r="AB245" s="981"/>
    </row>
    <row r="246">
      <c r="A246" s="981"/>
      <c r="B246" s="991"/>
      <c r="C246" s="981"/>
      <c r="D246" s="981"/>
      <c r="E246" s="981"/>
      <c r="F246" s="981"/>
      <c r="G246" s="981"/>
      <c r="H246" s="981"/>
      <c r="I246" s="981"/>
      <c r="J246" s="981"/>
      <c r="K246" s="981"/>
      <c r="L246" s="981"/>
      <c r="M246" s="981"/>
      <c r="N246" s="981"/>
      <c r="O246" s="981"/>
      <c r="P246" s="981"/>
      <c r="Q246" s="981"/>
      <c r="R246" s="981"/>
      <c r="S246" s="981"/>
      <c r="T246" s="981"/>
      <c r="U246" s="981"/>
      <c r="V246" s="981"/>
      <c r="W246" s="981"/>
      <c r="X246" s="981"/>
      <c r="Y246" s="981"/>
      <c r="Z246" s="981"/>
      <c r="AA246" s="981"/>
      <c r="AB246" s="981"/>
    </row>
    <row r="247">
      <c r="A247" s="981"/>
      <c r="B247" s="991"/>
      <c r="C247" s="981"/>
      <c r="D247" s="981"/>
      <c r="E247" s="981"/>
      <c r="F247" s="981"/>
      <c r="G247" s="981"/>
      <c r="H247" s="981"/>
      <c r="I247" s="981"/>
      <c r="J247" s="981"/>
      <c r="K247" s="981"/>
      <c r="L247" s="981"/>
      <c r="M247" s="981"/>
      <c r="N247" s="981"/>
      <c r="O247" s="981"/>
      <c r="P247" s="981"/>
      <c r="Q247" s="981"/>
      <c r="R247" s="981"/>
      <c r="S247" s="981"/>
      <c r="T247" s="981"/>
      <c r="U247" s="981"/>
      <c r="V247" s="981"/>
      <c r="W247" s="981"/>
      <c r="X247" s="981"/>
      <c r="Y247" s="981"/>
      <c r="Z247" s="981"/>
      <c r="AA247" s="981"/>
      <c r="AB247" s="981"/>
    </row>
    <row r="248">
      <c r="A248" s="981"/>
      <c r="B248" s="991"/>
      <c r="C248" s="981"/>
      <c r="D248" s="981"/>
      <c r="E248" s="981"/>
      <c r="F248" s="981"/>
      <c r="G248" s="981"/>
      <c r="H248" s="981"/>
      <c r="I248" s="981"/>
      <c r="J248" s="981"/>
      <c r="K248" s="981"/>
      <c r="L248" s="981"/>
      <c r="M248" s="981"/>
      <c r="N248" s="981"/>
      <c r="O248" s="981"/>
      <c r="P248" s="981"/>
      <c r="Q248" s="981"/>
      <c r="R248" s="981"/>
      <c r="S248" s="981"/>
      <c r="T248" s="981"/>
      <c r="U248" s="981"/>
      <c r="V248" s="981"/>
      <c r="W248" s="981"/>
      <c r="X248" s="981"/>
      <c r="Y248" s="981"/>
      <c r="Z248" s="981"/>
      <c r="AA248" s="981"/>
      <c r="AB248" s="981"/>
    </row>
    <row r="249">
      <c r="A249" s="981"/>
      <c r="B249" s="991"/>
      <c r="C249" s="981"/>
      <c r="D249" s="981"/>
      <c r="E249" s="981"/>
      <c r="F249" s="981"/>
      <c r="G249" s="981"/>
      <c r="H249" s="981"/>
      <c r="I249" s="981"/>
      <c r="J249" s="981"/>
      <c r="K249" s="981"/>
      <c r="L249" s="981"/>
      <c r="M249" s="981"/>
      <c r="N249" s="981"/>
      <c r="O249" s="981"/>
      <c r="P249" s="981"/>
      <c r="Q249" s="981"/>
      <c r="R249" s="981"/>
      <c r="S249" s="981"/>
      <c r="T249" s="981"/>
      <c r="U249" s="981"/>
      <c r="V249" s="981"/>
      <c r="W249" s="981"/>
      <c r="X249" s="981"/>
      <c r="Y249" s="981"/>
      <c r="Z249" s="981"/>
      <c r="AA249" s="981"/>
      <c r="AB249" s="981"/>
    </row>
    <row r="250">
      <c r="A250" s="981"/>
      <c r="B250" s="991"/>
      <c r="C250" s="981"/>
      <c r="D250" s="981"/>
      <c r="E250" s="981"/>
      <c r="F250" s="981"/>
      <c r="G250" s="981"/>
      <c r="H250" s="981"/>
      <c r="I250" s="981"/>
      <c r="J250" s="981"/>
      <c r="K250" s="981"/>
      <c r="L250" s="981"/>
      <c r="M250" s="981"/>
      <c r="N250" s="981"/>
      <c r="O250" s="981"/>
      <c r="P250" s="981"/>
      <c r="Q250" s="981"/>
      <c r="R250" s="981"/>
      <c r="S250" s="981"/>
      <c r="T250" s="981"/>
      <c r="U250" s="981"/>
      <c r="V250" s="981"/>
      <c r="W250" s="981"/>
      <c r="X250" s="981"/>
      <c r="Y250" s="981"/>
      <c r="Z250" s="981"/>
      <c r="AA250" s="981"/>
      <c r="AB250" s="981"/>
    </row>
    <row r="251">
      <c r="A251" s="981"/>
      <c r="B251" s="991"/>
      <c r="C251" s="981"/>
      <c r="D251" s="981"/>
      <c r="E251" s="981"/>
      <c r="F251" s="981"/>
      <c r="G251" s="981"/>
      <c r="H251" s="981"/>
      <c r="I251" s="981"/>
      <c r="J251" s="981"/>
      <c r="K251" s="981"/>
      <c r="L251" s="981"/>
      <c r="M251" s="981"/>
      <c r="N251" s="981"/>
      <c r="O251" s="981"/>
      <c r="P251" s="981"/>
      <c r="Q251" s="981"/>
      <c r="R251" s="981"/>
      <c r="S251" s="981"/>
      <c r="T251" s="981"/>
      <c r="U251" s="981"/>
      <c r="V251" s="981"/>
      <c r="W251" s="981"/>
      <c r="X251" s="981"/>
      <c r="Y251" s="981"/>
      <c r="Z251" s="981"/>
      <c r="AA251" s="981"/>
      <c r="AB251" s="981"/>
    </row>
    <row r="252">
      <c r="A252" s="981"/>
      <c r="B252" s="991"/>
      <c r="C252" s="981"/>
      <c r="D252" s="981"/>
      <c r="E252" s="981"/>
      <c r="F252" s="981"/>
      <c r="G252" s="981"/>
      <c r="H252" s="981"/>
      <c r="I252" s="981"/>
      <c r="J252" s="981"/>
      <c r="K252" s="981"/>
      <c r="L252" s="981"/>
      <c r="M252" s="981"/>
      <c r="N252" s="981"/>
      <c r="O252" s="981"/>
      <c r="P252" s="981"/>
      <c r="Q252" s="981"/>
      <c r="R252" s="981"/>
      <c r="S252" s="981"/>
      <c r="T252" s="981"/>
      <c r="U252" s="981"/>
      <c r="V252" s="981"/>
      <c r="W252" s="981"/>
      <c r="X252" s="981"/>
      <c r="Y252" s="981"/>
      <c r="Z252" s="981"/>
      <c r="AA252" s="981"/>
      <c r="AB252" s="981"/>
    </row>
    <row r="253">
      <c r="A253" s="981"/>
      <c r="B253" s="991"/>
      <c r="C253" s="981"/>
      <c r="D253" s="981"/>
      <c r="E253" s="981"/>
      <c r="F253" s="981"/>
      <c r="G253" s="981"/>
      <c r="H253" s="981"/>
      <c r="I253" s="981"/>
      <c r="J253" s="981"/>
      <c r="K253" s="981"/>
      <c r="L253" s="981"/>
      <c r="M253" s="981"/>
      <c r="N253" s="981"/>
      <c r="O253" s="981"/>
      <c r="P253" s="981"/>
      <c r="Q253" s="981"/>
      <c r="R253" s="981"/>
      <c r="S253" s="981"/>
      <c r="T253" s="981"/>
      <c r="U253" s="981"/>
      <c r="V253" s="981"/>
      <c r="W253" s="981"/>
      <c r="X253" s="981"/>
      <c r="Y253" s="981"/>
      <c r="Z253" s="981"/>
      <c r="AA253" s="981"/>
      <c r="AB253" s="981"/>
    </row>
    <row r="254">
      <c r="A254" s="981"/>
      <c r="B254" s="991"/>
      <c r="C254" s="981"/>
      <c r="D254" s="981"/>
      <c r="E254" s="981"/>
      <c r="F254" s="981"/>
      <c r="G254" s="981"/>
      <c r="H254" s="981"/>
      <c r="I254" s="981"/>
      <c r="J254" s="981"/>
      <c r="K254" s="981"/>
      <c r="L254" s="981"/>
      <c r="M254" s="981"/>
      <c r="N254" s="981"/>
      <c r="O254" s="981"/>
      <c r="P254" s="981"/>
      <c r="Q254" s="981"/>
      <c r="R254" s="981"/>
      <c r="S254" s="981"/>
      <c r="T254" s="981"/>
      <c r="U254" s="981"/>
      <c r="V254" s="981"/>
      <c r="W254" s="981"/>
      <c r="X254" s="981"/>
      <c r="Y254" s="981"/>
      <c r="Z254" s="981"/>
      <c r="AA254" s="981"/>
      <c r="AB254" s="981"/>
    </row>
    <row r="255">
      <c r="A255" s="981"/>
      <c r="B255" s="991"/>
      <c r="C255" s="981"/>
      <c r="D255" s="981"/>
      <c r="E255" s="981"/>
      <c r="F255" s="981"/>
      <c r="G255" s="981"/>
      <c r="H255" s="981"/>
      <c r="I255" s="981"/>
      <c r="J255" s="981"/>
      <c r="K255" s="981"/>
      <c r="L255" s="981"/>
      <c r="M255" s="981"/>
      <c r="N255" s="981"/>
      <c r="O255" s="981"/>
      <c r="P255" s="981"/>
      <c r="Q255" s="981"/>
      <c r="R255" s="981"/>
      <c r="S255" s="981"/>
      <c r="T255" s="981"/>
      <c r="U255" s="981"/>
      <c r="V255" s="981"/>
      <c r="W255" s="981"/>
      <c r="X255" s="981"/>
      <c r="Y255" s="981"/>
      <c r="Z255" s="981"/>
      <c r="AA255" s="981"/>
      <c r="AB255" s="981"/>
    </row>
    <row r="256">
      <c r="A256" s="981"/>
      <c r="B256" s="991"/>
      <c r="C256" s="981"/>
      <c r="D256" s="981"/>
      <c r="E256" s="981"/>
      <c r="F256" s="981"/>
      <c r="G256" s="981"/>
      <c r="H256" s="981"/>
      <c r="I256" s="981"/>
      <c r="J256" s="981"/>
      <c r="K256" s="981"/>
      <c r="L256" s="981"/>
      <c r="M256" s="981"/>
      <c r="N256" s="981"/>
      <c r="O256" s="981"/>
      <c r="P256" s="981"/>
      <c r="Q256" s="981"/>
      <c r="R256" s="981"/>
      <c r="S256" s="981"/>
      <c r="T256" s="981"/>
      <c r="U256" s="981"/>
      <c r="V256" s="981"/>
      <c r="W256" s="981"/>
      <c r="X256" s="981"/>
      <c r="Y256" s="981"/>
      <c r="Z256" s="981"/>
      <c r="AA256" s="981"/>
      <c r="AB256" s="981"/>
    </row>
    <row r="257">
      <c r="A257" s="981"/>
      <c r="B257" s="991"/>
      <c r="C257" s="981"/>
      <c r="D257" s="981"/>
      <c r="E257" s="981"/>
      <c r="F257" s="981"/>
      <c r="G257" s="981"/>
      <c r="H257" s="981"/>
      <c r="I257" s="981"/>
      <c r="J257" s="981"/>
      <c r="K257" s="981"/>
      <c r="L257" s="981"/>
      <c r="M257" s="981"/>
      <c r="N257" s="981"/>
      <c r="O257" s="981"/>
      <c r="P257" s="981"/>
      <c r="Q257" s="981"/>
      <c r="R257" s="981"/>
      <c r="S257" s="981"/>
      <c r="T257" s="981"/>
      <c r="U257" s="981"/>
      <c r="V257" s="981"/>
      <c r="W257" s="981"/>
      <c r="X257" s="981"/>
      <c r="Y257" s="981"/>
      <c r="Z257" s="981"/>
      <c r="AA257" s="981"/>
      <c r="AB257" s="981"/>
    </row>
    <row r="258">
      <c r="A258" s="981"/>
      <c r="B258" s="991"/>
      <c r="C258" s="981"/>
      <c r="D258" s="981"/>
      <c r="E258" s="981"/>
      <c r="F258" s="981"/>
      <c r="G258" s="981"/>
      <c r="H258" s="981"/>
      <c r="I258" s="981"/>
      <c r="J258" s="981"/>
      <c r="K258" s="981"/>
      <c r="L258" s="981"/>
      <c r="M258" s="981"/>
      <c r="N258" s="981"/>
      <c r="O258" s="981"/>
      <c r="P258" s="981"/>
      <c r="Q258" s="981"/>
      <c r="R258" s="981"/>
      <c r="S258" s="981"/>
      <c r="T258" s="981"/>
      <c r="U258" s="981"/>
      <c r="V258" s="981"/>
      <c r="W258" s="981"/>
      <c r="X258" s="981"/>
      <c r="Y258" s="981"/>
      <c r="Z258" s="981"/>
      <c r="AA258" s="981"/>
      <c r="AB258" s="981"/>
    </row>
    <row r="259">
      <c r="A259" s="981"/>
      <c r="B259" s="991"/>
      <c r="C259" s="981"/>
      <c r="D259" s="981"/>
      <c r="E259" s="981"/>
      <c r="F259" s="981"/>
      <c r="G259" s="981"/>
      <c r="H259" s="981"/>
      <c r="I259" s="981"/>
      <c r="J259" s="981"/>
      <c r="K259" s="981"/>
      <c r="L259" s="981"/>
      <c r="M259" s="981"/>
      <c r="N259" s="981"/>
      <c r="O259" s="981"/>
      <c r="P259" s="981"/>
      <c r="Q259" s="981"/>
      <c r="R259" s="981"/>
      <c r="S259" s="981"/>
      <c r="T259" s="981"/>
      <c r="U259" s="981"/>
      <c r="V259" s="981"/>
      <c r="W259" s="981"/>
      <c r="X259" s="981"/>
      <c r="Y259" s="981"/>
      <c r="Z259" s="981"/>
      <c r="AA259" s="981"/>
      <c r="AB259" s="981"/>
    </row>
    <row r="260">
      <c r="A260" s="981"/>
      <c r="B260" s="991"/>
      <c r="C260" s="981"/>
      <c r="D260" s="981"/>
      <c r="E260" s="981"/>
      <c r="F260" s="981"/>
      <c r="G260" s="981"/>
      <c r="H260" s="981"/>
      <c r="I260" s="981"/>
      <c r="J260" s="981"/>
      <c r="K260" s="981"/>
      <c r="L260" s="981"/>
      <c r="M260" s="981"/>
      <c r="N260" s="981"/>
      <c r="O260" s="981"/>
      <c r="P260" s="981"/>
      <c r="Q260" s="981"/>
      <c r="R260" s="981"/>
      <c r="S260" s="981"/>
      <c r="T260" s="981"/>
      <c r="U260" s="981"/>
      <c r="V260" s="981"/>
      <c r="W260" s="981"/>
      <c r="X260" s="981"/>
      <c r="Y260" s="981"/>
      <c r="Z260" s="981"/>
      <c r="AA260" s="981"/>
      <c r="AB260" s="981"/>
    </row>
    <row r="261">
      <c r="A261" s="981"/>
      <c r="B261" s="991"/>
      <c r="C261" s="981"/>
      <c r="D261" s="981"/>
      <c r="E261" s="981"/>
      <c r="F261" s="981"/>
      <c r="G261" s="981"/>
      <c r="H261" s="981"/>
      <c r="I261" s="981"/>
      <c r="J261" s="981"/>
      <c r="K261" s="981"/>
      <c r="L261" s="981"/>
      <c r="M261" s="981"/>
      <c r="N261" s="981"/>
      <c r="O261" s="981"/>
      <c r="P261" s="981"/>
      <c r="Q261" s="981"/>
      <c r="R261" s="981"/>
      <c r="S261" s="981"/>
      <c r="T261" s="981"/>
      <c r="U261" s="981"/>
      <c r="V261" s="981"/>
      <c r="W261" s="981"/>
      <c r="X261" s="981"/>
      <c r="Y261" s="981"/>
      <c r="Z261" s="981"/>
      <c r="AA261" s="981"/>
      <c r="AB261" s="981"/>
    </row>
    <row r="262">
      <c r="A262" s="981"/>
      <c r="B262" s="991"/>
      <c r="C262" s="981"/>
      <c r="D262" s="981"/>
      <c r="E262" s="981"/>
      <c r="F262" s="981"/>
      <c r="G262" s="981"/>
      <c r="H262" s="981"/>
      <c r="I262" s="981"/>
      <c r="J262" s="981"/>
      <c r="K262" s="981"/>
      <c r="L262" s="981"/>
      <c r="M262" s="981"/>
      <c r="N262" s="981"/>
      <c r="O262" s="981"/>
      <c r="P262" s="981"/>
      <c r="Q262" s="981"/>
      <c r="R262" s="981"/>
      <c r="S262" s="981"/>
      <c r="T262" s="981"/>
      <c r="U262" s="981"/>
      <c r="V262" s="981"/>
      <c r="W262" s="981"/>
      <c r="X262" s="981"/>
      <c r="Y262" s="981"/>
      <c r="Z262" s="981"/>
      <c r="AA262" s="981"/>
      <c r="AB262" s="981"/>
    </row>
    <row r="263">
      <c r="A263" s="981"/>
      <c r="B263" s="991"/>
      <c r="C263" s="981"/>
      <c r="D263" s="981"/>
      <c r="E263" s="981"/>
      <c r="F263" s="981"/>
      <c r="G263" s="981"/>
      <c r="H263" s="981"/>
      <c r="I263" s="981"/>
      <c r="J263" s="981"/>
      <c r="K263" s="981"/>
      <c r="L263" s="981"/>
      <c r="M263" s="981"/>
      <c r="N263" s="981"/>
      <c r="O263" s="981"/>
      <c r="P263" s="981"/>
      <c r="Q263" s="981"/>
      <c r="R263" s="981"/>
      <c r="S263" s="981"/>
      <c r="T263" s="981"/>
      <c r="U263" s="981"/>
      <c r="V263" s="981"/>
      <c r="W263" s="981"/>
      <c r="X263" s="981"/>
      <c r="Y263" s="981"/>
      <c r="Z263" s="981"/>
      <c r="AA263" s="981"/>
      <c r="AB263" s="981"/>
    </row>
    <row r="264">
      <c r="A264" s="981"/>
      <c r="B264" s="991"/>
      <c r="C264" s="981"/>
      <c r="D264" s="981"/>
      <c r="E264" s="981"/>
      <c r="F264" s="981"/>
      <c r="G264" s="981"/>
      <c r="H264" s="981"/>
      <c r="I264" s="981"/>
      <c r="J264" s="981"/>
      <c r="K264" s="981"/>
      <c r="L264" s="981"/>
      <c r="M264" s="981"/>
      <c r="N264" s="981"/>
      <c r="O264" s="981"/>
      <c r="P264" s="981"/>
      <c r="Q264" s="981"/>
      <c r="R264" s="981"/>
      <c r="S264" s="981"/>
      <c r="T264" s="981"/>
      <c r="U264" s="981"/>
      <c r="V264" s="981"/>
      <c r="W264" s="981"/>
      <c r="X264" s="981"/>
      <c r="Y264" s="981"/>
      <c r="Z264" s="981"/>
      <c r="AA264" s="981"/>
      <c r="AB264" s="981"/>
    </row>
    <row r="265">
      <c r="A265" s="981"/>
      <c r="B265" s="991"/>
      <c r="C265" s="981"/>
      <c r="D265" s="981"/>
      <c r="E265" s="981"/>
      <c r="F265" s="981"/>
      <c r="G265" s="981"/>
      <c r="H265" s="981"/>
      <c r="I265" s="981"/>
      <c r="J265" s="981"/>
      <c r="K265" s="981"/>
      <c r="L265" s="981"/>
      <c r="M265" s="981"/>
      <c r="N265" s="981"/>
      <c r="O265" s="981"/>
      <c r="P265" s="981"/>
      <c r="Q265" s="981"/>
      <c r="R265" s="981"/>
      <c r="S265" s="981"/>
      <c r="T265" s="981"/>
      <c r="U265" s="981"/>
      <c r="V265" s="981"/>
      <c r="W265" s="981"/>
      <c r="X265" s="981"/>
      <c r="Y265" s="981"/>
      <c r="Z265" s="981"/>
      <c r="AA265" s="981"/>
      <c r="AB265" s="981"/>
    </row>
    <row r="266">
      <c r="A266" s="981"/>
      <c r="B266" s="991"/>
      <c r="C266" s="981"/>
      <c r="D266" s="981"/>
      <c r="E266" s="981"/>
      <c r="F266" s="981"/>
      <c r="G266" s="981"/>
      <c r="H266" s="981"/>
      <c r="I266" s="981"/>
      <c r="J266" s="981"/>
      <c r="K266" s="981"/>
      <c r="L266" s="981"/>
      <c r="M266" s="981"/>
      <c r="N266" s="981"/>
      <c r="O266" s="981"/>
      <c r="P266" s="981"/>
      <c r="Q266" s="981"/>
      <c r="R266" s="981"/>
      <c r="S266" s="981"/>
      <c r="T266" s="981"/>
      <c r="U266" s="981"/>
      <c r="V266" s="981"/>
      <c r="W266" s="981"/>
      <c r="X266" s="981"/>
      <c r="Y266" s="981"/>
      <c r="Z266" s="981"/>
      <c r="AA266" s="981"/>
      <c r="AB266" s="981"/>
    </row>
    <row r="267">
      <c r="A267" s="981"/>
      <c r="B267" s="991"/>
      <c r="C267" s="981"/>
      <c r="D267" s="981"/>
      <c r="E267" s="981"/>
      <c r="F267" s="981"/>
      <c r="G267" s="981"/>
      <c r="H267" s="981"/>
      <c r="I267" s="981"/>
      <c r="J267" s="981"/>
      <c r="K267" s="981"/>
      <c r="L267" s="981"/>
      <c r="M267" s="981"/>
      <c r="N267" s="981"/>
      <c r="O267" s="981"/>
      <c r="P267" s="981"/>
      <c r="Q267" s="981"/>
      <c r="R267" s="981"/>
      <c r="S267" s="981"/>
      <c r="T267" s="981"/>
      <c r="U267" s="981"/>
      <c r="V267" s="981"/>
      <c r="W267" s="981"/>
      <c r="X267" s="981"/>
      <c r="Y267" s="981"/>
      <c r="Z267" s="981"/>
      <c r="AA267" s="981"/>
      <c r="AB267" s="981"/>
    </row>
    <row r="268">
      <c r="A268" s="981"/>
      <c r="B268" s="991"/>
      <c r="C268" s="981"/>
      <c r="D268" s="981"/>
      <c r="E268" s="981"/>
      <c r="F268" s="981"/>
      <c r="G268" s="981"/>
      <c r="H268" s="981"/>
      <c r="I268" s="981"/>
      <c r="J268" s="981"/>
      <c r="K268" s="981"/>
      <c r="L268" s="981"/>
      <c r="M268" s="981"/>
      <c r="N268" s="981"/>
      <c r="O268" s="981"/>
      <c r="P268" s="981"/>
      <c r="Q268" s="981"/>
      <c r="R268" s="981"/>
      <c r="S268" s="981"/>
      <c r="T268" s="981"/>
      <c r="U268" s="981"/>
      <c r="V268" s="981"/>
      <c r="W268" s="981"/>
      <c r="X268" s="981"/>
      <c r="Y268" s="981"/>
      <c r="Z268" s="981"/>
      <c r="AA268" s="981"/>
      <c r="AB268" s="981"/>
    </row>
    <row r="269">
      <c r="A269" s="981"/>
      <c r="B269" s="991"/>
      <c r="C269" s="981"/>
      <c r="D269" s="981"/>
      <c r="E269" s="981"/>
      <c r="F269" s="981"/>
      <c r="G269" s="981"/>
      <c r="H269" s="981"/>
      <c r="I269" s="981"/>
      <c r="J269" s="981"/>
      <c r="K269" s="981"/>
      <c r="L269" s="981"/>
      <c r="M269" s="981"/>
      <c r="N269" s="981"/>
      <c r="O269" s="981"/>
      <c r="P269" s="981"/>
      <c r="Q269" s="981"/>
      <c r="R269" s="981"/>
      <c r="S269" s="981"/>
      <c r="T269" s="981"/>
      <c r="U269" s="981"/>
      <c r="V269" s="981"/>
      <c r="W269" s="981"/>
      <c r="X269" s="981"/>
      <c r="Y269" s="981"/>
      <c r="Z269" s="981"/>
      <c r="AA269" s="981"/>
      <c r="AB269" s="981"/>
    </row>
    <row r="270">
      <c r="A270" s="981"/>
      <c r="B270" s="991"/>
      <c r="C270" s="981"/>
      <c r="D270" s="981"/>
      <c r="E270" s="981"/>
      <c r="F270" s="981"/>
      <c r="G270" s="981"/>
      <c r="H270" s="981"/>
      <c r="I270" s="981"/>
      <c r="J270" s="981"/>
      <c r="K270" s="981"/>
      <c r="L270" s="981"/>
      <c r="M270" s="981"/>
      <c r="N270" s="981"/>
      <c r="O270" s="981"/>
      <c r="P270" s="981"/>
      <c r="Q270" s="981"/>
      <c r="R270" s="981"/>
      <c r="S270" s="981"/>
      <c r="T270" s="981"/>
      <c r="U270" s="981"/>
      <c r="V270" s="981"/>
      <c r="W270" s="981"/>
      <c r="X270" s="981"/>
      <c r="Y270" s="981"/>
      <c r="Z270" s="981"/>
      <c r="AA270" s="981"/>
      <c r="AB270" s="981"/>
    </row>
    <row r="271">
      <c r="A271" s="981"/>
      <c r="B271" s="991"/>
      <c r="C271" s="981"/>
      <c r="D271" s="981"/>
      <c r="E271" s="981"/>
      <c r="F271" s="981"/>
      <c r="G271" s="981"/>
      <c r="H271" s="981"/>
      <c r="I271" s="981"/>
      <c r="J271" s="981"/>
      <c r="K271" s="981"/>
      <c r="L271" s="981"/>
      <c r="M271" s="981"/>
      <c r="N271" s="981"/>
      <c r="O271" s="981"/>
      <c r="P271" s="981"/>
      <c r="Q271" s="981"/>
      <c r="R271" s="981"/>
      <c r="S271" s="981"/>
      <c r="T271" s="981"/>
      <c r="U271" s="981"/>
      <c r="V271" s="981"/>
      <c r="W271" s="981"/>
      <c r="X271" s="981"/>
      <c r="Y271" s="981"/>
      <c r="Z271" s="981"/>
      <c r="AA271" s="981"/>
      <c r="AB271" s="981"/>
    </row>
    <row r="272">
      <c r="A272" s="981"/>
      <c r="B272" s="991"/>
      <c r="C272" s="981"/>
      <c r="D272" s="981"/>
      <c r="E272" s="981"/>
      <c r="F272" s="981"/>
      <c r="G272" s="981"/>
      <c r="H272" s="981"/>
      <c r="I272" s="981"/>
      <c r="J272" s="981"/>
      <c r="K272" s="981"/>
      <c r="L272" s="981"/>
      <c r="M272" s="981"/>
      <c r="N272" s="981"/>
      <c r="O272" s="981"/>
      <c r="P272" s="981"/>
      <c r="Q272" s="981"/>
      <c r="R272" s="981"/>
      <c r="S272" s="981"/>
      <c r="T272" s="981"/>
      <c r="U272" s="981"/>
      <c r="V272" s="981"/>
      <c r="W272" s="981"/>
      <c r="X272" s="981"/>
      <c r="Y272" s="981"/>
      <c r="Z272" s="981"/>
      <c r="AA272" s="981"/>
      <c r="AB272" s="981"/>
    </row>
    <row r="273">
      <c r="A273" s="981"/>
      <c r="B273" s="991"/>
      <c r="C273" s="981"/>
      <c r="D273" s="981"/>
      <c r="E273" s="981"/>
      <c r="F273" s="981"/>
      <c r="G273" s="981"/>
      <c r="H273" s="981"/>
      <c r="I273" s="981"/>
      <c r="J273" s="981"/>
      <c r="K273" s="981"/>
      <c r="L273" s="981"/>
      <c r="M273" s="981"/>
      <c r="N273" s="981"/>
      <c r="O273" s="981"/>
      <c r="P273" s="981"/>
      <c r="Q273" s="981"/>
      <c r="R273" s="981"/>
      <c r="S273" s="981"/>
      <c r="T273" s="981"/>
      <c r="U273" s="981"/>
      <c r="V273" s="981"/>
      <c r="W273" s="981"/>
      <c r="X273" s="981"/>
      <c r="Y273" s="981"/>
      <c r="Z273" s="981"/>
      <c r="AA273" s="981"/>
      <c r="AB273" s="981"/>
    </row>
    <row r="274">
      <c r="A274" s="981"/>
      <c r="B274" s="991"/>
      <c r="C274" s="981"/>
      <c r="D274" s="981"/>
      <c r="E274" s="981"/>
      <c r="F274" s="981"/>
      <c r="G274" s="981"/>
      <c r="H274" s="981"/>
      <c r="I274" s="981"/>
      <c r="J274" s="981"/>
      <c r="K274" s="981"/>
      <c r="L274" s="981"/>
      <c r="M274" s="981"/>
      <c r="N274" s="981"/>
      <c r="O274" s="981"/>
      <c r="P274" s="981"/>
      <c r="Q274" s="981"/>
      <c r="R274" s="981"/>
      <c r="S274" s="981"/>
      <c r="T274" s="981"/>
      <c r="U274" s="981"/>
      <c r="V274" s="981"/>
      <c r="W274" s="981"/>
      <c r="X274" s="981"/>
      <c r="Y274" s="981"/>
      <c r="Z274" s="981"/>
      <c r="AA274" s="981"/>
      <c r="AB274" s="981"/>
    </row>
    <row r="275">
      <c r="A275" s="981"/>
      <c r="B275" s="991"/>
      <c r="C275" s="981"/>
      <c r="D275" s="981"/>
      <c r="E275" s="981"/>
      <c r="F275" s="981"/>
      <c r="G275" s="981"/>
      <c r="H275" s="981"/>
      <c r="I275" s="981"/>
      <c r="J275" s="981"/>
      <c r="K275" s="981"/>
      <c r="L275" s="981"/>
      <c r="M275" s="981"/>
      <c r="N275" s="981"/>
      <c r="O275" s="981"/>
      <c r="P275" s="981"/>
      <c r="Q275" s="981"/>
      <c r="R275" s="981"/>
      <c r="S275" s="981"/>
      <c r="T275" s="981"/>
      <c r="U275" s="981"/>
      <c r="V275" s="981"/>
      <c r="W275" s="981"/>
      <c r="X275" s="981"/>
      <c r="Y275" s="981"/>
      <c r="Z275" s="981"/>
      <c r="AA275" s="981"/>
      <c r="AB275" s="981"/>
    </row>
    <row r="276">
      <c r="A276" s="981"/>
      <c r="B276" s="991"/>
      <c r="C276" s="981"/>
      <c r="D276" s="981"/>
      <c r="E276" s="981"/>
      <c r="F276" s="981"/>
      <c r="G276" s="981"/>
      <c r="H276" s="981"/>
      <c r="I276" s="981"/>
      <c r="J276" s="981"/>
      <c r="K276" s="981"/>
      <c r="L276" s="981"/>
      <c r="M276" s="981"/>
      <c r="N276" s="981"/>
      <c r="O276" s="981"/>
      <c r="P276" s="981"/>
      <c r="Q276" s="981"/>
      <c r="R276" s="981"/>
      <c r="S276" s="981"/>
      <c r="T276" s="981"/>
      <c r="U276" s="981"/>
      <c r="V276" s="981"/>
      <c r="W276" s="981"/>
      <c r="X276" s="981"/>
      <c r="Y276" s="981"/>
      <c r="Z276" s="981"/>
      <c r="AA276" s="981"/>
      <c r="AB276" s="981"/>
    </row>
    <row r="277">
      <c r="A277" s="981"/>
      <c r="B277" s="991"/>
      <c r="C277" s="981"/>
      <c r="D277" s="981"/>
      <c r="E277" s="981"/>
      <c r="F277" s="981"/>
      <c r="G277" s="981"/>
      <c r="H277" s="981"/>
      <c r="I277" s="981"/>
      <c r="J277" s="981"/>
      <c r="K277" s="981"/>
      <c r="L277" s="981"/>
      <c r="M277" s="981"/>
      <c r="N277" s="981"/>
      <c r="O277" s="981"/>
      <c r="P277" s="981"/>
      <c r="Q277" s="981"/>
      <c r="R277" s="981"/>
      <c r="S277" s="981"/>
      <c r="T277" s="981"/>
      <c r="U277" s="981"/>
      <c r="V277" s="981"/>
      <c r="W277" s="981"/>
      <c r="X277" s="981"/>
      <c r="Y277" s="981"/>
      <c r="Z277" s="981"/>
      <c r="AA277" s="981"/>
      <c r="AB277" s="981"/>
    </row>
    <row r="278">
      <c r="A278" s="981"/>
      <c r="B278" s="991"/>
      <c r="C278" s="981"/>
      <c r="D278" s="981"/>
      <c r="E278" s="981"/>
      <c r="F278" s="981"/>
      <c r="G278" s="981"/>
      <c r="H278" s="981"/>
      <c r="I278" s="981"/>
      <c r="J278" s="981"/>
      <c r="K278" s="981"/>
      <c r="L278" s="981"/>
      <c r="M278" s="981"/>
      <c r="N278" s="981"/>
      <c r="O278" s="981"/>
      <c r="P278" s="981"/>
      <c r="Q278" s="981"/>
      <c r="R278" s="981"/>
      <c r="S278" s="981"/>
      <c r="T278" s="981"/>
      <c r="U278" s="981"/>
      <c r="V278" s="981"/>
      <c r="W278" s="981"/>
      <c r="X278" s="981"/>
      <c r="Y278" s="981"/>
      <c r="Z278" s="981"/>
      <c r="AA278" s="981"/>
      <c r="AB278" s="981"/>
    </row>
    <row r="279">
      <c r="A279" s="981"/>
      <c r="B279" s="991"/>
      <c r="C279" s="981"/>
      <c r="D279" s="981"/>
      <c r="E279" s="981"/>
      <c r="F279" s="981"/>
      <c r="G279" s="981"/>
      <c r="H279" s="981"/>
      <c r="I279" s="981"/>
      <c r="J279" s="981"/>
      <c r="K279" s="981"/>
      <c r="L279" s="981"/>
      <c r="M279" s="981"/>
      <c r="N279" s="981"/>
      <c r="O279" s="981"/>
      <c r="P279" s="981"/>
      <c r="Q279" s="981"/>
      <c r="R279" s="981"/>
      <c r="S279" s="981"/>
      <c r="T279" s="981"/>
      <c r="U279" s="981"/>
      <c r="V279" s="981"/>
      <c r="W279" s="981"/>
      <c r="X279" s="981"/>
      <c r="Y279" s="981"/>
      <c r="Z279" s="981"/>
      <c r="AA279" s="981"/>
      <c r="AB279" s="981"/>
    </row>
    <row r="280">
      <c r="A280" s="981"/>
      <c r="B280" s="991"/>
      <c r="C280" s="981"/>
      <c r="D280" s="981"/>
      <c r="E280" s="981"/>
      <c r="F280" s="981"/>
      <c r="G280" s="981"/>
      <c r="H280" s="981"/>
      <c r="I280" s="981"/>
      <c r="J280" s="981"/>
      <c r="K280" s="981"/>
      <c r="L280" s="981"/>
      <c r="M280" s="981"/>
      <c r="N280" s="981"/>
      <c r="O280" s="981"/>
      <c r="P280" s="981"/>
      <c r="Q280" s="981"/>
      <c r="R280" s="981"/>
      <c r="S280" s="981"/>
      <c r="T280" s="981"/>
      <c r="U280" s="981"/>
      <c r="V280" s="981"/>
      <c r="W280" s="981"/>
      <c r="X280" s="981"/>
      <c r="Y280" s="981"/>
      <c r="Z280" s="981"/>
      <c r="AA280" s="981"/>
      <c r="AB280" s="981"/>
    </row>
    <row r="281">
      <c r="A281" s="981"/>
      <c r="B281" s="991"/>
      <c r="C281" s="981"/>
      <c r="D281" s="981"/>
      <c r="E281" s="981"/>
      <c r="F281" s="981"/>
      <c r="G281" s="981"/>
      <c r="H281" s="981"/>
      <c r="I281" s="981"/>
      <c r="J281" s="981"/>
      <c r="K281" s="981"/>
      <c r="L281" s="981"/>
      <c r="M281" s="981"/>
      <c r="N281" s="981"/>
      <c r="O281" s="981"/>
      <c r="P281" s="981"/>
      <c r="Q281" s="981"/>
      <c r="R281" s="981"/>
      <c r="S281" s="981"/>
      <c r="T281" s="981"/>
      <c r="U281" s="981"/>
      <c r="V281" s="981"/>
      <c r="W281" s="981"/>
      <c r="X281" s="981"/>
      <c r="Y281" s="981"/>
      <c r="Z281" s="981"/>
      <c r="AA281" s="981"/>
      <c r="AB281" s="981"/>
    </row>
    <row r="282">
      <c r="A282" s="981"/>
      <c r="B282" s="991"/>
      <c r="C282" s="981"/>
      <c r="D282" s="981"/>
      <c r="E282" s="981"/>
      <c r="F282" s="981"/>
      <c r="G282" s="981"/>
      <c r="H282" s="981"/>
      <c r="I282" s="981"/>
      <c r="J282" s="981"/>
      <c r="K282" s="981"/>
      <c r="L282" s="981"/>
      <c r="M282" s="981"/>
      <c r="N282" s="981"/>
      <c r="O282" s="981"/>
      <c r="P282" s="981"/>
      <c r="Q282" s="981"/>
      <c r="R282" s="981"/>
      <c r="S282" s="981"/>
      <c r="T282" s="981"/>
      <c r="U282" s="981"/>
      <c r="V282" s="981"/>
      <c r="W282" s="981"/>
      <c r="X282" s="981"/>
      <c r="Y282" s="981"/>
      <c r="Z282" s="981"/>
      <c r="AA282" s="981"/>
      <c r="AB282" s="981"/>
    </row>
    <row r="283">
      <c r="A283" s="981"/>
      <c r="B283" s="991"/>
      <c r="C283" s="981"/>
      <c r="D283" s="981"/>
      <c r="E283" s="981"/>
      <c r="F283" s="981"/>
      <c r="G283" s="981"/>
      <c r="H283" s="981"/>
      <c r="I283" s="981"/>
      <c r="J283" s="981"/>
      <c r="K283" s="981"/>
      <c r="L283" s="981"/>
      <c r="M283" s="981"/>
      <c r="N283" s="981"/>
      <c r="O283" s="981"/>
      <c r="P283" s="981"/>
      <c r="Q283" s="981"/>
      <c r="R283" s="981"/>
      <c r="S283" s="981"/>
      <c r="T283" s="981"/>
      <c r="U283" s="981"/>
      <c r="V283" s="981"/>
      <c r="W283" s="981"/>
      <c r="X283" s="981"/>
      <c r="Y283" s="981"/>
      <c r="Z283" s="981"/>
      <c r="AA283" s="981"/>
      <c r="AB283" s="981"/>
    </row>
    <row r="284">
      <c r="A284" s="981"/>
      <c r="B284" s="991"/>
      <c r="C284" s="981"/>
      <c r="D284" s="981"/>
      <c r="E284" s="981"/>
      <c r="F284" s="981"/>
      <c r="G284" s="981"/>
      <c r="H284" s="981"/>
      <c r="I284" s="981"/>
      <c r="J284" s="981"/>
      <c r="K284" s="981"/>
      <c r="L284" s="981"/>
      <c r="M284" s="981"/>
      <c r="N284" s="981"/>
      <c r="O284" s="981"/>
      <c r="P284" s="981"/>
      <c r="Q284" s="981"/>
      <c r="R284" s="981"/>
      <c r="S284" s="981"/>
      <c r="T284" s="981"/>
      <c r="U284" s="981"/>
      <c r="V284" s="981"/>
      <c r="W284" s="981"/>
      <c r="X284" s="981"/>
      <c r="Y284" s="981"/>
      <c r="Z284" s="981"/>
      <c r="AA284" s="981"/>
      <c r="AB284" s="981"/>
    </row>
    <row r="285">
      <c r="A285" s="981"/>
      <c r="B285" s="991"/>
      <c r="C285" s="981"/>
      <c r="D285" s="981"/>
      <c r="E285" s="981"/>
      <c r="F285" s="981"/>
      <c r="G285" s="981"/>
      <c r="H285" s="981"/>
      <c r="I285" s="981"/>
      <c r="J285" s="981"/>
      <c r="K285" s="981"/>
      <c r="L285" s="981"/>
      <c r="M285" s="981"/>
      <c r="N285" s="981"/>
      <c r="O285" s="981"/>
      <c r="P285" s="981"/>
      <c r="Q285" s="981"/>
      <c r="R285" s="981"/>
      <c r="S285" s="981"/>
      <c r="T285" s="981"/>
      <c r="U285" s="981"/>
      <c r="V285" s="981"/>
      <c r="W285" s="981"/>
      <c r="X285" s="981"/>
      <c r="Y285" s="981"/>
      <c r="Z285" s="981"/>
      <c r="AA285" s="981"/>
      <c r="AB285" s="981"/>
    </row>
    <row r="286">
      <c r="A286" s="981"/>
      <c r="B286" s="991"/>
      <c r="C286" s="981"/>
      <c r="D286" s="981"/>
      <c r="E286" s="981"/>
      <c r="F286" s="981"/>
      <c r="G286" s="981"/>
      <c r="H286" s="981"/>
      <c r="I286" s="981"/>
      <c r="J286" s="981"/>
      <c r="K286" s="981"/>
      <c r="L286" s="981"/>
      <c r="M286" s="981"/>
      <c r="N286" s="981"/>
      <c r="O286" s="981"/>
      <c r="P286" s="981"/>
      <c r="Q286" s="981"/>
      <c r="R286" s="981"/>
      <c r="S286" s="981"/>
      <c r="T286" s="981"/>
      <c r="U286" s="981"/>
      <c r="V286" s="981"/>
      <c r="W286" s="981"/>
      <c r="X286" s="981"/>
      <c r="Y286" s="981"/>
      <c r="Z286" s="981"/>
      <c r="AA286" s="981"/>
      <c r="AB286" s="981"/>
    </row>
    <row r="287">
      <c r="A287" s="981"/>
      <c r="B287" s="991"/>
      <c r="C287" s="981"/>
      <c r="D287" s="981"/>
      <c r="E287" s="981"/>
      <c r="F287" s="981"/>
      <c r="G287" s="981"/>
      <c r="H287" s="981"/>
      <c r="I287" s="981"/>
      <c r="J287" s="981"/>
      <c r="K287" s="981"/>
      <c r="L287" s="981"/>
      <c r="M287" s="981"/>
      <c r="N287" s="981"/>
      <c r="O287" s="981"/>
      <c r="P287" s="981"/>
      <c r="Q287" s="981"/>
      <c r="R287" s="981"/>
      <c r="S287" s="981"/>
      <c r="T287" s="981"/>
      <c r="U287" s="981"/>
      <c r="V287" s="981"/>
      <c r="W287" s="981"/>
      <c r="X287" s="981"/>
      <c r="Y287" s="981"/>
      <c r="Z287" s="981"/>
      <c r="AA287" s="981"/>
      <c r="AB287" s="981"/>
    </row>
    <row r="288">
      <c r="A288" s="981"/>
      <c r="B288" s="991"/>
      <c r="C288" s="981"/>
      <c r="D288" s="981"/>
      <c r="E288" s="981"/>
      <c r="F288" s="981"/>
      <c r="G288" s="981"/>
      <c r="H288" s="981"/>
      <c r="I288" s="981"/>
      <c r="J288" s="981"/>
      <c r="K288" s="981"/>
      <c r="L288" s="981"/>
      <c r="M288" s="981"/>
      <c r="N288" s="981"/>
      <c r="O288" s="981"/>
      <c r="P288" s="981"/>
      <c r="Q288" s="981"/>
      <c r="R288" s="981"/>
      <c r="S288" s="981"/>
      <c r="T288" s="981"/>
      <c r="U288" s="981"/>
      <c r="V288" s="981"/>
      <c r="W288" s="981"/>
      <c r="X288" s="981"/>
      <c r="Y288" s="981"/>
      <c r="Z288" s="981"/>
      <c r="AA288" s="981"/>
      <c r="AB288" s="981"/>
    </row>
    <row r="289">
      <c r="A289" s="981"/>
      <c r="B289" s="991"/>
      <c r="C289" s="981"/>
      <c r="D289" s="981"/>
      <c r="E289" s="981"/>
      <c r="F289" s="981"/>
      <c r="G289" s="981"/>
      <c r="H289" s="981"/>
      <c r="I289" s="981"/>
      <c r="J289" s="981"/>
      <c r="K289" s="981"/>
      <c r="L289" s="981"/>
      <c r="M289" s="981"/>
      <c r="N289" s="981"/>
      <c r="O289" s="981"/>
      <c r="P289" s="981"/>
      <c r="Q289" s="981"/>
      <c r="R289" s="981"/>
      <c r="S289" s="981"/>
      <c r="T289" s="981"/>
      <c r="U289" s="981"/>
      <c r="V289" s="981"/>
      <c r="W289" s="981"/>
      <c r="X289" s="981"/>
      <c r="Y289" s="981"/>
      <c r="Z289" s="981"/>
      <c r="AA289" s="981"/>
      <c r="AB289" s="981"/>
    </row>
    <row r="290">
      <c r="A290" s="981"/>
      <c r="B290" s="991"/>
      <c r="C290" s="981"/>
      <c r="D290" s="981"/>
      <c r="E290" s="981"/>
      <c r="F290" s="981"/>
      <c r="G290" s="981"/>
      <c r="H290" s="981"/>
      <c r="I290" s="981"/>
      <c r="J290" s="981"/>
      <c r="K290" s="981"/>
      <c r="L290" s="981"/>
      <c r="M290" s="981"/>
      <c r="N290" s="981"/>
      <c r="O290" s="981"/>
      <c r="P290" s="981"/>
      <c r="Q290" s="981"/>
      <c r="R290" s="981"/>
      <c r="S290" s="981"/>
      <c r="T290" s="981"/>
      <c r="U290" s="981"/>
      <c r="V290" s="981"/>
      <c r="W290" s="981"/>
      <c r="X290" s="981"/>
      <c r="Y290" s="981"/>
      <c r="Z290" s="981"/>
      <c r="AA290" s="981"/>
      <c r="AB290" s="981"/>
    </row>
    <row r="291">
      <c r="A291" s="981"/>
      <c r="B291" s="991"/>
      <c r="C291" s="981"/>
      <c r="D291" s="981"/>
      <c r="E291" s="981"/>
      <c r="F291" s="981"/>
      <c r="G291" s="981"/>
      <c r="H291" s="981"/>
      <c r="I291" s="981"/>
      <c r="J291" s="981"/>
      <c r="K291" s="981"/>
      <c r="L291" s="981"/>
      <c r="M291" s="981"/>
      <c r="N291" s="981"/>
      <c r="O291" s="981"/>
      <c r="P291" s="981"/>
      <c r="Q291" s="981"/>
      <c r="R291" s="981"/>
      <c r="S291" s="981"/>
      <c r="T291" s="981"/>
      <c r="U291" s="981"/>
      <c r="V291" s="981"/>
      <c r="W291" s="981"/>
      <c r="X291" s="981"/>
      <c r="Y291" s="981"/>
      <c r="Z291" s="981"/>
      <c r="AA291" s="981"/>
      <c r="AB291" s="981"/>
    </row>
    <row r="292">
      <c r="A292" s="981"/>
      <c r="B292" s="991"/>
      <c r="C292" s="981"/>
      <c r="D292" s="981"/>
      <c r="E292" s="981"/>
      <c r="F292" s="981"/>
      <c r="G292" s="981"/>
      <c r="H292" s="981"/>
      <c r="I292" s="981"/>
      <c r="J292" s="981"/>
      <c r="K292" s="981"/>
      <c r="L292" s="981"/>
      <c r="M292" s="981"/>
      <c r="N292" s="981"/>
      <c r="O292" s="981"/>
      <c r="P292" s="981"/>
      <c r="Q292" s="981"/>
      <c r="R292" s="981"/>
      <c r="S292" s="981"/>
      <c r="T292" s="981"/>
      <c r="U292" s="981"/>
      <c r="V292" s="981"/>
      <c r="W292" s="981"/>
      <c r="X292" s="981"/>
      <c r="Y292" s="981"/>
      <c r="Z292" s="981"/>
      <c r="AA292" s="981"/>
      <c r="AB292" s="981"/>
    </row>
    <row r="293">
      <c r="A293" s="981"/>
      <c r="B293" s="991"/>
      <c r="C293" s="981"/>
      <c r="D293" s="981"/>
      <c r="E293" s="981"/>
      <c r="F293" s="981"/>
      <c r="G293" s="981"/>
      <c r="H293" s="981"/>
      <c r="I293" s="981"/>
      <c r="J293" s="981"/>
      <c r="K293" s="981"/>
      <c r="L293" s="981"/>
      <c r="M293" s="981"/>
      <c r="N293" s="981"/>
      <c r="O293" s="981"/>
      <c r="P293" s="981"/>
      <c r="Q293" s="981"/>
      <c r="R293" s="981"/>
      <c r="S293" s="981"/>
      <c r="T293" s="981"/>
      <c r="U293" s="981"/>
      <c r="V293" s="981"/>
      <c r="W293" s="981"/>
      <c r="X293" s="981"/>
      <c r="Y293" s="981"/>
      <c r="Z293" s="981"/>
      <c r="AA293" s="981"/>
      <c r="AB293" s="981"/>
    </row>
    <row r="294">
      <c r="A294" s="981"/>
      <c r="B294" s="991"/>
      <c r="C294" s="981"/>
      <c r="D294" s="981"/>
      <c r="E294" s="981"/>
      <c r="F294" s="981"/>
      <c r="G294" s="981"/>
      <c r="H294" s="981"/>
      <c r="I294" s="981"/>
      <c r="J294" s="981"/>
      <c r="K294" s="981"/>
      <c r="L294" s="981"/>
      <c r="M294" s="981"/>
      <c r="N294" s="981"/>
      <c r="O294" s="981"/>
      <c r="P294" s="981"/>
      <c r="Q294" s="981"/>
      <c r="R294" s="981"/>
      <c r="S294" s="981"/>
      <c r="T294" s="981"/>
      <c r="U294" s="981"/>
      <c r="V294" s="981"/>
      <c r="W294" s="981"/>
      <c r="X294" s="981"/>
      <c r="Y294" s="981"/>
      <c r="Z294" s="981"/>
      <c r="AA294" s="981"/>
      <c r="AB294" s="981"/>
    </row>
    <row r="295">
      <c r="A295" s="981"/>
      <c r="B295" s="991"/>
      <c r="C295" s="981"/>
      <c r="D295" s="981"/>
      <c r="E295" s="981"/>
      <c r="F295" s="981"/>
      <c r="G295" s="981"/>
      <c r="H295" s="981"/>
      <c r="I295" s="981"/>
      <c r="J295" s="981"/>
      <c r="K295" s="981"/>
      <c r="L295" s="981"/>
      <c r="M295" s="981"/>
      <c r="N295" s="981"/>
      <c r="O295" s="981"/>
      <c r="P295" s="981"/>
      <c r="Q295" s="981"/>
      <c r="R295" s="981"/>
      <c r="S295" s="981"/>
      <c r="T295" s="981"/>
      <c r="U295" s="981"/>
      <c r="V295" s="981"/>
      <c r="W295" s="981"/>
      <c r="X295" s="981"/>
      <c r="Y295" s="981"/>
      <c r="Z295" s="981"/>
      <c r="AA295" s="981"/>
      <c r="AB295" s="981"/>
    </row>
    <row r="296">
      <c r="A296" s="981"/>
      <c r="B296" s="991"/>
      <c r="C296" s="981"/>
      <c r="D296" s="981"/>
      <c r="E296" s="981"/>
      <c r="F296" s="981"/>
      <c r="G296" s="981"/>
      <c r="H296" s="981"/>
      <c r="I296" s="981"/>
      <c r="J296" s="981"/>
      <c r="K296" s="981"/>
      <c r="L296" s="981"/>
      <c r="M296" s="981"/>
      <c r="N296" s="981"/>
      <c r="O296" s="981"/>
      <c r="P296" s="981"/>
      <c r="Q296" s="981"/>
      <c r="R296" s="981"/>
      <c r="S296" s="981"/>
      <c r="T296" s="981"/>
      <c r="U296" s="981"/>
      <c r="V296" s="981"/>
      <c r="W296" s="981"/>
      <c r="X296" s="981"/>
      <c r="Y296" s="981"/>
      <c r="Z296" s="981"/>
      <c r="AA296" s="981"/>
      <c r="AB296" s="981"/>
    </row>
    <row r="297">
      <c r="A297" s="981"/>
      <c r="B297" s="991"/>
      <c r="C297" s="981"/>
      <c r="D297" s="981"/>
      <c r="E297" s="981"/>
      <c r="F297" s="981"/>
      <c r="G297" s="981"/>
      <c r="H297" s="981"/>
      <c r="I297" s="981"/>
      <c r="J297" s="981"/>
      <c r="K297" s="981"/>
      <c r="L297" s="981"/>
      <c r="M297" s="981"/>
      <c r="N297" s="981"/>
      <c r="O297" s="981"/>
      <c r="P297" s="981"/>
      <c r="Q297" s="981"/>
      <c r="R297" s="981"/>
      <c r="S297" s="981"/>
      <c r="T297" s="981"/>
      <c r="U297" s="981"/>
      <c r="V297" s="981"/>
      <c r="W297" s="981"/>
      <c r="X297" s="981"/>
      <c r="Y297" s="981"/>
      <c r="Z297" s="981"/>
      <c r="AA297" s="981"/>
      <c r="AB297" s="981"/>
    </row>
    <row r="298">
      <c r="A298" s="981"/>
      <c r="B298" s="991"/>
      <c r="C298" s="981"/>
      <c r="D298" s="981"/>
      <c r="E298" s="981"/>
      <c r="F298" s="981"/>
      <c r="G298" s="981"/>
      <c r="H298" s="981"/>
      <c r="I298" s="981"/>
      <c r="J298" s="981"/>
      <c r="K298" s="981"/>
      <c r="L298" s="981"/>
      <c r="M298" s="981"/>
      <c r="N298" s="981"/>
      <c r="O298" s="981"/>
      <c r="P298" s="981"/>
      <c r="Q298" s="981"/>
      <c r="R298" s="981"/>
      <c r="S298" s="981"/>
      <c r="T298" s="981"/>
      <c r="U298" s="981"/>
      <c r="V298" s="981"/>
      <c r="W298" s="981"/>
      <c r="X298" s="981"/>
      <c r="Y298" s="981"/>
      <c r="Z298" s="981"/>
      <c r="AA298" s="981"/>
      <c r="AB298" s="981"/>
    </row>
    <row r="299">
      <c r="A299" s="981"/>
      <c r="B299" s="991"/>
      <c r="C299" s="981"/>
      <c r="D299" s="981"/>
      <c r="E299" s="981"/>
      <c r="F299" s="981"/>
      <c r="G299" s="981"/>
      <c r="H299" s="981"/>
      <c r="I299" s="981"/>
      <c r="J299" s="981"/>
      <c r="K299" s="981"/>
      <c r="L299" s="981"/>
      <c r="M299" s="981"/>
      <c r="N299" s="981"/>
      <c r="O299" s="981"/>
      <c r="P299" s="981"/>
      <c r="Q299" s="981"/>
      <c r="R299" s="981"/>
      <c r="S299" s="981"/>
      <c r="T299" s="981"/>
      <c r="U299" s="981"/>
      <c r="V299" s="981"/>
      <c r="W299" s="981"/>
      <c r="X299" s="981"/>
      <c r="Y299" s="981"/>
      <c r="Z299" s="981"/>
      <c r="AA299" s="981"/>
      <c r="AB299" s="981"/>
    </row>
    <row r="300">
      <c r="A300" s="981"/>
      <c r="B300" s="991"/>
      <c r="C300" s="981"/>
      <c r="D300" s="981"/>
      <c r="E300" s="981"/>
      <c r="F300" s="981"/>
      <c r="G300" s="981"/>
      <c r="H300" s="981"/>
      <c r="I300" s="981"/>
      <c r="J300" s="981"/>
      <c r="K300" s="981"/>
      <c r="L300" s="981"/>
      <c r="M300" s="981"/>
      <c r="N300" s="981"/>
      <c r="O300" s="981"/>
      <c r="P300" s="981"/>
      <c r="Q300" s="981"/>
      <c r="R300" s="981"/>
      <c r="S300" s="981"/>
      <c r="T300" s="981"/>
      <c r="U300" s="981"/>
      <c r="V300" s="981"/>
      <c r="W300" s="981"/>
      <c r="X300" s="981"/>
      <c r="Y300" s="981"/>
      <c r="Z300" s="981"/>
      <c r="AA300" s="981"/>
      <c r="AB300" s="981"/>
    </row>
    <row r="301">
      <c r="A301" s="981"/>
      <c r="B301" s="991"/>
      <c r="C301" s="981"/>
      <c r="D301" s="981"/>
      <c r="E301" s="981"/>
      <c r="F301" s="981"/>
      <c r="G301" s="981"/>
      <c r="H301" s="981"/>
      <c r="I301" s="981"/>
      <c r="J301" s="981"/>
      <c r="K301" s="981"/>
      <c r="L301" s="981"/>
      <c r="M301" s="981"/>
      <c r="N301" s="981"/>
      <c r="O301" s="981"/>
      <c r="P301" s="981"/>
      <c r="Q301" s="981"/>
      <c r="R301" s="981"/>
      <c r="S301" s="981"/>
      <c r="T301" s="981"/>
      <c r="U301" s="981"/>
      <c r="V301" s="981"/>
      <c r="W301" s="981"/>
      <c r="X301" s="981"/>
      <c r="Y301" s="981"/>
      <c r="Z301" s="981"/>
      <c r="AA301" s="981"/>
      <c r="AB301" s="981"/>
    </row>
    <row r="302">
      <c r="A302" s="981"/>
      <c r="B302" s="991"/>
      <c r="C302" s="981"/>
      <c r="D302" s="981"/>
      <c r="E302" s="981"/>
      <c r="F302" s="981"/>
      <c r="G302" s="981"/>
      <c r="H302" s="981"/>
      <c r="I302" s="981"/>
      <c r="J302" s="981"/>
      <c r="K302" s="981"/>
      <c r="L302" s="981"/>
      <c r="M302" s="981"/>
      <c r="N302" s="981"/>
      <c r="O302" s="981"/>
      <c r="P302" s="981"/>
      <c r="Q302" s="981"/>
      <c r="R302" s="981"/>
      <c r="S302" s="981"/>
      <c r="T302" s="981"/>
      <c r="U302" s="981"/>
      <c r="V302" s="981"/>
      <c r="W302" s="981"/>
      <c r="X302" s="981"/>
      <c r="Y302" s="981"/>
      <c r="Z302" s="981"/>
      <c r="AA302" s="981"/>
      <c r="AB302" s="981"/>
    </row>
    <row r="303">
      <c r="A303" s="981"/>
      <c r="B303" s="991"/>
      <c r="C303" s="981"/>
      <c r="D303" s="981"/>
      <c r="E303" s="981"/>
      <c r="F303" s="981"/>
      <c r="G303" s="981"/>
      <c r="H303" s="981"/>
      <c r="I303" s="981"/>
      <c r="J303" s="981"/>
      <c r="K303" s="981"/>
      <c r="L303" s="981"/>
      <c r="M303" s="981"/>
      <c r="N303" s="981"/>
      <c r="O303" s="981"/>
      <c r="P303" s="981"/>
      <c r="Q303" s="981"/>
      <c r="R303" s="981"/>
      <c r="S303" s="981"/>
      <c r="T303" s="981"/>
      <c r="U303" s="981"/>
      <c r="V303" s="981"/>
      <c r="W303" s="981"/>
      <c r="X303" s="981"/>
      <c r="Y303" s="981"/>
      <c r="Z303" s="981"/>
      <c r="AA303" s="981"/>
      <c r="AB303" s="981"/>
    </row>
    <row r="304">
      <c r="A304" s="981"/>
      <c r="B304" s="991"/>
      <c r="C304" s="981"/>
      <c r="D304" s="981"/>
      <c r="E304" s="981"/>
      <c r="F304" s="981"/>
      <c r="G304" s="981"/>
      <c r="H304" s="981"/>
      <c r="I304" s="981"/>
      <c r="J304" s="981"/>
      <c r="K304" s="981"/>
      <c r="L304" s="981"/>
      <c r="M304" s="981"/>
      <c r="N304" s="981"/>
      <c r="O304" s="981"/>
      <c r="P304" s="981"/>
      <c r="Q304" s="981"/>
      <c r="R304" s="981"/>
      <c r="S304" s="981"/>
      <c r="T304" s="981"/>
      <c r="U304" s="981"/>
      <c r="V304" s="981"/>
      <c r="W304" s="981"/>
      <c r="X304" s="981"/>
      <c r="Y304" s="981"/>
      <c r="Z304" s="981"/>
      <c r="AA304" s="981"/>
      <c r="AB304" s="981"/>
    </row>
    <row r="305">
      <c r="A305" s="981"/>
      <c r="B305" s="991"/>
      <c r="C305" s="981"/>
      <c r="D305" s="981"/>
      <c r="E305" s="981"/>
      <c r="F305" s="981"/>
      <c r="G305" s="981"/>
      <c r="H305" s="981"/>
      <c r="I305" s="981"/>
      <c r="J305" s="981"/>
      <c r="K305" s="981"/>
      <c r="L305" s="981"/>
      <c r="M305" s="981"/>
      <c r="N305" s="981"/>
      <c r="O305" s="981"/>
      <c r="P305" s="981"/>
      <c r="Q305" s="981"/>
      <c r="R305" s="981"/>
      <c r="S305" s="981"/>
      <c r="T305" s="981"/>
      <c r="U305" s="981"/>
      <c r="V305" s="981"/>
      <c r="W305" s="981"/>
      <c r="X305" s="981"/>
      <c r="Y305" s="981"/>
      <c r="Z305" s="981"/>
      <c r="AA305" s="981"/>
      <c r="AB305" s="981"/>
    </row>
    <row r="306">
      <c r="A306" s="981"/>
      <c r="B306" s="991"/>
      <c r="C306" s="981"/>
      <c r="D306" s="981"/>
      <c r="E306" s="981"/>
      <c r="F306" s="981"/>
      <c r="G306" s="981"/>
      <c r="H306" s="981"/>
      <c r="I306" s="981"/>
      <c r="J306" s="981"/>
      <c r="K306" s="981"/>
      <c r="L306" s="981"/>
      <c r="M306" s="981"/>
      <c r="N306" s="981"/>
      <c r="O306" s="981"/>
      <c r="P306" s="981"/>
      <c r="Q306" s="981"/>
      <c r="R306" s="981"/>
      <c r="S306" s="981"/>
      <c r="T306" s="981"/>
      <c r="U306" s="981"/>
      <c r="V306" s="981"/>
      <c r="W306" s="981"/>
      <c r="X306" s="981"/>
      <c r="Y306" s="981"/>
      <c r="Z306" s="981"/>
      <c r="AA306" s="981"/>
      <c r="AB306" s="981"/>
    </row>
    <row r="307">
      <c r="A307" s="981"/>
      <c r="B307" s="991"/>
      <c r="C307" s="981"/>
      <c r="D307" s="981"/>
      <c r="E307" s="981"/>
      <c r="F307" s="981"/>
      <c r="G307" s="981"/>
      <c r="H307" s="981"/>
      <c r="I307" s="981"/>
      <c r="J307" s="981"/>
      <c r="K307" s="981"/>
      <c r="L307" s="981"/>
      <c r="M307" s="981"/>
      <c r="N307" s="981"/>
      <c r="O307" s="981"/>
      <c r="P307" s="981"/>
      <c r="Q307" s="981"/>
      <c r="R307" s="981"/>
      <c r="S307" s="981"/>
      <c r="T307" s="981"/>
      <c r="U307" s="981"/>
      <c r="V307" s="981"/>
      <c r="W307" s="981"/>
      <c r="X307" s="981"/>
      <c r="Y307" s="981"/>
      <c r="Z307" s="981"/>
      <c r="AA307" s="981"/>
      <c r="AB307" s="981"/>
    </row>
    <row r="308">
      <c r="A308" s="981"/>
      <c r="B308" s="991"/>
      <c r="C308" s="981"/>
      <c r="D308" s="981"/>
      <c r="E308" s="981"/>
      <c r="F308" s="981"/>
      <c r="G308" s="981"/>
      <c r="H308" s="981"/>
      <c r="I308" s="981"/>
      <c r="J308" s="981"/>
      <c r="K308" s="981"/>
      <c r="L308" s="981"/>
      <c r="M308" s="981"/>
      <c r="N308" s="981"/>
      <c r="O308" s="981"/>
      <c r="P308" s="981"/>
      <c r="Q308" s="981"/>
      <c r="R308" s="981"/>
      <c r="S308" s="981"/>
      <c r="T308" s="981"/>
      <c r="U308" s="981"/>
      <c r="V308" s="981"/>
      <c r="W308" s="981"/>
      <c r="X308" s="981"/>
      <c r="Y308" s="981"/>
      <c r="Z308" s="981"/>
      <c r="AA308" s="981"/>
      <c r="AB308" s="981"/>
    </row>
    <row r="309">
      <c r="A309" s="981"/>
      <c r="B309" s="991"/>
      <c r="C309" s="981"/>
      <c r="D309" s="981"/>
      <c r="E309" s="981"/>
      <c r="F309" s="981"/>
      <c r="G309" s="981"/>
      <c r="H309" s="981"/>
      <c r="I309" s="981"/>
      <c r="J309" s="981"/>
      <c r="K309" s="981"/>
      <c r="L309" s="981"/>
      <c r="M309" s="981"/>
      <c r="N309" s="981"/>
      <c r="O309" s="981"/>
      <c r="P309" s="981"/>
      <c r="Q309" s="981"/>
      <c r="R309" s="981"/>
      <c r="S309" s="981"/>
      <c r="T309" s="981"/>
      <c r="U309" s="981"/>
      <c r="V309" s="981"/>
      <c r="W309" s="981"/>
      <c r="X309" s="981"/>
      <c r="Y309" s="981"/>
      <c r="Z309" s="981"/>
      <c r="AA309" s="981"/>
      <c r="AB309" s="981"/>
    </row>
    <row r="310">
      <c r="A310" s="981"/>
      <c r="B310" s="991"/>
      <c r="C310" s="981"/>
      <c r="D310" s="981"/>
      <c r="E310" s="981"/>
      <c r="F310" s="981"/>
      <c r="G310" s="981"/>
      <c r="H310" s="981"/>
      <c r="I310" s="981"/>
      <c r="J310" s="981"/>
      <c r="K310" s="981"/>
      <c r="L310" s="981"/>
      <c r="M310" s="981"/>
      <c r="N310" s="981"/>
      <c r="O310" s="981"/>
      <c r="P310" s="981"/>
      <c r="Q310" s="981"/>
      <c r="R310" s="981"/>
      <c r="S310" s="981"/>
      <c r="T310" s="981"/>
      <c r="U310" s="981"/>
      <c r="V310" s="981"/>
      <c r="W310" s="981"/>
      <c r="X310" s="981"/>
      <c r="Y310" s="981"/>
      <c r="Z310" s="981"/>
      <c r="AA310" s="981"/>
      <c r="AB310" s="981"/>
    </row>
    <row r="311">
      <c r="A311" s="981"/>
      <c r="B311" s="991"/>
      <c r="C311" s="981"/>
      <c r="D311" s="981"/>
      <c r="E311" s="981"/>
      <c r="F311" s="981"/>
      <c r="G311" s="981"/>
      <c r="H311" s="981"/>
      <c r="I311" s="981"/>
      <c r="J311" s="981"/>
      <c r="K311" s="981"/>
      <c r="L311" s="981"/>
      <c r="M311" s="981"/>
      <c r="N311" s="981"/>
      <c r="O311" s="981"/>
      <c r="P311" s="981"/>
      <c r="Q311" s="981"/>
      <c r="R311" s="981"/>
      <c r="S311" s="981"/>
      <c r="T311" s="981"/>
      <c r="U311" s="981"/>
      <c r="V311" s="981"/>
      <c r="W311" s="981"/>
      <c r="X311" s="981"/>
      <c r="Y311" s="981"/>
      <c r="Z311" s="981"/>
      <c r="AA311" s="981"/>
      <c r="AB311" s="981"/>
    </row>
    <row r="312">
      <c r="A312" s="981"/>
      <c r="B312" s="991"/>
      <c r="C312" s="981"/>
      <c r="D312" s="981"/>
      <c r="E312" s="981"/>
      <c r="F312" s="981"/>
      <c r="G312" s="981"/>
      <c r="H312" s="981"/>
      <c r="I312" s="981"/>
      <c r="J312" s="981"/>
      <c r="K312" s="981"/>
      <c r="L312" s="981"/>
      <c r="M312" s="981"/>
      <c r="N312" s="981"/>
      <c r="O312" s="981"/>
      <c r="P312" s="981"/>
      <c r="Q312" s="981"/>
      <c r="R312" s="981"/>
      <c r="S312" s="981"/>
      <c r="T312" s="981"/>
      <c r="U312" s="981"/>
      <c r="V312" s="981"/>
      <c r="W312" s="981"/>
      <c r="X312" s="981"/>
      <c r="Y312" s="981"/>
      <c r="Z312" s="981"/>
      <c r="AA312" s="981"/>
      <c r="AB312" s="981"/>
    </row>
    <row r="313">
      <c r="A313" s="981"/>
      <c r="B313" s="991"/>
      <c r="C313" s="981"/>
      <c r="D313" s="981"/>
      <c r="E313" s="981"/>
      <c r="F313" s="981"/>
      <c r="G313" s="981"/>
      <c r="H313" s="981"/>
      <c r="I313" s="981"/>
      <c r="J313" s="981"/>
      <c r="K313" s="981"/>
      <c r="L313" s="981"/>
      <c r="M313" s="981"/>
      <c r="N313" s="981"/>
      <c r="O313" s="981"/>
      <c r="P313" s="981"/>
      <c r="Q313" s="981"/>
      <c r="R313" s="981"/>
      <c r="S313" s="981"/>
      <c r="T313" s="981"/>
      <c r="U313" s="981"/>
      <c r="V313" s="981"/>
      <c r="W313" s="981"/>
      <c r="X313" s="981"/>
      <c r="Y313" s="981"/>
      <c r="Z313" s="981"/>
      <c r="AA313" s="981"/>
      <c r="AB313" s="981"/>
    </row>
    <row r="314">
      <c r="A314" s="981"/>
      <c r="B314" s="991"/>
      <c r="C314" s="981"/>
      <c r="D314" s="981"/>
      <c r="E314" s="981"/>
      <c r="F314" s="981"/>
      <c r="G314" s="981"/>
      <c r="H314" s="981"/>
      <c r="I314" s="981"/>
      <c r="J314" s="981"/>
      <c r="K314" s="981"/>
      <c r="L314" s="981"/>
      <c r="M314" s="981"/>
      <c r="N314" s="981"/>
      <c r="O314" s="981"/>
      <c r="P314" s="981"/>
      <c r="Q314" s="981"/>
      <c r="R314" s="981"/>
      <c r="S314" s="981"/>
      <c r="T314" s="981"/>
      <c r="U314" s="981"/>
      <c r="V314" s="981"/>
      <c r="W314" s="981"/>
      <c r="X314" s="981"/>
      <c r="Y314" s="981"/>
      <c r="Z314" s="981"/>
      <c r="AA314" s="981"/>
      <c r="AB314" s="981"/>
    </row>
    <row r="315">
      <c r="A315" s="981"/>
      <c r="B315" s="991"/>
      <c r="C315" s="981"/>
      <c r="D315" s="981"/>
      <c r="E315" s="981"/>
      <c r="F315" s="981"/>
      <c r="G315" s="981"/>
      <c r="H315" s="981"/>
      <c r="I315" s="981"/>
      <c r="J315" s="981"/>
      <c r="K315" s="981"/>
      <c r="L315" s="981"/>
      <c r="M315" s="981"/>
      <c r="N315" s="981"/>
      <c r="O315" s="981"/>
      <c r="P315" s="981"/>
      <c r="Q315" s="981"/>
      <c r="R315" s="981"/>
      <c r="S315" s="981"/>
      <c r="T315" s="981"/>
      <c r="U315" s="981"/>
      <c r="V315" s="981"/>
      <c r="W315" s="981"/>
      <c r="X315" s="981"/>
      <c r="Y315" s="981"/>
      <c r="Z315" s="981"/>
      <c r="AA315" s="981"/>
      <c r="AB315" s="981"/>
    </row>
    <row r="316">
      <c r="A316" s="981"/>
      <c r="B316" s="991"/>
      <c r="C316" s="981"/>
      <c r="D316" s="981"/>
      <c r="E316" s="981"/>
      <c r="F316" s="981"/>
      <c r="G316" s="981"/>
      <c r="H316" s="981"/>
      <c r="I316" s="981"/>
      <c r="J316" s="981"/>
      <c r="K316" s="981"/>
      <c r="L316" s="981"/>
      <c r="M316" s="981"/>
      <c r="N316" s="981"/>
      <c r="O316" s="981"/>
      <c r="P316" s="981"/>
      <c r="Q316" s="981"/>
      <c r="R316" s="981"/>
      <c r="S316" s="981"/>
      <c r="T316" s="981"/>
      <c r="U316" s="981"/>
      <c r="V316" s="981"/>
      <c r="W316" s="981"/>
      <c r="X316" s="981"/>
      <c r="Y316" s="981"/>
      <c r="Z316" s="981"/>
      <c r="AA316" s="981"/>
      <c r="AB316" s="981"/>
    </row>
    <row r="317">
      <c r="A317" s="981"/>
      <c r="B317" s="991"/>
      <c r="C317" s="981"/>
      <c r="D317" s="981"/>
      <c r="E317" s="981"/>
      <c r="F317" s="981"/>
      <c r="G317" s="981"/>
      <c r="H317" s="981"/>
      <c r="I317" s="981"/>
      <c r="J317" s="981"/>
      <c r="K317" s="981"/>
      <c r="L317" s="981"/>
      <c r="M317" s="981"/>
      <c r="N317" s="981"/>
      <c r="O317" s="981"/>
      <c r="P317" s="981"/>
      <c r="Q317" s="981"/>
      <c r="R317" s="981"/>
      <c r="S317" s="981"/>
      <c r="T317" s="981"/>
      <c r="U317" s="981"/>
      <c r="V317" s="981"/>
      <c r="W317" s="981"/>
      <c r="X317" s="981"/>
      <c r="Y317" s="981"/>
      <c r="Z317" s="981"/>
      <c r="AA317" s="981"/>
      <c r="AB317" s="981"/>
    </row>
    <row r="318">
      <c r="A318" s="981"/>
      <c r="B318" s="991"/>
      <c r="C318" s="981"/>
      <c r="D318" s="981"/>
      <c r="E318" s="981"/>
      <c r="F318" s="981"/>
      <c r="G318" s="981"/>
      <c r="H318" s="981"/>
      <c r="I318" s="981"/>
      <c r="J318" s="981"/>
      <c r="K318" s="981"/>
      <c r="L318" s="981"/>
      <c r="M318" s="981"/>
      <c r="N318" s="981"/>
      <c r="O318" s="981"/>
      <c r="P318" s="981"/>
      <c r="Q318" s="981"/>
      <c r="R318" s="981"/>
      <c r="S318" s="981"/>
      <c r="T318" s="981"/>
      <c r="U318" s="981"/>
      <c r="V318" s="981"/>
      <c r="W318" s="981"/>
      <c r="X318" s="981"/>
      <c r="Y318" s="981"/>
      <c r="Z318" s="981"/>
      <c r="AA318" s="981"/>
      <c r="AB318" s="981"/>
    </row>
    <row r="319">
      <c r="A319" s="981"/>
      <c r="B319" s="991"/>
      <c r="C319" s="981"/>
      <c r="D319" s="981"/>
      <c r="E319" s="981"/>
      <c r="F319" s="981"/>
      <c r="G319" s="981"/>
      <c r="H319" s="981"/>
      <c r="I319" s="981"/>
      <c r="J319" s="981"/>
      <c r="K319" s="981"/>
      <c r="L319" s="981"/>
      <c r="M319" s="981"/>
      <c r="N319" s="981"/>
      <c r="O319" s="981"/>
      <c r="P319" s="981"/>
      <c r="Q319" s="981"/>
      <c r="R319" s="981"/>
      <c r="S319" s="981"/>
      <c r="T319" s="981"/>
      <c r="U319" s="981"/>
      <c r="V319" s="981"/>
      <c r="W319" s="981"/>
      <c r="X319" s="981"/>
      <c r="Y319" s="981"/>
      <c r="Z319" s="981"/>
      <c r="AA319" s="981"/>
      <c r="AB319" s="981"/>
    </row>
    <row r="320">
      <c r="A320" s="981"/>
      <c r="B320" s="991"/>
      <c r="C320" s="981"/>
      <c r="D320" s="981"/>
      <c r="E320" s="981"/>
      <c r="F320" s="981"/>
      <c r="G320" s="981"/>
      <c r="H320" s="981"/>
      <c r="I320" s="981"/>
      <c r="J320" s="981"/>
      <c r="K320" s="981"/>
      <c r="L320" s="981"/>
      <c r="M320" s="981"/>
      <c r="N320" s="981"/>
      <c r="O320" s="981"/>
      <c r="P320" s="981"/>
      <c r="Q320" s="981"/>
      <c r="R320" s="981"/>
      <c r="S320" s="981"/>
      <c r="T320" s="981"/>
      <c r="U320" s="981"/>
      <c r="V320" s="981"/>
      <c r="W320" s="981"/>
      <c r="X320" s="981"/>
      <c r="Y320" s="981"/>
      <c r="Z320" s="981"/>
      <c r="AA320" s="981"/>
      <c r="AB320" s="981"/>
    </row>
    <row r="321">
      <c r="A321" s="981"/>
      <c r="B321" s="991"/>
      <c r="C321" s="981"/>
      <c r="D321" s="981"/>
      <c r="E321" s="981"/>
      <c r="F321" s="981"/>
      <c r="G321" s="981"/>
      <c r="H321" s="981"/>
      <c r="I321" s="981"/>
      <c r="J321" s="981"/>
      <c r="K321" s="981"/>
      <c r="L321" s="981"/>
      <c r="M321" s="981"/>
      <c r="N321" s="981"/>
      <c r="O321" s="981"/>
      <c r="P321" s="981"/>
      <c r="Q321" s="981"/>
      <c r="R321" s="981"/>
      <c r="S321" s="981"/>
      <c r="T321" s="981"/>
      <c r="U321" s="981"/>
      <c r="V321" s="981"/>
      <c r="W321" s="981"/>
      <c r="X321" s="981"/>
      <c r="Y321" s="981"/>
      <c r="Z321" s="981"/>
      <c r="AA321" s="981"/>
      <c r="AB321" s="981"/>
    </row>
    <row r="322">
      <c r="A322" s="981"/>
      <c r="B322" s="991"/>
      <c r="C322" s="981"/>
      <c r="D322" s="981"/>
      <c r="E322" s="981"/>
      <c r="F322" s="981"/>
      <c r="G322" s="981"/>
      <c r="H322" s="981"/>
      <c r="I322" s="981"/>
      <c r="J322" s="981"/>
      <c r="K322" s="981"/>
      <c r="L322" s="981"/>
      <c r="M322" s="981"/>
      <c r="N322" s="981"/>
      <c r="O322" s="981"/>
      <c r="P322" s="981"/>
      <c r="Q322" s="981"/>
      <c r="R322" s="981"/>
      <c r="S322" s="981"/>
      <c r="T322" s="981"/>
      <c r="U322" s="981"/>
      <c r="V322" s="981"/>
      <c r="W322" s="981"/>
      <c r="X322" s="981"/>
      <c r="Y322" s="981"/>
      <c r="Z322" s="981"/>
      <c r="AA322" s="981"/>
      <c r="AB322" s="981"/>
    </row>
    <row r="323">
      <c r="A323" s="981"/>
      <c r="B323" s="991"/>
      <c r="C323" s="981"/>
      <c r="D323" s="981"/>
      <c r="E323" s="981"/>
      <c r="F323" s="981"/>
      <c r="G323" s="981"/>
      <c r="H323" s="981"/>
      <c r="I323" s="981"/>
      <c r="J323" s="981"/>
      <c r="K323" s="981"/>
      <c r="L323" s="981"/>
      <c r="M323" s="981"/>
      <c r="N323" s="981"/>
      <c r="O323" s="981"/>
      <c r="P323" s="981"/>
      <c r="Q323" s="981"/>
      <c r="R323" s="981"/>
      <c r="S323" s="981"/>
      <c r="T323" s="981"/>
      <c r="U323" s="981"/>
      <c r="V323" s="981"/>
      <c r="W323" s="981"/>
      <c r="X323" s="981"/>
      <c r="Y323" s="981"/>
      <c r="Z323" s="981"/>
      <c r="AA323" s="981"/>
      <c r="AB323" s="981"/>
    </row>
    <row r="324">
      <c r="A324" s="981"/>
      <c r="B324" s="991"/>
      <c r="C324" s="981"/>
      <c r="D324" s="981"/>
      <c r="E324" s="981"/>
      <c r="F324" s="981"/>
      <c r="G324" s="981"/>
      <c r="H324" s="981"/>
      <c r="I324" s="981"/>
      <c r="J324" s="981"/>
      <c r="K324" s="981"/>
      <c r="L324" s="981"/>
      <c r="M324" s="981"/>
      <c r="N324" s="981"/>
      <c r="O324" s="981"/>
      <c r="P324" s="981"/>
      <c r="Q324" s="981"/>
      <c r="R324" s="981"/>
      <c r="S324" s="981"/>
      <c r="T324" s="981"/>
      <c r="U324" s="981"/>
      <c r="V324" s="981"/>
      <c r="W324" s="981"/>
      <c r="X324" s="981"/>
      <c r="Y324" s="981"/>
      <c r="Z324" s="981"/>
      <c r="AA324" s="981"/>
      <c r="AB324" s="981"/>
    </row>
    <row r="325">
      <c r="A325" s="981"/>
      <c r="B325" s="991"/>
      <c r="C325" s="981"/>
      <c r="D325" s="981"/>
      <c r="E325" s="981"/>
      <c r="F325" s="981"/>
      <c r="G325" s="981"/>
      <c r="H325" s="981"/>
      <c r="I325" s="981"/>
      <c r="J325" s="981"/>
      <c r="K325" s="981"/>
      <c r="L325" s="981"/>
      <c r="M325" s="981"/>
      <c r="N325" s="981"/>
      <c r="O325" s="981"/>
      <c r="P325" s="981"/>
      <c r="Q325" s="981"/>
      <c r="R325" s="981"/>
      <c r="S325" s="981"/>
      <c r="T325" s="981"/>
      <c r="U325" s="981"/>
      <c r="V325" s="981"/>
      <c r="W325" s="981"/>
      <c r="X325" s="981"/>
      <c r="Y325" s="981"/>
      <c r="Z325" s="981"/>
      <c r="AA325" s="981"/>
      <c r="AB325" s="981"/>
    </row>
    <row r="326">
      <c r="A326" s="981"/>
      <c r="B326" s="991"/>
      <c r="C326" s="981"/>
      <c r="D326" s="981"/>
      <c r="E326" s="981"/>
      <c r="F326" s="981"/>
      <c r="G326" s="981"/>
      <c r="H326" s="981"/>
      <c r="I326" s="981"/>
      <c r="J326" s="981"/>
      <c r="K326" s="981"/>
      <c r="L326" s="981"/>
      <c r="M326" s="981"/>
      <c r="N326" s="981"/>
      <c r="O326" s="981"/>
      <c r="P326" s="981"/>
      <c r="Q326" s="981"/>
      <c r="R326" s="981"/>
      <c r="S326" s="981"/>
      <c r="T326" s="981"/>
      <c r="U326" s="981"/>
      <c r="V326" s="981"/>
      <c r="W326" s="981"/>
      <c r="X326" s="981"/>
      <c r="Y326" s="981"/>
      <c r="Z326" s="981"/>
      <c r="AA326" s="981"/>
      <c r="AB326" s="981"/>
    </row>
    <row r="327">
      <c r="A327" s="981"/>
      <c r="B327" s="991"/>
      <c r="C327" s="981"/>
      <c r="D327" s="981"/>
      <c r="E327" s="981"/>
      <c r="F327" s="981"/>
      <c r="G327" s="981"/>
      <c r="H327" s="981"/>
      <c r="I327" s="981"/>
      <c r="J327" s="981"/>
      <c r="K327" s="981"/>
      <c r="L327" s="981"/>
      <c r="M327" s="981"/>
      <c r="N327" s="981"/>
      <c r="O327" s="981"/>
      <c r="P327" s="981"/>
      <c r="Q327" s="981"/>
      <c r="R327" s="981"/>
      <c r="S327" s="981"/>
      <c r="T327" s="981"/>
      <c r="U327" s="981"/>
      <c r="V327" s="981"/>
      <c r="W327" s="981"/>
      <c r="X327" s="981"/>
      <c r="Y327" s="981"/>
      <c r="Z327" s="981"/>
      <c r="AA327" s="981"/>
      <c r="AB327" s="981"/>
    </row>
    <row r="328">
      <c r="A328" s="981"/>
      <c r="B328" s="991"/>
      <c r="C328" s="981"/>
      <c r="D328" s="981"/>
      <c r="E328" s="981"/>
      <c r="F328" s="981"/>
      <c r="G328" s="981"/>
      <c r="H328" s="981"/>
      <c r="I328" s="981"/>
      <c r="J328" s="981"/>
      <c r="K328" s="981"/>
      <c r="L328" s="981"/>
      <c r="M328" s="981"/>
      <c r="N328" s="981"/>
      <c r="O328" s="981"/>
      <c r="P328" s="981"/>
      <c r="Q328" s="981"/>
      <c r="R328" s="981"/>
      <c r="S328" s="981"/>
      <c r="T328" s="981"/>
      <c r="U328" s="981"/>
      <c r="V328" s="981"/>
      <c r="W328" s="981"/>
      <c r="X328" s="981"/>
      <c r="Y328" s="981"/>
      <c r="Z328" s="981"/>
      <c r="AA328" s="981"/>
      <c r="AB328" s="981"/>
    </row>
    <row r="329">
      <c r="A329" s="981"/>
      <c r="B329" s="991"/>
      <c r="C329" s="981"/>
      <c r="D329" s="981"/>
      <c r="E329" s="981"/>
      <c r="F329" s="981"/>
      <c r="G329" s="981"/>
      <c r="H329" s="981"/>
      <c r="I329" s="981"/>
      <c r="J329" s="981"/>
      <c r="K329" s="981"/>
      <c r="L329" s="981"/>
      <c r="M329" s="981"/>
      <c r="N329" s="981"/>
      <c r="O329" s="981"/>
      <c r="P329" s="981"/>
      <c r="Q329" s="981"/>
      <c r="R329" s="981"/>
      <c r="S329" s="981"/>
      <c r="T329" s="981"/>
      <c r="U329" s="981"/>
      <c r="V329" s="981"/>
      <c r="W329" s="981"/>
      <c r="X329" s="981"/>
      <c r="Y329" s="981"/>
      <c r="Z329" s="981"/>
      <c r="AA329" s="981"/>
      <c r="AB329" s="981"/>
    </row>
    <row r="330">
      <c r="A330" s="981"/>
      <c r="B330" s="991"/>
      <c r="C330" s="981"/>
      <c r="D330" s="981"/>
      <c r="E330" s="981"/>
      <c r="F330" s="981"/>
      <c r="G330" s="981"/>
      <c r="H330" s="981"/>
      <c r="I330" s="981"/>
      <c r="J330" s="981"/>
      <c r="K330" s="981"/>
      <c r="L330" s="981"/>
      <c r="M330" s="981"/>
      <c r="N330" s="981"/>
      <c r="O330" s="981"/>
      <c r="P330" s="981"/>
      <c r="Q330" s="981"/>
      <c r="R330" s="981"/>
      <c r="S330" s="981"/>
      <c r="T330" s="981"/>
      <c r="U330" s="981"/>
      <c r="V330" s="981"/>
      <c r="W330" s="981"/>
      <c r="X330" s="981"/>
      <c r="Y330" s="981"/>
      <c r="Z330" s="981"/>
      <c r="AA330" s="981"/>
      <c r="AB330" s="981"/>
    </row>
    <row r="331">
      <c r="A331" s="981"/>
      <c r="B331" s="991"/>
      <c r="C331" s="981"/>
      <c r="D331" s="981"/>
      <c r="E331" s="981"/>
      <c r="F331" s="981"/>
      <c r="G331" s="981"/>
      <c r="H331" s="981"/>
      <c r="I331" s="981"/>
      <c r="J331" s="981"/>
      <c r="K331" s="981"/>
      <c r="L331" s="981"/>
      <c r="M331" s="981"/>
      <c r="N331" s="981"/>
      <c r="O331" s="981"/>
      <c r="P331" s="981"/>
      <c r="Q331" s="981"/>
      <c r="R331" s="981"/>
      <c r="S331" s="981"/>
      <c r="T331" s="981"/>
      <c r="U331" s="981"/>
      <c r="V331" s="981"/>
      <c r="W331" s="981"/>
      <c r="X331" s="981"/>
      <c r="Y331" s="981"/>
      <c r="Z331" s="981"/>
      <c r="AA331" s="981"/>
      <c r="AB331" s="981"/>
    </row>
    <row r="332">
      <c r="A332" s="981"/>
      <c r="B332" s="991"/>
      <c r="C332" s="981"/>
      <c r="D332" s="981"/>
      <c r="E332" s="981"/>
      <c r="F332" s="981"/>
      <c r="G332" s="981"/>
      <c r="H332" s="981"/>
      <c r="I332" s="981"/>
      <c r="J332" s="981"/>
      <c r="K332" s="981"/>
      <c r="L332" s="981"/>
      <c r="M332" s="981"/>
      <c r="N332" s="981"/>
      <c r="O332" s="981"/>
      <c r="P332" s="981"/>
      <c r="Q332" s="981"/>
      <c r="R332" s="981"/>
      <c r="S332" s="981"/>
      <c r="T332" s="981"/>
      <c r="U332" s="981"/>
      <c r="V332" s="981"/>
      <c r="W332" s="981"/>
      <c r="X332" s="981"/>
      <c r="Y332" s="981"/>
      <c r="Z332" s="981"/>
      <c r="AA332" s="981"/>
      <c r="AB332" s="981"/>
    </row>
    <row r="333">
      <c r="A333" s="981"/>
      <c r="B333" s="991"/>
      <c r="C333" s="981"/>
      <c r="D333" s="981"/>
      <c r="E333" s="981"/>
      <c r="F333" s="981"/>
      <c r="G333" s="981"/>
      <c r="H333" s="981"/>
      <c r="I333" s="981"/>
      <c r="J333" s="981"/>
      <c r="K333" s="981"/>
      <c r="L333" s="981"/>
      <c r="M333" s="981"/>
      <c r="N333" s="981"/>
      <c r="O333" s="981"/>
      <c r="P333" s="981"/>
      <c r="Q333" s="981"/>
      <c r="R333" s="981"/>
      <c r="S333" s="981"/>
      <c r="T333" s="981"/>
      <c r="U333" s="981"/>
      <c r="V333" s="981"/>
      <c r="W333" s="981"/>
      <c r="X333" s="981"/>
      <c r="Y333" s="981"/>
      <c r="Z333" s="981"/>
      <c r="AA333" s="981"/>
      <c r="AB333" s="981"/>
    </row>
    <row r="334">
      <c r="A334" s="981"/>
      <c r="B334" s="991"/>
      <c r="C334" s="981"/>
      <c r="D334" s="981"/>
      <c r="E334" s="981"/>
      <c r="F334" s="981"/>
      <c r="G334" s="981"/>
      <c r="H334" s="981"/>
      <c r="I334" s="981"/>
      <c r="J334" s="981"/>
      <c r="K334" s="981"/>
      <c r="L334" s="981"/>
      <c r="M334" s="981"/>
      <c r="N334" s="981"/>
      <c r="O334" s="981"/>
      <c r="P334" s="981"/>
      <c r="Q334" s="981"/>
      <c r="R334" s="981"/>
      <c r="S334" s="981"/>
      <c r="T334" s="981"/>
      <c r="U334" s="981"/>
      <c r="V334" s="981"/>
      <c r="W334" s="981"/>
      <c r="X334" s="981"/>
      <c r="Y334" s="981"/>
      <c r="Z334" s="981"/>
      <c r="AA334" s="981"/>
      <c r="AB334" s="981"/>
    </row>
    <row r="335">
      <c r="A335" s="981"/>
      <c r="B335" s="991"/>
      <c r="C335" s="981"/>
      <c r="D335" s="981"/>
      <c r="E335" s="981"/>
      <c r="F335" s="981"/>
      <c r="G335" s="981"/>
      <c r="H335" s="981"/>
      <c r="I335" s="981"/>
      <c r="J335" s="981"/>
      <c r="K335" s="981"/>
      <c r="L335" s="981"/>
      <c r="M335" s="981"/>
      <c r="N335" s="981"/>
      <c r="O335" s="981"/>
      <c r="P335" s="981"/>
      <c r="Q335" s="981"/>
      <c r="R335" s="981"/>
      <c r="S335" s="981"/>
      <c r="T335" s="981"/>
      <c r="U335" s="981"/>
      <c r="V335" s="981"/>
      <c r="W335" s="981"/>
      <c r="X335" s="981"/>
      <c r="Y335" s="981"/>
      <c r="Z335" s="981"/>
      <c r="AA335" s="981"/>
      <c r="AB335" s="981"/>
    </row>
    <row r="336">
      <c r="A336" s="981"/>
      <c r="B336" s="991"/>
      <c r="C336" s="981"/>
      <c r="D336" s="981"/>
      <c r="E336" s="981"/>
      <c r="F336" s="981"/>
      <c r="G336" s="981"/>
      <c r="H336" s="981"/>
      <c r="I336" s="981"/>
      <c r="J336" s="981"/>
      <c r="K336" s="981"/>
      <c r="L336" s="981"/>
      <c r="M336" s="981"/>
      <c r="N336" s="981"/>
      <c r="O336" s="981"/>
      <c r="P336" s="981"/>
      <c r="Q336" s="981"/>
      <c r="R336" s="981"/>
      <c r="S336" s="981"/>
      <c r="T336" s="981"/>
      <c r="U336" s="981"/>
      <c r="V336" s="981"/>
      <c r="W336" s="981"/>
      <c r="X336" s="981"/>
      <c r="Y336" s="981"/>
      <c r="Z336" s="981"/>
      <c r="AA336" s="981"/>
      <c r="AB336" s="981"/>
    </row>
    <row r="337">
      <c r="A337" s="981"/>
      <c r="B337" s="991"/>
      <c r="C337" s="981"/>
      <c r="D337" s="981"/>
      <c r="E337" s="981"/>
      <c r="F337" s="981"/>
      <c r="G337" s="981"/>
      <c r="H337" s="981"/>
      <c r="I337" s="981"/>
      <c r="J337" s="981"/>
      <c r="K337" s="981"/>
      <c r="L337" s="981"/>
      <c r="M337" s="981"/>
      <c r="N337" s="981"/>
      <c r="O337" s="981"/>
      <c r="P337" s="981"/>
      <c r="Q337" s="981"/>
      <c r="R337" s="981"/>
      <c r="S337" s="981"/>
      <c r="T337" s="981"/>
      <c r="U337" s="981"/>
      <c r="V337" s="981"/>
      <c r="W337" s="981"/>
      <c r="X337" s="981"/>
      <c r="Y337" s="981"/>
      <c r="Z337" s="981"/>
      <c r="AA337" s="981"/>
      <c r="AB337" s="981"/>
    </row>
    <row r="338">
      <c r="A338" s="981"/>
      <c r="B338" s="991"/>
      <c r="C338" s="981"/>
      <c r="D338" s="981"/>
      <c r="E338" s="981"/>
      <c r="F338" s="981"/>
      <c r="G338" s="981"/>
      <c r="H338" s="981"/>
      <c r="I338" s="981"/>
      <c r="J338" s="981"/>
      <c r="K338" s="981"/>
      <c r="L338" s="981"/>
      <c r="M338" s="981"/>
      <c r="N338" s="981"/>
      <c r="O338" s="981"/>
      <c r="P338" s="981"/>
      <c r="Q338" s="981"/>
      <c r="R338" s="981"/>
      <c r="S338" s="981"/>
      <c r="T338" s="981"/>
      <c r="U338" s="981"/>
      <c r="V338" s="981"/>
      <c r="W338" s="981"/>
      <c r="X338" s="981"/>
      <c r="Y338" s="981"/>
      <c r="Z338" s="981"/>
      <c r="AA338" s="981"/>
      <c r="AB338" s="981"/>
    </row>
    <row r="339">
      <c r="A339" s="981"/>
      <c r="B339" s="991"/>
      <c r="C339" s="981"/>
      <c r="D339" s="981"/>
      <c r="E339" s="981"/>
      <c r="F339" s="981"/>
      <c r="G339" s="981"/>
      <c r="H339" s="981"/>
      <c r="I339" s="981"/>
      <c r="J339" s="981"/>
      <c r="K339" s="981"/>
      <c r="L339" s="981"/>
      <c r="M339" s="981"/>
      <c r="N339" s="981"/>
      <c r="O339" s="981"/>
      <c r="P339" s="981"/>
      <c r="Q339" s="981"/>
      <c r="R339" s="981"/>
      <c r="S339" s="981"/>
      <c r="T339" s="981"/>
      <c r="U339" s="981"/>
      <c r="V339" s="981"/>
      <c r="W339" s="981"/>
      <c r="X339" s="981"/>
      <c r="Y339" s="981"/>
      <c r="Z339" s="981"/>
      <c r="AA339" s="981"/>
      <c r="AB339" s="981"/>
    </row>
    <row r="340">
      <c r="A340" s="981"/>
      <c r="B340" s="991"/>
      <c r="C340" s="981"/>
      <c r="D340" s="981"/>
      <c r="E340" s="981"/>
      <c r="F340" s="981"/>
      <c r="G340" s="981"/>
      <c r="H340" s="981"/>
      <c r="I340" s="981"/>
      <c r="J340" s="981"/>
      <c r="K340" s="981"/>
      <c r="L340" s="981"/>
      <c r="M340" s="981"/>
      <c r="N340" s="981"/>
      <c r="O340" s="981"/>
      <c r="P340" s="981"/>
      <c r="Q340" s="981"/>
      <c r="R340" s="981"/>
      <c r="S340" s="981"/>
      <c r="T340" s="981"/>
      <c r="U340" s="981"/>
      <c r="V340" s="981"/>
      <c r="W340" s="981"/>
      <c r="X340" s="981"/>
      <c r="Y340" s="981"/>
      <c r="Z340" s="981"/>
      <c r="AA340" s="981"/>
      <c r="AB340" s="981"/>
    </row>
    <row r="341">
      <c r="A341" s="981"/>
      <c r="B341" s="991"/>
      <c r="C341" s="981"/>
      <c r="D341" s="981"/>
      <c r="E341" s="981"/>
      <c r="F341" s="981"/>
      <c r="G341" s="981"/>
      <c r="H341" s="981"/>
      <c r="I341" s="981"/>
      <c r="J341" s="981"/>
      <c r="K341" s="981"/>
      <c r="L341" s="981"/>
      <c r="M341" s="981"/>
      <c r="N341" s="981"/>
      <c r="O341" s="981"/>
      <c r="P341" s="981"/>
      <c r="Q341" s="981"/>
      <c r="R341" s="981"/>
      <c r="S341" s="981"/>
      <c r="T341" s="981"/>
      <c r="U341" s="981"/>
      <c r="V341" s="981"/>
      <c r="W341" s="981"/>
      <c r="X341" s="981"/>
      <c r="Y341" s="981"/>
      <c r="Z341" s="981"/>
      <c r="AA341" s="981"/>
      <c r="AB341" s="981"/>
    </row>
    <row r="342">
      <c r="A342" s="981"/>
      <c r="B342" s="991"/>
      <c r="C342" s="981"/>
      <c r="D342" s="981"/>
      <c r="E342" s="981"/>
      <c r="F342" s="981"/>
      <c r="G342" s="981"/>
      <c r="H342" s="981"/>
      <c r="I342" s="981"/>
      <c r="J342" s="981"/>
      <c r="K342" s="981"/>
      <c r="L342" s="981"/>
      <c r="M342" s="981"/>
      <c r="N342" s="981"/>
      <c r="O342" s="981"/>
      <c r="P342" s="981"/>
      <c r="Q342" s="981"/>
      <c r="R342" s="981"/>
      <c r="S342" s="981"/>
      <c r="T342" s="981"/>
      <c r="U342" s="981"/>
      <c r="V342" s="981"/>
      <c r="W342" s="981"/>
      <c r="X342" s="981"/>
      <c r="Y342" s="981"/>
      <c r="Z342" s="981"/>
      <c r="AA342" s="981"/>
      <c r="AB342" s="981"/>
    </row>
    <row r="343">
      <c r="A343" s="981"/>
      <c r="B343" s="991"/>
      <c r="C343" s="981"/>
      <c r="D343" s="981"/>
      <c r="E343" s="981"/>
      <c r="F343" s="981"/>
      <c r="G343" s="981"/>
      <c r="H343" s="981"/>
      <c r="I343" s="981"/>
      <c r="J343" s="981"/>
      <c r="K343" s="981"/>
      <c r="L343" s="981"/>
      <c r="M343" s="981"/>
      <c r="N343" s="981"/>
      <c r="O343" s="981"/>
      <c r="P343" s="981"/>
      <c r="Q343" s="981"/>
      <c r="R343" s="981"/>
      <c r="S343" s="981"/>
      <c r="T343" s="981"/>
      <c r="U343" s="981"/>
      <c r="V343" s="981"/>
      <c r="W343" s="981"/>
      <c r="X343" s="981"/>
      <c r="Y343" s="981"/>
      <c r="Z343" s="981"/>
      <c r="AA343" s="981"/>
      <c r="AB343" s="981"/>
    </row>
    <row r="344">
      <c r="A344" s="981"/>
      <c r="B344" s="991"/>
      <c r="C344" s="981"/>
      <c r="D344" s="981"/>
      <c r="E344" s="981"/>
      <c r="F344" s="981"/>
      <c r="G344" s="981"/>
      <c r="H344" s="981"/>
      <c r="I344" s="981"/>
      <c r="J344" s="981"/>
      <c r="K344" s="981"/>
      <c r="L344" s="981"/>
      <c r="M344" s="981"/>
      <c r="N344" s="981"/>
      <c r="O344" s="981"/>
      <c r="P344" s="981"/>
      <c r="Q344" s="981"/>
      <c r="R344" s="981"/>
      <c r="S344" s="981"/>
      <c r="T344" s="981"/>
      <c r="U344" s="981"/>
      <c r="V344" s="981"/>
      <c r="W344" s="981"/>
      <c r="X344" s="981"/>
      <c r="Y344" s="981"/>
      <c r="Z344" s="981"/>
      <c r="AA344" s="981"/>
      <c r="AB344" s="981"/>
    </row>
    <row r="345">
      <c r="A345" s="981"/>
      <c r="B345" s="991"/>
      <c r="C345" s="981"/>
      <c r="D345" s="981"/>
      <c r="E345" s="981"/>
      <c r="F345" s="981"/>
      <c r="G345" s="981"/>
      <c r="H345" s="981"/>
      <c r="I345" s="981"/>
      <c r="J345" s="981"/>
      <c r="K345" s="981"/>
      <c r="L345" s="981"/>
      <c r="M345" s="981"/>
      <c r="N345" s="981"/>
      <c r="O345" s="981"/>
      <c r="P345" s="981"/>
      <c r="Q345" s="981"/>
      <c r="R345" s="981"/>
      <c r="S345" s="981"/>
      <c r="T345" s="981"/>
      <c r="U345" s="981"/>
      <c r="V345" s="981"/>
      <c r="W345" s="981"/>
      <c r="X345" s="981"/>
      <c r="Y345" s="981"/>
      <c r="Z345" s="981"/>
      <c r="AA345" s="981"/>
      <c r="AB345" s="981"/>
    </row>
    <row r="346">
      <c r="A346" s="981"/>
      <c r="B346" s="991"/>
      <c r="C346" s="981"/>
      <c r="D346" s="981"/>
      <c r="E346" s="981"/>
      <c r="F346" s="981"/>
      <c r="G346" s="981"/>
      <c r="H346" s="981"/>
      <c r="I346" s="981"/>
      <c r="J346" s="981"/>
      <c r="K346" s="981"/>
      <c r="L346" s="981"/>
      <c r="M346" s="981"/>
      <c r="N346" s="981"/>
      <c r="O346" s="981"/>
      <c r="P346" s="981"/>
      <c r="Q346" s="981"/>
      <c r="R346" s="981"/>
      <c r="S346" s="981"/>
      <c r="T346" s="981"/>
      <c r="U346" s="981"/>
      <c r="V346" s="981"/>
      <c r="W346" s="981"/>
      <c r="X346" s="981"/>
      <c r="Y346" s="981"/>
      <c r="Z346" s="981"/>
      <c r="AA346" s="981"/>
      <c r="AB346" s="981"/>
    </row>
    <row r="347">
      <c r="A347" s="981"/>
      <c r="B347" s="991"/>
      <c r="C347" s="981"/>
      <c r="D347" s="981"/>
      <c r="E347" s="981"/>
      <c r="F347" s="981"/>
      <c r="G347" s="981"/>
      <c r="H347" s="981"/>
      <c r="I347" s="981"/>
      <c r="J347" s="981"/>
      <c r="K347" s="981"/>
      <c r="L347" s="981"/>
      <c r="M347" s="981"/>
      <c r="N347" s="981"/>
      <c r="O347" s="981"/>
      <c r="P347" s="981"/>
      <c r="Q347" s="981"/>
      <c r="R347" s="981"/>
      <c r="S347" s="981"/>
      <c r="T347" s="981"/>
      <c r="U347" s="981"/>
      <c r="V347" s="981"/>
      <c r="W347" s="981"/>
      <c r="X347" s="981"/>
      <c r="Y347" s="981"/>
      <c r="Z347" s="981"/>
      <c r="AA347" s="981"/>
      <c r="AB347" s="981"/>
    </row>
    <row r="348">
      <c r="A348" s="981"/>
      <c r="B348" s="991"/>
      <c r="C348" s="981"/>
      <c r="D348" s="981"/>
      <c r="E348" s="981"/>
      <c r="F348" s="981"/>
      <c r="G348" s="981"/>
      <c r="H348" s="981"/>
      <c r="I348" s="981"/>
      <c r="J348" s="981"/>
      <c r="K348" s="981"/>
      <c r="L348" s="981"/>
      <c r="M348" s="981"/>
      <c r="N348" s="981"/>
      <c r="O348" s="981"/>
      <c r="P348" s="981"/>
      <c r="Q348" s="981"/>
      <c r="R348" s="981"/>
      <c r="S348" s="981"/>
      <c r="T348" s="981"/>
      <c r="U348" s="981"/>
      <c r="V348" s="981"/>
      <c r="W348" s="981"/>
      <c r="X348" s="981"/>
      <c r="Y348" s="981"/>
      <c r="Z348" s="981"/>
      <c r="AA348" s="981"/>
      <c r="AB348" s="981"/>
    </row>
    <row r="349">
      <c r="A349" s="981"/>
      <c r="B349" s="991"/>
      <c r="C349" s="981"/>
      <c r="D349" s="981"/>
      <c r="E349" s="981"/>
      <c r="F349" s="981"/>
      <c r="G349" s="981"/>
      <c r="H349" s="981"/>
      <c r="I349" s="981"/>
      <c r="J349" s="981"/>
      <c r="K349" s="981"/>
      <c r="L349" s="981"/>
      <c r="M349" s="981"/>
      <c r="N349" s="981"/>
      <c r="O349" s="981"/>
      <c r="P349" s="981"/>
      <c r="Q349" s="981"/>
      <c r="R349" s="981"/>
      <c r="S349" s="981"/>
      <c r="T349" s="981"/>
      <c r="U349" s="981"/>
      <c r="V349" s="981"/>
      <c r="W349" s="981"/>
      <c r="X349" s="981"/>
      <c r="Y349" s="981"/>
      <c r="Z349" s="981"/>
      <c r="AA349" s="981"/>
      <c r="AB349" s="981"/>
    </row>
    <row r="350">
      <c r="A350" s="981"/>
      <c r="B350" s="991"/>
      <c r="C350" s="981"/>
      <c r="D350" s="981"/>
      <c r="E350" s="981"/>
      <c r="F350" s="981"/>
      <c r="G350" s="981"/>
      <c r="H350" s="981"/>
      <c r="I350" s="981"/>
      <c r="J350" s="981"/>
      <c r="K350" s="981"/>
      <c r="L350" s="981"/>
      <c r="M350" s="981"/>
      <c r="N350" s="981"/>
      <c r="O350" s="981"/>
      <c r="P350" s="981"/>
      <c r="Q350" s="981"/>
      <c r="R350" s="981"/>
      <c r="S350" s="981"/>
      <c r="T350" s="981"/>
      <c r="U350" s="981"/>
      <c r="V350" s="981"/>
      <c r="W350" s="981"/>
      <c r="X350" s="981"/>
      <c r="Y350" s="981"/>
      <c r="Z350" s="981"/>
      <c r="AA350" s="981"/>
      <c r="AB350" s="981"/>
    </row>
    <row r="351">
      <c r="A351" s="981"/>
      <c r="B351" s="991"/>
      <c r="C351" s="981"/>
      <c r="D351" s="981"/>
      <c r="E351" s="981"/>
      <c r="F351" s="981"/>
      <c r="G351" s="981"/>
      <c r="H351" s="981"/>
      <c r="I351" s="981"/>
      <c r="J351" s="981"/>
      <c r="K351" s="981"/>
      <c r="L351" s="981"/>
      <c r="M351" s="981"/>
      <c r="N351" s="981"/>
      <c r="O351" s="981"/>
      <c r="P351" s="981"/>
      <c r="Q351" s="981"/>
      <c r="R351" s="981"/>
      <c r="S351" s="981"/>
      <c r="T351" s="981"/>
      <c r="U351" s="981"/>
      <c r="V351" s="981"/>
      <c r="W351" s="981"/>
      <c r="X351" s="981"/>
      <c r="Y351" s="981"/>
      <c r="Z351" s="981"/>
      <c r="AA351" s="981"/>
      <c r="AB351" s="981"/>
    </row>
    <row r="352">
      <c r="A352" s="981"/>
      <c r="B352" s="991"/>
      <c r="C352" s="981"/>
      <c r="D352" s="981"/>
      <c r="E352" s="981"/>
      <c r="F352" s="981"/>
      <c r="G352" s="981"/>
      <c r="H352" s="981"/>
      <c r="I352" s="981"/>
      <c r="J352" s="981"/>
      <c r="K352" s="981"/>
      <c r="L352" s="981"/>
      <c r="M352" s="981"/>
      <c r="N352" s="981"/>
      <c r="O352" s="981"/>
      <c r="P352" s="981"/>
      <c r="Q352" s="981"/>
      <c r="R352" s="981"/>
      <c r="S352" s="981"/>
      <c r="T352" s="981"/>
      <c r="U352" s="981"/>
      <c r="V352" s="981"/>
      <c r="W352" s="981"/>
      <c r="X352" s="981"/>
      <c r="Y352" s="981"/>
      <c r="Z352" s="981"/>
      <c r="AA352" s="981"/>
      <c r="AB352" s="981"/>
    </row>
    <row r="353">
      <c r="A353" s="981"/>
      <c r="B353" s="991"/>
      <c r="C353" s="981"/>
      <c r="D353" s="981"/>
      <c r="E353" s="981"/>
      <c r="F353" s="981"/>
      <c r="G353" s="981"/>
      <c r="H353" s="981"/>
      <c r="I353" s="981"/>
      <c r="J353" s="981"/>
      <c r="K353" s="981"/>
      <c r="L353" s="981"/>
      <c r="M353" s="981"/>
      <c r="N353" s="981"/>
      <c r="O353" s="981"/>
      <c r="P353" s="981"/>
      <c r="Q353" s="981"/>
      <c r="R353" s="981"/>
      <c r="S353" s="981"/>
      <c r="T353" s="981"/>
      <c r="U353" s="981"/>
      <c r="V353" s="981"/>
      <c r="W353" s="981"/>
      <c r="X353" s="981"/>
      <c r="Y353" s="981"/>
      <c r="Z353" s="981"/>
      <c r="AA353" s="981"/>
      <c r="AB353" s="981"/>
    </row>
    <row r="354">
      <c r="A354" s="981"/>
      <c r="B354" s="991"/>
      <c r="C354" s="981"/>
      <c r="D354" s="981"/>
      <c r="E354" s="981"/>
      <c r="F354" s="981"/>
      <c r="G354" s="981"/>
      <c r="H354" s="981"/>
      <c r="I354" s="981"/>
      <c r="J354" s="981"/>
      <c r="K354" s="981"/>
      <c r="L354" s="981"/>
      <c r="M354" s="981"/>
      <c r="N354" s="981"/>
      <c r="O354" s="981"/>
      <c r="P354" s="981"/>
      <c r="Q354" s="981"/>
      <c r="R354" s="981"/>
      <c r="S354" s="981"/>
      <c r="T354" s="981"/>
      <c r="U354" s="981"/>
      <c r="V354" s="981"/>
      <c r="W354" s="981"/>
      <c r="X354" s="981"/>
      <c r="Y354" s="981"/>
      <c r="Z354" s="981"/>
      <c r="AA354" s="981"/>
      <c r="AB354" s="981"/>
    </row>
    <row r="355">
      <c r="A355" s="981"/>
      <c r="B355" s="991"/>
      <c r="C355" s="981"/>
      <c r="D355" s="981"/>
      <c r="E355" s="981"/>
      <c r="F355" s="981"/>
      <c r="G355" s="981"/>
      <c r="H355" s="981"/>
      <c r="I355" s="981"/>
      <c r="J355" s="981"/>
      <c r="K355" s="981"/>
      <c r="L355" s="981"/>
      <c r="M355" s="981"/>
      <c r="N355" s="981"/>
      <c r="O355" s="981"/>
      <c r="P355" s="981"/>
      <c r="Q355" s="981"/>
      <c r="R355" s="981"/>
      <c r="S355" s="981"/>
      <c r="T355" s="981"/>
      <c r="U355" s="981"/>
      <c r="V355" s="981"/>
      <c r="W355" s="981"/>
      <c r="X355" s="981"/>
      <c r="Y355" s="981"/>
      <c r="Z355" s="981"/>
      <c r="AA355" s="981"/>
      <c r="AB355" s="981"/>
    </row>
    <row r="356">
      <c r="A356" s="981"/>
      <c r="B356" s="991"/>
      <c r="C356" s="981"/>
      <c r="D356" s="981"/>
      <c r="E356" s="981"/>
      <c r="F356" s="981"/>
      <c r="G356" s="981"/>
      <c r="H356" s="981"/>
      <c r="I356" s="981"/>
      <c r="J356" s="981"/>
      <c r="K356" s="981"/>
      <c r="L356" s="981"/>
      <c r="M356" s="981"/>
      <c r="N356" s="981"/>
      <c r="O356" s="981"/>
      <c r="P356" s="981"/>
      <c r="Q356" s="981"/>
      <c r="R356" s="981"/>
      <c r="S356" s="981"/>
      <c r="T356" s="981"/>
      <c r="U356" s="981"/>
      <c r="V356" s="981"/>
      <c r="W356" s="981"/>
      <c r="X356" s="981"/>
      <c r="Y356" s="981"/>
      <c r="Z356" s="981"/>
      <c r="AA356" s="981"/>
      <c r="AB356" s="981"/>
    </row>
    <row r="357">
      <c r="A357" s="981"/>
      <c r="B357" s="991"/>
      <c r="C357" s="981"/>
      <c r="D357" s="981"/>
      <c r="E357" s="981"/>
      <c r="F357" s="981"/>
      <c r="G357" s="981"/>
      <c r="H357" s="981"/>
      <c r="I357" s="981"/>
      <c r="J357" s="981"/>
      <c r="K357" s="981"/>
      <c r="L357" s="981"/>
      <c r="M357" s="981"/>
      <c r="N357" s="981"/>
      <c r="O357" s="981"/>
      <c r="P357" s="981"/>
      <c r="Q357" s="981"/>
      <c r="R357" s="981"/>
      <c r="S357" s="981"/>
      <c r="T357" s="981"/>
      <c r="U357" s="981"/>
      <c r="V357" s="981"/>
      <c r="W357" s="981"/>
      <c r="X357" s="981"/>
      <c r="Y357" s="981"/>
      <c r="Z357" s="981"/>
      <c r="AA357" s="981"/>
      <c r="AB357" s="981"/>
    </row>
    <row r="358">
      <c r="A358" s="981"/>
      <c r="B358" s="991"/>
      <c r="C358" s="981"/>
      <c r="D358" s="981"/>
      <c r="E358" s="981"/>
      <c r="F358" s="981"/>
      <c r="G358" s="981"/>
      <c r="H358" s="981"/>
      <c r="I358" s="981"/>
      <c r="J358" s="981"/>
      <c r="K358" s="981"/>
      <c r="L358" s="981"/>
      <c r="M358" s="981"/>
      <c r="N358" s="981"/>
      <c r="O358" s="981"/>
      <c r="P358" s="981"/>
      <c r="Q358" s="981"/>
      <c r="R358" s="981"/>
      <c r="S358" s="981"/>
      <c r="T358" s="981"/>
      <c r="U358" s="981"/>
      <c r="V358" s="981"/>
      <c r="W358" s="981"/>
      <c r="X358" s="981"/>
      <c r="Y358" s="981"/>
      <c r="Z358" s="981"/>
      <c r="AA358" s="981"/>
      <c r="AB358" s="981"/>
    </row>
    <row r="359">
      <c r="A359" s="981"/>
      <c r="B359" s="991"/>
      <c r="C359" s="981"/>
      <c r="D359" s="981"/>
      <c r="E359" s="981"/>
      <c r="F359" s="981"/>
      <c r="G359" s="981"/>
      <c r="H359" s="981"/>
      <c r="I359" s="981"/>
      <c r="J359" s="981"/>
      <c r="K359" s="981"/>
      <c r="L359" s="981"/>
      <c r="M359" s="981"/>
      <c r="N359" s="981"/>
      <c r="O359" s="981"/>
      <c r="P359" s="981"/>
      <c r="Q359" s="981"/>
      <c r="R359" s="981"/>
      <c r="S359" s="981"/>
      <c r="T359" s="981"/>
      <c r="U359" s="981"/>
      <c r="V359" s="981"/>
      <c r="W359" s="981"/>
      <c r="X359" s="981"/>
      <c r="Y359" s="981"/>
      <c r="Z359" s="981"/>
      <c r="AA359" s="981"/>
      <c r="AB359" s="981"/>
    </row>
    <row r="360">
      <c r="A360" s="981"/>
      <c r="B360" s="991"/>
      <c r="C360" s="981"/>
      <c r="D360" s="981"/>
      <c r="E360" s="981"/>
      <c r="F360" s="981"/>
      <c r="G360" s="981"/>
      <c r="H360" s="981"/>
      <c r="I360" s="981"/>
      <c r="J360" s="981"/>
      <c r="K360" s="981"/>
      <c r="L360" s="981"/>
      <c r="M360" s="981"/>
      <c r="N360" s="981"/>
      <c r="O360" s="981"/>
      <c r="P360" s="981"/>
      <c r="Q360" s="981"/>
      <c r="R360" s="981"/>
      <c r="S360" s="981"/>
      <c r="T360" s="981"/>
      <c r="U360" s="981"/>
      <c r="V360" s="981"/>
      <c r="W360" s="981"/>
      <c r="X360" s="981"/>
      <c r="Y360" s="981"/>
      <c r="Z360" s="981"/>
      <c r="AA360" s="981"/>
      <c r="AB360" s="981"/>
    </row>
    <row r="361">
      <c r="A361" s="981"/>
      <c r="B361" s="991"/>
      <c r="C361" s="981"/>
      <c r="D361" s="981"/>
      <c r="E361" s="981"/>
      <c r="F361" s="981"/>
      <c r="G361" s="981"/>
      <c r="H361" s="981"/>
      <c r="I361" s="981"/>
      <c r="J361" s="981"/>
      <c r="K361" s="981"/>
      <c r="L361" s="981"/>
      <c r="M361" s="981"/>
      <c r="N361" s="981"/>
      <c r="O361" s="981"/>
      <c r="P361" s="981"/>
      <c r="Q361" s="981"/>
      <c r="R361" s="981"/>
      <c r="S361" s="981"/>
      <c r="T361" s="981"/>
      <c r="U361" s="981"/>
      <c r="V361" s="981"/>
      <c r="W361" s="981"/>
      <c r="X361" s="981"/>
      <c r="Y361" s="981"/>
      <c r="Z361" s="981"/>
      <c r="AA361" s="981"/>
      <c r="AB361" s="981"/>
    </row>
    <row r="362">
      <c r="A362" s="981"/>
      <c r="B362" s="991"/>
      <c r="C362" s="981"/>
      <c r="D362" s="981"/>
      <c r="E362" s="981"/>
      <c r="F362" s="981"/>
      <c r="G362" s="981"/>
      <c r="H362" s="981"/>
      <c r="I362" s="981"/>
      <c r="J362" s="981"/>
      <c r="K362" s="981"/>
      <c r="L362" s="981"/>
      <c r="M362" s="981"/>
      <c r="N362" s="981"/>
      <c r="O362" s="981"/>
      <c r="P362" s="981"/>
      <c r="Q362" s="981"/>
      <c r="R362" s="981"/>
      <c r="S362" s="981"/>
      <c r="T362" s="981"/>
      <c r="U362" s="981"/>
      <c r="V362" s="981"/>
      <c r="W362" s="981"/>
      <c r="X362" s="981"/>
      <c r="Y362" s="981"/>
      <c r="Z362" s="981"/>
      <c r="AA362" s="981"/>
      <c r="AB362" s="981"/>
    </row>
    <row r="363">
      <c r="A363" s="981"/>
      <c r="B363" s="991"/>
      <c r="C363" s="981"/>
      <c r="D363" s="981"/>
      <c r="E363" s="981"/>
      <c r="F363" s="981"/>
      <c r="G363" s="981"/>
      <c r="H363" s="981"/>
      <c r="I363" s="981"/>
      <c r="J363" s="981"/>
      <c r="K363" s="981"/>
      <c r="L363" s="981"/>
      <c r="M363" s="981"/>
      <c r="N363" s="981"/>
      <c r="O363" s="981"/>
      <c r="P363" s="981"/>
      <c r="Q363" s="981"/>
      <c r="R363" s="981"/>
      <c r="S363" s="981"/>
      <c r="T363" s="981"/>
      <c r="U363" s="981"/>
      <c r="V363" s="981"/>
      <c r="W363" s="981"/>
      <c r="X363" s="981"/>
      <c r="Y363" s="981"/>
      <c r="Z363" s="981"/>
      <c r="AA363" s="981"/>
      <c r="AB363" s="981"/>
    </row>
    <row r="364">
      <c r="A364" s="981"/>
      <c r="B364" s="991"/>
      <c r="C364" s="981"/>
      <c r="D364" s="981"/>
      <c r="E364" s="981"/>
      <c r="F364" s="981"/>
      <c r="G364" s="981"/>
      <c r="H364" s="981"/>
      <c r="I364" s="981"/>
      <c r="J364" s="981"/>
      <c r="K364" s="981"/>
      <c r="L364" s="981"/>
      <c r="M364" s="981"/>
      <c r="N364" s="981"/>
      <c r="O364" s="981"/>
      <c r="P364" s="981"/>
      <c r="Q364" s="981"/>
      <c r="R364" s="981"/>
      <c r="S364" s="981"/>
      <c r="T364" s="981"/>
      <c r="U364" s="981"/>
      <c r="V364" s="981"/>
      <c r="W364" s="981"/>
      <c r="X364" s="981"/>
      <c r="Y364" s="981"/>
      <c r="Z364" s="981"/>
      <c r="AA364" s="981"/>
      <c r="AB364" s="981"/>
    </row>
    <row r="365">
      <c r="A365" s="981"/>
      <c r="B365" s="991"/>
      <c r="C365" s="981"/>
      <c r="D365" s="981"/>
      <c r="E365" s="981"/>
      <c r="F365" s="981"/>
      <c r="G365" s="981"/>
      <c r="H365" s="981"/>
      <c r="I365" s="981"/>
      <c r="J365" s="981"/>
      <c r="K365" s="981"/>
      <c r="L365" s="981"/>
      <c r="M365" s="981"/>
      <c r="N365" s="981"/>
      <c r="O365" s="981"/>
      <c r="P365" s="981"/>
      <c r="Q365" s="981"/>
      <c r="R365" s="981"/>
      <c r="S365" s="981"/>
      <c r="T365" s="981"/>
      <c r="U365" s="981"/>
      <c r="V365" s="981"/>
      <c r="W365" s="981"/>
      <c r="X365" s="981"/>
      <c r="Y365" s="981"/>
      <c r="Z365" s="981"/>
      <c r="AA365" s="981"/>
      <c r="AB365" s="981"/>
    </row>
    <row r="366">
      <c r="A366" s="981"/>
      <c r="B366" s="991"/>
      <c r="C366" s="981"/>
      <c r="D366" s="981"/>
      <c r="E366" s="981"/>
      <c r="F366" s="981"/>
      <c r="G366" s="981"/>
      <c r="H366" s="981"/>
      <c r="I366" s="981"/>
      <c r="J366" s="981"/>
      <c r="K366" s="981"/>
      <c r="L366" s="981"/>
      <c r="M366" s="981"/>
      <c r="N366" s="981"/>
      <c r="O366" s="981"/>
      <c r="P366" s="981"/>
      <c r="Q366" s="981"/>
      <c r="R366" s="981"/>
      <c r="S366" s="981"/>
      <c r="T366" s="981"/>
      <c r="U366" s="981"/>
      <c r="V366" s="981"/>
      <c r="W366" s="981"/>
      <c r="X366" s="981"/>
      <c r="Y366" s="981"/>
      <c r="Z366" s="981"/>
      <c r="AA366" s="981"/>
      <c r="AB366" s="981"/>
    </row>
    <row r="367">
      <c r="A367" s="981"/>
      <c r="B367" s="991"/>
      <c r="C367" s="981"/>
      <c r="D367" s="981"/>
      <c r="E367" s="981"/>
      <c r="F367" s="981"/>
      <c r="G367" s="981"/>
      <c r="H367" s="981"/>
      <c r="I367" s="981"/>
      <c r="J367" s="981"/>
      <c r="K367" s="981"/>
      <c r="L367" s="981"/>
      <c r="M367" s="981"/>
      <c r="N367" s="981"/>
      <c r="O367" s="981"/>
      <c r="P367" s="981"/>
      <c r="Q367" s="981"/>
      <c r="R367" s="981"/>
      <c r="S367" s="981"/>
      <c r="T367" s="981"/>
      <c r="U367" s="981"/>
      <c r="V367" s="981"/>
      <c r="W367" s="981"/>
      <c r="X367" s="981"/>
      <c r="Y367" s="981"/>
      <c r="Z367" s="981"/>
      <c r="AA367" s="981"/>
      <c r="AB367" s="981"/>
    </row>
    <row r="368">
      <c r="A368" s="981"/>
      <c r="B368" s="991"/>
      <c r="C368" s="981"/>
      <c r="D368" s="981"/>
      <c r="E368" s="981"/>
      <c r="F368" s="981"/>
      <c r="G368" s="981"/>
      <c r="H368" s="981"/>
      <c r="I368" s="981"/>
      <c r="J368" s="981"/>
      <c r="K368" s="981"/>
      <c r="L368" s="981"/>
      <c r="M368" s="981"/>
      <c r="N368" s="981"/>
      <c r="O368" s="981"/>
      <c r="P368" s="981"/>
      <c r="Q368" s="981"/>
      <c r="R368" s="981"/>
      <c r="S368" s="981"/>
      <c r="T368" s="981"/>
      <c r="U368" s="981"/>
      <c r="V368" s="981"/>
      <c r="W368" s="981"/>
      <c r="X368" s="981"/>
      <c r="Y368" s="981"/>
      <c r="Z368" s="981"/>
      <c r="AA368" s="981"/>
      <c r="AB368" s="981"/>
    </row>
    <row r="369">
      <c r="A369" s="981"/>
      <c r="B369" s="991"/>
      <c r="C369" s="981"/>
      <c r="D369" s="981"/>
      <c r="E369" s="981"/>
      <c r="F369" s="981"/>
      <c r="G369" s="981"/>
      <c r="H369" s="981"/>
      <c r="I369" s="981"/>
      <c r="J369" s="981"/>
      <c r="K369" s="981"/>
      <c r="L369" s="981"/>
      <c r="M369" s="981"/>
      <c r="N369" s="981"/>
      <c r="O369" s="981"/>
      <c r="P369" s="981"/>
      <c r="Q369" s="981"/>
      <c r="R369" s="981"/>
      <c r="S369" s="981"/>
      <c r="T369" s="981"/>
      <c r="U369" s="981"/>
      <c r="V369" s="981"/>
      <c r="W369" s="981"/>
      <c r="X369" s="981"/>
      <c r="Y369" s="981"/>
      <c r="Z369" s="981"/>
      <c r="AA369" s="981"/>
      <c r="AB369" s="981"/>
    </row>
    <row r="370">
      <c r="A370" s="981"/>
      <c r="B370" s="991"/>
      <c r="C370" s="981"/>
      <c r="D370" s="981"/>
      <c r="E370" s="981"/>
      <c r="F370" s="981"/>
      <c r="G370" s="981"/>
      <c r="H370" s="981"/>
      <c r="I370" s="981"/>
      <c r="J370" s="981"/>
      <c r="K370" s="981"/>
      <c r="L370" s="981"/>
      <c r="M370" s="981"/>
      <c r="N370" s="981"/>
      <c r="O370" s="981"/>
      <c r="P370" s="981"/>
      <c r="Q370" s="981"/>
      <c r="R370" s="981"/>
      <c r="S370" s="981"/>
      <c r="T370" s="981"/>
      <c r="U370" s="981"/>
      <c r="V370" s="981"/>
      <c r="W370" s="981"/>
      <c r="X370" s="981"/>
      <c r="Y370" s="981"/>
      <c r="Z370" s="981"/>
      <c r="AA370" s="981"/>
      <c r="AB370" s="981"/>
    </row>
    <row r="371">
      <c r="A371" s="981"/>
      <c r="B371" s="991"/>
      <c r="C371" s="981"/>
      <c r="D371" s="981"/>
      <c r="E371" s="981"/>
      <c r="F371" s="981"/>
      <c r="G371" s="981"/>
      <c r="H371" s="981"/>
      <c r="I371" s="981"/>
      <c r="J371" s="981"/>
      <c r="K371" s="981"/>
      <c r="L371" s="981"/>
      <c r="M371" s="981"/>
      <c r="N371" s="981"/>
      <c r="O371" s="981"/>
      <c r="P371" s="981"/>
      <c r="Q371" s="981"/>
      <c r="R371" s="981"/>
      <c r="S371" s="981"/>
      <c r="T371" s="981"/>
      <c r="U371" s="981"/>
      <c r="V371" s="981"/>
      <c r="W371" s="981"/>
      <c r="X371" s="981"/>
      <c r="Y371" s="981"/>
      <c r="Z371" s="981"/>
      <c r="AA371" s="981"/>
      <c r="AB371" s="981"/>
    </row>
    <row r="372">
      <c r="A372" s="981"/>
      <c r="B372" s="991"/>
      <c r="C372" s="981"/>
      <c r="D372" s="981"/>
      <c r="E372" s="981"/>
      <c r="F372" s="981"/>
      <c r="G372" s="981"/>
      <c r="H372" s="981"/>
      <c r="I372" s="981"/>
      <c r="J372" s="981"/>
      <c r="K372" s="981"/>
      <c r="L372" s="981"/>
      <c r="M372" s="981"/>
      <c r="N372" s="981"/>
      <c r="O372" s="981"/>
      <c r="P372" s="981"/>
      <c r="Q372" s="981"/>
      <c r="R372" s="981"/>
      <c r="S372" s="981"/>
      <c r="T372" s="981"/>
      <c r="U372" s="981"/>
      <c r="V372" s="981"/>
      <c r="W372" s="981"/>
      <c r="X372" s="981"/>
      <c r="Y372" s="981"/>
      <c r="Z372" s="981"/>
      <c r="AA372" s="981"/>
      <c r="AB372" s="981"/>
    </row>
    <row r="373">
      <c r="A373" s="981"/>
      <c r="B373" s="991"/>
      <c r="C373" s="981"/>
      <c r="D373" s="981"/>
      <c r="E373" s="981"/>
      <c r="F373" s="981"/>
      <c r="G373" s="981"/>
      <c r="H373" s="981"/>
      <c r="I373" s="981"/>
      <c r="J373" s="981"/>
      <c r="K373" s="981"/>
      <c r="L373" s="981"/>
      <c r="M373" s="981"/>
      <c r="N373" s="981"/>
      <c r="O373" s="981"/>
      <c r="P373" s="981"/>
      <c r="Q373" s="981"/>
      <c r="R373" s="981"/>
      <c r="S373" s="981"/>
      <c r="T373" s="981"/>
      <c r="U373" s="981"/>
      <c r="V373" s="981"/>
      <c r="W373" s="981"/>
      <c r="X373" s="981"/>
      <c r="Y373" s="981"/>
      <c r="Z373" s="981"/>
      <c r="AA373" s="981"/>
      <c r="AB373" s="981"/>
    </row>
    <row r="374">
      <c r="A374" s="981"/>
      <c r="B374" s="991"/>
      <c r="C374" s="981"/>
      <c r="D374" s="981"/>
      <c r="E374" s="981"/>
      <c r="F374" s="981"/>
      <c r="G374" s="981"/>
      <c r="H374" s="981"/>
      <c r="I374" s="981"/>
      <c r="J374" s="981"/>
      <c r="K374" s="981"/>
      <c r="L374" s="981"/>
      <c r="M374" s="981"/>
      <c r="N374" s="981"/>
      <c r="O374" s="981"/>
      <c r="P374" s="981"/>
      <c r="Q374" s="981"/>
      <c r="R374" s="981"/>
      <c r="S374" s="981"/>
      <c r="T374" s="981"/>
      <c r="U374" s="981"/>
      <c r="V374" s="981"/>
      <c r="W374" s="981"/>
      <c r="X374" s="981"/>
      <c r="Y374" s="981"/>
      <c r="Z374" s="981"/>
      <c r="AA374" s="981"/>
      <c r="AB374" s="981"/>
    </row>
    <row r="375">
      <c r="A375" s="981"/>
      <c r="B375" s="991"/>
      <c r="C375" s="981"/>
      <c r="D375" s="981"/>
      <c r="E375" s="981"/>
      <c r="F375" s="981"/>
      <c r="G375" s="981"/>
      <c r="H375" s="981"/>
      <c r="I375" s="981"/>
      <c r="J375" s="981"/>
      <c r="K375" s="981"/>
      <c r="L375" s="981"/>
      <c r="M375" s="981"/>
      <c r="N375" s="981"/>
      <c r="O375" s="981"/>
      <c r="P375" s="981"/>
      <c r="Q375" s="981"/>
      <c r="R375" s="981"/>
      <c r="S375" s="981"/>
      <c r="T375" s="981"/>
      <c r="U375" s="981"/>
      <c r="V375" s="981"/>
      <c r="W375" s="981"/>
      <c r="X375" s="981"/>
      <c r="Y375" s="981"/>
      <c r="Z375" s="981"/>
      <c r="AA375" s="981"/>
      <c r="AB375" s="981"/>
    </row>
    <row r="376">
      <c r="A376" s="981"/>
      <c r="B376" s="991"/>
      <c r="C376" s="981"/>
      <c r="D376" s="981"/>
      <c r="E376" s="981"/>
      <c r="F376" s="981"/>
      <c r="G376" s="981"/>
      <c r="H376" s="981"/>
      <c r="I376" s="981"/>
      <c r="J376" s="981"/>
      <c r="K376" s="981"/>
      <c r="L376" s="981"/>
      <c r="M376" s="981"/>
      <c r="N376" s="981"/>
      <c r="O376" s="981"/>
      <c r="P376" s="981"/>
      <c r="Q376" s="981"/>
      <c r="R376" s="981"/>
      <c r="S376" s="981"/>
      <c r="T376" s="981"/>
      <c r="U376" s="981"/>
      <c r="V376" s="981"/>
      <c r="W376" s="981"/>
      <c r="X376" s="981"/>
      <c r="Y376" s="981"/>
      <c r="Z376" s="981"/>
      <c r="AA376" s="981"/>
      <c r="AB376" s="981"/>
    </row>
    <row r="377">
      <c r="A377" s="981"/>
      <c r="B377" s="991"/>
      <c r="C377" s="981"/>
      <c r="D377" s="981"/>
      <c r="E377" s="981"/>
      <c r="F377" s="981"/>
      <c r="G377" s="981"/>
      <c r="H377" s="981"/>
      <c r="I377" s="981"/>
      <c r="J377" s="981"/>
      <c r="K377" s="981"/>
      <c r="L377" s="981"/>
      <c r="M377" s="981"/>
      <c r="N377" s="981"/>
      <c r="O377" s="981"/>
      <c r="P377" s="981"/>
      <c r="Q377" s="981"/>
      <c r="R377" s="981"/>
      <c r="S377" s="981"/>
      <c r="T377" s="981"/>
      <c r="U377" s="981"/>
      <c r="V377" s="981"/>
      <c r="W377" s="981"/>
      <c r="X377" s="981"/>
      <c r="Y377" s="981"/>
      <c r="Z377" s="981"/>
      <c r="AA377" s="981"/>
      <c r="AB377" s="981"/>
    </row>
    <row r="378">
      <c r="A378" s="981"/>
      <c r="B378" s="991"/>
      <c r="C378" s="981"/>
      <c r="D378" s="981"/>
      <c r="E378" s="981"/>
      <c r="F378" s="981"/>
      <c r="G378" s="981"/>
      <c r="H378" s="981"/>
      <c r="I378" s="981"/>
      <c r="J378" s="981"/>
      <c r="K378" s="981"/>
      <c r="L378" s="981"/>
      <c r="M378" s="981"/>
      <c r="N378" s="981"/>
      <c r="O378" s="981"/>
      <c r="P378" s="981"/>
      <c r="Q378" s="981"/>
      <c r="R378" s="981"/>
      <c r="S378" s="981"/>
      <c r="T378" s="981"/>
      <c r="U378" s="981"/>
      <c r="V378" s="981"/>
      <c r="W378" s="981"/>
      <c r="X378" s="981"/>
      <c r="Y378" s="981"/>
      <c r="Z378" s="981"/>
      <c r="AA378" s="981"/>
      <c r="AB378" s="981"/>
    </row>
    <row r="379">
      <c r="A379" s="981"/>
      <c r="B379" s="991"/>
      <c r="C379" s="981"/>
      <c r="D379" s="981"/>
      <c r="E379" s="981"/>
      <c r="F379" s="981"/>
      <c r="G379" s="981"/>
      <c r="H379" s="981"/>
      <c r="I379" s="981"/>
      <c r="J379" s="981"/>
      <c r="K379" s="981"/>
      <c r="L379" s="981"/>
      <c r="M379" s="981"/>
      <c r="N379" s="981"/>
      <c r="O379" s="981"/>
      <c r="P379" s="981"/>
      <c r="Q379" s="981"/>
      <c r="R379" s="981"/>
      <c r="S379" s="981"/>
      <c r="T379" s="981"/>
      <c r="U379" s="981"/>
      <c r="V379" s="981"/>
      <c r="W379" s="981"/>
      <c r="X379" s="981"/>
      <c r="Y379" s="981"/>
      <c r="Z379" s="981"/>
      <c r="AA379" s="981"/>
      <c r="AB379" s="981"/>
    </row>
    <row r="380">
      <c r="A380" s="981"/>
      <c r="B380" s="991"/>
      <c r="C380" s="981"/>
      <c r="D380" s="981"/>
      <c r="E380" s="981"/>
      <c r="F380" s="981"/>
      <c r="G380" s="981"/>
      <c r="H380" s="981"/>
      <c r="I380" s="981"/>
      <c r="J380" s="981"/>
      <c r="K380" s="981"/>
      <c r="L380" s="981"/>
      <c r="M380" s="981"/>
      <c r="N380" s="981"/>
      <c r="O380" s="981"/>
      <c r="P380" s="981"/>
      <c r="Q380" s="981"/>
      <c r="R380" s="981"/>
      <c r="S380" s="981"/>
      <c r="T380" s="981"/>
      <c r="U380" s="981"/>
      <c r="V380" s="981"/>
      <c r="W380" s="981"/>
      <c r="X380" s="981"/>
      <c r="Y380" s="981"/>
      <c r="Z380" s="981"/>
      <c r="AA380" s="981"/>
      <c r="AB380" s="981"/>
    </row>
    <row r="381">
      <c r="A381" s="981"/>
      <c r="B381" s="991"/>
      <c r="C381" s="981"/>
      <c r="D381" s="981"/>
      <c r="E381" s="981"/>
      <c r="F381" s="981"/>
      <c r="G381" s="981"/>
      <c r="H381" s="981"/>
      <c r="I381" s="981"/>
      <c r="J381" s="981"/>
      <c r="K381" s="981"/>
      <c r="L381" s="981"/>
      <c r="M381" s="981"/>
      <c r="N381" s="981"/>
      <c r="O381" s="981"/>
      <c r="P381" s="981"/>
      <c r="Q381" s="981"/>
      <c r="R381" s="981"/>
      <c r="S381" s="981"/>
      <c r="T381" s="981"/>
      <c r="U381" s="981"/>
      <c r="V381" s="981"/>
      <c r="W381" s="981"/>
      <c r="X381" s="981"/>
      <c r="Y381" s="981"/>
      <c r="Z381" s="981"/>
      <c r="AA381" s="981"/>
      <c r="AB381" s="981"/>
    </row>
    <row r="382">
      <c r="A382" s="981"/>
      <c r="B382" s="991"/>
      <c r="C382" s="981"/>
      <c r="D382" s="981"/>
      <c r="E382" s="981"/>
      <c r="F382" s="981"/>
      <c r="G382" s="981"/>
      <c r="H382" s="981"/>
      <c r="I382" s="981"/>
      <c r="J382" s="981"/>
      <c r="K382" s="981"/>
      <c r="L382" s="981"/>
      <c r="M382" s="981"/>
      <c r="N382" s="981"/>
      <c r="O382" s="981"/>
      <c r="P382" s="981"/>
      <c r="Q382" s="981"/>
      <c r="R382" s="981"/>
      <c r="S382" s="981"/>
      <c r="T382" s="981"/>
      <c r="U382" s="981"/>
      <c r="V382" s="981"/>
      <c r="W382" s="981"/>
      <c r="X382" s="981"/>
      <c r="Y382" s="981"/>
      <c r="Z382" s="981"/>
      <c r="AA382" s="981"/>
      <c r="AB382" s="981"/>
    </row>
    <row r="383">
      <c r="A383" s="981"/>
      <c r="B383" s="991"/>
      <c r="C383" s="981"/>
      <c r="D383" s="981"/>
      <c r="E383" s="981"/>
      <c r="F383" s="981"/>
      <c r="G383" s="981"/>
      <c r="H383" s="981"/>
      <c r="I383" s="981"/>
      <c r="J383" s="981"/>
      <c r="K383" s="981"/>
      <c r="L383" s="981"/>
      <c r="M383" s="981"/>
      <c r="N383" s="981"/>
      <c r="O383" s="981"/>
      <c r="P383" s="981"/>
      <c r="Q383" s="981"/>
      <c r="R383" s="981"/>
      <c r="S383" s="981"/>
      <c r="T383" s="981"/>
      <c r="U383" s="981"/>
      <c r="V383" s="981"/>
      <c r="W383" s="981"/>
      <c r="X383" s="981"/>
      <c r="Y383" s="981"/>
      <c r="Z383" s="981"/>
      <c r="AA383" s="981"/>
      <c r="AB383" s="981"/>
    </row>
    <row r="384">
      <c r="A384" s="981"/>
      <c r="B384" s="991"/>
      <c r="C384" s="981"/>
      <c r="D384" s="981"/>
      <c r="E384" s="981"/>
      <c r="F384" s="981"/>
      <c r="G384" s="981"/>
      <c r="H384" s="981"/>
      <c r="I384" s="981"/>
      <c r="J384" s="981"/>
      <c r="K384" s="981"/>
      <c r="L384" s="981"/>
      <c r="M384" s="981"/>
      <c r="N384" s="981"/>
      <c r="O384" s="981"/>
      <c r="P384" s="981"/>
      <c r="Q384" s="981"/>
      <c r="R384" s="981"/>
      <c r="S384" s="981"/>
      <c r="T384" s="981"/>
      <c r="U384" s="981"/>
      <c r="V384" s="981"/>
      <c r="W384" s="981"/>
      <c r="X384" s="981"/>
      <c r="Y384" s="981"/>
      <c r="Z384" s="981"/>
      <c r="AA384" s="981"/>
      <c r="AB384" s="981"/>
    </row>
    <row r="385">
      <c r="A385" s="981"/>
      <c r="B385" s="991"/>
      <c r="C385" s="981"/>
      <c r="D385" s="981"/>
      <c r="E385" s="981"/>
      <c r="F385" s="981"/>
      <c r="G385" s="981"/>
      <c r="H385" s="981"/>
      <c r="I385" s="981"/>
      <c r="J385" s="981"/>
      <c r="K385" s="981"/>
      <c r="L385" s="981"/>
      <c r="M385" s="981"/>
      <c r="N385" s="981"/>
      <c r="O385" s="981"/>
      <c r="P385" s="981"/>
      <c r="Q385" s="981"/>
      <c r="R385" s="981"/>
      <c r="S385" s="981"/>
      <c r="T385" s="981"/>
      <c r="U385" s="981"/>
      <c r="V385" s="981"/>
      <c r="W385" s="981"/>
      <c r="X385" s="981"/>
      <c r="Y385" s="981"/>
      <c r="Z385" s="981"/>
      <c r="AA385" s="981"/>
      <c r="AB385" s="981"/>
    </row>
    <row r="386">
      <c r="A386" s="981"/>
      <c r="B386" s="991"/>
      <c r="C386" s="981"/>
      <c r="D386" s="981"/>
      <c r="E386" s="981"/>
      <c r="F386" s="981"/>
      <c r="G386" s="981"/>
      <c r="H386" s="981"/>
      <c r="I386" s="981"/>
      <c r="J386" s="981"/>
      <c r="K386" s="981"/>
      <c r="L386" s="981"/>
      <c r="M386" s="981"/>
      <c r="N386" s="981"/>
      <c r="O386" s="981"/>
      <c r="P386" s="981"/>
      <c r="Q386" s="981"/>
      <c r="R386" s="981"/>
      <c r="S386" s="981"/>
      <c r="T386" s="981"/>
      <c r="U386" s="981"/>
      <c r="V386" s="981"/>
      <c r="W386" s="981"/>
      <c r="X386" s="981"/>
      <c r="Y386" s="981"/>
      <c r="Z386" s="981"/>
      <c r="AA386" s="981"/>
      <c r="AB386" s="981"/>
    </row>
    <row r="387">
      <c r="A387" s="981"/>
      <c r="B387" s="991"/>
      <c r="C387" s="981"/>
      <c r="D387" s="981"/>
      <c r="E387" s="981"/>
      <c r="F387" s="981"/>
      <c r="G387" s="981"/>
      <c r="H387" s="981"/>
      <c r="I387" s="981"/>
      <c r="J387" s="981"/>
      <c r="K387" s="981"/>
      <c r="L387" s="981"/>
      <c r="M387" s="981"/>
      <c r="N387" s="981"/>
      <c r="O387" s="981"/>
      <c r="P387" s="981"/>
      <c r="Q387" s="981"/>
      <c r="R387" s="981"/>
      <c r="S387" s="981"/>
      <c r="T387" s="981"/>
      <c r="U387" s="981"/>
      <c r="V387" s="981"/>
      <c r="W387" s="981"/>
      <c r="X387" s="981"/>
      <c r="Y387" s="981"/>
      <c r="Z387" s="981"/>
      <c r="AA387" s="981"/>
      <c r="AB387" s="981"/>
    </row>
    <row r="388">
      <c r="A388" s="981"/>
      <c r="B388" s="991"/>
      <c r="C388" s="981"/>
      <c r="D388" s="981"/>
      <c r="E388" s="981"/>
      <c r="F388" s="981"/>
      <c r="G388" s="981"/>
      <c r="H388" s="981"/>
      <c r="I388" s="981"/>
      <c r="J388" s="981"/>
      <c r="K388" s="981"/>
      <c r="L388" s="981"/>
      <c r="M388" s="981"/>
      <c r="N388" s="981"/>
      <c r="O388" s="981"/>
      <c r="P388" s="981"/>
      <c r="Q388" s="981"/>
      <c r="R388" s="981"/>
      <c r="S388" s="981"/>
      <c r="T388" s="981"/>
      <c r="U388" s="981"/>
      <c r="V388" s="981"/>
      <c r="W388" s="981"/>
      <c r="X388" s="981"/>
      <c r="Y388" s="981"/>
      <c r="Z388" s="981"/>
      <c r="AA388" s="981"/>
      <c r="AB388" s="981"/>
    </row>
    <row r="389">
      <c r="A389" s="981"/>
      <c r="B389" s="991"/>
      <c r="C389" s="981"/>
      <c r="D389" s="981"/>
      <c r="E389" s="981"/>
      <c r="F389" s="981"/>
      <c r="G389" s="981"/>
      <c r="H389" s="981"/>
      <c r="I389" s="981"/>
      <c r="J389" s="981"/>
      <c r="K389" s="981"/>
      <c r="L389" s="981"/>
      <c r="M389" s="981"/>
      <c r="N389" s="981"/>
      <c r="O389" s="981"/>
      <c r="P389" s="981"/>
      <c r="Q389" s="981"/>
      <c r="R389" s="981"/>
      <c r="S389" s="981"/>
      <c r="T389" s="981"/>
      <c r="U389" s="981"/>
      <c r="V389" s="981"/>
      <c r="W389" s="981"/>
      <c r="X389" s="981"/>
      <c r="Y389" s="981"/>
      <c r="Z389" s="981"/>
      <c r="AA389" s="981"/>
      <c r="AB389" s="981"/>
    </row>
    <row r="390">
      <c r="A390" s="981"/>
      <c r="B390" s="991"/>
      <c r="C390" s="981"/>
      <c r="D390" s="981"/>
      <c r="E390" s="981"/>
      <c r="F390" s="981"/>
      <c r="G390" s="981"/>
      <c r="H390" s="981"/>
      <c r="I390" s="981"/>
      <c r="J390" s="981"/>
      <c r="K390" s="981"/>
      <c r="L390" s="981"/>
      <c r="M390" s="981"/>
      <c r="N390" s="981"/>
      <c r="O390" s="981"/>
      <c r="P390" s="981"/>
      <c r="Q390" s="981"/>
      <c r="R390" s="981"/>
      <c r="S390" s="981"/>
      <c r="T390" s="981"/>
      <c r="U390" s="981"/>
      <c r="V390" s="981"/>
      <c r="W390" s="981"/>
      <c r="X390" s="981"/>
      <c r="Y390" s="981"/>
      <c r="Z390" s="981"/>
      <c r="AA390" s="981"/>
      <c r="AB390" s="981"/>
    </row>
    <row r="391">
      <c r="A391" s="981"/>
      <c r="B391" s="991"/>
      <c r="C391" s="981"/>
      <c r="D391" s="981"/>
      <c r="E391" s="981"/>
      <c r="F391" s="981"/>
      <c r="G391" s="981"/>
      <c r="H391" s="981"/>
      <c r="I391" s="981"/>
      <c r="J391" s="981"/>
      <c r="K391" s="981"/>
      <c r="L391" s="981"/>
      <c r="M391" s="981"/>
      <c r="N391" s="981"/>
      <c r="O391" s="981"/>
      <c r="P391" s="981"/>
      <c r="Q391" s="981"/>
      <c r="R391" s="981"/>
      <c r="S391" s="981"/>
      <c r="T391" s="981"/>
      <c r="U391" s="981"/>
      <c r="V391" s="981"/>
      <c r="W391" s="981"/>
      <c r="X391" s="981"/>
      <c r="Y391" s="981"/>
      <c r="Z391" s="981"/>
      <c r="AA391" s="981"/>
      <c r="AB391" s="981"/>
    </row>
    <row r="392">
      <c r="A392" s="981"/>
      <c r="B392" s="991"/>
      <c r="C392" s="981"/>
      <c r="D392" s="981"/>
      <c r="E392" s="981"/>
      <c r="F392" s="981"/>
      <c r="G392" s="981"/>
      <c r="H392" s="981"/>
      <c r="I392" s="981"/>
      <c r="J392" s="981"/>
      <c r="K392" s="981"/>
      <c r="L392" s="981"/>
      <c r="M392" s="981"/>
      <c r="N392" s="981"/>
      <c r="O392" s="981"/>
      <c r="P392" s="981"/>
      <c r="Q392" s="981"/>
      <c r="R392" s="981"/>
      <c r="S392" s="981"/>
      <c r="T392" s="981"/>
      <c r="U392" s="981"/>
      <c r="V392" s="981"/>
      <c r="W392" s="981"/>
      <c r="X392" s="981"/>
      <c r="Y392" s="981"/>
      <c r="Z392" s="981"/>
      <c r="AA392" s="981"/>
      <c r="AB392" s="981"/>
    </row>
    <row r="393">
      <c r="A393" s="981"/>
      <c r="B393" s="991"/>
      <c r="C393" s="981"/>
      <c r="D393" s="981"/>
      <c r="E393" s="981"/>
      <c r="F393" s="981"/>
      <c r="G393" s="981"/>
      <c r="H393" s="981"/>
      <c r="I393" s="981"/>
      <c r="J393" s="981"/>
      <c r="K393" s="981"/>
      <c r="L393" s="981"/>
      <c r="M393" s="981"/>
      <c r="N393" s="981"/>
      <c r="O393" s="981"/>
      <c r="P393" s="981"/>
      <c r="Q393" s="981"/>
      <c r="R393" s="981"/>
      <c r="S393" s="981"/>
      <c r="T393" s="981"/>
      <c r="U393" s="981"/>
      <c r="V393" s="981"/>
      <c r="W393" s="981"/>
      <c r="X393" s="981"/>
      <c r="Y393" s="981"/>
      <c r="Z393" s="981"/>
      <c r="AA393" s="981"/>
      <c r="AB393" s="981"/>
    </row>
    <row r="394">
      <c r="A394" s="981"/>
      <c r="B394" s="991"/>
      <c r="C394" s="981"/>
      <c r="D394" s="981"/>
      <c r="E394" s="981"/>
      <c r="F394" s="981"/>
      <c r="G394" s="981"/>
      <c r="H394" s="981"/>
      <c r="I394" s="981"/>
      <c r="J394" s="981"/>
      <c r="K394" s="981"/>
      <c r="L394" s="981"/>
      <c r="M394" s="981"/>
      <c r="N394" s="981"/>
      <c r="O394" s="981"/>
      <c r="P394" s="981"/>
      <c r="Q394" s="981"/>
      <c r="R394" s="981"/>
      <c r="S394" s="981"/>
      <c r="T394" s="981"/>
      <c r="U394" s="981"/>
      <c r="V394" s="981"/>
      <c r="W394" s="981"/>
      <c r="X394" s="981"/>
      <c r="Y394" s="981"/>
      <c r="Z394" s="981"/>
      <c r="AA394" s="981"/>
      <c r="AB394" s="981"/>
    </row>
    <row r="395">
      <c r="A395" s="981"/>
      <c r="B395" s="991"/>
      <c r="C395" s="981"/>
      <c r="D395" s="981"/>
      <c r="E395" s="981"/>
      <c r="F395" s="981"/>
      <c r="G395" s="981"/>
      <c r="H395" s="981"/>
      <c r="I395" s="981"/>
      <c r="J395" s="981"/>
      <c r="K395" s="981"/>
      <c r="L395" s="981"/>
      <c r="M395" s="981"/>
      <c r="N395" s="981"/>
      <c r="O395" s="981"/>
      <c r="P395" s="981"/>
      <c r="Q395" s="981"/>
      <c r="R395" s="981"/>
      <c r="S395" s="981"/>
      <c r="T395" s="981"/>
      <c r="U395" s="981"/>
      <c r="V395" s="981"/>
      <c r="W395" s="981"/>
      <c r="X395" s="981"/>
      <c r="Y395" s="981"/>
      <c r="Z395" s="981"/>
      <c r="AA395" s="981"/>
      <c r="AB395" s="981"/>
    </row>
    <row r="396">
      <c r="A396" s="981"/>
      <c r="B396" s="991"/>
      <c r="C396" s="981"/>
      <c r="D396" s="981"/>
      <c r="E396" s="981"/>
      <c r="F396" s="981"/>
      <c r="G396" s="981"/>
      <c r="H396" s="981"/>
      <c r="I396" s="981"/>
      <c r="J396" s="981"/>
      <c r="K396" s="981"/>
      <c r="L396" s="981"/>
      <c r="M396" s="981"/>
      <c r="N396" s="981"/>
      <c r="O396" s="981"/>
      <c r="P396" s="981"/>
      <c r="Q396" s="981"/>
      <c r="R396" s="981"/>
      <c r="S396" s="981"/>
      <c r="T396" s="981"/>
      <c r="U396" s="981"/>
      <c r="V396" s="981"/>
      <c r="W396" s="981"/>
      <c r="X396" s="981"/>
      <c r="Y396" s="981"/>
      <c r="Z396" s="981"/>
      <c r="AA396" s="981"/>
      <c r="AB396" s="981"/>
    </row>
    <row r="397">
      <c r="A397" s="981"/>
      <c r="B397" s="991"/>
      <c r="C397" s="981"/>
      <c r="D397" s="981"/>
      <c r="E397" s="981"/>
      <c r="F397" s="981"/>
      <c r="G397" s="981"/>
      <c r="H397" s="981"/>
      <c r="I397" s="981"/>
      <c r="J397" s="981"/>
      <c r="K397" s="981"/>
      <c r="L397" s="981"/>
      <c r="M397" s="981"/>
      <c r="N397" s="981"/>
      <c r="O397" s="981"/>
      <c r="P397" s="981"/>
      <c r="Q397" s="981"/>
      <c r="R397" s="981"/>
      <c r="S397" s="981"/>
      <c r="T397" s="981"/>
      <c r="U397" s="981"/>
      <c r="V397" s="981"/>
      <c r="W397" s="981"/>
      <c r="X397" s="981"/>
      <c r="Y397" s="981"/>
      <c r="Z397" s="981"/>
      <c r="AA397" s="981"/>
      <c r="AB397" s="981"/>
    </row>
    <row r="398">
      <c r="A398" s="981"/>
      <c r="B398" s="991"/>
      <c r="C398" s="981"/>
      <c r="D398" s="981"/>
      <c r="E398" s="981"/>
      <c r="F398" s="981"/>
      <c r="G398" s="981"/>
      <c r="H398" s="981"/>
      <c r="I398" s="981"/>
      <c r="J398" s="981"/>
      <c r="K398" s="981"/>
      <c r="L398" s="981"/>
      <c r="M398" s="981"/>
      <c r="N398" s="981"/>
      <c r="O398" s="981"/>
      <c r="P398" s="981"/>
      <c r="Q398" s="981"/>
      <c r="R398" s="981"/>
      <c r="S398" s="981"/>
      <c r="T398" s="981"/>
      <c r="U398" s="981"/>
      <c r="V398" s="981"/>
      <c r="W398" s="981"/>
      <c r="X398" s="981"/>
      <c r="Y398" s="981"/>
      <c r="Z398" s="981"/>
      <c r="AA398" s="981"/>
      <c r="AB398" s="981"/>
    </row>
    <row r="399">
      <c r="A399" s="981"/>
      <c r="B399" s="991"/>
      <c r="C399" s="981"/>
      <c r="D399" s="981"/>
      <c r="E399" s="981"/>
      <c r="F399" s="981"/>
      <c r="G399" s="981"/>
      <c r="H399" s="981"/>
      <c r="I399" s="981"/>
      <c r="J399" s="981"/>
      <c r="K399" s="981"/>
      <c r="L399" s="981"/>
      <c r="M399" s="981"/>
      <c r="N399" s="981"/>
      <c r="O399" s="981"/>
      <c r="P399" s="981"/>
      <c r="Q399" s="981"/>
      <c r="R399" s="981"/>
      <c r="S399" s="981"/>
      <c r="T399" s="981"/>
      <c r="U399" s="981"/>
      <c r="V399" s="981"/>
      <c r="W399" s="981"/>
      <c r="X399" s="981"/>
      <c r="Y399" s="981"/>
      <c r="Z399" s="981"/>
      <c r="AA399" s="981"/>
      <c r="AB399" s="981"/>
    </row>
    <row r="400">
      <c r="A400" s="981"/>
      <c r="B400" s="991"/>
      <c r="C400" s="981"/>
      <c r="D400" s="981"/>
      <c r="E400" s="981"/>
      <c r="F400" s="981"/>
      <c r="G400" s="981"/>
      <c r="H400" s="981"/>
      <c r="I400" s="981"/>
      <c r="J400" s="981"/>
      <c r="K400" s="981"/>
      <c r="L400" s="981"/>
      <c r="M400" s="981"/>
      <c r="N400" s="981"/>
      <c r="O400" s="981"/>
      <c r="P400" s="981"/>
      <c r="Q400" s="981"/>
      <c r="R400" s="981"/>
      <c r="S400" s="981"/>
      <c r="T400" s="981"/>
      <c r="U400" s="981"/>
      <c r="V400" s="981"/>
      <c r="W400" s="981"/>
      <c r="X400" s="981"/>
      <c r="Y400" s="981"/>
      <c r="Z400" s="981"/>
      <c r="AA400" s="981"/>
      <c r="AB400" s="981"/>
    </row>
    <row r="401">
      <c r="A401" s="981"/>
      <c r="B401" s="991"/>
      <c r="C401" s="981"/>
      <c r="D401" s="981"/>
      <c r="E401" s="981"/>
      <c r="F401" s="981"/>
      <c r="G401" s="981"/>
      <c r="H401" s="981"/>
      <c r="I401" s="981"/>
      <c r="J401" s="981"/>
      <c r="K401" s="981"/>
      <c r="L401" s="981"/>
      <c r="M401" s="981"/>
      <c r="N401" s="981"/>
      <c r="O401" s="981"/>
      <c r="P401" s="981"/>
      <c r="Q401" s="981"/>
      <c r="R401" s="981"/>
      <c r="S401" s="981"/>
      <c r="T401" s="981"/>
      <c r="U401" s="981"/>
      <c r="V401" s="981"/>
      <c r="W401" s="981"/>
      <c r="X401" s="981"/>
      <c r="Y401" s="981"/>
      <c r="Z401" s="981"/>
      <c r="AA401" s="981"/>
      <c r="AB401" s="981"/>
    </row>
    <row r="402">
      <c r="A402" s="981"/>
      <c r="B402" s="991"/>
      <c r="C402" s="981"/>
      <c r="D402" s="981"/>
      <c r="E402" s="981"/>
      <c r="F402" s="981"/>
      <c r="G402" s="981"/>
      <c r="H402" s="981"/>
      <c r="I402" s="981"/>
      <c r="J402" s="981"/>
      <c r="K402" s="981"/>
      <c r="L402" s="981"/>
      <c r="M402" s="981"/>
      <c r="N402" s="981"/>
      <c r="O402" s="981"/>
      <c r="P402" s="981"/>
      <c r="Q402" s="981"/>
      <c r="R402" s="981"/>
      <c r="S402" s="981"/>
      <c r="T402" s="981"/>
      <c r="U402" s="981"/>
      <c r="V402" s="981"/>
      <c r="W402" s="981"/>
      <c r="X402" s="981"/>
      <c r="Y402" s="981"/>
      <c r="Z402" s="981"/>
      <c r="AA402" s="981"/>
      <c r="AB402" s="981"/>
    </row>
    <row r="403">
      <c r="A403" s="981"/>
      <c r="B403" s="991"/>
      <c r="C403" s="981"/>
      <c r="D403" s="981"/>
      <c r="E403" s="981"/>
      <c r="F403" s="981"/>
      <c r="G403" s="981"/>
      <c r="H403" s="981"/>
      <c r="I403" s="981"/>
      <c r="J403" s="981"/>
      <c r="K403" s="981"/>
      <c r="L403" s="981"/>
      <c r="M403" s="981"/>
      <c r="N403" s="981"/>
      <c r="O403" s="981"/>
      <c r="P403" s="981"/>
      <c r="Q403" s="981"/>
      <c r="R403" s="981"/>
      <c r="S403" s="981"/>
      <c r="T403" s="981"/>
      <c r="U403" s="981"/>
      <c r="V403" s="981"/>
      <c r="W403" s="981"/>
      <c r="X403" s="981"/>
      <c r="Y403" s="981"/>
      <c r="Z403" s="981"/>
      <c r="AA403" s="981"/>
      <c r="AB403" s="981"/>
    </row>
    <row r="404">
      <c r="A404" s="981"/>
      <c r="B404" s="991"/>
      <c r="C404" s="981"/>
      <c r="D404" s="981"/>
      <c r="E404" s="981"/>
      <c r="F404" s="981"/>
      <c r="G404" s="981"/>
      <c r="H404" s="981"/>
      <c r="I404" s="981"/>
      <c r="J404" s="981"/>
      <c r="K404" s="981"/>
      <c r="L404" s="981"/>
      <c r="M404" s="981"/>
      <c r="N404" s="981"/>
      <c r="O404" s="981"/>
      <c r="P404" s="981"/>
      <c r="Q404" s="981"/>
      <c r="R404" s="981"/>
      <c r="S404" s="981"/>
      <c r="T404" s="981"/>
      <c r="U404" s="981"/>
      <c r="V404" s="981"/>
      <c r="W404" s="981"/>
      <c r="X404" s="981"/>
      <c r="Y404" s="981"/>
      <c r="Z404" s="981"/>
      <c r="AA404" s="981"/>
      <c r="AB404" s="981"/>
    </row>
    <row r="405">
      <c r="A405" s="981"/>
      <c r="B405" s="991"/>
      <c r="C405" s="981"/>
      <c r="D405" s="981"/>
      <c r="E405" s="981"/>
      <c r="F405" s="981"/>
      <c r="G405" s="981"/>
      <c r="H405" s="981"/>
      <c r="I405" s="981"/>
      <c r="J405" s="981"/>
      <c r="K405" s="981"/>
      <c r="L405" s="981"/>
      <c r="M405" s="981"/>
      <c r="N405" s="981"/>
      <c r="O405" s="981"/>
      <c r="P405" s="981"/>
      <c r="Q405" s="981"/>
      <c r="R405" s="981"/>
      <c r="S405" s="981"/>
      <c r="T405" s="981"/>
      <c r="U405" s="981"/>
      <c r="V405" s="981"/>
      <c r="W405" s="981"/>
      <c r="X405" s="981"/>
      <c r="Y405" s="981"/>
      <c r="Z405" s="981"/>
      <c r="AA405" s="981"/>
      <c r="AB405" s="981"/>
    </row>
    <row r="406">
      <c r="A406" s="981"/>
      <c r="B406" s="991"/>
      <c r="C406" s="981"/>
      <c r="D406" s="981"/>
      <c r="E406" s="981"/>
      <c r="F406" s="981"/>
      <c r="G406" s="981"/>
      <c r="H406" s="981"/>
      <c r="I406" s="981"/>
      <c r="J406" s="981"/>
      <c r="K406" s="981"/>
      <c r="L406" s="981"/>
      <c r="M406" s="981"/>
      <c r="N406" s="981"/>
      <c r="O406" s="981"/>
      <c r="P406" s="981"/>
      <c r="Q406" s="981"/>
      <c r="R406" s="981"/>
      <c r="S406" s="981"/>
      <c r="T406" s="981"/>
      <c r="U406" s="981"/>
      <c r="V406" s="981"/>
      <c r="W406" s="981"/>
      <c r="X406" s="981"/>
      <c r="Y406" s="981"/>
      <c r="Z406" s="981"/>
      <c r="AA406" s="981"/>
      <c r="AB406" s="981"/>
    </row>
    <row r="407">
      <c r="A407" s="981"/>
      <c r="B407" s="991"/>
      <c r="C407" s="981"/>
      <c r="D407" s="981"/>
      <c r="E407" s="981"/>
      <c r="F407" s="981"/>
      <c r="G407" s="981"/>
      <c r="H407" s="981"/>
      <c r="I407" s="981"/>
      <c r="J407" s="981"/>
      <c r="K407" s="981"/>
      <c r="L407" s="981"/>
      <c r="M407" s="981"/>
      <c r="N407" s="981"/>
      <c r="O407" s="981"/>
      <c r="P407" s="981"/>
      <c r="Q407" s="981"/>
      <c r="R407" s="981"/>
      <c r="S407" s="981"/>
      <c r="T407" s="981"/>
      <c r="U407" s="981"/>
      <c r="V407" s="981"/>
      <c r="W407" s="981"/>
      <c r="X407" s="981"/>
      <c r="Y407" s="981"/>
      <c r="Z407" s="981"/>
      <c r="AA407" s="981"/>
      <c r="AB407" s="981"/>
    </row>
    <row r="408">
      <c r="A408" s="981"/>
      <c r="B408" s="991"/>
      <c r="C408" s="981"/>
      <c r="D408" s="981"/>
      <c r="E408" s="981"/>
      <c r="F408" s="981"/>
      <c r="G408" s="981"/>
      <c r="H408" s="981"/>
      <c r="I408" s="981"/>
      <c r="J408" s="981"/>
      <c r="K408" s="981"/>
      <c r="L408" s="981"/>
      <c r="M408" s="981"/>
      <c r="N408" s="981"/>
      <c r="O408" s="981"/>
      <c r="P408" s="981"/>
      <c r="Q408" s="981"/>
      <c r="R408" s="981"/>
      <c r="S408" s="981"/>
      <c r="T408" s="981"/>
      <c r="U408" s="981"/>
      <c r="V408" s="981"/>
      <c r="W408" s="981"/>
      <c r="X408" s="981"/>
      <c r="Y408" s="981"/>
      <c r="Z408" s="981"/>
      <c r="AA408" s="981"/>
      <c r="AB408" s="981"/>
    </row>
    <row r="409">
      <c r="A409" s="981"/>
      <c r="B409" s="991"/>
      <c r="C409" s="981"/>
      <c r="D409" s="981"/>
      <c r="E409" s="981"/>
      <c r="F409" s="981"/>
      <c r="G409" s="981"/>
      <c r="H409" s="981"/>
      <c r="I409" s="981"/>
      <c r="J409" s="981"/>
      <c r="K409" s="981"/>
      <c r="L409" s="981"/>
      <c r="M409" s="981"/>
      <c r="N409" s="981"/>
      <c r="O409" s="981"/>
      <c r="P409" s="981"/>
      <c r="Q409" s="981"/>
      <c r="R409" s="981"/>
      <c r="S409" s="981"/>
      <c r="T409" s="981"/>
      <c r="U409" s="981"/>
      <c r="V409" s="981"/>
      <c r="W409" s="981"/>
      <c r="X409" s="981"/>
      <c r="Y409" s="981"/>
      <c r="Z409" s="981"/>
      <c r="AA409" s="981"/>
      <c r="AB409" s="981"/>
    </row>
    <row r="410">
      <c r="A410" s="981"/>
      <c r="B410" s="991"/>
      <c r="C410" s="981"/>
      <c r="D410" s="981"/>
      <c r="E410" s="981"/>
      <c r="F410" s="981"/>
      <c r="G410" s="981"/>
      <c r="H410" s="981"/>
      <c r="I410" s="981"/>
      <c r="J410" s="981"/>
      <c r="K410" s="981"/>
      <c r="L410" s="981"/>
      <c r="M410" s="981"/>
      <c r="N410" s="981"/>
      <c r="O410" s="981"/>
      <c r="P410" s="981"/>
      <c r="Q410" s="981"/>
      <c r="R410" s="981"/>
      <c r="S410" s="981"/>
      <c r="T410" s="981"/>
      <c r="U410" s="981"/>
      <c r="V410" s="981"/>
      <c r="W410" s="981"/>
      <c r="X410" s="981"/>
      <c r="Y410" s="981"/>
      <c r="Z410" s="981"/>
      <c r="AA410" s="981"/>
      <c r="AB410" s="981"/>
    </row>
    <row r="411">
      <c r="A411" s="981"/>
      <c r="B411" s="991"/>
      <c r="C411" s="981"/>
      <c r="D411" s="981"/>
      <c r="E411" s="981"/>
      <c r="F411" s="981"/>
      <c r="G411" s="981"/>
      <c r="H411" s="981"/>
      <c r="I411" s="981"/>
      <c r="J411" s="981"/>
      <c r="K411" s="981"/>
      <c r="L411" s="981"/>
      <c r="M411" s="981"/>
      <c r="N411" s="981"/>
      <c r="O411" s="981"/>
      <c r="P411" s="981"/>
      <c r="Q411" s="981"/>
      <c r="R411" s="981"/>
      <c r="S411" s="981"/>
      <c r="T411" s="981"/>
      <c r="U411" s="981"/>
      <c r="V411" s="981"/>
      <c r="W411" s="981"/>
      <c r="X411" s="981"/>
      <c r="Y411" s="981"/>
      <c r="Z411" s="981"/>
      <c r="AA411" s="981"/>
      <c r="AB411" s="981"/>
    </row>
    <row r="412">
      <c r="A412" s="981"/>
      <c r="B412" s="991"/>
      <c r="C412" s="981"/>
      <c r="D412" s="981"/>
      <c r="E412" s="981"/>
      <c r="F412" s="981"/>
      <c r="G412" s="981"/>
      <c r="H412" s="981"/>
      <c r="I412" s="981"/>
      <c r="J412" s="981"/>
      <c r="K412" s="981"/>
      <c r="L412" s="981"/>
      <c r="M412" s="981"/>
      <c r="N412" s="981"/>
      <c r="O412" s="981"/>
      <c r="P412" s="981"/>
      <c r="Q412" s="981"/>
      <c r="R412" s="981"/>
      <c r="S412" s="981"/>
      <c r="T412" s="981"/>
      <c r="U412" s="981"/>
      <c r="V412" s="981"/>
      <c r="W412" s="981"/>
      <c r="X412" s="981"/>
      <c r="Y412" s="981"/>
      <c r="Z412" s="981"/>
      <c r="AA412" s="981"/>
      <c r="AB412" s="981"/>
    </row>
    <row r="413">
      <c r="A413" s="981"/>
      <c r="B413" s="991"/>
      <c r="C413" s="981"/>
      <c r="D413" s="981"/>
      <c r="E413" s="981"/>
      <c r="F413" s="981"/>
      <c r="G413" s="981"/>
      <c r="H413" s="981"/>
      <c r="I413" s="981"/>
      <c r="J413" s="981"/>
      <c r="K413" s="981"/>
      <c r="L413" s="981"/>
      <c r="M413" s="981"/>
      <c r="N413" s="981"/>
      <c r="O413" s="981"/>
      <c r="P413" s="981"/>
      <c r="Q413" s="981"/>
      <c r="R413" s="981"/>
      <c r="S413" s="981"/>
      <c r="T413" s="981"/>
      <c r="U413" s="981"/>
      <c r="V413" s="981"/>
      <c r="W413" s="981"/>
      <c r="X413" s="981"/>
      <c r="Y413" s="981"/>
      <c r="Z413" s="981"/>
      <c r="AA413" s="981"/>
      <c r="AB413" s="981"/>
    </row>
    <row r="414">
      <c r="A414" s="981"/>
      <c r="B414" s="991"/>
      <c r="C414" s="981"/>
      <c r="D414" s="981"/>
      <c r="E414" s="981"/>
      <c r="F414" s="981"/>
      <c r="G414" s="981"/>
      <c r="H414" s="981"/>
      <c r="I414" s="981"/>
      <c r="J414" s="981"/>
      <c r="K414" s="981"/>
      <c r="L414" s="981"/>
      <c r="M414" s="981"/>
      <c r="N414" s="981"/>
      <c r="O414" s="981"/>
      <c r="P414" s="981"/>
      <c r="Q414" s="981"/>
      <c r="R414" s="981"/>
      <c r="S414" s="981"/>
      <c r="T414" s="981"/>
      <c r="U414" s="981"/>
      <c r="V414" s="981"/>
      <c r="W414" s="981"/>
      <c r="X414" s="981"/>
      <c r="Y414" s="981"/>
      <c r="Z414" s="981"/>
      <c r="AA414" s="981"/>
      <c r="AB414" s="981"/>
    </row>
    <row r="415">
      <c r="A415" s="981"/>
      <c r="B415" s="991"/>
      <c r="C415" s="981"/>
      <c r="D415" s="981"/>
      <c r="E415" s="981"/>
      <c r="F415" s="981"/>
      <c r="G415" s="981"/>
      <c r="H415" s="981"/>
      <c r="I415" s="981"/>
      <c r="J415" s="981"/>
      <c r="K415" s="981"/>
      <c r="L415" s="981"/>
      <c r="M415" s="981"/>
      <c r="N415" s="981"/>
      <c r="O415" s="981"/>
      <c r="P415" s="981"/>
      <c r="Q415" s="981"/>
      <c r="R415" s="981"/>
      <c r="S415" s="981"/>
      <c r="T415" s="981"/>
      <c r="U415" s="981"/>
      <c r="V415" s="981"/>
      <c r="W415" s="981"/>
      <c r="X415" s="981"/>
      <c r="Y415" s="981"/>
      <c r="Z415" s="981"/>
      <c r="AA415" s="981"/>
      <c r="AB415" s="981"/>
    </row>
    <row r="416">
      <c r="A416" s="981"/>
      <c r="B416" s="991"/>
      <c r="C416" s="981"/>
      <c r="D416" s="981"/>
      <c r="E416" s="981"/>
      <c r="F416" s="981"/>
      <c r="G416" s="981"/>
      <c r="H416" s="981"/>
      <c r="I416" s="981"/>
      <c r="J416" s="981"/>
      <c r="K416" s="981"/>
      <c r="L416" s="981"/>
      <c r="M416" s="981"/>
      <c r="N416" s="981"/>
      <c r="O416" s="981"/>
      <c r="P416" s="981"/>
      <c r="Q416" s="981"/>
      <c r="R416" s="981"/>
      <c r="S416" s="981"/>
      <c r="T416" s="981"/>
      <c r="U416" s="981"/>
      <c r="V416" s="981"/>
      <c r="W416" s="981"/>
      <c r="X416" s="981"/>
      <c r="Y416" s="981"/>
      <c r="Z416" s="981"/>
      <c r="AA416" s="981"/>
      <c r="AB416" s="981"/>
    </row>
    <row r="417">
      <c r="A417" s="981"/>
      <c r="B417" s="991"/>
      <c r="C417" s="981"/>
      <c r="D417" s="981"/>
      <c r="E417" s="981"/>
      <c r="F417" s="981"/>
      <c r="G417" s="981"/>
      <c r="H417" s="981"/>
      <c r="I417" s="981"/>
      <c r="J417" s="981"/>
      <c r="K417" s="981"/>
      <c r="L417" s="981"/>
      <c r="M417" s="981"/>
      <c r="N417" s="981"/>
      <c r="O417" s="981"/>
      <c r="P417" s="981"/>
      <c r="Q417" s="981"/>
      <c r="R417" s="981"/>
      <c r="S417" s="981"/>
      <c r="T417" s="981"/>
      <c r="U417" s="981"/>
      <c r="V417" s="981"/>
      <c r="W417" s="981"/>
      <c r="X417" s="981"/>
      <c r="Y417" s="981"/>
      <c r="Z417" s="981"/>
      <c r="AA417" s="981"/>
      <c r="AB417" s="981"/>
    </row>
    <row r="418">
      <c r="A418" s="981"/>
      <c r="B418" s="991"/>
      <c r="C418" s="981"/>
      <c r="D418" s="981"/>
      <c r="E418" s="981"/>
      <c r="F418" s="981"/>
      <c r="G418" s="981"/>
      <c r="H418" s="981"/>
      <c r="I418" s="981"/>
      <c r="J418" s="981"/>
      <c r="K418" s="981"/>
      <c r="L418" s="981"/>
      <c r="M418" s="981"/>
      <c r="N418" s="981"/>
      <c r="O418" s="981"/>
      <c r="P418" s="981"/>
      <c r="Q418" s="981"/>
      <c r="R418" s="981"/>
      <c r="S418" s="981"/>
      <c r="T418" s="981"/>
      <c r="U418" s="981"/>
      <c r="V418" s="981"/>
      <c r="W418" s="981"/>
      <c r="X418" s="981"/>
      <c r="Y418" s="981"/>
      <c r="Z418" s="981"/>
      <c r="AA418" s="981"/>
      <c r="AB418" s="981"/>
    </row>
    <row r="419">
      <c r="A419" s="981"/>
      <c r="B419" s="991"/>
      <c r="C419" s="981"/>
      <c r="D419" s="981"/>
      <c r="E419" s="981"/>
      <c r="F419" s="981"/>
      <c r="G419" s="981"/>
      <c r="H419" s="981"/>
      <c r="I419" s="981"/>
      <c r="J419" s="981"/>
      <c r="K419" s="981"/>
      <c r="L419" s="981"/>
      <c r="M419" s="981"/>
      <c r="N419" s="981"/>
      <c r="O419" s="981"/>
      <c r="P419" s="981"/>
      <c r="Q419" s="981"/>
      <c r="R419" s="981"/>
      <c r="S419" s="981"/>
      <c r="T419" s="981"/>
      <c r="U419" s="981"/>
      <c r="V419" s="981"/>
      <c r="W419" s="981"/>
      <c r="X419" s="981"/>
      <c r="Y419" s="981"/>
      <c r="Z419" s="981"/>
      <c r="AA419" s="981"/>
      <c r="AB419" s="981"/>
    </row>
    <row r="420">
      <c r="A420" s="981"/>
      <c r="B420" s="991"/>
      <c r="C420" s="981"/>
      <c r="D420" s="981"/>
      <c r="E420" s="981"/>
      <c r="F420" s="981"/>
      <c r="G420" s="981"/>
      <c r="H420" s="981"/>
      <c r="I420" s="981"/>
      <c r="J420" s="981"/>
      <c r="K420" s="981"/>
      <c r="L420" s="981"/>
      <c r="M420" s="981"/>
      <c r="N420" s="981"/>
      <c r="O420" s="981"/>
      <c r="P420" s="981"/>
      <c r="Q420" s="981"/>
      <c r="R420" s="981"/>
      <c r="S420" s="981"/>
      <c r="T420" s="981"/>
      <c r="U420" s="981"/>
      <c r="V420" s="981"/>
      <c r="W420" s="981"/>
      <c r="X420" s="981"/>
      <c r="Y420" s="981"/>
      <c r="Z420" s="981"/>
      <c r="AA420" s="981"/>
      <c r="AB420" s="981"/>
    </row>
    <row r="421">
      <c r="A421" s="981"/>
      <c r="B421" s="991"/>
      <c r="C421" s="981"/>
      <c r="D421" s="981"/>
      <c r="E421" s="981"/>
      <c r="F421" s="981"/>
      <c r="G421" s="981"/>
      <c r="H421" s="981"/>
      <c r="I421" s="981"/>
      <c r="J421" s="981"/>
      <c r="K421" s="981"/>
      <c r="L421" s="981"/>
      <c r="M421" s="981"/>
      <c r="N421" s="981"/>
      <c r="O421" s="981"/>
      <c r="P421" s="981"/>
      <c r="Q421" s="981"/>
      <c r="R421" s="981"/>
      <c r="S421" s="981"/>
      <c r="T421" s="981"/>
      <c r="U421" s="981"/>
      <c r="V421" s="981"/>
      <c r="W421" s="981"/>
      <c r="X421" s="981"/>
      <c r="Y421" s="981"/>
      <c r="Z421" s="981"/>
      <c r="AA421" s="981"/>
      <c r="AB421" s="981"/>
    </row>
    <row r="422">
      <c r="A422" s="981"/>
      <c r="B422" s="991"/>
      <c r="C422" s="981"/>
      <c r="D422" s="981"/>
      <c r="E422" s="981"/>
      <c r="F422" s="981"/>
      <c r="G422" s="981"/>
      <c r="H422" s="981"/>
      <c r="I422" s="981"/>
      <c r="J422" s="981"/>
      <c r="K422" s="981"/>
      <c r="L422" s="981"/>
      <c r="M422" s="981"/>
      <c r="N422" s="981"/>
      <c r="O422" s="981"/>
      <c r="P422" s="981"/>
      <c r="Q422" s="981"/>
      <c r="R422" s="981"/>
      <c r="S422" s="981"/>
      <c r="T422" s="981"/>
      <c r="U422" s="981"/>
      <c r="V422" s="981"/>
      <c r="W422" s="981"/>
      <c r="X422" s="981"/>
      <c r="Y422" s="981"/>
      <c r="Z422" s="981"/>
      <c r="AA422" s="981"/>
      <c r="AB422" s="981"/>
    </row>
    <row r="423">
      <c r="A423" s="981"/>
      <c r="B423" s="991"/>
      <c r="C423" s="981"/>
      <c r="D423" s="981"/>
      <c r="E423" s="981"/>
      <c r="F423" s="981"/>
      <c r="G423" s="981"/>
      <c r="H423" s="981"/>
      <c r="I423" s="981"/>
      <c r="J423" s="981"/>
      <c r="K423" s="981"/>
      <c r="L423" s="981"/>
      <c r="M423" s="981"/>
      <c r="N423" s="981"/>
      <c r="O423" s="981"/>
      <c r="P423" s="981"/>
      <c r="Q423" s="981"/>
      <c r="R423" s="981"/>
      <c r="S423" s="981"/>
      <c r="T423" s="981"/>
      <c r="U423" s="981"/>
      <c r="V423" s="981"/>
      <c r="W423" s="981"/>
      <c r="X423" s="981"/>
      <c r="Y423" s="981"/>
      <c r="Z423" s="981"/>
      <c r="AA423" s="981"/>
      <c r="AB423" s="981"/>
    </row>
    <row r="424">
      <c r="A424" s="981"/>
      <c r="B424" s="991"/>
      <c r="C424" s="981"/>
      <c r="D424" s="981"/>
      <c r="E424" s="981"/>
      <c r="F424" s="981"/>
      <c r="G424" s="981"/>
      <c r="H424" s="981"/>
      <c r="I424" s="981"/>
      <c r="J424" s="981"/>
      <c r="K424" s="981"/>
      <c r="L424" s="981"/>
      <c r="M424" s="981"/>
      <c r="N424" s="981"/>
      <c r="O424" s="981"/>
      <c r="P424" s="981"/>
      <c r="Q424" s="981"/>
      <c r="R424" s="981"/>
      <c r="S424" s="981"/>
      <c r="T424" s="981"/>
      <c r="U424" s="981"/>
      <c r="V424" s="981"/>
      <c r="W424" s="981"/>
      <c r="X424" s="981"/>
      <c r="Y424" s="981"/>
      <c r="Z424" s="981"/>
      <c r="AA424" s="981"/>
      <c r="AB424" s="981"/>
    </row>
    <row r="425">
      <c r="A425" s="981"/>
      <c r="B425" s="991"/>
      <c r="C425" s="981"/>
      <c r="D425" s="981"/>
      <c r="E425" s="981"/>
      <c r="F425" s="981"/>
      <c r="G425" s="981"/>
      <c r="H425" s="981"/>
      <c r="I425" s="981"/>
      <c r="J425" s="981"/>
      <c r="K425" s="981"/>
      <c r="L425" s="981"/>
      <c r="M425" s="981"/>
      <c r="N425" s="981"/>
      <c r="O425" s="981"/>
      <c r="P425" s="981"/>
      <c r="Q425" s="981"/>
      <c r="R425" s="981"/>
      <c r="S425" s="981"/>
      <c r="T425" s="981"/>
      <c r="U425" s="981"/>
      <c r="V425" s="981"/>
      <c r="W425" s="981"/>
      <c r="X425" s="981"/>
      <c r="Y425" s="981"/>
      <c r="Z425" s="981"/>
      <c r="AA425" s="981"/>
      <c r="AB425" s="981"/>
    </row>
    <row r="426">
      <c r="A426" s="981"/>
      <c r="B426" s="991"/>
      <c r="C426" s="981"/>
      <c r="D426" s="981"/>
      <c r="E426" s="981"/>
      <c r="F426" s="981"/>
      <c r="G426" s="981"/>
      <c r="H426" s="981"/>
      <c r="I426" s="981"/>
      <c r="J426" s="981"/>
      <c r="K426" s="981"/>
      <c r="L426" s="981"/>
      <c r="M426" s="981"/>
      <c r="N426" s="981"/>
      <c r="O426" s="981"/>
      <c r="P426" s="981"/>
      <c r="Q426" s="981"/>
      <c r="R426" s="981"/>
      <c r="S426" s="981"/>
      <c r="T426" s="981"/>
      <c r="U426" s="981"/>
      <c r="V426" s="981"/>
      <c r="W426" s="981"/>
      <c r="X426" s="981"/>
      <c r="Y426" s="981"/>
      <c r="Z426" s="981"/>
      <c r="AA426" s="981"/>
      <c r="AB426" s="981"/>
    </row>
    <row r="427">
      <c r="A427" s="981"/>
      <c r="B427" s="991"/>
      <c r="C427" s="981"/>
      <c r="D427" s="981"/>
      <c r="E427" s="981"/>
      <c r="F427" s="981"/>
      <c r="G427" s="981"/>
      <c r="H427" s="981"/>
      <c r="I427" s="981"/>
      <c r="J427" s="981"/>
      <c r="K427" s="981"/>
      <c r="L427" s="981"/>
      <c r="M427" s="981"/>
      <c r="N427" s="981"/>
      <c r="O427" s="981"/>
      <c r="P427" s="981"/>
      <c r="Q427" s="981"/>
      <c r="R427" s="981"/>
      <c r="S427" s="981"/>
      <c r="T427" s="981"/>
      <c r="U427" s="981"/>
      <c r="V427" s="981"/>
      <c r="W427" s="981"/>
      <c r="X427" s="981"/>
      <c r="Y427" s="981"/>
      <c r="Z427" s="981"/>
      <c r="AA427" s="981"/>
      <c r="AB427" s="981"/>
    </row>
    <row r="428">
      <c r="A428" s="981"/>
      <c r="B428" s="991"/>
      <c r="C428" s="981"/>
      <c r="D428" s="981"/>
      <c r="E428" s="981"/>
      <c r="F428" s="981"/>
      <c r="G428" s="981"/>
      <c r="H428" s="981"/>
      <c r="I428" s="981"/>
      <c r="J428" s="981"/>
      <c r="K428" s="981"/>
      <c r="L428" s="981"/>
      <c r="M428" s="981"/>
      <c r="N428" s="981"/>
      <c r="O428" s="981"/>
      <c r="P428" s="981"/>
      <c r="Q428" s="981"/>
      <c r="R428" s="981"/>
      <c r="S428" s="981"/>
      <c r="T428" s="981"/>
      <c r="U428" s="981"/>
      <c r="V428" s="981"/>
      <c r="W428" s="981"/>
      <c r="X428" s="981"/>
      <c r="Y428" s="981"/>
      <c r="Z428" s="981"/>
      <c r="AA428" s="981"/>
      <c r="AB428" s="981"/>
    </row>
    <row r="429">
      <c r="A429" s="981"/>
      <c r="B429" s="991"/>
      <c r="C429" s="981"/>
      <c r="D429" s="981"/>
      <c r="E429" s="981"/>
      <c r="F429" s="981"/>
      <c r="G429" s="981"/>
      <c r="H429" s="981"/>
      <c r="I429" s="981"/>
      <c r="J429" s="981"/>
      <c r="K429" s="981"/>
      <c r="L429" s="981"/>
      <c r="M429" s="981"/>
      <c r="N429" s="981"/>
      <c r="O429" s="981"/>
      <c r="P429" s="981"/>
      <c r="Q429" s="981"/>
      <c r="R429" s="981"/>
      <c r="S429" s="981"/>
      <c r="T429" s="981"/>
      <c r="U429" s="981"/>
      <c r="V429" s="981"/>
      <c r="W429" s="981"/>
      <c r="X429" s="981"/>
      <c r="Y429" s="981"/>
      <c r="Z429" s="981"/>
      <c r="AA429" s="981"/>
      <c r="AB429" s="981"/>
    </row>
    <row r="430">
      <c r="A430" s="981"/>
      <c r="B430" s="991"/>
      <c r="C430" s="981"/>
      <c r="D430" s="981"/>
      <c r="E430" s="981"/>
      <c r="F430" s="981"/>
      <c r="G430" s="981"/>
      <c r="H430" s="981"/>
      <c r="I430" s="981"/>
      <c r="J430" s="981"/>
      <c r="K430" s="981"/>
      <c r="L430" s="981"/>
      <c r="M430" s="981"/>
      <c r="N430" s="981"/>
      <c r="O430" s="981"/>
      <c r="P430" s="981"/>
      <c r="Q430" s="981"/>
      <c r="R430" s="981"/>
      <c r="S430" s="981"/>
      <c r="T430" s="981"/>
      <c r="U430" s="981"/>
      <c r="V430" s="981"/>
      <c r="W430" s="981"/>
      <c r="X430" s="981"/>
      <c r="Y430" s="981"/>
      <c r="Z430" s="981"/>
      <c r="AA430" s="981"/>
      <c r="AB430" s="981"/>
    </row>
    <row r="431">
      <c r="A431" s="981"/>
      <c r="B431" s="991"/>
      <c r="C431" s="981"/>
      <c r="D431" s="981"/>
      <c r="E431" s="981"/>
      <c r="F431" s="981"/>
      <c r="G431" s="981"/>
      <c r="H431" s="981"/>
      <c r="I431" s="981"/>
      <c r="J431" s="981"/>
      <c r="K431" s="981"/>
      <c r="L431" s="981"/>
      <c r="M431" s="981"/>
      <c r="N431" s="981"/>
      <c r="O431" s="981"/>
      <c r="P431" s="981"/>
      <c r="Q431" s="981"/>
      <c r="R431" s="981"/>
      <c r="S431" s="981"/>
      <c r="T431" s="981"/>
      <c r="U431" s="981"/>
      <c r="V431" s="981"/>
      <c r="W431" s="981"/>
      <c r="X431" s="981"/>
      <c r="Y431" s="981"/>
      <c r="Z431" s="981"/>
      <c r="AA431" s="981"/>
      <c r="AB431" s="981"/>
    </row>
    <row r="432">
      <c r="A432" s="981"/>
      <c r="B432" s="991"/>
      <c r="C432" s="981"/>
      <c r="D432" s="981"/>
      <c r="E432" s="981"/>
      <c r="F432" s="981"/>
      <c r="G432" s="981"/>
      <c r="H432" s="981"/>
      <c r="I432" s="981"/>
      <c r="J432" s="981"/>
      <c r="K432" s="981"/>
      <c r="L432" s="981"/>
      <c r="M432" s="981"/>
      <c r="N432" s="981"/>
      <c r="O432" s="981"/>
      <c r="P432" s="981"/>
      <c r="Q432" s="981"/>
      <c r="R432" s="981"/>
      <c r="S432" s="981"/>
      <c r="T432" s="981"/>
      <c r="U432" s="981"/>
      <c r="V432" s="981"/>
      <c r="W432" s="981"/>
      <c r="X432" s="981"/>
      <c r="Y432" s="981"/>
      <c r="Z432" s="981"/>
      <c r="AA432" s="981"/>
      <c r="AB432" s="981"/>
    </row>
    <row r="433">
      <c r="A433" s="981"/>
      <c r="B433" s="991"/>
      <c r="C433" s="981"/>
      <c r="D433" s="981"/>
      <c r="E433" s="981"/>
      <c r="F433" s="981"/>
      <c r="G433" s="981"/>
      <c r="H433" s="981"/>
      <c r="I433" s="981"/>
      <c r="J433" s="981"/>
      <c r="K433" s="981"/>
      <c r="L433" s="981"/>
      <c r="M433" s="981"/>
      <c r="N433" s="981"/>
      <c r="O433" s="981"/>
      <c r="P433" s="981"/>
      <c r="Q433" s="981"/>
      <c r="R433" s="981"/>
      <c r="S433" s="981"/>
      <c r="T433" s="981"/>
      <c r="U433" s="981"/>
      <c r="V433" s="981"/>
      <c r="W433" s="981"/>
      <c r="X433" s="981"/>
      <c r="Y433" s="981"/>
      <c r="Z433" s="981"/>
      <c r="AA433" s="981"/>
      <c r="AB433" s="981"/>
    </row>
    <row r="434">
      <c r="A434" s="981"/>
      <c r="B434" s="991"/>
      <c r="C434" s="981"/>
      <c r="D434" s="981"/>
      <c r="E434" s="981"/>
      <c r="F434" s="981"/>
      <c r="G434" s="981"/>
      <c r="H434" s="981"/>
      <c r="I434" s="981"/>
      <c r="J434" s="981"/>
      <c r="K434" s="981"/>
      <c r="L434" s="981"/>
      <c r="M434" s="981"/>
      <c r="N434" s="981"/>
      <c r="O434" s="981"/>
      <c r="P434" s="981"/>
      <c r="Q434" s="981"/>
      <c r="R434" s="981"/>
      <c r="S434" s="981"/>
      <c r="T434" s="981"/>
      <c r="U434" s="981"/>
      <c r="V434" s="981"/>
      <c r="W434" s="981"/>
      <c r="X434" s="981"/>
      <c r="Y434" s="981"/>
      <c r="Z434" s="981"/>
      <c r="AA434" s="981"/>
      <c r="AB434" s="981"/>
    </row>
    <row r="435">
      <c r="A435" s="981"/>
      <c r="B435" s="991"/>
      <c r="C435" s="981"/>
      <c r="D435" s="981"/>
      <c r="E435" s="981"/>
      <c r="F435" s="981"/>
      <c r="G435" s="981"/>
      <c r="H435" s="981"/>
      <c r="I435" s="981"/>
      <c r="J435" s="981"/>
      <c r="K435" s="981"/>
      <c r="L435" s="981"/>
      <c r="M435" s="981"/>
      <c r="N435" s="981"/>
      <c r="O435" s="981"/>
      <c r="P435" s="981"/>
      <c r="Q435" s="981"/>
      <c r="R435" s="981"/>
      <c r="S435" s="981"/>
      <c r="T435" s="981"/>
      <c r="U435" s="981"/>
      <c r="V435" s="981"/>
      <c r="W435" s="981"/>
      <c r="X435" s="981"/>
      <c r="Y435" s="981"/>
      <c r="Z435" s="981"/>
      <c r="AA435" s="981"/>
      <c r="AB435" s="981"/>
    </row>
    <row r="436">
      <c r="A436" s="981"/>
      <c r="B436" s="991"/>
      <c r="C436" s="981"/>
      <c r="D436" s="981"/>
      <c r="E436" s="981"/>
      <c r="F436" s="981"/>
      <c r="G436" s="981"/>
      <c r="H436" s="981"/>
      <c r="I436" s="981"/>
      <c r="J436" s="981"/>
      <c r="K436" s="981"/>
      <c r="L436" s="981"/>
      <c r="M436" s="981"/>
      <c r="N436" s="981"/>
      <c r="O436" s="981"/>
      <c r="P436" s="981"/>
      <c r="Q436" s="981"/>
      <c r="R436" s="981"/>
      <c r="S436" s="981"/>
      <c r="T436" s="981"/>
      <c r="U436" s="981"/>
      <c r="V436" s="981"/>
      <c r="W436" s="981"/>
      <c r="X436" s="981"/>
      <c r="Y436" s="981"/>
      <c r="Z436" s="981"/>
      <c r="AA436" s="981"/>
      <c r="AB436" s="981"/>
    </row>
    <row r="437">
      <c r="A437" s="981"/>
      <c r="B437" s="991"/>
      <c r="C437" s="981"/>
      <c r="D437" s="981"/>
      <c r="E437" s="981"/>
      <c r="F437" s="981"/>
      <c r="G437" s="981"/>
      <c r="H437" s="981"/>
      <c r="I437" s="981"/>
      <c r="J437" s="981"/>
      <c r="K437" s="981"/>
      <c r="L437" s="981"/>
      <c r="M437" s="981"/>
      <c r="N437" s="981"/>
      <c r="O437" s="981"/>
      <c r="P437" s="981"/>
      <c r="Q437" s="981"/>
      <c r="R437" s="981"/>
      <c r="S437" s="981"/>
      <c r="T437" s="981"/>
      <c r="U437" s="981"/>
      <c r="V437" s="981"/>
      <c r="W437" s="981"/>
      <c r="X437" s="981"/>
      <c r="Y437" s="981"/>
      <c r="Z437" s="981"/>
      <c r="AA437" s="981"/>
      <c r="AB437" s="981"/>
    </row>
    <row r="438">
      <c r="A438" s="981"/>
      <c r="B438" s="991"/>
      <c r="C438" s="981"/>
      <c r="D438" s="981"/>
      <c r="E438" s="981"/>
      <c r="F438" s="981"/>
      <c r="G438" s="981"/>
      <c r="H438" s="981"/>
      <c r="I438" s="981"/>
      <c r="J438" s="981"/>
      <c r="K438" s="981"/>
      <c r="L438" s="981"/>
      <c r="M438" s="981"/>
      <c r="N438" s="981"/>
      <c r="O438" s="981"/>
      <c r="P438" s="981"/>
      <c r="Q438" s="981"/>
      <c r="R438" s="981"/>
      <c r="S438" s="981"/>
      <c r="T438" s="981"/>
      <c r="U438" s="981"/>
      <c r="V438" s="981"/>
      <c r="W438" s="981"/>
      <c r="X438" s="981"/>
      <c r="Y438" s="981"/>
      <c r="Z438" s="981"/>
      <c r="AA438" s="981"/>
      <c r="AB438" s="981"/>
    </row>
    <row r="439">
      <c r="A439" s="981"/>
      <c r="B439" s="991"/>
      <c r="C439" s="981"/>
      <c r="D439" s="981"/>
      <c r="E439" s="981"/>
      <c r="F439" s="981"/>
      <c r="G439" s="981"/>
      <c r="H439" s="981"/>
      <c r="I439" s="981"/>
      <c r="J439" s="981"/>
      <c r="K439" s="981"/>
      <c r="L439" s="981"/>
      <c r="M439" s="981"/>
      <c r="N439" s="981"/>
      <c r="O439" s="981"/>
      <c r="P439" s="981"/>
      <c r="Q439" s="981"/>
      <c r="R439" s="981"/>
      <c r="S439" s="981"/>
      <c r="T439" s="981"/>
      <c r="U439" s="981"/>
      <c r="V439" s="981"/>
      <c r="W439" s="981"/>
      <c r="X439" s="981"/>
      <c r="Y439" s="981"/>
      <c r="Z439" s="981"/>
      <c r="AA439" s="981"/>
      <c r="AB439" s="981"/>
    </row>
    <row r="440">
      <c r="A440" s="981"/>
      <c r="B440" s="991"/>
      <c r="C440" s="981"/>
      <c r="D440" s="981"/>
      <c r="E440" s="981"/>
      <c r="F440" s="981"/>
      <c r="G440" s="981"/>
      <c r="H440" s="981"/>
      <c r="I440" s="981"/>
      <c r="J440" s="981"/>
      <c r="K440" s="981"/>
      <c r="L440" s="981"/>
      <c r="M440" s="981"/>
      <c r="N440" s="981"/>
      <c r="O440" s="981"/>
      <c r="P440" s="981"/>
      <c r="Q440" s="981"/>
      <c r="R440" s="981"/>
      <c r="S440" s="981"/>
      <c r="T440" s="981"/>
      <c r="U440" s="981"/>
      <c r="V440" s="981"/>
      <c r="W440" s="981"/>
      <c r="X440" s="981"/>
      <c r="Y440" s="981"/>
      <c r="Z440" s="981"/>
      <c r="AA440" s="981"/>
      <c r="AB440" s="981"/>
    </row>
    <row r="441">
      <c r="A441" s="981"/>
      <c r="B441" s="991"/>
      <c r="C441" s="981"/>
      <c r="D441" s="981"/>
      <c r="E441" s="981"/>
      <c r="F441" s="981"/>
      <c r="G441" s="981"/>
      <c r="H441" s="981"/>
      <c r="I441" s="981"/>
      <c r="J441" s="981"/>
      <c r="K441" s="981"/>
      <c r="L441" s="981"/>
      <c r="M441" s="981"/>
      <c r="N441" s="981"/>
      <c r="O441" s="981"/>
      <c r="P441" s="981"/>
      <c r="Q441" s="981"/>
      <c r="R441" s="981"/>
      <c r="S441" s="981"/>
      <c r="T441" s="981"/>
      <c r="U441" s="981"/>
      <c r="V441" s="981"/>
      <c r="W441" s="981"/>
      <c r="X441" s="981"/>
      <c r="Y441" s="981"/>
      <c r="Z441" s="981"/>
      <c r="AA441" s="981"/>
      <c r="AB441" s="981"/>
    </row>
    <row r="442">
      <c r="A442" s="981"/>
      <c r="B442" s="991"/>
      <c r="C442" s="981"/>
      <c r="D442" s="981"/>
      <c r="E442" s="981"/>
      <c r="F442" s="981"/>
      <c r="G442" s="981"/>
      <c r="H442" s="981"/>
      <c r="I442" s="981"/>
      <c r="J442" s="981"/>
      <c r="K442" s="981"/>
      <c r="L442" s="981"/>
      <c r="M442" s="981"/>
      <c r="N442" s="981"/>
      <c r="O442" s="981"/>
      <c r="P442" s="981"/>
      <c r="Q442" s="981"/>
      <c r="R442" s="981"/>
      <c r="S442" s="981"/>
      <c r="T442" s="981"/>
      <c r="U442" s="981"/>
      <c r="V442" s="981"/>
      <c r="W442" s="981"/>
      <c r="X442" s="981"/>
      <c r="Y442" s="981"/>
      <c r="Z442" s="981"/>
      <c r="AA442" s="981"/>
      <c r="AB442" s="981"/>
    </row>
    <row r="443">
      <c r="A443" s="981"/>
      <c r="B443" s="991"/>
      <c r="C443" s="981"/>
      <c r="D443" s="981"/>
      <c r="E443" s="981"/>
      <c r="F443" s="981"/>
      <c r="G443" s="981"/>
      <c r="H443" s="981"/>
      <c r="I443" s="981"/>
      <c r="J443" s="981"/>
      <c r="K443" s="981"/>
      <c r="L443" s="981"/>
      <c r="M443" s="981"/>
      <c r="N443" s="981"/>
      <c r="O443" s="981"/>
      <c r="P443" s="981"/>
      <c r="Q443" s="981"/>
      <c r="R443" s="981"/>
      <c r="S443" s="981"/>
      <c r="T443" s="981"/>
      <c r="U443" s="981"/>
      <c r="V443" s="981"/>
      <c r="W443" s="981"/>
      <c r="X443" s="981"/>
      <c r="Y443" s="981"/>
      <c r="Z443" s="981"/>
      <c r="AA443" s="981"/>
      <c r="AB443" s="981"/>
    </row>
    <row r="444">
      <c r="A444" s="981"/>
      <c r="B444" s="991"/>
      <c r="C444" s="981"/>
      <c r="D444" s="981"/>
      <c r="E444" s="981"/>
      <c r="F444" s="981"/>
      <c r="G444" s="981"/>
      <c r="H444" s="981"/>
      <c r="I444" s="981"/>
      <c r="J444" s="981"/>
      <c r="K444" s="981"/>
      <c r="L444" s="981"/>
      <c r="M444" s="981"/>
      <c r="N444" s="981"/>
      <c r="O444" s="981"/>
      <c r="P444" s="981"/>
      <c r="Q444" s="981"/>
      <c r="R444" s="981"/>
      <c r="S444" s="981"/>
      <c r="T444" s="981"/>
      <c r="U444" s="981"/>
      <c r="V444" s="981"/>
      <c r="W444" s="981"/>
      <c r="X444" s="981"/>
      <c r="Y444" s="981"/>
      <c r="Z444" s="981"/>
      <c r="AA444" s="981"/>
      <c r="AB444" s="981"/>
    </row>
    <row r="445">
      <c r="A445" s="981"/>
      <c r="B445" s="991"/>
      <c r="C445" s="981"/>
      <c r="D445" s="981"/>
      <c r="E445" s="981"/>
      <c r="F445" s="981"/>
      <c r="G445" s="981"/>
      <c r="H445" s="981"/>
      <c r="I445" s="981"/>
      <c r="J445" s="981"/>
      <c r="K445" s="981"/>
      <c r="L445" s="981"/>
      <c r="M445" s="981"/>
      <c r="N445" s="981"/>
      <c r="O445" s="981"/>
      <c r="P445" s="981"/>
      <c r="Q445" s="981"/>
      <c r="R445" s="981"/>
      <c r="S445" s="981"/>
      <c r="T445" s="981"/>
      <c r="U445" s="981"/>
      <c r="V445" s="981"/>
      <c r="W445" s="981"/>
      <c r="X445" s="981"/>
      <c r="Y445" s="981"/>
      <c r="Z445" s="981"/>
      <c r="AA445" s="981"/>
      <c r="AB445" s="981"/>
    </row>
    <row r="446">
      <c r="A446" s="981"/>
      <c r="B446" s="991"/>
      <c r="C446" s="981"/>
      <c r="D446" s="981"/>
      <c r="E446" s="981"/>
      <c r="F446" s="981"/>
      <c r="G446" s="981"/>
      <c r="H446" s="981"/>
      <c r="I446" s="981"/>
      <c r="J446" s="981"/>
      <c r="K446" s="981"/>
      <c r="L446" s="981"/>
      <c r="M446" s="981"/>
      <c r="N446" s="981"/>
      <c r="O446" s="981"/>
      <c r="P446" s="981"/>
      <c r="Q446" s="981"/>
      <c r="R446" s="981"/>
      <c r="S446" s="981"/>
      <c r="T446" s="981"/>
      <c r="U446" s="981"/>
      <c r="V446" s="981"/>
      <c r="W446" s="981"/>
      <c r="X446" s="981"/>
      <c r="Y446" s="981"/>
      <c r="Z446" s="981"/>
      <c r="AA446" s="981"/>
      <c r="AB446" s="981"/>
    </row>
    <row r="447">
      <c r="A447" s="981"/>
      <c r="B447" s="991"/>
      <c r="C447" s="981"/>
      <c r="D447" s="981"/>
      <c r="E447" s="981"/>
      <c r="F447" s="981"/>
      <c r="G447" s="981"/>
      <c r="H447" s="981"/>
      <c r="I447" s="981"/>
      <c r="J447" s="981"/>
      <c r="K447" s="981"/>
      <c r="L447" s="981"/>
      <c r="M447" s="981"/>
      <c r="N447" s="981"/>
      <c r="O447" s="981"/>
      <c r="P447" s="981"/>
      <c r="Q447" s="981"/>
      <c r="R447" s="981"/>
      <c r="S447" s="981"/>
      <c r="T447" s="981"/>
      <c r="U447" s="981"/>
      <c r="V447" s="981"/>
      <c r="W447" s="981"/>
      <c r="X447" s="981"/>
      <c r="Y447" s="981"/>
      <c r="Z447" s="981"/>
      <c r="AA447" s="981"/>
      <c r="AB447" s="981"/>
    </row>
    <row r="448">
      <c r="A448" s="981"/>
      <c r="B448" s="991"/>
      <c r="C448" s="981"/>
      <c r="D448" s="981"/>
      <c r="E448" s="981"/>
      <c r="F448" s="981"/>
      <c r="G448" s="981"/>
      <c r="H448" s="981"/>
      <c r="I448" s="981"/>
      <c r="J448" s="981"/>
      <c r="K448" s="981"/>
      <c r="L448" s="981"/>
      <c r="M448" s="981"/>
      <c r="N448" s="981"/>
      <c r="O448" s="981"/>
      <c r="P448" s="981"/>
      <c r="Q448" s="981"/>
      <c r="R448" s="981"/>
      <c r="S448" s="981"/>
      <c r="T448" s="981"/>
      <c r="U448" s="981"/>
      <c r="V448" s="981"/>
      <c r="W448" s="981"/>
      <c r="X448" s="981"/>
      <c r="Y448" s="981"/>
      <c r="Z448" s="981"/>
      <c r="AA448" s="981"/>
      <c r="AB448" s="981"/>
    </row>
    <row r="449">
      <c r="A449" s="981"/>
      <c r="B449" s="991"/>
      <c r="C449" s="981"/>
      <c r="D449" s="981"/>
      <c r="E449" s="981"/>
      <c r="F449" s="981"/>
      <c r="G449" s="981"/>
      <c r="H449" s="981"/>
      <c r="I449" s="981"/>
      <c r="J449" s="981"/>
      <c r="K449" s="981"/>
      <c r="L449" s="981"/>
      <c r="M449" s="981"/>
      <c r="N449" s="981"/>
      <c r="O449" s="981"/>
      <c r="P449" s="981"/>
      <c r="Q449" s="981"/>
      <c r="R449" s="981"/>
      <c r="S449" s="981"/>
      <c r="T449" s="981"/>
      <c r="U449" s="981"/>
      <c r="V449" s="981"/>
      <c r="W449" s="981"/>
      <c r="X449" s="981"/>
      <c r="Y449" s="981"/>
      <c r="Z449" s="981"/>
      <c r="AA449" s="981"/>
      <c r="AB449" s="981"/>
    </row>
    <row r="450">
      <c r="A450" s="981"/>
      <c r="B450" s="991"/>
      <c r="C450" s="981"/>
      <c r="D450" s="981"/>
      <c r="E450" s="981"/>
      <c r="F450" s="981"/>
      <c r="G450" s="981"/>
      <c r="H450" s="981"/>
      <c r="I450" s="981"/>
      <c r="J450" s="981"/>
      <c r="K450" s="981"/>
      <c r="L450" s="981"/>
      <c r="M450" s="981"/>
      <c r="N450" s="981"/>
      <c r="O450" s="981"/>
      <c r="P450" s="981"/>
      <c r="Q450" s="981"/>
      <c r="R450" s="981"/>
      <c r="S450" s="981"/>
      <c r="T450" s="981"/>
      <c r="U450" s="981"/>
      <c r="V450" s="981"/>
      <c r="W450" s="981"/>
      <c r="X450" s="981"/>
      <c r="Y450" s="981"/>
      <c r="Z450" s="981"/>
      <c r="AA450" s="981"/>
      <c r="AB450" s="981"/>
    </row>
    <row r="451">
      <c r="A451" s="981"/>
      <c r="B451" s="991"/>
      <c r="C451" s="981"/>
      <c r="D451" s="981"/>
      <c r="E451" s="981"/>
      <c r="F451" s="981"/>
      <c r="G451" s="981"/>
      <c r="H451" s="981"/>
      <c r="I451" s="981"/>
      <c r="J451" s="981"/>
      <c r="K451" s="981"/>
      <c r="L451" s="981"/>
      <c r="M451" s="981"/>
      <c r="N451" s="981"/>
      <c r="O451" s="981"/>
      <c r="P451" s="981"/>
      <c r="Q451" s="981"/>
      <c r="R451" s="981"/>
      <c r="S451" s="981"/>
      <c r="T451" s="981"/>
      <c r="U451" s="981"/>
      <c r="V451" s="981"/>
      <c r="W451" s="981"/>
      <c r="X451" s="981"/>
      <c r="Y451" s="981"/>
      <c r="Z451" s="981"/>
      <c r="AA451" s="981"/>
      <c r="AB451" s="981"/>
    </row>
    <row r="452">
      <c r="A452" s="981"/>
      <c r="B452" s="991"/>
      <c r="C452" s="981"/>
      <c r="D452" s="981"/>
      <c r="E452" s="981"/>
      <c r="F452" s="981"/>
      <c r="G452" s="981"/>
      <c r="H452" s="981"/>
      <c r="I452" s="981"/>
      <c r="J452" s="981"/>
      <c r="K452" s="981"/>
      <c r="L452" s="981"/>
      <c r="M452" s="981"/>
      <c r="N452" s="981"/>
      <c r="O452" s="981"/>
      <c r="P452" s="981"/>
      <c r="Q452" s="981"/>
      <c r="R452" s="981"/>
      <c r="S452" s="981"/>
      <c r="T452" s="981"/>
      <c r="U452" s="981"/>
      <c r="V452" s="981"/>
      <c r="W452" s="981"/>
      <c r="X452" s="981"/>
      <c r="Y452" s="981"/>
      <c r="Z452" s="981"/>
      <c r="AA452" s="981"/>
      <c r="AB452" s="981"/>
    </row>
    <row r="453">
      <c r="A453" s="981"/>
      <c r="B453" s="991"/>
      <c r="C453" s="981"/>
      <c r="D453" s="981"/>
      <c r="E453" s="981"/>
      <c r="F453" s="981"/>
      <c r="G453" s="981"/>
      <c r="H453" s="981"/>
      <c r="I453" s="981"/>
      <c r="J453" s="981"/>
      <c r="K453" s="981"/>
      <c r="L453" s="981"/>
      <c r="M453" s="981"/>
      <c r="N453" s="981"/>
      <c r="O453" s="981"/>
      <c r="P453" s="981"/>
      <c r="Q453" s="981"/>
      <c r="R453" s="981"/>
      <c r="S453" s="981"/>
      <c r="T453" s="981"/>
      <c r="U453" s="981"/>
      <c r="V453" s="981"/>
      <c r="W453" s="981"/>
      <c r="X453" s="981"/>
      <c r="Y453" s="981"/>
      <c r="Z453" s="981"/>
      <c r="AA453" s="981"/>
      <c r="AB453" s="981"/>
    </row>
    <row r="454">
      <c r="A454" s="981"/>
      <c r="B454" s="991"/>
      <c r="C454" s="981"/>
      <c r="D454" s="981"/>
      <c r="E454" s="981"/>
      <c r="F454" s="981"/>
      <c r="G454" s="981"/>
      <c r="H454" s="981"/>
      <c r="I454" s="981"/>
      <c r="J454" s="981"/>
      <c r="K454" s="981"/>
      <c r="L454" s="981"/>
      <c r="M454" s="981"/>
      <c r="N454" s="981"/>
      <c r="O454" s="981"/>
      <c r="P454" s="981"/>
      <c r="Q454" s="981"/>
      <c r="R454" s="981"/>
      <c r="S454" s="981"/>
      <c r="T454" s="981"/>
      <c r="U454" s="981"/>
      <c r="V454" s="981"/>
      <c r="W454" s="981"/>
      <c r="X454" s="981"/>
      <c r="Y454" s="981"/>
      <c r="Z454" s="981"/>
      <c r="AA454" s="981"/>
      <c r="AB454" s="981"/>
    </row>
    <row r="455">
      <c r="A455" s="981"/>
      <c r="B455" s="991"/>
      <c r="C455" s="981"/>
      <c r="D455" s="981"/>
      <c r="E455" s="981"/>
      <c r="F455" s="981"/>
      <c r="G455" s="981"/>
      <c r="H455" s="981"/>
      <c r="I455" s="981"/>
      <c r="J455" s="981"/>
      <c r="K455" s="981"/>
      <c r="L455" s="981"/>
      <c r="M455" s="981"/>
      <c r="N455" s="981"/>
      <c r="O455" s="981"/>
      <c r="P455" s="981"/>
      <c r="Q455" s="981"/>
      <c r="R455" s="981"/>
      <c r="S455" s="981"/>
      <c r="T455" s="981"/>
      <c r="U455" s="981"/>
      <c r="V455" s="981"/>
      <c r="W455" s="981"/>
      <c r="X455" s="981"/>
      <c r="Y455" s="981"/>
      <c r="Z455" s="981"/>
      <c r="AA455" s="981"/>
      <c r="AB455" s="981"/>
    </row>
    <row r="456">
      <c r="A456" s="981"/>
      <c r="B456" s="991"/>
      <c r="C456" s="981"/>
      <c r="D456" s="981"/>
      <c r="E456" s="981"/>
      <c r="F456" s="981"/>
      <c r="G456" s="981"/>
      <c r="H456" s="981"/>
      <c r="I456" s="981"/>
      <c r="J456" s="981"/>
      <c r="K456" s="981"/>
      <c r="L456" s="981"/>
      <c r="M456" s="981"/>
      <c r="N456" s="981"/>
      <c r="O456" s="981"/>
      <c r="P456" s="981"/>
      <c r="Q456" s="981"/>
      <c r="R456" s="981"/>
      <c r="S456" s="981"/>
      <c r="T456" s="981"/>
      <c r="U456" s="981"/>
      <c r="V456" s="981"/>
      <c r="W456" s="981"/>
      <c r="X456" s="981"/>
      <c r="Y456" s="981"/>
      <c r="Z456" s="981"/>
      <c r="AA456" s="981"/>
      <c r="AB456" s="981"/>
    </row>
    <row r="457">
      <c r="A457" s="981"/>
      <c r="B457" s="991"/>
      <c r="C457" s="981"/>
      <c r="D457" s="981"/>
      <c r="E457" s="981"/>
      <c r="F457" s="981"/>
      <c r="G457" s="981"/>
      <c r="H457" s="981"/>
      <c r="I457" s="981"/>
      <c r="J457" s="981"/>
      <c r="K457" s="981"/>
      <c r="L457" s="981"/>
      <c r="M457" s="981"/>
      <c r="N457" s="981"/>
      <c r="O457" s="981"/>
      <c r="P457" s="981"/>
      <c r="Q457" s="981"/>
      <c r="R457" s="981"/>
      <c r="S457" s="981"/>
      <c r="T457" s="981"/>
      <c r="U457" s="981"/>
      <c r="V457" s="981"/>
      <c r="W457" s="981"/>
      <c r="X457" s="981"/>
      <c r="Y457" s="981"/>
      <c r="Z457" s="981"/>
      <c r="AA457" s="981"/>
      <c r="AB457" s="981"/>
    </row>
    <row r="458">
      <c r="A458" s="981"/>
      <c r="B458" s="991"/>
      <c r="C458" s="981"/>
      <c r="D458" s="981"/>
      <c r="E458" s="981"/>
      <c r="F458" s="981"/>
      <c r="G458" s="981"/>
      <c r="H458" s="981"/>
      <c r="I458" s="981"/>
      <c r="J458" s="981"/>
      <c r="K458" s="981"/>
      <c r="L458" s="981"/>
      <c r="M458" s="981"/>
      <c r="N458" s="981"/>
      <c r="O458" s="981"/>
      <c r="P458" s="981"/>
      <c r="Q458" s="981"/>
      <c r="R458" s="981"/>
      <c r="S458" s="981"/>
      <c r="T458" s="981"/>
      <c r="U458" s="981"/>
      <c r="V458" s="981"/>
      <c r="W458" s="981"/>
      <c r="X458" s="981"/>
      <c r="Y458" s="981"/>
      <c r="Z458" s="981"/>
      <c r="AA458" s="981"/>
      <c r="AB458" s="981"/>
    </row>
    <row r="459">
      <c r="A459" s="981"/>
      <c r="B459" s="991"/>
      <c r="C459" s="981"/>
      <c r="D459" s="981"/>
      <c r="E459" s="981"/>
      <c r="F459" s="981"/>
      <c r="G459" s="981"/>
      <c r="H459" s="981"/>
      <c r="I459" s="981"/>
      <c r="J459" s="981"/>
      <c r="K459" s="981"/>
      <c r="L459" s="981"/>
      <c r="M459" s="981"/>
      <c r="N459" s="981"/>
      <c r="O459" s="981"/>
      <c r="P459" s="981"/>
      <c r="Q459" s="981"/>
      <c r="R459" s="981"/>
      <c r="S459" s="981"/>
      <c r="T459" s="981"/>
      <c r="U459" s="981"/>
      <c r="V459" s="981"/>
      <c r="W459" s="981"/>
      <c r="X459" s="981"/>
      <c r="Y459" s="981"/>
      <c r="Z459" s="981"/>
      <c r="AA459" s="981"/>
      <c r="AB459" s="981"/>
    </row>
    <row r="460">
      <c r="A460" s="981"/>
      <c r="B460" s="991"/>
      <c r="C460" s="981"/>
      <c r="D460" s="981"/>
      <c r="E460" s="981"/>
      <c r="F460" s="981"/>
      <c r="G460" s="981"/>
      <c r="H460" s="981"/>
      <c r="I460" s="981"/>
      <c r="J460" s="981"/>
      <c r="K460" s="981"/>
      <c r="L460" s="981"/>
      <c r="M460" s="981"/>
      <c r="N460" s="981"/>
      <c r="O460" s="981"/>
      <c r="P460" s="981"/>
      <c r="Q460" s="981"/>
      <c r="R460" s="981"/>
      <c r="S460" s="981"/>
      <c r="T460" s="981"/>
      <c r="U460" s="981"/>
      <c r="V460" s="981"/>
      <c r="W460" s="981"/>
      <c r="X460" s="981"/>
      <c r="Y460" s="981"/>
      <c r="Z460" s="981"/>
      <c r="AA460" s="981"/>
      <c r="AB460" s="981"/>
    </row>
    <row r="461">
      <c r="A461" s="981"/>
      <c r="B461" s="991"/>
      <c r="C461" s="981"/>
      <c r="D461" s="981"/>
      <c r="E461" s="981"/>
      <c r="F461" s="981"/>
      <c r="G461" s="981"/>
      <c r="H461" s="981"/>
      <c r="I461" s="981"/>
      <c r="J461" s="981"/>
      <c r="K461" s="981"/>
      <c r="L461" s="981"/>
      <c r="M461" s="981"/>
      <c r="N461" s="981"/>
      <c r="O461" s="981"/>
      <c r="P461" s="981"/>
      <c r="Q461" s="981"/>
      <c r="R461" s="981"/>
      <c r="S461" s="981"/>
      <c r="T461" s="981"/>
      <c r="U461" s="981"/>
      <c r="V461" s="981"/>
      <c r="W461" s="981"/>
      <c r="X461" s="981"/>
      <c r="Y461" s="981"/>
      <c r="Z461" s="981"/>
      <c r="AA461" s="981"/>
      <c r="AB461" s="981"/>
    </row>
    <row r="462">
      <c r="A462" s="981"/>
      <c r="B462" s="991"/>
      <c r="C462" s="981"/>
      <c r="D462" s="981"/>
      <c r="E462" s="981"/>
      <c r="F462" s="981"/>
      <c r="G462" s="981"/>
      <c r="H462" s="981"/>
      <c r="I462" s="981"/>
      <c r="J462" s="981"/>
      <c r="K462" s="981"/>
      <c r="L462" s="981"/>
      <c r="M462" s="981"/>
      <c r="N462" s="981"/>
      <c r="O462" s="981"/>
      <c r="P462" s="981"/>
      <c r="Q462" s="981"/>
      <c r="R462" s="981"/>
      <c r="S462" s="981"/>
      <c r="T462" s="981"/>
      <c r="U462" s="981"/>
      <c r="V462" s="981"/>
      <c r="W462" s="981"/>
      <c r="X462" s="981"/>
      <c r="Y462" s="981"/>
      <c r="Z462" s="981"/>
      <c r="AA462" s="981"/>
      <c r="AB462" s="981"/>
    </row>
    <row r="463">
      <c r="A463" s="981"/>
      <c r="B463" s="991"/>
      <c r="C463" s="981"/>
      <c r="D463" s="981"/>
      <c r="E463" s="981"/>
      <c r="F463" s="981"/>
      <c r="G463" s="981"/>
      <c r="H463" s="981"/>
      <c r="I463" s="981"/>
      <c r="J463" s="981"/>
      <c r="K463" s="981"/>
      <c r="L463" s="981"/>
      <c r="M463" s="981"/>
      <c r="N463" s="981"/>
      <c r="O463" s="981"/>
      <c r="P463" s="981"/>
      <c r="Q463" s="981"/>
      <c r="R463" s="981"/>
      <c r="S463" s="981"/>
      <c r="T463" s="981"/>
      <c r="U463" s="981"/>
      <c r="V463" s="981"/>
      <c r="W463" s="981"/>
      <c r="X463" s="981"/>
      <c r="Y463" s="981"/>
      <c r="Z463" s="981"/>
      <c r="AA463" s="981"/>
      <c r="AB463" s="981"/>
    </row>
    <row r="464">
      <c r="A464" s="981"/>
      <c r="B464" s="991"/>
      <c r="C464" s="981"/>
      <c r="D464" s="981"/>
      <c r="E464" s="981"/>
      <c r="F464" s="981"/>
      <c r="G464" s="981"/>
      <c r="H464" s="981"/>
      <c r="I464" s="981"/>
      <c r="J464" s="981"/>
      <c r="K464" s="981"/>
      <c r="L464" s="981"/>
      <c r="M464" s="981"/>
      <c r="N464" s="981"/>
      <c r="O464" s="981"/>
      <c r="P464" s="981"/>
      <c r="Q464" s="981"/>
      <c r="R464" s="981"/>
      <c r="S464" s="981"/>
      <c r="T464" s="981"/>
      <c r="U464" s="981"/>
      <c r="V464" s="981"/>
      <c r="W464" s="981"/>
      <c r="X464" s="981"/>
      <c r="Y464" s="981"/>
      <c r="Z464" s="981"/>
      <c r="AA464" s="981"/>
      <c r="AB464" s="981"/>
    </row>
    <row r="465">
      <c r="A465" s="981"/>
      <c r="B465" s="991"/>
      <c r="C465" s="981"/>
      <c r="D465" s="981"/>
      <c r="E465" s="981"/>
      <c r="F465" s="981"/>
      <c r="G465" s="981"/>
      <c r="H465" s="981"/>
      <c r="I465" s="981"/>
      <c r="J465" s="981"/>
      <c r="K465" s="981"/>
      <c r="L465" s="981"/>
      <c r="M465" s="981"/>
      <c r="N465" s="981"/>
      <c r="O465" s="981"/>
      <c r="P465" s="981"/>
      <c r="Q465" s="981"/>
      <c r="R465" s="981"/>
      <c r="S465" s="981"/>
      <c r="T465" s="981"/>
      <c r="U465" s="981"/>
      <c r="V465" s="981"/>
      <c r="W465" s="981"/>
      <c r="X465" s="981"/>
      <c r="Y465" s="981"/>
      <c r="Z465" s="981"/>
      <c r="AA465" s="981"/>
      <c r="AB465" s="981"/>
    </row>
    <row r="466">
      <c r="A466" s="981"/>
      <c r="B466" s="991"/>
      <c r="C466" s="981"/>
      <c r="D466" s="981"/>
      <c r="E466" s="981"/>
      <c r="F466" s="981"/>
      <c r="G466" s="981"/>
      <c r="H466" s="981"/>
      <c r="I466" s="981"/>
      <c r="J466" s="981"/>
      <c r="K466" s="981"/>
      <c r="L466" s="981"/>
      <c r="M466" s="981"/>
      <c r="N466" s="981"/>
      <c r="O466" s="981"/>
      <c r="P466" s="981"/>
      <c r="Q466" s="981"/>
      <c r="R466" s="981"/>
      <c r="S466" s="981"/>
      <c r="T466" s="981"/>
      <c r="U466" s="981"/>
      <c r="V466" s="981"/>
      <c r="W466" s="981"/>
      <c r="X466" s="981"/>
      <c r="Y466" s="981"/>
      <c r="Z466" s="981"/>
      <c r="AA466" s="981"/>
      <c r="AB466" s="981"/>
    </row>
    <row r="467">
      <c r="A467" s="981"/>
      <c r="B467" s="991"/>
      <c r="C467" s="981"/>
      <c r="D467" s="981"/>
      <c r="E467" s="981"/>
      <c r="F467" s="981"/>
      <c r="G467" s="981"/>
      <c r="H467" s="981"/>
      <c r="I467" s="981"/>
      <c r="J467" s="981"/>
      <c r="K467" s="981"/>
      <c r="L467" s="981"/>
      <c r="M467" s="981"/>
      <c r="N467" s="981"/>
      <c r="O467" s="981"/>
      <c r="P467" s="981"/>
      <c r="Q467" s="981"/>
      <c r="R467" s="981"/>
      <c r="S467" s="981"/>
      <c r="T467" s="981"/>
      <c r="U467" s="981"/>
      <c r="V467" s="981"/>
      <c r="W467" s="981"/>
      <c r="X467" s="981"/>
      <c r="Y467" s="981"/>
      <c r="Z467" s="981"/>
      <c r="AA467" s="981"/>
      <c r="AB467" s="981"/>
    </row>
    <row r="468">
      <c r="A468" s="981"/>
      <c r="B468" s="991"/>
      <c r="C468" s="981"/>
      <c r="D468" s="981"/>
      <c r="E468" s="981"/>
      <c r="F468" s="981"/>
      <c r="G468" s="981"/>
      <c r="H468" s="981"/>
      <c r="I468" s="981"/>
      <c r="J468" s="981"/>
      <c r="K468" s="981"/>
      <c r="L468" s="981"/>
      <c r="M468" s="981"/>
      <c r="N468" s="981"/>
      <c r="O468" s="981"/>
      <c r="P468" s="981"/>
      <c r="Q468" s="981"/>
      <c r="R468" s="981"/>
      <c r="S468" s="981"/>
      <c r="T468" s="981"/>
      <c r="U468" s="981"/>
      <c r="V468" s="981"/>
      <c r="W468" s="981"/>
      <c r="X468" s="981"/>
      <c r="Y468" s="981"/>
      <c r="Z468" s="981"/>
      <c r="AA468" s="981"/>
      <c r="AB468" s="981"/>
    </row>
    <row r="469">
      <c r="A469" s="981"/>
      <c r="B469" s="991"/>
      <c r="C469" s="981"/>
      <c r="D469" s="981"/>
      <c r="E469" s="981"/>
      <c r="F469" s="981"/>
      <c r="G469" s="981"/>
      <c r="H469" s="981"/>
      <c r="I469" s="981"/>
      <c r="J469" s="981"/>
      <c r="K469" s="981"/>
      <c r="L469" s="981"/>
      <c r="M469" s="981"/>
      <c r="N469" s="981"/>
      <c r="O469" s="981"/>
      <c r="P469" s="981"/>
      <c r="Q469" s="981"/>
      <c r="R469" s="981"/>
      <c r="S469" s="981"/>
      <c r="T469" s="981"/>
      <c r="U469" s="981"/>
      <c r="V469" s="981"/>
      <c r="W469" s="981"/>
      <c r="X469" s="981"/>
      <c r="Y469" s="981"/>
      <c r="Z469" s="981"/>
      <c r="AA469" s="981"/>
      <c r="AB469" s="981"/>
    </row>
    <row r="470">
      <c r="A470" s="981"/>
      <c r="B470" s="991"/>
      <c r="C470" s="981"/>
      <c r="D470" s="981"/>
      <c r="E470" s="981"/>
      <c r="F470" s="981"/>
      <c r="G470" s="981"/>
      <c r="H470" s="981"/>
      <c r="I470" s="981"/>
      <c r="J470" s="981"/>
      <c r="K470" s="981"/>
      <c r="L470" s="981"/>
      <c r="M470" s="981"/>
      <c r="N470" s="981"/>
      <c r="O470" s="981"/>
      <c r="P470" s="981"/>
      <c r="Q470" s="981"/>
      <c r="R470" s="981"/>
      <c r="S470" s="981"/>
      <c r="T470" s="981"/>
      <c r="U470" s="981"/>
      <c r="V470" s="981"/>
      <c r="W470" s="981"/>
      <c r="X470" s="981"/>
      <c r="Y470" s="981"/>
      <c r="Z470" s="981"/>
      <c r="AA470" s="981"/>
      <c r="AB470" s="981"/>
    </row>
    <row r="471">
      <c r="A471" s="981"/>
      <c r="B471" s="991"/>
      <c r="C471" s="981"/>
      <c r="D471" s="981"/>
      <c r="E471" s="981"/>
      <c r="F471" s="981"/>
      <c r="G471" s="981"/>
      <c r="H471" s="981"/>
      <c r="I471" s="981"/>
      <c r="J471" s="981"/>
      <c r="K471" s="981"/>
      <c r="L471" s="981"/>
      <c r="M471" s="981"/>
      <c r="N471" s="981"/>
      <c r="O471" s="981"/>
      <c r="P471" s="981"/>
      <c r="Q471" s="981"/>
      <c r="R471" s="981"/>
      <c r="S471" s="981"/>
      <c r="T471" s="981"/>
      <c r="U471" s="981"/>
      <c r="V471" s="981"/>
      <c r="W471" s="981"/>
      <c r="X471" s="981"/>
      <c r="Y471" s="981"/>
      <c r="Z471" s="981"/>
      <c r="AA471" s="981"/>
      <c r="AB471" s="981"/>
    </row>
    <row r="472">
      <c r="A472" s="981"/>
      <c r="B472" s="991"/>
      <c r="C472" s="981"/>
      <c r="D472" s="981"/>
      <c r="E472" s="981"/>
      <c r="F472" s="981"/>
      <c r="G472" s="981"/>
      <c r="H472" s="981"/>
      <c r="I472" s="981"/>
      <c r="J472" s="981"/>
      <c r="K472" s="981"/>
      <c r="L472" s="981"/>
      <c r="M472" s="981"/>
      <c r="N472" s="981"/>
      <c r="O472" s="981"/>
      <c r="P472" s="981"/>
      <c r="Q472" s="981"/>
      <c r="R472" s="981"/>
      <c r="S472" s="981"/>
      <c r="T472" s="981"/>
      <c r="U472" s="981"/>
      <c r="V472" s="981"/>
      <c r="W472" s="981"/>
      <c r="X472" s="981"/>
      <c r="Y472" s="981"/>
      <c r="Z472" s="981"/>
      <c r="AA472" s="981"/>
      <c r="AB472" s="981"/>
    </row>
    <row r="473">
      <c r="A473" s="981"/>
      <c r="B473" s="991"/>
      <c r="C473" s="981"/>
      <c r="D473" s="981"/>
      <c r="E473" s="981"/>
      <c r="F473" s="981"/>
      <c r="G473" s="981"/>
      <c r="H473" s="981"/>
      <c r="I473" s="981"/>
      <c r="J473" s="981"/>
      <c r="K473" s="981"/>
      <c r="L473" s="981"/>
      <c r="M473" s="981"/>
      <c r="N473" s="981"/>
      <c r="O473" s="981"/>
      <c r="P473" s="981"/>
      <c r="Q473" s="981"/>
      <c r="R473" s="981"/>
      <c r="S473" s="981"/>
      <c r="T473" s="981"/>
      <c r="U473" s="981"/>
      <c r="V473" s="981"/>
      <c r="W473" s="981"/>
      <c r="X473" s="981"/>
      <c r="Y473" s="981"/>
      <c r="Z473" s="981"/>
      <c r="AA473" s="981"/>
      <c r="AB473" s="981"/>
    </row>
    <row r="474">
      <c r="A474" s="981"/>
      <c r="B474" s="991"/>
      <c r="C474" s="981"/>
      <c r="D474" s="981"/>
      <c r="E474" s="981"/>
      <c r="F474" s="981"/>
      <c r="G474" s="981"/>
      <c r="H474" s="981"/>
      <c r="I474" s="981"/>
      <c r="J474" s="981"/>
      <c r="K474" s="981"/>
      <c r="L474" s="981"/>
      <c r="M474" s="981"/>
      <c r="N474" s="981"/>
      <c r="O474" s="981"/>
      <c r="P474" s="981"/>
      <c r="Q474" s="981"/>
      <c r="R474" s="981"/>
      <c r="S474" s="981"/>
      <c r="T474" s="981"/>
      <c r="U474" s="981"/>
      <c r="V474" s="981"/>
      <c r="W474" s="981"/>
      <c r="X474" s="981"/>
      <c r="Y474" s="981"/>
      <c r="Z474" s="981"/>
      <c r="AA474" s="981"/>
      <c r="AB474" s="981"/>
    </row>
    <row r="475">
      <c r="A475" s="981"/>
      <c r="B475" s="991"/>
      <c r="C475" s="981"/>
      <c r="D475" s="981"/>
      <c r="E475" s="981"/>
      <c r="F475" s="981"/>
      <c r="G475" s="981"/>
      <c r="H475" s="981"/>
      <c r="I475" s="981"/>
      <c r="J475" s="981"/>
      <c r="K475" s="981"/>
      <c r="L475" s="981"/>
      <c r="M475" s="981"/>
      <c r="N475" s="981"/>
      <c r="O475" s="981"/>
      <c r="P475" s="981"/>
      <c r="Q475" s="981"/>
      <c r="R475" s="981"/>
      <c r="S475" s="981"/>
      <c r="T475" s="981"/>
      <c r="U475" s="981"/>
      <c r="V475" s="981"/>
      <c r="W475" s="981"/>
      <c r="X475" s="981"/>
      <c r="Y475" s="981"/>
      <c r="Z475" s="981"/>
      <c r="AA475" s="981"/>
      <c r="AB475" s="981"/>
    </row>
    <row r="476">
      <c r="A476" s="981"/>
      <c r="B476" s="991"/>
      <c r="C476" s="981"/>
      <c r="D476" s="981"/>
      <c r="E476" s="981"/>
      <c r="F476" s="981"/>
      <c r="G476" s="981"/>
      <c r="H476" s="981"/>
      <c r="I476" s="981"/>
      <c r="J476" s="981"/>
      <c r="K476" s="981"/>
      <c r="L476" s="981"/>
      <c r="M476" s="981"/>
      <c r="N476" s="981"/>
      <c r="O476" s="981"/>
      <c r="P476" s="981"/>
      <c r="Q476" s="981"/>
      <c r="R476" s="981"/>
      <c r="S476" s="981"/>
      <c r="T476" s="981"/>
      <c r="U476" s="981"/>
      <c r="V476" s="981"/>
      <c r="W476" s="981"/>
      <c r="X476" s="981"/>
      <c r="Y476" s="981"/>
      <c r="Z476" s="981"/>
      <c r="AA476" s="981"/>
      <c r="AB476" s="981"/>
    </row>
    <row r="477">
      <c r="A477" s="981"/>
      <c r="B477" s="991"/>
      <c r="C477" s="981"/>
      <c r="D477" s="981"/>
      <c r="E477" s="981"/>
      <c r="F477" s="981"/>
      <c r="G477" s="981"/>
      <c r="H477" s="981"/>
      <c r="I477" s="981"/>
      <c r="J477" s="981"/>
      <c r="K477" s="981"/>
      <c r="L477" s="981"/>
      <c r="M477" s="981"/>
      <c r="N477" s="981"/>
      <c r="O477" s="981"/>
      <c r="P477" s="981"/>
      <c r="Q477" s="981"/>
      <c r="R477" s="981"/>
      <c r="S477" s="981"/>
      <c r="T477" s="981"/>
      <c r="U477" s="981"/>
      <c r="V477" s="981"/>
      <c r="W477" s="981"/>
      <c r="X477" s="981"/>
      <c r="Y477" s="981"/>
      <c r="Z477" s="981"/>
      <c r="AA477" s="981"/>
      <c r="AB477" s="981"/>
    </row>
    <row r="478">
      <c r="A478" s="981"/>
      <c r="B478" s="991"/>
      <c r="C478" s="981"/>
      <c r="D478" s="981"/>
      <c r="E478" s="981"/>
      <c r="F478" s="981"/>
      <c r="G478" s="981"/>
      <c r="H478" s="981"/>
      <c r="I478" s="981"/>
      <c r="J478" s="981"/>
      <c r="K478" s="981"/>
      <c r="L478" s="981"/>
      <c r="M478" s="981"/>
      <c r="N478" s="981"/>
      <c r="O478" s="981"/>
      <c r="P478" s="981"/>
      <c r="Q478" s="981"/>
      <c r="R478" s="981"/>
      <c r="S478" s="981"/>
      <c r="T478" s="981"/>
      <c r="U478" s="981"/>
      <c r="V478" s="981"/>
      <c r="W478" s="981"/>
      <c r="X478" s="981"/>
      <c r="Y478" s="981"/>
      <c r="Z478" s="981"/>
      <c r="AA478" s="981"/>
      <c r="AB478" s="981"/>
    </row>
    <row r="479">
      <c r="A479" s="981"/>
      <c r="B479" s="991"/>
      <c r="C479" s="981"/>
      <c r="D479" s="981"/>
      <c r="E479" s="981"/>
      <c r="F479" s="981"/>
      <c r="G479" s="981"/>
      <c r="H479" s="981"/>
      <c r="I479" s="981"/>
      <c r="J479" s="981"/>
      <c r="K479" s="981"/>
      <c r="L479" s="981"/>
      <c r="M479" s="981"/>
      <c r="N479" s="981"/>
      <c r="O479" s="981"/>
      <c r="P479" s="981"/>
      <c r="Q479" s="981"/>
      <c r="R479" s="981"/>
      <c r="S479" s="981"/>
      <c r="T479" s="981"/>
      <c r="U479" s="981"/>
      <c r="V479" s="981"/>
      <c r="W479" s="981"/>
      <c r="X479" s="981"/>
      <c r="Y479" s="981"/>
      <c r="Z479" s="981"/>
      <c r="AA479" s="981"/>
      <c r="AB479" s="981"/>
    </row>
    <row r="480">
      <c r="A480" s="981"/>
      <c r="B480" s="991"/>
      <c r="C480" s="981"/>
      <c r="D480" s="981"/>
      <c r="E480" s="981"/>
      <c r="F480" s="981"/>
      <c r="G480" s="981"/>
      <c r="H480" s="981"/>
      <c r="I480" s="981"/>
      <c r="J480" s="981"/>
      <c r="K480" s="981"/>
      <c r="L480" s="981"/>
      <c r="M480" s="981"/>
      <c r="N480" s="981"/>
      <c r="O480" s="981"/>
      <c r="P480" s="981"/>
      <c r="Q480" s="981"/>
      <c r="R480" s="981"/>
      <c r="S480" s="981"/>
      <c r="T480" s="981"/>
      <c r="U480" s="981"/>
      <c r="V480" s="981"/>
      <c r="W480" s="981"/>
      <c r="X480" s="981"/>
      <c r="Y480" s="981"/>
      <c r="Z480" s="981"/>
      <c r="AA480" s="981"/>
      <c r="AB480" s="981"/>
    </row>
    <row r="481">
      <c r="A481" s="981"/>
      <c r="B481" s="991"/>
      <c r="C481" s="981"/>
      <c r="D481" s="981"/>
      <c r="E481" s="981"/>
      <c r="F481" s="981"/>
      <c r="G481" s="981"/>
      <c r="H481" s="981"/>
      <c r="I481" s="981"/>
      <c r="J481" s="981"/>
      <c r="K481" s="981"/>
      <c r="L481" s="981"/>
      <c r="M481" s="981"/>
      <c r="N481" s="981"/>
      <c r="O481" s="981"/>
      <c r="P481" s="981"/>
      <c r="Q481" s="981"/>
      <c r="R481" s="981"/>
      <c r="S481" s="981"/>
      <c r="T481" s="981"/>
      <c r="U481" s="981"/>
      <c r="V481" s="981"/>
      <c r="W481" s="981"/>
      <c r="X481" s="981"/>
      <c r="Y481" s="981"/>
      <c r="Z481" s="981"/>
      <c r="AA481" s="981"/>
      <c r="AB481" s="981"/>
    </row>
    <row r="482">
      <c r="A482" s="981"/>
      <c r="B482" s="991"/>
      <c r="C482" s="981"/>
      <c r="D482" s="981"/>
      <c r="E482" s="981"/>
      <c r="F482" s="981"/>
      <c r="G482" s="981"/>
      <c r="H482" s="981"/>
      <c r="I482" s="981"/>
      <c r="J482" s="981"/>
      <c r="K482" s="981"/>
      <c r="L482" s="981"/>
      <c r="M482" s="981"/>
      <c r="N482" s="981"/>
      <c r="O482" s="981"/>
      <c r="P482" s="981"/>
      <c r="Q482" s="981"/>
      <c r="R482" s="981"/>
      <c r="S482" s="981"/>
      <c r="T482" s="981"/>
      <c r="U482" s="981"/>
      <c r="V482" s="981"/>
      <c r="W482" s="981"/>
      <c r="X482" s="981"/>
      <c r="Y482" s="981"/>
      <c r="Z482" s="981"/>
      <c r="AA482" s="981"/>
      <c r="AB482" s="981"/>
    </row>
    <row r="483">
      <c r="A483" s="981"/>
      <c r="B483" s="991"/>
      <c r="C483" s="981"/>
      <c r="D483" s="981"/>
      <c r="E483" s="981"/>
      <c r="F483" s="981"/>
      <c r="G483" s="981"/>
      <c r="H483" s="981"/>
      <c r="I483" s="981"/>
      <c r="J483" s="981"/>
      <c r="K483" s="981"/>
      <c r="L483" s="981"/>
      <c r="M483" s="981"/>
      <c r="N483" s="981"/>
      <c r="O483" s="981"/>
      <c r="P483" s="981"/>
      <c r="Q483" s="981"/>
      <c r="R483" s="981"/>
      <c r="S483" s="981"/>
      <c r="T483" s="981"/>
      <c r="U483" s="981"/>
      <c r="V483" s="981"/>
      <c r="W483" s="981"/>
      <c r="X483" s="981"/>
      <c r="Y483" s="981"/>
      <c r="Z483" s="981"/>
      <c r="AA483" s="981"/>
      <c r="AB483" s="981"/>
    </row>
    <row r="484">
      <c r="A484" s="981"/>
      <c r="B484" s="991"/>
      <c r="C484" s="981"/>
      <c r="D484" s="981"/>
      <c r="E484" s="981"/>
      <c r="F484" s="981"/>
      <c r="G484" s="981"/>
      <c r="H484" s="981"/>
      <c r="I484" s="981"/>
      <c r="J484" s="981"/>
      <c r="K484" s="981"/>
      <c r="L484" s="981"/>
      <c r="M484" s="981"/>
      <c r="N484" s="981"/>
      <c r="O484" s="981"/>
      <c r="P484" s="981"/>
      <c r="Q484" s="981"/>
      <c r="R484" s="981"/>
      <c r="S484" s="981"/>
      <c r="T484" s="981"/>
      <c r="U484" s="981"/>
      <c r="V484" s="981"/>
      <c r="W484" s="981"/>
      <c r="X484" s="981"/>
      <c r="Y484" s="981"/>
      <c r="Z484" s="981"/>
      <c r="AA484" s="981"/>
      <c r="AB484" s="981"/>
    </row>
    <row r="485">
      <c r="A485" s="981"/>
      <c r="B485" s="991"/>
      <c r="C485" s="981"/>
      <c r="D485" s="981"/>
      <c r="E485" s="981"/>
      <c r="F485" s="981"/>
      <c r="G485" s="981"/>
      <c r="H485" s="981"/>
      <c r="I485" s="981"/>
      <c r="J485" s="981"/>
      <c r="K485" s="981"/>
      <c r="L485" s="981"/>
      <c r="M485" s="981"/>
      <c r="N485" s="981"/>
      <c r="O485" s="981"/>
      <c r="P485" s="981"/>
      <c r="Q485" s="981"/>
      <c r="R485" s="981"/>
      <c r="S485" s="981"/>
      <c r="T485" s="981"/>
      <c r="U485" s="981"/>
      <c r="V485" s="981"/>
      <c r="W485" s="981"/>
      <c r="X485" s="981"/>
      <c r="Y485" s="981"/>
      <c r="Z485" s="981"/>
      <c r="AA485" s="981"/>
      <c r="AB485" s="981"/>
    </row>
    <row r="486">
      <c r="A486" s="981"/>
      <c r="B486" s="991"/>
      <c r="C486" s="981"/>
      <c r="D486" s="981"/>
      <c r="E486" s="981"/>
      <c r="F486" s="981"/>
      <c r="G486" s="981"/>
      <c r="H486" s="981"/>
      <c r="I486" s="981"/>
      <c r="J486" s="981"/>
      <c r="K486" s="981"/>
      <c r="L486" s="981"/>
      <c r="M486" s="981"/>
      <c r="N486" s="981"/>
      <c r="O486" s="981"/>
      <c r="P486" s="981"/>
      <c r="Q486" s="981"/>
      <c r="R486" s="981"/>
      <c r="S486" s="981"/>
      <c r="T486" s="981"/>
      <c r="U486" s="981"/>
      <c r="V486" s="981"/>
      <c r="W486" s="981"/>
      <c r="X486" s="981"/>
      <c r="Y486" s="981"/>
      <c r="Z486" s="981"/>
      <c r="AA486" s="981"/>
      <c r="AB486" s="981"/>
    </row>
    <row r="487">
      <c r="A487" s="981"/>
      <c r="B487" s="991"/>
      <c r="C487" s="981"/>
      <c r="D487" s="981"/>
      <c r="E487" s="981"/>
      <c r="F487" s="981"/>
      <c r="G487" s="981"/>
      <c r="H487" s="981"/>
      <c r="I487" s="981"/>
      <c r="J487" s="981"/>
      <c r="K487" s="981"/>
      <c r="L487" s="981"/>
      <c r="M487" s="981"/>
      <c r="N487" s="981"/>
      <c r="O487" s="981"/>
      <c r="P487" s="981"/>
      <c r="Q487" s="981"/>
      <c r="R487" s="981"/>
      <c r="S487" s="981"/>
      <c r="T487" s="981"/>
      <c r="U487" s="981"/>
      <c r="V487" s="981"/>
      <c r="W487" s="981"/>
      <c r="X487" s="981"/>
      <c r="Y487" s="981"/>
      <c r="Z487" s="981"/>
      <c r="AA487" s="981"/>
      <c r="AB487" s="981"/>
    </row>
    <row r="488">
      <c r="A488" s="981"/>
      <c r="B488" s="991"/>
      <c r="C488" s="981"/>
      <c r="D488" s="981"/>
      <c r="E488" s="981"/>
      <c r="F488" s="981"/>
      <c r="G488" s="981"/>
      <c r="H488" s="981"/>
      <c r="I488" s="981"/>
      <c r="J488" s="981"/>
      <c r="K488" s="981"/>
      <c r="L488" s="981"/>
      <c r="M488" s="981"/>
      <c r="N488" s="981"/>
      <c r="O488" s="981"/>
      <c r="P488" s="981"/>
      <c r="Q488" s="981"/>
      <c r="R488" s="981"/>
      <c r="S488" s="981"/>
      <c r="T488" s="981"/>
      <c r="U488" s="981"/>
      <c r="V488" s="981"/>
      <c r="W488" s="981"/>
      <c r="X488" s="981"/>
      <c r="Y488" s="981"/>
      <c r="Z488" s="981"/>
      <c r="AA488" s="981"/>
      <c r="AB488" s="981"/>
    </row>
    <row r="489">
      <c r="A489" s="981"/>
      <c r="B489" s="991"/>
      <c r="C489" s="981"/>
      <c r="D489" s="981"/>
      <c r="E489" s="981"/>
      <c r="F489" s="981"/>
      <c r="G489" s="981"/>
      <c r="H489" s="981"/>
      <c r="I489" s="981"/>
      <c r="J489" s="981"/>
      <c r="K489" s="981"/>
      <c r="L489" s="981"/>
      <c r="M489" s="981"/>
      <c r="N489" s="981"/>
      <c r="O489" s="981"/>
      <c r="P489" s="981"/>
      <c r="Q489" s="981"/>
      <c r="R489" s="981"/>
      <c r="S489" s="981"/>
      <c r="T489" s="981"/>
      <c r="U489" s="981"/>
      <c r="V489" s="981"/>
      <c r="W489" s="981"/>
      <c r="X489" s="981"/>
      <c r="Y489" s="981"/>
      <c r="Z489" s="981"/>
      <c r="AA489" s="981"/>
      <c r="AB489" s="981"/>
    </row>
    <row r="490">
      <c r="A490" s="981"/>
      <c r="B490" s="991"/>
      <c r="C490" s="981"/>
      <c r="D490" s="981"/>
      <c r="E490" s="981"/>
      <c r="F490" s="981"/>
      <c r="G490" s="981"/>
      <c r="H490" s="981"/>
      <c r="I490" s="981"/>
      <c r="J490" s="981"/>
      <c r="K490" s="981"/>
      <c r="L490" s="981"/>
      <c r="M490" s="981"/>
      <c r="N490" s="981"/>
      <c r="O490" s="981"/>
      <c r="P490" s="981"/>
      <c r="Q490" s="981"/>
      <c r="R490" s="981"/>
      <c r="S490" s="981"/>
      <c r="T490" s="981"/>
      <c r="U490" s="981"/>
      <c r="V490" s="981"/>
      <c r="W490" s="981"/>
      <c r="X490" s="981"/>
      <c r="Y490" s="981"/>
      <c r="Z490" s="981"/>
      <c r="AA490" s="981"/>
      <c r="AB490" s="981"/>
    </row>
    <row r="491">
      <c r="A491" s="981"/>
      <c r="B491" s="991"/>
      <c r="C491" s="981"/>
      <c r="D491" s="981"/>
      <c r="E491" s="981"/>
      <c r="F491" s="981"/>
      <c r="G491" s="981"/>
      <c r="H491" s="981"/>
      <c r="I491" s="981"/>
      <c r="J491" s="981"/>
      <c r="K491" s="981"/>
      <c r="L491" s="981"/>
      <c r="M491" s="981"/>
      <c r="N491" s="981"/>
      <c r="O491" s="981"/>
      <c r="P491" s="981"/>
      <c r="Q491" s="981"/>
      <c r="R491" s="981"/>
      <c r="S491" s="981"/>
      <c r="T491" s="981"/>
      <c r="U491" s="981"/>
      <c r="V491" s="981"/>
      <c r="W491" s="981"/>
      <c r="X491" s="981"/>
      <c r="Y491" s="981"/>
      <c r="Z491" s="981"/>
      <c r="AA491" s="981"/>
      <c r="AB491" s="981"/>
    </row>
    <row r="492">
      <c r="A492" s="981"/>
      <c r="B492" s="991"/>
      <c r="C492" s="981"/>
      <c r="D492" s="981"/>
      <c r="E492" s="981"/>
      <c r="F492" s="981"/>
      <c r="G492" s="981"/>
      <c r="H492" s="981"/>
      <c r="I492" s="981"/>
      <c r="J492" s="981"/>
      <c r="K492" s="981"/>
      <c r="L492" s="981"/>
      <c r="M492" s="981"/>
      <c r="N492" s="981"/>
      <c r="O492" s="981"/>
      <c r="P492" s="981"/>
      <c r="Q492" s="981"/>
      <c r="R492" s="981"/>
      <c r="S492" s="981"/>
      <c r="T492" s="981"/>
      <c r="U492" s="981"/>
      <c r="V492" s="981"/>
      <c r="W492" s="981"/>
      <c r="X492" s="981"/>
      <c r="Y492" s="981"/>
      <c r="Z492" s="981"/>
      <c r="AA492" s="981"/>
      <c r="AB492" s="981"/>
    </row>
    <row r="493">
      <c r="A493" s="981"/>
      <c r="B493" s="991"/>
      <c r="C493" s="981"/>
      <c r="D493" s="981"/>
      <c r="E493" s="981"/>
      <c r="F493" s="981"/>
      <c r="G493" s="981"/>
      <c r="H493" s="981"/>
      <c r="I493" s="981"/>
      <c r="J493" s="981"/>
      <c r="K493" s="981"/>
      <c r="L493" s="981"/>
      <c r="M493" s="981"/>
      <c r="N493" s="981"/>
      <c r="O493" s="981"/>
      <c r="P493" s="981"/>
      <c r="Q493" s="981"/>
      <c r="R493" s="981"/>
      <c r="S493" s="981"/>
      <c r="T493" s="981"/>
      <c r="U493" s="981"/>
      <c r="V493" s="981"/>
      <c r="W493" s="981"/>
      <c r="X493" s="981"/>
      <c r="Y493" s="981"/>
      <c r="Z493" s="981"/>
      <c r="AA493" s="981"/>
      <c r="AB493" s="981"/>
    </row>
    <row r="494">
      <c r="A494" s="981"/>
      <c r="B494" s="991"/>
      <c r="C494" s="981"/>
      <c r="D494" s="981"/>
      <c r="E494" s="981"/>
      <c r="F494" s="981"/>
      <c r="G494" s="981"/>
      <c r="H494" s="981"/>
      <c r="I494" s="981"/>
      <c r="J494" s="981"/>
      <c r="K494" s="981"/>
      <c r="L494" s="981"/>
      <c r="M494" s="981"/>
      <c r="N494" s="981"/>
      <c r="O494" s="981"/>
      <c r="P494" s="981"/>
      <c r="Q494" s="981"/>
      <c r="R494" s="981"/>
      <c r="S494" s="981"/>
      <c r="T494" s="981"/>
      <c r="U494" s="981"/>
      <c r="V494" s="981"/>
      <c r="W494" s="981"/>
      <c r="X494" s="981"/>
      <c r="Y494" s="981"/>
      <c r="Z494" s="981"/>
      <c r="AA494" s="981"/>
      <c r="AB494" s="981"/>
    </row>
    <row r="495">
      <c r="A495" s="981"/>
      <c r="B495" s="991"/>
      <c r="C495" s="981"/>
      <c r="D495" s="981"/>
      <c r="E495" s="981"/>
      <c r="F495" s="981"/>
      <c r="G495" s="981"/>
      <c r="H495" s="981"/>
      <c r="I495" s="981"/>
      <c r="J495" s="981"/>
      <c r="K495" s="981"/>
      <c r="L495" s="981"/>
      <c r="M495" s="981"/>
      <c r="N495" s="981"/>
      <c r="O495" s="981"/>
      <c r="P495" s="981"/>
      <c r="Q495" s="981"/>
      <c r="R495" s="981"/>
      <c r="S495" s="981"/>
      <c r="T495" s="981"/>
      <c r="U495" s="981"/>
      <c r="V495" s="981"/>
      <c r="W495" s="981"/>
      <c r="X495" s="981"/>
      <c r="Y495" s="981"/>
      <c r="Z495" s="981"/>
      <c r="AA495" s="981"/>
      <c r="AB495" s="981"/>
    </row>
    <row r="496">
      <c r="A496" s="981"/>
      <c r="B496" s="991"/>
      <c r="C496" s="981"/>
      <c r="D496" s="981"/>
      <c r="E496" s="981"/>
      <c r="F496" s="981"/>
      <c r="G496" s="981"/>
      <c r="H496" s="981"/>
      <c r="I496" s="981"/>
      <c r="J496" s="981"/>
      <c r="K496" s="981"/>
      <c r="L496" s="981"/>
      <c r="M496" s="981"/>
      <c r="N496" s="981"/>
      <c r="O496" s="981"/>
      <c r="P496" s="981"/>
      <c r="Q496" s="981"/>
      <c r="R496" s="981"/>
      <c r="S496" s="981"/>
      <c r="T496" s="981"/>
      <c r="U496" s="981"/>
      <c r="V496" s="981"/>
      <c r="W496" s="981"/>
      <c r="X496" s="981"/>
      <c r="Y496" s="981"/>
      <c r="Z496" s="981"/>
      <c r="AA496" s="981"/>
      <c r="AB496" s="981"/>
    </row>
    <row r="497">
      <c r="A497" s="981"/>
      <c r="B497" s="991"/>
      <c r="C497" s="981"/>
      <c r="D497" s="981"/>
      <c r="E497" s="981"/>
      <c r="F497" s="981"/>
      <c r="G497" s="981"/>
      <c r="H497" s="981"/>
      <c r="I497" s="981"/>
      <c r="J497" s="981"/>
      <c r="K497" s="981"/>
      <c r="L497" s="981"/>
      <c r="M497" s="981"/>
      <c r="N497" s="981"/>
      <c r="O497" s="981"/>
      <c r="P497" s="981"/>
      <c r="Q497" s="981"/>
      <c r="R497" s="981"/>
      <c r="S497" s="981"/>
      <c r="T497" s="981"/>
      <c r="U497" s="981"/>
      <c r="V497" s="981"/>
      <c r="W497" s="981"/>
      <c r="X497" s="981"/>
      <c r="Y497" s="981"/>
      <c r="Z497" s="981"/>
      <c r="AA497" s="981"/>
      <c r="AB497" s="981"/>
    </row>
    <row r="498">
      <c r="A498" s="981"/>
      <c r="B498" s="991"/>
      <c r="C498" s="981"/>
      <c r="D498" s="981"/>
      <c r="E498" s="981"/>
      <c r="F498" s="981"/>
      <c r="G498" s="981"/>
      <c r="H498" s="981"/>
      <c r="I498" s="981"/>
      <c r="J498" s="981"/>
      <c r="K498" s="981"/>
      <c r="L498" s="981"/>
      <c r="M498" s="981"/>
      <c r="N498" s="981"/>
      <c r="O498" s="981"/>
      <c r="P498" s="981"/>
      <c r="Q498" s="981"/>
      <c r="R498" s="981"/>
      <c r="S498" s="981"/>
      <c r="T498" s="981"/>
      <c r="U498" s="981"/>
      <c r="V498" s="981"/>
      <c r="W498" s="981"/>
      <c r="X498" s="981"/>
      <c r="Y498" s="981"/>
      <c r="Z498" s="981"/>
      <c r="AA498" s="981"/>
      <c r="AB498" s="981"/>
    </row>
    <row r="499">
      <c r="A499" s="981"/>
      <c r="B499" s="991"/>
      <c r="C499" s="981"/>
      <c r="D499" s="981"/>
      <c r="E499" s="981"/>
      <c r="F499" s="981"/>
      <c r="G499" s="981"/>
      <c r="H499" s="981"/>
      <c r="I499" s="981"/>
      <c r="J499" s="981"/>
      <c r="K499" s="981"/>
      <c r="L499" s="981"/>
      <c r="M499" s="981"/>
      <c r="N499" s="981"/>
      <c r="O499" s="981"/>
      <c r="P499" s="981"/>
      <c r="Q499" s="981"/>
      <c r="R499" s="981"/>
      <c r="S499" s="981"/>
      <c r="T499" s="981"/>
      <c r="U499" s="981"/>
      <c r="V499" s="981"/>
      <c r="W499" s="981"/>
      <c r="X499" s="981"/>
      <c r="Y499" s="981"/>
      <c r="Z499" s="981"/>
      <c r="AA499" s="981"/>
      <c r="AB499" s="981"/>
    </row>
    <row r="500">
      <c r="A500" s="981"/>
      <c r="B500" s="991"/>
      <c r="C500" s="981"/>
      <c r="D500" s="981"/>
      <c r="E500" s="981"/>
      <c r="F500" s="981"/>
      <c r="G500" s="981"/>
      <c r="H500" s="981"/>
      <c r="I500" s="981"/>
      <c r="J500" s="981"/>
      <c r="K500" s="981"/>
      <c r="L500" s="981"/>
      <c r="M500" s="981"/>
      <c r="N500" s="981"/>
      <c r="O500" s="981"/>
      <c r="P500" s="981"/>
      <c r="Q500" s="981"/>
      <c r="R500" s="981"/>
      <c r="S500" s="981"/>
      <c r="T500" s="981"/>
      <c r="U500" s="981"/>
      <c r="V500" s="981"/>
      <c r="W500" s="981"/>
      <c r="X500" s="981"/>
      <c r="Y500" s="981"/>
      <c r="Z500" s="981"/>
      <c r="AA500" s="981"/>
      <c r="AB500" s="981"/>
    </row>
    <row r="501">
      <c r="A501" s="981"/>
      <c r="B501" s="991"/>
      <c r="C501" s="981"/>
      <c r="D501" s="981"/>
      <c r="E501" s="981"/>
      <c r="F501" s="981"/>
      <c r="G501" s="981"/>
      <c r="H501" s="981"/>
      <c r="I501" s="981"/>
      <c r="J501" s="981"/>
      <c r="K501" s="981"/>
      <c r="L501" s="981"/>
      <c r="M501" s="981"/>
      <c r="N501" s="981"/>
      <c r="O501" s="981"/>
      <c r="P501" s="981"/>
      <c r="Q501" s="981"/>
      <c r="R501" s="981"/>
      <c r="S501" s="981"/>
      <c r="T501" s="981"/>
      <c r="U501" s="981"/>
      <c r="V501" s="981"/>
      <c r="W501" s="981"/>
      <c r="X501" s="981"/>
      <c r="Y501" s="981"/>
      <c r="Z501" s="981"/>
      <c r="AA501" s="981"/>
      <c r="AB501" s="981"/>
    </row>
    <row r="502">
      <c r="A502" s="981"/>
      <c r="B502" s="991"/>
      <c r="C502" s="981"/>
      <c r="D502" s="981"/>
      <c r="E502" s="981"/>
      <c r="F502" s="981"/>
      <c r="G502" s="981"/>
      <c r="H502" s="981"/>
      <c r="I502" s="981"/>
      <c r="J502" s="981"/>
      <c r="K502" s="981"/>
      <c r="L502" s="981"/>
      <c r="M502" s="981"/>
      <c r="N502" s="981"/>
      <c r="O502" s="981"/>
      <c r="P502" s="981"/>
      <c r="Q502" s="981"/>
      <c r="R502" s="981"/>
      <c r="S502" s="981"/>
      <c r="T502" s="981"/>
      <c r="U502" s="981"/>
      <c r="V502" s="981"/>
      <c r="W502" s="981"/>
      <c r="X502" s="981"/>
      <c r="Y502" s="981"/>
      <c r="Z502" s="981"/>
      <c r="AA502" s="981"/>
      <c r="AB502" s="981"/>
    </row>
    <row r="503">
      <c r="A503" s="981"/>
      <c r="B503" s="991"/>
      <c r="C503" s="981"/>
      <c r="D503" s="981"/>
      <c r="E503" s="981"/>
      <c r="F503" s="981"/>
      <c r="G503" s="981"/>
      <c r="H503" s="981"/>
      <c r="I503" s="981"/>
      <c r="J503" s="981"/>
      <c r="K503" s="981"/>
      <c r="L503" s="981"/>
      <c r="M503" s="981"/>
      <c r="N503" s="981"/>
      <c r="O503" s="981"/>
      <c r="P503" s="981"/>
      <c r="Q503" s="981"/>
      <c r="R503" s="981"/>
      <c r="S503" s="981"/>
      <c r="T503" s="981"/>
      <c r="U503" s="981"/>
      <c r="V503" s="981"/>
      <c r="W503" s="981"/>
      <c r="X503" s="981"/>
      <c r="Y503" s="981"/>
      <c r="Z503" s="981"/>
      <c r="AA503" s="981"/>
      <c r="AB503" s="981"/>
    </row>
    <row r="504">
      <c r="A504" s="981"/>
      <c r="B504" s="991"/>
      <c r="C504" s="981"/>
      <c r="D504" s="981"/>
      <c r="E504" s="981"/>
      <c r="F504" s="981"/>
      <c r="G504" s="981"/>
      <c r="H504" s="981"/>
      <c r="I504" s="981"/>
      <c r="J504" s="981"/>
      <c r="K504" s="981"/>
      <c r="L504" s="981"/>
      <c r="M504" s="981"/>
      <c r="N504" s="981"/>
      <c r="O504" s="981"/>
      <c r="P504" s="981"/>
      <c r="Q504" s="981"/>
      <c r="R504" s="981"/>
      <c r="S504" s="981"/>
      <c r="T504" s="981"/>
      <c r="U504" s="981"/>
      <c r="V504" s="981"/>
      <c r="W504" s="981"/>
      <c r="X504" s="981"/>
      <c r="Y504" s="981"/>
      <c r="Z504" s="981"/>
      <c r="AA504" s="981"/>
      <c r="AB504" s="981"/>
    </row>
    <row r="505">
      <c r="A505" s="981"/>
      <c r="B505" s="991"/>
      <c r="C505" s="981"/>
      <c r="D505" s="981"/>
      <c r="E505" s="981"/>
      <c r="F505" s="981"/>
      <c r="G505" s="981"/>
      <c r="H505" s="981"/>
      <c r="I505" s="981"/>
      <c r="J505" s="981"/>
      <c r="K505" s="981"/>
      <c r="L505" s="981"/>
      <c r="M505" s="981"/>
      <c r="N505" s="981"/>
      <c r="O505" s="981"/>
      <c r="P505" s="981"/>
      <c r="Q505" s="981"/>
      <c r="R505" s="981"/>
      <c r="S505" s="981"/>
      <c r="T505" s="981"/>
      <c r="U505" s="981"/>
      <c r="V505" s="981"/>
      <c r="W505" s="981"/>
      <c r="X505" s="981"/>
      <c r="Y505" s="981"/>
      <c r="Z505" s="981"/>
      <c r="AA505" s="981"/>
      <c r="AB505" s="981"/>
    </row>
    <row r="506">
      <c r="A506" s="981"/>
      <c r="B506" s="991"/>
      <c r="C506" s="981"/>
      <c r="D506" s="981"/>
      <c r="E506" s="981"/>
      <c r="F506" s="981"/>
      <c r="G506" s="981"/>
      <c r="H506" s="981"/>
      <c r="I506" s="981"/>
      <c r="J506" s="981"/>
      <c r="K506" s="981"/>
      <c r="L506" s="981"/>
      <c r="M506" s="981"/>
      <c r="N506" s="981"/>
      <c r="O506" s="981"/>
      <c r="P506" s="981"/>
      <c r="Q506" s="981"/>
      <c r="R506" s="981"/>
      <c r="S506" s="981"/>
      <c r="T506" s="981"/>
      <c r="U506" s="981"/>
      <c r="V506" s="981"/>
      <c r="W506" s="981"/>
      <c r="X506" s="981"/>
      <c r="Y506" s="981"/>
      <c r="Z506" s="981"/>
      <c r="AA506" s="981"/>
      <c r="AB506" s="981"/>
    </row>
    <row r="507">
      <c r="A507" s="981"/>
      <c r="B507" s="991"/>
      <c r="C507" s="981"/>
      <c r="D507" s="981"/>
      <c r="E507" s="981"/>
      <c r="F507" s="981"/>
      <c r="G507" s="981"/>
      <c r="H507" s="981"/>
      <c r="I507" s="981"/>
      <c r="J507" s="981"/>
      <c r="K507" s="981"/>
      <c r="L507" s="981"/>
      <c r="M507" s="981"/>
      <c r="N507" s="981"/>
      <c r="O507" s="981"/>
      <c r="P507" s="981"/>
      <c r="Q507" s="981"/>
      <c r="R507" s="981"/>
      <c r="S507" s="981"/>
      <c r="T507" s="981"/>
      <c r="U507" s="981"/>
      <c r="V507" s="981"/>
      <c r="W507" s="981"/>
      <c r="X507" s="981"/>
      <c r="Y507" s="981"/>
      <c r="Z507" s="981"/>
      <c r="AA507" s="981"/>
      <c r="AB507" s="981"/>
    </row>
    <row r="508">
      <c r="A508" s="981"/>
      <c r="B508" s="991"/>
      <c r="C508" s="981"/>
      <c r="D508" s="981"/>
      <c r="E508" s="981"/>
      <c r="F508" s="981"/>
      <c r="G508" s="981"/>
      <c r="H508" s="981"/>
      <c r="I508" s="981"/>
      <c r="J508" s="981"/>
      <c r="K508" s="981"/>
      <c r="L508" s="981"/>
      <c r="M508" s="981"/>
      <c r="N508" s="981"/>
      <c r="O508" s="981"/>
      <c r="P508" s="981"/>
      <c r="Q508" s="981"/>
      <c r="R508" s="981"/>
      <c r="S508" s="981"/>
      <c r="T508" s="981"/>
      <c r="U508" s="981"/>
      <c r="V508" s="981"/>
      <c r="W508" s="981"/>
      <c r="X508" s="981"/>
      <c r="Y508" s="981"/>
      <c r="Z508" s="981"/>
      <c r="AA508" s="981"/>
      <c r="AB508" s="981"/>
    </row>
    <row r="509">
      <c r="A509" s="981"/>
      <c r="B509" s="991"/>
      <c r="C509" s="981"/>
      <c r="D509" s="981"/>
      <c r="E509" s="981"/>
      <c r="F509" s="981"/>
      <c r="G509" s="981"/>
      <c r="H509" s="981"/>
      <c r="I509" s="981"/>
      <c r="J509" s="981"/>
      <c r="K509" s="981"/>
      <c r="L509" s="981"/>
      <c r="M509" s="981"/>
      <c r="N509" s="981"/>
      <c r="O509" s="981"/>
      <c r="P509" s="981"/>
      <c r="Q509" s="981"/>
      <c r="R509" s="981"/>
      <c r="S509" s="981"/>
      <c r="T509" s="981"/>
      <c r="U509" s="981"/>
      <c r="V509" s="981"/>
      <c r="W509" s="981"/>
      <c r="X509" s="981"/>
      <c r="Y509" s="981"/>
      <c r="Z509" s="981"/>
      <c r="AA509" s="981"/>
      <c r="AB509" s="981"/>
    </row>
    <row r="510">
      <c r="A510" s="981"/>
      <c r="B510" s="991"/>
      <c r="C510" s="981"/>
      <c r="D510" s="981"/>
      <c r="E510" s="981"/>
      <c r="F510" s="981"/>
      <c r="G510" s="981"/>
      <c r="H510" s="981"/>
      <c r="I510" s="981"/>
      <c r="J510" s="981"/>
      <c r="K510" s="981"/>
      <c r="L510" s="981"/>
      <c r="M510" s="981"/>
      <c r="N510" s="981"/>
      <c r="O510" s="981"/>
      <c r="P510" s="981"/>
      <c r="Q510" s="981"/>
      <c r="R510" s="981"/>
      <c r="S510" s="981"/>
      <c r="T510" s="981"/>
      <c r="U510" s="981"/>
      <c r="V510" s="981"/>
      <c r="W510" s="981"/>
      <c r="X510" s="981"/>
      <c r="Y510" s="981"/>
      <c r="Z510" s="981"/>
      <c r="AA510" s="981"/>
      <c r="AB510" s="981"/>
    </row>
    <row r="511">
      <c r="A511" s="981"/>
      <c r="B511" s="991"/>
      <c r="C511" s="981"/>
      <c r="D511" s="981"/>
      <c r="E511" s="981"/>
      <c r="F511" s="981"/>
      <c r="G511" s="981"/>
      <c r="H511" s="981"/>
      <c r="I511" s="981"/>
      <c r="J511" s="981"/>
      <c r="K511" s="981"/>
      <c r="L511" s="981"/>
      <c r="M511" s="981"/>
      <c r="N511" s="981"/>
      <c r="O511" s="981"/>
      <c r="P511" s="981"/>
      <c r="Q511" s="981"/>
      <c r="R511" s="981"/>
      <c r="S511" s="981"/>
      <c r="T511" s="981"/>
      <c r="U511" s="981"/>
      <c r="V511" s="981"/>
      <c r="W511" s="981"/>
      <c r="X511" s="981"/>
      <c r="Y511" s="981"/>
      <c r="Z511" s="981"/>
      <c r="AA511" s="981"/>
      <c r="AB511" s="981"/>
    </row>
    <row r="512">
      <c r="A512" s="981"/>
      <c r="B512" s="991"/>
      <c r="C512" s="981"/>
      <c r="D512" s="981"/>
      <c r="E512" s="981"/>
      <c r="F512" s="981"/>
      <c r="G512" s="981"/>
      <c r="H512" s="981"/>
      <c r="I512" s="981"/>
      <c r="J512" s="981"/>
      <c r="K512" s="981"/>
      <c r="L512" s="981"/>
      <c r="M512" s="981"/>
      <c r="N512" s="981"/>
      <c r="O512" s="981"/>
      <c r="P512" s="981"/>
      <c r="Q512" s="981"/>
      <c r="R512" s="981"/>
      <c r="S512" s="981"/>
      <c r="T512" s="981"/>
      <c r="U512" s="981"/>
      <c r="V512" s="981"/>
      <c r="W512" s="981"/>
      <c r="X512" s="981"/>
      <c r="Y512" s="981"/>
      <c r="Z512" s="981"/>
      <c r="AA512" s="981"/>
      <c r="AB512" s="981"/>
    </row>
    <row r="513">
      <c r="A513" s="981"/>
      <c r="B513" s="991"/>
      <c r="C513" s="981"/>
      <c r="D513" s="981"/>
      <c r="E513" s="981"/>
      <c r="F513" s="981"/>
      <c r="G513" s="981"/>
      <c r="H513" s="981"/>
      <c r="I513" s="981"/>
      <c r="J513" s="981"/>
      <c r="K513" s="981"/>
      <c r="L513" s="981"/>
      <c r="M513" s="981"/>
      <c r="N513" s="981"/>
      <c r="O513" s="981"/>
      <c r="P513" s="981"/>
      <c r="Q513" s="981"/>
      <c r="R513" s="981"/>
      <c r="S513" s="981"/>
      <c r="T513" s="981"/>
      <c r="U513" s="981"/>
      <c r="V513" s="981"/>
      <c r="W513" s="981"/>
      <c r="X513" s="981"/>
      <c r="Y513" s="981"/>
      <c r="Z513" s="981"/>
      <c r="AA513" s="981"/>
      <c r="AB513" s="981"/>
    </row>
    <row r="514">
      <c r="A514" s="981"/>
      <c r="B514" s="991"/>
      <c r="C514" s="981"/>
      <c r="D514" s="981"/>
      <c r="E514" s="981"/>
      <c r="F514" s="981"/>
      <c r="G514" s="981"/>
      <c r="H514" s="981"/>
      <c r="I514" s="981"/>
      <c r="J514" s="981"/>
      <c r="K514" s="981"/>
      <c r="L514" s="981"/>
      <c r="M514" s="981"/>
      <c r="N514" s="981"/>
      <c r="O514" s="981"/>
      <c r="P514" s="981"/>
      <c r="Q514" s="981"/>
      <c r="R514" s="981"/>
      <c r="S514" s="981"/>
      <c r="T514" s="981"/>
      <c r="U514" s="981"/>
      <c r="V514" s="981"/>
      <c r="W514" s="981"/>
      <c r="X514" s="981"/>
      <c r="Y514" s="981"/>
      <c r="Z514" s="981"/>
      <c r="AA514" s="981"/>
      <c r="AB514" s="981"/>
    </row>
    <row r="515">
      <c r="A515" s="981"/>
      <c r="B515" s="991"/>
      <c r="C515" s="981"/>
      <c r="D515" s="981"/>
      <c r="E515" s="981"/>
      <c r="F515" s="981"/>
      <c r="G515" s="981"/>
      <c r="H515" s="981"/>
      <c r="I515" s="981"/>
      <c r="J515" s="981"/>
      <c r="K515" s="981"/>
      <c r="L515" s="981"/>
      <c r="M515" s="981"/>
      <c r="N515" s="981"/>
      <c r="O515" s="981"/>
      <c r="P515" s="981"/>
      <c r="Q515" s="981"/>
      <c r="R515" s="981"/>
      <c r="S515" s="981"/>
      <c r="T515" s="981"/>
      <c r="U515" s="981"/>
      <c r="V515" s="981"/>
      <c r="W515" s="981"/>
      <c r="X515" s="981"/>
      <c r="Y515" s="981"/>
      <c r="Z515" s="981"/>
      <c r="AA515" s="981"/>
      <c r="AB515" s="981"/>
    </row>
    <row r="516">
      <c r="A516" s="981"/>
      <c r="B516" s="991"/>
      <c r="C516" s="981"/>
      <c r="D516" s="981"/>
      <c r="E516" s="981"/>
      <c r="F516" s="981"/>
      <c r="G516" s="981"/>
      <c r="H516" s="981"/>
      <c r="I516" s="981"/>
      <c r="J516" s="981"/>
      <c r="K516" s="981"/>
      <c r="L516" s="981"/>
      <c r="M516" s="981"/>
      <c r="N516" s="981"/>
      <c r="O516" s="981"/>
      <c r="P516" s="981"/>
      <c r="Q516" s="981"/>
      <c r="R516" s="981"/>
      <c r="S516" s="981"/>
      <c r="T516" s="981"/>
      <c r="U516" s="981"/>
      <c r="V516" s="981"/>
      <c r="W516" s="981"/>
      <c r="X516" s="981"/>
      <c r="Y516" s="981"/>
      <c r="Z516" s="981"/>
      <c r="AA516" s="981"/>
      <c r="AB516" s="981"/>
    </row>
    <row r="517">
      <c r="A517" s="981"/>
      <c r="B517" s="991"/>
      <c r="C517" s="981"/>
      <c r="D517" s="981"/>
      <c r="E517" s="981"/>
      <c r="F517" s="981"/>
      <c r="G517" s="981"/>
      <c r="H517" s="981"/>
      <c r="I517" s="981"/>
      <c r="J517" s="981"/>
      <c r="K517" s="981"/>
      <c r="L517" s="981"/>
      <c r="M517" s="981"/>
      <c r="N517" s="981"/>
      <c r="O517" s="981"/>
      <c r="P517" s="981"/>
      <c r="Q517" s="981"/>
      <c r="R517" s="981"/>
      <c r="S517" s="981"/>
      <c r="T517" s="981"/>
      <c r="U517" s="981"/>
      <c r="V517" s="981"/>
      <c r="W517" s="981"/>
      <c r="X517" s="981"/>
      <c r="Y517" s="981"/>
      <c r="Z517" s="981"/>
      <c r="AA517" s="981"/>
      <c r="AB517" s="981"/>
    </row>
    <row r="518">
      <c r="A518" s="981"/>
      <c r="B518" s="991"/>
      <c r="C518" s="981"/>
      <c r="D518" s="981"/>
      <c r="E518" s="981"/>
      <c r="F518" s="981"/>
      <c r="G518" s="981"/>
      <c r="H518" s="981"/>
      <c r="I518" s="981"/>
      <c r="J518" s="981"/>
      <c r="K518" s="981"/>
      <c r="L518" s="981"/>
      <c r="M518" s="981"/>
      <c r="N518" s="981"/>
      <c r="O518" s="981"/>
      <c r="P518" s="981"/>
      <c r="Q518" s="981"/>
      <c r="R518" s="981"/>
      <c r="S518" s="981"/>
      <c r="T518" s="981"/>
      <c r="U518" s="981"/>
      <c r="V518" s="981"/>
      <c r="W518" s="981"/>
      <c r="X518" s="981"/>
      <c r="Y518" s="981"/>
      <c r="Z518" s="981"/>
      <c r="AA518" s="981"/>
      <c r="AB518" s="981"/>
    </row>
    <row r="519">
      <c r="A519" s="981"/>
      <c r="B519" s="991"/>
      <c r="C519" s="981"/>
      <c r="D519" s="981"/>
      <c r="E519" s="981"/>
      <c r="F519" s="981"/>
      <c r="G519" s="981"/>
      <c r="H519" s="981"/>
      <c r="I519" s="981"/>
      <c r="J519" s="981"/>
      <c r="K519" s="981"/>
      <c r="L519" s="981"/>
      <c r="M519" s="981"/>
      <c r="N519" s="981"/>
      <c r="O519" s="981"/>
      <c r="P519" s="981"/>
      <c r="Q519" s="981"/>
      <c r="R519" s="981"/>
      <c r="S519" s="981"/>
      <c r="T519" s="981"/>
      <c r="U519" s="981"/>
      <c r="V519" s="981"/>
      <c r="W519" s="981"/>
      <c r="X519" s="981"/>
      <c r="Y519" s="981"/>
      <c r="Z519" s="981"/>
      <c r="AA519" s="981"/>
      <c r="AB519" s="981"/>
    </row>
    <row r="520">
      <c r="A520" s="981"/>
      <c r="B520" s="991"/>
      <c r="C520" s="981"/>
      <c r="D520" s="981"/>
      <c r="E520" s="981"/>
      <c r="F520" s="981"/>
      <c r="G520" s="981"/>
      <c r="H520" s="981"/>
      <c r="I520" s="981"/>
      <c r="J520" s="981"/>
      <c r="K520" s="981"/>
      <c r="L520" s="981"/>
      <c r="M520" s="981"/>
      <c r="N520" s="981"/>
      <c r="O520" s="981"/>
      <c r="P520" s="981"/>
      <c r="Q520" s="981"/>
      <c r="R520" s="981"/>
      <c r="S520" s="981"/>
      <c r="T520" s="981"/>
      <c r="U520" s="981"/>
      <c r="V520" s="981"/>
      <c r="W520" s="981"/>
      <c r="X520" s="981"/>
      <c r="Y520" s="981"/>
      <c r="Z520" s="981"/>
      <c r="AA520" s="981"/>
      <c r="AB520" s="981"/>
    </row>
    <row r="521">
      <c r="A521" s="981"/>
      <c r="B521" s="991"/>
      <c r="C521" s="981"/>
      <c r="D521" s="981"/>
      <c r="E521" s="981"/>
      <c r="F521" s="981"/>
      <c r="G521" s="981"/>
      <c r="H521" s="981"/>
      <c r="I521" s="981"/>
      <c r="J521" s="981"/>
      <c r="K521" s="981"/>
      <c r="L521" s="981"/>
      <c r="M521" s="981"/>
      <c r="N521" s="981"/>
      <c r="O521" s="981"/>
      <c r="P521" s="981"/>
      <c r="Q521" s="981"/>
      <c r="R521" s="981"/>
      <c r="S521" s="981"/>
      <c r="T521" s="981"/>
      <c r="U521" s="981"/>
      <c r="V521" s="981"/>
      <c r="W521" s="981"/>
      <c r="X521" s="981"/>
      <c r="Y521" s="981"/>
      <c r="Z521" s="981"/>
      <c r="AA521" s="981"/>
      <c r="AB521" s="981"/>
    </row>
    <row r="522">
      <c r="A522" s="981"/>
      <c r="B522" s="991"/>
      <c r="C522" s="981"/>
      <c r="D522" s="981"/>
      <c r="E522" s="981"/>
      <c r="F522" s="981"/>
      <c r="G522" s="981"/>
      <c r="H522" s="981"/>
      <c r="I522" s="981"/>
      <c r="J522" s="981"/>
      <c r="K522" s="981"/>
      <c r="L522" s="981"/>
      <c r="M522" s="981"/>
      <c r="N522" s="981"/>
      <c r="O522" s="981"/>
      <c r="P522" s="981"/>
      <c r="Q522" s="981"/>
      <c r="R522" s="981"/>
      <c r="S522" s="981"/>
      <c r="T522" s="981"/>
      <c r="U522" s="981"/>
      <c r="V522" s="981"/>
      <c r="W522" s="981"/>
      <c r="X522" s="981"/>
      <c r="Y522" s="981"/>
      <c r="Z522" s="981"/>
      <c r="AA522" s="981"/>
      <c r="AB522" s="981"/>
    </row>
    <row r="523">
      <c r="A523" s="981"/>
      <c r="B523" s="991"/>
      <c r="C523" s="981"/>
      <c r="D523" s="981"/>
      <c r="E523" s="981"/>
      <c r="F523" s="981"/>
      <c r="G523" s="981"/>
      <c r="H523" s="981"/>
      <c r="I523" s="981"/>
      <c r="J523" s="981"/>
      <c r="K523" s="981"/>
      <c r="L523" s="981"/>
      <c r="M523" s="981"/>
      <c r="N523" s="981"/>
      <c r="O523" s="981"/>
      <c r="P523" s="981"/>
      <c r="Q523" s="981"/>
      <c r="R523" s="981"/>
      <c r="S523" s="981"/>
      <c r="T523" s="981"/>
      <c r="U523" s="981"/>
      <c r="V523" s="981"/>
      <c r="W523" s="981"/>
      <c r="X523" s="981"/>
      <c r="Y523" s="981"/>
      <c r="Z523" s="981"/>
      <c r="AA523" s="981"/>
      <c r="AB523" s="981"/>
    </row>
    <row r="524">
      <c r="A524" s="981"/>
      <c r="B524" s="991"/>
      <c r="C524" s="981"/>
      <c r="D524" s="981"/>
      <c r="E524" s="981"/>
      <c r="F524" s="981"/>
      <c r="G524" s="981"/>
      <c r="H524" s="981"/>
      <c r="I524" s="981"/>
      <c r="J524" s="981"/>
      <c r="K524" s="981"/>
      <c r="L524" s="981"/>
      <c r="M524" s="981"/>
      <c r="N524" s="981"/>
      <c r="O524" s="981"/>
      <c r="P524" s="981"/>
      <c r="Q524" s="981"/>
      <c r="R524" s="981"/>
      <c r="S524" s="981"/>
      <c r="T524" s="981"/>
      <c r="U524" s="981"/>
      <c r="V524" s="981"/>
      <c r="W524" s="981"/>
      <c r="X524" s="981"/>
      <c r="Y524" s="981"/>
      <c r="Z524" s="981"/>
      <c r="AA524" s="981"/>
      <c r="AB524" s="981"/>
    </row>
    <row r="525">
      <c r="A525" s="981"/>
      <c r="B525" s="991"/>
      <c r="C525" s="981"/>
      <c r="D525" s="981"/>
      <c r="E525" s="981"/>
      <c r="F525" s="981"/>
      <c r="G525" s="981"/>
      <c r="H525" s="981"/>
      <c r="I525" s="981"/>
      <c r="J525" s="981"/>
      <c r="K525" s="981"/>
      <c r="L525" s="981"/>
      <c r="M525" s="981"/>
      <c r="N525" s="981"/>
      <c r="O525" s="981"/>
      <c r="P525" s="981"/>
      <c r="Q525" s="981"/>
      <c r="R525" s="981"/>
      <c r="S525" s="981"/>
      <c r="T525" s="981"/>
      <c r="U525" s="981"/>
      <c r="V525" s="981"/>
      <c r="W525" s="981"/>
      <c r="X525" s="981"/>
      <c r="Y525" s="981"/>
      <c r="Z525" s="981"/>
      <c r="AA525" s="981"/>
      <c r="AB525" s="981"/>
    </row>
    <row r="526">
      <c r="A526" s="981"/>
      <c r="B526" s="991"/>
      <c r="C526" s="981"/>
      <c r="D526" s="981"/>
      <c r="E526" s="981"/>
      <c r="F526" s="981"/>
      <c r="G526" s="981"/>
      <c r="H526" s="981"/>
      <c r="I526" s="981"/>
      <c r="J526" s="981"/>
      <c r="K526" s="981"/>
      <c r="L526" s="981"/>
      <c r="M526" s="981"/>
      <c r="N526" s="981"/>
      <c r="O526" s="981"/>
      <c r="P526" s="981"/>
      <c r="Q526" s="981"/>
      <c r="R526" s="981"/>
      <c r="S526" s="981"/>
      <c r="T526" s="981"/>
      <c r="U526" s="981"/>
      <c r="V526" s="981"/>
      <c r="W526" s="981"/>
      <c r="X526" s="981"/>
      <c r="Y526" s="981"/>
      <c r="Z526" s="981"/>
      <c r="AA526" s="981"/>
      <c r="AB526" s="981"/>
    </row>
    <row r="527">
      <c r="A527" s="981"/>
      <c r="B527" s="991"/>
      <c r="C527" s="981"/>
      <c r="D527" s="981"/>
      <c r="E527" s="981"/>
      <c r="F527" s="981"/>
      <c r="G527" s="981"/>
      <c r="H527" s="981"/>
      <c r="I527" s="981"/>
      <c r="J527" s="981"/>
      <c r="K527" s="981"/>
      <c r="L527" s="981"/>
      <c r="M527" s="981"/>
      <c r="N527" s="981"/>
      <c r="O527" s="981"/>
      <c r="P527" s="981"/>
      <c r="Q527" s="981"/>
      <c r="R527" s="981"/>
      <c r="S527" s="981"/>
      <c r="T527" s="981"/>
      <c r="U527" s="981"/>
      <c r="V527" s="981"/>
      <c r="W527" s="981"/>
      <c r="X527" s="981"/>
      <c r="Y527" s="981"/>
      <c r="Z527" s="981"/>
      <c r="AA527" s="981"/>
      <c r="AB527" s="981"/>
    </row>
    <row r="528">
      <c r="A528" s="981"/>
      <c r="B528" s="991"/>
      <c r="C528" s="981"/>
      <c r="D528" s="981"/>
      <c r="E528" s="981"/>
      <c r="F528" s="981"/>
      <c r="G528" s="981"/>
      <c r="H528" s="981"/>
      <c r="I528" s="981"/>
      <c r="J528" s="981"/>
      <c r="K528" s="981"/>
      <c r="L528" s="981"/>
      <c r="M528" s="981"/>
      <c r="N528" s="981"/>
      <c r="O528" s="981"/>
      <c r="P528" s="981"/>
      <c r="Q528" s="981"/>
      <c r="R528" s="981"/>
      <c r="S528" s="981"/>
      <c r="T528" s="981"/>
      <c r="U528" s="981"/>
      <c r="V528" s="981"/>
      <c r="W528" s="981"/>
      <c r="X528" s="981"/>
      <c r="Y528" s="981"/>
      <c r="Z528" s="981"/>
      <c r="AA528" s="981"/>
      <c r="AB528" s="981"/>
    </row>
    <row r="529">
      <c r="A529" s="981"/>
      <c r="B529" s="991"/>
      <c r="C529" s="981"/>
      <c r="D529" s="981"/>
      <c r="E529" s="981"/>
      <c r="F529" s="981"/>
      <c r="G529" s="981"/>
      <c r="H529" s="981"/>
      <c r="I529" s="981"/>
      <c r="J529" s="981"/>
      <c r="K529" s="981"/>
      <c r="L529" s="981"/>
      <c r="M529" s="981"/>
      <c r="N529" s="981"/>
      <c r="O529" s="981"/>
      <c r="P529" s="981"/>
      <c r="Q529" s="981"/>
      <c r="R529" s="981"/>
      <c r="S529" s="981"/>
      <c r="T529" s="981"/>
      <c r="U529" s="981"/>
      <c r="V529" s="981"/>
      <c r="W529" s="981"/>
      <c r="X529" s="981"/>
      <c r="Y529" s="981"/>
      <c r="Z529" s="981"/>
      <c r="AA529" s="981"/>
      <c r="AB529" s="981"/>
    </row>
    <row r="530">
      <c r="A530" s="981"/>
      <c r="B530" s="991"/>
      <c r="C530" s="981"/>
      <c r="D530" s="981"/>
      <c r="E530" s="981"/>
      <c r="F530" s="981"/>
      <c r="G530" s="981"/>
      <c r="H530" s="981"/>
      <c r="I530" s="981"/>
      <c r="J530" s="981"/>
      <c r="K530" s="981"/>
      <c r="L530" s="981"/>
      <c r="M530" s="981"/>
      <c r="N530" s="981"/>
      <c r="O530" s="981"/>
      <c r="P530" s="981"/>
      <c r="Q530" s="981"/>
      <c r="R530" s="981"/>
      <c r="S530" s="981"/>
      <c r="T530" s="981"/>
      <c r="U530" s="981"/>
      <c r="V530" s="981"/>
      <c r="W530" s="981"/>
      <c r="X530" s="981"/>
      <c r="Y530" s="981"/>
      <c r="Z530" s="981"/>
      <c r="AA530" s="981"/>
      <c r="AB530" s="981"/>
    </row>
    <row r="531">
      <c r="A531" s="981"/>
      <c r="B531" s="991"/>
      <c r="C531" s="981"/>
      <c r="D531" s="981"/>
      <c r="E531" s="981"/>
      <c r="F531" s="981"/>
      <c r="G531" s="981"/>
      <c r="H531" s="981"/>
      <c r="I531" s="981"/>
      <c r="J531" s="981"/>
      <c r="K531" s="981"/>
      <c r="L531" s="981"/>
      <c r="M531" s="981"/>
      <c r="N531" s="981"/>
      <c r="O531" s="981"/>
      <c r="P531" s="981"/>
      <c r="Q531" s="981"/>
      <c r="R531" s="981"/>
      <c r="S531" s="981"/>
      <c r="T531" s="981"/>
      <c r="U531" s="981"/>
      <c r="V531" s="981"/>
      <c r="W531" s="981"/>
      <c r="X531" s="981"/>
      <c r="Y531" s="981"/>
      <c r="Z531" s="981"/>
      <c r="AA531" s="981"/>
      <c r="AB531" s="981"/>
    </row>
    <row r="532">
      <c r="A532" s="981"/>
      <c r="B532" s="991"/>
      <c r="C532" s="981"/>
      <c r="D532" s="981"/>
      <c r="E532" s="981"/>
      <c r="F532" s="981"/>
      <c r="G532" s="981"/>
      <c r="H532" s="981"/>
      <c r="I532" s="981"/>
      <c r="J532" s="981"/>
      <c r="K532" s="981"/>
      <c r="L532" s="981"/>
      <c r="M532" s="981"/>
      <c r="N532" s="981"/>
      <c r="O532" s="981"/>
      <c r="P532" s="981"/>
      <c r="Q532" s="981"/>
      <c r="R532" s="981"/>
      <c r="S532" s="981"/>
      <c r="T532" s="981"/>
      <c r="U532" s="981"/>
      <c r="V532" s="981"/>
      <c r="W532" s="981"/>
      <c r="X532" s="981"/>
      <c r="Y532" s="981"/>
      <c r="Z532" s="981"/>
      <c r="AA532" s="981"/>
      <c r="AB532" s="981"/>
    </row>
    <row r="533">
      <c r="A533" s="981"/>
      <c r="B533" s="991"/>
      <c r="C533" s="981"/>
      <c r="D533" s="981"/>
      <c r="E533" s="981"/>
      <c r="F533" s="981"/>
      <c r="G533" s="981"/>
      <c r="H533" s="981"/>
      <c r="I533" s="981"/>
      <c r="J533" s="981"/>
      <c r="K533" s="981"/>
      <c r="L533" s="981"/>
      <c r="M533" s="981"/>
      <c r="N533" s="981"/>
      <c r="O533" s="981"/>
      <c r="P533" s="981"/>
      <c r="Q533" s="981"/>
      <c r="R533" s="981"/>
      <c r="S533" s="981"/>
      <c r="T533" s="981"/>
      <c r="U533" s="981"/>
      <c r="V533" s="981"/>
      <c r="W533" s="981"/>
      <c r="X533" s="981"/>
      <c r="Y533" s="981"/>
      <c r="Z533" s="981"/>
      <c r="AA533" s="981"/>
      <c r="AB533" s="981"/>
    </row>
    <row r="534">
      <c r="A534" s="981"/>
      <c r="B534" s="991"/>
      <c r="C534" s="981"/>
      <c r="D534" s="981"/>
      <c r="E534" s="981"/>
      <c r="F534" s="981"/>
      <c r="G534" s="981"/>
      <c r="H534" s="981"/>
      <c r="I534" s="981"/>
      <c r="J534" s="981"/>
      <c r="K534" s="981"/>
      <c r="L534" s="981"/>
      <c r="M534" s="981"/>
      <c r="N534" s="981"/>
      <c r="O534" s="981"/>
      <c r="P534" s="981"/>
      <c r="Q534" s="981"/>
      <c r="R534" s="981"/>
      <c r="S534" s="981"/>
      <c r="T534" s="981"/>
      <c r="U534" s="981"/>
      <c r="V534" s="981"/>
      <c r="W534" s="981"/>
      <c r="X534" s="981"/>
      <c r="Y534" s="981"/>
      <c r="Z534" s="981"/>
      <c r="AA534" s="981"/>
      <c r="AB534" s="981"/>
    </row>
    <row r="535">
      <c r="A535" s="981"/>
      <c r="B535" s="991"/>
      <c r="C535" s="981"/>
      <c r="D535" s="981"/>
      <c r="E535" s="981"/>
      <c r="F535" s="981"/>
      <c r="G535" s="981"/>
      <c r="H535" s="981"/>
      <c r="I535" s="981"/>
      <c r="J535" s="981"/>
      <c r="K535" s="981"/>
      <c r="L535" s="981"/>
      <c r="M535" s="981"/>
      <c r="N535" s="981"/>
      <c r="O535" s="981"/>
      <c r="P535" s="981"/>
      <c r="Q535" s="981"/>
      <c r="R535" s="981"/>
      <c r="S535" s="981"/>
      <c r="T535" s="981"/>
      <c r="U535" s="981"/>
      <c r="V535" s="981"/>
      <c r="W535" s="981"/>
      <c r="X535" s="981"/>
      <c r="Y535" s="981"/>
      <c r="Z535" s="981"/>
      <c r="AA535" s="981"/>
      <c r="AB535" s="981"/>
    </row>
    <row r="536">
      <c r="A536" s="981"/>
      <c r="B536" s="991"/>
      <c r="C536" s="981"/>
      <c r="D536" s="981"/>
      <c r="E536" s="981"/>
      <c r="F536" s="981"/>
      <c r="G536" s="981"/>
      <c r="H536" s="981"/>
      <c r="I536" s="981"/>
      <c r="J536" s="981"/>
      <c r="K536" s="981"/>
      <c r="L536" s="981"/>
      <c r="M536" s="981"/>
      <c r="N536" s="981"/>
      <c r="O536" s="981"/>
      <c r="P536" s="981"/>
      <c r="Q536" s="981"/>
      <c r="R536" s="981"/>
      <c r="S536" s="981"/>
      <c r="T536" s="981"/>
      <c r="U536" s="981"/>
      <c r="V536" s="981"/>
      <c r="W536" s="981"/>
      <c r="X536" s="981"/>
      <c r="Y536" s="981"/>
      <c r="Z536" s="981"/>
      <c r="AA536" s="981"/>
      <c r="AB536" s="981"/>
    </row>
    <row r="537">
      <c r="A537" s="981"/>
      <c r="B537" s="991"/>
      <c r="C537" s="981"/>
      <c r="D537" s="981"/>
      <c r="E537" s="981"/>
      <c r="F537" s="981"/>
      <c r="G537" s="981"/>
      <c r="H537" s="981"/>
      <c r="I537" s="981"/>
      <c r="J537" s="981"/>
      <c r="K537" s="981"/>
      <c r="L537" s="981"/>
      <c r="M537" s="981"/>
      <c r="N537" s="981"/>
      <c r="O537" s="981"/>
      <c r="P537" s="981"/>
      <c r="Q537" s="981"/>
      <c r="R537" s="981"/>
      <c r="S537" s="981"/>
      <c r="T537" s="981"/>
      <c r="U537" s="981"/>
      <c r="V537" s="981"/>
      <c r="W537" s="981"/>
      <c r="X537" s="981"/>
      <c r="Y537" s="981"/>
      <c r="Z537" s="981"/>
      <c r="AA537" s="981"/>
      <c r="AB537" s="981"/>
    </row>
    <row r="538">
      <c r="A538" s="981"/>
      <c r="B538" s="991"/>
      <c r="C538" s="981"/>
      <c r="D538" s="981"/>
      <c r="E538" s="981"/>
      <c r="F538" s="981"/>
      <c r="G538" s="981"/>
      <c r="H538" s="981"/>
      <c r="I538" s="981"/>
      <c r="J538" s="981"/>
      <c r="K538" s="981"/>
      <c r="L538" s="981"/>
      <c r="M538" s="981"/>
      <c r="N538" s="981"/>
      <c r="O538" s="981"/>
      <c r="P538" s="981"/>
      <c r="Q538" s="981"/>
      <c r="R538" s="981"/>
      <c r="S538" s="981"/>
      <c r="T538" s="981"/>
      <c r="U538" s="981"/>
      <c r="V538" s="981"/>
      <c r="W538" s="981"/>
      <c r="X538" s="981"/>
      <c r="Y538" s="981"/>
      <c r="Z538" s="981"/>
      <c r="AA538" s="981"/>
      <c r="AB538" s="981"/>
    </row>
    <row r="539">
      <c r="A539" s="981"/>
      <c r="B539" s="991"/>
      <c r="C539" s="981"/>
      <c r="D539" s="981"/>
      <c r="E539" s="981"/>
      <c r="F539" s="981"/>
      <c r="G539" s="981"/>
      <c r="H539" s="981"/>
      <c r="I539" s="981"/>
      <c r="J539" s="981"/>
      <c r="K539" s="981"/>
      <c r="L539" s="981"/>
      <c r="M539" s="981"/>
      <c r="N539" s="981"/>
      <c r="O539" s="981"/>
      <c r="P539" s="981"/>
      <c r="Q539" s="981"/>
      <c r="R539" s="981"/>
      <c r="S539" s="981"/>
      <c r="T539" s="981"/>
      <c r="U539" s="981"/>
      <c r="V539" s="981"/>
      <c r="W539" s="981"/>
      <c r="X539" s="981"/>
      <c r="Y539" s="981"/>
      <c r="Z539" s="981"/>
      <c r="AA539" s="981"/>
      <c r="AB539" s="981"/>
    </row>
    <row r="540">
      <c r="A540" s="981"/>
      <c r="B540" s="991"/>
      <c r="C540" s="981"/>
      <c r="D540" s="981"/>
      <c r="E540" s="981"/>
      <c r="F540" s="981"/>
      <c r="G540" s="981"/>
      <c r="H540" s="981"/>
      <c r="I540" s="981"/>
      <c r="J540" s="981"/>
      <c r="K540" s="981"/>
      <c r="L540" s="981"/>
      <c r="M540" s="981"/>
      <c r="N540" s="981"/>
      <c r="O540" s="981"/>
      <c r="P540" s="981"/>
      <c r="Q540" s="981"/>
      <c r="R540" s="981"/>
      <c r="S540" s="981"/>
      <c r="T540" s="981"/>
      <c r="U540" s="981"/>
      <c r="V540" s="981"/>
      <c r="W540" s="981"/>
      <c r="X540" s="981"/>
      <c r="Y540" s="981"/>
      <c r="Z540" s="981"/>
      <c r="AA540" s="981"/>
      <c r="AB540" s="981"/>
    </row>
    <row r="541">
      <c r="A541" s="981"/>
      <c r="B541" s="991"/>
      <c r="C541" s="981"/>
      <c r="D541" s="981"/>
      <c r="E541" s="981"/>
      <c r="F541" s="981"/>
      <c r="G541" s="981"/>
      <c r="H541" s="981"/>
      <c r="I541" s="981"/>
      <c r="J541" s="981"/>
      <c r="K541" s="981"/>
      <c r="L541" s="981"/>
      <c r="M541" s="981"/>
      <c r="N541" s="981"/>
      <c r="O541" s="981"/>
      <c r="P541" s="981"/>
      <c r="Q541" s="981"/>
      <c r="R541" s="981"/>
      <c r="S541" s="981"/>
      <c r="T541" s="981"/>
      <c r="U541" s="981"/>
      <c r="V541" s="981"/>
      <c r="W541" s="981"/>
      <c r="X541" s="981"/>
      <c r="Y541" s="981"/>
      <c r="Z541" s="981"/>
      <c r="AA541" s="981"/>
      <c r="AB541" s="981"/>
    </row>
    <row r="542">
      <c r="A542" s="981"/>
      <c r="B542" s="991"/>
      <c r="C542" s="981"/>
      <c r="D542" s="981"/>
      <c r="E542" s="981"/>
      <c r="F542" s="981"/>
      <c r="G542" s="981"/>
      <c r="H542" s="981"/>
      <c r="I542" s="981"/>
      <c r="J542" s="981"/>
      <c r="K542" s="981"/>
      <c r="L542" s="981"/>
      <c r="M542" s="981"/>
      <c r="N542" s="981"/>
      <c r="O542" s="981"/>
      <c r="P542" s="981"/>
      <c r="Q542" s="981"/>
      <c r="R542" s="981"/>
      <c r="S542" s="981"/>
      <c r="T542" s="981"/>
      <c r="U542" s="981"/>
      <c r="V542" s="981"/>
      <c r="W542" s="981"/>
      <c r="X542" s="981"/>
      <c r="Y542" s="981"/>
      <c r="Z542" s="981"/>
      <c r="AA542" s="981"/>
      <c r="AB542" s="981"/>
    </row>
    <row r="543">
      <c r="A543" s="981"/>
      <c r="B543" s="991"/>
      <c r="C543" s="981"/>
      <c r="D543" s="981"/>
      <c r="E543" s="981"/>
      <c r="F543" s="981"/>
      <c r="G543" s="981"/>
      <c r="H543" s="981"/>
      <c r="I543" s="981"/>
      <c r="J543" s="981"/>
      <c r="K543" s="981"/>
      <c r="L543" s="981"/>
      <c r="M543" s="981"/>
      <c r="N543" s="981"/>
      <c r="O543" s="981"/>
      <c r="P543" s="981"/>
      <c r="Q543" s="981"/>
      <c r="R543" s="981"/>
      <c r="S543" s="981"/>
      <c r="T543" s="981"/>
      <c r="U543" s="981"/>
      <c r="V543" s="981"/>
      <c r="W543" s="981"/>
      <c r="X543" s="981"/>
      <c r="Y543" s="981"/>
      <c r="Z543" s="981"/>
      <c r="AA543" s="981"/>
      <c r="AB543" s="981"/>
    </row>
    <row r="544">
      <c r="A544" s="981"/>
      <c r="B544" s="991"/>
      <c r="C544" s="981"/>
      <c r="D544" s="981"/>
      <c r="E544" s="981"/>
      <c r="F544" s="981"/>
      <c r="G544" s="981"/>
      <c r="H544" s="981"/>
      <c r="I544" s="981"/>
      <c r="J544" s="981"/>
      <c r="K544" s="981"/>
      <c r="L544" s="981"/>
      <c r="M544" s="981"/>
      <c r="N544" s="981"/>
      <c r="O544" s="981"/>
      <c r="P544" s="981"/>
      <c r="Q544" s="981"/>
      <c r="R544" s="981"/>
      <c r="S544" s="981"/>
      <c r="T544" s="981"/>
      <c r="U544" s="981"/>
      <c r="V544" s="981"/>
      <c r="W544" s="981"/>
      <c r="X544" s="981"/>
      <c r="Y544" s="981"/>
      <c r="Z544" s="981"/>
      <c r="AA544" s="981"/>
      <c r="AB544" s="981"/>
    </row>
    <row r="545">
      <c r="A545" s="981"/>
      <c r="B545" s="991"/>
      <c r="C545" s="981"/>
      <c r="D545" s="981"/>
      <c r="E545" s="981"/>
      <c r="F545" s="981"/>
      <c r="G545" s="981"/>
      <c r="H545" s="981"/>
      <c r="I545" s="981"/>
      <c r="J545" s="981"/>
      <c r="K545" s="981"/>
      <c r="L545" s="981"/>
      <c r="M545" s="981"/>
      <c r="N545" s="981"/>
      <c r="O545" s="981"/>
      <c r="P545" s="981"/>
      <c r="Q545" s="981"/>
      <c r="R545" s="981"/>
      <c r="S545" s="981"/>
      <c r="T545" s="981"/>
      <c r="U545" s="981"/>
      <c r="V545" s="981"/>
      <c r="W545" s="981"/>
      <c r="X545" s="981"/>
      <c r="Y545" s="981"/>
      <c r="Z545" s="981"/>
      <c r="AA545" s="981"/>
      <c r="AB545" s="981"/>
    </row>
    <row r="546">
      <c r="A546" s="981"/>
      <c r="B546" s="991"/>
      <c r="C546" s="981"/>
      <c r="D546" s="981"/>
      <c r="E546" s="981"/>
      <c r="F546" s="981"/>
      <c r="G546" s="981"/>
      <c r="H546" s="981"/>
      <c r="I546" s="981"/>
      <c r="J546" s="981"/>
      <c r="K546" s="981"/>
      <c r="L546" s="981"/>
      <c r="M546" s="981"/>
      <c r="N546" s="981"/>
      <c r="O546" s="981"/>
      <c r="P546" s="981"/>
      <c r="Q546" s="981"/>
      <c r="R546" s="981"/>
      <c r="S546" s="981"/>
      <c r="T546" s="981"/>
      <c r="U546" s="981"/>
      <c r="V546" s="981"/>
      <c r="W546" s="981"/>
      <c r="X546" s="981"/>
      <c r="Y546" s="981"/>
      <c r="Z546" s="981"/>
      <c r="AA546" s="981"/>
      <c r="AB546" s="981"/>
    </row>
    <row r="547">
      <c r="A547" s="981"/>
      <c r="B547" s="991"/>
      <c r="C547" s="981"/>
      <c r="D547" s="981"/>
      <c r="E547" s="981"/>
      <c r="F547" s="981"/>
      <c r="G547" s="981"/>
      <c r="H547" s="981"/>
      <c r="I547" s="981"/>
      <c r="J547" s="981"/>
      <c r="K547" s="981"/>
      <c r="L547" s="981"/>
      <c r="M547" s="981"/>
      <c r="N547" s="981"/>
      <c r="O547" s="981"/>
      <c r="P547" s="981"/>
      <c r="Q547" s="981"/>
      <c r="R547" s="981"/>
      <c r="S547" s="981"/>
      <c r="T547" s="981"/>
      <c r="U547" s="981"/>
      <c r="V547" s="981"/>
      <c r="W547" s="981"/>
      <c r="X547" s="981"/>
      <c r="Y547" s="981"/>
      <c r="Z547" s="981"/>
      <c r="AA547" s="981"/>
      <c r="AB547" s="981"/>
    </row>
    <row r="548">
      <c r="A548" s="981"/>
      <c r="B548" s="991"/>
      <c r="C548" s="981"/>
      <c r="D548" s="981"/>
      <c r="E548" s="981"/>
      <c r="F548" s="981"/>
      <c r="G548" s="981"/>
      <c r="H548" s="981"/>
      <c r="I548" s="981"/>
      <c r="J548" s="981"/>
      <c r="K548" s="981"/>
      <c r="L548" s="981"/>
      <c r="M548" s="981"/>
      <c r="N548" s="981"/>
      <c r="O548" s="981"/>
      <c r="P548" s="981"/>
      <c r="Q548" s="981"/>
      <c r="R548" s="981"/>
      <c r="S548" s="981"/>
      <c r="T548" s="981"/>
      <c r="U548" s="981"/>
      <c r="V548" s="981"/>
      <c r="W548" s="981"/>
      <c r="X548" s="981"/>
      <c r="Y548" s="981"/>
      <c r="Z548" s="981"/>
      <c r="AA548" s="981"/>
      <c r="AB548" s="981"/>
    </row>
    <row r="549">
      <c r="A549" s="981"/>
      <c r="B549" s="991"/>
      <c r="C549" s="981"/>
      <c r="D549" s="981"/>
      <c r="E549" s="981"/>
      <c r="F549" s="981"/>
      <c r="G549" s="981"/>
      <c r="H549" s="981"/>
      <c r="I549" s="981"/>
      <c r="J549" s="981"/>
      <c r="K549" s="981"/>
      <c r="L549" s="981"/>
      <c r="M549" s="981"/>
      <c r="N549" s="981"/>
      <c r="O549" s="981"/>
      <c r="P549" s="981"/>
      <c r="Q549" s="981"/>
      <c r="R549" s="981"/>
      <c r="S549" s="981"/>
      <c r="T549" s="981"/>
      <c r="U549" s="981"/>
      <c r="V549" s="981"/>
      <c r="W549" s="981"/>
      <c r="X549" s="981"/>
      <c r="Y549" s="981"/>
      <c r="Z549" s="981"/>
      <c r="AA549" s="981"/>
      <c r="AB549" s="981"/>
    </row>
    <row r="550">
      <c r="A550" s="981"/>
      <c r="B550" s="991"/>
      <c r="C550" s="981"/>
      <c r="D550" s="981"/>
      <c r="E550" s="981"/>
      <c r="F550" s="981"/>
      <c r="G550" s="981"/>
      <c r="H550" s="981"/>
      <c r="I550" s="981"/>
      <c r="J550" s="981"/>
      <c r="K550" s="981"/>
      <c r="L550" s="981"/>
      <c r="M550" s="981"/>
      <c r="N550" s="981"/>
      <c r="O550" s="981"/>
      <c r="P550" s="981"/>
      <c r="Q550" s="981"/>
      <c r="R550" s="981"/>
      <c r="S550" s="981"/>
      <c r="T550" s="981"/>
      <c r="U550" s="981"/>
      <c r="V550" s="981"/>
      <c r="W550" s="981"/>
      <c r="X550" s="981"/>
      <c r="Y550" s="981"/>
      <c r="Z550" s="981"/>
      <c r="AA550" s="981"/>
      <c r="AB550" s="981"/>
    </row>
    <row r="551">
      <c r="A551" s="981"/>
      <c r="B551" s="991"/>
      <c r="C551" s="981"/>
      <c r="D551" s="981"/>
      <c r="E551" s="981"/>
      <c r="F551" s="981"/>
      <c r="G551" s="981"/>
      <c r="H551" s="981"/>
      <c r="I551" s="981"/>
      <c r="J551" s="981"/>
      <c r="K551" s="981"/>
      <c r="L551" s="981"/>
      <c r="M551" s="981"/>
      <c r="N551" s="981"/>
      <c r="O551" s="981"/>
      <c r="P551" s="981"/>
      <c r="Q551" s="981"/>
      <c r="R551" s="981"/>
      <c r="S551" s="981"/>
      <c r="T551" s="981"/>
      <c r="U551" s="981"/>
      <c r="V551" s="981"/>
      <c r="W551" s="981"/>
      <c r="X551" s="981"/>
      <c r="Y551" s="981"/>
      <c r="Z551" s="981"/>
      <c r="AA551" s="981"/>
      <c r="AB551" s="981"/>
    </row>
    <row r="552">
      <c r="A552" s="981"/>
      <c r="B552" s="991"/>
      <c r="C552" s="981"/>
      <c r="D552" s="981"/>
      <c r="E552" s="981"/>
      <c r="F552" s="981"/>
      <c r="G552" s="981"/>
      <c r="H552" s="981"/>
      <c r="I552" s="981"/>
      <c r="J552" s="981"/>
      <c r="K552" s="981"/>
      <c r="L552" s="981"/>
      <c r="M552" s="981"/>
      <c r="N552" s="981"/>
      <c r="O552" s="981"/>
      <c r="P552" s="981"/>
      <c r="Q552" s="981"/>
      <c r="R552" s="981"/>
      <c r="S552" s="981"/>
      <c r="T552" s="981"/>
      <c r="U552" s="981"/>
      <c r="V552" s="981"/>
      <c r="W552" s="981"/>
      <c r="X552" s="981"/>
      <c r="Y552" s="981"/>
      <c r="Z552" s="981"/>
      <c r="AA552" s="981"/>
      <c r="AB552" s="981"/>
    </row>
    <row r="553">
      <c r="A553" s="981"/>
      <c r="B553" s="991"/>
      <c r="C553" s="981"/>
      <c r="D553" s="981"/>
      <c r="E553" s="981"/>
      <c r="F553" s="981"/>
      <c r="G553" s="981"/>
      <c r="H553" s="981"/>
      <c r="I553" s="981"/>
      <c r="J553" s="981"/>
      <c r="K553" s="981"/>
      <c r="L553" s="981"/>
      <c r="M553" s="981"/>
      <c r="N553" s="981"/>
      <c r="O553" s="981"/>
      <c r="P553" s="981"/>
      <c r="Q553" s="981"/>
      <c r="R553" s="981"/>
      <c r="S553" s="981"/>
      <c r="T553" s="981"/>
      <c r="U553" s="981"/>
      <c r="V553" s="981"/>
      <c r="W553" s="981"/>
      <c r="X553" s="981"/>
      <c r="Y553" s="981"/>
      <c r="Z553" s="981"/>
      <c r="AA553" s="981"/>
      <c r="AB553" s="981"/>
    </row>
    <row r="554">
      <c r="A554" s="981"/>
      <c r="B554" s="991"/>
      <c r="C554" s="981"/>
      <c r="D554" s="981"/>
      <c r="E554" s="981"/>
      <c r="F554" s="981"/>
      <c r="G554" s="981"/>
      <c r="H554" s="981"/>
      <c r="I554" s="981"/>
      <c r="J554" s="981"/>
      <c r="K554" s="981"/>
      <c r="L554" s="981"/>
      <c r="M554" s="981"/>
      <c r="N554" s="981"/>
      <c r="O554" s="981"/>
      <c r="P554" s="981"/>
      <c r="Q554" s="981"/>
      <c r="R554" s="981"/>
      <c r="S554" s="981"/>
      <c r="T554" s="981"/>
      <c r="U554" s="981"/>
      <c r="V554" s="981"/>
      <c r="W554" s="981"/>
      <c r="X554" s="981"/>
      <c r="Y554" s="981"/>
      <c r="Z554" s="981"/>
      <c r="AA554" s="981"/>
      <c r="AB554" s="981"/>
    </row>
    <row r="555">
      <c r="A555" s="981"/>
      <c r="B555" s="991"/>
      <c r="C555" s="981"/>
      <c r="D555" s="981"/>
      <c r="E555" s="981"/>
      <c r="F555" s="981"/>
      <c r="G555" s="981"/>
      <c r="H555" s="981"/>
      <c r="I555" s="981"/>
      <c r="J555" s="981"/>
      <c r="K555" s="981"/>
      <c r="L555" s="981"/>
      <c r="M555" s="981"/>
      <c r="N555" s="981"/>
      <c r="O555" s="981"/>
      <c r="P555" s="981"/>
      <c r="Q555" s="981"/>
      <c r="R555" s="981"/>
      <c r="S555" s="981"/>
      <c r="T555" s="981"/>
      <c r="U555" s="981"/>
      <c r="V555" s="981"/>
      <c r="W555" s="981"/>
      <c r="X555" s="981"/>
      <c r="Y555" s="981"/>
      <c r="Z555" s="981"/>
      <c r="AA555" s="981"/>
      <c r="AB555" s="981"/>
    </row>
    <row r="556">
      <c r="A556" s="981"/>
      <c r="B556" s="991"/>
      <c r="C556" s="981"/>
      <c r="D556" s="981"/>
      <c r="E556" s="981"/>
      <c r="F556" s="981"/>
      <c r="G556" s="981"/>
      <c r="H556" s="981"/>
      <c r="I556" s="981"/>
      <c r="J556" s="981"/>
      <c r="K556" s="981"/>
      <c r="L556" s="981"/>
      <c r="M556" s="981"/>
      <c r="N556" s="981"/>
      <c r="O556" s="981"/>
      <c r="P556" s="981"/>
      <c r="Q556" s="981"/>
      <c r="R556" s="981"/>
      <c r="S556" s="981"/>
      <c r="T556" s="981"/>
      <c r="U556" s="981"/>
      <c r="V556" s="981"/>
      <c r="W556" s="981"/>
      <c r="X556" s="981"/>
      <c r="Y556" s="981"/>
      <c r="Z556" s="981"/>
      <c r="AA556" s="981"/>
      <c r="AB556" s="981"/>
    </row>
    <row r="557">
      <c r="A557" s="981"/>
      <c r="B557" s="991"/>
      <c r="C557" s="981"/>
      <c r="D557" s="981"/>
      <c r="E557" s="981"/>
      <c r="F557" s="981"/>
      <c r="G557" s="981"/>
      <c r="H557" s="981"/>
      <c r="I557" s="981"/>
      <c r="J557" s="981"/>
      <c r="K557" s="981"/>
      <c r="L557" s="981"/>
      <c r="M557" s="981"/>
      <c r="N557" s="981"/>
      <c r="O557" s="981"/>
      <c r="P557" s="981"/>
      <c r="Q557" s="981"/>
      <c r="R557" s="981"/>
      <c r="S557" s="981"/>
      <c r="T557" s="981"/>
      <c r="U557" s="981"/>
      <c r="V557" s="981"/>
      <c r="W557" s="981"/>
      <c r="X557" s="981"/>
      <c r="Y557" s="981"/>
      <c r="Z557" s="981"/>
      <c r="AA557" s="981"/>
      <c r="AB557" s="981"/>
    </row>
    <row r="558">
      <c r="A558" s="981"/>
      <c r="B558" s="991"/>
      <c r="C558" s="981"/>
      <c r="D558" s="981"/>
      <c r="E558" s="981"/>
      <c r="F558" s="981"/>
      <c r="G558" s="981"/>
      <c r="H558" s="981"/>
      <c r="I558" s="981"/>
      <c r="J558" s="981"/>
      <c r="K558" s="981"/>
      <c r="L558" s="981"/>
      <c r="M558" s="981"/>
      <c r="N558" s="981"/>
      <c r="O558" s="981"/>
      <c r="P558" s="981"/>
      <c r="Q558" s="981"/>
      <c r="R558" s="981"/>
      <c r="S558" s="981"/>
      <c r="T558" s="981"/>
      <c r="U558" s="981"/>
      <c r="V558" s="981"/>
      <c r="W558" s="981"/>
      <c r="X558" s="981"/>
      <c r="Y558" s="981"/>
      <c r="Z558" s="981"/>
      <c r="AA558" s="981"/>
      <c r="AB558" s="981"/>
    </row>
    <row r="559">
      <c r="A559" s="981"/>
      <c r="B559" s="991"/>
      <c r="C559" s="981"/>
      <c r="D559" s="981"/>
      <c r="E559" s="981"/>
      <c r="F559" s="981"/>
      <c r="G559" s="981"/>
      <c r="H559" s="981"/>
      <c r="I559" s="981"/>
      <c r="J559" s="981"/>
      <c r="K559" s="981"/>
      <c r="L559" s="981"/>
      <c r="M559" s="981"/>
      <c r="N559" s="981"/>
      <c r="O559" s="981"/>
      <c r="P559" s="981"/>
      <c r="Q559" s="981"/>
      <c r="R559" s="981"/>
      <c r="S559" s="981"/>
      <c r="T559" s="981"/>
      <c r="U559" s="981"/>
      <c r="V559" s="981"/>
      <c r="W559" s="981"/>
      <c r="X559" s="981"/>
      <c r="Y559" s="981"/>
      <c r="Z559" s="981"/>
      <c r="AA559" s="981"/>
      <c r="AB559" s="981"/>
    </row>
    <row r="560">
      <c r="A560" s="981"/>
      <c r="B560" s="991"/>
      <c r="C560" s="981"/>
      <c r="D560" s="981"/>
      <c r="E560" s="981"/>
      <c r="F560" s="981"/>
      <c r="G560" s="981"/>
      <c r="H560" s="981"/>
      <c r="I560" s="981"/>
      <c r="J560" s="981"/>
      <c r="K560" s="981"/>
      <c r="L560" s="981"/>
      <c r="M560" s="981"/>
      <c r="N560" s="981"/>
      <c r="O560" s="981"/>
      <c r="P560" s="981"/>
      <c r="Q560" s="981"/>
      <c r="R560" s="981"/>
      <c r="S560" s="981"/>
      <c r="T560" s="981"/>
      <c r="U560" s="981"/>
      <c r="V560" s="981"/>
      <c r="W560" s="981"/>
      <c r="X560" s="981"/>
      <c r="Y560" s="981"/>
      <c r="Z560" s="981"/>
      <c r="AA560" s="981"/>
      <c r="AB560" s="981"/>
    </row>
    <row r="561">
      <c r="A561" s="981"/>
      <c r="B561" s="991"/>
      <c r="C561" s="981"/>
      <c r="D561" s="981"/>
      <c r="E561" s="981"/>
      <c r="F561" s="981"/>
      <c r="G561" s="981"/>
      <c r="H561" s="981"/>
      <c r="I561" s="981"/>
      <c r="J561" s="981"/>
      <c r="K561" s="981"/>
      <c r="L561" s="981"/>
      <c r="M561" s="981"/>
      <c r="N561" s="981"/>
      <c r="O561" s="981"/>
      <c r="P561" s="981"/>
      <c r="Q561" s="981"/>
      <c r="R561" s="981"/>
      <c r="S561" s="981"/>
      <c r="T561" s="981"/>
      <c r="U561" s="981"/>
      <c r="V561" s="981"/>
      <c r="W561" s="981"/>
      <c r="X561" s="981"/>
      <c r="Y561" s="981"/>
      <c r="Z561" s="981"/>
      <c r="AA561" s="981"/>
      <c r="AB561" s="981"/>
    </row>
    <row r="562">
      <c r="A562" s="981"/>
      <c r="B562" s="991"/>
      <c r="C562" s="981"/>
      <c r="D562" s="981"/>
      <c r="E562" s="981"/>
      <c r="F562" s="981"/>
      <c r="G562" s="981"/>
      <c r="H562" s="981"/>
      <c r="I562" s="981"/>
      <c r="J562" s="981"/>
      <c r="K562" s="981"/>
      <c r="L562" s="981"/>
      <c r="M562" s="981"/>
      <c r="N562" s="981"/>
      <c r="O562" s="981"/>
      <c r="P562" s="981"/>
      <c r="Q562" s="981"/>
      <c r="R562" s="981"/>
      <c r="S562" s="981"/>
      <c r="T562" s="981"/>
      <c r="U562" s="981"/>
      <c r="V562" s="981"/>
      <c r="W562" s="981"/>
      <c r="X562" s="981"/>
      <c r="Y562" s="981"/>
      <c r="Z562" s="981"/>
      <c r="AA562" s="981"/>
      <c r="AB562" s="981"/>
    </row>
    <row r="563">
      <c r="A563" s="981"/>
      <c r="B563" s="991"/>
      <c r="C563" s="981"/>
      <c r="D563" s="981"/>
      <c r="E563" s="981"/>
      <c r="F563" s="981"/>
      <c r="G563" s="981"/>
      <c r="H563" s="981"/>
      <c r="I563" s="981"/>
      <c r="J563" s="981"/>
      <c r="K563" s="981"/>
      <c r="L563" s="981"/>
      <c r="M563" s="981"/>
      <c r="N563" s="981"/>
      <c r="O563" s="981"/>
      <c r="P563" s="981"/>
      <c r="Q563" s="981"/>
      <c r="R563" s="981"/>
      <c r="S563" s="981"/>
      <c r="T563" s="981"/>
      <c r="U563" s="981"/>
      <c r="V563" s="981"/>
      <c r="W563" s="981"/>
      <c r="X563" s="981"/>
      <c r="Y563" s="981"/>
      <c r="Z563" s="981"/>
      <c r="AA563" s="981"/>
      <c r="AB563" s="981"/>
    </row>
    <row r="564">
      <c r="A564" s="981"/>
      <c r="B564" s="991"/>
      <c r="C564" s="981"/>
      <c r="D564" s="981"/>
      <c r="E564" s="981"/>
      <c r="F564" s="981"/>
      <c r="G564" s="981"/>
      <c r="H564" s="981"/>
      <c r="I564" s="981"/>
      <c r="J564" s="981"/>
      <c r="K564" s="981"/>
      <c r="L564" s="981"/>
      <c r="M564" s="981"/>
      <c r="N564" s="981"/>
      <c r="O564" s="981"/>
      <c r="P564" s="981"/>
      <c r="Q564" s="981"/>
      <c r="R564" s="981"/>
      <c r="S564" s="981"/>
      <c r="T564" s="981"/>
      <c r="U564" s="981"/>
      <c r="V564" s="981"/>
      <c r="W564" s="981"/>
      <c r="X564" s="981"/>
      <c r="Y564" s="981"/>
      <c r="Z564" s="981"/>
      <c r="AA564" s="981"/>
      <c r="AB564" s="981"/>
    </row>
    <row r="565">
      <c r="A565" s="981"/>
      <c r="B565" s="991"/>
      <c r="C565" s="981"/>
      <c r="D565" s="981"/>
      <c r="E565" s="981"/>
      <c r="F565" s="981"/>
      <c r="G565" s="981"/>
      <c r="H565" s="981"/>
      <c r="I565" s="981"/>
      <c r="J565" s="981"/>
      <c r="K565" s="981"/>
      <c r="L565" s="981"/>
      <c r="M565" s="981"/>
      <c r="N565" s="981"/>
      <c r="O565" s="981"/>
      <c r="P565" s="981"/>
      <c r="Q565" s="981"/>
      <c r="R565" s="981"/>
      <c r="S565" s="981"/>
      <c r="T565" s="981"/>
      <c r="U565" s="981"/>
      <c r="V565" s="981"/>
      <c r="W565" s="981"/>
      <c r="X565" s="981"/>
      <c r="Y565" s="981"/>
      <c r="Z565" s="981"/>
      <c r="AA565" s="981"/>
      <c r="AB565" s="981"/>
    </row>
    <row r="566">
      <c r="A566" s="981"/>
      <c r="B566" s="991"/>
      <c r="C566" s="981"/>
      <c r="D566" s="981"/>
      <c r="E566" s="981"/>
      <c r="F566" s="981"/>
      <c r="G566" s="981"/>
      <c r="H566" s="981"/>
      <c r="I566" s="981"/>
      <c r="J566" s="981"/>
      <c r="K566" s="981"/>
      <c r="L566" s="981"/>
      <c r="M566" s="981"/>
      <c r="N566" s="981"/>
      <c r="O566" s="981"/>
      <c r="P566" s="981"/>
      <c r="Q566" s="981"/>
      <c r="R566" s="981"/>
      <c r="S566" s="981"/>
      <c r="T566" s="981"/>
      <c r="U566" s="981"/>
      <c r="V566" s="981"/>
      <c r="W566" s="981"/>
      <c r="X566" s="981"/>
      <c r="Y566" s="981"/>
      <c r="Z566" s="981"/>
      <c r="AA566" s="981"/>
      <c r="AB566" s="981"/>
    </row>
    <row r="567">
      <c r="A567" s="981"/>
      <c r="B567" s="991"/>
      <c r="C567" s="981"/>
      <c r="D567" s="981"/>
      <c r="E567" s="981"/>
      <c r="F567" s="981"/>
      <c r="G567" s="981"/>
      <c r="H567" s="981"/>
      <c r="I567" s="981"/>
      <c r="J567" s="981"/>
      <c r="K567" s="981"/>
      <c r="L567" s="981"/>
      <c r="M567" s="981"/>
      <c r="N567" s="981"/>
      <c r="O567" s="981"/>
      <c r="P567" s="981"/>
      <c r="Q567" s="981"/>
      <c r="R567" s="981"/>
      <c r="S567" s="981"/>
      <c r="T567" s="981"/>
      <c r="U567" s="981"/>
      <c r="V567" s="981"/>
      <c r="W567" s="981"/>
      <c r="X567" s="981"/>
      <c r="Y567" s="981"/>
      <c r="Z567" s="981"/>
      <c r="AA567" s="981"/>
      <c r="AB567" s="981"/>
    </row>
    <row r="568">
      <c r="A568" s="981"/>
      <c r="B568" s="991"/>
      <c r="C568" s="981"/>
      <c r="D568" s="981"/>
      <c r="E568" s="981"/>
      <c r="F568" s="981"/>
      <c r="G568" s="981"/>
      <c r="H568" s="981"/>
      <c r="I568" s="981"/>
      <c r="J568" s="981"/>
      <c r="K568" s="981"/>
      <c r="L568" s="981"/>
      <c r="M568" s="981"/>
      <c r="N568" s="981"/>
      <c r="O568" s="981"/>
      <c r="P568" s="981"/>
      <c r="Q568" s="981"/>
      <c r="R568" s="981"/>
      <c r="S568" s="981"/>
      <c r="T568" s="981"/>
      <c r="U568" s="981"/>
      <c r="V568" s="981"/>
      <c r="W568" s="981"/>
      <c r="X568" s="981"/>
      <c r="Y568" s="981"/>
      <c r="Z568" s="981"/>
      <c r="AA568" s="981"/>
      <c r="AB568" s="981"/>
    </row>
    <row r="569">
      <c r="A569" s="981"/>
      <c r="B569" s="991"/>
      <c r="C569" s="981"/>
      <c r="D569" s="981"/>
      <c r="E569" s="981"/>
      <c r="F569" s="981"/>
      <c r="G569" s="981"/>
      <c r="H569" s="981"/>
      <c r="I569" s="981"/>
      <c r="J569" s="981"/>
      <c r="K569" s="981"/>
      <c r="L569" s="981"/>
      <c r="M569" s="981"/>
      <c r="N569" s="981"/>
      <c r="O569" s="981"/>
      <c r="P569" s="981"/>
      <c r="Q569" s="981"/>
      <c r="R569" s="981"/>
      <c r="S569" s="981"/>
      <c r="T569" s="981"/>
      <c r="U569" s="981"/>
      <c r="V569" s="981"/>
      <c r="W569" s="981"/>
      <c r="X569" s="981"/>
      <c r="Y569" s="981"/>
      <c r="Z569" s="981"/>
      <c r="AA569" s="981"/>
      <c r="AB569" s="981"/>
    </row>
    <row r="570">
      <c r="A570" s="981"/>
      <c r="B570" s="991"/>
      <c r="C570" s="981"/>
      <c r="D570" s="981"/>
      <c r="E570" s="981"/>
      <c r="F570" s="981"/>
      <c r="G570" s="981"/>
      <c r="H570" s="981"/>
      <c r="I570" s="981"/>
      <c r="J570" s="981"/>
      <c r="K570" s="981"/>
      <c r="L570" s="981"/>
      <c r="M570" s="981"/>
      <c r="N570" s="981"/>
      <c r="O570" s="981"/>
      <c r="P570" s="981"/>
      <c r="Q570" s="981"/>
      <c r="R570" s="981"/>
      <c r="S570" s="981"/>
      <c r="T570" s="981"/>
      <c r="U570" s="981"/>
      <c r="V570" s="981"/>
      <c r="W570" s="981"/>
      <c r="X570" s="981"/>
      <c r="Y570" s="981"/>
      <c r="Z570" s="981"/>
      <c r="AA570" s="981"/>
      <c r="AB570" s="981"/>
    </row>
    <row r="571">
      <c r="A571" s="981"/>
      <c r="B571" s="991"/>
      <c r="C571" s="981"/>
      <c r="D571" s="981"/>
      <c r="E571" s="981"/>
      <c r="F571" s="981"/>
      <c r="G571" s="981"/>
      <c r="H571" s="981"/>
      <c r="I571" s="981"/>
      <c r="J571" s="981"/>
      <c r="K571" s="981"/>
      <c r="L571" s="981"/>
      <c r="M571" s="981"/>
      <c r="N571" s="981"/>
      <c r="O571" s="981"/>
      <c r="P571" s="981"/>
      <c r="Q571" s="981"/>
      <c r="R571" s="981"/>
      <c r="S571" s="981"/>
      <c r="T571" s="981"/>
      <c r="U571" s="981"/>
      <c r="V571" s="981"/>
      <c r="W571" s="981"/>
      <c r="X571" s="981"/>
      <c r="Y571" s="981"/>
      <c r="Z571" s="981"/>
      <c r="AA571" s="981"/>
      <c r="AB571" s="981"/>
    </row>
    <row r="572">
      <c r="A572" s="981"/>
      <c r="B572" s="991"/>
      <c r="C572" s="981"/>
      <c r="D572" s="981"/>
      <c r="E572" s="981"/>
      <c r="F572" s="981"/>
      <c r="G572" s="981"/>
      <c r="H572" s="981"/>
      <c r="I572" s="981"/>
      <c r="J572" s="981"/>
      <c r="K572" s="981"/>
      <c r="L572" s="981"/>
      <c r="M572" s="981"/>
      <c r="N572" s="981"/>
      <c r="O572" s="981"/>
      <c r="P572" s="981"/>
      <c r="Q572" s="981"/>
      <c r="R572" s="981"/>
      <c r="S572" s="981"/>
      <c r="T572" s="981"/>
      <c r="U572" s="981"/>
      <c r="V572" s="981"/>
      <c r="W572" s="981"/>
      <c r="X572" s="981"/>
      <c r="Y572" s="981"/>
      <c r="Z572" s="981"/>
      <c r="AA572" s="981"/>
      <c r="AB572" s="981"/>
    </row>
    <row r="573">
      <c r="A573" s="981"/>
      <c r="B573" s="991"/>
      <c r="C573" s="981"/>
      <c r="D573" s="981"/>
      <c r="E573" s="981"/>
      <c r="F573" s="981"/>
      <c r="G573" s="981"/>
      <c r="H573" s="981"/>
      <c r="I573" s="981"/>
      <c r="J573" s="981"/>
      <c r="K573" s="981"/>
      <c r="L573" s="981"/>
      <c r="M573" s="981"/>
      <c r="N573" s="981"/>
      <c r="O573" s="981"/>
      <c r="P573" s="981"/>
      <c r="Q573" s="981"/>
      <c r="R573" s="981"/>
      <c r="S573" s="981"/>
      <c r="T573" s="981"/>
      <c r="U573" s="981"/>
      <c r="V573" s="981"/>
      <c r="W573" s="981"/>
      <c r="X573" s="981"/>
      <c r="Y573" s="981"/>
      <c r="Z573" s="981"/>
      <c r="AA573" s="981"/>
      <c r="AB573" s="981"/>
    </row>
    <row r="574">
      <c r="A574" s="981"/>
      <c r="B574" s="991"/>
      <c r="C574" s="981"/>
      <c r="D574" s="981"/>
      <c r="E574" s="981"/>
      <c r="F574" s="981"/>
      <c r="G574" s="981"/>
      <c r="H574" s="981"/>
      <c r="I574" s="981"/>
      <c r="J574" s="981"/>
      <c r="K574" s="981"/>
      <c r="L574" s="981"/>
      <c r="M574" s="981"/>
      <c r="N574" s="981"/>
      <c r="O574" s="981"/>
      <c r="P574" s="981"/>
      <c r="Q574" s="981"/>
      <c r="R574" s="981"/>
      <c r="S574" s="981"/>
      <c r="T574" s="981"/>
      <c r="U574" s="981"/>
      <c r="V574" s="981"/>
      <c r="W574" s="981"/>
      <c r="X574" s="981"/>
      <c r="Y574" s="981"/>
      <c r="Z574" s="981"/>
      <c r="AA574" s="981"/>
      <c r="AB574" s="981"/>
    </row>
    <row r="575">
      <c r="A575" s="981"/>
      <c r="B575" s="991"/>
      <c r="C575" s="981"/>
      <c r="D575" s="981"/>
      <c r="E575" s="981"/>
      <c r="F575" s="981"/>
      <c r="G575" s="981"/>
      <c r="H575" s="981"/>
      <c r="I575" s="981"/>
      <c r="J575" s="981"/>
      <c r="K575" s="981"/>
      <c r="L575" s="981"/>
      <c r="M575" s="981"/>
      <c r="N575" s="981"/>
      <c r="O575" s="981"/>
      <c r="P575" s="981"/>
      <c r="Q575" s="981"/>
      <c r="R575" s="981"/>
      <c r="S575" s="981"/>
      <c r="T575" s="981"/>
      <c r="U575" s="981"/>
      <c r="V575" s="981"/>
      <c r="W575" s="981"/>
      <c r="X575" s="981"/>
      <c r="Y575" s="981"/>
      <c r="Z575" s="981"/>
      <c r="AA575" s="981"/>
      <c r="AB575" s="981"/>
    </row>
    <row r="576">
      <c r="A576" s="981"/>
      <c r="B576" s="991"/>
      <c r="C576" s="981"/>
      <c r="D576" s="981"/>
      <c r="E576" s="981"/>
      <c r="F576" s="981"/>
      <c r="G576" s="981"/>
      <c r="H576" s="981"/>
      <c r="I576" s="981"/>
      <c r="J576" s="981"/>
      <c r="K576" s="981"/>
      <c r="L576" s="981"/>
      <c r="M576" s="981"/>
      <c r="N576" s="981"/>
      <c r="O576" s="981"/>
      <c r="P576" s="981"/>
      <c r="Q576" s="981"/>
      <c r="R576" s="981"/>
      <c r="S576" s="981"/>
      <c r="T576" s="981"/>
      <c r="U576" s="981"/>
      <c r="V576" s="981"/>
      <c r="W576" s="981"/>
      <c r="X576" s="981"/>
      <c r="Y576" s="981"/>
      <c r="Z576" s="981"/>
      <c r="AA576" s="981"/>
      <c r="AB576" s="981"/>
    </row>
    <row r="577">
      <c r="A577" s="981"/>
      <c r="B577" s="991"/>
      <c r="C577" s="981"/>
      <c r="D577" s="981"/>
      <c r="E577" s="981"/>
      <c r="F577" s="981"/>
      <c r="G577" s="981"/>
      <c r="H577" s="981"/>
      <c r="I577" s="981"/>
      <c r="J577" s="981"/>
      <c r="K577" s="981"/>
      <c r="L577" s="981"/>
      <c r="M577" s="981"/>
      <c r="N577" s="981"/>
      <c r="O577" s="981"/>
      <c r="P577" s="981"/>
      <c r="Q577" s="981"/>
      <c r="R577" s="981"/>
      <c r="S577" s="981"/>
      <c r="T577" s="981"/>
      <c r="U577" s="981"/>
      <c r="V577" s="981"/>
      <c r="W577" s="981"/>
      <c r="X577" s="981"/>
      <c r="Y577" s="981"/>
      <c r="Z577" s="981"/>
      <c r="AA577" s="981"/>
      <c r="AB577" s="981"/>
    </row>
    <row r="578">
      <c r="A578" s="981"/>
      <c r="B578" s="991"/>
      <c r="C578" s="981"/>
      <c r="D578" s="981"/>
      <c r="E578" s="981"/>
      <c r="F578" s="981"/>
      <c r="G578" s="981"/>
      <c r="H578" s="981"/>
      <c r="I578" s="981"/>
      <c r="J578" s="981"/>
      <c r="K578" s="981"/>
      <c r="L578" s="981"/>
      <c r="M578" s="981"/>
      <c r="N578" s="981"/>
      <c r="O578" s="981"/>
      <c r="P578" s="981"/>
      <c r="Q578" s="981"/>
      <c r="R578" s="981"/>
      <c r="S578" s="981"/>
      <c r="T578" s="981"/>
      <c r="U578" s="981"/>
      <c r="V578" s="981"/>
      <c r="W578" s="981"/>
      <c r="X578" s="981"/>
      <c r="Y578" s="981"/>
      <c r="Z578" s="981"/>
      <c r="AA578" s="981"/>
      <c r="AB578" s="981"/>
    </row>
    <row r="579">
      <c r="A579" s="981"/>
      <c r="B579" s="991"/>
      <c r="C579" s="981"/>
      <c r="D579" s="981"/>
      <c r="E579" s="981"/>
      <c r="F579" s="981"/>
      <c r="G579" s="981"/>
      <c r="H579" s="981"/>
      <c r="I579" s="981"/>
      <c r="J579" s="981"/>
      <c r="K579" s="981"/>
      <c r="L579" s="981"/>
      <c r="M579" s="981"/>
      <c r="N579" s="981"/>
      <c r="O579" s="981"/>
      <c r="P579" s="981"/>
      <c r="Q579" s="981"/>
      <c r="R579" s="981"/>
      <c r="S579" s="981"/>
      <c r="T579" s="981"/>
      <c r="U579" s="981"/>
      <c r="V579" s="981"/>
      <c r="W579" s="981"/>
      <c r="X579" s="981"/>
      <c r="Y579" s="981"/>
      <c r="Z579" s="981"/>
      <c r="AA579" s="981"/>
      <c r="AB579" s="981"/>
    </row>
    <row r="580">
      <c r="A580" s="981"/>
      <c r="B580" s="991"/>
      <c r="C580" s="981"/>
      <c r="D580" s="981"/>
      <c r="E580" s="981"/>
      <c r="F580" s="981"/>
      <c r="G580" s="981"/>
      <c r="H580" s="981"/>
      <c r="I580" s="981"/>
      <c r="J580" s="981"/>
      <c r="K580" s="981"/>
      <c r="L580" s="981"/>
      <c r="M580" s="981"/>
      <c r="N580" s="981"/>
      <c r="O580" s="981"/>
      <c r="P580" s="981"/>
      <c r="Q580" s="981"/>
      <c r="R580" s="981"/>
      <c r="S580" s="981"/>
      <c r="T580" s="981"/>
      <c r="U580" s="981"/>
      <c r="V580" s="981"/>
      <c r="W580" s="981"/>
      <c r="X580" s="981"/>
      <c r="Y580" s="981"/>
      <c r="Z580" s="981"/>
      <c r="AA580" s="981"/>
      <c r="AB580" s="981"/>
    </row>
    <row r="581">
      <c r="A581" s="981"/>
      <c r="B581" s="991"/>
      <c r="C581" s="981"/>
      <c r="D581" s="981"/>
      <c r="E581" s="981"/>
      <c r="F581" s="981"/>
      <c r="G581" s="981"/>
      <c r="H581" s="981"/>
      <c r="I581" s="981"/>
      <c r="J581" s="981"/>
      <c r="K581" s="981"/>
      <c r="L581" s="981"/>
      <c r="M581" s="981"/>
      <c r="N581" s="981"/>
      <c r="O581" s="981"/>
      <c r="P581" s="981"/>
      <c r="Q581" s="981"/>
      <c r="R581" s="981"/>
      <c r="S581" s="981"/>
      <c r="T581" s="981"/>
      <c r="U581" s="981"/>
      <c r="V581" s="981"/>
      <c r="W581" s="981"/>
      <c r="X581" s="981"/>
      <c r="Y581" s="981"/>
      <c r="Z581" s="981"/>
      <c r="AA581" s="981"/>
      <c r="AB581" s="981"/>
    </row>
    <row r="582">
      <c r="A582" s="981"/>
      <c r="B582" s="991"/>
      <c r="C582" s="981"/>
      <c r="D582" s="981"/>
      <c r="E582" s="981"/>
      <c r="F582" s="981"/>
      <c r="G582" s="981"/>
      <c r="H582" s="981"/>
      <c r="I582" s="981"/>
      <c r="J582" s="981"/>
      <c r="K582" s="981"/>
      <c r="L582" s="981"/>
      <c r="M582" s="981"/>
      <c r="N582" s="981"/>
      <c r="O582" s="981"/>
      <c r="P582" s="981"/>
      <c r="Q582" s="981"/>
      <c r="R582" s="981"/>
      <c r="S582" s="981"/>
      <c r="T582" s="981"/>
      <c r="U582" s="981"/>
      <c r="V582" s="981"/>
      <c r="W582" s="981"/>
      <c r="X582" s="981"/>
      <c r="Y582" s="981"/>
      <c r="Z582" s="981"/>
      <c r="AA582" s="981"/>
      <c r="AB582" s="981"/>
    </row>
    <row r="583">
      <c r="A583" s="981"/>
      <c r="B583" s="991"/>
      <c r="C583" s="981"/>
      <c r="D583" s="981"/>
      <c r="E583" s="981"/>
      <c r="F583" s="981"/>
      <c r="G583" s="981"/>
      <c r="H583" s="981"/>
      <c r="I583" s="981"/>
      <c r="J583" s="981"/>
      <c r="K583" s="981"/>
      <c r="L583" s="981"/>
      <c r="M583" s="981"/>
      <c r="N583" s="981"/>
      <c r="O583" s="981"/>
      <c r="P583" s="981"/>
      <c r="Q583" s="981"/>
      <c r="R583" s="981"/>
      <c r="S583" s="981"/>
      <c r="T583" s="981"/>
      <c r="U583" s="981"/>
      <c r="V583" s="981"/>
      <c r="W583" s="981"/>
      <c r="X583" s="981"/>
      <c r="Y583" s="981"/>
      <c r="Z583" s="981"/>
      <c r="AA583" s="981"/>
      <c r="AB583" s="981"/>
    </row>
    <row r="584">
      <c r="A584" s="981"/>
      <c r="B584" s="991"/>
      <c r="C584" s="981"/>
      <c r="D584" s="981"/>
      <c r="E584" s="981"/>
      <c r="F584" s="981"/>
      <c r="G584" s="981"/>
      <c r="H584" s="981"/>
      <c r="I584" s="981"/>
      <c r="J584" s="981"/>
      <c r="K584" s="981"/>
      <c r="L584" s="981"/>
      <c r="M584" s="981"/>
      <c r="N584" s="981"/>
      <c r="O584" s="981"/>
      <c r="P584" s="981"/>
      <c r="Q584" s="981"/>
      <c r="R584" s="981"/>
      <c r="S584" s="981"/>
      <c r="T584" s="981"/>
      <c r="U584" s="981"/>
      <c r="V584" s="981"/>
      <c r="W584" s="981"/>
      <c r="X584" s="981"/>
      <c r="Y584" s="981"/>
      <c r="Z584" s="981"/>
      <c r="AA584" s="981"/>
      <c r="AB584" s="981"/>
    </row>
    <row r="585">
      <c r="A585" s="981"/>
      <c r="B585" s="991"/>
      <c r="C585" s="981"/>
      <c r="D585" s="981"/>
      <c r="E585" s="981"/>
      <c r="F585" s="981"/>
      <c r="G585" s="981"/>
      <c r="H585" s="981"/>
      <c r="I585" s="981"/>
      <c r="J585" s="981"/>
      <c r="K585" s="981"/>
      <c r="L585" s="981"/>
      <c r="M585" s="981"/>
      <c r="N585" s="981"/>
      <c r="O585" s="981"/>
      <c r="P585" s="981"/>
      <c r="Q585" s="981"/>
      <c r="R585" s="981"/>
      <c r="S585" s="981"/>
      <c r="T585" s="981"/>
      <c r="U585" s="981"/>
      <c r="V585" s="981"/>
      <c r="W585" s="981"/>
      <c r="X585" s="981"/>
      <c r="Y585" s="981"/>
      <c r="Z585" s="981"/>
      <c r="AA585" s="981"/>
      <c r="AB585" s="981"/>
    </row>
    <row r="586">
      <c r="A586" s="981"/>
      <c r="B586" s="991"/>
      <c r="C586" s="981"/>
      <c r="D586" s="981"/>
      <c r="E586" s="981"/>
      <c r="F586" s="981"/>
      <c r="G586" s="981"/>
      <c r="H586" s="981"/>
      <c r="I586" s="981"/>
      <c r="J586" s="981"/>
      <c r="K586" s="981"/>
      <c r="L586" s="981"/>
      <c r="M586" s="981"/>
      <c r="N586" s="981"/>
      <c r="O586" s="981"/>
      <c r="P586" s="981"/>
      <c r="Q586" s="981"/>
      <c r="R586" s="981"/>
      <c r="S586" s="981"/>
      <c r="T586" s="981"/>
      <c r="U586" s="981"/>
      <c r="V586" s="981"/>
      <c r="W586" s="981"/>
      <c r="X586" s="981"/>
      <c r="Y586" s="981"/>
      <c r="Z586" s="981"/>
      <c r="AA586" s="981"/>
      <c r="AB586" s="981"/>
    </row>
    <row r="587">
      <c r="A587" s="981"/>
      <c r="B587" s="991"/>
      <c r="C587" s="981"/>
      <c r="D587" s="981"/>
      <c r="E587" s="981"/>
      <c r="F587" s="981"/>
      <c r="G587" s="981"/>
      <c r="H587" s="981"/>
      <c r="I587" s="981"/>
      <c r="J587" s="981"/>
      <c r="K587" s="981"/>
      <c r="L587" s="981"/>
      <c r="M587" s="981"/>
      <c r="N587" s="981"/>
      <c r="O587" s="981"/>
      <c r="P587" s="981"/>
      <c r="Q587" s="981"/>
      <c r="R587" s="981"/>
      <c r="S587" s="981"/>
      <c r="T587" s="981"/>
      <c r="U587" s="981"/>
      <c r="V587" s="981"/>
      <c r="W587" s="981"/>
      <c r="X587" s="981"/>
      <c r="Y587" s="981"/>
      <c r="Z587" s="981"/>
      <c r="AA587" s="981"/>
      <c r="AB587" s="981"/>
    </row>
    <row r="588">
      <c r="A588" s="981"/>
      <c r="B588" s="991"/>
      <c r="C588" s="981"/>
      <c r="D588" s="981"/>
      <c r="E588" s="981"/>
      <c r="F588" s="981"/>
      <c r="G588" s="981"/>
      <c r="H588" s="981"/>
      <c r="I588" s="981"/>
      <c r="J588" s="981"/>
      <c r="K588" s="981"/>
      <c r="L588" s="981"/>
      <c r="M588" s="981"/>
      <c r="N588" s="981"/>
      <c r="O588" s="981"/>
      <c r="P588" s="981"/>
      <c r="Q588" s="981"/>
      <c r="R588" s="981"/>
      <c r="S588" s="981"/>
      <c r="T588" s="981"/>
      <c r="U588" s="981"/>
      <c r="V588" s="981"/>
      <c r="W588" s="981"/>
      <c r="X588" s="981"/>
      <c r="Y588" s="981"/>
      <c r="Z588" s="981"/>
      <c r="AA588" s="981"/>
      <c r="AB588" s="981"/>
    </row>
    <row r="589">
      <c r="A589" s="981"/>
      <c r="B589" s="991"/>
      <c r="C589" s="981"/>
      <c r="D589" s="981"/>
      <c r="E589" s="981"/>
      <c r="F589" s="981"/>
      <c r="G589" s="981"/>
      <c r="H589" s="981"/>
      <c r="I589" s="981"/>
      <c r="J589" s="981"/>
      <c r="K589" s="981"/>
      <c r="L589" s="981"/>
      <c r="M589" s="981"/>
      <c r="N589" s="981"/>
      <c r="O589" s="981"/>
      <c r="P589" s="981"/>
      <c r="Q589" s="981"/>
      <c r="R589" s="981"/>
      <c r="S589" s="981"/>
      <c r="T589" s="981"/>
      <c r="U589" s="981"/>
      <c r="V589" s="981"/>
      <c r="W589" s="981"/>
      <c r="X589" s="981"/>
      <c r="Y589" s="981"/>
      <c r="Z589" s="981"/>
      <c r="AA589" s="981"/>
      <c r="AB589" s="981"/>
    </row>
    <row r="590">
      <c r="A590" s="981"/>
      <c r="B590" s="991"/>
      <c r="C590" s="981"/>
      <c r="D590" s="981"/>
      <c r="E590" s="981"/>
      <c r="F590" s="981"/>
      <c r="G590" s="981"/>
      <c r="H590" s="981"/>
      <c r="I590" s="981"/>
      <c r="J590" s="981"/>
      <c r="K590" s="981"/>
      <c r="L590" s="981"/>
      <c r="M590" s="981"/>
      <c r="N590" s="981"/>
      <c r="O590" s="981"/>
      <c r="P590" s="981"/>
      <c r="Q590" s="981"/>
      <c r="R590" s="981"/>
      <c r="S590" s="981"/>
      <c r="T590" s="981"/>
      <c r="U590" s="981"/>
      <c r="V590" s="981"/>
      <c r="W590" s="981"/>
      <c r="X590" s="981"/>
      <c r="Y590" s="981"/>
      <c r="Z590" s="981"/>
      <c r="AA590" s="981"/>
      <c r="AB590" s="981"/>
    </row>
    <row r="591">
      <c r="A591" s="981"/>
      <c r="B591" s="991"/>
      <c r="C591" s="981"/>
      <c r="D591" s="981"/>
      <c r="E591" s="981"/>
      <c r="F591" s="981"/>
      <c r="G591" s="981"/>
      <c r="H591" s="981"/>
      <c r="I591" s="981"/>
      <c r="J591" s="981"/>
      <c r="K591" s="981"/>
      <c r="L591" s="981"/>
      <c r="M591" s="981"/>
      <c r="N591" s="981"/>
      <c r="O591" s="981"/>
      <c r="P591" s="981"/>
      <c r="Q591" s="981"/>
      <c r="R591" s="981"/>
      <c r="S591" s="981"/>
      <c r="T591" s="981"/>
      <c r="U591" s="981"/>
      <c r="V591" s="981"/>
      <c r="W591" s="981"/>
      <c r="X591" s="981"/>
      <c r="Y591" s="981"/>
      <c r="Z591" s="981"/>
      <c r="AA591" s="981"/>
      <c r="AB591" s="981"/>
    </row>
    <row r="592">
      <c r="A592" s="981"/>
      <c r="B592" s="991"/>
      <c r="C592" s="981"/>
      <c r="D592" s="981"/>
      <c r="E592" s="981"/>
      <c r="F592" s="981"/>
      <c r="G592" s="981"/>
      <c r="H592" s="981"/>
      <c r="I592" s="981"/>
      <c r="J592" s="981"/>
      <c r="K592" s="981"/>
      <c r="L592" s="981"/>
      <c r="M592" s="981"/>
      <c r="N592" s="981"/>
      <c r="O592" s="981"/>
      <c r="P592" s="981"/>
      <c r="Q592" s="981"/>
      <c r="R592" s="981"/>
      <c r="S592" s="981"/>
      <c r="T592" s="981"/>
      <c r="U592" s="981"/>
      <c r="V592" s="981"/>
      <c r="W592" s="981"/>
      <c r="X592" s="981"/>
      <c r="Y592" s="981"/>
      <c r="Z592" s="981"/>
      <c r="AA592" s="981"/>
      <c r="AB592" s="981"/>
    </row>
    <row r="593">
      <c r="A593" s="981"/>
      <c r="B593" s="991"/>
      <c r="C593" s="981"/>
      <c r="D593" s="981"/>
      <c r="E593" s="981"/>
      <c r="F593" s="981"/>
      <c r="G593" s="981"/>
      <c r="H593" s="981"/>
      <c r="I593" s="981"/>
      <c r="J593" s="981"/>
      <c r="K593" s="981"/>
      <c r="L593" s="981"/>
      <c r="M593" s="981"/>
      <c r="N593" s="981"/>
      <c r="O593" s="981"/>
      <c r="P593" s="981"/>
      <c r="Q593" s="981"/>
      <c r="R593" s="981"/>
      <c r="S593" s="981"/>
      <c r="T593" s="981"/>
      <c r="U593" s="981"/>
      <c r="V593" s="981"/>
      <c r="W593" s="981"/>
      <c r="X593" s="981"/>
      <c r="Y593" s="981"/>
      <c r="Z593" s="981"/>
      <c r="AA593" s="981"/>
      <c r="AB593" s="981"/>
    </row>
    <row r="594">
      <c r="A594" s="981"/>
      <c r="B594" s="991"/>
      <c r="C594" s="981"/>
      <c r="D594" s="981"/>
      <c r="E594" s="981"/>
      <c r="F594" s="981"/>
      <c r="G594" s="981"/>
      <c r="H594" s="981"/>
      <c r="I594" s="981"/>
      <c r="J594" s="981"/>
      <c r="K594" s="981"/>
      <c r="L594" s="981"/>
      <c r="M594" s="981"/>
      <c r="N594" s="981"/>
      <c r="O594" s="981"/>
      <c r="P594" s="981"/>
      <c r="Q594" s="981"/>
      <c r="R594" s="981"/>
      <c r="S594" s="981"/>
      <c r="T594" s="981"/>
      <c r="U594" s="981"/>
      <c r="V594" s="981"/>
      <c r="W594" s="981"/>
      <c r="X594" s="981"/>
      <c r="Y594" s="981"/>
      <c r="Z594" s="981"/>
      <c r="AA594" s="981"/>
      <c r="AB594" s="981"/>
    </row>
    <row r="595">
      <c r="A595" s="981"/>
      <c r="B595" s="991"/>
      <c r="C595" s="981"/>
      <c r="D595" s="981"/>
      <c r="E595" s="981"/>
      <c r="F595" s="981"/>
      <c r="G595" s="981"/>
      <c r="H595" s="981"/>
      <c r="I595" s="981"/>
      <c r="J595" s="981"/>
      <c r="K595" s="981"/>
      <c r="L595" s="981"/>
      <c r="M595" s="981"/>
      <c r="N595" s="981"/>
      <c r="O595" s="981"/>
      <c r="P595" s="981"/>
      <c r="Q595" s="981"/>
      <c r="R595" s="981"/>
      <c r="S595" s="981"/>
      <c r="T595" s="981"/>
      <c r="U595" s="981"/>
      <c r="V595" s="981"/>
      <c r="W595" s="981"/>
      <c r="X595" s="981"/>
      <c r="Y595" s="981"/>
      <c r="Z595" s="981"/>
      <c r="AA595" s="981"/>
      <c r="AB595" s="981"/>
    </row>
    <row r="596">
      <c r="A596" s="981"/>
      <c r="B596" s="991"/>
      <c r="C596" s="981"/>
      <c r="D596" s="981"/>
      <c r="E596" s="981"/>
      <c r="F596" s="981"/>
      <c r="G596" s="981"/>
      <c r="H596" s="981"/>
      <c r="I596" s="981"/>
      <c r="J596" s="981"/>
      <c r="K596" s="981"/>
      <c r="L596" s="981"/>
      <c r="M596" s="981"/>
      <c r="N596" s="981"/>
      <c r="O596" s="981"/>
      <c r="P596" s="981"/>
      <c r="Q596" s="981"/>
      <c r="R596" s="981"/>
      <c r="S596" s="981"/>
      <c r="T596" s="981"/>
      <c r="U596" s="981"/>
      <c r="V596" s="981"/>
      <c r="W596" s="981"/>
      <c r="X596" s="981"/>
      <c r="Y596" s="981"/>
      <c r="Z596" s="981"/>
      <c r="AA596" s="981"/>
      <c r="AB596" s="981"/>
    </row>
    <row r="597">
      <c r="A597" s="981"/>
      <c r="B597" s="991"/>
      <c r="C597" s="981"/>
      <c r="D597" s="981"/>
      <c r="E597" s="981"/>
      <c r="F597" s="981"/>
      <c r="G597" s="981"/>
      <c r="H597" s="981"/>
      <c r="I597" s="981"/>
      <c r="J597" s="981"/>
      <c r="K597" s="981"/>
      <c r="L597" s="981"/>
      <c r="M597" s="981"/>
      <c r="N597" s="981"/>
      <c r="O597" s="981"/>
      <c r="P597" s="981"/>
      <c r="Q597" s="981"/>
      <c r="R597" s="981"/>
      <c r="S597" s="981"/>
      <c r="T597" s="981"/>
      <c r="U597" s="981"/>
      <c r="V597" s="981"/>
      <c r="W597" s="981"/>
      <c r="X597" s="981"/>
      <c r="Y597" s="981"/>
      <c r="Z597" s="981"/>
      <c r="AA597" s="981"/>
      <c r="AB597" s="981"/>
    </row>
    <row r="598">
      <c r="A598" s="981"/>
      <c r="B598" s="991"/>
      <c r="C598" s="981"/>
      <c r="D598" s="981"/>
      <c r="E598" s="981"/>
      <c r="F598" s="981"/>
      <c r="G598" s="981"/>
      <c r="H598" s="981"/>
      <c r="I598" s="981"/>
      <c r="J598" s="981"/>
      <c r="K598" s="981"/>
      <c r="L598" s="981"/>
      <c r="M598" s="981"/>
      <c r="N598" s="981"/>
      <c r="O598" s="981"/>
      <c r="P598" s="981"/>
      <c r="Q598" s="981"/>
      <c r="R598" s="981"/>
      <c r="S598" s="981"/>
      <c r="T598" s="981"/>
      <c r="U598" s="981"/>
      <c r="V598" s="981"/>
      <c r="W598" s="981"/>
      <c r="X598" s="981"/>
      <c r="Y598" s="981"/>
      <c r="Z598" s="981"/>
      <c r="AA598" s="981"/>
      <c r="AB598" s="981"/>
    </row>
    <row r="599">
      <c r="A599" s="981"/>
      <c r="B599" s="991"/>
      <c r="C599" s="981"/>
      <c r="D599" s="981"/>
      <c r="E599" s="981"/>
      <c r="F599" s="981"/>
      <c r="G599" s="981"/>
      <c r="H599" s="981"/>
      <c r="I599" s="981"/>
      <c r="J599" s="981"/>
      <c r="K599" s="981"/>
      <c r="L599" s="981"/>
      <c r="M599" s="981"/>
      <c r="N599" s="981"/>
      <c r="O599" s="981"/>
      <c r="P599" s="981"/>
      <c r="Q599" s="981"/>
      <c r="R599" s="981"/>
      <c r="S599" s="981"/>
      <c r="T599" s="981"/>
      <c r="U599" s="981"/>
      <c r="V599" s="981"/>
      <c r="W599" s="981"/>
      <c r="X599" s="981"/>
      <c r="Y599" s="981"/>
      <c r="Z599" s="981"/>
      <c r="AA599" s="981"/>
      <c r="AB599" s="981"/>
    </row>
    <row r="600">
      <c r="A600" s="981"/>
      <c r="B600" s="991"/>
      <c r="C600" s="981"/>
      <c r="D600" s="981"/>
      <c r="E600" s="981"/>
      <c r="F600" s="981"/>
      <c r="G600" s="981"/>
      <c r="H600" s="981"/>
      <c r="I600" s="981"/>
      <c r="J600" s="981"/>
      <c r="K600" s="981"/>
      <c r="L600" s="981"/>
      <c r="M600" s="981"/>
      <c r="N600" s="981"/>
      <c r="O600" s="981"/>
      <c r="P600" s="981"/>
      <c r="Q600" s="981"/>
      <c r="R600" s="981"/>
      <c r="S600" s="981"/>
      <c r="T600" s="981"/>
      <c r="U600" s="981"/>
      <c r="V600" s="981"/>
      <c r="W600" s="981"/>
      <c r="X600" s="981"/>
      <c r="Y600" s="981"/>
      <c r="Z600" s="981"/>
      <c r="AA600" s="981"/>
      <c r="AB600" s="981"/>
    </row>
    <row r="601">
      <c r="A601" s="981"/>
      <c r="B601" s="991"/>
      <c r="C601" s="981"/>
      <c r="D601" s="981"/>
      <c r="E601" s="981"/>
      <c r="F601" s="981"/>
      <c r="G601" s="981"/>
      <c r="H601" s="981"/>
      <c r="I601" s="981"/>
      <c r="J601" s="981"/>
      <c r="K601" s="981"/>
      <c r="L601" s="981"/>
      <c r="M601" s="981"/>
      <c r="N601" s="981"/>
      <c r="O601" s="981"/>
      <c r="P601" s="981"/>
      <c r="Q601" s="981"/>
      <c r="R601" s="981"/>
      <c r="S601" s="981"/>
      <c r="T601" s="981"/>
      <c r="U601" s="981"/>
      <c r="V601" s="981"/>
      <c r="W601" s="981"/>
      <c r="X601" s="981"/>
      <c r="Y601" s="981"/>
      <c r="Z601" s="981"/>
      <c r="AA601" s="981"/>
      <c r="AB601" s="981"/>
    </row>
    <row r="602">
      <c r="A602" s="981"/>
      <c r="B602" s="991"/>
      <c r="C602" s="981"/>
      <c r="D602" s="981"/>
      <c r="E602" s="981"/>
      <c r="F602" s="981"/>
      <c r="G602" s="981"/>
      <c r="H602" s="981"/>
      <c r="I602" s="981"/>
      <c r="J602" s="981"/>
      <c r="K602" s="981"/>
      <c r="L602" s="981"/>
      <c r="M602" s="981"/>
      <c r="N602" s="981"/>
      <c r="O602" s="981"/>
      <c r="P602" s="981"/>
      <c r="Q602" s="981"/>
      <c r="R602" s="981"/>
      <c r="S602" s="981"/>
      <c r="T602" s="981"/>
      <c r="U602" s="981"/>
      <c r="V602" s="981"/>
      <c r="W602" s="981"/>
      <c r="X602" s="981"/>
      <c r="Y602" s="981"/>
      <c r="Z602" s="981"/>
      <c r="AA602" s="981"/>
      <c r="AB602" s="981"/>
    </row>
    <row r="603">
      <c r="A603" s="981"/>
      <c r="B603" s="991"/>
      <c r="C603" s="981"/>
      <c r="D603" s="981"/>
      <c r="E603" s="981"/>
      <c r="F603" s="981"/>
      <c r="G603" s="981"/>
      <c r="H603" s="981"/>
      <c r="I603" s="981"/>
      <c r="J603" s="981"/>
      <c r="K603" s="981"/>
      <c r="L603" s="981"/>
      <c r="M603" s="981"/>
      <c r="N603" s="981"/>
      <c r="O603" s="981"/>
      <c r="P603" s="981"/>
      <c r="Q603" s="981"/>
      <c r="R603" s="981"/>
      <c r="S603" s="981"/>
      <c r="T603" s="981"/>
      <c r="U603" s="981"/>
      <c r="V603" s="981"/>
      <c r="W603" s="981"/>
      <c r="X603" s="981"/>
      <c r="Y603" s="981"/>
      <c r="Z603" s="981"/>
      <c r="AA603" s="981"/>
      <c r="AB603" s="981"/>
    </row>
    <row r="604">
      <c r="A604" s="981"/>
      <c r="B604" s="991"/>
      <c r="C604" s="981"/>
      <c r="D604" s="981"/>
      <c r="E604" s="981"/>
      <c r="F604" s="981"/>
      <c r="G604" s="981"/>
      <c r="H604" s="981"/>
      <c r="I604" s="981"/>
      <c r="J604" s="981"/>
      <c r="K604" s="981"/>
      <c r="L604" s="981"/>
      <c r="M604" s="981"/>
      <c r="N604" s="981"/>
      <c r="O604" s="981"/>
      <c r="P604" s="981"/>
      <c r="Q604" s="981"/>
      <c r="R604" s="981"/>
      <c r="S604" s="981"/>
      <c r="T604" s="981"/>
      <c r="U604" s="981"/>
      <c r="V604" s="981"/>
      <c r="W604" s="981"/>
      <c r="X604" s="981"/>
      <c r="Y604" s="981"/>
      <c r="Z604" s="981"/>
      <c r="AA604" s="981"/>
      <c r="AB604" s="981"/>
    </row>
    <row r="605">
      <c r="A605" s="981"/>
      <c r="B605" s="991"/>
      <c r="C605" s="981"/>
      <c r="D605" s="981"/>
      <c r="E605" s="981"/>
      <c r="F605" s="981"/>
      <c r="G605" s="981"/>
      <c r="H605" s="981"/>
      <c r="I605" s="981"/>
      <c r="J605" s="981"/>
      <c r="K605" s="981"/>
      <c r="L605" s="981"/>
      <c r="M605" s="981"/>
      <c r="N605" s="981"/>
      <c r="O605" s="981"/>
      <c r="P605" s="981"/>
      <c r="Q605" s="981"/>
      <c r="R605" s="981"/>
      <c r="S605" s="981"/>
      <c r="T605" s="981"/>
      <c r="U605" s="981"/>
      <c r="V605" s="981"/>
      <c r="W605" s="981"/>
      <c r="X605" s="981"/>
      <c r="Y605" s="981"/>
      <c r="Z605" s="981"/>
      <c r="AA605" s="981"/>
      <c r="AB605" s="981"/>
    </row>
    <row r="606">
      <c r="A606" s="981"/>
      <c r="B606" s="991"/>
      <c r="C606" s="981"/>
      <c r="D606" s="981"/>
      <c r="E606" s="981"/>
      <c r="F606" s="981"/>
      <c r="G606" s="981"/>
      <c r="H606" s="981"/>
      <c r="I606" s="981"/>
      <c r="J606" s="981"/>
      <c r="K606" s="981"/>
      <c r="L606" s="981"/>
      <c r="M606" s="981"/>
      <c r="N606" s="981"/>
      <c r="O606" s="981"/>
      <c r="P606" s="981"/>
      <c r="Q606" s="981"/>
      <c r="R606" s="981"/>
      <c r="S606" s="981"/>
      <c r="T606" s="981"/>
      <c r="U606" s="981"/>
      <c r="V606" s="981"/>
      <c r="W606" s="981"/>
      <c r="X606" s="981"/>
      <c r="Y606" s="981"/>
      <c r="Z606" s="981"/>
      <c r="AA606" s="981"/>
      <c r="AB606" s="981"/>
    </row>
    <row r="607">
      <c r="A607" s="981"/>
      <c r="B607" s="991"/>
      <c r="C607" s="981"/>
      <c r="D607" s="981"/>
      <c r="E607" s="981"/>
      <c r="F607" s="981"/>
      <c r="G607" s="981"/>
      <c r="H607" s="981"/>
      <c r="I607" s="981"/>
      <c r="J607" s="981"/>
      <c r="K607" s="981"/>
      <c r="L607" s="981"/>
      <c r="M607" s="981"/>
      <c r="N607" s="981"/>
      <c r="O607" s="981"/>
      <c r="P607" s="981"/>
      <c r="Q607" s="981"/>
      <c r="R607" s="981"/>
      <c r="S607" s="981"/>
      <c r="T607" s="981"/>
      <c r="U607" s="981"/>
      <c r="V607" s="981"/>
      <c r="W607" s="981"/>
      <c r="X607" s="981"/>
      <c r="Y607" s="981"/>
      <c r="Z607" s="981"/>
      <c r="AA607" s="981"/>
      <c r="AB607" s="981"/>
    </row>
    <row r="608">
      <c r="A608" s="981"/>
      <c r="B608" s="991"/>
      <c r="C608" s="981"/>
      <c r="D608" s="981"/>
      <c r="E608" s="981"/>
      <c r="F608" s="981"/>
      <c r="G608" s="981"/>
      <c r="H608" s="981"/>
      <c r="I608" s="981"/>
      <c r="J608" s="981"/>
      <c r="K608" s="981"/>
      <c r="L608" s="981"/>
      <c r="M608" s="981"/>
      <c r="N608" s="981"/>
      <c r="O608" s="981"/>
      <c r="P608" s="981"/>
      <c r="Q608" s="981"/>
      <c r="R608" s="981"/>
      <c r="S608" s="981"/>
      <c r="T608" s="981"/>
      <c r="U608" s="981"/>
      <c r="V608" s="981"/>
      <c r="W608" s="981"/>
      <c r="X608" s="981"/>
      <c r="Y608" s="981"/>
      <c r="Z608" s="981"/>
      <c r="AA608" s="981"/>
      <c r="AB608" s="981"/>
    </row>
    <row r="609">
      <c r="A609" s="981"/>
      <c r="B609" s="991"/>
      <c r="C609" s="981"/>
      <c r="D609" s="981"/>
      <c r="E609" s="981"/>
      <c r="F609" s="981"/>
      <c r="G609" s="981"/>
      <c r="H609" s="981"/>
      <c r="I609" s="981"/>
      <c r="J609" s="981"/>
      <c r="K609" s="981"/>
      <c r="L609" s="981"/>
      <c r="M609" s="981"/>
      <c r="N609" s="981"/>
      <c r="O609" s="981"/>
      <c r="P609" s="981"/>
      <c r="Q609" s="981"/>
      <c r="R609" s="981"/>
      <c r="S609" s="981"/>
      <c r="T609" s="981"/>
      <c r="U609" s="981"/>
      <c r="V609" s="981"/>
      <c r="W609" s="981"/>
      <c r="X609" s="981"/>
      <c r="Y609" s="981"/>
      <c r="Z609" s="981"/>
      <c r="AA609" s="981"/>
      <c r="AB609" s="981"/>
    </row>
    <row r="610">
      <c r="A610" s="981"/>
      <c r="B610" s="991"/>
      <c r="C610" s="981"/>
      <c r="D610" s="981"/>
      <c r="E610" s="981"/>
      <c r="F610" s="981"/>
      <c r="G610" s="981"/>
      <c r="H610" s="981"/>
      <c r="I610" s="981"/>
      <c r="J610" s="981"/>
      <c r="K610" s="981"/>
      <c r="L610" s="981"/>
      <c r="M610" s="981"/>
      <c r="N610" s="981"/>
      <c r="O610" s="981"/>
      <c r="P610" s="981"/>
      <c r="Q610" s="981"/>
      <c r="R610" s="981"/>
      <c r="S610" s="981"/>
      <c r="T610" s="981"/>
      <c r="U610" s="981"/>
      <c r="V610" s="981"/>
      <c r="W610" s="981"/>
      <c r="X610" s="981"/>
      <c r="Y610" s="981"/>
      <c r="Z610" s="981"/>
      <c r="AA610" s="981"/>
      <c r="AB610" s="981"/>
    </row>
    <row r="611">
      <c r="A611" s="981"/>
      <c r="B611" s="991"/>
      <c r="C611" s="981"/>
      <c r="D611" s="981"/>
      <c r="E611" s="981"/>
      <c r="F611" s="981"/>
      <c r="G611" s="981"/>
      <c r="H611" s="981"/>
      <c r="I611" s="981"/>
      <c r="J611" s="981"/>
      <c r="K611" s="981"/>
      <c r="L611" s="981"/>
      <c r="M611" s="981"/>
      <c r="N611" s="981"/>
      <c r="O611" s="981"/>
      <c r="P611" s="981"/>
      <c r="Q611" s="981"/>
      <c r="R611" s="981"/>
      <c r="S611" s="981"/>
      <c r="T611" s="981"/>
      <c r="U611" s="981"/>
      <c r="V611" s="981"/>
      <c r="W611" s="981"/>
      <c r="X611" s="981"/>
      <c r="Y611" s="981"/>
      <c r="Z611" s="981"/>
      <c r="AA611" s="981"/>
      <c r="AB611" s="981"/>
    </row>
    <row r="612">
      <c r="A612" s="981"/>
      <c r="B612" s="991"/>
      <c r="C612" s="981"/>
      <c r="D612" s="981"/>
      <c r="E612" s="981"/>
      <c r="F612" s="981"/>
      <c r="G612" s="981"/>
      <c r="H612" s="981"/>
      <c r="I612" s="981"/>
      <c r="J612" s="981"/>
      <c r="K612" s="981"/>
      <c r="L612" s="981"/>
      <c r="M612" s="981"/>
      <c r="N612" s="981"/>
      <c r="O612" s="981"/>
      <c r="P612" s="981"/>
      <c r="Q612" s="981"/>
      <c r="R612" s="981"/>
      <c r="S612" s="981"/>
      <c r="T612" s="981"/>
      <c r="U612" s="981"/>
      <c r="V612" s="981"/>
      <c r="W612" s="981"/>
      <c r="X612" s="981"/>
      <c r="Y612" s="981"/>
      <c r="Z612" s="981"/>
      <c r="AA612" s="981"/>
      <c r="AB612" s="981"/>
    </row>
    <row r="613">
      <c r="A613" s="981"/>
      <c r="B613" s="991"/>
      <c r="C613" s="981"/>
      <c r="D613" s="981"/>
      <c r="E613" s="981"/>
      <c r="F613" s="981"/>
      <c r="G613" s="981"/>
      <c r="H613" s="981"/>
      <c r="I613" s="981"/>
      <c r="J613" s="981"/>
      <c r="K613" s="981"/>
      <c r="L613" s="981"/>
      <c r="M613" s="981"/>
      <c r="N613" s="981"/>
      <c r="O613" s="981"/>
      <c r="P613" s="981"/>
      <c r="Q613" s="981"/>
      <c r="R613" s="981"/>
      <c r="S613" s="981"/>
      <c r="T613" s="981"/>
      <c r="U613" s="981"/>
      <c r="V613" s="981"/>
      <c r="W613" s="981"/>
      <c r="X613" s="981"/>
      <c r="Y613" s="981"/>
      <c r="Z613" s="981"/>
      <c r="AA613" s="981"/>
      <c r="AB613" s="981"/>
    </row>
    <row r="614">
      <c r="A614" s="981"/>
      <c r="B614" s="991"/>
      <c r="C614" s="981"/>
      <c r="D614" s="981"/>
      <c r="E614" s="981"/>
      <c r="F614" s="981"/>
      <c r="G614" s="981"/>
      <c r="H614" s="981"/>
      <c r="I614" s="981"/>
      <c r="J614" s="981"/>
      <c r="K614" s="981"/>
      <c r="L614" s="981"/>
      <c r="M614" s="981"/>
      <c r="N614" s="981"/>
      <c r="O614" s="981"/>
      <c r="P614" s="981"/>
      <c r="Q614" s="981"/>
      <c r="R614" s="981"/>
      <c r="S614" s="981"/>
      <c r="T614" s="981"/>
      <c r="U614" s="981"/>
      <c r="V614" s="981"/>
      <c r="W614" s="981"/>
      <c r="X614" s="981"/>
      <c r="Y614" s="981"/>
      <c r="Z614" s="981"/>
      <c r="AA614" s="981"/>
      <c r="AB614" s="981"/>
    </row>
    <row r="615">
      <c r="A615" s="981"/>
      <c r="B615" s="991"/>
      <c r="C615" s="981"/>
      <c r="D615" s="981"/>
      <c r="E615" s="981"/>
      <c r="F615" s="981"/>
      <c r="G615" s="981"/>
      <c r="H615" s="981"/>
      <c r="I615" s="981"/>
      <c r="J615" s="981"/>
      <c r="K615" s="981"/>
      <c r="L615" s="981"/>
      <c r="M615" s="981"/>
      <c r="N615" s="981"/>
      <c r="O615" s="981"/>
      <c r="P615" s="981"/>
      <c r="Q615" s="981"/>
      <c r="R615" s="981"/>
      <c r="S615" s="981"/>
      <c r="T615" s="981"/>
      <c r="U615" s="981"/>
      <c r="V615" s="981"/>
      <c r="W615" s="981"/>
      <c r="X615" s="981"/>
      <c r="Y615" s="981"/>
      <c r="Z615" s="981"/>
      <c r="AA615" s="981"/>
      <c r="AB615" s="981"/>
    </row>
    <row r="616">
      <c r="A616" s="981"/>
      <c r="B616" s="991"/>
      <c r="C616" s="981"/>
      <c r="D616" s="981"/>
      <c r="E616" s="981"/>
      <c r="F616" s="981"/>
      <c r="G616" s="981"/>
      <c r="H616" s="981"/>
      <c r="I616" s="981"/>
      <c r="J616" s="981"/>
      <c r="K616" s="981"/>
      <c r="L616" s="981"/>
      <c r="M616" s="981"/>
      <c r="N616" s="981"/>
      <c r="O616" s="981"/>
      <c r="P616" s="981"/>
      <c r="Q616" s="981"/>
      <c r="R616" s="981"/>
      <c r="S616" s="981"/>
      <c r="T616" s="981"/>
      <c r="U616" s="981"/>
      <c r="V616" s="981"/>
      <c r="W616" s="981"/>
      <c r="X616" s="981"/>
      <c r="Y616" s="981"/>
      <c r="Z616" s="981"/>
      <c r="AA616" s="981"/>
      <c r="AB616" s="981"/>
    </row>
    <row r="617">
      <c r="A617" s="981"/>
      <c r="B617" s="991"/>
      <c r="C617" s="981"/>
      <c r="D617" s="981"/>
      <c r="E617" s="981"/>
      <c r="F617" s="981"/>
      <c r="G617" s="981"/>
      <c r="H617" s="981"/>
      <c r="I617" s="981"/>
      <c r="J617" s="981"/>
      <c r="K617" s="981"/>
      <c r="L617" s="981"/>
      <c r="M617" s="981"/>
      <c r="N617" s="981"/>
      <c r="O617" s="981"/>
      <c r="P617" s="981"/>
      <c r="Q617" s="981"/>
      <c r="R617" s="981"/>
      <c r="S617" s="981"/>
      <c r="T617" s="981"/>
      <c r="U617" s="981"/>
      <c r="V617" s="981"/>
      <c r="W617" s="981"/>
      <c r="X617" s="981"/>
      <c r="Y617" s="981"/>
      <c r="Z617" s="981"/>
      <c r="AA617" s="981"/>
      <c r="AB617" s="981"/>
    </row>
    <row r="618">
      <c r="A618" s="981"/>
      <c r="B618" s="991"/>
      <c r="C618" s="981"/>
      <c r="D618" s="981"/>
      <c r="E618" s="981"/>
      <c r="F618" s="981"/>
      <c r="G618" s="981"/>
      <c r="H618" s="981"/>
      <c r="I618" s="981"/>
      <c r="J618" s="981"/>
      <c r="K618" s="981"/>
      <c r="L618" s="981"/>
      <c r="M618" s="981"/>
      <c r="N618" s="981"/>
      <c r="O618" s="981"/>
      <c r="P618" s="981"/>
      <c r="Q618" s="981"/>
      <c r="R618" s="981"/>
      <c r="S618" s="981"/>
      <c r="T618" s="981"/>
      <c r="U618" s="981"/>
      <c r="V618" s="981"/>
      <c r="W618" s="981"/>
      <c r="X618" s="981"/>
      <c r="Y618" s="981"/>
      <c r="Z618" s="981"/>
      <c r="AA618" s="981"/>
      <c r="AB618" s="981"/>
    </row>
    <row r="619">
      <c r="A619" s="981"/>
      <c r="B619" s="991"/>
      <c r="C619" s="981"/>
      <c r="D619" s="981"/>
      <c r="E619" s="981"/>
      <c r="F619" s="981"/>
      <c r="G619" s="981"/>
      <c r="H619" s="981"/>
      <c r="I619" s="981"/>
      <c r="J619" s="981"/>
      <c r="K619" s="981"/>
      <c r="L619" s="981"/>
      <c r="M619" s="981"/>
      <c r="N619" s="981"/>
      <c r="O619" s="981"/>
      <c r="P619" s="981"/>
      <c r="Q619" s="981"/>
      <c r="R619" s="981"/>
      <c r="S619" s="981"/>
      <c r="T619" s="981"/>
      <c r="U619" s="981"/>
      <c r="V619" s="981"/>
      <c r="W619" s="981"/>
      <c r="X619" s="981"/>
      <c r="Y619" s="981"/>
      <c r="Z619" s="981"/>
      <c r="AA619" s="981"/>
      <c r="AB619" s="981"/>
    </row>
    <row r="620">
      <c r="A620" s="981"/>
      <c r="B620" s="991"/>
      <c r="C620" s="981"/>
      <c r="D620" s="981"/>
      <c r="E620" s="981"/>
      <c r="F620" s="981"/>
      <c r="G620" s="981"/>
      <c r="H620" s="981"/>
      <c r="I620" s="981"/>
      <c r="J620" s="981"/>
      <c r="K620" s="981"/>
      <c r="L620" s="981"/>
      <c r="M620" s="981"/>
      <c r="N620" s="981"/>
      <c r="O620" s="981"/>
      <c r="P620" s="981"/>
      <c r="Q620" s="981"/>
      <c r="R620" s="981"/>
      <c r="S620" s="981"/>
      <c r="T620" s="981"/>
      <c r="U620" s="981"/>
      <c r="V620" s="981"/>
      <c r="W620" s="981"/>
      <c r="X620" s="981"/>
      <c r="Y620" s="981"/>
      <c r="Z620" s="981"/>
      <c r="AA620" s="981"/>
      <c r="AB620" s="981"/>
    </row>
    <row r="621">
      <c r="A621" s="981"/>
      <c r="B621" s="991"/>
      <c r="C621" s="981"/>
      <c r="D621" s="981"/>
      <c r="E621" s="981"/>
      <c r="F621" s="981"/>
      <c r="G621" s="981"/>
      <c r="H621" s="981"/>
      <c r="I621" s="981"/>
      <c r="J621" s="981"/>
      <c r="K621" s="981"/>
      <c r="L621" s="981"/>
      <c r="M621" s="981"/>
      <c r="N621" s="981"/>
      <c r="O621" s="981"/>
      <c r="P621" s="981"/>
      <c r="Q621" s="981"/>
      <c r="R621" s="981"/>
      <c r="S621" s="981"/>
      <c r="T621" s="981"/>
      <c r="U621" s="981"/>
      <c r="V621" s="981"/>
      <c r="W621" s="981"/>
      <c r="X621" s="981"/>
      <c r="Y621" s="981"/>
      <c r="Z621" s="981"/>
      <c r="AA621" s="981"/>
      <c r="AB621" s="981"/>
    </row>
    <row r="622">
      <c r="A622" s="981"/>
      <c r="B622" s="991"/>
      <c r="C622" s="981"/>
      <c r="D622" s="981"/>
      <c r="E622" s="981"/>
      <c r="F622" s="981"/>
      <c r="G622" s="981"/>
      <c r="H622" s="981"/>
      <c r="I622" s="981"/>
      <c r="J622" s="981"/>
      <c r="K622" s="981"/>
      <c r="L622" s="981"/>
      <c r="M622" s="981"/>
      <c r="N622" s="981"/>
      <c r="O622" s="981"/>
      <c r="P622" s="981"/>
      <c r="Q622" s="981"/>
      <c r="R622" s="981"/>
      <c r="S622" s="981"/>
      <c r="T622" s="981"/>
      <c r="U622" s="981"/>
      <c r="V622" s="981"/>
      <c r="W622" s="981"/>
      <c r="X622" s="981"/>
      <c r="Y622" s="981"/>
      <c r="Z622" s="981"/>
      <c r="AA622" s="981"/>
      <c r="AB622" s="981"/>
    </row>
    <row r="623">
      <c r="A623" s="981"/>
      <c r="B623" s="991"/>
      <c r="C623" s="981"/>
      <c r="D623" s="981"/>
      <c r="E623" s="981"/>
      <c r="F623" s="981"/>
      <c r="G623" s="981"/>
      <c r="H623" s="981"/>
      <c r="I623" s="981"/>
      <c r="J623" s="981"/>
      <c r="K623" s="981"/>
      <c r="L623" s="981"/>
      <c r="M623" s="981"/>
      <c r="N623" s="981"/>
      <c r="O623" s="981"/>
      <c r="P623" s="981"/>
      <c r="Q623" s="981"/>
      <c r="R623" s="981"/>
      <c r="S623" s="981"/>
      <c r="T623" s="981"/>
      <c r="U623" s="981"/>
      <c r="V623" s="981"/>
      <c r="W623" s="981"/>
      <c r="X623" s="981"/>
      <c r="Y623" s="981"/>
      <c r="Z623" s="981"/>
      <c r="AA623" s="981"/>
      <c r="AB623" s="981"/>
    </row>
    <row r="624">
      <c r="A624" s="981"/>
      <c r="B624" s="991"/>
      <c r="C624" s="981"/>
      <c r="D624" s="981"/>
      <c r="E624" s="981"/>
      <c r="F624" s="981"/>
      <c r="G624" s="981"/>
      <c r="H624" s="981"/>
      <c r="I624" s="981"/>
      <c r="J624" s="981"/>
      <c r="K624" s="981"/>
      <c r="L624" s="981"/>
      <c r="M624" s="981"/>
      <c r="N624" s="981"/>
      <c r="O624" s="981"/>
      <c r="P624" s="981"/>
      <c r="Q624" s="981"/>
      <c r="R624" s="981"/>
      <c r="S624" s="981"/>
      <c r="T624" s="981"/>
      <c r="U624" s="981"/>
      <c r="V624" s="981"/>
      <c r="W624" s="981"/>
      <c r="X624" s="981"/>
      <c r="Y624" s="981"/>
      <c r="Z624" s="981"/>
      <c r="AA624" s="981"/>
      <c r="AB624" s="981"/>
    </row>
    <row r="625">
      <c r="A625" s="981"/>
      <c r="B625" s="991"/>
      <c r="C625" s="981"/>
      <c r="D625" s="981"/>
      <c r="E625" s="981"/>
      <c r="F625" s="981"/>
      <c r="G625" s="981"/>
      <c r="H625" s="981"/>
      <c r="I625" s="981"/>
      <c r="J625" s="981"/>
      <c r="K625" s="981"/>
      <c r="L625" s="981"/>
      <c r="M625" s="981"/>
      <c r="N625" s="981"/>
      <c r="O625" s="981"/>
      <c r="P625" s="981"/>
      <c r="Q625" s="981"/>
      <c r="R625" s="981"/>
      <c r="S625" s="981"/>
      <c r="T625" s="981"/>
      <c r="U625" s="981"/>
      <c r="V625" s="981"/>
      <c r="W625" s="981"/>
      <c r="X625" s="981"/>
      <c r="Y625" s="981"/>
      <c r="Z625" s="981"/>
      <c r="AA625" s="981"/>
      <c r="AB625" s="981"/>
    </row>
    <row r="626">
      <c r="A626" s="981"/>
      <c r="B626" s="991"/>
      <c r="C626" s="981"/>
      <c r="D626" s="981"/>
      <c r="E626" s="981"/>
      <c r="F626" s="981"/>
      <c r="G626" s="981"/>
      <c r="H626" s="981"/>
      <c r="I626" s="981"/>
      <c r="J626" s="981"/>
      <c r="K626" s="981"/>
      <c r="L626" s="981"/>
      <c r="M626" s="981"/>
      <c r="N626" s="981"/>
      <c r="O626" s="981"/>
      <c r="P626" s="981"/>
      <c r="Q626" s="981"/>
      <c r="R626" s="981"/>
      <c r="S626" s="981"/>
      <c r="T626" s="981"/>
      <c r="U626" s="981"/>
      <c r="V626" s="981"/>
      <c r="W626" s="981"/>
      <c r="X626" s="981"/>
      <c r="Y626" s="981"/>
      <c r="Z626" s="981"/>
      <c r="AA626" s="981"/>
      <c r="AB626" s="981"/>
    </row>
    <row r="627">
      <c r="A627" s="981"/>
      <c r="B627" s="991"/>
      <c r="C627" s="981"/>
      <c r="D627" s="981"/>
      <c r="E627" s="981"/>
      <c r="F627" s="981"/>
      <c r="G627" s="981"/>
      <c r="H627" s="981"/>
      <c r="I627" s="981"/>
      <c r="J627" s="981"/>
      <c r="K627" s="981"/>
      <c r="L627" s="981"/>
      <c r="M627" s="981"/>
      <c r="N627" s="981"/>
      <c r="O627" s="981"/>
      <c r="P627" s="981"/>
      <c r="Q627" s="981"/>
      <c r="R627" s="981"/>
      <c r="S627" s="981"/>
      <c r="T627" s="981"/>
      <c r="U627" s="981"/>
      <c r="V627" s="981"/>
      <c r="W627" s="981"/>
      <c r="X627" s="981"/>
      <c r="Y627" s="981"/>
      <c r="Z627" s="981"/>
      <c r="AA627" s="981"/>
      <c r="AB627" s="981"/>
    </row>
    <row r="628">
      <c r="A628" s="981"/>
      <c r="B628" s="991"/>
      <c r="C628" s="981"/>
      <c r="D628" s="981"/>
      <c r="E628" s="981"/>
      <c r="F628" s="981"/>
      <c r="G628" s="981"/>
      <c r="H628" s="981"/>
      <c r="I628" s="981"/>
      <c r="J628" s="981"/>
      <c r="K628" s="981"/>
      <c r="L628" s="981"/>
      <c r="M628" s="981"/>
      <c r="N628" s="981"/>
      <c r="O628" s="981"/>
      <c r="P628" s="981"/>
      <c r="Q628" s="981"/>
      <c r="R628" s="981"/>
      <c r="S628" s="981"/>
      <c r="T628" s="981"/>
      <c r="U628" s="981"/>
      <c r="V628" s="981"/>
      <c r="W628" s="981"/>
      <c r="X628" s="981"/>
      <c r="Y628" s="981"/>
      <c r="Z628" s="981"/>
      <c r="AA628" s="981"/>
      <c r="AB628" s="981"/>
    </row>
    <row r="629">
      <c r="A629" s="981"/>
      <c r="B629" s="991"/>
      <c r="C629" s="981"/>
      <c r="D629" s="981"/>
      <c r="E629" s="981"/>
      <c r="F629" s="981"/>
      <c r="G629" s="981"/>
      <c r="H629" s="981"/>
      <c r="I629" s="981"/>
      <c r="J629" s="981"/>
      <c r="K629" s="981"/>
      <c r="L629" s="981"/>
      <c r="M629" s="981"/>
      <c r="N629" s="981"/>
      <c r="O629" s="981"/>
      <c r="P629" s="981"/>
      <c r="Q629" s="981"/>
      <c r="R629" s="981"/>
      <c r="S629" s="981"/>
      <c r="T629" s="981"/>
      <c r="U629" s="981"/>
      <c r="V629" s="981"/>
      <c r="W629" s="981"/>
      <c r="X629" s="981"/>
      <c r="Y629" s="981"/>
      <c r="Z629" s="981"/>
      <c r="AA629" s="981"/>
      <c r="AB629" s="981"/>
    </row>
    <row r="630">
      <c r="A630" s="981"/>
      <c r="B630" s="991"/>
      <c r="C630" s="981"/>
      <c r="D630" s="981"/>
      <c r="E630" s="981"/>
      <c r="F630" s="981"/>
      <c r="G630" s="981"/>
      <c r="H630" s="981"/>
      <c r="I630" s="981"/>
      <c r="J630" s="981"/>
      <c r="K630" s="981"/>
      <c r="L630" s="981"/>
      <c r="M630" s="981"/>
      <c r="N630" s="981"/>
      <c r="O630" s="981"/>
      <c r="P630" s="981"/>
      <c r="Q630" s="981"/>
      <c r="R630" s="981"/>
      <c r="S630" s="981"/>
      <c r="T630" s="981"/>
      <c r="U630" s="981"/>
      <c r="V630" s="981"/>
      <c r="W630" s="981"/>
      <c r="X630" s="981"/>
      <c r="Y630" s="981"/>
      <c r="Z630" s="981"/>
      <c r="AA630" s="981"/>
      <c r="AB630" s="981"/>
    </row>
    <row r="631">
      <c r="A631" s="981"/>
      <c r="B631" s="991"/>
      <c r="C631" s="981"/>
      <c r="D631" s="981"/>
      <c r="E631" s="981"/>
      <c r="F631" s="981"/>
      <c r="G631" s="981"/>
      <c r="H631" s="981"/>
      <c r="I631" s="981"/>
      <c r="J631" s="981"/>
      <c r="K631" s="981"/>
      <c r="L631" s="981"/>
      <c r="M631" s="981"/>
      <c r="N631" s="981"/>
      <c r="O631" s="981"/>
      <c r="P631" s="981"/>
      <c r="Q631" s="981"/>
      <c r="R631" s="981"/>
      <c r="S631" s="981"/>
      <c r="T631" s="981"/>
      <c r="U631" s="981"/>
      <c r="V631" s="981"/>
      <c r="W631" s="981"/>
      <c r="X631" s="981"/>
      <c r="Y631" s="981"/>
      <c r="Z631" s="981"/>
      <c r="AA631" s="981"/>
      <c r="AB631" s="981"/>
    </row>
    <row r="632">
      <c r="A632" s="981"/>
      <c r="B632" s="991"/>
      <c r="C632" s="981"/>
      <c r="D632" s="981"/>
      <c r="E632" s="981"/>
      <c r="F632" s="981"/>
      <c r="G632" s="981"/>
      <c r="H632" s="981"/>
      <c r="I632" s="981"/>
      <c r="J632" s="981"/>
      <c r="K632" s="981"/>
      <c r="L632" s="981"/>
      <c r="M632" s="981"/>
      <c r="N632" s="981"/>
      <c r="O632" s="981"/>
      <c r="P632" s="981"/>
      <c r="Q632" s="981"/>
      <c r="R632" s="981"/>
      <c r="S632" s="981"/>
      <c r="T632" s="981"/>
      <c r="U632" s="981"/>
      <c r="V632" s="981"/>
      <c r="W632" s="981"/>
      <c r="X632" s="981"/>
      <c r="Y632" s="981"/>
      <c r="Z632" s="981"/>
      <c r="AA632" s="981"/>
      <c r="AB632" s="981"/>
    </row>
    <row r="633">
      <c r="A633" s="981"/>
      <c r="B633" s="991"/>
      <c r="C633" s="981"/>
      <c r="D633" s="981"/>
      <c r="E633" s="981"/>
      <c r="F633" s="981"/>
      <c r="G633" s="981"/>
      <c r="H633" s="981"/>
      <c r="I633" s="981"/>
      <c r="J633" s="981"/>
      <c r="K633" s="981"/>
      <c r="L633" s="981"/>
      <c r="M633" s="981"/>
      <c r="N633" s="981"/>
      <c r="O633" s="981"/>
      <c r="P633" s="981"/>
      <c r="Q633" s="981"/>
      <c r="R633" s="981"/>
      <c r="S633" s="981"/>
      <c r="T633" s="981"/>
      <c r="U633" s="981"/>
      <c r="V633" s="981"/>
      <c r="W633" s="981"/>
      <c r="X633" s="981"/>
      <c r="Y633" s="981"/>
      <c r="Z633" s="981"/>
      <c r="AA633" s="981"/>
      <c r="AB633" s="981"/>
    </row>
    <row r="634">
      <c r="A634" s="981"/>
      <c r="B634" s="991"/>
      <c r="C634" s="981"/>
      <c r="D634" s="981"/>
      <c r="E634" s="981"/>
      <c r="F634" s="981"/>
      <c r="G634" s="981"/>
      <c r="H634" s="981"/>
      <c r="I634" s="981"/>
      <c r="J634" s="981"/>
      <c r="K634" s="981"/>
      <c r="L634" s="981"/>
      <c r="M634" s="981"/>
      <c r="N634" s="981"/>
      <c r="O634" s="981"/>
      <c r="P634" s="981"/>
      <c r="Q634" s="981"/>
      <c r="R634" s="981"/>
      <c r="S634" s="981"/>
      <c r="T634" s="981"/>
      <c r="U634" s="981"/>
      <c r="V634" s="981"/>
      <c r="W634" s="981"/>
      <c r="X634" s="981"/>
      <c r="Y634" s="981"/>
      <c r="Z634" s="981"/>
      <c r="AA634" s="981"/>
      <c r="AB634" s="981"/>
    </row>
    <row r="635">
      <c r="A635" s="981"/>
      <c r="B635" s="991"/>
      <c r="C635" s="981"/>
      <c r="D635" s="981"/>
      <c r="E635" s="981"/>
      <c r="F635" s="981"/>
      <c r="G635" s="981"/>
      <c r="H635" s="981"/>
      <c r="I635" s="981"/>
      <c r="J635" s="981"/>
      <c r="K635" s="981"/>
      <c r="L635" s="981"/>
      <c r="M635" s="981"/>
      <c r="N635" s="981"/>
      <c r="O635" s="981"/>
      <c r="P635" s="981"/>
      <c r="Q635" s="981"/>
      <c r="R635" s="981"/>
      <c r="S635" s="981"/>
      <c r="T635" s="981"/>
      <c r="U635" s="981"/>
      <c r="V635" s="981"/>
      <c r="W635" s="981"/>
      <c r="X635" s="981"/>
      <c r="Y635" s="981"/>
      <c r="Z635" s="981"/>
      <c r="AA635" s="981"/>
      <c r="AB635" s="981"/>
    </row>
    <row r="636">
      <c r="A636" s="981"/>
      <c r="B636" s="991"/>
      <c r="C636" s="981"/>
      <c r="D636" s="981"/>
      <c r="E636" s="981"/>
      <c r="F636" s="981"/>
      <c r="G636" s="981"/>
      <c r="H636" s="981"/>
      <c r="I636" s="981"/>
      <c r="J636" s="981"/>
      <c r="K636" s="981"/>
      <c r="L636" s="981"/>
      <c r="M636" s="981"/>
      <c r="N636" s="981"/>
      <c r="O636" s="981"/>
      <c r="P636" s="981"/>
      <c r="Q636" s="981"/>
      <c r="R636" s="981"/>
      <c r="S636" s="981"/>
      <c r="T636" s="981"/>
      <c r="U636" s="981"/>
      <c r="V636" s="981"/>
      <c r="W636" s="981"/>
      <c r="X636" s="981"/>
      <c r="Y636" s="981"/>
      <c r="Z636" s="981"/>
      <c r="AA636" s="981"/>
      <c r="AB636" s="981"/>
    </row>
    <row r="637">
      <c r="A637" s="981"/>
      <c r="B637" s="991"/>
      <c r="C637" s="981"/>
      <c r="D637" s="981"/>
      <c r="E637" s="981"/>
      <c r="F637" s="981"/>
      <c r="G637" s="981"/>
      <c r="H637" s="981"/>
      <c r="I637" s="981"/>
      <c r="J637" s="981"/>
      <c r="K637" s="981"/>
      <c r="L637" s="981"/>
      <c r="M637" s="981"/>
      <c r="N637" s="981"/>
      <c r="O637" s="981"/>
      <c r="P637" s="981"/>
      <c r="Q637" s="981"/>
      <c r="R637" s="981"/>
      <c r="S637" s="981"/>
      <c r="T637" s="981"/>
      <c r="U637" s="981"/>
      <c r="V637" s="981"/>
      <c r="W637" s="981"/>
      <c r="X637" s="981"/>
      <c r="Y637" s="981"/>
      <c r="Z637" s="981"/>
      <c r="AA637" s="981"/>
      <c r="AB637" s="981"/>
    </row>
    <row r="638">
      <c r="A638" s="981"/>
      <c r="B638" s="991"/>
      <c r="C638" s="981"/>
      <c r="D638" s="981"/>
      <c r="E638" s="981"/>
      <c r="F638" s="981"/>
      <c r="G638" s="981"/>
      <c r="H638" s="981"/>
      <c r="I638" s="981"/>
      <c r="J638" s="981"/>
      <c r="K638" s="981"/>
      <c r="L638" s="981"/>
      <c r="M638" s="981"/>
      <c r="N638" s="981"/>
      <c r="O638" s="981"/>
      <c r="P638" s="981"/>
      <c r="Q638" s="981"/>
      <c r="R638" s="981"/>
      <c r="S638" s="981"/>
      <c r="T638" s="981"/>
      <c r="U638" s="981"/>
      <c r="V638" s="981"/>
      <c r="W638" s="981"/>
      <c r="X638" s="981"/>
      <c r="Y638" s="981"/>
      <c r="Z638" s="981"/>
      <c r="AA638" s="981"/>
      <c r="AB638" s="981"/>
    </row>
    <row r="639">
      <c r="A639" s="981"/>
      <c r="B639" s="991"/>
      <c r="C639" s="981"/>
      <c r="D639" s="981"/>
      <c r="E639" s="981"/>
      <c r="F639" s="981"/>
      <c r="G639" s="981"/>
      <c r="H639" s="981"/>
      <c r="I639" s="981"/>
      <c r="J639" s="981"/>
      <c r="K639" s="981"/>
      <c r="L639" s="981"/>
      <c r="M639" s="981"/>
      <c r="N639" s="981"/>
      <c r="O639" s="981"/>
      <c r="P639" s="981"/>
      <c r="Q639" s="981"/>
      <c r="R639" s="981"/>
      <c r="S639" s="981"/>
      <c r="T639" s="981"/>
      <c r="U639" s="981"/>
      <c r="V639" s="981"/>
      <c r="W639" s="981"/>
      <c r="X639" s="981"/>
      <c r="Y639" s="981"/>
      <c r="Z639" s="981"/>
      <c r="AA639" s="981"/>
      <c r="AB639" s="981"/>
    </row>
    <row r="640">
      <c r="A640" s="981"/>
      <c r="B640" s="991"/>
      <c r="C640" s="981"/>
      <c r="D640" s="981"/>
      <c r="E640" s="981"/>
      <c r="F640" s="981"/>
      <c r="G640" s="981"/>
      <c r="H640" s="981"/>
      <c r="I640" s="981"/>
      <c r="J640" s="981"/>
      <c r="K640" s="981"/>
      <c r="L640" s="981"/>
      <c r="M640" s="981"/>
      <c r="N640" s="981"/>
      <c r="O640" s="981"/>
      <c r="P640" s="981"/>
      <c r="Q640" s="981"/>
      <c r="R640" s="981"/>
      <c r="S640" s="981"/>
      <c r="T640" s="981"/>
      <c r="U640" s="981"/>
      <c r="V640" s="981"/>
      <c r="W640" s="981"/>
      <c r="X640" s="981"/>
      <c r="Y640" s="981"/>
      <c r="Z640" s="981"/>
      <c r="AA640" s="981"/>
      <c r="AB640" s="981"/>
    </row>
    <row r="641">
      <c r="A641" s="981"/>
      <c r="B641" s="991"/>
      <c r="C641" s="981"/>
      <c r="D641" s="981"/>
      <c r="E641" s="981"/>
      <c r="F641" s="981"/>
      <c r="G641" s="981"/>
      <c r="H641" s="981"/>
      <c r="I641" s="981"/>
      <c r="J641" s="981"/>
      <c r="K641" s="981"/>
      <c r="L641" s="981"/>
      <c r="M641" s="981"/>
      <c r="N641" s="981"/>
      <c r="O641" s="981"/>
      <c r="P641" s="981"/>
      <c r="Q641" s="981"/>
      <c r="R641" s="981"/>
      <c r="S641" s="981"/>
      <c r="T641" s="981"/>
      <c r="U641" s="981"/>
      <c r="V641" s="981"/>
      <c r="W641" s="981"/>
      <c r="X641" s="981"/>
      <c r="Y641" s="981"/>
      <c r="Z641" s="981"/>
      <c r="AA641" s="981"/>
      <c r="AB641" s="981"/>
    </row>
    <row r="642">
      <c r="A642" s="981"/>
      <c r="B642" s="991"/>
      <c r="C642" s="981"/>
      <c r="D642" s="981"/>
      <c r="E642" s="981"/>
      <c r="F642" s="981"/>
      <c r="G642" s="981"/>
      <c r="H642" s="981"/>
      <c r="I642" s="981"/>
      <c r="J642" s="981"/>
      <c r="K642" s="981"/>
      <c r="L642" s="981"/>
      <c r="M642" s="981"/>
      <c r="N642" s="981"/>
      <c r="O642" s="981"/>
      <c r="P642" s="981"/>
      <c r="Q642" s="981"/>
      <c r="R642" s="981"/>
      <c r="S642" s="981"/>
      <c r="T642" s="981"/>
      <c r="U642" s="981"/>
      <c r="V642" s="981"/>
      <c r="W642" s="981"/>
      <c r="X642" s="981"/>
      <c r="Y642" s="981"/>
      <c r="Z642" s="981"/>
      <c r="AA642" s="981"/>
      <c r="AB642" s="981"/>
    </row>
    <row r="643">
      <c r="A643" s="981"/>
      <c r="B643" s="991"/>
      <c r="C643" s="981"/>
      <c r="D643" s="981"/>
      <c r="E643" s="981"/>
      <c r="F643" s="981"/>
      <c r="G643" s="981"/>
      <c r="H643" s="981"/>
      <c r="I643" s="981"/>
      <c r="J643" s="981"/>
      <c r="K643" s="981"/>
      <c r="L643" s="981"/>
      <c r="M643" s="981"/>
      <c r="N643" s="981"/>
      <c r="O643" s="981"/>
      <c r="P643" s="981"/>
      <c r="Q643" s="981"/>
      <c r="R643" s="981"/>
      <c r="S643" s="981"/>
      <c r="T643" s="981"/>
      <c r="U643" s="981"/>
      <c r="V643" s="981"/>
      <c r="W643" s="981"/>
      <c r="X643" s="981"/>
      <c r="Y643" s="981"/>
      <c r="Z643" s="981"/>
      <c r="AA643" s="981"/>
      <c r="AB643" s="981"/>
    </row>
    <row r="644">
      <c r="A644" s="981"/>
      <c r="B644" s="991"/>
      <c r="C644" s="981"/>
      <c r="D644" s="981"/>
      <c r="E644" s="981"/>
      <c r="F644" s="981"/>
      <c r="G644" s="981"/>
      <c r="H644" s="981"/>
      <c r="I644" s="981"/>
      <c r="J644" s="981"/>
      <c r="K644" s="981"/>
      <c r="L644" s="981"/>
      <c r="M644" s="981"/>
      <c r="N644" s="981"/>
      <c r="O644" s="981"/>
      <c r="P644" s="981"/>
      <c r="Q644" s="981"/>
      <c r="R644" s="981"/>
      <c r="S644" s="981"/>
      <c r="T644" s="981"/>
      <c r="U644" s="981"/>
      <c r="V644" s="981"/>
      <c r="W644" s="981"/>
      <c r="X644" s="981"/>
      <c r="Y644" s="981"/>
      <c r="Z644" s="981"/>
      <c r="AA644" s="981"/>
      <c r="AB644" s="981"/>
    </row>
    <row r="645">
      <c r="A645" s="981"/>
      <c r="B645" s="991"/>
      <c r="C645" s="981"/>
      <c r="D645" s="981"/>
      <c r="E645" s="981"/>
      <c r="F645" s="981"/>
      <c r="G645" s="981"/>
      <c r="H645" s="981"/>
      <c r="I645" s="981"/>
      <c r="J645" s="981"/>
      <c r="K645" s="981"/>
      <c r="L645" s="981"/>
      <c r="M645" s="981"/>
      <c r="N645" s="981"/>
      <c r="O645" s="981"/>
      <c r="P645" s="981"/>
      <c r="Q645" s="981"/>
      <c r="R645" s="981"/>
      <c r="S645" s="981"/>
      <c r="T645" s="981"/>
      <c r="U645" s="981"/>
      <c r="V645" s="981"/>
      <c r="W645" s="981"/>
      <c r="X645" s="981"/>
      <c r="Y645" s="981"/>
      <c r="Z645" s="981"/>
      <c r="AA645" s="981"/>
      <c r="AB645" s="981"/>
    </row>
    <row r="646">
      <c r="A646" s="981"/>
      <c r="B646" s="991"/>
      <c r="C646" s="981"/>
      <c r="D646" s="981"/>
      <c r="E646" s="981"/>
      <c r="F646" s="981"/>
      <c r="G646" s="981"/>
      <c r="H646" s="981"/>
      <c r="I646" s="981"/>
      <c r="J646" s="981"/>
      <c r="K646" s="981"/>
      <c r="L646" s="981"/>
      <c r="M646" s="981"/>
      <c r="N646" s="981"/>
      <c r="O646" s="981"/>
      <c r="P646" s="981"/>
      <c r="Q646" s="981"/>
      <c r="R646" s="981"/>
      <c r="S646" s="981"/>
      <c r="T646" s="981"/>
      <c r="U646" s="981"/>
      <c r="V646" s="981"/>
      <c r="W646" s="981"/>
      <c r="X646" s="981"/>
      <c r="Y646" s="981"/>
      <c r="Z646" s="981"/>
      <c r="AA646" s="981"/>
      <c r="AB646" s="981"/>
    </row>
    <row r="647">
      <c r="A647" s="981"/>
      <c r="B647" s="991"/>
      <c r="C647" s="981"/>
      <c r="D647" s="981"/>
      <c r="E647" s="981"/>
      <c r="F647" s="981"/>
      <c r="G647" s="981"/>
      <c r="H647" s="981"/>
      <c r="I647" s="981"/>
      <c r="J647" s="981"/>
      <c r="K647" s="981"/>
      <c r="L647" s="981"/>
      <c r="M647" s="981"/>
      <c r="N647" s="981"/>
      <c r="O647" s="981"/>
      <c r="P647" s="981"/>
      <c r="Q647" s="981"/>
      <c r="R647" s="981"/>
      <c r="S647" s="981"/>
      <c r="T647" s="981"/>
      <c r="U647" s="981"/>
      <c r="V647" s="981"/>
      <c r="W647" s="981"/>
      <c r="X647" s="981"/>
      <c r="Y647" s="981"/>
      <c r="Z647" s="981"/>
      <c r="AA647" s="981"/>
      <c r="AB647" s="981"/>
    </row>
    <row r="648">
      <c r="A648" s="981"/>
      <c r="B648" s="991"/>
      <c r="C648" s="981"/>
      <c r="D648" s="981"/>
      <c r="E648" s="981"/>
      <c r="F648" s="981"/>
      <c r="G648" s="981"/>
      <c r="H648" s="981"/>
      <c r="I648" s="981"/>
      <c r="J648" s="981"/>
      <c r="K648" s="981"/>
      <c r="L648" s="981"/>
      <c r="M648" s="981"/>
      <c r="N648" s="981"/>
      <c r="O648" s="981"/>
      <c r="P648" s="981"/>
      <c r="Q648" s="981"/>
      <c r="R648" s="981"/>
      <c r="S648" s="981"/>
      <c r="T648" s="981"/>
      <c r="U648" s="981"/>
      <c r="V648" s="981"/>
      <c r="W648" s="981"/>
      <c r="X648" s="981"/>
      <c r="Y648" s="981"/>
      <c r="Z648" s="981"/>
      <c r="AA648" s="981"/>
      <c r="AB648" s="981"/>
    </row>
    <row r="649">
      <c r="A649" s="981"/>
      <c r="B649" s="991"/>
      <c r="C649" s="981"/>
      <c r="D649" s="981"/>
      <c r="E649" s="981"/>
      <c r="F649" s="981"/>
      <c r="G649" s="981"/>
      <c r="H649" s="981"/>
      <c r="I649" s="981"/>
      <c r="J649" s="981"/>
      <c r="K649" s="981"/>
      <c r="L649" s="981"/>
      <c r="M649" s="981"/>
      <c r="N649" s="981"/>
      <c r="O649" s="981"/>
      <c r="P649" s="981"/>
      <c r="Q649" s="981"/>
      <c r="R649" s="981"/>
      <c r="S649" s="981"/>
      <c r="T649" s="981"/>
      <c r="U649" s="981"/>
      <c r="V649" s="981"/>
      <c r="W649" s="981"/>
      <c r="X649" s="981"/>
      <c r="Y649" s="981"/>
      <c r="Z649" s="981"/>
      <c r="AA649" s="981"/>
      <c r="AB649" s="981"/>
    </row>
    <row r="650">
      <c r="A650" s="981"/>
      <c r="B650" s="991"/>
      <c r="C650" s="981"/>
      <c r="D650" s="981"/>
      <c r="E650" s="981"/>
      <c r="F650" s="981"/>
      <c r="G650" s="981"/>
      <c r="H650" s="981"/>
      <c r="I650" s="981"/>
      <c r="J650" s="981"/>
      <c r="K650" s="981"/>
      <c r="L650" s="981"/>
      <c r="M650" s="981"/>
      <c r="N650" s="981"/>
      <c r="O650" s="981"/>
      <c r="P650" s="981"/>
      <c r="Q650" s="981"/>
      <c r="R650" s="981"/>
      <c r="S650" s="981"/>
      <c r="T650" s="981"/>
      <c r="U650" s="981"/>
      <c r="V650" s="981"/>
      <c r="W650" s="981"/>
      <c r="X650" s="981"/>
      <c r="Y650" s="981"/>
      <c r="Z650" s="981"/>
      <c r="AA650" s="981"/>
      <c r="AB650" s="981"/>
    </row>
    <row r="651">
      <c r="A651" s="981"/>
      <c r="B651" s="991"/>
      <c r="C651" s="981"/>
      <c r="D651" s="981"/>
      <c r="E651" s="981"/>
      <c r="F651" s="981"/>
      <c r="G651" s="981"/>
      <c r="H651" s="981"/>
      <c r="I651" s="981"/>
      <c r="J651" s="981"/>
      <c r="K651" s="981"/>
      <c r="L651" s="981"/>
      <c r="M651" s="981"/>
      <c r="N651" s="981"/>
      <c r="O651" s="981"/>
      <c r="P651" s="981"/>
      <c r="Q651" s="981"/>
      <c r="R651" s="981"/>
      <c r="S651" s="981"/>
      <c r="T651" s="981"/>
      <c r="U651" s="981"/>
      <c r="V651" s="981"/>
      <c r="W651" s="981"/>
      <c r="X651" s="981"/>
      <c r="Y651" s="981"/>
      <c r="Z651" s="981"/>
      <c r="AA651" s="981"/>
      <c r="AB651" s="981"/>
    </row>
    <row r="652">
      <c r="A652" s="981"/>
      <c r="B652" s="991"/>
      <c r="C652" s="981"/>
      <c r="D652" s="981"/>
      <c r="E652" s="981"/>
      <c r="F652" s="981"/>
      <c r="G652" s="981"/>
      <c r="H652" s="981"/>
      <c r="I652" s="981"/>
      <c r="J652" s="981"/>
      <c r="K652" s="981"/>
      <c r="L652" s="981"/>
      <c r="M652" s="981"/>
      <c r="N652" s="981"/>
      <c r="O652" s="981"/>
      <c r="P652" s="981"/>
      <c r="Q652" s="981"/>
      <c r="R652" s="981"/>
      <c r="S652" s="981"/>
      <c r="T652" s="981"/>
      <c r="U652" s="981"/>
      <c r="V652" s="981"/>
      <c r="W652" s="981"/>
      <c r="X652" s="981"/>
      <c r="Y652" s="981"/>
      <c r="Z652" s="981"/>
      <c r="AA652" s="981"/>
      <c r="AB652" s="981"/>
    </row>
    <row r="653">
      <c r="A653" s="981"/>
      <c r="B653" s="991"/>
      <c r="C653" s="981"/>
      <c r="D653" s="981"/>
      <c r="E653" s="981"/>
      <c r="F653" s="981"/>
      <c r="G653" s="981"/>
      <c r="H653" s="981"/>
      <c r="I653" s="981"/>
      <c r="J653" s="981"/>
      <c r="K653" s="981"/>
      <c r="L653" s="981"/>
      <c r="M653" s="981"/>
      <c r="N653" s="981"/>
      <c r="O653" s="981"/>
      <c r="P653" s="981"/>
      <c r="Q653" s="981"/>
      <c r="R653" s="981"/>
      <c r="S653" s="981"/>
      <c r="T653" s="981"/>
      <c r="U653" s="981"/>
      <c r="V653" s="981"/>
      <c r="W653" s="981"/>
      <c r="X653" s="981"/>
      <c r="Y653" s="981"/>
      <c r="Z653" s="981"/>
      <c r="AA653" s="981"/>
      <c r="AB653" s="981"/>
    </row>
    <row r="654">
      <c r="A654" s="981"/>
      <c r="B654" s="991"/>
      <c r="C654" s="981"/>
      <c r="D654" s="981"/>
      <c r="E654" s="981"/>
      <c r="F654" s="981"/>
      <c r="G654" s="981"/>
      <c r="H654" s="981"/>
      <c r="I654" s="981"/>
      <c r="J654" s="981"/>
      <c r="K654" s="981"/>
      <c r="L654" s="981"/>
      <c r="M654" s="981"/>
      <c r="N654" s="981"/>
      <c r="O654" s="981"/>
      <c r="P654" s="981"/>
      <c r="Q654" s="981"/>
      <c r="R654" s="981"/>
      <c r="S654" s="981"/>
      <c r="T654" s="981"/>
      <c r="U654" s="981"/>
      <c r="V654" s="981"/>
      <c r="W654" s="981"/>
      <c r="X654" s="981"/>
      <c r="Y654" s="981"/>
      <c r="Z654" s="981"/>
      <c r="AA654" s="981"/>
      <c r="AB654" s="981"/>
    </row>
    <row r="655">
      <c r="A655" s="981"/>
      <c r="B655" s="991"/>
      <c r="C655" s="981"/>
      <c r="D655" s="981"/>
      <c r="E655" s="981"/>
      <c r="F655" s="981"/>
      <c r="G655" s="981"/>
      <c r="H655" s="981"/>
      <c r="I655" s="981"/>
      <c r="J655" s="981"/>
      <c r="K655" s="981"/>
      <c r="L655" s="981"/>
      <c r="M655" s="981"/>
      <c r="N655" s="981"/>
      <c r="O655" s="981"/>
      <c r="P655" s="981"/>
      <c r="Q655" s="981"/>
      <c r="R655" s="981"/>
      <c r="S655" s="981"/>
      <c r="T655" s="981"/>
      <c r="U655" s="981"/>
      <c r="V655" s="981"/>
      <c r="W655" s="981"/>
      <c r="X655" s="981"/>
      <c r="Y655" s="981"/>
      <c r="Z655" s="981"/>
      <c r="AA655" s="981"/>
      <c r="AB655" s="981"/>
    </row>
    <row r="656">
      <c r="A656" s="981"/>
      <c r="B656" s="991"/>
      <c r="C656" s="981"/>
      <c r="D656" s="981"/>
      <c r="E656" s="981"/>
      <c r="F656" s="981"/>
      <c r="G656" s="981"/>
      <c r="H656" s="981"/>
      <c r="I656" s="981"/>
      <c r="J656" s="981"/>
      <c r="K656" s="981"/>
      <c r="L656" s="981"/>
      <c r="M656" s="981"/>
      <c r="N656" s="981"/>
      <c r="O656" s="981"/>
      <c r="P656" s="981"/>
      <c r="Q656" s="981"/>
      <c r="R656" s="981"/>
      <c r="S656" s="981"/>
      <c r="T656" s="981"/>
      <c r="U656" s="981"/>
      <c r="V656" s="981"/>
      <c r="W656" s="981"/>
      <c r="X656" s="981"/>
      <c r="Y656" s="981"/>
      <c r="Z656" s="981"/>
      <c r="AA656" s="981"/>
      <c r="AB656" s="981"/>
    </row>
    <row r="657">
      <c r="A657" s="981"/>
      <c r="B657" s="991"/>
      <c r="C657" s="981"/>
      <c r="D657" s="981"/>
      <c r="E657" s="981"/>
      <c r="F657" s="981"/>
      <c r="G657" s="981"/>
      <c r="H657" s="981"/>
      <c r="I657" s="981"/>
      <c r="J657" s="981"/>
      <c r="K657" s="981"/>
      <c r="L657" s="981"/>
      <c r="M657" s="981"/>
      <c r="N657" s="981"/>
      <c r="O657" s="981"/>
      <c r="P657" s="981"/>
      <c r="Q657" s="981"/>
      <c r="R657" s="981"/>
      <c r="S657" s="981"/>
      <c r="T657" s="981"/>
      <c r="U657" s="981"/>
      <c r="V657" s="981"/>
      <c r="W657" s="981"/>
      <c r="X657" s="981"/>
      <c r="Y657" s="981"/>
      <c r="Z657" s="981"/>
      <c r="AA657" s="981"/>
      <c r="AB657" s="981"/>
    </row>
    <row r="658">
      <c r="A658" s="981"/>
      <c r="B658" s="991"/>
      <c r="C658" s="981"/>
      <c r="D658" s="981"/>
      <c r="E658" s="981"/>
      <c r="F658" s="981"/>
      <c r="G658" s="981"/>
      <c r="H658" s="981"/>
      <c r="I658" s="981"/>
      <c r="J658" s="981"/>
      <c r="K658" s="981"/>
      <c r="L658" s="981"/>
      <c r="M658" s="981"/>
      <c r="N658" s="981"/>
      <c r="O658" s="981"/>
      <c r="P658" s="981"/>
      <c r="Q658" s="981"/>
      <c r="R658" s="981"/>
      <c r="S658" s="981"/>
      <c r="T658" s="981"/>
      <c r="U658" s="981"/>
      <c r="V658" s="981"/>
      <c r="W658" s="981"/>
      <c r="X658" s="981"/>
      <c r="Y658" s="981"/>
      <c r="Z658" s="981"/>
      <c r="AA658" s="981"/>
      <c r="AB658" s="981"/>
    </row>
    <row r="659">
      <c r="A659" s="981"/>
      <c r="B659" s="991"/>
      <c r="C659" s="981"/>
      <c r="D659" s="981"/>
      <c r="E659" s="981"/>
      <c r="F659" s="981"/>
      <c r="G659" s="981"/>
      <c r="H659" s="981"/>
      <c r="I659" s="981"/>
      <c r="J659" s="981"/>
      <c r="K659" s="981"/>
      <c r="L659" s="981"/>
      <c r="M659" s="981"/>
      <c r="N659" s="981"/>
      <c r="O659" s="981"/>
      <c r="P659" s="981"/>
      <c r="Q659" s="981"/>
      <c r="R659" s="981"/>
      <c r="S659" s="981"/>
      <c r="T659" s="981"/>
      <c r="U659" s="981"/>
      <c r="V659" s="981"/>
      <c r="W659" s="981"/>
      <c r="X659" s="981"/>
      <c r="Y659" s="981"/>
      <c r="Z659" s="981"/>
      <c r="AA659" s="981"/>
      <c r="AB659" s="981"/>
    </row>
    <row r="660">
      <c r="A660" s="981"/>
      <c r="B660" s="991"/>
      <c r="C660" s="981"/>
      <c r="D660" s="981"/>
      <c r="E660" s="981"/>
      <c r="F660" s="981"/>
      <c r="G660" s="981"/>
      <c r="H660" s="981"/>
      <c r="I660" s="981"/>
      <c r="J660" s="981"/>
      <c r="K660" s="981"/>
      <c r="L660" s="981"/>
      <c r="M660" s="981"/>
      <c r="N660" s="981"/>
      <c r="O660" s="981"/>
      <c r="P660" s="981"/>
      <c r="Q660" s="981"/>
      <c r="R660" s="981"/>
      <c r="S660" s="981"/>
      <c r="T660" s="981"/>
      <c r="U660" s="981"/>
      <c r="V660" s="981"/>
      <c r="W660" s="981"/>
      <c r="X660" s="981"/>
      <c r="Y660" s="981"/>
      <c r="Z660" s="981"/>
      <c r="AA660" s="981"/>
      <c r="AB660" s="981"/>
    </row>
    <row r="661">
      <c r="A661" s="981"/>
      <c r="B661" s="991"/>
      <c r="C661" s="981"/>
      <c r="D661" s="981"/>
      <c r="E661" s="981"/>
      <c r="F661" s="981"/>
      <c r="G661" s="981"/>
      <c r="H661" s="981"/>
      <c r="I661" s="981"/>
      <c r="J661" s="981"/>
      <c r="K661" s="981"/>
      <c r="L661" s="981"/>
      <c r="M661" s="981"/>
      <c r="N661" s="981"/>
      <c r="O661" s="981"/>
      <c r="P661" s="981"/>
      <c r="Q661" s="981"/>
      <c r="R661" s="981"/>
      <c r="S661" s="981"/>
      <c r="T661" s="981"/>
      <c r="U661" s="981"/>
      <c r="V661" s="981"/>
      <c r="W661" s="981"/>
      <c r="X661" s="981"/>
      <c r="Y661" s="981"/>
      <c r="Z661" s="981"/>
      <c r="AA661" s="981"/>
      <c r="AB661" s="981"/>
    </row>
    <row r="662">
      <c r="A662" s="981"/>
      <c r="B662" s="991"/>
      <c r="C662" s="981"/>
      <c r="D662" s="981"/>
      <c r="E662" s="981"/>
      <c r="F662" s="981"/>
      <c r="G662" s="981"/>
      <c r="H662" s="981"/>
      <c r="I662" s="981"/>
      <c r="J662" s="981"/>
      <c r="K662" s="981"/>
      <c r="L662" s="981"/>
      <c r="M662" s="981"/>
      <c r="N662" s="981"/>
      <c r="O662" s="981"/>
      <c r="P662" s="981"/>
      <c r="Q662" s="981"/>
      <c r="R662" s="981"/>
      <c r="S662" s="981"/>
      <c r="T662" s="981"/>
      <c r="U662" s="981"/>
      <c r="V662" s="981"/>
      <c r="W662" s="981"/>
      <c r="X662" s="981"/>
      <c r="Y662" s="981"/>
      <c r="Z662" s="981"/>
      <c r="AA662" s="981"/>
      <c r="AB662" s="981"/>
    </row>
    <row r="663">
      <c r="A663" s="981"/>
      <c r="B663" s="991"/>
      <c r="C663" s="981"/>
      <c r="D663" s="981"/>
      <c r="E663" s="981"/>
      <c r="F663" s="981"/>
      <c r="G663" s="981"/>
      <c r="H663" s="981"/>
      <c r="I663" s="981"/>
      <c r="J663" s="981"/>
      <c r="K663" s="981"/>
      <c r="L663" s="981"/>
      <c r="M663" s="981"/>
      <c r="N663" s="981"/>
      <c r="O663" s="981"/>
      <c r="P663" s="981"/>
      <c r="Q663" s="981"/>
      <c r="R663" s="981"/>
      <c r="S663" s="981"/>
      <c r="T663" s="981"/>
      <c r="U663" s="981"/>
      <c r="V663" s="981"/>
      <c r="W663" s="981"/>
      <c r="X663" s="981"/>
      <c r="Y663" s="981"/>
      <c r="Z663" s="981"/>
      <c r="AA663" s="981"/>
      <c r="AB663" s="981"/>
    </row>
    <row r="664">
      <c r="A664" s="981"/>
      <c r="B664" s="991"/>
      <c r="C664" s="981"/>
      <c r="D664" s="981"/>
      <c r="E664" s="981"/>
      <c r="F664" s="981"/>
      <c r="G664" s="981"/>
      <c r="H664" s="981"/>
      <c r="I664" s="981"/>
      <c r="J664" s="981"/>
      <c r="K664" s="981"/>
      <c r="L664" s="981"/>
      <c r="M664" s="981"/>
      <c r="N664" s="981"/>
      <c r="O664" s="981"/>
      <c r="P664" s="981"/>
      <c r="Q664" s="981"/>
      <c r="R664" s="981"/>
      <c r="S664" s="981"/>
      <c r="T664" s="981"/>
      <c r="U664" s="981"/>
      <c r="V664" s="981"/>
      <c r="W664" s="981"/>
      <c r="X664" s="981"/>
      <c r="Y664" s="981"/>
      <c r="Z664" s="981"/>
      <c r="AA664" s="981"/>
      <c r="AB664" s="981"/>
    </row>
    <row r="665">
      <c r="A665" s="981"/>
      <c r="B665" s="991"/>
      <c r="C665" s="981"/>
      <c r="D665" s="981"/>
      <c r="E665" s="981"/>
      <c r="F665" s="981"/>
      <c r="G665" s="981"/>
      <c r="H665" s="981"/>
      <c r="I665" s="981"/>
      <c r="J665" s="981"/>
      <c r="K665" s="981"/>
      <c r="L665" s="981"/>
      <c r="M665" s="981"/>
      <c r="N665" s="981"/>
      <c r="O665" s="981"/>
      <c r="P665" s="981"/>
      <c r="Q665" s="981"/>
      <c r="R665" s="981"/>
      <c r="S665" s="981"/>
      <c r="T665" s="981"/>
      <c r="U665" s="981"/>
      <c r="V665" s="981"/>
      <c r="W665" s="981"/>
      <c r="X665" s="981"/>
      <c r="Y665" s="981"/>
      <c r="Z665" s="981"/>
      <c r="AA665" s="981"/>
      <c r="AB665" s="981"/>
    </row>
    <row r="666">
      <c r="A666" s="981"/>
      <c r="B666" s="991"/>
      <c r="C666" s="981"/>
      <c r="D666" s="981"/>
      <c r="E666" s="981"/>
      <c r="F666" s="981"/>
      <c r="G666" s="981"/>
      <c r="H666" s="981"/>
      <c r="I666" s="981"/>
      <c r="J666" s="981"/>
      <c r="K666" s="981"/>
      <c r="L666" s="981"/>
      <c r="M666" s="981"/>
      <c r="N666" s="981"/>
      <c r="O666" s="981"/>
      <c r="P666" s="981"/>
      <c r="Q666" s="981"/>
      <c r="R666" s="981"/>
      <c r="S666" s="981"/>
      <c r="T666" s="981"/>
      <c r="U666" s="981"/>
      <c r="V666" s="981"/>
      <c r="W666" s="981"/>
      <c r="X666" s="981"/>
      <c r="Y666" s="981"/>
      <c r="Z666" s="981"/>
      <c r="AA666" s="981"/>
      <c r="AB666" s="981"/>
    </row>
    <row r="667">
      <c r="A667" s="981"/>
      <c r="B667" s="991"/>
      <c r="C667" s="981"/>
      <c r="D667" s="981"/>
      <c r="E667" s="981"/>
      <c r="F667" s="981"/>
      <c r="G667" s="981"/>
      <c r="H667" s="981"/>
      <c r="I667" s="981"/>
      <c r="J667" s="981"/>
      <c r="K667" s="981"/>
      <c r="L667" s="981"/>
      <c r="M667" s="981"/>
      <c r="N667" s="981"/>
      <c r="O667" s="981"/>
      <c r="P667" s="981"/>
      <c r="Q667" s="981"/>
      <c r="R667" s="981"/>
      <c r="S667" s="981"/>
      <c r="T667" s="981"/>
      <c r="U667" s="981"/>
      <c r="V667" s="981"/>
      <c r="W667" s="981"/>
      <c r="X667" s="981"/>
      <c r="Y667" s="981"/>
      <c r="Z667" s="981"/>
      <c r="AA667" s="981"/>
      <c r="AB667" s="981"/>
    </row>
    <row r="668">
      <c r="A668" s="981"/>
      <c r="B668" s="991"/>
      <c r="C668" s="981"/>
      <c r="D668" s="981"/>
      <c r="E668" s="981"/>
      <c r="F668" s="981"/>
      <c r="G668" s="981"/>
      <c r="H668" s="981"/>
      <c r="I668" s="981"/>
      <c r="J668" s="981"/>
      <c r="K668" s="981"/>
      <c r="L668" s="981"/>
      <c r="M668" s="981"/>
      <c r="N668" s="981"/>
      <c r="O668" s="981"/>
      <c r="P668" s="981"/>
      <c r="Q668" s="981"/>
      <c r="R668" s="981"/>
      <c r="S668" s="981"/>
      <c r="T668" s="981"/>
      <c r="U668" s="981"/>
      <c r="V668" s="981"/>
      <c r="W668" s="981"/>
      <c r="X668" s="981"/>
      <c r="Y668" s="981"/>
      <c r="Z668" s="981"/>
      <c r="AA668" s="981"/>
      <c r="AB668" s="981"/>
    </row>
    <row r="669">
      <c r="A669" s="981"/>
      <c r="B669" s="991"/>
      <c r="C669" s="981"/>
      <c r="D669" s="981"/>
      <c r="E669" s="981"/>
      <c r="F669" s="981"/>
      <c r="G669" s="981"/>
      <c r="H669" s="981"/>
      <c r="I669" s="981"/>
      <c r="J669" s="981"/>
      <c r="K669" s="981"/>
      <c r="L669" s="981"/>
      <c r="M669" s="981"/>
      <c r="N669" s="981"/>
      <c r="O669" s="981"/>
      <c r="P669" s="981"/>
      <c r="Q669" s="981"/>
      <c r="R669" s="981"/>
      <c r="S669" s="981"/>
      <c r="T669" s="981"/>
      <c r="U669" s="981"/>
      <c r="V669" s="981"/>
      <c r="W669" s="981"/>
      <c r="X669" s="981"/>
      <c r="Y669" s="981"/>
      <c r="Z669" s="981"/>
      <c r="AA669" s="981"/>
      <c r="AB669" s="981"/>
    </row>
    <row r="670">
      <c r="A670" s="981"/>
      <c r="B670" s="991"/>
      <c r="C670" s="981"/>
      <c r="D670" s="981"/>
      <c r="E670" s="981"/>
      <c r="F670" s="981"/>
      <c r="G670" s="981"/>
      <c r="H670" s="981"/>
      <c r="I670" s="981"/>
      <c r="J670" s="981"/>
      <c r="K670" s="981"/>
      <c r="L670" s="981"/>
      <c r="M670" s="981"/>
      <c r="N670" s="981"/>
      <c r="O670" s="981"/>
      <c r="P670" s="981"/>
      <c r="Q670" s="981"/>
      <c r="R670" s="981"/>
      <c r="S670" s="981"/>
      <c r="T670" s="981"/>
      <c r="U670" s="981"/>
      <c r="V670" s="981"/>
      <c r="W670" s="981"/>
      <c r="X670" s="981"/>
      <c r="Y670" s="981"/>
      <c r="Z670" s="981"/>
      <c r="AA670" s="981"/>
      <c r="AB670" s="981"/>
    </row>
    <row r="671">
      <c r="A671" s="981"/>
      <c r="B671" s="991"/>
      <c r="C671" s="981"/>
      <c r="D671" s="981"/>
      <c r="E671" s="981"/>
      <c r="F671" s="981"/>
      <c r="G671" s="981"/>
      <c r="H671" s="981"/>
      <c r="I671" s="981"/>
      <c r="J671" s="981"/>
      <c r="K671" s="981"/>
      <c r="L671" s="981"/>
      <c r="M671" s="981"/>
      <c r="N671" s="981"/>
      <c r="O671" s="981"/>
      <c r="P671" s="981"/>
      <c r="Q671" s="981"/>
      <c r="R671" s="981"/>
      <c r="S671" s="981"/>
      <c r="T671" s="981"/>
      <c r="U671" s="981"/>
      <c r="V671" s="981"/>
      <c r="W671" s="981"/>
      <c r="X671" s="981"/>
      <c r="Y671" s="981"/>
      <c r="Z671" s="981"/>
      <c r="AA671" s="981"/>
      <c r="AB671" s="981"/>
    </row>
    <row r="672">
      <c r="A672" s="981"/>
      <c r="B672" s="991"/>
      <c r="C672" s="981"/>
      <c r="D672" s="981"/>
      <c r="E672" s="981"/>
      <c r="F672" s="981"/>
      <c r="G672" s="981"/>
      <c r="H672" s="981"/>
      <c r="I672" s="981"/>
      <c r="J672" s="981"/>
      <c r="K672" s="981"/>
      <c r="L672" s="981"/>
      <c r="M672" s="981"/>
      <c r="N672" s="981"/>
      <c r="O672" s="981"/>
      <c r="P672" s="981"/>
      <c r="Q672" s="981"/>
      <c r="R672" s="981"/>
      <c r="S672" s="981"/>
      <c r="T672" s="981"/>
      <c r="U672" s="981"/>
      <c r="V672" s="981"/>
      <c r="W672" s="981"/>
      <c r="X672" s="981"/>
      <c r="Y672" s="981"/>
      <c r="Z672" s="981"/>
      <c r="AA672" s="981"/>
      <c r="AB672" s="981"/>
    </row>
    <row r="673">
      <c r="A673" s="981"/>
      <c r="B673" s="991"/>
      <c r="C673" s="981"/>
      <c r="D673" s="981"/>
      <c r="E673" s="981"/>
      <c r="F673" s="981"/>
      <c r="G673" s="981"/>
      <c r="H673" s="981"/>
      <c r="I673" s="981"/>
      <c r="J673" s="981"/>
      <c r="K673" s="981"/>
      <c r="L673" s="981"/>
      <c r="M673" s="981"/>
      <c r="N673" s="981"/>
      <c r="O673" s="981"/>
      <c r="P673" s="981"/>
      <c r="Q673" s="981"/>
      <c r="R673" s="981"/>
      <c r="S673" s="981"/>
      <c r="T673" s="981"/>
      <c r="U673" s="981"/>
      <c r="V673" s="981"/>
      <c r="W673" s="981"/>
      <c r="X673" s="981"/>
      <c r="Y673" s="981"/>
      <c r="Z673" s="981"/>
      <c r="AA673" s="981"/>
      <c r="AB673" s="981"/>
    </row>
    <row r="674">
      <c r="A674" s="981"/>
      <c r="B674" s="991"/>
      <c r="C674" s="981"/>
      <c r="D674" s="981"/>
      <c r="E674" s="981"/>
      <c r="F674" s="981"/>
      <c r="G674" s="981"/>
      <c r="H674" s="981"/>
      <c r="I674" s="981"/>
      <c r="J674" s="981"/>
      <c r="K674" s="981"/>
      <c r="L674" s="981"/>
      <c r="M674" s="981"/>
      <c r="N674" s="981"/>
      <c r="O674" s="981"/>
      <c r="P674" s="981"/>
      <c r="Q674" s="981"/>
      <c r="R674" s="981"/>
      <c r="S674" s="981"/>
      <c r="T674" s="981"/>
      <c r="U674" s="981"/>
      <c r="V674" s="981"/>
      <c r="W674" s="981"/>
      <c r="X674" s="981"/>
      <c r="Y674" s="981"/>
      <c r="Z674" s="981"/>
      <c r="AA674" s="981"/>
      <c r="AB674" s="981"/>
    </row>
    <row r="675">
      <c r="A675" s="981"/>
      <c r="B675" s="991"/>
      <c r="C675" s="981"/>
      <c r="D675" s="981"/>
      <c r="E675" s="981"/>
      <c r="F675" s="981"/>
      <c r="G675" s="981"/>
      <c r="H675" s="981"/>
      <c r="I675" s="981"/>
      <c r="J675" s="981"/>
      <c r="K675" s="981"/>
      <c r="L675" s="981"/>
      <c r="M675" s="981"/>
      <c r="N675" s="981"/>
      <c r="O675" s="981"/>
      <c r="P675" s="981"/>
      <c r="Q675" s="981"/>
      <c r="R675" s="981"/>
      <c r="S675" s="981"/>
      <c r="T675" s="981"/>
      <c r="U675" s="981"/>
      <c r="V675" s="981"/>
      <c r="W675" s="981"/>
      <c r="X675" s="981"/>
      <c r="Y675" s="981"/>
      <c r="Z675" s="981"/>
      <c r="AA675" s="981"/>
      <c r="AB675" s="981"/>
    </row>
    <row r="676">
      <c r="A676" s="981"/>
      <c r="B676" s="991"/>
      <c r="C676" s="981"/>
      <c r="D676" s="981"/>
      <c r="E676" s="981"/>
      <c r="F676" s="981"/>
      <c r="G676" s="981"/>
      <c r="H676" s="981"/>
      <c r="I676" s="981"/>
      <c r="J676" s="981"/>
      <c r="K676" s="981"/>
      <c r="L676" s="981"/>
      <c r="M676" s="981"/>
      <c r="N676" s="981"/>
      <c r="O676" s="981"/>
      <c r="P676" s="981"/>
      <c r="Q676" s="981"/>
      <c r="R676" s="981"/>
      <c r="S676" s="981"/>
      <c r="T676" s="981"/>
      <c r="U676" s="981"/>
      <c r="V676" s="981"/>
      <c r="W676" s="981"/>
      <c r="X676" s="981"/>
      <c r="Y676" s="981"/>
      <c r="Z676" s="981"/>
      <c r="AA676" s="981"/>
      <c r="AB676" s="981"/>
    </row>
    <row r="677">
      <c r="A677" s="981"/>
      <c r="B677" s="991"/>
      <c r="C677" s="981"/>
      <c r="D677" s="981"/>
      <c r="E677" s="981"/>
      <c r="F677" s="981"/>
      <c r="G677" s="981"/>
      <c r="H677" s="981"/>
      <c r="I677" s="981"/>
      <c r="J677" s="981"/>
      <c r="K677" s="981"/>
      <c r="L677" s="981"/>
      <c r="M677" s="981"/>
      <c r="N677" s="981"/>
      <c r="O677" s="981"/>
      <c r="P677" s="981"/>
      <c r="Q677" s="981"/>
      <c r="R677" s="981"/>
      <c r="S677" s="981"/>
      <c r="T677" s="981"/>
      <c r="U677" s="981"/>
      <c r="V677" s="981"/>
      <c r="W677" s="981"/>
      <c r="X677" s="981"/>
      <c r="Y677" s="981"/>
      <c r="Z677" s="981"/>
      <c r="AA677" s="981"/>
      <c r="AB677" s="981"/>
    </row>
    <row r="678">
      <c r="A678" s="981"/>
      <c r="B678" s="991"/>
      <c r="C678" s="981"/>
      <c r="D678" s="981"/>
      <c r="E678" s="981"/>
      <c r="F678" s="981"/>
      <c r="G678" s="981"/>
      <c r="H678" s="981"/>
      <c r="I678" s="981"/>
      <c r="J678" s="981"/>
      <c r="K678" s="981"/>
      <c r="L678" s="981"/>
      <c r="M678" s="981"/>
      <c r="N678" s="981"/>
      <c r="O678" s="981"/>
      <c r="P678" s="981"/>
      <c r="Q678" s="981"/>
      <c r="R678" s="981"/>
      <c r="S678" s="981"/>
      <c r="T678" s="981"/>
      <c r="U678" s="981"/>
      <c r="V678" s="981"/>
      <c r="W678" s="981"/>
      <c r="X678" s="981"/>
      <c r="Y678" s="981"/>
      <c r="Z678" s="981"/>
      <c r="AA678" s="981"/>
      <c r="AB678" s="981"/>
    </row>
    <row r="679">
      <c r="A679" s="981"/>
      <c r="B679" s="991"/>
      <c r="C679" s="981"/>
      <c r="D679" s="981"/>
      <c r="E679" s="981"/>
      <c r="F679" s="981"/>
      <c r="G679" s="981"/>
      <c r="H679" s="981"/>
      <c r="I679" s="981"/>
      <c r="J679" s="981"/>
      <c r="K679" s="981"/>
      <c r="L679" s="981"/>
      <c r="M679" s="981"/>
      <c r="N679" s="981"/>
      <c r="O679" s="981"/>
      <c r="P679" s="981"/>
      <c r="Q679" s="981"/>
      <c r="R679" s="981"/>
      <c r="S679" s="981"/>
      <c r="T679" s="981"/>
      <c r="U679" s="981"/>
      <c r="V679" s="981"/>
      <c r="W679" s="981"/>
      <c r="X679" s="981"/>
      <c r="Y679" s="981"/>
      <c r="Z679" s="981"/>
      <c r="AA679" s="981"/>
      <c r="AB679" s="981"/>
    </row>
    <row r="680">
      <c r="A680" s="981"/>
      <c r="B680" s="991"/>
      <c r="C680" s="981"/>
      <c r="D680" s="981"/>
      <c r="E680" s="981"/>
      <c r="F680" s="981"/>
      <c r="G680" s="981"/>
      <c r="H680" s="981"/>
      <c r="I680" s="981"/>
      <c r="J680" s="981"/>
      <c r="K680" s="981"/>
      <c r="L680" s="981"/>
      <c r="M680" s="981"/>
      <c r="N680" s="981"/>
      <c r="O680" s="981"/>
      <c r="P680" s="981"/>
      <c r="Q680" s="981"/>
      <c r="R680" s="981"/>
      <c r="S680" s="981"/>
      <c r="T680" s="981"/>
      <c r="U680" s="981"/>
      <c r="V680" s="981"/>
      <c r="W680" s="981"/>
      <c r="X680" s="981"/>
      <c r="Y680" s="981"/>
      <c r="Z680" s="981"/>
      <c r="AA680" s="981"/>
      <c r="AB680" s="981"/>
    </row>
    <row r="681">
      <c r="A681" s="981"/>
      <c r="B681" s="991"/>
      <c r="C681" s="981"/>
      <c r="D681" s="981"/>
      <c r="E681" s="981"/>
      <c r="F681" s="981"/>
      <c r="G681" s="981"/>
      <c r="H681" s="981"/>
      <c r="I681" s="981"/>
      <c r="J681" s="981"/>
      <c r="K681" s="981"/>
      <c r="L681" s="981"/>
      <c r="M681" s="981"/>
      <c r="N681" s="981"/>
      <c r="O681" s="981"/>
      <c r="P681" s="981"/>
      <c r="Q681" s="981"/>
      <c r="R681" s="981"/>
      <c r="S681" s="981"/>
      <c r="T681" s="981"/>
      <c r="U681" s="981"/>
      <c r="V681" s="981"/>
      <c r="W681" s="981"/>
      <c r="X681" s="981"/>
      <c r="Y681" s="981"/>
      <c r="Z681" s="981"/>
      <c r="AA681" s="981"/>
      <c r="AB681" s="981"/>
    </row>
    <row r="682">
      <c r="A682" s="981"/>
      <c r="B682" s="991"/>
      <c r="C682" s="981"/>
      <c r="D682" s="981"/>
      <c r="E682" s="981"/>
      <c r="F682" s="981"/>
      <c r="G682" s="981"/>
      <c r="H682" s="981"/>
      <c r="I682" s="981"/>
      <c r="J682" s="981"/>
      <c r="K682" s="981"/>
      <c r="L682" s="981"/>
      <c r="M682" s="981"/>
      <c r="N682" s="981"/>
      <c r="O682" s="981"/>
      <c r="P682" s="981"/>
      <c r="Q682" s="981"/>
      <c r="R682" s="981"/>
      <c r="S682" s="981"/>
      <c r="T682" s="981"/>
      <c r="U682" s="981"/>
      <c r="V682" s="981"/>
      <c r="W682" s="981"/>
      <c r="X682" s="981"/>
      <c r="Y682" s="981"/>
      <c r="Z682" s="981"/>
      <c r="AA682" s="981"/>
      <c r="AB682" s="981"/>
    </row>
    <row r="683">
      <c r="A683" s="981"/>
      <c r="B683" s="991"/>
      <c r="C683" s="981"/>
      <c r="D683" s="981"/>
      <c r="E683" s="981"/>
      <c r="F683" s="981"/>
      <c r="G683" s="981"/>
      <c r="H683" s="981"/>
      <c r="I683" s="981"/>
      <c r="J683" s="981"/>
      <c r="K683" s="981"/>
      <c r="L683" s="981"/>
      <c r="M683" s="981"/>
      <c r="N683" s="981"/>
      <c r="O683" s="981"/>
      <c r="P683" s="981"/>
      <c r="Q683" s="981"/>
      <c r="R683" s="981"/>
      <c r="S683" s="981"/>
      <c r="T683" s="981"/>
      <c r="U683" s="981"/>
      <c r="V683" s="981"/>
      <c r="W683" s="981"/>
      <c r="X683" s="981"/>
      <c r="Y683" s="981"/>
      <c r="Z683" s="981"/>
      <c r="AA683" s="981"/>
      <c r="AB683" s="981"/>
    </row>
    <row r="684">
      <c r="A684" s="981"/>
      <c r="B684" s="991"/>
      <c r="C684" s="981"/>
      <c r="D684" s="981"/>
      <c r="E684" s="981"/>
      <c r="F684" s="981"/>
      <c r="G684" s="981"/>
      <c r="H684" s="981"/>
      <c r="I684" s="981"/>
      <c r="J684" s="981"/>
      <c r="K684" s="981"/>
      <c r="L684" s="981"/>
      <c r="M684" s="981"/>
      <c r="N684" s="981"/>
      <c r="O684" s="981"/>
      <c r="P684" s="981"/>
      <c r="Q684" s="981"/>
      <c r="R684" s="981"/>
      <c r="S684" s="981"/>
      <c r="T684" s="981"/>
      <c r="U684" s="981"/>
      <c r="V684" s="981"/>
      <c r="W684" s="981"/>
      <c r="X684" s="981"/>
      <c r="Y684" s="981"/>
      <c r="Z684" s="981"/>
      <c r="AA684" s="981"/>
      <c r="AB684" s="981"/>
    </row>
    <row r="685">
      <c r="A685" s="981"/>
      <c r="B685" s="991"/>
      <c r="C685" s="981"/>
      <c r="D685" s="981"/>
      <c r="E685" s="981"/>
      <c r="F685" s="981"/>
      <c r="G685" s="981"/>
      <c r="H685" s="981"/>
      <c r="I685" s="981"/>
      <c r="J685" s="981"/>
      <c r="K685" s="981"/>
      <c r="L685" s="981"/>
      <c r="M685" s="981"/>
      <c r="N685" s="981"/>
      <c r="O685" s="981"/>
      <c r="P685" s="981"/>
      <c r="Q685" s="981"/>
      <c r="R685" s="981"/>
      <c r="S685" s="981"/>
      <c r="T685" s="981"/>
      <c r="U685" s="981"/>
      <c r="V685" s="981"/>
      <c r="W685" s="981"/>
      <c r="X685" s="981"/>
      <c r="Y685" s="981"/>
      <c r="Z685" s="981"/>
      <c r="AA685" s="981"/>
      <c r="AB685" s="981"/>
    </row>
    <row r="686">
      <c r="A686" s="981"/>
      <c r="B686" s="991"/>
      <c r="C686" s="981"/>
      <c r="D686" s="981"/>
      <c r="E686" s="981"/>
      <c r="F686" s="981"/>
      <c r="G686" s="981"/>
      <c r="H686" s="981"/>
      <c r="I686" s="981"/>
      <c r="J686" s="981"/>
      <c r="K686" s="981"/>
      <c r="L686" s="981"/>
      <c r="M686" s="981"/>
      <c r="N686" s="981"/>
      <c r="O686" s="981"/>
      <c r="P686" s="981"/>
      <c r="Q686" s="981"/>
      <c r="R686" s="981"/>
      <c r="S686" s="981"/>
      <c r="T686" s="981"/>
      <c r="U686" s="981"/>
      <c r="V686" s="981"/>
      <c r="W686" s="981"/>
      <c r="X686" s="981"/>
      <c r="Y686" s="981"/>
      <c r="Z686" s="981"/>
      <c r="AA686" s="981"/>
      <c r="AB686" s="981"/>
    </row>
    <row r="687">
      <c r="A687" s="981"/>
      <c r="B687" s="991"/>
      <c r="C687" s="981"/>
      <c r="D687" s="981"/>
      <c r="E687" s="981"/>
      <c r="F687" s="981"/>
      <c r="G687" s="981"/>
      <c r="H687" s="981"/>
      <c r="I687" s="981"/>
      <c r="J687" s="981"/>
      <c r="K687" s="981"/>
      <c r="L687" s="981"/>
      <c r="M687" s="981"/>
      <c r="N687" s="981"/>
      <c r="O687" s="981"/>
      <c r="P687" s="981"/>
      <c r="Q687" s="981"/>
      <c r="R687" s="981"/>
      <c r="S687" s="981"/>
      <c r="T687" s="981"/>
      <c r="U687" s="981"/>
      <c r="V687" s="981"/>
      <c r="W687" s="981"/>
      <c r="X687" s="981"/>
      <c r="Y687" s="981"/>
      <c r="Z687" s="981"/>
      <c r="AA687" s="981"/>
      <c r="AB687" s="981"/>
    </row>
    <row r="688">
      <c r="A688" s="981"/>
      <c r="B688" s="991"/>
      <c r="C688" s="981"/>
      <c r="D688" s="981"/>
      <c r="E688" s="981"/>
      <c r="F688" s="981"/>
      <c r="G688" s="981"/>
      <c r="H688" s="981"/>
      <c r="I688" s="981"/>
      <c r="J688" s="981"/>
      <c r="K688" s="981"/>
      <c r="L688" s="981"/>
      <c r="M688" s="981"/>
      <c r="N688" s="981"/>
      <c r="O688" s="981"/>
      <c r="P688" s="981"/>
      <c r="Q688" s="981"/>
      <c r="R688" s="981"/>
      <c r="S688" s="981"/>
      <c r="T688" s="981"/>
      <c r="U688" s="981"/>
      <c r="V688" s="981"/>
      <c r="W688" s="981"/>
      <c r="X688" s="981"/>
      <c r="Y688" s="981"/>
      <c r="Z688" s="981"/>
      <c r="AA688" s="981"/>
      <c r="AB688" s="981"/>
    </row>
    <row r="689">
      <c r="A689" s="981"/>
      <c r="B689" s="991"/>
      <c r="C689" s="981"/>
      <c r="D689" s="981"/>
      <c r="E689" s="981"/>
      <c r="F689" s="981"/>
      <c r="G689" s="981"/>
      <c r="H689" s="981"/>
      <c r="I689" s="981"/>
      <c r="J689" s="981"/>
      <c r="K689" s="981"/>
      <c r="L689" s="981"/>
      <c r="M689" s="981"/>
      <c r="N689" s="981"/>
      <c r="O689" s="981"/>
      <c r="P689" s="981"/>
      <c r="Q689" s="981"/>
      <c r="R689" s="981"/>
      <c r="S689" s="981"/>
      <c r="T689" s="981"/>
      <c r="U689" s="981"/>
      <c r="V689" s="981"/>
      <c r="W689" s="981"/>
      <c r="X689" s="981"/>
      <c r="Y689" s="981"/>
      <c r="Z689" s="981"/>
      <c r="AA689" s="981"/>
      <c r="AB689" s="981"/>
    </row>
    <row r="690">
      <c r="A690" s="981"/>
      <c r="B690" s="991"/>
      <c r="C690" s="981"/>
      <c r="D690" s="981"/>
      <c r="E690" s="981"/>
      <c r="F690" s="981"/>
      <c r="G690" s="981"/>
      <c r="H690" s="981"/>
      <c r="I690" s="981"/>
      <c r="J690" s="981"/>
      <c r="K690" s="981"/>
      <c r="L690" s="981"/>
      <c r="M690" s="981"/>
      <c r="N690" s="981"/>
      <c r="O690" s="981"/>
      <c r="P690" s="981"/>
      <c r="Q690" s="981"/>
      <c r="R690" s="981"/>
      <c r="S690" s="981"/>
      <c r="T690" s="981"/>
      <c r="U690" s="981"/>
      <c r="V690" s="981"/>
      <c r="W690" s="981"/>
      <c r="X690" s="981"/>
      <c r="Y690" s="981"/>
      <c r="Z690" s="981"/>
      <c r="AA690" s="981"/>
      <c r="AB690" s="981"/>
    </row>
    <row r="691">
      <c r="A691" s="981"/>
      <c r="B691" s="991"/>
      <c r="C691" s="981"/>
      <c r="D691" s="981"/>
      <c r="E691" s="981"/>
      <c r="F691" s="981"/>
      <c r="G691" s="981"/>
      <c r="H691" s="981"/>
      <c r="I691" s="981"/>
      <c r="J691" s="981"/>
      <c r="K691" s="981"/>
      <c r="L691" s="981"/>
      <c r="M691" s="981"/>
      <c r="N691" s="981"/>
      <c r="O691" s="981"/>
      <c r="P691" s="981"/>
      <c r="Q691" s="981"/>
      <c r="R691" s="981"/>
      <c r="S691" s="981"/>
      <c r="T691" s="981"/>
      <c r="U691" s="981"/>
      <c r="V691" s="981"/>
      <c r="W691" s="981"/>
      <c r="X691" s="981"/>
      <c r="Y691" s="981"/>
      <c r="Z691" s="981"/>
      <c r="AA691" s="981"/>
      <c r="AB691" s="981"/>
    </row>
    <row r="692">
      <c r="A692" s="981"/>
      <c r="B692" s="991"/>
      <c r="C692" s="981"/>
      <c r="D692" s="981"/>
      <c r="E692" s="981"/>
      <c r="F692" s="981"/>
      <c r="G692" s="981"/>
      <c r="H692" s="981"/>
      <c r="I692" s="981"/>
      <c r="J692" s="981"/>
      <c r="K692" s="981"/>
      <c r="L692" s="981"/>
      <c r="M692" s="981"/>
      <c r="N692" s="981"/>
      <c r="O692" s="981"/>
      <c r="P692" s="981"/>
      <c r="Q692" s="981"/>
      <c r="R692" s="981"/>
      <c r="S692" s="981"/>
      <c r="T692" s="981"/>
      <c r="U692" s="981"/>
      <c r="V692" s="981"/>
      <c r="W692" s="981"/>
      <c r="X692" s="981"/>
      <c r="Y692" s="981"/>
      <c r="Z692" s="981"/>
      <c r="AA692" s="981"/>
      <c r="AB692" s="981"/>
    </row>
    <row r="693">
      <c r="A693" s="981"/>
      <c r="B693" s="991"/>
      <c r="C693" s="981"/>
      <c r="D693" s="981"/>
      <c r="E693" s="981"/>
      <c r="F693" s="981"/>
      <c r="G693" s="981"/>
      <c r="H693" s="981"/>
      <c r="I693" s="981"/>
      <c r="J693" s="981"/>
      <c r="K693" s="981"/>
      <c r="L693" s="981"/>
      <c r="M693" s="981"/>
      <c r="N693" s="981"/>
      <c r="O693" s="981"/>
      <c r="P693" s="981"/>
      <c r="Q693" s="981"/>
      <c r="R693" s="981"/>
      <c r="S693" s="981"/>
      <c r="T693" s="981"/>
      <c r="U693" s="981"/>
      <c r="V693" s="981"/>
      <c r="W693" s="981"/>
      <c r="X693" s="981"/>
      <c r="Y693" s="981"/>
      <c r="Z693" s="981"/>
      <c r="AA693" s="981"/>
      <c r="AB693" s="981"/>
    </row>
    <row r="694">
      <c r="A694" s="981"/>
      <c r="B694" s="991"/>
      <c r="C694" s="981"/>
      <c r="D694" s="981"/>
      <c r="E694" s="981"/>
      <c r="F694" s="981"/>
      <c r="G694" s="981"/>
      <c r="H694" s="981"/>
      <c r="I694" s="981"/>
      <c r="J694" s="981"/>
      <c r="K694" s="981"/>
      <c r="L694" s="981"/>
      <c r="M694" s="981"/>
      <c r="N694" s="981"/>
      <c r="O694" s="981"/>
      <c r="P694" s="981"/>
      <c r="Q694" s="981"/>
      <c r="R694" s="981"/>
      <c r="S694" s="981"/>
      <c r="T694" s="981"/>
      <c r="U694" s="981"/>
      <c r="V694" s="981"/>
      <c r="W694" s="981"/>
      <c r="X694" s="981"/>
      <c r="Y694" s="981"/>
      <c r="Z694" s="981"/>
      <c r="AA694" s="981"/>
      <c r="AB694" s="981"/>
    </row>
    <row r="695">
      <c r="A695" s="981"/>
      <c r="B695" s="991"/>
      <c r="C695" s="981"/>
      <c r="D695" s="981"/>
      <c r="E695" s="981"/>
      <c r="F695" s="981"/>
      <c r="G695" s="981"/>
      <c r="H695" s="981"/>
      <c r="I695" s="981"/>
      <c r="J695" s="981"/>
      <c r="K695" s="981"/>
      <c r="L695" s="981"/>
      <c r="M695" s="981"/>
      <c r="N695" s="981"/>
      <c r="O695" s="981"/>
      <c r="P695" s="981"/>
      <c r="Q695" s="981"/>
      <c r="R695" s="981"/>
      <c r="S695" s="981"/>
      <c r="T695" s="981"/>
      <c r="U695" s="981"/>
      <c r="V695" s="981"/>
      <c r="W695" s="981"/>
      <c r="X695" s="981"/>
      <c r="Y695" s="981"/>
      <c r="Z695" s="981"/>
      <c r="AA695" s="981"/>
      <c r="AB695" s="981"/>
    </row>
    <row r="696">
      <c r="A696" s="981"/>
      <c r="B696" s="991"/>
      <c r="C696" s="981"/>
      <c r="D696" s="981"/>
      <c r="E696" s="981"/>
      <c r="F696" s="981"/>
      <c r="G696" s="981"/>
      <c r="H696" s="981"/>
      <c r="I696" s="981"/>
      <c r="J696" s="981"/>
      <c r="K696" s="981"/>
      <c r="L696" s="981"/>
      <c r="M696" s="981"/>
      <c r="N696" s="981"/>
      <c r="O696" s="981"/>
      <c r="P696" s="981"/>
      <c r="Q696" s="981"/>
      <c r="R696" s="981"/>
      <c r="S696" s="981"/>
      <c r="T696" s="981"/>
      <c r="U696" s="981"/>
      <c r="V696" s="981"/>
      <c r="W696" s="981"/>
      <c r="X696" s="981"/>
      <c r="Y696" s="981"/>
      <c r="Z696" s="981"/>
      <c r="AA696" s="981"/>
      <c r="AB696" s="981"/>
    </row>
    <row r="697">
      <c r="A697" s="981"/>
      <c r="B697" s="991"/>
      <c r="C697" s="981"/>
      <c r="D697" s="981"/>
      <c r="E697" s="981"/>
      <c r="F697" s="981"/>
      <c r="G697" s="981"/>
      <c r="H697" s="981"/>
      <c r="I697" s="981"/>
      <c r="J697" s="981"/>
      <c r="K697" s="981"/>
      <c r="L697" s="981"/>
      <c r="M697" s="981"/>
      <c r="N697" s="981"/>
      <c r="O697" s="981"/>
      <c r="P697" s="981"/>
      <c r="Q697" s="981"/>
      <c r="R697" s="981"/>
      <c r="S697" s="981"/>
      <c r="T697" s="981"/>
      <c r="U697" s="981"/>
      <c r="V697" s="981"/>
      <c r="W697" s="981"/>
      <c r="X697" s="981"/>
      <c r="Y697" s="981"/>
      <c r="Z697" s="981"/>
      <c r="AA697" s="981"/>
      <c r="AB697" s="981"/>
    </row>
    <row r="698">
      <c r="A698" s="981"/>
      <c r="B698" s="991"/>
      <c r="C698" s="981"/>
      <c r="D698" s="981"/>
      <c r="E698" s="981"/>
      <c r="F698" s="981"/>
      <c r="G698" s="981"/>
      <c r="H698" s="981"/>
      <c r="I698" s="981"/>
      <c r="J698" s="981"/>
      <c r="K698" s="981"/>
      <c r="L698" s="981"/>
      <c r="M698" s="981"/>
      <c r="N698" s="981"/>
      <c r="O698" s="981"/>
      <c r="P698" s="981"/>
      <c r="Q698" s="981"/>
      <c r="R698" s="981"/>
      <c r="S698" s="981"/>
      <c r="T698" s="981"/>
      <c r="U698" s="981"/>
      <c r="V698" s="981"/>
      <c r="W698" s="981"/>
      <c r="X698" s="981"/>
      <c r="Y698" s="981"/>
      <c r="Z698" s="981"/>
      <c r="AA698" s="981"/>
      <c r="AB698" s="981"/>
    </row>
    <row r="699">
      <c r="A699" s="981"/>
      <c r="B699" s="991"/>
      <c r="C699" s="981"/>
      <c r="D699" s="981"/>
      <c r="E699" s="981"/>
      <c r="F699" s="981"/>
      <c r="G699" s="981"/>
      <c r="H699" s="981"/>
      <c r="I699" s="981"/>
      <c r="J699" s="981"/>
      <c r="K699" s="981"/>
      <c r="L699" s="981"/>
      <c r="M699" s="981"/>
      <c r="N699" s="981"/>
      <c r="O699" s="981"/>
      <c r="P699" s="981"/>
      <c r="Q699" s="981"/>
      <c r="R699" s="981"/>
      <c r="S699" s="981"/>
      <c r="T699" s="981"/>
      <c r="U699" s="981"/>
      <c r="V699" s="981"/>
      <c r="W699" s="981"/>
      <c r="X699" s="981"/>
      <c r="Y699" s="981"/>
      <c r="Z699" s="981"/>
      <c r="AA699" s="981"/>
      <c r="AB699" s="981"/>
    </row>
    <row r="700">
      <c r="A700" s="981"/>
      <c r="B700" s="991"/>
      <c r="C700" s="981"/>
      <c r="D700" s="981"/>
      <c r="E700" s="981"/>
      <c r="F700" s="981"/>
      <c r="G700" s="981"/>
      <c r="H700" s="981"/>
      <c r="I700" s="981"/>
      <c r="J700" s="981"/>
      <c r="K700" s="981"/>
      <c r="L700" s="981"/>
      <c r="M700" s="981"/>
      <c r="N700" s="981"/>
      <c r="O700" s="981"/>
      <c r="P700" s="981"/>
      <c r="Q700" s="981"/>
      <c r="R700" s="981"/>
      <c r="S700" s="981"/>
      <c r="T700" s="981"/>
      <c r="U700" s="981"/>
      <c r="V700" s="981"/>
      <c r="W700" s="981"/>
      <c r="X700" s="981"/>
      <c r="Y700" s="981"/>
      <c r="Z700" s="981"/>
      <c r="AA700" s="981"/>
      <c r="AB700" s="981"/>
    </row>
    <row r="701">
      <c r="A701" s="981"/>
      <c r="B701" s="991"/>
      <c r="C701" s="981"/>
      <c r="D701" s="981"/>
      <c r="E701" s="981"/>
      <c r="F701" s="981"/>
      <c r="G701" s="981"/>
      <c r="H701" s="981"/>
      <c r="I701" s="981"/>
      <c r="J701" s="981"/>
      <c r="K701" s="981"/>
      <c r="L701" s="981"/>
      <c r="M701" s="981"/>
      <c r="N701" s="981"/>
      <c r="O701" s="981"/>
      <c r="P701" s="981"/>
      <c r="Q701" s="981"/>
      <c r="R701" s="981"/>
      <c r="S701" s="981"/>
      <c r="T701" s="981"/>
      <c r="U701" s="981"/>
      <c r="V701" s="981"/>
      <c r="W701" s="981"/>
      <c r="X701" s="981"/>
      <c r="Y701" s="981"/>
      <c r="Z701" s="981"/>
      <c r="AA701" s="981"/>
      <c r="AB701" s="981"/>
    </row>
    <row r="702">
      <c r="A702" s="981"/>
      <c r="B702" s="991"/>
      <c r="C702" s="981"/>
      <c r="D702" s="981"/>
      <c r="E702" s="981"/>
      <c r="F702" s="981"/>
      <c r="G702" s="981"/>
      <c r="H702" s="981"/>
      <c r="I702" s="981"/>
      <c r="J702" s="981"/>
      <c r="K702" s="981"/>
      <c r="L702" s="981"/>
      <c r="M702" s="981"/>
      <c r="N702" s="981"/>
      <c r="O702" s="981"/>
      <c r="P702" s="981"/>
      <c r="Q702" s="981"/>
      <c r="R702" s="981"/>
      <c r="S702" s="981"/>
      <c r="T702" s="981"/>
      <c r="U702" s="981"/>
      <c r="V702" s="981"/>
      <c r="W702" s="981"/>
      <c r="X702" s="981"/>
      <c r="Y702" s="981"/>
      <c r="Z702" s="981"/>
      <c r="AA702" s="981"/>
      <c r="AB702" s="981"/>
    </row>
    <row r="703">
      <c r="A703" s="981"/>
      <c r="B703" s="991"/>
      <c r="C703" s="981"/>
      <c r="D703" s="981"/>
      <c r="E703" s="981"/>
      <c r="F703" s="981"/>
      <c r="G703" s="981"/>
      <c r="H703" s="981"/>
      <c r="I703" s="981"/>
      <c r="J703" s="981"/>
      <c r="K703" s="981"/>
      <c r="L703" s="981"/>
      <c r="M703" s="981"/>
      <c r="N703" s="981"/>
      <c r="O703" s="981"/>
      <c r="P703" s="981"/>
      <c r="Q703" s="981"/>
      <c r="R703" s="981"/>
      <c r="S703" s="981"/>
      <c r="T703" s="981"/>
      <c r="U703" s="981"/>
      <c r="V703" s="981"/>
      <c r="W703" s="981"/>
      <c r="X703" s="981"/>
      <c r="Y703" s="981"/>
      <c r="Z703" s="981"/>
      <c r="AA703" s="981"/>
      <c r="AB703" s="981"/>
    </row>
    <row r="704">
      <c r="A704" s="981"/>
      <c r="B704" s="991"/>
      <c r="C704" s="981"/>
      <c r="D704" s="981"/>
      <c r="E704" s="981"/>
      <c r="F704" s="981"/>
      <c r="G704" s="981"/>
      <c r="H704" s="981"/>
      <c r="I704" s="981"/>
      <c r="J704" s="981"/>
      <c r="K704" s="981"/>
      <c r="L704" s="981"/>
      <c r="M704" s="981"/>
      <c r="N704" s="981"/>
      <c r="O704" s="981"/>
      <c r="P704" s="981"/>
      <c r="Q704" s="981"/>
      <c r="R704" s="981"/>
      <c r="S704" s="981"/>
      <c r="T704" s="981"/>
      <c r="U704" s="981"/>
      <c r="V704" s="981"/>
      <c r="W704" s="981"/>
      <c r="X704" s="981"/>
      <c r="Y704" s="981"/>
      <c r="Z704" s="981"/>
      <c r="AA704" s="981"/>
      <c r="AB704" s="981"/>
    </row>
    <row r="705">
      <c r="A705" s="981"/>
      <c r="B705" s="991"/>
      <c r="C705" s="981"/>
      <c r="D705" s="981"/>
      <c r="E705" s="981"/>
      <c r="F705" s="981"/>
      <c r="G705" s="981"/>
      <c r="H705" s="981"/>
      <c r="I705" s="981"/>
      <c r="J705" s="981"/>
      <c r="K705" s="981"/>
      <c r="L705" s="981"/>
      <c r="M705" s="981"/>
      <c r="N705" s="981"/>
      <c r="O705" s="981"/>
      <c r="P705" s="981"/>
      <c r="Q705" s="981"/>
      <c r="R705" s="981"/>
      <c r="S705" s="981"/>
      <c r="T705" s="981"/>
      <c r="U705" s="981"/>
      <c r="V705" s="981"/>
      <c r="W705" s="981"/>
      <c r="X705" s="981"/>
      <c r="Y705" s="981"/>
      <c r="Z705" s="981"/>
      <c r="AA705" s="981"/>
      <c r="AB705" s="981"/>
    </row>
    <row r="706">
      <c r="A706" s="981"/>
      <c r="B706" s="991"/>
      <c r="C706" s="981"/>
      <c r="D706" s="981"/>
      <c r="E706" s="981"/>
      <c r="F706" s="981"/>
      <c r="G706" s="981"/>
      <c r="H706" s="981"/>
      <c r="I706" s="981"/>
      <c r="J706" s="981"/>
      <c r="K706" s="981"/>
      <c r="L706" s="981"/>
      <c r="M706" s="981"/>
      <c r="N706" s="981"/>
      <c r="O706" s="981"/>
      <c r="P706" s="981"/>
      <c r="Q706" s="981"/>
      <c r="R706" s="981"/>
      <c r="S706" s="981"/>
      <c r="T706" s="981"/>
      <c r="U706" s="981"/>
      <c r="V706" s="981"/>
      <c r="W706" s="981"/>
      <c r="X706" s="981"/>
      <c r="Y706" s="981"/>
      <c r="Z706" s="981"/>
      <c r="AA706" s="981"/>
      <c r="AB706" s="981"/>
    </row>
    <row r="707">
      <c r="A707" s="981"/>
      <c r="B707" s="991"/>
      <c r="C707" s="981"/>
      <c r="D707" s="981"/>
      <c r="E707" s="981"/>
      <c r="F707" s="981"/>
      <c r="G707" s="981"/>
      <c r="H707" s="981"/>
      <c r="I707" s="981"/>
      <c r="J707" s="981"/>
      <c r="K707" s="981"/>
      <c r="L707" s="981"/>
      <c r="M707" s="981"/>
      <c r="N707" s="981"/>
      <c r="O707" s="981"/>
      <c r="P707" s="981"/>
      <c r="Q707" s="981"/>
      <c r="R707" s="981"/>
      <c r="S707" s="981"/>
      <c r="T707" s="981"/>
      <c r="U707" s="981"/>
      <c r="V707" s="981"/>
      <c r="W707" s="981"/>
      <c r="X707" s="981"/>
      <c r="Y707" s="981"/>
      <c r="Z707" s="981"/>
      <c r="AA707" s="981"/>
      <c r="AB707" s="981"/>
    </row>
    <row r="708">
      <c r="A708" s="981"/>
      <c r="B708" s="991"/>
      <c r="C708" s="981"/>
      <c r="D708" s="981"/>
      <c r="E708" s="981"/>
      <c r="F708" s="981"/>
      <c r="G708" s="981"/>
      <c r="H708" s="981"/>
      <c r="I708" s="981"/>
      <c r="J708" s="981"/>
      <c r="K708" s="981"/>
      <c r="L708" s="981"/>
      <c r="M708" s="981"/>
      <c r="N708" s="981"/>
      <c r="O708" s="981"/>
      <c r="P708" s="981"/>
      <c r="Q708" s="981"/>
      <c r="R708" s="981"/>
      <c r="S708" s="981"/>
      <c r="T708" s="981"/>
      <c r="U708" s="981"/>
      <c r="V708" s="981"/>
      <c r="W708" s="981"/>
      <c r="X708" s="981"/>
      <c r="Y708" s="981"/>
      <c r="Z708" s="981"/>
      <c r="AA708" s="981"/>
      <c r="AB708" s="981"/>
    </row>
    <row r="709">
      <c r="A709" s="981"/>
      <c r="B709" s="991"/>
      <c r="C709" s="981"/>
      <c r="D709" s="981"/>
      <c r="E709" s="981"/>
      <c r="F709" s="981"/>
      <c r="G709" s="981"/>
      <c r="H709" s="981"/>
      <c r="I709" s="981"/>
      <c r="J709" s="981"/>
      <c r="K709" s="981"/>
      <c r="L709" s="981"/>
      <c r="M709" s="981"/>
      <c r="N709" s="981"/>
      <c r="O709" s="981"/>
      <c r="P709" s="981"/>
      <c r="Q709" s="981"/>
      <c r="R709" s="981"/>
      <c r="S709" s="981"/>
      <c r="T709" s="981"/>
      <c r="U709" s="981"/>
      <c r="V709" s="981"/>
      <c r="W709" s="981"/>
      <c r="X709" s="981"/>
      <c r="Y709" s="981"/>
      <c r="Z709" s="981"/>
      <c r="AA709" s="981"/>
      <c r="AB709" s="981"/>
    </row>
    <row r="710">
      <c r="A710" s="981"/>
      <c r="B710" s="991"/>
      <c r="C710" s="981"/>
      <c r="D710" s="981"/>
      <c r="E710" s="981"/>
      <c r="F710" s="981"/>
      <c r="G710" s="981"/>
      <c r="H710" s="981"/>
      <c r="I710" s="981"/>
      <c r="J710" s="981"/>
      <c r="K710" s="981"/>
      <c r="L710" s="981"/>
      <c r="M710" s="981"/>
      <c r="N710" s="981"/>
      <c r="O710" s="981"/>
      <c r="P710" s="981"/>
      <c r="Q710" s="981"/>
      <c r="R710" s="981"/>
      <c r="S710" s="981"/>
      <c r="T710" s="981"/>
      <c r="U710" s="981"/>
      <c r="V710" s="981"/>
      <c r="W710" s="981"/>
      <c r="X710" s="981"/>
      <c r="Y710" s="981"/>
      <c r="Z710" s="981"/>
      <c r="AA710" s="981"/>
      <c r="AB710" s="981"/>
    </row>
    <row r="711">
      <c r="A711" s="981"/>
      <c r="B711" s="991"/>
      <c r="C711" s="981"/>
      <c r="D711" s="981"/>
      <c r="E711" s="981"/>
      <c r="F711" s="981"/>
      <c r="G711" s="981"/>
      <c r="H711" s="981"/>
      <c r="I711" s="981"/>
      <c r="J711" s="981"/>
      <c r="K711" s="981"/>
      <c r="L711" s="981"/>
      <c r="M711" s="981"/>
      <c r="N711" s="981"/>
      <c r="O711" s="981"/>
      <c r="P711" s="981"/>
      <c r="Q711" s="981"/>
      <c r="R711" s="981"/>
      <c r="S711" s="981"/>
      <c r="T711" s="981"/>
      <c r="U711" s="981"/>
      <c r="V711" s="981"/>
      <c r="W711" s="981"/>
      <c r="X711" s="981"/>
      <c r="Y711" s="981"/>
      <c r="Z711" s="981"/>
      <c r="AA711" s="981"/>
      <c r="AB711" s="981"/>
    </row>
    <row r="712">
      <c r="A712" s="981"/>
      <c r="B712" s="991"/>
      <c r="C712" s="981"/>
      <c r="D712" s="981"/>
      <c r="E712" s="981"/>
      <c r="F712" s="981"/>
      <c r="G712" s="981"/>
      <c r="H712" s="981"/>
      <c r="I712" s="981"/>
      <c r="J712" s="981"/>
      <c r="K712" s="981"/>
      <c r="L712" s="981"/>
      <c r="M712" s="981"/>
      <c r="N712" s="981"/>
      <c r="O712" s="981"/>
      <c r="P712" s="981"/>
      <c r="Q712" s="981"/>
      <c r="R712" s="981"/>
      <c r="S712" s="981"/>
      <c r="T712" s="981"/>
      <c r="U712" s="981"/>
      <c r="V712" s="981"/>
      <c r="W712" s="981"/>
      <c r="X712" s="981"/>
      <c r="Y712" s="981"/>
      <c r="Z712" s="981"/>
      <c r="AA712" s="981"/>
      <c r="AB712" s="981"/>
    </row>
    <row r="713">
      <c r="A713" s="981"/>
      <c r="B713" s="991"/>
      <c r="C713" s="981"/>
      <c r="D713" s="981"/>
      <c r="E713" s="981"/>
      <c r="F713" s="981"/>
      <c r="G713" s="981"/>
      <c r="H713" s="981"/>
      <c r="I713" s="981"/>
      <c r="J713" s="981"/>
      <c r="K713" s="981"/>
      <c r="L713" s="981"/>
      <c r="M713" s="981"/>
      <c r="N713" s="981"/>
      <c r="O713" s="981"/>
      <c r="P713" s="981"/>
      <c r="Q713" s="981"/>
      <c r="R713" s="981"/>
      <c r="S713" s="981"/>
      <c r="T713" s="981"/>
      <c r="U713" s="981"/>
      <c r="V713" s="981"/>
      <c r="W713" s="981"/>
      <c r="X713" s="981"/>
      <c r="Y713" s="981"/>
      <c r="Z713" s="981"/>
      <c r="AA713" s="981"/>
      <c r="AB713" s="981"/>
    </row>
    <row r="714">
      <c r="A714" s="981"/>
      <c r="B714" s="991"/>
      <c r="C714" s="981"/>
      <c r="D714" s="981"/>
      <c r="E714" s="981"/>
      <c r="F714" s="981"/>
      <c r="G714" s="981"/>
      <c r="H714" s="981"/>
      <c r="I714" s="981"/>
      <c r="J714" s="981"/>
      <c r="K714" s="981"/>
      <c r="L714" s="981"/>
      <c r="M714" s="981"/>
      <c r="N714" s="981"/>
      <c r="O714" s="981"/>
      <c r="P714" s="981"/>
      <c r="Q714" s="981"/>
      <c r="R714" s="981"/>
      <c r="S714" s="981"/>
      <c r="T714" s="981"/>
      <c r="U714" s="981"/>
      <c r="V714" s="981"/>
      <c r="W714" s="981"/>
      <c r="X714" s="981"/>
      <c r="Y714" s="981"/>
      <c r="Z714" s="981"/>
      <c r="AA714" s="981"/>
      <c r="AB714" s="981"/>
    </row>
    <row r="715">
      <c r="A715" s="981"/>
      <c r="B715" s="991"/>
      <c r="C715" s="981"/>
      <c r="D715" s="981"/>
      <c r="E715" s="981"/>
      <c r="F715" s="981"/>
      <c r="G715" s="981"/>
      <c r="H715" s="981"/>
      <c r="I715" s="981"/>
      <c r="J715" s="981"/>
      <c r="K715" s="981"/>
      <c r="L715" s="981"/>
      <c r="M715" s="981"/>
      <c r="N715" s="981"/>
      <c r="O715" s="981"/>
      <c r="P715" s="981"/>
      <c r="Q715" s="981"/>
      <c r="R715" s="981"/>
      <c r="S715" s="981"/>
      <c r="T715" s="981"/>
      <c r="U715" s="981"/>
      <c r="V715" s="981"/>
      <c r="W715" s="981"/>
      <c r="X715" s="981"/>
      <c r="Y715" s="981"/>
      <c r="Z715" s="981"/>
      <c r="AA715" s="981"/>
      <c r="AB715" s="981"/>
    </row>
    <row r="716">
      <c r="A716" s="981"/>
      <c r="B716" s="991"/>
      <c r="C716" s="981"/>
      <c r="D716" s="981"/>
      <c r="E716" s="981"/>
      <c r="F716" s="981"/>
      <c r="G716" s="981"/>
      <c r="H716" s="981"/>
      <c r="I716" s="981"/>
      <c r="J716" s="981"/>
      <c r="K716" s="981"/>
      <c r="L716" s="981"/>
      <c r="M716" s="981"/>
      <c r="N716" s="981"/>
      <c r="O716" s="981"/>
      <c r="P716" s="981"/>
      <c r="Q716" s="981"/>
      <c r="R716" s="981"/>
      <c r="S716" s="981"/>
      <c r="T716" s="981"/>
      <c r="U716" s="981"/>
      <c r="V716" s="981"/>
      <c r="W716" s="981"/>
      <c r="X716" s="981"/>
      <c r="Y716" s="981"/>
      <c r="Z716" s="981"/>
      <c r="AA716" s="981"/>
      <c r="AB716" s="981"/>
    </row>
    <row r="717">
      <c r="A717" s="981"/>
      <c r="B717" s="991"/>
      <c r="C717" s="981"/>
      <c r="D717" s="981"/>
      <c r="E717" s="981"/>
      <c r="F717" s="981"/>
      <c r="G717" s="981"/>
      <c r="H717" s="981"/>
      <c r="I717" s="981"/>
      <c r="J717" s="981"/>
      <c r="K717" s="981"/>
      <c r="L717" s="981"/>
      <c r="M717" s="981"/>
      <c r="N717" s="981"/>
      <c r="O717" s="981"/>
      <c r="P717" s="981"/>
      <c r="Q717" s="981"/>
      <c r="R717" s="981"/>
      <c r="S717" s="981"/>
      <c r="T717" s="981"/>
      <c r="U717" s="981"/>
      <c r="V717" s="981"/>
      <c r="W717" s="981"/>
      <c r="X717" s="981"/>
      <c r="Y717" s="981"/>
      <c r="Z717" s="981"/>
      <c r="AA717" s="981"/>
      <c r="AB717" s="981"/>
    </row>
    <row r="718">
      <c r="A718" s="981"/>
      <c r="B718" s="991"/>
      <c r="C718" s="981"/>
      <c r="D718" s="981"/>
      <c r="E718" s="981"/>
      <c r="F718" s="981"/>
      <c r="G718" s="981"/>
      <c r="H718" s="981"/>
      <c r="I718" s="981"/>
      <c r="J718" s="981"/>
      <c r="K718" s="981"/>
      <c r="L718" s="981"/>
      <c r="M718" s="981"/>
      <c r="N718" s="981"/>
      <c r="O718" s="981"/>
      <c r="P718" s="981"/>
      <c r="Q718" s="981"/>
      <c r="R718" s="981"/>
      <c r="S718" s="981"/>
      <c r="T718" s="981"/>
      <c r="U718" s="981"/>
      <c r="V718" s="981"/>
      <c r="W718" s="981"/>
      <c r="X718" s="981"/>
      <c r="Y718" s="981"/>
      <c r="Z718" s="981"/>
      <c r="AA718" s="981"/>
      <c r="AB718" s="981"/>
    </row>
    <row r="719">
      <c r="A719" s="981"/>
      <c r="B719" s="991"/>
      <c r="C719" s="981"/>
      <c r="D719" s="981"/>
      <c r="E719" s="981"/>
      <c r="F719" s="981"/>
      <c r="G719" s="981"/>
      <c r="H719" s="981"/>
      <c r="I719" s="981"/>
      <c r="J719" s="981"/>
      <c r="K719" s="981"/>
      <c r="L719" s="981"/>
      <c r="M719" s="981"/>
      <c r="N719" s="981"/>
      <c r="O719" s="981"/>
      <c r="P719" s="981"/>
      <c r="Q719" s="981"/>
      <c r="R719" s="981"/>
      <c r="S719" s="981"/>
      <c r="T719" s="981"/>
      <c r="U719" s="981"/>
      <c r="V719" s="981"/>
      <c r="W719" s="981"/>
      <c r="X719" s="981"/>
      <c r="Y719" s="981"/>
      <c r="Z719" s="981"/>
      <c r="AA719" s="981"/>
      <c r="AB719" s="981"/>
    </row>
    <row r="720">
      <c r="A720" s="981"/>
      <c r="B720" s="991"/>
      <c r="C720" s="981"/>
      <c r="D720" s="981"/>
      <c r="E720" s="981"/>
      <c r="F720" s="981"/>
      <c r="G720" s="981"/>
      <c r="H720" s="981"/>
      <c r="I720" s="981"/>
      <c r="J720" s="981"/>
      <c r="K720" s="981"/>
      <c r="L720" s="981"/>
      <c r="M720" s="981"/>
      <c r="N720" s="981"/>
      <c r="O720" s="981"/>
      <c r="P720" s="981"/>
      <c r="Q720" s="981"/>
      <c r="R720" s="981"/>
      <c r="S720" s="981"/>
      <c r="T720" s="981"/>
      <c r="U720" s="981"/>
      <c r="V720" s="981"/>
      <c r="W720" s="981"/>
      <c r="X720" s="981"/>
      <c r="Y720" s="981"/>
      <c r="Z720" s="981"/>
      <c r="AA720" s="981"/>
      <c r="AB720" s="981"/>
    </row>
    <row r="721">
      <c r="A721" s="981"/>
      <c r="B721" s="991"/>
      <c r="C721" s="981"/>
      <c r="D721" s="981"/>
      <c r="E721" s="981"/>
      <c r="F721" s="981"/>
      <c r="G721" s="981"/>
      <c r="H721" s="981"/>
      <c r="I721" s="981"/>
      <c r="J721" s="981"/>
      <c r="K721" s="981"/>
      <c r="L721" s="981"/>
      <c r="M721" s="981"/>
      <c r="N721" s="981"/>
      <c r="O721" s="981"/>
      <c r="P721" s="981"/>
      <c r="Q721" s="981"/>
      <c r="R721" s="981"/>
      <c r="S721" s="981"/>
      <c r="T721" s="981"/>
      <c r="U721" s="981"/>
      <c r="V721" s="981"/>
      <c r="W721" s="981"/>
      <c r="X721" s="981"/>
      <c r="Y721" s="981"/>
      <c r="Z721" s="981"/>
      <c r="AA721" s="981"/>
      <c r="AB721" s="981"/>
    </row>
    <row r="722">
      <c r="A722" s="981"/>
      <c r="B722" s="991"/>
      <c r="C722" s="981"/>
      <c r="D722" s="981"/>
      <c r="E722" s="981"/>
      <c r="F722" s="981"/>
      <c r="G722" s="981"/>
      <c r="H722" s="981"/>
      <c r="I722" s="981"/>
      <c r="J722" s="981"/>
      <c r="K722" s="981"/>
      <c r="L722" s="981"/>
      <c r="M722" s="981"/>
      <c r="N722" s="981"/>
      <c r="O722" s="981"/>
      <c r="P722" s="981"/>
      <c r="Q722" s="981"/>
      <c r="R722" s="981"/>
      <c r="S722" s="981"/>
      <c r="T722" s="981"/>
      <c r="U722" s="981"/>
      <c r="V722" s="981"/>
      <c r="W722" s="981"/>
      <c r="X722" s="981"/>
      <c r="Y722" s="981"/>
      <c r="Z722" s="981"/>
      <c r="AA722" s="981"/>
      <c r="AB722" s="981"/>
    </row>
    <row r="723">
      <c r="A723" s="981"/>
      <c r="B723" s="991"/>
      <c r="C723" s="981"/>
      <c r="D723" s="981"/>
      <c r="E723" s="981"/>
      <c r="F723" s="981"/>
      <c r="G723" s="981"/>
      <c r="H723" s="981"/>
      <c r="I723" s="981"/>
      <c r="J723" s="981"/>
      <c r="K723" s="981"/>
      <c r="L723" s="981"/>
      <c r="M723" s="981"/>
      <c r="N723" s="981"/>
      <c r="O723" s="981"/>
      <c r="P723" s="981"/>
      <c r="Q723" s="981"/>
      <c r="R723" s="981"/>
      <c r="S723" s="981"/>
      <c r="T723" s="981"/>
      <c r="U723" s="981"/>
      <c r="V723" s="981"/>
      <c r="W723" s="981"/>
      <c r="X723" s="981"/>
      <c r="Y723" s="981"/>
      <c r="Z723" s="981"/>
      <c r="AA723" s="981"/>
      <c r="AB723" s="981"/>
    </row>
    <row r="724">
      <c r="A724" s="981"/>
      <c r="B724" s="991"/>
      <c r="C724" s="981"/>
      <c r="D724" s="981"/>
      <c r="E724" s="981"/>
      <c r="F724" s="981"/>
      <c r="G724" s="981"/>
      <c r="H724" s="981"/>
      <c r="I724" s="981"/>
      <c r="J724" s="981"/>
      <c r="K724" s="981"/>
      <c r="L724" s="981"/>
      <c r="M724" s="981"/>
      <c r="N724" s="981"/>
      <c r="O724" s="981"/>
      <c r="P724" s="981"/>
      <c r="Q724" s="981"/>
      <c r="R724" s="981"/>
      <c r="S724" s="981"/>
      <c r="T724" s="981"/>
      <c r="U724" s="981"/>
      <c r="V724" s="981"/>
      <c r="W724" s="981"/>
      <c r="X724" s="981"/>
      <c r="Y724" s="981"/>
      <c r="Z724" s="981"/>
      <c r="AA724" s="981"/>
      <c r="AB724" s="981"/>
    </row>
    <row r="725">
      <c r="A725" s="981"/>
      <c r="B725" s="991"/>
      <c r="C725" s="981"/>
      <c r="D725" s="981"/>
      <c r="E725" s="981"/>
      <c r="F725" s="981"/>
      <c r="G725" s="981"/>
      <c r="H725" s="981"/>
      <c r="I725" s="981"/>
      <c r="J725" s="981"/>
      <c r="K725" s="981"/>
      <c r="L725" s="981"/>
      <c r="M725" s="981"/>
      <c r="N725" s="981"/>
      <c r="O725" s="981"/>
      <c r="P725" s="981"/>
      <c r="Q725" s="981"/>
      <c r="R725" s="981"/>
      <c r="S725" s="981"/>
      <c r="T725" s="981"/>
      <c r="U725" s="981"/>
      <c r="V725" s="981"/>
      <c r="W725" s="981"/>
      <c r="X725" s="981"/>
      <c r="Y725" s="981"/>
      <c r="Z725" s="981"/>
      <c r="AA725" s="981"/>
      <c r="AB725" s="981"/>
    </row>
    <row r="726">
      <c r="A726" s="981"/>
      <c r="B726" s="991"/>
      <c r="C726" s="981"/>
      <c r="D726" s="981"/>
      <c r="E726" s="981"/>
      <c r="F726" s="981"/>
      <c r="G726" s="981"/>
      <c r="H726" s="981"/>
      <c r="I726" s="981"/>
      <c r="J726" s="981"/>
      <c r="K726" s="981"/>
      <c r="L726" s="981"/>
      <c r="M726" s="981"/>
      <c r="N726" s="981"/>
      <c r="O726" s="981"/>
      <c r="P726" s="981"/>
      <c r="Q726" s="981"/>
      <c r="R726" s="981"/>
      <c r="S726" s="981"/>
      <c r="T726" s="981"/>
      <c r="U726" s="981"/>
      <c r="V726" s="981"/>
      <c r="W726" s="981"/>
      <c r="X726" s="981"/>
      <c r="Y726" s="981"/>
      <c r="Z726" s="981"/>
      <c r="AA726" s="981"/>
      <c r="AB726" s="981"/>
    </row>
    <row r="727">
      <c r="A727" s="981"/>
      <c r="B727" s="991"/>
      <c r="C727" s="981"/>
      <c r="D727" s="981"/>
      <c r="E727" s="981"/>
      <c r="F727" s="981"/>
      <c r="G727" s="981"/>
      <c r="H727" s="981"/>
      <c r="I727" s="981"/>
      <c r="J727" s="981"/>
      <c r="K727" s="981"/>
      <c r="L727" s="981"/>
      <c r="M727" s="981"/>
      <c r="N727" s="981"/>
      <c r="O727" s="981"/>
      <c r="P727" s="981"/>
      <c r="Q727" s="981"/>
      <c r="R727" s="981"/>
      <c r="S727" s="981"/>
      <c r="T727" s="981"/>
      <c r="U727" s="981"/>
      <c r="V727" s="981"/>
      <c r="W727" s="981"/>
      <c r="X727" s="981"/>
      <c r="Y727" s="981"/>
      <c r="Z727" s="981"/>
      <c r="AA727" s="981"/>
      <c r="AB727" s="981"/>
    </row>
    <row r="728">
      <c r="A728" s="981"/>
      <c r="B728" s="991"/>
      <c r="C728" s="981"/>
      <c r="D728" s="981"/>
      <c r="E728" s="981"/>
      <c r="F728" s="981"/>
      <c r="G728" s="981"/>
      <c r="H728" s="981"/>
      <c r="I728" s="981"/>
      <c r="J728" s="981"/>
      <c r="K728" s="981"/>
      <c r="L728" s="981"/>
      <c r="M728" s="981"/>
      <c r="N728" s="981"/>
      <c r="O728" s="981"/>
      <c r="P728" s="981"/>
      <c r="Q728" s="981"/>
      <c r="R728" s="981"/>
      <c r="S728" s="981"/>
      <c r="T728" s="981"/>
      <c r="U728" s="981"/>
      <c r="V728" s="981"/>
      <c r="W728" s="981"/>
      <c r="X728" s="981"/>
      <c r="Y728" s="981"/>
      <c r="Z728" s="981"/>
      <c r="AA728" s="981"/>
      <c r="AB728" s="981"/>
    </row>
    <row r="729">
      <c r="A729" s="981"/>
      <c r="B729" s="991"/>
      <c r="C729" s="981"/>
      <c r="D729" s="981"/>
      <c r="E729" s="981"/>
      <c r="F729" s="981"/>
      <c r="G729" s="981"/>
      <c r="H729" s="981"/>
      <c r="I729" s="981"/>
      <c r="J729" s="981"/>
      <c r="K729" s="981"/>
      <c r="L729" s="981"/>
      <c r="M729" s="981"/>
      <c r="N729" s="981"/>
      <c r="O729" s="981"/>
      <c r="P729" s="981"/>
      <c r="Q729" s="981"/>
      <c r="R729" s="981"/>
      <c r="S729" s="981"/>
      <c r="T729" s="981"/>
      <c r="U729" s="981"/>
      <c r="V729" s="981"/>
      <c r="W729" s="981"/>
      <c r="X729" s="981"/>
      <c r="Y729" s="981"/>
      <c r="Z729" s="981"/>
      <c r="AA729" s="981"/>
      <c r="AB729" s="981"/>
    </row>
    <row r="730">
      <c r="A730" s="981"/>
      <c r="B730" s="991"/>
      <c r="C730" s="981"/>
      <c r="D730" s="981"/>
      <c r="E730" s="981"/>
      <c r="F730" s="981"/>
      <c r="G730" s="981"/>
      <c r="H730" s="981"/>
      <c r="I730" s="981"/>
      <c r="J730" s="981"/>
      <c r="K730" s="981"/>
      <c r="L730" s="981"/>
      <c r="M730" s="981"/>
      <c r="N730" s="981"/>
      <c r="O730" s="981"/>
      <c r="P730" s="981"/>
      <c r="Q730" s="981"/>
      <c r="R730" s="981"/>
      <c r="S730" s="981"/>
      <c r="T730" s="981"/>
      <c r="U730" s="981"/>
      <c r="V730" s="981"/>
      <c r="W730" s="981"/>
      <c r="X730" s="981"/>
      <c r="Y730" s="981"/>
      <c r="Z730" s="981"/>
      <c r="AA730" s="981"/>
      <c r="AB730" s="981"/>
    </row>
    <row r="731">
      <c r="A731" s="981"/>
      <c r="B731" s="991"/>
      <c r="C731" s="981"/>
      <c r="D731" s="981"/>
      <c r="E731" s="981"/>
      <c r="F731" s="981"/>
      <c r="G731" s="981"/>
      <c r="H731" s="981"/>
      <c r="I731" s="981"/>
      <c r="J731" s="981"/>
      <c r="K731" s="981"/>
      <c r="L731" s="981"/>
      <c r="M731" s="981"/>
      <c r="N731" s="981"/>
      <c r="O731" s="981"/>
      <c r="P731" s="981"/>
      <c r="Q731" s="981"/>
      <c r="R731" s="981"/>
      <c r="S731" s="981"/>
      <c r="T731" s="981"/>
      <c r="U731" s="981"/>
      <c r="V731" s="981"/>
      <c r="W731" s="981"/>
      <c r="X731" s="981"/>
      <c r="Y731" s="981"/>
      <c r="Z731" s="981"/>
      <c r="AA731" s="981"/>
      <c r="AB731" s="981"/>
    </row>
    <row r="732">
      <c r="A732" s="981"/>
      <c r="B732" s="991"/>
      <c r="C732" s="981"/>
      <c r="D732" s="981"/>
      <c r="E732" s="981"/>
      <c r="F732" s="981"/>
      <c r="G732" s="981"/>
      <c r="H732" s="981"/>
      <c r="I732" s="981"/>
      <c r="J732" s="981"/>
      <c r="K732" s="981"/>
      <c r="L732" s="981"/>
      <c r="M732" s="981"/>
      <c r="N732" s="981"/>
      <c r="O732" s="981"/>
      <c r="P732" s="981"/>
      <c r="Q732" s="981"/>
      <c r="R732" s="981"/>
      <c r="S732" s="981"/>
      <c r="T732" s="981"/>
      <c r="U732" s="981"/>
      <c r="V732" s="981"/>
      <c r="W732" s="981"/>
      <c r="X732" s="981"/>
      <c r="Y732" s="981"/>
      <c r="Z732" s="981"/>
      <c r="AA732" s="981"/>
      <c r="AB732" s="981"/>
    </row>
    <row r="733">
      <c r="A733" s="981"/>
      <c r="B733" s="991"/>
      <c r="C733" s="981"/>
      <c r="D733" s="981"/>
      <c r="E733" s="981"/>
      <c r="F733" s="981"/>
      <c r="G733" s="981"/>
      <c r="H733" s="981"/>
      <c r="I733" s="981"/>
      <c r="J733" s="981"/>
      <c r="K733" s="981"/>
      <c r="L733" s="981"/>
      <c r="M733" s="981"/>
      <c r="N733" s="981"/>
      <c r="O733" s="981"/>
      <c r="P733" s="981"/>
      <c r="Q733" s="981"/>
      <c r="R733" s="981"/>
      <c r="S733" s="981"/>
      <c r="T733" s="981"/>
      <c r="U733" s="981"/>
      <c r="V733" s="981"/>
      <c r="W733" s="981"/>
      <c r="X733" s="981"/>
      <c r="Y733" s="981"/>
      <c r="Z733" s="981"/>
      <c r="AA733" s="981"/>
      <c r="AB733" s="981"/>
    </row>
    <row r="734">
      <c r="A734" s="981"/>
      <c r="B734" s="991"/>
      <c r="C734" s="981"/>
      <c r="D734" s="981"/>
      <c r="E734" s="981"/>
      <c r="F734" s="981"/>
      <c r="G734" s="981"/>
      <c r="H734" s="981"/>
      <c r="I734" s="981"/>
      <c r="J734" s="981"/>
      <c r="K734" s="981"/>
      <c r="L734" s="981"/>
      <c r="M734" s="981"/>
      <c r="N734" s="981"/>
      <c r="O734" s="981"/>
      <c r="P734" s="981"/>
      <c r="Q734" s="981"/>
      <c r="R734" s="981"/>
      <c r="S734" s="981"/>
      <c r="T734" s="981"/>
      <c r="U734" s="981"/>
      <c r="V734" s="981"/>
      <c r="W734" s="981"/>
      <c r="X734" s="981"/>
      <c r="Y734" s="981"/>
      <c r="Z734" s="981"/>
      <c r="AA734" s="981"/>
      <c r="AB734" s="981"/>
    </row>
    <row r="735">
      <c r="A735" s="981"/>
      <c r="B735" s="991"/>
      <c r="C735" s="981"/>
      <c r="D735" s="981"/>
      <c r="E735" s="981"/>
      <c r="F735" s="981"/>
      <c r="G735" s="981"/>
      <c r="H735" s="981"/>
      <c r="I735" s="981"/>
      <c r="J735" s="981"/>
      <c r="K735" s="981"/>
      <c r="L735" s="981"/>
      <c r="M735" s="981"/>
      <c r="N735" s="981"/>
      <c r="O735" s="981"/>
      <c r="P735" s="981"/>
      <c r="Q735" s="981"/>
      <c r="R735" s="981"/>
      <c r="S735" s="981"/>
      <c r="T735" s="981"/>
      <c r="U735" s="981"/>
      <c r="V735" s="981"/>
      <c r="W735" s="981"/>
      <c r="X735" s="981"/>
      <c r="Y735" s="981"/>
      <c r="Z735" s="981"/>
      <c r="AA735" s="981"/>
      <c r="AB735" s="981"/>
    </row>
    <row r="736">
      <c r="A736" s="981"/>
      <c r="B736" s="991"/>
      <c r="C736" s="981"/>
      <c r="D736" s="981"/>
      <c r="E736" s="981"/>
      <c r="F736" s="981"/>
      <c r="G736" s="981"/>
      <c r="H736" s="981"/>
      <c r="I736" s="981"/>
      <c r="J736" s="981"/>
      <c r="K736" s="981"/>
      <c r="L736" s="981"/>
      <c r="M736" s="981"/>
      <c r="N736" s="981"/>
      <c r="O736" s="981"/>
      <c r="P736" s="981"/>
      <c r="Q736" s="981"/>
      <c r="R736" s="981"/>
      <c r="S736" s="981"/>
      <c r="T736" s="981"/>
      <c r="U736" s="981"/>
      <c r="V736" s="981"/>
      <c r="W736" s="981"/>
      <c r="X736" s="981"/>
      <c r="Y736" s="981"/>
      <c r="Z736" s="981"/>
      <c r="AA736" s="981"/>
      <c r="AB736" s="981"/>
    </row>
    <row r="737">
      <c r="A737" s="981"/>
      <c r="B737" s="991"/>
      <c r="C737" s="981"/>
      <c r="D737" s="981"/>
      <c r="E737" s="981"/>
      <c r="F737" s="981"/>
      <c r="G737" s="981"/>
      <c r="H737" s="981"/>
      <c r="I737" s="981"/>
      <c r="J737" s="981"/>
      <c r="K737" s="981"/>
      <c r="L737" s="981"/>
      <c r="M737" s="981"/>
      <c r="N737" s="981"/>
      <c r="O737" s="981"/>
      <c r="P737" s="981"/>
      <c r="Q737" s="981"/>
      <c r="R737" s="981"/>
      <c r="S737" s="981"/>
      <c r="T737" s="981"/>
      <c r="U737" s="981"/>
      <c r="V737" s="981"/>
      <c r="W737" s="981"/>
      <c r="X737" s="981"/>
      <c r="Y737" s="981"/>
      <c r="Z737" s="981"/>
      <c r="AA737" s="981"/>
      <c r="AB737" s="981"/>
    </row>
    <row r="738">
      <c r="A738" s="981"/>
      <c r="B738" s="991"/>
      <c r="C738" s="981"/>
      <c r="D738" s="981"/>
      <c r="E738" s="981"/>
      <c r="F738" s="981"/>
      <c r="G738" s="981"/>
      <c r="H738" s="981"/>
      <c r="I738" s="981"/>
      <c r="J738" s="981"/>
      <c r="K738" s="981"/>
      <c r="L738" s="981"/>
      <c r="M738" s="981"/>
      <c r="N738" s="981"/>
      <c r="O738" s="981"/>
      <c r="P738" s="981"/>
      <c r="Q738" s="981"/>
      <c r="R738" s="981"/>
      <c r="S738" s="981"/>
      <c r="T738" s="981"/>
      <c r="U738" s="981"/>
      <c r="V738" s="981"/>
      <c r="W738" s="981"/>
      <c r="X738" s="981"/>
      <c r="Y738" s="981"/>
      <c r="Z738" s="981"/>
      <c r="AA738" s="981"/>
      <c r="AB738" s="981"/>
    </row>
    <row r="739">
      <c r="A739" s="981"/>
      <c r="B739" s="991"/>
      <c r="C739" s="981"/>
      <c r="D739" s="981"/>
      <c r="E739" s="981"/>
      <c r="F739" s="981"/>
      <c r="G739" s="981"/>
      <c r="H739" s="981"/>
      <c r="I739" s="981"/>
      <c r="J739" s="981"/>
      <c r="K739" s="981"/>
      <c r="L739" s="981"/>
      <c r="M739" s="981"/>
      <c r="N739" s="981"/>
      <c r="O739" s="981"/>
      <c r="P739" s="981"/>
      <c r="Q739" s="981"/>
      <c r="R739" s="981"/>
      <c r="S739" s="981"/>
      <c r="T739" s="981"/>
      <c r="U739" s="981"/>
      <c r="V739" s="981"/>
      <c r="W739" s="981"/>
      <c r="X739" s="981"/>
      <c r="Y739" s="981"/>
      <c r="Z739" s="981"/>
      <c r="AA739" s="981"/>
      <c r="AB739" s="981"/>
    </row>
    <row r="740">
      <c r="A740" s="981"/>
      <c r="B740" s="991"/>
      <c r="C740" s="981"/>
      <c r="D740" s="981"/>
      <c r="E740" s="981"/>
      <c r="F740" s="981"/>
      <c r="G740" s="981"/>
      <c r="H740" s="981"/>
      <c r="I740" s="981"/>
      <c r="J740" s="981"/>
      <c r="K740" s="981"/>
      <c r="L740" s="981"/>
      <c r="M740" s="981"/>
      <c r="N740" s="981"/>
      <c r="O740" s="981"/>
      <c r="P740" s="981"/>
      <c r="Q740" s="981"/>
      <c r="R740" s="981"/>
      <c r="S740" s="981"/>
      <c r="T740" s="981"/>
      <c r="U740" s="981"/>
      <c r="V740" s="981"/>
      <c r="W740" s="981"/>
      <c r="X740" s="981"/>
      <c r="Y740" s="981"/>
      <c r="Z740" s="981"/>
      <c r="AA740" s="981"/>
      <c r="AB740" s="981"/>
    </row>
    <row r="741">
      <c r="A741" s="981"/>
      <c r="B741" s="991"/>
      <c r="C741" s="981"/>
      <c r="D741" s="981"/>
      <c r="E741" s="981"/>
      <c r="F741" s="981"/>
      <c r="G741" s="981"/>
      <c r="H741" s="981"/>
      <c r="I741" s="981"/>
      <c r="J741" s="981"/>
      <c r="K741" s="981"/>
      <c r="L741" s="981"/>
      <c r="M741" s="981"/>
      <c r="N741" s="981"/>
      <c r="O741" s="981"/>
      <c r="P741" s="981"/>
      <c r="Q741" s="981"/>
      <c r="R741" s="981"/>
      <c r="S741" s="981"/>
      <c r="T741" s="981"/>
      <c r="U741" s="981"/>
      <c r="V741" s="981"/>
      <c r="W741" s="981"/>
      <c r="X741" s="981"/>
      <c r="Y741" s="981"/>
      <c r="Z741" s="981"/>
      <c r="AA741" s="981"/>
      <c r="AB741" s="981"/>
    </row>
    <row r="742">
      <c r="A742" s="981"/>
      <c r="B742" s="991"/>
      <c r="C742" s="981"/>
      <c r="D742" s="981"/>
      <c r="E742" s="981"/>
      <c r="F742" s="981"/>
      <c r="G742" s="981"/>
      <c r="H742" s="981"/>
      <c r="I742" s="981"/>
      <c r="J742" s="981"/>
      <c r="K742" s="981"/>
      <c r="L742" s="981"/>
      <c r="M742" s="981"/>
      <c r="N742" s="981"/>
      <c r="O742" s="981"/>
      <c r="P742" s="981"/>
      <c r="Q742" s="981"/>
      <c r="R742" s="981"/>
      <c r="S742" s="981"/>
      <c r="T742" s="981"/>
      <c r="U742" s="981"/>
      <c r="V742" s="981"/>
      <c r="W742" s="981"/>
      <c r="X742" s="981"/>
      <c r="Y742" s="981"/>
      <c r="Z742" s="981"/>
      <c r="AA742" s="981"/>
      <c r="AB742" s="981"/>
    </row>
    <row r="743">
      <c r="A743" s="981"/>
      <c r="B743" s="991"/>
      <c r="C743" s="981"/>
      <c r="D743" s="981"/>
      <c r="E743" s="981"/>
      <c r="F743" s="981"/>
      <c r="G743" s="981"/>
      <c r="H743" s="981"/>
      <c r="I743" s="981"/>
      <c r="J743" s="981"/>
      <c r="K743" s="981"/>
      <c r="L743" s="981"/>
      <c r="M743" s="981"/>
      <c r="N743" s="981"/>
      <c r="O743" s="981"/>
      <c r="P743" s="981"/>
      <c r="Q743" s="981"/>
      <c r="R743" s="981"/>
      <c r="S743" s="981"/>
      <c r="T743" s="981"/>
      <c r="U743" s="981"/>
      <c r="V743" s="981"/>
      <c r="W743" s="981"/>
      <c r="X743" s="981"/>
      <c r="Y743" s="981"/>
      <c r="Z743" s="981"/>
      <c r="AA743" s="981"/>
      <c r="AB743" s="981"/>
    </row>
    <row r="744">
      <c r="A744" s="981"/>
      <c r="B744" s="991"/>
      <c r="C744" s="981"/>
      <c r="D744" s="981"/>
      <c r="E744" s="981"/>
      <c r="F744" s="981"/>
      <c r="G744" s="981"/>
      <c r="H744" s="981"/>
      <c r="I744" s="981"/>
      <c r="J744" s="981"/>
      <c r="K744" s="981"/>
      <c r="L744" s="981"/>
      <c r="M744" s="981"/>
      <c r="N744" s="981"/>
      <c r="O744" s="981"/>
      <c r="P744" s="981"/>
      <c r="Q744" s="981"/>
      <c r="R744" s="981"/>
      <c r="S744" s="981"/>
      <c r="T744" s="981"/>
      <c r="U744" s="981"/>
      <c r="V744" s="981"/>
      <c r="W744" s="981"/>
      <c r="X744" s="981"/>
      <c r="Y744" s="981"/>
      <c r="Z744" s="981"/>
      <c r="AA744" s="981"/>
      <c r="AB744" s="981"/>
    </row>
    <row r="745">
      <c r="A745" s="981"/>
      <c r="B745" s="991"/>
      <c r="C745" s="981"/>
      <c r="D745" s="981"/>
      <c r="E745" s="981"/>
      <c r="F745" s="981"/>
      <c r="G745" s="981"/>
      <c r="H745" s="981"/>
      <c r="I745" s="981"/>
      <c r="J745" s="981"/>
      <c r="K745" s="981"/>
      <c r="L745" s="981"/>
      <c r="M745" s="981"/>
      <c r="N745" s="981"/>
      <c r="O745" s="981"/>
      <c r="P745" s="981"/>
      <c r="Q745" s="981"/>
      <c r="R745" s="981"/>
      <c r="S745" s="981"/>
      <c r="T745" s="981"/>
      <c r="U745" s="981"/>
      <c r="V745" s="981"/>
      <c r="W745" s="981"/>
      <c r="X745" s="981"/>
      <c r="Y745" s="981"/>
      <c r="Z745" s="981"/>
      <c r="AA745" s="981"/>
      <c r="AB745" s="981"/>
    </row>
    <row r="746">
      <c r="A746" s="981"/>
      <c r="B746" s="991"/>
      <c r="C746" s="981"/>
      <c r="D746" s="981"/>
      <c r="E746" s="981"/>
      <c r="F746" s="981"/>
      <c r="G746" s="981"/>
      <c r="H746" s="981"/>
      <c r="I746" s="981"/>
      <c r="J746" s="981"/>
      <c r="K746" s="981"/>
      <c r="L746" s="981"/>
      <c r="M746" s="981"/>
      <c r="N746" s="981"/>
      <c r="O746" s="981"/>
      <c r="P746" s="981"/>
      <c r="Q746" s="981"/>
      <c r="R746" s="981"/>
      <c r="S746" s="981"/>
      <c r="T746" s="981"/>
      <c r="U746" s="981"/>
      <c r="V746" s="981"/>
      <c r="W746" s="981"/>
      <c r="X746" s="981"/>
      <c r="Y746" s="981"/>
      <c r="Z746" s="981"/>
      <c r="AA746" s="981"/>
      <c r="AB746" s="981"/>
    </row>
    <row r="747">
      <c r="A747" s="981"/>
      <c r="B747" s="991"/>
      <c r="C747" s="981"/>
      <c r="D747" s="981"/>
      <c r="E747" s="981"/>
      <c r="F747" s="981"/>
      <c r="G747" s="981"/>
      <c r="H747" s="981"/>
      <c r="I747" s="981"/>
      <c r="J747" s="981"/>
      <c r="K747" s="981"/>
      <c r="L747" s="981"/>
      <c r="M747" s="981"/>
      <c r="N747" s="981"/>
      <c r="O747" s="981"/>
      <c r="P747" s="981"/>
      <c r="Q747" s="981"/>
      <c r="R747" s="981"/>
      <c r="S747" s="981"/>
      <c r="T747" s="981"/>
      <c r="U747" s="981"/>
      <c r="V747" s="981"/>
      <c r="W747" s="981"/>
      <c r="X747" s="981"/>
      <c r="Y747" s="981"/>
      <c r="Z747" s="981"/>
      <c r="AA747" s="981"/>
      <c r="AB747" s="981"/>
    </row>
    <row r="748">
      <c r="A748" s="981"/>
      <c r="B748" s="991"/>
      <c r="C748" s="981"/>
      <c r="D748" s="981"/>
      <c r="E748" s="981"/>
      <c r="F748" s="981"/>
      <c r="G748" s="981"/>
      <c r="H748" s="981"/>
      <c r="I748" s="981"/>
      <c r="J748" s="981"/>
      <c r="K748" s="981"/>
      <c r="L748" s="981"/>
      <c r="M748" s="981"/>
      <c r="N748" s="981"/>
      <c r="O748" s="981"/>
      <c r="P748" s="981"/>
      <c r="Q748" s="981"/>
      <c r="R748" s="981"/>
      <c r="S748" s="981"/>
      <c r="T748" s="981"/>
      <c r="U748" s="981"/>
      <c r="V748" s="981"/>
      <c r="W748" s="981"/>
      <c r="X748" s="981"/>
      <c r="Y748" s="981"/>
      <c r="Z748" s="981"/>
      <c r="AA748" s="981"/>
      <c r="AB748" s="981"/>
    </row>
    <row r="749">
      <c r="A749" s="981"/>
      <c r="B749" s="991"/>
      <c r="C749" s="981"/>
      <c r="D749" s="981"/>
      <c r="E749" s="981"/>
      <c r="F749" s="981"/>
      <c r="G749" s="981"/>
      <c r="H749" s="981"/>
      <c r="I749" s="981"/>
      <c r="J749" s="981"/>
      <c r="K749" s="981"/>
      <c r="L749" s="981"/>
      <c r="M749" s="981"/>
      <c r="N749" s="981"/>
      <c r="O749" s="981"/>
      <c r="P749" s="981"/>
      <c r="Q749" s="981"/>
      <c r="R749" s="981"/>
      <c r="S749" s="981"/>
      <c r="T749" s="981"/>
      <c r="U749" s="981"/>
      <c r="V749" s="981"/>
      <c r="W749" s="981"/>
      <c r="X749" s="981"/>
      <c r="Y749" s="981"/>
      <c r="Z749" s="981"/>
      <c r="AA749" s="981"/>
      <c r="AB749" s="981"/>
    </row>
    <row r="750">
      <c r="A750" s="981"/>
      <c r="B750" s="991"/>
      <c r="C750" s="981"/>
      <c r="D750" s="981"/>
      <c r="E750" s="981"/>
      <c r="F750" s="981"/>
      <c r="G750" s="981"/>
      <c r="H750" s="981"/>
      <c r="I750" s="981"/>
      <c r="J750" s="981"/>
      <c r="K750" s="981"/>
      <c r="L750" s="981"/>
      <c r="M750" s="981"/>
      <c r="N750" s="981"/>
      <c r="O750" s="981"/>
      <c r="P750" s="981"/>
      <c r="Q750" s="981"/>
      <c r="R750" s="981"/>
      <c r="S750" s="981"/>
      <c r="T750" s="981"/>
      <c r="U750" s="981"/>
      <c r="V750" s="981"/>
      <c r="W750" s="981"/>
      <c r="X750" s="981"/>
      <c r="Y750" s="981"/>
      <c r="Z750" s="981"/>
      <c r="AA750" s="981"/>
      <c r="AB750" s="981"/>
    </row>
    <row r="751">
      <c r="A751" s="981"/>
      <c r="B751" s="991"/>
      <c r="C751" s="981"/>
      <c r="D751" s="981"/>
      <c r="E751" s="981"/>
      <c r="F751" s="981"/>
      <c r="G751" s="981"/>
      <c r="H751" s="981"/>
      <c r="I751" s="981"/>
      <c r="J751" s="981"/>
      <c r="K751" s="981"/>
      <c r="L751" s="981"/>
      <c r="M751" s="981"/>
      <c r="N751" s="981"/>
      <c r="O751" s="981"/>
      <c r="P751" s="981"/>
      <c r="Q751" s="981"/>
      <c r="R751" s="981"/>
      <c r="S751" s="981"/>
      <c r="T751" s="981"/>
      <c r="U751" s="981"/>
      <c r="V751" s="981"/>
      <c r="W751" s="981"/>
      <c r="X751" s="981"/>
      <c r="Y751" s="981"/>
      <c r="Z751" s="981"/>
      <c r="AA751" s="981"/>
      <c r="AB751" s="981"/>
    </row>
    <row r="752">
      <c r="A752" s="981"/>
      <c r="B752" s="991"/>
      <c r="C752" s="981"/>
      <c r="D752" s="981"/>
      <c r="E752" s="981"/>
      <c r="F752" s="981"/>
      <c r="G752" s="981"/>
      <c r="H752" s="981"/>
      <c r="I752" s="981"/>
      <c r="J752" s="981"/>
      <c r="K752" s="981"/>
      <c r="L752" s="981"/>
      <c r="M752" s="981"/>
      <c r="N752" s="981"/>
      <c r="O752" s="981"/>
      <c r="P752" s="981"/>
      <c r="Q752" s="981"/>
      <c r="R752" s="981"/>
      <c r="S752" s="981"/>
      <c r="T752" s="981"/>
      <c r="U752" s="981"/>
      <c r="V752" s="981"/>
      <c r="W752" s="981"/>
      <c r="X752" s="981"/>
      <c r="Y752" s="981"/>
      <c r="Z752" s="981"/>
      <c r="AA752" s="981"/>
      <c r="AB752" s="981"/>
    </row>
    <row r="753">
      <c r="A753" s="981"/>
      <c r="B753" s="991"/>
      <c r="C753" s="981"/>
      <c r="D753" s="981"/>
      <c r="E753" s="981"/>
      <c r="F753" s="981"/>
      <c r="G753" s="981"/>
      <c r="H753" s="981"/>
      <c r="I753" s="981"/>
      <c r="J753" s="981"/>
      <c r="K753" s="981"/>
      <c r="L753" s="981"/>
      <c r="M753" s="981"/>
      <c r="N753" s="981"/>
      <c r="O753" s="981"/>
      <c r="P753" s="981"/>
      <c r="Q753" s="981"/>
      <c r="R753" s="981"/>
      <c r="S753" s="981"/>
      <c r="T753" s="981"/>
      <c r="U753" s="981"/>
      <c r="V753" s="981"/>
      <c r="W753" s="981"/>
      <c r="X753" s="981"/>
      <c r="Y753" s="981"/>
      <c r="Z753" s="981"/>
      <c r="AA753" s="981"/>
      <c r="AB753" s="981"/>
    </row>
    <row r="754">
      <c r="A754" s="981"/>
      <c r="B754" s="991"/>
      <c r="C754" s="981"/>
      <c r="D754" s="981"/>
      <c r="E754" s="981"/>
      <c r="F754" s="981"/>
      <c r="G754" s="981"/>
      <c r="H754" s="981"/>
      <c r="I754" s="981"/>
      <c r="J754" s="981"/>
      <c r="K754" s="981"/>
      <c r="L754" s="981"/>
      <c r="M754" s="981"/>
      <c r="N754" s="981"/>
      <c r="O754" s="981"/>
      <c r="P754" s="981"/>
      <c r="Q754" s="981"/>
      <c r="R754" s="981"/>
      <c r="S754" s="981"/>
      <c r="T754" s="981"/>
      <c r="U754" s="981"/>
      <c r="V754" s="981"/>
      <c r="W754" s="981"/>
      <c r="X754" s="981"/>
      <c r="Y754" s="981"/>
      <c r="Z754" s="981"/>
      <c r="AA754" s="981"/>
      <c r="AB754" s="981"/>
    </row>
    <row r="755">
      <c r="A755" s="981"/>
      <c r="B755" s="991"/>
      <c r="C755" s="981"/>
      <c r="D755" s="981"/>
      <c r="E755" s="981"/>
      <c r="F755" s="981"/>
      <c r="G755" s="981"/>
      <c r="H755" s="981"/>
      <c r="I755" s="981"/>
      <c r="J755" s="981"/>
      <c r="K755" s="981"/>
      <c r="L755" s="981"/>
      <c r="M755" s="981"/>
      <c r="N755" s="981"/>
      <c r="O755" s="981"/>
      <c r="P755" s="981"/>
      <c r="Q755" s="981"/>
      <c r="R755" s="981"/>
      <c r="S755" s="981"/>
      <c r="T755" s="981"/>
      <c r="U755" s="981"/>
      <c r="V755" s="981"/>
      <c r="W755" s="981"/>
      <c r="X755" s="981"/>
      <c r="Y755" s="981"/>
      <c r="Z755" s="981"/>
      <c r="AA755" s="981"/>
      <c r="AB755" s="981"/>
    </row>
    <row r="756">
      <c r="A756" s="981"/>
      <c r="B756" s="991"/>
      <c r="C756" s="981"/>
      <c r="D756" s="981"/>
      <c r="E756" s="981"/>
      <c r="F756" s="981"/>
      <c r="G756" s="981"/>
      <c r="H756" s="981"/>
      <c r="I756" s="981"/>
      <c r="J756" s="981"/>
      <c r="K756" s="981"/>
      <c r="L756" s="981"/>
      <c r="M756" s="981"/>
      <c r="N756" s="981"/>
      <c r="O756" s="981"/>
      <c r="P756" s="981"/>
      <c r="Q756" s="981"/>
      <c r="R756" s="981"/>
      <c r="S756" s="981"/>
      <c r="T756" s="981"/>
      <c r="U756" s="981"/>
      <c r="V756" s="981"/>
      <c r="W756" s="981"/>
      <c r="X756" s="981"/>
      <c r="Y756" s="981"/>
      <c r="Z756" s="981"/>
      <c r="AA756" s="981"/>
      <c r="AB756" s="981"/>
    </row>
    <row r="757">
      <c r="A757" s="981"/>
      <c r="B757" s="991"/>
      <c r="C757" s="981"/>
      <c r="D757" s="981"/>
      <c r="E757" s="981"/>
      <c r="F757" s="981"/>
      <c r="G757" s="981"/>
      <c r="H757" s="981"/>
      <c r="I757" s="981"/>
      <c r="J757" s="981"/>
      <c r="K757" s="981"/>
      <c r="L757" s="981"/>
      <c r="M757" s="981"/>
      <c r="N757" s="981"/>
      <c r="O757" s="981"/>
      <c r="P757" s="981"/>
      <c r="Q757" s="981"/>
      <c r="R757" s="981"/>
      <c r="S757" s="981"/>
      <c r="T757" s="981"/>
      <c r="U757" s="981"/>
      <c r="V757" s="981"/>
      <c r="W757" s="981"/>
      <c r="X757" s="981"/>
      <c r="Y757" s="981"/>
      <c r="Z757" s="981"/>
      <c r="AA757" s="981"/>
      <c r="AB757" s="981"/>
    </row>
    <row r="758">
      <c r="A758" s="981"/>
      <c r="B758" s="991"/>
      <c r="C758" s="981"/>
      <c r="D758" s="981"/>
      <c r="E758" s="981"/>
      <c r="F758" s="981"/>
      <c r="G758" s="981"/>
      <c r="H758" s="981"/>
      <c r="I758" s="981"/>
      <c r="J758" s="981"/>
      <c r="K758" s="981"/>
      <c r="L758" s="981"/>
      <c r="M758" s="981"/>
      <c r="N758" s="981"/>
      <c r="O758" s="981"/>
      <c r="P758" s="981"/>
      <c r="Q758" s="981"/>
      <c r="R758" s="981"/>
      <c r="S758" s="981"/>
      <c r="T758" s="981"/>
      <c r="U758" s="981"/>
      <c r="V758" s="981"/>
      <c r="W758" s="981"/>
      <c r="X758" s="981"/>
      <c r="Y758" s="981"/>
      <c r="Z758" s="981"/>
      <c r="AA758" s="981"/>
      <c r="AB758" s="981"/>
    </row>
    <row r="759">
      <c r="A759" s="981"/>
      <c r="B759" s="991"/>
      <c r="C759" s="981"/>
      <c r="D759" s="981"/>
      <c r="E759" s="981"/>
      <c r="F759" s="981"/>
      <c r="G759" s="981"/>
      <c r="H759" s="981"/>
      <c r="I759" s="981"/>
      <c r="J759" s="981"/>
      <c r="K759" s="981"/>
      <c r="L759" s="981"/>
      <c r="M759" s="981"/>
      <c r="N759" s="981"/>
      <c r="O759" s="981"/>
      <c r="P759" s="981"/>
      <c r="Q759" s="981"/>
      <c r="R759" s="981"/>
      <c r="S759" s="981"/>
      <c r="T759" s="981"/>
      <c r="U759" s="981"/>
      <c r="V759" s="981"/>
      <c r="W759" s="981"/>
      <c r="X759" s="981"/>
      <c r="Y759" s="981"/>
      <c r="Z759" s="981"/>
      <c r="AA759" s="981"/>
      <c r="AB759" s="981"/>
    </row>
    <row r="760">
      <c r="A760" s="981"/>
      <c r="B760" s="991"/>
      <c r="C760" s="981"/>
      <c r="D760" s="981"/>
      <c r="E760" s="981"/>
      <c r="F760" s="981"/>
      <c r="G760" s="981"/>
      <c r="H760" s="981"/>
      <c r="I760" s="981"/>
      <c r="J760" s="981"/>
      <c r="K760" s="981"/>
      <c r="L760" s="981"/>
      <c r="M760" s="981"/>
      <c r="N760" s="981"/>
      <c r="O760" s="981"/>
      <c r="P760" s="981"/>
      <c r="Q760" s="981"/>
      <c r="R760" s="981"/>
      <c r="S760" s="981"/>
      <c r="T760" s="981"/>
      <c r="U760" s="981"/>
      <c r="V760" s="981"/>
      <c r="W760" s="981"/>
      <c r="X760" s="981"/>
      <c r="Y760" s="981"/>
      <c r="Z760" s="981"/>
      <c r="AA760" s="981"/>
      <c r="AB760" s="981"/>
    </row>
    <row r="761">
      <c r="A761" s="981"/>
      <c r="B761" s="991"/>
      <c r="C761" s="981"/>
      <c r="D761" s="981"/>
      <c r="E761" s="981"/>
      <c r="F761" s="981"/>
      <c r="G761" s="981"/>
      <c r="H761" s="981"/>
      <c r="I761" s="981"/>
      <c r="J761" s="981"/>
      <c r="K761" s="981"/>
      <c r="L761" s="981"/>
      <c r="M761" s="981"/>
      <c r="N761" s="981"/>
      <c r="O761" s="981"/>
      <c r="P761" s="981"/>
      <c r="Q761" s="981"/>
      <c r="R761" s="981"/>
      <c r="S761" s="981"/>
      <c r="T761" s="981"/>
      <c r="U761" s="981"/>
      <c r="V761" s="981"/>
      <c r="W761" s="981"/>
      <c r="X761" s="981"/>
      <c r="Y761" s="981"/>
      <c r="Z761" s="981"/>
      <c r="AA761" s="981"/>
      <c r="AB761" s="981"/>
    </row>
    <row r="762">
      <c r="A762" s="981"/>
      <c r="B762" s="991"/>
      <c r="C762" s="981"/>
      <c r="D762" s="981"/>
      <c r="E762" s="981"/>
      <c r="F762" s="981"/>
      <c r="G762" s="981"/>
      <c r="H762" s="981"/>
      <c r="I762" s="981"/>
      <c r="J762" s="981"/>
      <c r="K762" s="981"/>
      <c r="L762" s="981"/>
      <c r="M762" s="981"/>
      <c r="N762" s="981"/>
      <c r="O762" s="981"/>
      <c r="P762" s="981"/>
      <c r="Q762" s="981"/>
      <c r="R762" s="981"/>
      <c r="S762" s="981"/>
      <c r="T762" s="981"/>
      <c r="U762" s="981"/>
      <c r="V762" s="981"/>
      <c r="W762" s="981"/>
      <c r="X762" s="981"/>
      <c r="Y762" s="981"/>
      <c r="Z762" s="981"/>
      <c r="AA762" s="981"/>
      <c r="AB762" s="981"/>
    </row>
    <row r="763">
      <c r="A763" s="981"/>
      <c r="B763" s="991"/>
      <c r="C763" s="981"/>
      <c r="D763" s="981"/>
      <c r="E763" s="981"/>
      <c r="F763" s="981"/>
      <c r="G763" s="981"/>
      <c r="H763" s="981"/>
      <c r="I763" s="981"/>
      <c r="J763" s="981"/>
      <c r="K763" s="981"/>
      <c r="L763" s="981"/>
      <c r="M763" s="981"/>
      <c r="N763" s="981"/>
      <c r="O763" s="981"/>
      <c r="P763" s="981"/>
      <c r="Q763" s="981"/>
      <c r="R763" s="981"/>
      <c r="S763" s="981"/>
      <c r="T763" s="981"/>
      <c r="U763" s="981"/>
      <c r="V763" s="981"/>
      <c r="W763" s="981"/>
      <c r="X763" s="981"/>
      <c r="Y763" s="981"/>
      <c r="Z763" s="981"/>
      <c r="AA763" s="981"/>
      <c r="AB763" s="981"/>
    </row>
    <row r="764">
      <c r="A764" s="981"/>
      <c r="B764" s="991"/>
      <c r="C764" s="981"/>
      <c r="D764" s="981"/>
      <c r="E764" s="981"/>
      <c r="F764" s="981"/>
      <c r="G764" s="981"/>
      <c r="H764" s="981"/>
      <c r="I764" s="981"/>
      <c r="J764" s="981"/>
      <c r="K764" s="981"/>
      <c r="L764" s="981"/>
      <c r="M764" s="981"/>
      <c r="N764" s="981"/>
      <c r="O764" s="981"/>
      <c r="P764" s="981"/>
      <c r="Q764" s="981"/>
      <c r="R764" s="981"/>
      <c r="S764" s="981"/>
      <c r="T764" s="981"/>
      <c r="U764" s="981"/>
      <c r="V764" s="981"/>
      <c r="W764" s="981"/>
      <c r="X764" s="981"/>
      <c r="Y764" s="981"/>
      <c r="Z764" s="981"/>
      <c r="AA764" s="981"/>
      <c r="AB764" s="981"/>
    </row>
    <row r="765">
      <c r="A765" s="981"/>
      <c r="B765" s="991"/>
      <c r="C765" s="981"/>
      <c r="D765" s="981"/>
      <c r="E765" s="981"/>
      <c r="F765" s="981"/>
      <c r="G765" s="981"/>
      <c r="H765" s="981"/>
      <c r="I765" s="981"/>
      <c r="J765" s="981"/>
      <c r="K765" s="981"/>
      <c r="L765" s="981"/>
      <c r="M765" s="981"/>
      <c r="N765" s="981"/>
      <c r="O765" s="981"/>
      <c r="P765" s="981"/>
      <c r="Q765" s="981"/>
      <c r="R765" s="981"/>
      <c r="S765" s="981"/>
      <c r="T765" s="981"/>
      <c r="U765" s="981"/>
      <c r="V765" s="981"/>
      <c r="W765" s="981"/>
      <c r="X765" s="981"/>
      <c r="Y765" s="981"/>
      <c r="Z765" s="981"/>
      <c r="AA765" s="981"/>
      <c r="AB765" s="981"/>
    </row>
    <row r="766">
      <c r="A766" s="981"/>
      <c r="B766" s="991"/>
      <c r="C766" s="981"/>
      <c r="D766" s="981"/>
      <c r="E766" s="981"/>
      <c r="F766" s="981"/>
      <c r="G766" s="981"/>
      <c r="H766" s="981"/>
      <c r="I766" s="981"/>
      <c r="J766" s="981"/>
      <c r="K766" s="981"/>
      <c r="L766" s="981"/>
      <c r="M766" s="981"/>
      <c r="N766" s="981"/>
      <c r="O766" s="981"/>
      <c r="P766" s="981"/>
      <c r="Q766" s="981"/>
      <c r="R766" s="981"/>
      <c r="S766" s="981"/>
      <c r="T766" s="981"/>
      <c r="U766" s="981"/>
      <c r="V766" s="981"/>
      <c r="W766" s="981"/>
      <c r="X766" s="981"/>
      <c r="Y766" s="981"/>
      <c r="Z766" s="981"/>
      <c r="AA766" s="981"/>
      <c r="AB766" s="981"/>
    </row>
    <row r="767">
      <c r="A767" s="981"/>
      <c r="B767" s="991"/>
      <c r="C767" s="981"/>
      <c r="D767" s="981"/>
      <c r="E767" s="981"/>
      <c r="F767" s="981"/>
      <c r="G767" s="981"/>
      <c r="H767" s="981"/>
      <c r="I767" s="981"/>
      <c r="J767" s="981"/>
      <c r="K767" s="981"/>
      <c r="L767" s="981"/>
      <c r="M767" s="981"/>
      <c r="N767" s="981"/>
      <c r="O767" s="981"/>
      <c r="P767" s="981"/>
      <c r="Q767" s="981"/>
      <c r="R767" s="981"/>
      <c r="S767" s="981"/>
      <c r="T767" s="981"/>
      <c r="U767" s="981"/>
      <c r="V767" s="981"/>
      <c r="W767" s="981"/>
      <c r="X767" s="981"/>
      <c r="Y767" s="981"/>
      <c r="Z767" s="981"/>
      <c r="AA767" s="981"/>
      <c r="AB767" s="981"/>
    </row>
    <row r="768">
      <c r="A768" s="981"/>
      <c r="B768" s="991"/>
      <c r="C768" s="981"/>
      <c r="D768" s="981"/>
      <c r="E768" s="981"/>
      <c r="F768" s="981"/>
      <c r="G768" s="981"/>
      <c r="H768" s="981"/>
      <c r="I768" s="981"/>
      <c r="J768" s="981"/>
      <c r="K768" s="981"/>
      <c r="L768" s="981"/>
      <c r="M768" s="981"/>
      <c r="N768" s="981"/>
      <c r="O768" s="981"/>
      <c r="P768" s="981"/>
      <c r="Q768" s="981"/>
      <c r="R768" s="981"/>
      <c r="S768" s="981"/>
      <c r="T768" s="981"/>
      <c r="U768" s="981"/>
      <c r="V768" s="981"/>
      <c r="W768" s="981"/>
      <c r="X768" s="981"/>
      <c r="Y768" s="981"/>
      <c r="Z768" s="981"/>
      <c r="AA768" s="981"/>
      <c r="AB768" s="981"/>
    </row>
    <row r="769">
      <c r="A769" s="981"/>
      <c r="B769" s="991"/>
      <c r="C769" s="981"/>
      <c r="D769" s="981"/>
      <c r="E769" s="981"/>
      <c r="F769" s="981"/>
      <c r="G769" s="981"/>
      <c r="H769" s="981"/>
      <c r="I769" s="981"/>
      <c r="J769" s="981"/>
      <c r="K769" s="981"/>
      <c r="L769" s="981"/>
      <c r="M769" s="981"/>
      <c r="N769" s="981"/>
      <c r="O769" s="981"/>
      <c r="P769" s="981"/>
      <c r="Q769" s="981"/>
      <c r="R769" s="981"/>
      <c r="S769" s="981"/>
      <c r="T769" s="981"/>
      <c r="U769" s="981"/>
      <c r="V769" s="981"/>
      <c r="W769" s="981"/>
      <c r="X769" s="981"/>
      <c r="Y769" s="981"/>
      <c r="Z769" s="981"/>
      <c r="AA769" s="981"/>
      <c r="AB769" s="981"/>
    </row>
    <row r="770">
      <c r="A770" s="981"/>
      <c r="B770" s="991"/>
      <c r="C770" s="981"/>
      <c r="D770" s="981"/>
      <c r="E770" s="981"/>
      <c r="F770" s="981"/>
      <c r="G770" s="981"/>
      <c r="H770" s="981"/>
      <c r="I770" s="981"/>
      <c r="J770" s="981"/>
      <c r="K770" s="981"/>
      <c r="L770" s="981"/>
      <c r="M770" s="981"/>
      <c r="N770" s="981"/>
      <c r="O770" s="981"/>
      <c r="P770" s="981"/>
      <c r="Q770" s="981"/>
      <c r="R770" s="981"/>
      <c r="S770" s="981"/>
      <c r="T770" s="981"/>
      <c r="U770" s="981"/>
      <c r="V770" s="981"/>
      <c r="W770" s="981"/>
      <c r="X770" s="981"/>
      <c r="Y770" s="981"/>
      <c r="Z770" s="981"/>
      <c r="AA770" s="981"/>
      <c r="AB770" s="981"/>
    </row>
    <row r="771">
      <c r="A771" s="981"/>
      <c r="B771" s="991"/>
      <c r="C771" s="981"/>
      <c r="D771" s="981"/>
      <c r="E771" s="981"/>
      <c r="F771" s="981"/>
      <c r="G771" s="981"/>
      <c r="H771" s="981"/>
      <c r="I771" s="981"/>
      <c r="J771" s="981"/>
      <c r="K771" s="981"/>
      <c r="L771" s="981"/>
      <c r="M771" s="981"/>
      <c r="N771" s="981"/>
      <c r="O771" s="981"/>
      <c r="P771" s="981"/>
      <c r="Q771" s="981"/>
      <c r="R771" s="981"/>
      <c r="S771" s="981"/>
      <c r="T771" s="981"/>
      <c r="U771" s="981"/>
      <c r="V771" s="981"/>
      <c r="W771" s="981"/>
      <c r="X771" s="981"/>
      <c r="Y771" s="981"/>
      <c r="Z771" s="981"/>
      <c r="AA771" s="981"/>
      <c r="AB771" s="981"/>
    </row>
    <row r="772">
      <c r="A772" s="981"/>
      <c r="B772" s="991"/>
      <c r="C772" s="981"/>
      <c r="D772" s="981"/>
      <c r="E772" s="981"/>
      <c r="F772" s="981"/>
      <c r="G772" s="981"/>
      <c r="H772" s="981"/>
      <c r="I772" s="981"/>
      <c r="J772" s="981"/>
      <c r="K772" s="981"/>
      <c r="L772" s="981"/>
      <c r="M772" s="981"/>
      <c r="N772" s="981"/>
      <c r="O772" s="981"/>
      <c r="P772" s="981"/>
      <c r="Q772" s="981"/>
      <c r="R772" s="981"/>
      <c r="S772" s="981"/>
      <c r="T772" s="981"/>
      <c r="U772" s="981"/>
      <c r="V772" s="981"/>
      <c r="W772" s="981"/>
      <c r="X772" s="981"/>
      <c r="Y772" s="981"/>
      <c r="Z772" s="981"/>
      <c r="AA772" s="981"/>
      <c r="AB772" s="981"/>
    </row>
    <row r="773">
      <c r="A773" s="981"/>
      <c r="B773" s="991"/>
      <c r="C773" s="981"/>
      <c r="D773" s="981"/>
      <c r="E773" s="981"/>
      <c r="F773" s="981"/>
      <c r="G773" s="981"/>
      <c r="H773" s="981"/>
      <c r="I773" s="981"/>
      <c r="J773" s="981"/>
      <c r="K773" s="981"/>
      <c r="L773" s="981"/>
      <c r="M773" s="981"/>
      <c r="N773" s="981"/>
      <c r="O773" s="981"/>
      <c r="P773" s="981"/>
      <c r="Q773" s="981"/>
      <c r="R773" s="981"/>
      <c r="S773" s="981"/>
      <c r="T773" s="981"/>
      <c r="U773" s="981"/>
      <c r="V773" s="981"/>
      <c r="W773" s="981"/>
      <c r="X773" s="981"/>
      <c r="Y773" s="981"/>
      <c r="Z773" s="981"/>
      <c r="AA773" s="981"/>
      <c r="AB773" s="981"/>
    </row>
    <row r="774">
      <c r="A774" s="981"/>
      <c r="B774" s="991"/>
      <c r="C774" s="981"/>
      <c r="D774" s="981"/>
      <c r="E774" s="981"/>
      <c r="F774" s="981"/>
      <c r="G774" s="981"/>
      <c r="H774" s="981"/>
      <c r="I774" s="981"/>
      <c r="J774" s="981"/>
      <c r="K774" s="981"/>
      <c r="L774" s="981"/>
      <c r="M774" s="981"/>
      <c r="N774" s="981"/>
      <c r="O774" s="981"/>
      <c r="P774" s="981"/>
      <c r="Q774" s="981"/>
      <c r="R774" s="981"/>
      <c r="S774" s="981"/>
      <c r="T774" s="981"/>
      <c r="U774" s="981"/>
      <c r="V774" s="981"/>
      <c r="W774" s="981"/>
      <c r="X774" s="981"/>
      <c r="Y774" s="981"/>
      <c r="Z774" s="981"/>
      <c r="AA774" s="981"/>
      <c r="AB774" s="981"/>
    </row>
    <row r="775">
      <c r="A775" s="981"/>
      <c r="B775" s="991"/>
      <c r="C775" s="981"/>
      <c r="D775" s="981"/>
      <c r="E775" s="981"/>
      <c r="F775" s="981"/>
      <c r="G775" s="981"/>
      <c r="H775" s="981"/>
      <c r="I775" s="981"/>
      <c r="J775" s="981"/>
      <c r="K775" s="981"/>
      <c r="L775" s="981"/>
      <c r="M775" s="981"/>
      <c r="N775" s="981"/>
      <c r="O775" s="981"/>
      <c r="P775" s="981"/>
      <c r="Q775" s="981"/>
      <c r="R775" s="981"/>
      <c r="S775" s="981"/>
      <c r="T775" s="981"/>
      <c r="U775" s="981"/>
      <c r="V775" s="981"/>
      <c r="W775" s="981"/>
      <c r="X775" s="981"/>
      <c r="Y775" s="981"/>
      <c r="Z775" s="981"/>
      <c r="AA775" s="981"/>
      <c r="AB775" s="981"/>
    </row>
    <row r="776">
      <c r="A776" s="981"/>
      <c r="B776" s="991"/>
      <c r="C776" s="981"/>
      <c r="D776" s="981"/>
      <c r="E776" s="981"/>
      <c r="F776" s="981"/>
      <c r="G776" s="981"/>
      <c r="H776" s="981"/>
      <c r="I776" s="981"/>
      <c r="J776" s="981"/>
      <c r="K776" s="981"/>
      <c r="L776" s="981"/>
      <c r="M776" s="981"/>
      <c r="N776" s="981"/>
      <c r="O776" s="981"/>
      <c r="P776" s="981"/>
      <c r="Q776" s="981"/>
      <c r="R776" s="981"/>
      <c r="S776" s="981"/>
      <c r="T776" s="981"/>
      <c r="U776" s="981"/>
      <c r="V776" s="981"/>
      <c r="W776" s="981"/>
      <c r="X776" s="981"/>
      <c r="Y776" s="981"/>
      <c r="Z776" s="981"/>
      <c r="AA776" s="981"/>
      <c r="AB776" s="981"/>
    </row>
    <row r="777">
      <c r="A777" s="981"/>
      <c r="B777" s="991"/>
      <c r="C777" s="981"/>
      <c r="D777" s="981"/>
      <c r="E777" s="981"/>
      <c r="F777" s="981"/>
      <c r="G777" s="981"/>
      <c r="H777" s="981"/>
      <c r="I777" s="981"/>
      <c r="J777" s="981"/>
      <c r="K777" s="981"/>
      <c r="L777" s="981"/>
      <c r="M777" s="981"/>
      <c r="N777" s="981"/>
      <c r="O777" s="981"/>
      <c r="P777" s="981"/>
      <c r="Q777" s="981"/>
      <c r="R777" s="981"/>
      <c r="S777" s="981"/>
      <c r="T777" s="981"/>
      <c r="U777" s="981"/>
      <c r="V777" s="981"/>
      <c r="W777" s="981"/>
      <c r="X777" s="981"/>
      <c r="Y777" s="981"/>
      <c r="Z777" s="981"/>
      <c r="AA777" s="981"/>
      <c r="AB777" s="981"/>
    </row>
    <row r="778">
      <c r="A778" s="981"/>
      <c r="B778" s="991"/>
      <c r="C778" s="981"/>
      <c r="D778" s="981"/>
      <c r="E778" s="981"/>
      <c r="F778" s="981"/>
      <c r="G778" s="981"/>
      <c r="H778" s="981"/>
      <c r="I778" s="981"/>
      <c r="J778" s="981"/>
      <c r="K778" s="981"/>
      <c r="L778" s="981"/>
      <c r="M778" s="981"/>
      <c r="N778" s="981"/>
      <c r="O778" s="981"/>
      <c r="P778" s="981"/>
      <c r="Q778" s="981"/>
      <c r="R778" s="981"/>
      <c r="S778" s="981"/>
      <c r="T778" s="981"/>
      <c r="U778" s="981"/>
      <c r="V778" s="981"/>
      <c r="W778" s="981"/>
      <c r="X778" s="981"/>
      <c r="Y778" s="981"/>
      <c r="Z778" s="981"/>
      <c r="AA778" s="981"/>
      <c r="AB778" s="981"/>
    </row>
    <row r="779">
      <c r="A779" s="981"/>
      <c r="B779" s="991"/>
      <c r="C779" s="981"/>
      <c r="D779" s="981"/>
      <c r="E779" s="981"/>
      <c r="F779" s="981"/>
      <c r="G779" s="981"/>
      <c r="H779" s="981"/>
      <c r="I779" s="981"/>
      <c r="J779" s="981"/>
      <c r="K779" s="981"/>
      <c r="L779" s="981"/>
      <c r="M779" s="981"/>
      <c r="N779" s="981"/>
      <c r="O779" s="981"/>
      <c r="P779" s="981"/>
      <c r="Q779" s="981"/>
      <c r="R779" s="981"/>
      <c r="S779" s="981"/>
      <c r="T779" s="981"/>
      <c r="U779" s="981"/>
      <c r="V779" s="981"/>
      <c r="W779" s="981"/>
      <c r="X779" s="981"/>
      <c r="Y779" s="981"/>
      <c r="Z779" s="981"/>
      <c r="AA779" s="981"/>
      <c r="AB779" s="981"/>
    </row>
    <row r="780">
      <c r="A780" s="981"/>
      <c r="B780" s="991"/>
      <c r="C780" s="981"/>
      <c r="D780" s="981"/>
      <c r="E780" s="981"/>
      <c r="F780" s="981"/>
      <c r="G780" s="981"/>
      <c r="H780" s="981"/>
      <c r="I780" s="981"/>
      <c r="J780" s="981"/>
      <c r="K780" s="981"/>
      <c r="L780" s="981"/>
      <c r="M780" s="981"/>
      <c r="N780" s="981"/>
      <c r="O780" s="981"/>
      <c r="P780" s="981"/>
      <c r="Q780" s="981"/>
      <c r="R780" s="981"/>
      <c r="S780" s="981"/>
      <c r="T780" s="981"/>
      <c r="U780" s="981"/>
      <c r="V780" s="981"/>
      <c r="W780" s="981"/>
      <c r="X780" s="981"/>
      <c r="Y780" s="981"/>
      <c r="Z780" s="981"/>
      <c r="AA780" s="981"/>
      <c r="AB780" s="981"/>
    </row>
    <row r="781">
      <c r="A781" s="981"/>
      <c r="B781" s="991"/>
      <c r="C781" s="981"/>
      <c r="D781" s="981"/>
      <c r="E781" s="981"/>
      <c r="F781" s="981"/>
      <c r="G781" s="981"/>
      <c r="H781" s="981"/>
      <c r="I781" s="981"/>
      <c r="J781" s="981"/>
      <c r="K781" s="981"/>
      <c r="L781" s="981"/>
      <c r="M781" s="981"/>
      <c r="N781" s="981"/>
      <c r="O781" s="981"/>
      <c r="P781" s="981"/>
      <c r="Q781" s="981"/>
      <c r="R781" s="981"/>
      <c r="S781" s="981"/>
      <c r="T781" s="981"/>
      <c r="U781" s="981"/>
      <c r="V781" s="981"/>
      <c r="W781" s="981"/>
      <c r="X781" s="981"/>
      <c r="Y781" s="981"/>
      <c r="Z781" s="981"/>
      <c r="AA781" s="981"/>
      <c r="AB781" s="981"/>
    </row>
    <row r="782">
      <c r="A782" s="981"/>
      <c r="B782" s="991"/>
      <c r="C782" s="981"/>
      <c r="D782" s="981"/>
      <c r="E782" s="981"/>
      <c r="F782" s="981"/>
      <c r="G782" s="981"/>
      <c r="H782" s="981"/>
      <c r="I782" s="981"/>
      <c r="J782" s="981"/>
      <c r="K782" s="981"/>
      <c r="L782" s="981"/>
      <c r="M782" s="981"/>
      <c r="N782" s="981"/>
      <c r="O782" s="981"/>
      <c r="P782" s="981"/>
      <c r="Q782" s="981"/>
      <c r="R782" s="981"/>
      <c r="S782" s="981"/>
      <c r="T782" s="981"/>
      <c r="U782" s="981"/>
      <c r="V782" s="981"/>
      <c r="W782" s="981"/>
      <c r="X782" s="981"/>
      <c r="Y782" s="981"/>
      <c r="Z782" s="981"/>
      <c r="AA782" s="981"/>
      <c r="AB782" s="981"/>
    </row>
    <row r="783">
      <c r="A783" s="981"/>
      <c r="B783" s="991"/>
      <c r="C783" s="981"/>
      <c r="D783" s="981"/>
      <c r="E783" s="981"/>
      <c r="F783" s="981"/>
      <c r="G783" s="981"/>
      <c r="H783" s="981"/>
      <c r="I783" s="981"/>
      <c r="J783" s="981"/>
      <c r="K783" s="981"/>
      <c r="L783" s="981"/>
      <c r="M783" s="981"/>
      <c r="N783" s="981"/>
      <c r="O783" s="981"/>
      <c r="P783" s="981"/>
      <c r="Q783" s="981"/>
      <c r="R783" s="981"/>
      <c r="S783" s="981"/>
      <c r="T783" s="981"/>
      <c r="U783" s="981"/>
      <c r="V783" s="981"/>
      <c r="W783" s="981"/>
      <c r="X783" s="981"/>
      <c r="Y783" s="981"/>
      <c r="Z783" s="981"/>
      <c r="AA783" s="981"/>
      <c r="AB783" s="981"/>
    </row>
    <row r="784">
      <c r="A784" s="981"/>
      <c r="B784" s="991"/>
      <c r="C784" s="981"/>
      <c r="D784" s="981"/>
      <c r="E784" s="981"/>
      <c r="F784" s="981"/>
      <c r="G784" s="981"/>
      <c r="H784" s="981"/>
      <c r="I784" s="981"/>
      <c r="J784" s="981"/>
      <c r="K784" s="981"/>
      <c r="L784" s="981"/>
      <c r="M784" s="981"/>
      <c r="N784" s="981"/>
      <c r="O784" s="981"/>
      <c r="P784" s="981"/>
      <c r="Q784" s="981"/>
      <c r="R784" s="981"/>
      <c r="S784" s="981"/>
      <c r="T784" s="981"/>
      <c r="U784" s="981"/>
      <c r="V784" s="981"/>
      <c r="W784" s="981"/>
      <c r="X784" s="981"/>
      <c r="Y784" s="981"/>
      <c r="Z784" s="981"/>
      <c r="AA784" s="981"/>
      <c r="AB784" s="981"/>
    </row>
    <row r="785">
      <c r="A785" s="981"/>
      <c r="B785" s="991"/>
      <c r="C785" s="981"/>
      <c r="D785" s="981"/>
      <c r="E785" s="981"/>
      <c r="F785" s="981"/>
      <c r="G785" s="981"/>
      <c r="H785" s="981"/>
      <c r="I785" s="981"/>
      <c r="J785" s="981"/>
      <c r="K785" s="981"/>
      <c r="L785" s="981"/>
      <c r="M785" s="981"/>
      <c r="N785" s="981"/>
      <c r="O785" s="981"/>
      <c r="P785" s="981"/>
      <c r="Q785" s="981"/>
      <c r="R785" s="981"/>
      <c r="S785" s="981"/>
      <c r="T785" s="981"/>
      <c r="U785" s="981"/>
      <c r="V785" s="981"/>
      <c r="W785" s="981"/>
      <c r="X785" s="981"/>
      <c r="Y785" s="981"/>
      <c r="Z785" s="981"/>
      <c r="AA785" s="981"/>
      <c r="AB785" s="981"/>
    </row>
    <row r="786">
      <c r="A786" s="981"/>
      <c r="B786" s="991"/>
      <c r="C786" s="981"/>
      <c r="D786" s="981"/>
      <c r="E786" s="981"/>
      <c r="F786" s="981"/>
      <c r="G786" s="981"/>
      <c r="H786" s="981"/>
      <c r="I786" s="981"/>
      <c r="J786" s="981"/>
      <c r="K786" s="981"/>
      <c r="L786" s="981"/>
      <c r="M786" s="981"/>
      <c r="N786" s="981"/>
      <c r="O786" s="981"/>
      <c r="P786" s="981"/>
      <c r="Q786" s="981"/>
      <c r="R786" s="981"/>
      <c r="S786" s="981"/>
      <c r="T786" s="981"/>
      <c r="U786" s="981"/>
      <c r="V786" s="981"/>
      <c r="W786" s="981"/>
      <c r="X786" s="981"/>
      <c r="Y786" s="981"/>
      <c r="Z786" s="981"/>
      <c r="AA786" s="981"/>
      <c r="AB786" s="981"/>
    </row>
    <row r="787">
      <c r="A787" s="981"/>
      <c r="B787" s="991"/>
      <c r="C787" s="981"/>
      <c r="D787" s="981"/>
      <c r="E787" s="981"/>
      <c r="F787" s="981"/>
      <c r="G787" s="981"/>
      <c r="H787" s="981"/>
      <c r="I787" s="981"/>
      <c r="J787" s="981"/>
      <c r="K787" s="981"/>
      <c r="L787" s="981"/>
      <c r="M787" s="981"/>
      <c r="N787" s="981"/>
      <c r="O787" s="981"/>
      <c r="P787" s="981"/>
      <c r="Q787" s="981"/>
      <c r="R787" s="981"/>
      <c r="S787" s="981"/>
      <c r="T787" s="981"/>
      <c r="U787" s="981"/>
      <c r="V787" s="981"/>
      <c r="W787" s="981"/>
      <c r="X787" s="981"/>
      <c r="Y787" s="981"/>
      <c r="Z787" s="981"/>
      <c r="AA787" s="981"/>
      <c r="AB787" s="981"/>
    </row>
    <row r="788">
      <c r="A788" s="981"/>
      <c r="B788" s="991"/>
      <c r="C788" s="981"/>
      <c r="D788" s="981"/>
      <c r="E788" s="981"/>
      <c r="F788" s="981"/>
      <c r="G788" s="981"/>
      <c r="H788" s="981"/>
      <c r="I788" s="981"/>
      <c r="J788" s="981"/>
      <c r="K788" s="981"/>
      <c r="L788" s="981"/>
      <c r="M788" s="981"/>
      <c r="N788" s="981"/>
      <c r="O788" s="981"/>
      <c r="P788" s="981"/>
      <c r="Q788" s="981"/>
      <c r="R788" s="981"/>
      <c r="S788" s="981"/>
      <c r="T788" s="981"/>
      <c r="U788" s="981"/>
      <c r="V788" s="981"/>
      <c r="W788" s="981"/>
      <c r="X788" s="981"/>
      <c r="Y788" s="981"/>
      <c r="Z788" s="981"/>
      <c r="AA788" s="981"/>
      <c r="AB788" s="981"/>
    </row>
    <row r="789">
      <c r="A789" s="981"/>
      <c r="B789" s="991"/>
      <c r="C789" s="981"/>
      <c r="D789" s="981"/>
      <c r="E789" s="981"/>
      <c r="F789" s="981"/>
      <c r="G789" s="981"/>
      <c r="H789" s="981"/>
      <c r="I789" s="981"/>
      <c r="J789" s="981"/>
      <c r="K789" s="981"/>
      <c r="L789" s="981"/>
      <c r="M789" s="981"/>
      <c r="N789" s="981"/>
      <c r="O789" s="981"/>
      <c r="P789" s="981"/>
      <c r="Q789" s="981"/>
      <c r="R789" s="981"/>
      <c r="S789" s="981"/>
      <c r="T789" s="981"/>
      <c r="U789" s="981"/>
      <c r="V789" s="981"/>
      <c r="W789" s="981"/>
      <c r="X789" s="981"/>
      <c r="Y789" s="981"/>
      <c r="Z789" s="981"/>
      <c r="AA789" s="981"/>
      <c r="AB789" s="981"/>
    </row>
    <row r="790">
      <c r="A790" s="981"/>
      <c r="B790" s="991"/>
      <c r="C790" s="981"/>
      <c r="D790" s="981"/>
      <c r="E790" s="981"/>
      <c r="F790" s="981"/>
      <c r="G790" s="981"/>
      <c r="H790" s="981"/>
      <c r="I790" s="981"/>
      <c r="J790" s="981"/>
      <c r="K790" s="981"/>
      <c r="L790" s="981"/>
      <c r="M790" s="981"/>
      <c r="N790" s="981"/>
      <c r="O790" s="981"/>
      <c r="P790" s="981"/>
      <c r="Q790" s="981"/>
      <c r="R790" s="981"/>
      <c r="S790" s="981"/>
      <c r="T790" s="981"/>
      <c r="U790" s="981"/>
      <c r="V790" s="981"/>
      <c r="W790" s="981"/>
      <c r="X790" s="981"/>
      <c r="Y790" s="981"/>
      <c r="Z790" s="981"/>
      <c r="AA790" s="981"/>
      <c r="AB790" s="981"/>
    </row>
    <row r="791">
      <c r="A791" s="981"/>
      <c r="B791" s="991"/>
      <c r="C791" s="981"/>
      <c r="D791" s="981"/>
      <c r="E791" s="981"/>
      <c r="F791" s="981"/>
      <c r="G791" s="981"/>
      <c r="H791" s="981"/>
      <c r="I791" s="981"/>
      <c r="J791" s="981"/>
      <c r="K791" s="981"/>
      <c r="L791" s="981"/>
      <c r="M791" s="981"/>
      <c r="N791" s="981"/>
      <c r="O791" s="981"/>
      <c r="P791" s="981"/>
      <c r="Q791" s="981"/>
      <c r="R791" s="981"/>
      <c r="S791" s="981"/>
      <c r="T791" s="981"/>
      <c r="U791" s="981"/>
      <c r="V791" s="981"/>
      <c r="W791" s="981"/>
      <c r="X791" s="981"/>
      <c r="Y791" s="981"/>
      <c r="Z791" s="981"/>
      <c r="AA791" s="981"/>
      <c r="AB791" s="981"/>
    </row>
    <row r="792">
      <c r="A792" s="981"/>
      <c r="B792" s="991"/>
      <c r="C792" s="981"/>
      <c r="D792" s="981"/>
      <c r="E792" s="981"/>
      <c r="F792" s="981"/>
      <c r="G792" s="981"/>
      <c r="H792" s="981"/>
      <c r="I792" s="981"/>
      <c r="J792" s="981"/>
      <c r="K792" s="981"/>
      <c r="L792" s="981"/>
      <c r="M792" s="981"/>
      <c r="N792" s="981"/>
      <c r="O792" s="981"/>
      <c r="P792" s="981"/>
      <c r="Q792" s="981"/>
      <c r="R792" s="981"/>
      <c r="S792" s="981"/>
      <c r="T792" s="981"/>
      <c r="U792" s="981"/>
      <c r="V792" s="981"/>
      <c r="W792" s="981"/>
      <c r="X792" s="981"/>
      <c r="Y792" s="981"/>
      <c r="Z792" s="981"/>
      <c r="AA792" s="981"/>
      <c r="AB792" s="981"/>
    </row>
    <row r="793">
      <c r="A793" s="981"/>
      <c r="B793" s="991"/>
      <c r="C793" s="981"/>
      <c r="D793" s="981"/>
      <c r="E793" s="981"/>
      <c r="F793" s="981"/>
      <c r="G793" s="981"/>
      <c r="H793" s="981"/>
      <c r="I793" s="981"/>
      <c r="J793" s="981"/>
      <c r="K793" s="981"/>
      <c r="L793" s="981"/>
      <c r="M793" s="981"/>
      <c r="N793" s="981"/>
      <c r="O793" s="981"/>
      <c r="P793" s="981"/>
      <c r="Q793" s="981"/>
      <c r="R793" s="981"/>
      <c r="S793" s="981"/>
      <c r="T793" s="981"/>
      <c r="U793" s="981"/>
      <c r="V793" s="981"/>
      <c r="W793" s="981"/>
      <c r="X793" s="981"/>
      <c r="Y793" s="981"/>
      <c r="Z793" s="981"/>
      <c r="AA793" s="981"/>
      <c r="AB793" s="981"/>
    </row>
    <row r="794">
      <c r="A794" s="981"/>
      <c r="B794" s="991"/>
      <c r="C794" s="981"/>
      <c r="D794" s="981"/>
      <c r="E794" s="981"/>
      <c r="F794" s="981"/>
      <c r="G794" s="981"/>
      <c r="H794" s="981"/>
      <c r="I794" s="981"/>
      <c r="J794" s="981"/>
      <c r="K794" s="981"/>
      <c r="L794" s="981"/>
      <c r="M794" s="981"/>
      <c r="N794" s="981"/>
      <c r="O794" s="981"/>
      <c r="P794" s="981"/>
      <c r="Q794" s="981"/>
      <c r="R794" s="981"/>
      <c r="S794" s="981"/>
      <c r="T794" s="981"/>
      <c r="U794" s="981"/>
      <c r="V794" s="981"/>
      <c r="W794" s="981"/>
      <c r="X794" s="981"/>
      <c r="Y794" s="981"/>
      <c r="Z794" s="981"/>
      <c r="AA794" s="981"/>
      <c r="AB794" s="981"/>
    </row>
    <row r="795">
      <c r="A795" s="981"/>
      <c r="B795" s="991"/>
      <c r="C795" s="981"/>
      <c r="D795" s="981"/>
      <c r="E795" s="981"/>
      <c r="F795" s="981"/>
      <c r="G795" s="981"/>
      <c r="H795" s="981"/>
      <c r="I795" s="981"/>
      <c r="J795" s="981"/>
      <c r="K795" s="981"/>
      <c r="L795" s="981"/>
      <c r="M795" s="981"/>
      <c r="N795" s="981"/>
      <c r="O795" s="981"/>
      <c r="P795" s="981"/>
      <c r="Q795" s="981"/>
      <c r="R795" s="981"/>
      <c r="S795" s="981"/>
      <c r="T795" s="981"/>
      <c r="U795" s="981"/>
      <c r="V795" s="981"/>
      <c r="W795" s="981"/>
      <c r="X795" s="981"/>
      <c r="Y795" s="981"/>
      <c r="Z795" s="981"/>
      <c r="AA795" s="981"/>
      <c r="AB795" s="981"/>
    </row>
    <row r="796">
      <c r="A796" s="981"/>
      <c r="B796" s="991"/>
      <c r="C796" s="981"/>
      <c r="D796" s="981"/>
      <c r="E796" s="981"/>
      <c r="F796" s="981"/>
      <c r="G796" s="981"/>
      <c r="H796" s="981"/>
      <c r="I796" s="981"/>
      <c r="J796" s="981"/>
      <c r="K796" s="981"/>
      <c r="L796" s="981"/>
      <c r="M796" s="981"/>
      <c r="N796" s="981"/>
      <c r="O796" s="981"/>
      <c r="P796" s="981"/>
      <c r="Q796" s="981"/>
      <c r="R796" s="981"/>
      <c r="S796" s="981"/>
      <c r="T796" s="981"/>
      <c r="U796" s="981"/>
      <c r="V796" s="981"/>
      <c r="W796" s="981"/>
      <c r="X796" s="981"/>
      <c r="Y796" s="981"/>
      <c r="Z796" s="981"/>
      <c r="AA796" s="981"/>
      <c r="AB796" s="981"/>
    </row>
    <row r="797">
      <c r="A797" s="981"/>
      <c r="B797" s="991"/>
      <c r="C797" s="981"/>
      <c r="D797" s="981"/>
      <c r="E797" s="981"/>
      <c r="F797" s="981"/>
      <c r="G797" s="981"/>
      <c r="H797" s="981"/>
      <c r="I797" s="981"/>
      <c r="J797" s="981"/>
      <c r="K797" s="981"/>
      <c r="L797" s="981"/>
      <c r="M797" s="981"/>
      <c r="N797" s="981"/>
      <c r="O797" s="981"/>
      <c r="P797" s="981"/>
      <c r="Q797" s="981"/>
      <c r="R797" s="981"/>
      <c r="S797" s="981"/>
      <c r="T797" s="981"/>
      <c r="U797" s="981"/>
      <c r="V797" s="981"/>
      <c r="W797" s="981"/>
      <c r="X797" s="981"/>
      <c r="Y797" s="981"/>
      <c r="Z797" s="981"/>
      <c r="AA797" s="981"/>
      <c r="AB797" s="981"/>
    </row>
    <row r="798">
      <c r="A798" s="981"/>
      <c r="B798" s="991"/>
      <c r="C798" s="981"/>
      <c r="D798" s="981"/>
      <c r="E798" s="981"/>
      <c r="F798" s="981"/>
      <c r="G798" s="981"/>
      <c r="H798" s="981"/>
      <c r="I798" s="981"/>
      <c r="J798" s="981"/>
      <c r="K798" s="981"/>
      <c r="L798" s="981"/>
      <c r="M798" s="981"/>
      <c r="N798" s="981"/>
      <c r="O798" s="981"/>
      <c r="P798" s="981"/>
      <c r="Q798" s="981"/>
      <c r="R798" s="981"/>
      <c r="S798" s="981"/>
      <c r="T798" s="981"/>
      <c r="U798" s="981"/>
      <c r="V798" s="981"/>
      <c r="W798" s="981"/>
      <c r="X798" s="981"/>
      <c r="Y798" s="981"/>
      <c r="Z798" s="981"/>
      <c r="AA798" s="981"/>
      <c r="AB798" s="981"/>
    </row>
    <row r="799">
      <c r="A799" s="981"/>
      <c r="B799" s="991"/>
      <c r="C799" s="981"/>
      <c r="D799" s="981"/>
      <c r="E799" s="981"/>
      <c r="F799" s="981"/>
      <c r="G799" s="981"/>
      <c r="H799" s="981"/>
      <c r="I799" s="981"/>
      <c r="J799" s="981"/>
      <c r="K799" s="981"/>
      <c r="L799" s="981"/>
      <c r="M799" s="981"/>
      <c r="N799" s="981"/>
      <c r="O799" s="981"/>
      <c r="P799" s="981"/>
      <c r="Q799" s="981"/>
      <c r="R799" s="981"/>
      <c r="S799" s="981"/>
      <c r="T799" s="981"/>
      <c r="U799" s="981"/>
      <c r="V799" s="981"/>
      <c r="W799" s="981"/>
      <c r="X799" s="981"/>
      <c r="Y799" s="981"/>
      <c r="Z799" s="981"/>
      <c r="AA799" s="981"/>
      <c r="AB799" s="981"/>
    </row>
    <row r="800">
      <c r="A800" s="981"/>
      <c r="B800" s="991"/>
      <c r="C800" s="981"/>
      <c r="D800" s="981"/>
      <c r="E800" s="981"/>
      <c r="F800" s="981"/>
      <c r="G800" s="981"/>
      <c r="H800" s="981"/>
      <c r="I800" s="981"/>
      <c r="J800" s="981"/>
      <c r="K800" s="981"/>
      <c r="L800" s="981"/>
      <c r="M800" s="981"/>
      <c r="N800" s="981"/>
      <c r="O800" s="981"/>
      <c r="P800" s="981"/>
      <c r="Q800" s="981"/>
      <c r="R800" s="981"/>
      <c r="S800" s="981"/>
      <c r="T800" s="981"/>
      <c r="U800" s="981"/>
      <c r="V800" s="981"/>
      <c r="W800" s="981"/>
      <c r="X800" s="981"/>
      <c r="Y800" s="981"/>
      <c r="Z800" s="981"/>
      <c r="AA800" s="981"/>
      <c r="AB800" s="981"/>
    </row>
    <row r="801">
      <c r="A801" s="981"/>
      <c r="B801" s="991"/>
      <c r="C801" s="981"/>
      <c r="D801" s="981"/>
      <c r="E801" s="981"/>
      <c r="F801" s="981"/>
      <c r="G801" s="981"/>
      <c r="H801" s="981"/>
      <c r="I801" s="981"/>
      <c r="J801" s="981"/>
      <c r="K801" s="981"/>
      <c r="L801" s="981"/>
      <c r="M801" s="981"/>
      <c r="N801" s="981"/>
      <c r="O801" s="981"/>
      <c r="P801" s="981"/>
      <c r="Q801" s="981"/>
      <c r="R801" s="981"/>
      <c r="S801" s="981"/>
      <c r="T801" s="981"/>
      <c r="U801" s="981"/>
      <c r="V801" s="981"/>
      <c r="W801" s="981"/>
      <c r="X801" s="981"/>
      <c r="Y801" s="981"/>
      <c r="Z801" s="981"/>
      <c r="AA801" s="981"/>
      <c r="AB801" s="981"/>
    </row>
    <row r="802">
      <c r="A802" s="981"/>
      <c r="B802" s="991"/>
      <c r="C802" s="981"/>
      <c r="D802" s="981"/>
      <c r="E802" s="981"/>
      <c r="F802" s="981"/>
      <c r="G802" s="981"/>
      <c r="H802" s="981"/>
      <c r="I802" s="981"/>
      <c r="J802" s="981"/>
      <c r="K802" s="981"/>
      <c r="L802" s="981"/>
      <c r="M802" s="981"/>
      <c r="N802" s="981"/>
      <c r="O802" s="981"/>
      <c r="P802" s="981"/>
      <c r="Q802" s="981"/>
      <c r="R802" s="981"/>
      <c r="S802" s="981"/>
      <c r="T802" s="981"/>
      <c r="U802" s="981"/>
      <c r="V802" s="981"/>
      <c r="W802" s="981"/>
      <c r="X802" s="981"/>
      <c r="Y802" s="981"/>
      <c r="Z802" s="981"/>
      <c r="AA802" s="981"/>
      <c r="AB802" s="981"/>
    </row>
    <row r="803">
      <c r="A803" s="981"/>
      <c r="B803" s="991"/>
      <c r="C803" s="981"/>
      <c r="D803" s="981"/>
      <c r="E803" s="981"/>
      <c r="F803" s="981"/>
      <c r="G803" s="981"/>
      <c r="H803" s="981"/>
      <c r="I803" s="981"/>
      <c r="J803" s="981"/>
      <c r="K803" s="981"/>
      <c r="L803" s="981"/>
      <c r="M803" s="981"/>
      <c r="N803" s="981"/>
      <c r="O803" s="981"/>
      <c r="P803" s="981"/>
      <c r="Q803" s="981"/>
      <c r="R803" s="981"/>
      <c r="S803" s="981"/>
      <c r="T803" s="981"/>
      <c r="U803" s="981"/>
      <c r="V803" s="981"/>
      <c r="W803" s="981"/>
      <c r="X803" s="981"/>
      <c r="Y803" s="981"/>
      <c r="Z803" s="981"/>
      <c r="AA803" s="981"/>
      <c r="AB803" s="981"/>
    </row>
    <row r="804">
      <c r="A804" s="981"/>
      <c r="B804" s="991"/>
      <c r="C804" s="981"/>
      <c r="D804" s="981"/>
      <c r="E804" s="981"/>
      <c r="F804" s="981"/>
      <c r="G804" s="981"/>
      <c r="H804" s="981"/>
      <c r="I804" s="981"/>
      <c r="J804" s="981"/>
      <c r="K804" s="981"/>
      <c r="L804" s="981"/>
      <c r="M804" s="981"/>
      <c r="N804" s="981"/>
      <c r="O804" s="981"/>
      <c r="P804" s="981"/>
      <c r="Q804" s="981"/>
      <c r="R804" s="981"/>
      <c r="S804" s="981"/>
      <c r="T804" s="981"/>
      <c r="U804" s="981"/>
      <c r="V804" s="981"/>
      <c r="W804" s="981"/>
      <c r="X804" s="981"/>
      <c r="Y804" s="981"/>
      <c r="Z804" s="981"/>
      <c r="AA804" s="981"/>
      <c r="AB804" s="981"/>
    </row>
    <row r="805">
      <c r="A805" s="981"/>
      <c r="B805" s="991"/>
      <c r="C805" s="981"/>
      <c r="D805" s="981"/>
      <c r="E805" s="981"/>
      <c r="F805" s="981"/>
      <c r="G805" s="981"/>
      <c r="H805" s="981"/>
      <c r="I805" s="981"/>
      <c r="J805" s="981"/>
      <c r="K805" s="981"/>
      <c r="L805" s="981"/>
      <c r="M805" s="981"/>
      <c r="N805" s="981"/>
      <c r="O805" s="981"/>
      <c r="P805" s="981"/>
      <c r="Q805" s="981"/>
      <c r="R805" s="981"/>
      <c r="S805" s="981"/>
      <c r="T805" s="981"/>
      <c r="U805" s="981"/>
      <c r="V805" s="981"/>
      <c r="W805" s="981"/>
      <c r="X805" s="981"/>
      <c r="Y805" s="981"/>
      <c r="Z805" s="981"/>
      <c r="AA805" s="981"/>
      <c r="AB805" s="981"/>
    </row>
    <row r="806">
      <c r="A806" s="981"/>
      <c r="B806" s="991"/>
      <c r="C806" s="981"/>
      <c r="D806" s="981"/>
      <c r="E806" s="981"/>
      <c r="F806" s="981"/>
      <c r="G806" s="981"/>
      <c r="H806" s="981"/>
      <c r="I806" s="981"/>
      <c r="J806" s="981"/>
      <c r="K806" s="981"/>
      <c r="L806" s="981"/>
      <c r="M806" s="981"/>
      <c r="N806" s="981"/>
      <c r="O806" s="981"/>
      <c r="P806" s="981"/>
      <c r="Q806" s="981"/>
      <c r="R806" s="981"/>
      <c r="S806" s="981"/>
      <c r="T806" s="981"/>
      <c r="U806" s="981"/>
      <c r="V806" s="981"/>
      <c r="W806" s="981"/>
      <c r="X806" s="981"/>
      <c r="Y806" s="981"/>
      <c r="Z806" s="981"/>
      <c r="AA806" s="981"/>
      <c r="AB806" s="981"/>
    </row>
    <row r="807">
      <c r="A807" s="981"/>
      <c r="B807" s="991"/>
      <c r="C807" s="981"/>
      <c r="D807" s="981"/>
      <c r="E807" s="981"/>
      <c r="F807" s="981"/>
      <c r="G807" s="981"/>
      <c r="H807" s="981"/>
      <c r="I807" s="981"/>
      <c r="J807" s="981"/>
      <c r="K807" s="981"/>
      <c r="L807" s="981"/>
      <c r="M807" s="981"/>
      <c r="N807" s="981"/>
      <c r="O807" s="981"/>
      <c r="P807" s="981"/>
      <c r="Q807" s="981"/>
      <c r="R807" s="981"/>
      <c r="S807" s="981"/>
      <c r="T807" s="981"/>
      <c r="U807" s="981"/>
      <c r="V807" s="981"/>
      <c r="W807" s="981"/>
      <c r="X807" s="981"/>
      <c r="Y807" s="981"/>
      <c r="Z807" s="981"/>
      <c r="AA807" s="981"/>
      <c r="AB807" s="981"/>
    </row>
    <row r="808">
      <c r="A808" s="981"/>
      <c r="B808" s="991"/>
      <c r="C808" s="981"/>
      <c r="D808" s="981"/>
      <c r="E808" s="981"/>
      <c r="F808" s="981"/>
      <c r="G808" s="981"/>
      <c r="H808" s="981"/>
      <c r="I808" s="981"/>
      <c r="J808" s="981"/>
      <c r="K808" s="981"/>
      <c r="L808" s="981"/>
      <c r="M808" s="981"/>
      <c r="N808" s="981"/>
      <c r="O808" s="981"/>
      <c r="P808" s="981"/>
      <c r="Q808" s="981"/>
      <c r="R808" s="981"/>
      <c r="S808" s="981"/>
      <c r="T808" s="981"/>
      <c r="U808" s="981"/>
      <c r="V808" s="981"/>
      <c r="W808" s="981"/>
      <c r="X808" s="981"/>
      <c r="Y808" s="981"/>
      <c r="Z808" s="981"/>
      <c r="AA808" s="981"/>
      <c r="AB808" s="981"/>
    </row>
    <row r="809">
      <c r="A809" s="981"/>
      <c r="B809" s="991"/>
      <c r="C809" s="981"/>
      <c r="D809" s="981"/>
      <c r="E809" s="981"/>
      <c r="F809" s="981"/>
      <c r="G809" s="981"/>
      <c r="H809" s="981"/>
      <c r="I809" s="981"/>
      <c r="J809" s="981"/>
      <c r="K809" s="981"/>
      <c r="L809" s="981"/>
      <c r="M809" s="981"/>
      <c r="N809" s="981"/>
      <c r="O809" s="981"/>
      <c r="P809" s="981"/>
      <c r="Q809" s="981"/>
      <c r="R809" s="981"/>
      <c r="S809" s="981"/>
      <c r="T809" s="981"/>
      <c r="U809" s="981"/>
      <c r="V809" s="981"/>
      <c r="W809" s="981"/>
      <c r="X809" s="981"/>
      <c r="Y809" s="981"/>
      <c r="Z809" s="981"/>
      <c r="AA809" s="981"/>
      <c r="AB809" s="981"/>
    </row>
    <row r="810">
      <c r="A810" s="981"/>
      <c r="B810" s="991"/>
      <c r="C810" s="981"/>
      <c r="D810" s="981"/>
      <c r="E810" s="981"/>
      <c r="F810" s="981"/>
      <c r="G810" s="981"/>
      <c r="H810" s="981"/>
      <c r="I810" s="981"/>
      <c r="J810" s="981"/>
      <c r="K810" s="981"/>
      <c r="L810" s="981"/>
      <c r="M810" s="981"/>
      <c r="N810" s="981"/>
      <c r="O810" s="981"/>
      <c r="P810" s="981"/>
      <c r="Q810" s="981"/>
      <c r="R810" s="981"/>
      <c r="S810" s="981"/>
      <c r="T810" s="981"/>
      <c r="U810" s="981"/>
      <c r="V810" s="981"/>
      <c r="W810" s="981"/>
      <c r="X810" s="981"/>
      <c r="Y810" s="981"/>
      <c r="Z810" s="981"/>
      <c r="AA810" s="981"/>
      <c r="AB810" s="981"/>
    </row>
    <row r="811">
      <c r="A811" s="981"/>
      <c r="B811" s="991"/>
      <c r="C811" s="981"/>
      <c r="D811" s="981"/>
      <c r="E811" s="981"/>
      <c r="F811" s="981"/>
      <c r="G811" s="981"/>
      <c r="H811" s="981"/>
      <c r="I811" s="981"/>
      <c r="J811" s="981"/>
      <c r="K811" s="981"/>
      <c r="L811" s="981"/>
      <c r="M811" s="981"/>
      <c r="N811" s="981"/>
      <c r="O811" s="981"/>
      <c r="P811" s="981"/>
      <c r="Q811" s="981"/>
      <c r="R811" s="981"/>
      <c r="S811" s="981"/>
      <c r="T811" s="981"/>
      <c r="U811" s="981"/>
      <c r="V811" s="981"/>
      <c r="W811" s="981"/>
      <c r="X811" s="981"/>
      <c r="Y811" s="981"/>
      <c r="Z811" s="981"/>
      <c r="AA811" s="981"/>
      <c r="AB811" s="981"/>
    </row>
    <row r="812">
      <c r="A812" s="981"/>
      <c r="B812" s="991"/>
      <c r="C812" s="981"/>
      <c r="D812" s="981"/>
      <c r="E812" s="981"/>
      <c r="F812" s="981"/>
      <c r="G812" s="981"/>
      <c r="H812" s="981"/>
      <c r="I812" s="981"/>
      <c r="J812" s="981"/>
      <c r="K812" s="981"/>
      <c r="L812" s="981"/>
      <c r="M812" s="981"/>
      <c r="N812" s="981"/>
      <c r="O812" s="981"/>
      <c r="P812" s="981"/>
      <c r="Q812" s="981"/>
      <c r="R812" s="981"/>
      <c r="S812" s="981"/>
      <c r="T812" s="981"/>
      <c r="U812" s="981"/>
      <c r="V812" s="981"/>
      <c r="W812" s="981"/>
      <c r="X812" s="981"/>
      <c r="Y812" s="981"/>
      <c r="Z812" s="981"/>
      <c r="AA812" s="981"/>
      <c r="AB812" s="981"/>
    </row>
    <row r="813">
      <c r="A813" s="981"/>
      <c r="B813" s="991"/>
      <c r="C813" s="981"/>
      <c r="D813" s="981"/>
      <c r="E813" s="981"/>
      <c r="F813" s="981"/>
      <c r="G813" s="981"/>
      <c r="H813" s="981"/>
      <c r="I813" s="981"/>
      <c r="J813" s="981"/>
      <c r="K813" s="981"/>
      <c r="L813" s="981"/>
      <c r="M813" s="981"/>
      <c r="N813" s="981"/>
      <c r="O813" s="981"/>
      <c r="P813" s="981"/>
      <c r="Q813" s="981"/>
      <c r="R813" s="981"/>
      <c r="S813" s="981"/>
      <c r="T813" s="981"/>
      <c r="U813" s="981"/>
      <c r="V813" s="981"/>
      <c r="W813" s="981"/>
      <c r="X813" s="981"/>
      <c r="Y813" s="981"/>
      <c r="Z813" s="981"/>
      <c r="AA813" s="981"/>
      <c r="AB813" s="981"/>
    </row>
    <row r="814">
      <c r="A814" s="981"/>
      <c r="B814" s="991"/>
      <c r="C814" s="981"/>
      <c r="D814" s="981"/>
      <c r="E814" s="981"/>
      <c r="F814" s="981"/>
      <c r="G814" s="981"/>
      <c r="H814" s="981"/>
      <c r="I814" s="981"/>
      <c r="J814" s="981"/>
      <c r="K814" s="981"/>
      <c r="L814" s="981"/>
      <c r="M814" s="981"/>
      <c r="N814" s="981"/>
      <c r="O814" s="981"/>
      <c r="P814" s="981"/>
      <c r="Q814" s="981"/>
      <c r="R814" s="981"/>
      <c r="S814" s="981"/>
      <c r="T814" s="981"/>
      <c r="U814" s="981"/>
      <c r="V814" s="981"/>
      <c r="W814" s="981"/>
      <c r="X814" s="981"/>
      <c r="Y814" s="981"/>
      <c r="Z814" s="981"/>
      <c r="AA814" s="981"/>
      <c r="AB814" s="981"/>
    </row>
    <row r="815">
      <c r="A815" s="981"/>
      <c r="B815" s="991"/>
      <c r="C815" s="981"/>
      <c r="D815" s="981"/>
      <c r="E815" s="981"/>
      <c r="F815" s="981"/>
      <c r="G815" s="981"/>
      <c r="H815" s="981"/>
      <c r="I815" s="981"/>
      <c r="J815" s="981"/>
      <c r="K815" s="981"/>
      <c r="L815" s="981"/>
      <c r="M815" s="981"/>
      <c r="N815" s="981"/>
      <c r="O815" s="981"/>
      <c r="P815" s="981"/>
      <c r="Q815" s="981"/>
      <c r="R815" s="981"/>
      <c r="S815" s="981"/>
      <c r="T815" s="981"/>
      <c r="U815" s="981"/>
      <c r="V815" s="981"/>
      <c r="W815" s="981"/>
      <c r="X815" s="981"/>
      <c r="Y815" s="981"/>
      <c r="Z815" s="981"/>
      <c r="AA815" s="981"/>
      <c r="AB815" s="981"/>
    </row>
    <row r="816">
      <c r="A816" s="981"/>
      <c r="B816" s="991"/>
      <c r="C816" s="981"/>
      <c r="D816" s="981"/>
      <c r="E816" s="981"/>
      <c r="F816" s="981"/>
      <c r="G816" s="981"/>
      <c r="H816" s="981"/>
      <c r="I816" s="981"/>
      <c r="J816" s="981"/>
      <c r="K816" s="981"/>
      <c r="L816" s="981"/>
      <c r="M816" s="981"/>
      <c r="N816" s="981"/>
      <c r="O816" s="981"/>
      <c r="P816" s="981"/>
      <c r="Q816" s="981"/>
      <c r="R816" s="981"/>
      <c r="S816" s="981"/>
      <c r="T816" s="981"/>
      <c r="U816" s="981"/>
      <c r="V816" s="981"/>
      <c r="W816" s="981"/>
      <c r="X816" s="981"/>
      <c r="Y816" s="981"/>
      <c r="Z816" s="981"/>
      <c r="AA816" s="981"/>
      <c r="AB816" s="981"/>
    </row>
    <row r="817">
      <c r="A817" s="981"/>
      <c r="B817" s="991"/>
      <c r="C817" s="981"/>
      <c r="D817" s="981"/>
      <c r="E817" s="981"/>
      <c r="F817" s="981"/>
      <c r="G817" s="981"/>
      <c r="H817" s="981"/>
      <c r="I817" s="981"/>
      <c r="J817" s="981"/>
      <c r="K817" s="981"/>
      <c r="L817" s="981"/>
      <c r="M817" s="981"/>
      <c r="N817" s="981"/>
      <c r="O817" s="981"/>
      <c r="P817" s="981"/>
      <c r="Q817" s="981"/>
      <c r="R817" s="981"/>
      <c r="S817" s="981"/>
      <c r="T817" s="981"/>
      <c r="U817" s="981"/>
      <c r="V817" s="981"/>
      <c r="W817" s="981"/>
      <c r="X817" s="981"/>
      <c r="Y817" s="981"/>
      <c r="Z817" s="981"/>
      <c r="AA817" s="981"/>
      <c r="AB817" s="981"/>
    </row>
    <row r="818">
      <c r="A818" s="981"/>
      <c r="B818" s="991"/>
      <c r="C818" s="981"/>
      <c r="D818" s="981"/>
      <c r="E818" s="981"/>
      <c r="F818" s="981"/>
      <c r="G818" s="981"/>
      <c r="H818" s="981"/>
      <c r="I818" s="981"/>
      <c r="J818" s="981"/>
      <c r="K818" s="981"/>
      <c r="L818" s="981"/>
      <c r="M818" s="981"/>
      <c r="N818" s="981"/>
      <c r="O818" s="981"/>
      <c r="P818" s="981"/>
      <c r="Q818" s="981"/>
      <c r="R818" s="981"/>
      <c r="S818" s="981"/>
      <c r="T818" s="981"/>
      <c r="U818" s="981"/>
      <c r="V818" s="981"/>
      <c r="W818" s="981"/>
      <c r="X818" s="981"/>
      <c r="Y818" s="981"/>
      <c r="Z818" s="981"/>
      <c r="AA818" s="981"/>
      <c r="AB818" s="981"/>
    </row>
    <row r="819">
      <c r="A819" s="981"/>
      <c r="B819" s="991"/>
      <c r="C819" s="981"/>
      <c r="D819" s="981"/>
      <c r="E819" s="981"/>
      <c r="F819" s="981"/>
      <c r="G819" s="981"/>
      <c r="H819" s="981"/>
      <c r="I819" s="981"/>
      <c r="J819" s="981"/>
      <c r="K819" s="981"/>
      <c r="L819" s="981"/>
      <c r="M819" s="981"/>
      <c r="N819" s="981"/>
      <c r="O819" s="981"/>
      <c r="P819" s="981"/>
      <c r="Q819" s="981"/>
      <c r="R819" s="981"/>
      <c r="S819" s="981"/>
      <c r="T819" s="981"/>
      <c r="U819" s="981"/>
      <c r="V819" s="981"/>
      <c r="W819" s="981"/>
      <c r="X819" s="981"/>
      <c r="Y819" s="981"/>
      <c r="Z819" s="981"/>
      <c r="AA819" s="981"/>
      <c r="AB819" s="981"/>
    </row>
    <row r="820">
      <c r="A820" s="981"/>
      <c r="B820" s="991"/>
      <c r="C820" s="981"/>
      <c r="D820" s="981"/>
      <c r="E820" s="981"/>
      <c r="F820" s="981"/>
      <c r="G820" s="981"/>
      <c r="H820" s="981"/>
      <c r="I820" s="981"/>
      <c r="J820" s="981"/>
      <c r="K820" s="981"/>
      <c r="L820" s="981"/>
      <c r="M820" s="981"/>
      <c r="N820" s="981"/>
      <c r="O820" s="981"/>
      <c r="P820" s="981"/>
      <c r="Q820" s="981"/>
      <c r="R820" s="981"/>
      <c r="S820" s="981"/>
      <c r="T820" s="981"/>
      <c r="U820" s="981"/>
      <c r="V820" s="981"/>
      <c r="W820" s="981"/>
      <c r="X820" s="981"/>
      <c r="Y820" s="981"/>
      <c r="Z820" s="981"/>
      <c r="AA820" s="981"/>
      <c r="AB820" s="981"/>
    </row>
    <row r="821">
      <c r="A821" s="981"/>
      <c r="B821" s="991"/>
      <c r="C821" s="981"/>
      <c r="D821" s="981"/>
      <c r="E821" s="981"/>
      <c r="F821" s="981"/>
      <c r="G821" s="981"/>
      <c r="H821" s="981"/>
      <c r="I821" s="981"/>
      <c r="J821" s="981"/>
      <c r="K821" s="981"/>
      <c r="L821" s="981"/>
      <c r="M821" s="981"/>
      <c r="N821" s="981"/>
      <c r="O821" s="981"/>
      <c r="P821" s="981"/>
      <c r="Q821" s="981"/>
      <c r="R821" s="981"/>
      <c r="S821" s="981"/>
      <c r="T821" s="981"/>
      <c r="U821" s="981"/>
      <c r="V821" s="981"/>
      <c r="W821" s="981"/>
      <c r="X821" s="981"/>
      <c r="Y821" s="981"/>
      <c r="Z821" s="981"/>
      <c r="AA821" s="981"/>
      <c r="AB821" s="981"/>
    </row>
    <row r="822">
      <c r="A822" s="981"/>
      <c r="B822" s="991"/>
      <c r="C822" s="981"/>
      <c r="D822" s="981"/>
      <c r="E822" s="981"/>
      <c r="F822" s="981"/>
      <c r="G822" s="981"/>
      <c r="H822" s="981"/>
      <c r="I822" s="981"/>
      <c r="J822" s="981"/>
      <c r="K822" s="981"/>
      <c r="L822" s="981"/>
      <c r="M822" s="981"/>
      <c r="N822" s="981"/>
      <c r="O822" s="981"/>
      <c r="P822" s="981"/>
      <c r="Q822" s="981"/>
      <c r="R822" s="981"/>
      <c r="S822" s="981"/>
      <c r="T822" s="981"/>
      <c r="U822" s="981"/>
      <c r="V822" s="981"/>
      <c r="W822" s="981"/>
      <c r="X822" s="981"/>
      <c r="Y822" s="981"/>
      <c r="Z822" s="981"/>
      <c r="AA822" s="981"/>
      <c r="AB822" s="981"/>
    </row>
    <row r="823">
      <c r="A823" s="981"/>
      <c r="B823" s="991"/>
      <c r="C823" s="981"/>
      <c r="D823" s="981"/>
      <c r="E823" s="981"/>
      <c r="F823" s="981"/>
      <c r="G823" s="981"/>
      <c r="H823" s="981"/>
      <c r="I823" s="981"/>
      <c r="J823" s="981"/>
      <c r="K823" s="981"/>
      <c r="L823" s="981"/>
      <c r="M823" s="981"/>
      <c r="N823" s="981"/>
      <c r="O823" s="981"/>
      <c r="P823" s="981"/>
      <c r="Q823" s="981"/>
      <c r="R823" s="981"/>
      <c r="S823" s="981"/>
      <c r="T823" s="981"/>
      <c r="U823" s="981"/>
      <c r="V823" s="981"/>
      <c r="W823" s="981"/>
      <c r="X823" s="981"/>
      <c r="Y823" s="981"/>
      <c r="Z823" s="981"/>
      <c r="AA823" s="981"/>
      <c r="AB823" s="981"/>
    </row>
    <row r="824">
      <c r="A824" s="981"/>
      <c r="B824" s="991"/>
      <c r="C824" s="981"/>
      <c r="D824" s="981"/>
      <c r="E824" s="981"/>
      <c r="F824" s="981"/>
      <c r="G824" s="981"/>
      <c r="H824" s="981"/>
      <c r="I824" s="981"/>
      <c r="J824" s="981"/>
      <c r="K824" s="981"/>
      <c r="L824" s="981"/>
      <c r="M824" s="981"/>
      <c r="N824" s="981"/>
      <c r="O824" s="981"/>
      <c r="P824" s="981"/>
      <c r="Q824" s="981"/>
      <c r="R824" s="981"/>
      <c r="S824" s="981"/>
      <c r="T824" s="981"/>
      <c r="U824" s="981"/>
      <c r="V824" s="981"/>
      <c r="W824" s="981"/>
      <c r="X824" s="981"/>
      <c r="Y824" s="981"/>
      <c r="Z824" s="981"/>
      <c r="AA824" s="981"/>
      <c r="AB824" s="981"/>
    </row>
    <row r="825">
      <c r="A825" s="981"/>
      <c r="B825" s="991"/>
      <c r="C825" s="981"/>
      <c r="D825" s="981"/>
      <c r="E825" s="981"/>
      <c r="F825" s="981"/>
      <c r="G825" s="981"/>
      <c r="H825" s="981"/>
      <c r="I825" s="981"/>
      <c r="J825" s="981"/>
      <c r="K825" s="981"/>
      <c r="L825" s="981"/>
      <c r="M825" s="981"/>
      <c r="N825" s="981"/>
      <c r="O825" s="981"/>
      <c r="P825" s="981"/>
      <c r="Q825" s="981"/>
      <c r="R825" s="981"/>
      <c r="S825" s="981"/>
      <c r="T825" s="981"/>
      <c r="U825" s="981"/>
      <c r="V825" s="981"/>
      <c r="W825" s="981"/>
      <c r="X825" s="981"/>
      <c r="Y825" s="981"/>
      <c r="Z825" s="981"/>
      <c r="AA825" s="981"/>
      <c r="AB825" s="981"/>
    </row>
    <row r="826">
      <c r="A826" s="981"/>
      <c r="B826" s="991"/>
      <c r="C826" s="981"/>
      <c r="D826" s="981"/>
      <c r="E826" s="981"/>
      <c r="F826" s="981"/>
      <c r="G826" s="981"/>
      <c r="H826" s="981"/>
      <c r="I826" s="981"/>
      <c r="J826" s="981"/>
      <c r="K826" s="981"/>
      <c r="L826" s="981"/>
      <c r="M826" s="981"/>
      <c r="N826" s="981"/>
      <c r="O826" s="981"/>
      <c r="P826" s="981"/>
      <c r="Q826" s="981"/>
      <c r="R826" s="981"/>
      <c r="S826" s="981"/>
      <c r="T826" s="981"/>
      <c r="U826" s="981"/>
      <c r="V826" s="981"/>
      <c r="W826" s="981"/>
      <c r="X826" s="981"/>
      <c r="Y826" s="981"/>
      <c r="Z826" s="981"/>
      <c r="AA826" s="981"/>
      <c r="AB826" s="981"/>
    </row>
    <row r="827">
      <c r="A827" s="981"/>
      <c r="B827" s="991"/>
      <c r="C827" s="981"/>
      <c r="D827" s="981"/>
      <c r="E827" s="981"/>
      <c r="F827" s="981"/>
      <c r="G827" s="981"/>
      <c r="H827" s="981"/>
      <c r="I827" s="981"/>
      <c r="J827" s="981"/>
      <c r="K827" s="981"/>
      <c r="L827" s="981"/>
      <c r="M827" s="981"/>
      <c r="N827" s="981"/>
      <c r="O827" s="981"/>
      <c r="P827" s="981"/>
      <c r="Q827" s="981"/>
      <c r="R827" s="981"/>
      <c r="S827" s="981"/>
      <c r="T827" s="981"/>
      <c r="U827" s="981"/>
      <c r="V827" s="981"/>
      <c r="W827" s="981"/>
      <c r="X827" s="981"/>
      <c r="Y827" s="981"/>
      <c r="Z827" s="981"/>
      <c r="AA827" s="981"/>
      <c r="AB827" s="981"/>
    </row>
    <row r="828">
      <c r="A828" s="981"/>
      <c r="B828" s="991"/>
      <c r="C828" s="981"/>
      <c r="D828" s="981"/>
      <c r="E828" s="981"/>
      <c r="F828" s="981"/>
      <c r="G828" s="981"/>
      <c r="H828" s="981"/>
      <c r="I828" s="981"/>
      <c r="J828" s="981"/>
      <c r="K828" s="981"/>
      <c r="L828" s="981"/>
      <c r="M828" s="981"/>
      <c r="N828" s="981"/>
      <c r="O828" s="981"/>
      <c r="P828" s="981"/>
      <c r="Q828" s="981"/>
      <c r="R828" s="981"/>
      <c r="S828" s="981"/>
      <c r="T828" s="981"/>
      <c r="U828" s="981"/>
      <c r="V828" s="981"/>
      <c r="W828" s="981"/>
      <c r="X828" s="981"/>
      <c r="Y828" s="981"/>
      <c r="Z828" s="981"/>
      <c r="AA828" s="981"/>
      <c r="AB828" s="981"/>
    </row>
    <row r="829">
      <c r="A829" s="981"/>
      <c r="B829" s="991"/>
      <c r="C829" s="981"/>
      <c r="D829" s="981"/>
      <c r="E829" s="981"/>
      <c r="F829" s="981"/>
      <c r="G829" s="981"/>
      <c r="H829" s="981"/>
      <c r="I829" s="981"/>
      <c r="J829" s="981"/>
      <c r="K829" s="981"/>
      <c r="L829" s="981"/>
      <c r="M829" s="981"/>
      <c r="N829" s="981"/>
      <c r="O829" s="981"/>
      <c r="P829" s="981"/>
      <c r="Q829" s="981"/>
      <c r="R829" s="981"/>
      <c r="S829" s="981"/>
      <c r="T829" s="981"/>
      <c r="U829" s="981"/>
      <c r="V829" s="981"/>
      <c r="W829" s="981"/>
      <c r="X829" s="981"/>
      <c r="Y829" s="981"/>
      <c r="Z829" s="981"/>
      <c r="AA829" s="981"/>
      <c r="AB829" s="981"/>
    </row>
    <row r="830">
      <c r="A830" s="981"/>
      <c r="B830" s="991"/>
      <c r="C830" s="981"/>
      <c r="D830" s="981"/>
      <c r="E830" s="981"/>
      <c r="F830" s="981"/>
      <c r="G830" s="981"/>
      <c r="H830" s="981"/>
      <c r="I830" s="981"/>
      <c r="J830" s="981"/>
      <c r="K830" s="981"/>
      <c r="L830" s="981"/>
      <c r="M830" s="981"/>
      <c r="N830" s="981"/>
      <c r="O830" s="981"/>
      <c r="P830" s="981"/>
      <c r="Q830" s="981"/>
      <c r="R830" s="981"/>
      <c r="S830" s="981"/>
      <c r="T830" s="981"/>
      <c r="U830" s="981"/>
      <c r="V830" s="981"/>
      <c r="W830" s="981"/>
      <c r="X830" s="981"/>
      <c r="Y830" s="981"/>
      <c r="Z830" s="981"/>
      <c r="AA830" s="981"/>
      <c r="AB830" s="981"/>
    </row>
    <row r="831">
      <c r="A831" s="981"/>
      <c r="B831" s="991"/>
      <c r="C831" s="981"/>
      <c r="D831" s="981"/>
      <c r="E831" s="981"/>
      <c r="F831" s="981"/>
      <c r="G831" s="981"/>
      <c r="H831" s="981"/>
      <c r="I831" s="981"/>
      <c r="J831" s="981"/>
      <c r="K831" s="981"/>
      <c r="L831" s="981"/>
      <c r="M831" s="981"/>
      <c r="N831" s="981"/>
      <c r="O831" s="981"/>
      <c r="P831" s="981"/>
      <c r="Q831" s="981"/>
      <c r="R831" s="981"/>
      <c r="S831" s="981"/>
      <c r="T831" s="981"/>
      <c r="U831" s="981"/>
      <c r="V831" s="981"/>
      <c r="W831" s="981"/>
      <c r="X831" s="981"/>
      <c r="Y831" s="981"/>
      <c r="Z831" s="981"/>
      <c r="AA831" s="981"/>
      <c r="AB831" s="981"/>
    </row>
    <row r="832">
      <c r="A832" s="981"/>
      <c r="B832" s="991"/>
      <c r="C832" s="981"/>
      <c r="D832" s="981"/>
      <c r="E832" s="981"/>
      <c r="F832" s="981"/>
      <c r="G832" s="981"/>
      <c r="H832" s="981"/>
      <c r="I832" s="981"/>
      <c r="J832" s="981"/>
      <c r="K832" s="981"/>
      <c r="L832" s="981"/>
      <c r="M832" s="981"/>
      <c r="N832" s="981"/>
      <c r="O832" s="981"/>
      <c r="P832" s="981"/>
      <c r="Q832" s="981"/>
      <c r="R832" s="981"/>
      <c r="S832" s="981"/>
      <c r="T832" s="981"/>
      <c r="U832" s="981"/>
      <c r="V832" s="981"/>
      <c r="W832" s="981"/>
      <c r="X832" s="981"/>
      <c r="Y832" s="981"/>
      <c r="Z832" s="981"/>
      <c r="AA832" s="981"/>
      <c r="AB832" s="981"/>
    </row>
    <row r="833">
      <c r="A833" s="981"/>
      <c r="B833" s="991"/>
      <c r="C833" s="981"/>
      <c r="D833" s="981"/>
      <c r="E833" s="981"/>
      <c r="F833" s="981"/>
      <c r="G833" s="981"/>
      <c r="H833" s="981"/>
      <c r="I833" s="981"/>
      <c r="J833" s="981"/>
      <c r="K833" s="981"/>
      <c r="L833" s="981"/>
      <c r="M833" s="981"/>
      <c r="N833" s="981"/>
      <c r="O833" s="981"/>
      <c r="P833" s="981"/>
      <c r="Q833" s="981"/>
      <c r="R833" s="981"/>
      <c r="S833" s="981"/>
      <c r="T833" s="981"/>
      <c r="U833" s="981"/>
      <c r="V833" s="981"/>
      <c r="W833" s="981"/>
      <c r="X833" s="981"/>
      <c r="Y833" s="981"/>
      <c r="Z833" s="981"/>
      <c r="AA833" s="981"/>
      <c r="AB833" s="981"/>
    </row>
    <row r="834">
      <c r="A834" s="981"/>
      <c r="B834" s="991"/>
      <c r="C834" s="981"/>
      <c r="D834" s="981"/>
      <c r="E834" s="981"/>
      <c r="F834" s="981"/>
      <c r="G834" s="981"/>
      <c r="H834" s="981"/>
      <c r="I834" s="981"/>
      <c r="J834" s="981"/>
      <c r="K834" s="981"/>
      <c r="L834" s="981"/>
      <c r="M834" s="981"/>
      <c r="N834" s="981"/>
      <c r="O834" s="981"/>
      <c r="P834" s="981"/>
      <c r="Q834" s="981"/>
      <c r="R834" s="981"/>
      <c r="S834" s="981"/>
      <c r="T834" s="981"/>
      <c r="U834" s="981"/>
      <c r="V834" s="981"/>
      <c r="W834" s="981"/>
      <c r="X834" s="981"/>
      <c r="Y834" s="981"/>
      <c r="Z834" s="981"/>
      <c r="AA834" s="981"/>
      <c r="AB834" s="981"/>
    </row>
    <row r="835">
      <c r="A835" s="981"/>
      <c r="B835" s="991"/>
      <c r="C835" s="981"/>
      <c r="D835" s="981"/>
      <c r="E835" s="981"/>
      <c r="F835" s="981"/>
      <c r="G835" s="981"/>
      <c r="H835" s="981"/>
      <c r="I835" s="981"/>
      <c r="J835" s="981"/>
      <c r="K835" s="981"/>
      <c r="L835" s="981"/>
      <c r="M835" s="981"/>
      <c r="N835" s="981"/>
      <c r="O835" s="981"/>
      <c r="P835" s="981"/>
      <c r="Q835" s="981"/>
      <c r="R835" s="981"/>
      <c r="S835" s="981"/>
      <c r="T835" s="981"/>
      <c r="U835" s="981"/>
      <c r="V835" s="981"/>
      <c r="W835" s="981"/>
      <c r="X835" s="981"/>
      <c r="Y835" s="981"/>
      <c r="Z835" s="981"/>
      <c r="AA835" s="981"/>
      <c r="AB835" s="981"/>
    </row>
    <row r="836">
      <c r="A836" s="981"/>
      <c r="B836" s="991"/>
      <c r="C836" s="981"/>
      <c r="D836" s="981"/>
      <c r="E836" s="981"/>
      <c r="F836" s="981"/>
      <c r="G836" s="981"/>
      <c r="H836" s="981"/>
      <c r="I836" s="981"/>
      <c r="J836" s="981"/>
      <c r="K836" s="981"/>
      <c r="L836" s="981"/>
      <c r="M836" s="981"/>
      <c r="N836" s="981"/>
      <c r="O836" s="981"/>
      <c r="P836" s="981"/>
      <c r="Q836" s="981"/>
      <c r="R836" s="981"/>
      <c r="S836" s="981"/>
      <c r="T836" s="981"/>
      <c r="U836" s="981"/>
      <c r="V836" s="981"/>
      <c r="W836" s="981"/>
      <c r="X836" s="981"/>
      <c r="Y836" s="981"/>
      <c r="Z836" s="981"/>
      <c r="AA836" s="981"/>
      <c r="AB836" s="981"/>
    </row>
    <row r="837">
      <c r="A837" s="981"/>
      <c r="B837" s="991"/>
      <c r="C837" s="981"/>
      <c r="D837" s="981"/>
      <c r="E837" s="981"/>
      <c r="F837" s="981"/>
      <c r="G837" s="981"/>
      <c r="H837" s="981"/>
      <c r="I837" s="981"/>
      <c r="J837" s="981"/>
      <c r="K837" s="981"/>
      <c r="L837" s="981"/>
      <c r="M837" s="981"/>
      <c r="N837" s="981"/>
      <c r="O837" s="981"/>
      <c r="P837" s="981"/>
      <c r="Q837" s="981"/>
      <c r="R837" s="981"/>
      <c r="S837" s="981"/>
      <c r="T837" s="981"/>
      <c r="U837" s="981"/>
      <c r="V837" s="981"/>
      <c r="W837" s="981"/>
      <c r="X837" s="981"/>
      <c r="Y837" s="981"/>
      <c r="Z837" s="981"/>
      <c r="AA837" s="981"/>
      <c r="AB837" s="981"/>
    </row>
    <row r="838">
      <c r="A838" s="981"/>
      <c r="B838" s="991"/>
      <c r="C838" s="981"/>
      <c r="D838" s="981"/>
      <c r="E838" s="981"/>
      <c r="F838" s="981"/>
      <c r="G838" s="981"/>
      <c r="H838" s="981"/>
      <c r="I838" s="981"/>
      <c r="J838" s="981"/>
      <c r="K838" s="981"/>
      <c r="L838" s="981"/>
      <c r="M838" s="981"/>
      <c r="N838" s="981"/>
      <c r="O838" s="981"/>
      <c r="P838" s="981"/>
      <c r="Q838" s="981"/>
      <c r="R838" s="981"/>
      <c r="S838" s="981"/>
      <c r="T838" s="981"/>
      <c r="U838" s="981"/>
      <c r="V838" s="981"/>
      <c r="W838" s="981"/>
      <c r="X838" s="981"/>
      <c r="Y838" s="981"/>
      <c r="Z838" s="981"/>
      <c r="AA838" s="981"/>
      <c r="AB838" s="981"/>
    </row>
    <row r="839">
      <c r="A839" s="981"/>
      <c r="B839" s="991"/>
      <c r="C839" s="981"/>
      <c r="D839" s="981"/>
      <c r="E839" s="981"/>
      <c r="F839" s="981"/>
      <c r="G839" s="981"/>
      <c r="H839" s="981"/>
      <c r="I839" s="981"/>
      <c r="J839" s="981"/>
      <c r="K839" s="981"/>
      <c r="L839" s="981"/>
      <c r="M839" s="981"/>
      <c r="N839" s="981"/>
      <c r="O839" s="981"/>
      <c r="P839" s="981"/>
      <c r="Q839" s="981"/>
      <c r="R839" s="981"/>
      <c r="S839" s="981"/>
      <c r="T839" s="981"/>
      <c r="U839" s="981"/>
      <c r="V839" s="981"/>
      <c r="W839" s="981"/>
      <c r="X839" s="981"/>
      <c r="Y839" s="981"/>
      <c r="Z839" s="981"/>
      <c r="AA839" s="981"/>
      <c r="AB839" s="981"/>
    </row>
    <row r="840">
      <c r="A840" s="981"/>
      <c r="B840" s="991"/>
      <c r="C840" s="981"/>
      <c r="D840" s="981"/>
      <c r="E840" s="981"/>
      <c r="F840" s="981"/>
      <c r="G840" s="981"/>
      <c r="H840" s="981"/>
      <c r="I840" s="981"/>
      <c r="J840" s="981"/>
      <c r="K840" s="981"/>
      <c r="L840" s="981"/>
      <c r="M840" s="981"/>
      <c r="N840" s="981"/>
      <c r="O840" s="981"/>
      <c r="P840" s="981"/>
      <c r="Q840" s="981"/>
      <c r="R840" s="981"/>
      <c r="S840" s="981"/>
      <c r="T840" s="981"/>
      <c r="U840" s="981"/>
      <c r="V840" s="981"/>
      <c r="W840" s="981"/>
      <c r="X840" s="981"/>
      <c r="Y840" s="981"/>
      <c r="Z840" s="981"/>
      <c r="AA840" s="981"/>
      <c r="AB840" s="981"/>
    </row>
    <row r="841">
      <c r="A841" s="981"/>
      <c r="B841" s="991"/>
      <c r="C841" s="981"/>
      <c r="D841" s="981"/>
      <c r="E841" s="981"/>
      <c r="F841" s="981"/>
      <c r="G841" s="981"/>
      <c r="H841" s="981"/>
      <c r="I841" s="981"/>
      <c r="J841" s="981"/>
      <c r="K841" s="981"/>
      <c r="L841" s="981"/>
      <c r="M841" s="981"/>
      <c r="N841" s="981"/>
      <c r="O841" s="981"/>
      <c r="P841" s="981"/>
      <c r="Q841" s="981"/>
      <c r="R841" s="981"/>
      <c r="S841" s="981"/>
      <c r="T841" s="981"/>
      <c r="U841" s="981"/>
      <c r="V841" s="981"/>
      <c r="W841" s="981"/>
      <c r="X841" s="981"/>
      <c r="Y841" s="981"/>
      <c r="Z841" s="981"/>
      <c r="AA841" s="981"/>
      <c r="AB841" s="981"/>
    </row>
    <row r="842">
      <c r="A842" s="981"/>
      <c r="B842" s="991"/>
      <c r="C842" s="981"/>
      <c r="D842" s="981"/>
      <c r="E842" s="981"/>
      <c r="F842" s="981"/>
      <c r="G842" s="981"/>
      <c r="H842" s="981"/>
      <c r="I842" s="981"/>
      <c r="J842" s="981"/>
      <c r="K842" s="981"/>
      <c r="L842" s="981"/>
      <c r="M842" s="981"/>
      <c r="N842" s="981"/>
      <c r="O842" s="981"/>
      <c r="P842" s="981"/>
      <c r="Q842" s="981"/>
      <c r="R842" s="981"/>
      <c r="S842" s="981"/>
      <c r="T842" s="981"/>
      <c r="U842" s="981"/>
      <c r="V842" s="981"/>
      <c r="W842" s="981"/>
      <c r="X842" s="981"/>
      <c r="Y842" s="981"/>
      <c r="Z842" s="981"/>
      <c r="AA842" s="981"/>
      <c r="AB842" s="981"/>
    </row>
    <row r="843">
      <c r="A843" s="981"/>
      <c r="B843" s="991"/>
      <c r="C843" s="981"/>
      <c r="D843" s="981"/>
      <c r="E843" s="981"/>
      <c r="F843" s="981"/>
      <c r="G843" s="981"/>
      <c r="H843" s="981"/>
      <c r="I843" s="981"/>
      <c r="J843" s="981"/>
      <c r="K843" s="981"/>
      <c r="L843" s="981"/>
      <c r="M843" s="981"/>
      <c r="N843" s="981"/>
      <c r="O843" s="981"/>
      <c r="P843" s="981"/>
      <c r="Q843" s="981"/>
      <c r="R843" s="981"/>
      <c r="S843" s="981"/>
      <c r="T843" s="981"/>
      <c r="U843" s="981"/>
      <c r="V843" s="981"/>
      <c r="W843" s="981"/>
      <c r="X843" s="981"/>
      <c r="Y843" s="981"/>
      <c r="Z843" s="981"/>
      <c r="AA843" s="981"/>
      <c r="AB843" s="981"/>
    </row>
    <row r="844">
      <c r="A844" s="981"/>
      <c r="B844" s="991"/>
      <c r="C844" s="981"/>
      <c r="D844" s="981"/>
      <c r="E844" s="981"/>
      <c r="F844" s="981"/>
      <c r="G844" s="981"/>
      <c r="H844" s="981"/>
      <c r="I844" s="981"/>
      <c r="J844" s="981"/>
      <c r="K844" s="981"/>
      <c r="L844" s="981"/>
      <c r="M844" s="981"/>
      <c r="N844" s="981"/>
      <c r="O844" s="981"/>
      <c r="P844" s="981"/>
      <c r="Q844" s="981"/>
      <c r="R844" s="981"/>
      <c r="S844" s="981"/>
      <c r="T844" s="981"/>
      <c r="U844" s="981"/>
      <c r="V844" s="981"/>
      <c r="W844" s="981"/>
      <c r="X844" s="981"/>
      <c r="Y844" s="981"/>
      <c r="Z844" s="981"/>
      <c r="AA844" s="981"/>
      <c r="AB844" s="981"/>
    </row>
    <row r="845">
      <c r="A845" s="981"/>
      <c r="B845" s="991"/>
      <c r="C845" s="981"/>
      <c r="D845" s="981"/>
      <c r="E845" s="981"/>
      <c r="F845" s="981"/>
      <c r="G845" s="981"/>
      <c r="H845" s="981"/>
      <c r="I845" s="981"/>
      <c r="J845" s="981"/>
      <c r="K845" s="981"/>
      <c r="L845" s="981"/>
      <c r="M845" s="981"/>
      <c r="N845" s="981"/>
      <c r="O845" s="981"/>
      <c r="P845" s="981"/>
      <c r="Q845" s="981"/>
      <c r="R845" s="981"/>
      <c r="S845" s="981"/>
      <c r="T845" s="981"/>
      <c r="U845" s="981"/>
      <c r="V845" s="981"/>
      <c r="W845" s="981"/>
      <c r="X845" s="981"/>
      <c r="Y845" s="981"/>
      <c r="Z845" s="981"/>
      <c r="AA845" s="981"/>
      <c r="AB845" s="981"/>
    </row>
    <row r="846">
      <c r="A846" s="981"/>
      <c r="B846" s="991"/>
      <c r="C846" s="981"/>
      <c r="D846" s="981"/>
      <c r="E846" s="981"/>
      <c r="F846" s="981"/>
      <c r="G846" s="981"/>
      <c r="H846" s="981"/>
      <c r="I846" s="981"/>
      <c r="J846" s="981"/>
      <c r="K846" s="981"/>
      <c r="L846" s="981"/>
      <c r="M846" s="981"/>
      <c r="N846" s="981"/>
      <c r="O846" s="981"/>
      <c r="P846" s="981"/>
      <c r="Q846" s="981"/>
      <c r="R846" s="981"/>
      <c r="S846" s="981"/>
      <c r="T846" s="981"/>
      <c r="U846" s="981"/>
      <c r="V846" s="981"/>
      <c r="W846" s="981"/>
      <c r="X846" s="981"/>
      <c r="Y846" s="981"/>
      <c r="Z846" s="981"/>
      <c r="AA846" s="981"/>
      <c r="AB846" s="981"/>
    </row>
    <row r="847">
      <c r="A847" s="981"/>
      <c r="B847" s="991"/>
      <c r="C847" s="981"/>
      <c r="D847" s="981"/>
      <c r="E847" s="981"/>
      <c r="F847" s="981"/>
      <c r="G847" s="981"/>
      <c r="H847" s="981"/>
      <c r="I847" s="981"/>
      <c r="J847" s="981"/>
      <c r="K847" s="981"/>
      <c r="L847" s="981"/>
      <c r="M847" s="981"/>
      <c r="N847" s="981"/>
      <c r="O847" s="981"/>
      <c r="P847" s="981"/>
      <c r="Q847" s="981"/>
      <c r="R847" s="981"/>
      <c r="S847" s="981"/>
      <c r="T847" s="981"/>
      <c r="U847" s="981"/>
      <c r="V847" s="981"/>
      <c r="W847" s="981"/>
      <c r="X847" s="981"/>
      <c r="Y847" s="981"/>
      <c r="Z847" s="981"/>
      <c r="AA847" s="981"/>
      <c r="AB847" s="981"/>
    </row>
    <row r="848">
      <c r="A848" s="981"/>
      <c r="B848" s="991"/>
      <c r="C848" s="981"/>
      <c r="D848" s="981"/>
      <c r="E848" s="981"/>
      <c r="F848" s="981"/>
      <c r="G848" s="981"/>
      <c r="H848" s="981"/>
      <c r="I848" s="981"/>
      <c r="J848" s="981"/>
      <c r="K848" s="981"/>
      <c r="L848" s="981"/>
      <c r="M848" s="981"/>
      <c r="N848" s="981"/>
      <c r="O848" s="981"/>
      <c r="P848" s="981"/>
      <c r="Q848" s="981"/>
      <c r="R848" s="981"/>
      <c r="S848" s="981"/>
      <c r="T848" s="981"/>
      <c r="U848" s="981"/>
      <c r="V848" s="981"/>
      <c r="W848" s="981"/>
      <c r="X848" s="981"/>
      <c r="Y848" s="981"/>
      <c r="Z848" s="981"/>
      <c r="AA848" s="981"/>
      <c r="AB848" s="981"/>
    </row>
    <row r="849">
      <c r="A849" s="981"/>
      <c r="B849" s="991"/>
      <c r="C849" s="981"/>
      <c r="D849" s="981"/>
      <c r="E849" s="981"/>
      <c r="F849" s="981"/>
      <c r="G849" s="981"/>
      <c r="H849" s="981"/>
      <c r="I849" s="981"/>
      <c r="J849" s="981"/>
      <c r="K849" s="981"/>
      <c r="L849" s="981"/>
      <c r="M849" s="981"/>
      <c r="N849" s="981"/>
      <c r="O849" s="981"/>
      <c r="P849" s="981"/>
      <c r="Q849" s="981"/>
      <c r="R849" s="981"/>
      <c r="S849" s="981"/>
      <c r="T849" s="981"/>
      <c r="U849" s="981"/>
      <c r="V849" s="981"/>
      <c r="W849" s="981"/>
      <c r="X849" s="981"/>
      <c r="Y849" s="981"/>
      <c r="Z849" s="981"/>
      <c r="AA849" s="981"/>
      <c r="AB849" s="981"/>
    </row>
    <row r="850">
      <c r="A850" s="981"/>
      <c r="B850" s="991"/>
      <c r="C850" s="981"/>
      <c r="D850" s="981"/>
      <c r="E850" s="981"/>
      <c r="F850" s="981"/>
      <c r="G850" s="981"/>
      <c r="H850" s="981"/>
      <c r="I850" s="981"/>
      <c r="J850" s="981"/>
      <c r="K850" s="981"/>
      <c r="L850" s="981"/>
      <c r="M850" s="981"/>
      <c r="N850" s="981"/>
      <c r="O850" s="981"/>
      <c r="P850" s="981"/>
      <c r="Q850" s="981"/>
      <c r="R850" s="981"/>
      <c r="S850" s="981"/>
      <c r="T850" s="981"/>
      <c r="U850" s="981"/>
      <c r="V850" s="981"/>
      <c r="W850" s="981"/>
      <c r="X850" s="981"/>
      <c r="Y850" s="981"/>
      <c r="Z850" s="981"/>
      <c r="AA850" s="981"/>
      <c r="AB850" s="981"/>
    </row>
    <row r="851">
      <c r="A851" s="981"/>
      <c r="B851" s="991"/>
      <c r="C851" s="981"/>
      <c r="D851" s="981"/>
      <c r="E851" s="981"/>
      <c r="F851" s="981"/>
      <c r="G851" s="981"/>
      <c r="H851" s="981"/>
      <c r="I851" s="981"/>
      <c r="J851" s="981"/>
      <c r="K851" s="981"/>
      <c r="L851" s="981"/>
      <c r="M851" s="981"/>
      <c r="N851" s="981"/>
      <c r="O851" s="981"/>
      <c r="P851" s="981"/>
      <c r="Q851" s="981"/>
      <c r="R851" s="981"/>
      <c r="S851" s="981"/>
      <c r="T851" s="981"/>
      <c r="U851" s="981"/>
      <c r="V851" s="981"/>
      <c r="W851" s="981"/>
      <c r="X851" s="981"/>
      <c r="Y851" s="981"/>
      <c r="Z851" s="981"/>
      <c r="AA851" s="981"/>
      <c r="AB851" s="981"/>
    </row>
    <row r="852">
      <c r="A852" s="981"/>
      <c r="B852" s="991"/>
      <c r="C852" s="981"/>
      <c r="D852" s="981"/>
      <c r="E852" s="981"/>
      <c r="F852" s="981"/>
      <c r="G852" s="981"/>
      <c r="H852" s="981"/>
      <c r="I852" s="981"/>
      <c r="J852" s="981"/>
      <c r="K852" s="981"/>
      <c r="L852" s="981"/>
      <c r="M852" s="981"/>
      <c r="N852" s="981"/>
      <c r="O852" s="981"/>
      <c r="P852" s="981"/>
      <c r="Q852" s="981"/>
      <c r="R852" s="981"/>
      <c r="S852" s="981"/>
      <c r="T852" s="981"/>
      <c r="U852" s="981"/>
      <c r="V852" s="981"/>
      <c r="W852" s="981"/>
      <c r="X852" s="981"/>
      <c r="Y852" s="981"/>
      <c r="Z852" s="981"/>
      <c r="AA852" s="981"/>
      <c r="AB852" s="981"/>
    </row>
    <row r="853">
      <c r="A853" s="981"/>
      <c r="B853" s="991"/>
      <c r="C853" s="981"/>
      <c r="D853" s="981"/>
      <c r="E853" s="981"/>
      <c r="F853" s="981"/>
      <c r="G853" s="981"/>
      <c r="H853" s="981"/>
      <c r="I853" s="981"/>
      <c r="J853" s="981"/>
      <c r="K853" s="981"/>
      <c r="L853" s="981"/>
      <c r="M853" s="981"/>
      <c r="N853" s="981"/>
      <c r="O853" s="981"/>
      <c r="P853" s="981"/>
      <c r="Q853" s="981"/>
      <c r="R853" s="981"/>
      <c r="S853" s="981"/>
      <c r="T853" s="981"/>
      <c r="U853" s="981"/>
      <c r="V853" s="981"/>
      <c r="W853" s="981"/>
      <c r="X853" s="981"/>
      <c r="Y853" s="981"/>
      <c r="Z853" s="981"/>
      <c r="AA853" s="981"/>
      <c r="AB853" s="981"/>
    </row>
    <row r="854">
      <c r="A854" s="981"/>
      <c r="B854" s="991"/>
      <c r="C854" s="981"/>
      <c r="D854" s="981"/>
      <c r="E854" s="981"/>
      <c r="F854" s="981"/>
      <c r="G854" s="981"/>
      <c r="H854" s="981"/>
      <c r="I854" s="981"/>
      <c r="J854" s="981"/>
      <c r="K854" s="981"/>
      <c r="L854" s="981"/>
      <c r="M854" s="981"/>
      <c r="N854" s="981"/>
      <c r="O854" s="981"/>
      <c r="P854" s="981"/>
      <c r="Q854" s="981"/>
      <c r="R854" s="981"/>
      <c r="S854" s="981"/>
      <c r="T854" s="981"/>
      <c r="U854" s="981"/>
      <c r="V854" s="981"/>
      <c r="W854" s="981"/>
      <c r="X854" s="981"/>
      <c r="Y854" s="981"/>
      <c r="Z854" s="981"/>
      <c r="AA854" s="981"/>
      <c r="AB854" s="981"/>
    </row>
    <row r="855">
      <c r="A855" s="981"/>
      <c r="B855" s="991"/>
      <c r="C855" s="981"/>
      <c r="D855" s="981"/>
      <c r="E855" s="981"/>
      <c r="F855" s="981"/>
      <c r="G855" s="981"/>
      <c r="H855" s="981"/>
      <c r="I855" s="981"/>
      <c r="J855" s="981"/>
      <c r="K855" s="981"/>
      <c r="L855" s="981"/>
      <c r="M855" s="981"/>
      <c r="N855" s="981"/>
      <c r="O855" s="981"/>
      <c r="P855" s="981"/>
      <c r="Q855" s="981"/>
      <c r="R855" s="981"/>
      <c r="S855" s="981"/>
      <c r="T855" s="981"/>
      <c r="U855" s="981"/>
      <c r="V855" s="981"/>
      <c r="W855" s="981"/>
      <c r="X855" s="981"/>
      <c r="Y855" s="981"/>
      <c r="Z855" s="981"/>
      <c r="AA855" s="981"/>
      <c r="AB855" s="981"/>
    </row>
    <row r="856">
      <c r="A856" s="981"/>
      <c r="B856" s="991"/>
      <c r="C856" s="981"/>
      <c r="D856" s="981"/>
      <c r="E856" s="981"/>
      <c r="F856" s="981"/>
      <c r="G856" s="981"/>
      <c r="H856" s="981"/>
      <c r="I856" s="981"/>
      <c r="J856" s="981"/>
      <c r="K856" s="981"/>
      <c r="L856" s="981"/>
      <c r="M856" s="981"/>
      <c r="N856" s="981"/>
      <c r="O856" s="981"/>
      <c r="P856" s="981"/>
      <c r="Q856" s="981"/>
      <c r="R856" s="981"/>
      <c r="S856" s="981"/>
      <c r="T856" s="981"/>
      <c r="U856" s="981"/>
      <c r="V856" s="981"/>
      <c r="W856" s="981"/>
      <c r="X856" s="981"/>
      <c r="Y856" s="981"/>
      <c r="Z856" s="981"/>
      <c r="AA856" s="981"/>
      <c r="AB856" s="981"/>
    </row>
    <row r="857">
      <c r="A857" s="981"/>
      <c r="B857" s="991"/>
      <c r="C857" s="981"/>
      <c r="D857" s="981"/>
      <c r="E857" s="981"/>
      <c r="F857" s="981"/>
      <c r="G857" s="981"/>
      <c r="H857" s="981"/>
      <c r="I857" s="981"/>
      <c r="J857" s="981"/>
      <c r="K857" s="981"/>
      <c r="L857" s="981"/>
      <c r="M857" s="981"/>
      <c r="N857" s="981"/>
      <c r="O857" s="981"/>
      <c r="P857" s="981"/>
      <c r="Q857" s="981"/>
      <c r="R857" s="981"/>
      <c r="S857" s="981"/>
      <c r="T857" s="981"/>
      <c r="U857" s="981"/>
      <c r="V857" s="981"/>
      <c r="W857" s="981"/>
      <c r="X857" s="981"/>
      <c r="Y857" s="981"/>
      <c r="Z857" s="981"/>
      <c r="AA857" s="981"/>
      <c r="AB857" s="981"/>
    </row>
    <row r="858">
      <c r="A858" s="981"/>
      <c r="B858" s="991"/>
      <c r="C858" s="981"/>
      <c r="D858" s="981"/>
      <c r="E858" s="981"/>
      <c r="F858" s="981"/>
      <c r="G858" s="981"/>
      <c r="H858" s="981"/>
      <c r="I858" s="981"/>
      <c r="J858" s="981"/>
      <c r="K858" s="981"/>
      <c r="L858" s="981"/>
      <c r="M858" s="981"/>
      <c r="N858" s="981"/>
      <c r="O858" s="981"/>
      <c r="P858" s="981"/>
      <c r="Q858" s="981"/>
      <c r="R858" s="981"/>
      <c r="S858" s="981"/>
      <c r="T858" s="981"/>
      <c r="U858" s="981"/>
      <c r="V858" s="981"/>
      <c r="W858" s="981"/>
      <c r="X858" s="981"/>
      <c r="Y858" s="981"/>
      <c r="Z858" s="981"/>
      <c r="AA858" s="981"/>
      <c r="AB858" s="981"/>
    </row>
    <row r="859">
      <c r="A859" s="981"/>
      <c r="B859" s="991"/>
      <c r="C859" s="981"/>
      <c r="D859" s="981"/>
      <c r="E859" s="981"/>
      <c r="F859" s="981"/>
      <c r="G859" s="981"/>
      <c r="H859" s="981"/>
      <c r="I859" s="981"/>
      <c r="J859" s="981"/>
      <c r="K859" s="981"/>
      <c r="L859" s="981"/>
      <c r="M859" s="981"/>
      <c r="N859" s="981"/>
      <c r="O859" s="981"/>
      <c r="P859" s="981"/>
      <c r="Q859" s="981"/>
      <c r="R859" s="981"/>
      <c r="S859" s="981"/>
      <c r="T859" s="981"/>
      <c r="U859" s="981"/>
      <c r="V859" s="981"/>
      <c r="W859" s="981"/>
      <c r="X859" s="981"/>
      <c r="Y859" s="981"/>
      <c r="Z859" s="981"/>
      <c r="AA859" s="981"/>
      <c r="AB859" s="981"/>
    </row>
    <row r="860">
      <c r="A860" s="981"/>
      <c r="B860" s="991"/>
      <c r="C860" s="981"/>
      <c r="D860" s="981"/>
      <c r="E860" s="981"/>
      <c r="F860" s="981"/>
      <c r="G860" s="981"/>
      <c r="H860" s="981"/>
      <c r="I860" s="981"/>
      <c r="J860" s="981"/>
      <c r="K860" s="981"/>
      <c r="L860" s="981"/>
      <c r="M860" s="981"/>
      <c r="N860" s="981"/>
      <c r="O860" s="981"/>
      <c r="P860" s="981"/>
      <c r="Q860" s="981"/>
      <c r="R860" s="981"/>
      <c r="S860" s="981"/>
      <c r="T860" s="981"/>
      <c r="U860" s="981"/>
      <c r="V860" s="981"/>
      <c r="W860" s="981"/>
      <c r="X860" s="981"/>
      <c r="Y860" s="981"/>
      <c r="Z860" s="981"/>
      <c r="AA860" s="981"/>
      <c r="AB860" s="981"/>
    </row>
    <row r="861">
      <c r="A861" s="981"/>
      <c r="B861" s="991"/>
      <c r="C861" s="981"/>
      <c r="D861" s="981"/>
      <c r="E861" s="981"/>
      <c r="F861" s="981"/>
      <c r="G861" s="981"/>
      <c r="H861" s="981"/>
      <c r="I861" s="981"/>
      <c r="J861" s="981"/>
      <c r="K861" s="981"/>
      <c r="L861" s="981"/>
      <c r="M861" s="981"/>
      <c r="N861" s="981"/>
      <c r="O861" s="981"/>
      <c r="P861" s="981"/>
      <c r="Q861" s="981"/>
      <c r="R861" s="981"/>
      <c r="S861" s="981"/>
      <c r="T861" s="981"/>
      <c r="U861" s="981"/>
      <c r="V861" s="981"/>
      <c r="W861" s="981"/>
      <c r="X861" s="981"/>
      <c r="Y861" s="981"/>
      <c r="Z861" s="981"/>
      <c r="AA861" s="981"/>
      <c r="AB861" s="981"/>
    </row>
    <row r="862">
      <c r="A862" s="981"/>
      <c r="B862" s="991"/>
      <c r="C862" s="981"/>
      <c r="D862" s="981"/>
      <c r="E862" s="981"/>
      <c r="F862" s="981"/>
      <c r="G862" s="981"/>
      <c r="H862" s="981"/>
      <c r="I862" s="981"/>
      <c r="J862" s="981"/>
      <c r="K862" s="981"/>
      <c r="L862" s="981"/>
      <c r="M862" s="981"/>
      <c r="N862" s="981"/>
      <c r="O862" s="981"/>
      <c r="P862" s="981"/>
      <c r="Q862" s="981"/>
      <c r="R862" s="981"/>
      <c r="S862" s="981"/>
      <c r="T862" s="981"/>
      <c r="U862" s="981"/>
      <c r="V862" s="981"/>
      <c r="W862" s="981"/>
      <c r="X862" s="981"/>
      <c r="Y862" s="981"/>
      <c r="Z862" s="981"/>
      <c r="AA862" s="981"/>
      <c r="AB862" s="981"/>
    </row>
    <row r="863">
      <c r="A863" s="981"/>
      <c r="B863" s="991"/>
      <c r="C863" s="981"/>
      <c r="D863" s="981"/>
      <c r="E863" s="981"/>
      <c r="F863" s="981"/>
      <c r="G863" s="981"/>
      <c r="H863" s="981"/>
      <c r="I863" s="981"/>
      <c r="J863" s="981"/>
      <c r="K863" s="981"/>
      <c r="L863" s="981"/>
      <c r="M863" s="981"/>
      <c r="N863" s="981"/>
      <c r="O863" s="981"/>
      <c r="P863" s="981"/>
      <c r="Q863" s="981"/>
      <c r="R863" s="981"/>
      <c r="S863" s="981"/>
      <c r="T863" s="981"/>
      <c r="U863" s="981"/>
      <c r="V863" s="981"/>
      <c r="W863" s="981"/>
      <c r="X863" s="981"/>
      <c r="Y863" s="981"/>
      <c r="Z863" s="981"/>
      <c r="AA863" s="981"/>
      <c r="AB863" s="981"/>
    </row>
    <row r="864">
      <c r="A864" s="981"/>
      <c r="B864" s="991"/>
      <c r="C864" s="981"/>
      <c r="D864" s="981"/>
      <c r="E864" s="981"/>
      <c r="F864" s="981"/>
      <c r="G864" s="981"/>
      <c r="H864" s="981"/>
      <c r="I864" s="981"/>
      <c r="J864" s="981"/>
      <c r="K864" s="981"/>
      <c r="L864" s="981"/>
      <c r="M864" s="981"/>
      <c r="N864" s="981"/>
      <c r="O864" s="981"/>
      <c r="P864" s="981"/>
      <c r="Q864" s="981"/>
      <c r="R864" s="981"/>
      <c r="S864" s="981"/>
      <c r="T864" s="981"/>
      <c r="U864" s="981"/>
      <c r="V864" s="981"/>
      <c r="W864" s="981"/>
      <c r="X864" s="981"/>
      <c r="Y864" s="981"/>
      <c r="Z864" s="981"/>
      <c r="AA864" s="981"/>
      <c r="AB864" s="981"/>
    </row>
    <row r="865">
      <c r="A865" s="981"/>
      <c r="B865" s="991"/>
      <c r="C865" s="981"/>
      <c r="D865" s="981"/>
      <c r="E865" s="981"/>
      <c r="F865" s="981"/>
      <c r="G865" s="981"/>
      <c r="H865" s="981"/>
      <c r="I865" s="981"/>
      <c r="J865" s="981"/>
      <c r="K865" s="981"/>
      <c r="L865" s="981"/>
      <c r="M865" s="981"/>
      <c r="N865" s="981"/>
      <c r="O865" s="981"/>
      <c r="P865" s="981"/>
      <c r="Q865" s="981"/>
      <c r="R865" s="981"/>
      <c r="S865" s="981"/>
      <c r="T865" s="981"/>
      <c r="U865" s="981"/>
      <c r="V865" s="981"/>
      <c r="W865" s="981"/>
      <c r="X865" s="981"/>
      <c r="Y865" s="981"/>
      <c r="Z865" s="981"/>
      <c r="AA865" s="981"/>
      <c r="AB865" s="981"/>
    </row>
    <row r="866">
      <c r="A866" s="981"/>
      <c r="B866" s="991"/>
      <c r="C866" s="981"/>
      <c r="D866" s="981"/>
      <c r="E866" s="981"/>
      <c r="F866" s="981"/>
      <c r="G866" s="981"/>
      <c r="H866" s="981"/>
      <c r="I866" s="981"/>
      <c r="J866" s="981"/>
      <c r="K866" s="981"/>
      <c r="L866" s="981"/>
      <c r="M866" s="981"/>
      <c r="N866" s="981"/>
      <c r="O866" s="981"/>
      <c r="P866" s="981"/>
      <c r="Q866" s="981"/>
      <c r="R866" s="981"/>
      <c r="S866" s="981"/>
      <c r="T866" s="981"/>
      <c r="U866" s="981"/>
      <c r="V866" s="981"/>
      <c r="W866" s="981"/>
      <c r="X866" s="981"/>
      <c r="Y866" s="981"/>
      <c r="Z866" s="981"/>
      <c r="AA866" s="981"/>
      <c r="AB866" s="981"/>
    </row>
    <row r="867">
      <c r="A867" s="981"/>
      <c r="B867" s="991"/>
      <c r="C867" s="981"/>
      <c r="D867" s="981"/>
      <c r="E867" s="981"/>
      <c r="F867" s="981"/>
      <c r="G867" s="981"/>
      <c r="H867" s="981"/>
      <c r="I867" s="981"/>
      <c r="J867" s="981"/>
      <c r="K867" s="981"/>
      <c r="L867" s="981"/>
      <c r="M867" s="981"/>
      <c r="N867" s="981"/>
      <c r="O867" s="981"/>
      <c r="P867" s="981"/>
      <c r="Q867" s="981"/>
      <c r="R867" s="981"/>
      <c r="S867" s="981"/>
      <c r="T867" s="981"/>
      <c r="U867" s="981"/>
      <c r="V867" s="981"/>
      <c r="W867" s="981"/>
      <c r="X867" s="981"/>
      <c r="Y867" s="981"/>
      <c r="Z867" s="981"/>
      <c r="AA867" s="981"/>
      <c r="AB867" s="981"/>
    </row>
    <row r="868">
      <c r="A868" s="981"/>
      <c r="B868" s="991"/>
      <c r="C868" s="981"/>
      <c r="D868" s="981"/>
      <c r="E868" s="981"/>
      <c r="F868" s="981"/>
      <c r="G868" s="981"/>
      <c r="H868" s="981"/>
      <c r="I868" s="981"/>
      <c r="J868" s="981"/>
      <c r="K868" s="981"/>
      <c r="L868" s="981"/>
      <c r="M868" s="981"/>
      <c r="N868" s="981"/>
      <c r="O868" s="981"/>
      <c r="P868" s="981"/>
      <c r="Q868" s="981"/>
      <c r="R868" s="981"/>
      <c r="S868" s="981"/>
      <c r="T868" s="981"/>
      <c r="U868" s="981"/>
      <c r="V868" s="981"/>
      <c r="W868" s="981"/>
      <c r="X868" s="981"/>
      <c r="Y868" s="981"/>
      <c r="Z868" s="981"/>
      <c r="AA868" s="981"/>
      <c r="AB868" s="981"/>
    </row>
    <row r="869">
      <c r="A869" s="981"/>
      <c r="B869" s="991"/>
      <c r="C869" s="981"/>
      <c r="D869" s="981"/>
      <c r="E869" s="981"/>
      <c r="F869" s="981"/>
      <c r="G869" s="981"/>
      <c r="H869" s="981"/>
      <c r="I869" s="981"/>
      <c r="J869" s="981"/>
      <c r="K869" s="981"/>
      <c r="L869" s="981"/>
      <c r="M869" s="981"/>
      <c r="N869" s="981"/>
      <c r="O869" s="981"/>
      <c r="P869" s="981"/>
      <c r="Q869" s="981"/>
      <c r="R869" s="981"/>
      <c r="S869" s="981"/>
      <c r="T869" s="981"/>
      <c r="U869" s="981"/>
      <c r="V869" s="981"/>
      <c r="W869" s="981"/>
      <c r="X869" s="981"/>
      <c r="Y869" s="981"/>
      <c r="Z869" s="981"/>
      <c r="AA869" s="981"/>
      <c r="AB869" s="981"/>
    </row>
    <row r="870">
      <c r="A870" s="981"/>
      <c r="B870" s="991"/>
      <c r="C870" s="981"/>
      <c r="D870" s="981"/>
      <c r="E870" s="981"/>
      <c r="F870" s="981"/>
      <c r="G870" s="981"/>
      <c r="H870" s="981"/>
      <c r="I870" s="981"/>
      <c r="J870" s="981"/>
      <c r="K870" s="981"/>
      <c r="L870" s="981"/>
      <c r="M870" s="981"/>
      <c r="N870" s="981"/>
      <c r="O870" s="981"/>
      <c r="P870" s="981"/>
      <c r="Q870" s="981"/>
      <c r="R870" s="981"/>
      <c r="S870" s="981"/>
      <c r="T870" s="981"/>
      <c r="U870" s="981"/>
      <c r="V870" s="981"/>
      <c r="W870" s="981"/>
      <c r="X870" s="981"/>
      <c r="Y870" s="981"/>
      <c r="Z870" s="981"/>
      <c r="AA870" s="981"/>
      <c r="AB870" s="981"/>
    </row>
    <row r="871">
      <c r="A871" s="981"/>
      <c r="B871" s="991"/>
      <c r="C871" s="981"/>
      <c r="D871" s="981"/>
      <c r="E871" s="981"/>
      <c r="F871" s="981"/>
      <c r="G871" s="981"/>
      <c r="H871" s="981"/>
      <c r="I871" s="981"/>
      <c r="J871" s="981"/>
      <c r="K871" s="981"/>
      <c r="L871" s="981"/>
      <c r="M871" s="981"/>
      <c r="N871" s="981"/>
      <c r="O871" s="981"/>
      <c r="P871" s="981"/>
      <c r="Q871" s="981"/>
      <c r="R871" s="981"/>
      <c r="S871" s="981"/>
      <c r="T871" s="981"/>
      <c r="U871" s="981"/>
      <c r="V871" s="981"/>
      <c r="W871" s="981"/>
      <c r="X871" s="981"/>
      <c r="Y871" s="981"/>
      <c r="Z871" s="981"/>
      <c r="AA871" s="981"/>
      <c r="AB871" s="981"/>
    </row>
    <row r="872">
      <c r="A872" s="981"/>
      <c r="B872" s="991"/>
      <c r="C872" s="981"/>
      <c r="D872" s="981"/>
      <c r="E872" s="981"/>
      <c r="F872" s="981"/>
      <c r="G872" s="981"/>
      <c r="H872" s="981"/>
      <c r="I872" s="981"/>
      <c r="J872" s="981"/>
      <c r="K872" s="981"/>
      <c r="L872" s="981"/>
      <c r="M872" s="981"/>
      <c r="N872" s="981"/>
      <c r="O872" s="981"/>
      <c r="P872" s="981"/>
      <c r="Q872" s="981"/>
      <c r="R872" s="981"/>
      <c r="S872" s="981"/>
      <c r="T872" s="981"/>
      <c r="U872" s="981"/>
      <c r="V872" s="981"/>
      <c r="W872" s="981"/>
      <c r="X872" s="981"/>
      <c r="Y872" s="981"/>
      <c r="Z872" s="981"/>
      <c r="AA872" s="981"/>
      <c r="AB872" s="981"/>
    </row>
    <row r="873">
      <c r="A873" s="981"/>
      <c r="B873" s="991"/>
      <c r="C873" s="981"/>
      <c r="D873" s="981"/>
      <c r="E873" s="981"/>
      <c r="F873" s="981"/>
      <c r="G873" s="981"/>
      <c r="H873" s="981"/>
      <c r="I873" s="981"/>
      <c r="J873" s="981"/>
      <c r="K873" s="981"/>
      <c r="L873" s="981"/>
      <c r="M873" s="981"/>
      <c r="N873" s="981"/>
      <c r="O873" s="981"/>
      <c r="P873" s="981"/>
      <c r="Q873" s="981"/>
      <c r="R873" s="981"/>
      <c r="S873" s="981"/>
      <c r="T873" s="981"/>
      <c r="U873" s="981"/>
      <c r="V873" s="981"/>
      <c r="W873" s="981"/>
      <c r="X873" s="981"/>
      <c r="Y873" s="981"/>
      <c r="Z873" s="981"/>
      <c r="AA873" s="981"/>
      <c r="AB873" s="981"/>
    </row>
    <row r="874">
      <c r="A874" s="981"/>
      <c r="B874" s="991"/>
      <c r="C874" s="981"/>
      <c r="D874" s="981"/>
      <c r="E874" s="981"/>
      <c r="F874" s="981"/>
      <c r="G874" s="981"/>
      <c r="H874" s="981"/>
      <c r="I874" s="981"/>
      <c r="J874" s="981"/>
      <c r="K874" s="981"/>
      <c r="L874" s="981"/>
      <c r="M874" s="981"/>
      <c r="N874" s="981"/>
      <c r="O874" s="981"/>
      <c r="P874" s="981"/>
      <c r="Q874" s="981"/>
      <c r="R874" s="981"/>
      <c r="S874" s="981"/>
      <c r="T874" s="981"/>
      <c r="U874" s="981"/>
      <c r="V874" s="981"/>
      <c r="W874" s="981"/>
      <c r="X874" s="981"/>
      <c r="Y874" s="981"/>
      <c r="Z874" s="981"/>
      <c r="AA874" s="981"/>
      <c r="AB874" s="981"/>
    </row>
    <row r="875">
      <c r="A875" s="981"/>
      <c r="B875" s="991"/>
      <c r="C875" s="981"/>
      <c r="D875" s="981"/>
      <c r="E875" s="981"/>
      <c r="F875" s="981"/>
      <c r="G875" s="981"/>
      <c r="H875" s="981"/>
      <c r="I875" s="981"/>
      <c r="J875" s="981"/>
      <c r="K875" s="981"/>
      <c r="L875" s="981"/>
      <c r="M875" s="981"/>
      <c r="N875" s="981"/>
      <c r="O875" s="981"/>
      <c r="P875" s="981"/>
      <c r="Q875" s="981"/>
      <c r="R875" s="981"/>
      <c r="S875" s="981"/>
      <c r="T875" s="981"/>
      <c r="U875" s="981"/>
      <c r="V875" s="981"/>
      <c r="W875" s="981"/>
      <c r="X875" s="981"/>
      <c r="Y875" s="981"/>
      <c r="Z875" s="981"/>
      <c r="AA875" s="981"/>
      <c r="AB875" s="981"/>
    </row>
    <row r="876">
      <c r="A876" s="981"/>
      <c r="B876" s="991"/>
      <c r="C876" s="981"/>
      <c r="D876" s="981"/>
      <c r="E876" s="981"/>
      <c r="F876" s="981"/>
      <c r="G876" s="981"/>
      <c r="H876" s="981"/>
      <c r="I876" s="981"/>
      <c r="J876" s="981"/>
      <c r="K876" s="981"/>
      <c r="L876" s="981"/>
      <c r="M876" s="981"/>
      <c r="N876" s="981"/>
      <c r="O876" s="981"/>
      <c r="P876" s="981"/>
      <c r="Q876" s="981"/>
      <c r="R876" s="981"/>
      <c r="S876" s="981"/>
      <c r="T876" s="981"/>
      <c r="U876" s="981"/>
      <c r="V876" s="981"/>
      <c r="W876" s="981"/>
      <c r="X876" s="981"/>
      <c r="Y876" s="981"/>
      <c r="Z876" s="981"/>
      <c r="AA876" s="981"/>
      <c r="AB876" s="981"/>
    </row>
    <row r="877">
      <c r="A877" s="981"/>
      <c r="B877" s="991"/>
      <c r="C877" s="981"/>
      <c r="D877" s="981"/>
      <c r="E877" s="981"/>
      <c r="F877" s="981"/>
      <c r="G877" s="981"/>
      <c r="H877" s="981"/>
      <c r="I877" s="981"/>
      <c r="J877" s="981"/>
      <c r="K877" s="981"/>
      <c r="L877" s="981"/>
      <c r="M877" s="981"/>
      <c r="N877" s="981"/>
      <c r="O877" s="981"/>
      <c r="P877" s="981"/>
      <c r="Q877" s="981"/>
      <c r="R877" s="981"/>
      <c r="S877" s="981"/>
      <c r="T877" s="981"/>
      <c r="U877" s="981"/>
      <c r="V877" s="981"/>
      <c r="W877" s="981"/>
      <c r="X877" s="981"/>
      <c r="Y877" s="981"/>
      <c r="Z877" s="981"/>
      <c r="AA877" s="981"/>
      <c r="AB877" s="981"/>
    </row>
    <row r="878">
      <c r="A878" s="981"/>
      <c r="B878" s="991"/>
      <c r="C878" s="981"/>
      <c r="D878" s="981"/>
      <c r="E878" s="981"/>
      <c r="F878" s="981"/>
      <c r="G878" s="981"/>
      <c r="H878" s="981"/>
      <c r="I878" s="981"/>
      <c r="J878" s="981"/>
      <c r="K878" s="981"/>
      <c r="L878" s="981"/>
      <c r="M878" s="981"/>
      <c r="N878" s="981"/>
      <c r="O878" s="981"/>
      <c r="P878" s="981"/>
      <c r="Q878" s="981"/>
      <c r="R878" s="981"/>
      <c r="S878" s="981"/>
      <c r="T878" s="981"/>
      <c r="U878" s="981"/>
      <c r="V878" s="981"/>
      <c r="W878" s="981"/>
      <c r="X878" s="981"/>
      <c r="Y878" s="981"/>
      <c r="Z878" s="981"/>
      <c r="AA878" s="981"/>
      <c r="AB878" s="981"/>
    </row>
    <row r="879">
      <c r="A879" s="981"/>
      <c r="B879" s="991"/>
      <c r="C879" s="981"/>
      <c r="D879" s="981"/>
      <c r="E879" s="981"/>
      <c r="F879" s="981"/>
      <c r="G879" s="981"/>
      <c r="H879" s="981"/>
      <c r="I879" s="981"/>
      <c r="J879" s="981"/>
      <c r="K879" s="981"/>
      <c r="L879" s="981"/>
      <c r="M879" s="981"/>
      <c r="N879" s="981"/>
      <c r="O879" s="981"/>
      <c r="P879" s="981"/>
      <c r="Q879" s="981"/>
      <c r="R879" s="981"/>
      <c r="S879" s="981"/>
      <c r="T879" s="981"/>
      <c r="U879" s="981"/>
      <c r="V879" s="981"/>
      <c r="W879" s="981"/>
      <c r="X879" s="981"/>
      <c r="Y879" s="981"/>
      <c r="Z879" s="981"/>
      <c r="AA879" s="981"/>
      <c r="AB879" s="981"/>
    </row>
    <row r="880">
      <c r="A880" s="981"/>
      <c r="B880" s="991"/>
      <c r="C880" s="981"/>
      <c r="D880" s="981"/>
      <c r="E880" s="981"/>
      <c r="F880" s="981"/>
      <c r="G880" s="981"/>
      <c r="H880" s="981"/>
      <c r="I880" s="981"/>
      <c r="J880" s="981"/>
      <c r="K880" s="981"/>
      <c r="L880" s="981"/>
      <c r="M880" s="981"/>
      <c r="N880" s="981"/>
      <c r="O880" s="981"/>
      <c r="P880" s="981"/>
      <c r="Q880" s="981"/>
      <c r="R880" s="981"/>
      <c r="S880" s="981"/>
      <c r="T880" s="981"/>
      <c r="U880" s="981"/>
      <c r="V880" s="981"/>
      <c r="W880" s="981"/>
      <c r="X880" s="981"/>
      <c r="Y880" s="981"/>
      <c r="Z880" s="981"/>
      <c r="AA880" s="981"/>
      <c r="AB880" s="981"/>
    </row>
    <row r="881">
      <c r="A881" s="981"/>
      <c r="B881" s="991"/>
      <c r="C881" s="981"/>
      <c r="D881" s="981"/>
      <c r="E881" s="981"/>
      <c r="F881" s="981"/>
      <c r="G881" s="981"/>
      <c r="H881" s="981"/>
      <c r="I881" s="981"/>
      <c r="J881" s="981"/>
      <c r="K881" s="981"/>
      <c r="L881" s="981"/>
      <c r="M881" s="981"/>
      <c r="N881" s="981"/>
      <c r="O881" s="981"/>
      <c r="P881" s="981"/>
      <c r="Q881" s="981"/>
      <c r="R881" s="981"/>
      <c r="S881" s="981"/>
      <c r="T881" s="981"/>
      <c r="U881" s="981"/>
      <c r="V881" s="981"/>
      <c r="W881" s="981"/>
      <c r="X881" s="981"/>
      <c r="Y881" s="981"/>
      <c r="Z881" s="981"/>
      <c r="AA881" s="981"/>
      <c r="AB881" s="981"/>
    </row>
    <row r="882">
      <c r="A882" s="981"/>
      <c r="B882" s="991"/>
      <c r="C882" s="981"/>
      <c r="D882" s="981"/>
      <c r="E882" s="981"/>
      <c r="F882" s="981"/>
      <c r="G882" s="981"/>
      <c r="H882" s="981"/>
      <c r="I882" s="981"/>
      <c r="J882" s="981"/>
      <c r="K882" s="981"/>
      <c r="L882" s="981"/>
      <c r="M882" s="981"/>
      <c r="N882" s="981"/>
      <c r="O882" s="981"/>
      <c r="P882" s="981"/>
      <c r="Q882" s="981"/>
      <c r="R882" s="981"/>
      <c r="S882" s="981"/>
      <c r="T882" s="981"/>
      <c r="U882" s="981"/>
      <c r="V882" s="981"/>
      <c r="W882" s="981"/>
      <c r="X882" s="981"/>
      <c r="Y882" s="981"/>
      <c r="Z882" s="981"/>
      <c r="AA882" s="981"/>
      <c r="AB882" s="981"/>
    </row>
    <row r="883">
      <c r="A883" s="981"/>
      <c r="B883" s="991"/>
      <c r="C883" s="981"/>
      <c r="D883" s="981"/>
      <c r="E883" s="981"/>
      <c r="F883" s="981"/>
      <c r="G883" s="981"/>
      <c r="H883" s="981"/>
      <c r="I883" s="981"/>
      <c r="J883" s="981"/>
      <c r="K883" s="981"/>
      <c r="L883" s="981"/>
      <c r="M883" s="981"/>
      <c r="N883" s="981"/>
      <c r="O883" s="981"/>
      <c r="P883" s="981"/>
      <c r="Q883" s="981"/>
      <c r="R883" s="981"/>
      <c r="S883" s="981"/>
      <c r="T883" s="981"/>
      <c r="U883" s="981"/>
      <c r="V883" s="981"/>
      <c r="W883" s="981"/>
      <c r="X883" s="981"/>
      <c r="Y883" s="981"/>
      <c r="Z883" s="981"/>
      <c r="AA883" s="981"/>
      <c r="AB883" s="981"/>
    </row>
    <row r="884">
      <c r="A884" s="981"/>
      <c r="B884" s="991"/>
      <c r="C884" s="981"/>
      <c r="D884" s="981"/>
      <c r="E884" s="981"/>
      <c r="F884" s="981"/>
      <c r="G884" s="981"/>
      <c r="H884" s="981"/>
      <c r="I884" s="981"/>
      <c r="J884" s="981"/>
      <c r="K884" s="981"/>
      <c r="L884" s="981"/>
      <c r="M884" s="981"/>
      <c r="N884" s="981"/>
      <c r="O884" s="981"/>
      <c r="P884" s="981"/>
      <c r="Q884" s="981"/>
      <c r="R884" s="981"/>
      <c r="S884" s="981"/>
      <c r="T884" s="981"/>
      <c r="U884" s="981"/>
      <c r="V884" s="981"/>
      <c r="W884" s="981"/>
      <c r="X884" s="981"/>
      <c r="Y884" s="981"/>
      <c r="Z884" s="981"/>
      <c r="AA884" s="981"/>
      <c r="AB884" s="981"/>
    </row>
    <row r="885">
      <c r="A885" s="981"/>
      <c r="B885" s="991"/>
      <c r="C885" s="981"/>
      <c r="D885" s="981"/>
      <c r="E885" s="981"/>
      <c r="F885" s="981"/>
      <c r="G885" s="981"/>
      <c r="H885" s="981"/>
      <c r="I885" s="981"/>
      <c r="J885" s="981"/>
      <c r="K885" s="981"/>
      <c r="L885" s="981"/>
      <c r="M885" s="981"/>
      <c r="N885" s="981"/>
      <c r="O885" s="981"/>
      <c r="P885" s="981"/>
      <c r="Q885" s="981"/>
      <c r="R885" s="981"/>
      <c r="S885" s="981"/>
      <c r="T885" s="981"/>
      <c r="U885" s="981"/>
      <c r="V885" s="981"/>
      <c r="W885" s="981"/>
      <c r="X885" s="981"/>
      <c r="Y885" s="981"/>
      <c r="Z885" s="981"/>
      <c r="AA885" s="981"/>
      <c r="AB885" s="981"/>
    </row>
    <row r="886">
      <c r="A886" s="981"/>
      <c r="B886" s="991"/>
      <c r="C886" s="981"/>
      <c r="D886" s="981"/>
      <c r="E886" s="981"/>
      <c r="F886" s="981"/>
      <c r="G886" s="981"/>
      <c r="H886" s="981"/>
      <c r="I886" s="981"/>
      <c r="J886" s="981"/>
      <c r="K886" s="981"/>
      <c r="L886" s="981"/>
      <c r="M886" s="981"/>
      <c r="N886" s="981"/>
      <c r="O886" s="981"/>
      <c r="P886" s="981"/>
      <c r="Q886" s="981"/>
      <c r="R886" s="981"/>
      <c r="S886" s="981"/>
      <c r="T886" s="981"/>
      <c r="U886" s="981"/>
      <c r="V886" s="981"/>
      <c r="W886" s="981"/>
      <c r="X886" s="981"/>
      <c r="Y886" s="981"/>
      <c r="Z886" s="981"/>
      <c r="AA886" s="981"/>
      <c r="AB886" s="981"/>
    </row>
    <row r="887">
      <c r="A887" s="981"/>
      <c r="B887" s="991"/>
      <c r="C887" s="981"/>
      <c r="D887" s="981"/>
      <c r="E887" s="981"/>
      <c r="F887" s="981"/>
      <c r="G887" s="981"/>
      <c r="H887" s="981"/>
      <c r="I887" s="981"/>
      <c r="J887" s="981"/>
      <c r="K887" s="981"/>
      <c r="L887" s="981"/>
      <c r="M887" s="981"/>
      <c r="N887" s="981"/>
      <c r="O887" s="981"/>
      <c r="P887" s="981"/>
      <c r="Q887" s="981"/>
      <c r="R887" s="981"/>
      <c r="S887" s="981"/>
      <c r="T887" s="981"/>
      <c r="U887" s="981"/>
      <c r="V887" s="981"/>
      <c r="W887" s="981"/>
      <c r="X887" s="981"/>
      <c r="Y887" s="981"/>
      <c r="Z887" s="981"/>
      <c r="AA887" s="981"/>
      <c r="AB887" s="981"/>
    </row>
    <row r="888">
      <c r="A888" s="981"/>
      <c r="B888" s="991"/>
      <c r="C888" s="981"/>
      <c r="D888" s="981"/>
      <c r="E888" s="981"/>
      <c r="F888" s="981"/>
      <c r="G888" s="981"/>
      <c r="H888" s="981"/>
      <c r="I888" s="981"/>
      <c r="J888" s="981"/>
      <c r="K888" s="981"/>
      <c r="L888" s="981"/>
      <c r="M888" s="981"/>
      <c r="N888" s="981"/>
      <c r="O888" s="981"/>
      <c r="P888" s="981"/>
      <c r="Q888" s="981"/>
      <c r="R888" s="981"/>
      <c r="S888" s="981"/>
      <c r="T888" s="981"/>
      <c r="U888" s="981"/>
      <c r="V888" s="981"/>
      <c r="W888" s="981"/>
      <c r="X888" s="981"/>
      <c r="Y888" s="981"/>
      <c r="Z888" s="981"/>
      <c r="AA888" s="981"/>
      <c r="AB888" s="981"/>
    </row>
    <row r="889">
      <c r="A889" s="981"/>
      <c r="B889" s="991"/>
      <c r="C889" s="981"/>
      <c r="D889" s="981"/>
      <c r="E889" s="981"/>
      <c r="F889" s="981"/>
      <c r="G889" s="981"/>
      <c r="H889" s="981"/>
      <c r="I889" s="981"/>
      <c r="J889" s="981"/>
      <c r="K889" s="981"/>
      <c r="L889" s="981"/>
      <c r="M889" s="981"/>
      <c r="N889" s="981"/>
      <c r="O889" s="981"/>
      <c r="P889" s="981"/>
      <c r="Q889" s="981"/>
      <c r="R889" s="981"/>
      <c r="S889" s="981"/>
      <c r="T889" s="981"/>
      <c r="U889" s="981"/>
      <c r="V889" s="981"/>
      <c r="W889" s="981"/>
      <c r="X889" s="981"/>
      <c r="Y889" s="981"/>
      <c r="Z889" s="981"/>
      <c r="AA889" s="981"/>
      <c r="AB889" s="981"/>
    </row>
    <row r="890">
      <c r="A890" s="981"/>
      <c r="B890" s="991"/>
      <c r="C890" s="981"/>
      <c r="D890" s="981"/>
      <c r="E890" s="981"/>
      <c r="F890" s="981"/>
      <c r="G890" s="981"/>
      <c r="H890" s="981"/>
      <c r="I890" s="981"/>
      <c r="J890" s="981"/>
      <c r="K890" s="981"/>
      <c r="L890" s="981"/>
      <c r="M890" s="981"/>
      <c r="N890" s="981"/>
      <c r="O890" s="981"/>
      <c r="P890" s="981"/>
      <c r="Q890" s="981"/>
      <c r="R890" s="981"/>
      <c r="S890" s="981"/>
      <c r="T890" s="981"/>
      <c r="U890" s="981"/>
      <c r="V890" s="981"/>
      <c r="W890" s="981"/>
      <c r="X890" s="981"/>
      <c r="Y890" s="981"/>
      <c r="Z890" s="981"/>
      <c r="AA890" s="981"/>
      <c r="AB890" s="981"/>
    </row>
    <row r="891">
      <c r="A891" s="981"/>
      <c r="B891" s="991"/>
      <c r="C891" s="981"/>
      <c r="D891" s="981"/>
      <c r="E891" s="981"/>
      <c r="F891" s="981"/>
      <c r="G891" s="981"/>
      <c r="H891" s="981"/>
      <c r="I891" s="981"/>
      <c r="J891" s="981"/>
      <c r="K891" s="981"/>
      <c r="L891" s="981"/>
      <c r="M891" s="981"/>
      <c r="N891" s="981"/>
      <c r="O891" s="981"/>
      <c r="P891" s="981"/>
      <c r="Q891" s="981"/>
      <c r="R891" s="981"/>
      <c r="S891" s="981"/>
      <c r="T891" s="981"/>
      <c r="U891" s="981"/>
      <c r="V891" s="981"/>
      <c r="W891" s="981"/>
      <c r="X891" s="981"/>
      <c r="Y891" s="981"/>
      <c r="Z891" s="981"/>
      <c r="AA891" s="981"/>
      <c r="AB891" s="981"/>
    </row>
    <row r="892">
      <c r="A892" s="981"/>
      <c r="B892" s="991"/>
      <c r="C892" s="981"/>
      <c r="D892" s="981"/>
      <c r="E892" s="981"/>
      <c r="F892" s="981"/>
      <c r="G892" s="981"/>
      <c r="H892" s="981"/>
      <c r="I892" s="981"/>
      <c r="J892" s="981"/>
      <c r="K892" s="981"/>
      <c r="L892" s="981"/>
      <c r="M892" s="981"/>
      <c r="N892" s="981"/>
      <c r="O892" s="981"/>
      <c r="P892" s="981"/>
      <c r="Q892" s="981"/>
      <c r="R892" s="981"/>
      <c r="S892" s="981"/>
      <c r="T892" s="981"/>
      <c r="U892" s="981"/>
      <c r="V892" s="981"/>
      <c r="W892" s="981"/>
      <c r="X892" s="981"/>
      <c r="Y892" s="981"/>
      <c r="Z892" s="981"/>
      <c r="AA892" s="981"/>
      <c r="AB892" s="981"/>
    </row>
    <row r="893">
      <c r="A893" s="981"/>
      <c r="B893" s="991"/>
      <c r="C893" s="981"/>
      <c r="D893" s="981"/>
      <c r="E893" s="981"/>
      <c r="F893" s="981"/>
      <c r="G893" s="981"/>
      <c r="H893" s="981"/>
      <c r="I893" s="981"/>
      <c r="J893" s="981"/>
      <c r="K893" s="981"/>
      <c r="L893" s="981"/>
      <c r="M893" s="981"/>
      <c r="N893" s="981"/>
      <c r="O893" s="981"/>
      <c r="P893" s="981"/>
      <c r="Q893" s="981"/>
      <c r="R893" s="981"/>
      <c r="S893" s="981"/>
      <c r="T893" s="981"/>
      <c r="U893" s="981"/>
      <c r="V893" s="981"/>
      <c r="W893" s="981"/>
      <c r="X893" s="981"/>
      <c r="Y893" s="981"/>
      <c r="Z893" s="981"/>
      <c r="AA893" s="981"/>
      <c r="AB893" s="981"/>
    </row>
    <row r="894">
      <c r="A894" s="981"/>
      <c r="B894" s="991"/>
      <c r="C894" s="981"/>
      <c r="D894" s="981"/>
      <c r="E894" s="981"/>
      <c r="F894" s="981"/>
      <c r="G894" s="981"/>
      <c r="H894" s="981"/>
      <c r="I894" s="981"/>
      <c r="J894" s="981"/>
      <c r="K894" s="981"/>
      <c r="L894" s="981"/>
      <c r="M894" s="981"/>
      <c r="N894" s="981"/>
      <c r="O894" s="981"/>
      <c r="P894" s="981"/>
      <c r="Q894" s="981"/>
      <c r="R894" s="981"/>
      <c r="S894" s="981"/>
      <c r="T894" s="981"/>
      <c r="U894" s="981"/>
      <c r="V894" s="981"/>
      <c r="W894" s="981"/>
      <c r="X894" s="981"/>
      <c r="Y894" s="981"/>
      <c r="Z894" s="981"/>
      <c r="AA894" s="981"/>
      <c r="AB894" s="981"/>
    </row>
    <row r="895">
      <c r="A895" s="981"/>
      <c r="B895" s="991"/>
      <c r="C895" s="981"/>
      <c r="D895" s="981"/>
      <c r="E895" s="981"/>
      <c r="F895" s="981"/>
      <c r="G895" s="981"/>
      <c r="H895" s="981"/>
      <c r="I895" s="981"/>
      <c r="J895" s="981"/>
      <c r="K895" s="981"/>
      <c r="L895" s="981"/>
      <c r="M895" s="981"/>
      <c r="N895" s="981"/>
      <c r="O895" s="981"/>
      <c r="P895" s="981"/>
      <c r="Q895" s="981"/>
      <c r="R895" s="981"/>
      <c r="S895" s="981"/>
      <c r="T895" s="981"/>
      <c r="U895" s="981"/>
      <c r="V895" s="981"/>
      <c r="W895" s="981"/>
      <c r="X895" s="981"/>
      <c r="Y895" s="981"/>
      <c r="Z895" s="981"/>
      <c r="AA895" s="981"/>
      <c r="AB895" s="981"/>
    </row>
    <row r="896">
      <c r="A896" s="981"/>
      <c r="B896" s="991"/>
      <c r="C896" s="981"/>
      <c r="D896" s="981"/>
      <c r="E896" s="981"/>
      <c r="F896" s="981"/>
      <c r="G896" s="981"/>
      <c r="H896" s="981"/>
      <c r="I896" s="981"/>
      <c r="J896" s="981"/>
      <c r="K896" s="981"/>
      <c r="L896" s="981"/>
      <c r="M896" s="981"/>
      <c r="N896" s="981"/>
      <c r="O896" s="981"/>
      <c r="P896" s="981"/>
      <c r="Q896" s="981"/>
      <c r="R896" s="981"/>
      <c r="S896" s="981"/>
      <c r="T896" s="981"/>
      <c r="U896" s="981"/>
      <c r="V896" s="981"/>
      <c r="W896" s="981"/>
      <c r="X896" s="981"/>
      <c r="Y896" s="981"/>
      <c r="Z896" s="981"/>
      <c r="AA896" s="981"/>
      <c r="AB896" s="981"/>
    </row>
    <row r="897">
      <c r="A897" s="981"/>
      <c r="B897" s="991"/>
      <c r="C897" s="981"/>
      <c r="D897" s="981"/>
      <c r="E897" s="981"/>
      <c r="F897" s="981"/>
      <c r="G897" s="981"/>
      <c r="H897" s="981"/>
      <c r="I897" s="981"/>
      <c r="J897" s="981"/>
      <c r="K897" s="981"/>
      <c r="L897" s="981"/>
      <c r="M897" s="981"/>
      <c r="N897" s="981"/>
      <c r="O897" s="981"/>
      <c r="P897" s="981"/>
      <c r="Q897" s="981"/>
      <c r="R897" s="981"/>
      <c r="S897" s="981"/>
      <c r="T897" s="981"/>
      <c r="U897" s="981"/>
      <c r="V897" s="981"/>
      <c r="W897" s="981"/>
      <c r="X897" s="981"/>
      <c r="Y897" s="981"/>
      <c r="Z897" s="981"/>
      <c r="AA897" s="981"/>
      <c r="AB897" s="981"/>
    </row>
    <row r="898">
      <c r="A898" s="981"/>
      <c r="B898" s="991"/>
      <c r="C898" s="981"/>
      <c r="D898" s="981"/>
      <c r="E898" s="981"/>
      <c r="F898" s="981"/>
      <c r="G898" s="981"/>
      <c r="H898" s="981"/>
      <c r="I898" s="981"/>
      <c r="J898" s="981"/>
      <c r="K898" s="981"/>
      <c r="L898" s="981"/>
      <c r="M898" s="981"/>
      <c r="N898" s="981"/>
      <c r="O898" s="981"/>
      <c r="P898" s="981"/>
      <c r="Q898" s="981"/>
      <c r="R898" s="981"/>
      <c r="S898" s="981"/>
      <c r="T898" s="981"/>
      <c r="U898" s="981"/>
      <c r="V898" s="981"/>
      <c r="W898" s="981"/>
      <c r="X898" s="981"/>
      <c r="Y898" s="981"/>
      <c r="Z898" s="981"/>
      <c r="AA898" s="981"/>
      <c r="AB898" s="981"/>
    </row>
    <row r="899">
      <c r="A899" s="981"/>
      <c r="B899" s="991"/>
      <c r="C899" s="981"/>
      <c r="D899" s="981"/>
      <c r="E899" s="981"/>
      <c r="F899" s="981"/>
      <c r="G899" s="981"/>
      <c r="H899" s="981"/>
      <c r="I899" s="981"/>
      <c r="J899" s="981"/>
      <c r="K899" s="981"/>
      <c r="L899" s="981"/>
      <c r="M899" s="981"/>
      <c r="N899" s="981"/>
      <c r="O899" s="981"/>
      <c r="P899" s="981"/>
      <c r="Q899" s="981"/>
      <c r="R899" s="981"/>
      <c r="S899" s="981"/>
      <c r="T899" s="981"/>
      <c r="U899" s="981"/>
      <c r="V899" s="981"/>
      <c r="W899" s="981"/>
      <c r="X899" s="981"/>
      <c r="Y899" s="981"/>
      <c r="Z899" s="981"/>
      <c r="AA899" s="981"/>
      <c r="AB899" s="981"/>
    </row>
    <row r="900">
      <c r="A900" s="981"/>
      <c r="B900" s="991"/>
      <c r="C900" s="981"/>
      <c r="D900" s="981"/>
      <c r="E900" s="981"/>
      <c r="F900" s="981"/>
      <c r="G900" s="981"/>
      <c r="H900" s="981"/>
      <c r="I900" s="981"/>
      <c r="J900" s="981"/>
      <c r="K900" s="981"/>
      <c r="L900" s="981"/>
      <c r="M900" s="981"/>
      <c r="N900" s="981"/>
      <c r="O900" s="981"/>
      <c r="P900" s="981"/>
      <c r="Q900" s="981"/>
      <c r="R900" s="981"/>
      <c r="S900" s="981"/>
      <c r="T900" s="981"/>
      <c r="U900" s="981"/>
      <c r="V900" s="981"/>
      <c r="W900" s="981"/>
      <c r="X900" s="981"/>
      <c r="Y900" s="981"/>
      <c r="Z900" s="981"/>
      <c r="AA900" s="981"/>
      <c r="AB900" s="981"/>
    </row>
    <row r="901">
      <c r="A901" s="981"/>
      <c r="B901" s="991"/>
      <c r="C901" s="981"/>
      <c r="D901" s="981"/>
      <c r="E901" s="981"/>
      <c r="F901" s="981"/>
      <c r="G901" s="981"/>
      <c r="H901" s="981"/>
      <c r="I901" s="981"/>
      <c r="J901" s="981"/>
      <c r="K901" s="981"/>
      <c r="L901" s="981"/>
      <c r="M901" s="981"/>
      <c r="N901" s="981"/>
      <c r="O901" s="981"/>
      <c r="P901" s="981"/>
      <c r="Q901" s="981"/>
      <c r="R901" s="981"/>
      <c r="S901" s="981"/>
      <c r="T901" s="981"/>
      <c r="U901" s="981"/>
      <c r="V901" s="981"/>
      <c r="W901" s="981"/>
      <c r="X901" s="981"/>
      <c r="Y901" s="981"/>
      <c r="Z901" s="981"/>
      <c r="AA901" s="981"/>
      <c r="AB901" s="981"/>
    </row>
    <row r="902">
      <c r="A902" s="981"/>
      <c r="B902" s="991"/>
      <c r="C902" s="981"/>
      <c r="D902" s="981"/>
      <c r="E902" s="981"/>
      <c r="F902" s="981"/>
      <c r="G902" s="981"/>
      <c r="H902" s="981"/>
      <c r="I902" s="981"/>
      <c r="J902" s="981"/>
      <c r="K902" s="981"/>
      <c r="L902" s="981"/>
      <c r="M902" s="981"/>
      <c r="N902" s="981"/>
      <c r="O902" s="981"/>
      <c r="P902" s="981"/>
      <c r="Q902" s="981"/>
      <c r="R902" s="981"/>
      <c r="S902" s="981"/>
      <c r="T902" s="981"/>
      <c r="U902" s="981"/>
      <c r="V902" s="981"/>
      <c r="W902" s="981"/>
      <c r="X902" s="981"/>
      <c r="Y902" s="981"/>
      <c r="Z902" s="981"/>
      <c r="AA902" s="981"/>
      <c r="AB902" s="981"/>
    </row>
    <row r="903">
      <c r="A903" s="981"/>
      <c r="B903" s="991"/>
      <c r="C903" s="981"/>
      <c r="D903" s="981"/>
      <c r="E903" s="981"/>
      <c r="F903" s="981"/>
      <c r="G903" s="981"/>
      <c r="H903" s="981"/>
      <c r="I903" s="981"/>
      <c r="J903" s="981"/>
      <c r="K903" s="981"/>
      <c r="L903" s="981"/>
      <c r="M903" s="981"/>
      <c r="N903" s="981"/>
      <c r="O903" s="981"/>
      <c r="P903" s="981"/>
      <c r="Q903" s="981"/>
      <c r="R903" s="981"/>
      <c r="S903" s="981"/>
      <c r="T903" s="981"/>
      <c r="U903" s="981"/>
      <c r="V903" s="981"/>
      <c r="W903" s="981"/>
      <c r="X903" s="981"/>
      <c r="Y903" s="981"/>
      <c r="Z903" s="981"/>
      <c r="AA903" s="981"/>
      <c r="AB903" s="981"/>
    </row>
    <row r="904">
      <c r="A904" s="981"/>
      <c r="B904" s="991"/>
      <c r="C904" s="981"/>
      <c r="D904" s="981"/>
      <c r="E904" s="981"/>
      <c r="F904" s="981"/>
      <c r="G904" s="981"/>
      <c r="H904" s="981"/>
      <c r="I904" s="981"/>
      <c r="J904" s="981"/>
      <c r="K904" s="981"/>
      <c r="L904" s="981"/>
      <c r="M904" s="981"/>
      <c r="N904" s="981"/>
      <c r="O904" s="981"/>
      <c r="P904" s="981"/>
      <c r="Q904" s="981"/>
      <c r="R904" s="981"/>
      <c r="S904" s="981"/>
      <c r="T904" s="981"/>
      <c r="U904" s="981"/>
      <c r="V904" s="981"/>
      <c r="W904" s="981"/>
      <c r="X904" s="981"/>
      <c r="Y904" s="981"/>
      <c r="Z904" s="981"/>
      <c r="AA904" s="981"/>
      <c r="AB904" s="981"/>
    </row>
    <row r="905">
      <c r="A905" s="981"/>
      <c r="B905" s="991"/>
      <c r="C905" s="981"/>
      <c r="D905" s="981"/>
      <c r="E905" s="981"/>
      <c r="F905" s="981"/>
      <c r="G905" s="981"/>
      <c r="H905" s="981"/>
      <c r="I905" s="981"/>
      <c r="J905" s="981"/>
      <c r="K905" s="981"/>
      <c r="L905" s="981"/>
      <c r="M905" s="981"/>
      <c r="N905" s="981"/>
      <c r="O905" s="981"/>
      <c r="P905" s="981"/>
      <c r="Q905" s="981"/>
      <c r="R905" s="981"/>
      <c r="S905" s="981"/>
      <c r="T905" s="981"/>
      <c r="U905" s="981"/>
      <c r="V905" s="981"/>
      <c r="W905" s="981"/>
      <c r="X905" s="981"/>
      <c r="Y905" s="981"/>
      <c r="Z905" s="981"/>
      <c r="AA905" s="981"/>
      <c r="AB905" s="981"/>
    </row>
    <row r="906">
      <c r="A906" s="981"/>
      <c r="B906" s="991"/>
      <c r="C906" s="981"/>
      <c r="D906" s="981"/>
      <c r="E906" s="981"/>
      <c r="F906" s="981"/>
      <c r="G906" s="981"/>
      <c r="H906" s="981"/>
      <c r="I906" s="981"/>
      <c r="J906" s="981"/>
      <c r="K906" s="981"/>
      <c r="L906" s="981"/>
      <c r="M906" s="981"/>
      <c r="N906" s="981"/>
      <c r="O906" s="981"/>
      <c r="P906" s="981"/>
      <c r="Q906" s="981"/>
      <c r="R906" s="981"/>
      <c r="S906" s="981"/>
      <c r="T906" s="981"/>
      <c r="U906" s="981"/>
      <c r="V906" s="981"/>
      <c r="W906" s="981"/>
      <c r="X906" s="981"/>
      <c r="Y906" s="981"/>
      <c r="Z906" s="981"/>
      <c r="AA906" s="981"/>
      <c r="AB906" s="981"/>
    </row>
    <row r="907">
      <c r="A907" s="981"/>
      <c r="B907" s="991"/>
      <c r="C907" s="981"/>
      <c r="D907" s="981"/>
      <c r="E907" s="981"/>
      <c r="F907" s="981"/>
      <c r="G907" s="981"/>
      <c r="H907" s="981"/>
      <c r="I907" s="981"/>
      <c r="J907" s="981"/>
      <c r="K907" s="981"/>
      <c r="L907" s="981"/>
      <c r="M907" s="981"/>
      <c r="N907" s="981"/>
      <c r="O907" s="981"/>
      <c r="P907" s="981"/>
      <c r="Q907" s="981"/>
      <c r="R907" s="981"/>
      <c r="S907" s="981"/>
      <c r="T907" s="981"/>
      <c r="U907" s="981"/>
      <c r="V907" s="981"/>
      <c r="W907" s="981"/>
      <c r="X907" s="981"/>
      <c r="Y907" s="981"/>
      <c r="Z907" s="981"/>
      <c r="AA907" s="981"/>
      <c r="AB907" s="981"/>
    </row>
    <row r="908">
      <c r="A908" s="981"/>
      <c r="B908" s="991"/>
      <c r="C908" s="981"/>
      <c r="D908" s="981"/>
      <c r="E908" s="981"/>
      <c r="F908" s="981"/>
      <c r="G908" s="981"/>
      <c r="H908" s="981"/>
      <c r="I908" s="981"/>
      <c r="J908" s="981"/>
      <c r="K908" s="981"/>
      <c r="L908" s="981"/>
      <c r="M908" s="981"/>
      <c r="N908" s="981"/>
      <c r="O908" s="981"/>
      <c r="P908" s="981"/>
      <c r="Q908" s="981"/>
      <c r="R908" s="981"/>
      <c r="S908" s="981"/>
      <c r="T908" s="981"/>
      <c r="U908" s="981"/>
      <c r="V908" s="981"/>
      <c r="W908" s="981"/>
      <c r="X908" s="981"/>
      <c r="Y908" s="981"/>
      <c r="Z908" s="981"/>
      <c r="AA908" s="981"/>
      <c r="AB908" s="981"/>
    </row>
    <row r="909">
      <c r="A909" s="981"/>
      <c r="B909" s="991"/>
      <c r="C909" s="981"/>
      <c r="D909" s="981"/>
      <c r="E909" s="981"/>
      <c r="F909" s="981"/>
      <c r="G909" s="981"/>
      <c r="H909" s="981"/>
      <c r="I909" s="981"/>
      <c r="J909" s="981"/>
      <c r="K909" s="981"/>
      <c r="L909" s="981"/>
      <c r="M909" s="981"/>
      <c r="N909" s="981"/>
      <c r="O909" s="981"/>
      <c r="P909" s="981"/>
      <c r="Q909" s="981"/>
      <c r="R909" s="981"/>
      <c r="S909" s="981"/>
      <c r="T909" s="981"/>
      <c r="U909" s="981"/>
      <c r="V909" s="981"/>
      <c r="W909" s="981"/>
      <c r="X909" s="981"/>
      <c r="Y909" s="981"/>
      <c r="Z909" s="981"/>
      <c r="AA909" s="981"/>
      <c r="AB909" s="981"/>
    </row>
    <row r="910">
      <c r="A910" s="981"/>
      <c r="B910" s="991"/>
      <c r="C910" s="981"/>
      <c r="D910" s="981"/>
      <c r="E910" s="981"/>
      <c r="F910" s="981"/>
      <c r="G910" s="981"/>
      <c r="H910" s="981"/>
      <c r="I910" s="981"/>
      <c r="J910" s="981"/>
      <c r="K910" s="981"/>
      <c r="L910" s="981"/>
      <c r="M910" s="981"/>
      <c r="N910" s="981"/>
      <c r="O910" s="981"/>
      <c r="P910" s="981"/>
      <c r="Q910" s="981"/>
      <c r="R910" s="981"/>
      <c r="S910" s="981"/>
      <c r="T910" s="981"/>
      <c r="U910" s="981"/>
      <c r="V910" s="981"/>
      <c r="W910" s="981"/>
      <c r="X910" s="981"/>
      <c r="Y910" s="981"/>
      <c r="Z910" s="981"/>
      <c r="AA910" s="981"/>
      <c r="AB910" s="981"/>
    </row>
    <row r="911">
      <c r="A911" s="981"/>
      <c r="B911" s="991"/>
      <c r="C911" s="981"/>
      <c r="D911" s="981"/>
      <c r="E911" s="981"/>
      <c r="F911" s="981"/>
      <c r="G911" s="981"/>
      <c r="H911" s="981"/>
      <c r="I911" s="981"/>
      <c r="J911" s="981"/>
      <c r="K911" s="981"/>
      <c r="L911" s="981"/>
      <c r="M911" s="981"/>
      <c r="N911" s="981"/>
      <c r="O911" s="981"/>
      <c r="P911" s="981"/>
      <c r="Q911" s="981"/>
      <c r="R911" s="981"/>
      <c r="S911" s="981"/>
      <c r="T911" s="981"/>
      <c r="U911" s="981"/>
      <c r="V911" s="981"/>
      <c r="W911" s="981"/>
      <c r="X911" s="981"/>
      <c r="Y911" s="981"/>
      <c r="Z911" s="981"/>
      <c r="AA911" s="981"/>
      <c r="AB911" s="981"/>
    </row>
    <row r="912">
      <c r="A912" s="981"/>
      <c r="B912" s="991"/>
      <c r="C912" s="981"/>
      <c r="D912" s="981"/>
      <c r="E912" s="981"/>
      <c r="F912" s="981"/>
      <c r="G912" s="981"/>
      <c r="H912" s="981"/>
      <c r="I912" s="981"/>
      <c r="J912" s="981"/>
      <c r="K912" s="981"/>
      <c r="L912" s="981"/>
      <c r="M912" s="981"/>
      <c r="N912" s="981"/>
      <c r="O912" s="981"/>
      <c r="P912" s="981"/>
      <c r="Q912" s="981"/>
      <c r="R912" s="981"/>
      <c r="S912" s="981"/>
      <c r="T912" s="981"/>
      <c r="U912" s="981"/>
      <c r="V912" s="981"/>
      <c r="W912" s="981"/>
      <c r="X912" s="981"/>
      <c r="Y912" s="981"/>
      <c r="Z912" s="981"/>
      <c r="AA912" s="981"/>
      <c r="AB912" s="981"/>
    </row>
    <row r="913">
      <c r="A913" s="981"/>
      <c r="B913" s="991"/>
      <c r="C913" s="981"/>
      <c r="D913" s="981"/>
      <c r="E913" s="981"/>
      <c r="F913" s="981"/>
      <c r="G913" s="981"/>
      <c r="H913" s="981"/>
      <c r="I913" s="981"/>
      <c r="J913" s="981"/>
      <c r="K913" s="981"/>
      <c r="L913" s="981"/>
      <c r="M913" s="981"/>
      <c r="N913" s="981"/>
      <c r="O913" s="981"/>
      <c r="P913" s="981"/>
      <c r="Q913" s="981"/>
      <c r="R913" s="981"/>
      <c r="S913" s="981"/>
      <c r="T913" s="981"/>
      <c r="U913" s="981"/>
      <c r="V913" s="981"/>
      <c r="W913" s="981"/>
      <c r="X913" s="981"/>
      <c r="Y913" s="981"/>
      <c r="Z913" s="981"/>
      <c r="AA913" s="981"/>
      <c r="AB913" s="981"/>
    </row>
    <row r="914">
      <c r="A914" s="981"/>
      <c r="B914" s="991"/>
      <c r="C914" s="981"/>
      <c r="D914" s="981"/>
      <c r="E914" s="981"/>
      <c r="F914" s="981"/>
      <c r="G914" s="981"/>
      <c r="H914" s="981"/>
      <c r="I914" s="981"/>
      <c r="J914" s="981"/>
      <c r="K914" s="981"/>
      <c r="L914" s="981"/>
      <c r="M914" s="981"/>
      <c r="N914" s="981"/>
      <c r="O914" s="981"/>
      <c r="P914" s="981"/>
      <c r="Q914" s="981"/>
      <c r="R914" s="981"/>
      <c r="S914" s="981"/>
      <c r="T914" s="981"/>
      <c r="U914" s="981"/>
      <c r="V914" s="981"/>
      <c r="W914" s="981"/>
      <c r="X914" s="981"/>
      <c r="Y914" s="981"/>
      <c r="Z914" s="981"/>
      <c r="AA914" s="981"/>
      <c r="AB914" s="981"/>
    </row>
    <row r="915">
      <c r="A915" s="981"/>
      <c r="B915" s="991"/>
      <c r="C915" s="981"/>
      <c r="D915" s="981"/>
      <c r="E915" s="981"/>
      <c r="F915" s="981"/>
      <c r="G915" s="981"/>
      <c r="H915" s="981"/>
      <c r="I915" s="981"/>
      <c r="J915" s="981"/>
      <c r="K915" s="981"/>
      <c r="L915" s="981"/>
      <c r="M915" s="981"/>
      <c r="N915" s="981"/>
      <c r="O915" s="981"/>
      <c r="P915" s="981"/>
      <c r="Q915" s="981"/>
      <c r="R915" s="981"/>
      <c r="S915" s="981"/>
      <c r="T915" s="981"/>
      <c r="U915" s="981"/>
      <c r="V915" s="981"/>
      <c r="W915" s="981"/>
      <c r="X915" s="981"/>
      <c r="Y915" s="981"/>
      <c r="Z915" s="981"/>
      <c r="AA915" s="981"/>
      <c r="AB915" s="981"/>
    </row>
    <row r="916">
      <c r="A916" s="981"/>
      <c r="B916" s="991"/>
      <c r="C916" s="981"/>
      <c r="D916" s="981"/>
      <c r="E916" s="981"/>
      <c r="F916" s="981"/>
      <c r="G916" s="981"/>
      <c r="H916" s="981"/>
      <c r="I916" s="981"/>
      <c r="J916" s="981"/>
      <c r="K916" s="981"/>
      <c r="L916" s="981"/>
      <c r="M916" s="981"/>
      <c r="N916" s="981"/>
      <c r="O916" s="981"/>
      <c r="P916" s="981"/>
      <c r="Q916" s="981"/>
      <c r="R916" s="981"/>
      <c r="S916" s="981"/>
      <c r="T916" s="981"/>
      <c r="U916" s="981"/>
      <c r="V916" s="981"/>
      <c r="W916" s="981"/>
      <c r="X916" s="981"/>
      <c r="Y916" s="981"/>
      <c r="Z916" s="981"/>
      <c r="AA916" s="981"/>
      <c r="AB916" s="981"/>
    </row>
    <row r="917">
      <c r="A917" s="981"/>
      <c r="B917" s="991"/>
      <c r="C917" s="981"/>
      <c r="D917" s="981"/>
      <c r="E917" s="981"/>
      <c r="F917" s="981"/>
      <c r="G917" s="981"/>
      <c r="H917" s="981"/>
      <c r="I917" s="981"/>
      <c r="J917" s="981"/>
      <c r="K917" s="981"/>
      <c r="L917" s="981"/>
      <c r="M917" s="981"/>
      <c r="N917" s="981"/>
      <c r="O917" s="981"/>
      <c r="P917" s="981"/>
      <c r="Q917" s="981"/>
      <c r="R917" s="981"/>
      <c r="S917" s="981"/>
      <c r="T917" s="981"/>
      <c r="U917" s="981"/>
      <c r="V917" s="981"/>
      <c r="W917" s="981"/>
      <c r="X917" s="981"/>
      <c r="Y917" s="981"/>
      <c r="Z917" s="981"/>
      <c r="AA917" s="981"/>
      <c r="AB917" s="981"/>
    </row>
    <row r="918">
      <c r="A918" s="981"/>
      <c r="B918" s="991"/>
      <c r="C918" s="981"/>
      <c r="D918" s="981"/>
      <c r="E918" s="981"/>
      <c r="F918" s="981"/>
      <c r="G918" s="981"/>
      <c r="H918" s="981"/>
      <c r="I918" s="981"/>
      <c r="J918" s="981"/>
      <c r="K918" s="981"/>
      <c r="L918" s="981"/>
      <c r="M918" s="981"/>
      <c r="N918" s="981"/>
      <c r="O918" s="981"/>
      <c r="P918" s="981"/>
      <c r="Q918" s="981"/>
      <c r="R918" s="981"/>
      <c r="S918" s="981"/>
      <c r="T918" s="981"/>
      <c r="U918" s="981"/>
      <c r="V918" s="981"/>
      <c r="W918" s="981"/>
      <c r="X918" s="981"/>
      <c r="Y918" s="981"/>
      <c r="Z918" s="981"/>
      <c r="AA918" s="981"/>
      <c r="AB918" s="981"/>
    </row>
    <row r="919">
      <c r="A919" s="981"/>
      <c r="B919" s="991"/>
      <c r="C919" s="981"/>
      <c r="D919" s="981"/>
      <c r="E919" s="981"/>
      <c r="F919" s="981"/>
      <c r="G919" s="981"/>
      <c r="H919" s="981"/>
      <c r="I919" s="981"/>
      <c r="J919" s="981"/>
      <c r="K919" s="981"/>
      <c r="L919" s="981"/>
      <c r="M919" s="981"/>
      <c r="N919" s="981"/>
      <c r="O919" s="981"/>
      <c r="P919" s="981"/>
      <c r="Q919" s="981"/>
      <c r="R919" s="981"/>
      <c r="S919" s="981"/>
      <c r="T919" s="981"/>
      <c r="U919" s="981"/>
      <c r="V919" s="981"/>
      <c r="W919" s="981"/>
      <c r="X919" s="981"/>
      <c r="Y919" s="981"/>
      <c r="Z919" s="981"/>
      <c r="AA919" s="981"/>
      <c r="AB919" s="981"/>
    </row>
    <row r="920">
      <c r="A920" s="981"/>
      <c r="B920" s="991"/>
      <c r="C920" s="981"/>
      <c r="D920" s="981"/>
      <c r="E920" s="981"/>
      <c r="F920" s="981"/>
      <c r="G920" s="981"/>
      <c r="H920" s="981"/>
      <c r="I920" s="981"/>
      <c r="J920" s="981"/>
      <c r="K920" s="981"/>
      <c r="L920" s="981"/>
      <c r="M920" s="981"/>
      <c r="N920" s="981"/>
      <c r="O920" s="981"/>
      <c r="P920" s="981"/>
      <c r="Q920" s="981"/>
      <c r="R920" s="981"/>
      <c r="S920" s="981"/>
      <c r="T920" s="981"/>
      <c r="U920" s="981"/>
      <c r="V920" s="981"/>
      <c r="W920" s="981"/>
      <c r="X920" s="981"/>
      <c r="Y920" s="981"/>
      <c r="Z920" s="981"/>
      <c r="AA920" s="981"/>
      <c r="AB920" s="981"/>
    </row>
    <row r="921">
      <c r="A921" s="981"/>
      <c r="B921" s="991"/>
      <c r="C921" s="981"/>
      <c r="D921" s="981"/>
      <c r="E921" s="981"/>
      <c r="F921" s="981"/>
      <c r="G921" s="981"/>
      <c r="H921" s="981"/>
      <c r="I921" s="981"/>
      <c r="J921" s="981"/>
      <c r="K921" s="981"/>
      <c r="L921" s="981"/>
      <c r="M921" s="981"/>
      <c r="N921" s="981"/>
      <c r="O921" s="981"/>
      <c r="P921" s="981"/>
      <c r="Q921" s="981"/>
      <c r="R921" s="981"/>
      <c r="S921" s="981"/>
      <c r="T921" s="981"/>
      <c r="U921" s="981"/>
      <c r="V921" s="981"/>
      <c r="W921" s="981"/>
      <c r="X921" s="981"/>
      <c r="Y921" s="981"/>
      <c r="Z921" s="981"/>
      <c r="AA921" s="981"/>
      <c r="AB921" s="981"/>
    </row>
    <row r="922">
      <c r="A922" s="981"/>
      <c r="B922" s="991"/>
      <c r="C922" s="981"/>
      <c r="D922" s="981"/>
      <c r="E922" s="981"/>
      <c r="F922" s="981"/>
      <c r="G922" s="981"/>
      <c r="H922" s="981"/>
      <c r="I922" s="981"/>
      <c r="J922" s="981"/>
      <c r="K922" s="981"/>
      <c r="L922" s="981"/>
      <c r="M922" s="981"/>
      <c r="N922" s="981"/>
      <c r="O922" s="981"/>
      <c r="P922" s="981"/>
      <c r="Q922" s="981"/>
      <c r="R922" s="981"/>
      <c r="S922" s="981"/>
      <c r="T922" s="981"/>
      <c r="U922" s="981"/>
      <c r="V922" s="981"/>
      <c r="W922" s="981"/>
      <c r="X922" s="981"/>
      <c r="Y922" s="981"/>
      <c r="Z922" s="981"/>
      <c r="AA922" s="981"/>
      <c r="AB922" s="981"/>
    </row>
    <row r="923">
      <c r="A923" s="981"/>
      <c r="B923" s="991"/>
      <c r="C923" s="981"/>
      <c r="D923" s="981"/>
      <c r="E923" s="981"/>
      <c r="F923" s="981"/>
      <c r="G923" s="981"/>
      <c r="H923" s="981"/>
      <c r="I923" s="981"/>
      <c r="J923" s="981"/>
      <c r="K923" s="981"/>
      <c r="L923" s="981"/>
      <c r="M923" s="981"/>
      <c r="N923" s="981"/>
      <c r="O923" s="981"/>
      <c r="P923" s="981"/>
      <c r="Q923" s="981"/>
      <c r="R923" s="981"/>
      <c r="S923" s="981"/>
      <c r="T923" s="981"/>
      <c r="U923" s="981"/>
      <c r="V923" s="981"/>
      <c r="W923" s="981"/>
      <c r="X923" s="981"/>
      <c r="Y923" s="981"/>
      <c r="Z923" s="981"/>
      <c r="AA923" s="981"/>
      <c r="AB923" s="981"/>
    </row>
    <row r="924">
      <c r="A924" s="981"/>
      <c r="B924" s="991"/>
      <c r="C924" s="981"/>
      <c r="D924" s="981"/>
      <c r="E924" s="981"/>
      <c r="F924" s="981"/>
      <c r="G924" s="981"/>
      <c r="H924" s="981"/>
      <c r="I924" s="981"/>
      <c r="J924" s="981"/>
      <c r="K924" s="981"/>
      <c r="L924" s="981"/>
      <c r="M924" s="981"/>
      <c r="N924" s="981"/>
      <c r="O924" s="981"/>
      <c r="P924" s="981"/>
      <c r="Q924" s="981"/>
      <c r="R924" s="981"/>
      <c r="S924" s="981"/>
      <c r="T924" s="981"/>
      <c r="U924" s="981"/>
      <c r="V924" s="981"/>
      <c r="W924" s="981"/>
      <c r="X924" s="981"/>
      <c r="Y924" s="981"/>
      <c r="Z924" s="981"/>
      <c r="AA924" s="981"/>
      <c r="AB924" s="981"/>
    </row>
    <row r="925">
      <c r="A925" s="981"/>
      <c r="B925" s="991"/>
      <c r="C925" s="981"/>
      <c r="D925" s="981"/>
      <c r="E925" s="981"/>
      <c r="F925" s="981"/>
      <c r="G925" s="981"/>
      <c r="H925" s="981"/>
      <c r="I925" s="981"/>
      <c r="J925" s="981"/>
      <c r="K925" s="981"/>
      <c r="L925" s="981"/>
      <c r="M925" s="981"/>
      <c r="N925" s="981"/>
      <c r="O925" s="981"/>
      <c r="P925" s="981"/>
      <c r="Q925" s="981"/>
      <c r="R925" s="981"/>
      <c r="S925" s="981"/>
      <c r="T925" s="981"/>
      <c r="U925" s="981"/>
      <c r="V925" s="981"/>
      <c r="W925" s="981"/>
      <c r="X925" s="981"/>
      <c r="Y925" s="981"/>
      <c r="Z925" s="981"/>
      <c r="AA925" s="981"/>
      <c r="AB925" s="981"/>
    </row>
    <row r="926">
      <c r="A926" s="981"/>
      <c r="B926" s="991"/>
      <c r="C926" s="981"/>
      <c r="D926" s="981"/>
      <c r="E926" s="981"/>
      <c r="F926" s="981"/>
      <c r="G926" s="981"/>
      <c r="H926" s="981"/>
      <c r="I926" s="981"/>
      <c r="J926" s="981"/>
      <c r="K926" s="981"/>
      <c r="L926" s="981"/>
      <c r="M926" s="981"/>
      <c r="N926" s="981"/>
      <c r="O926" s="981"/>
      <c r="P926" s="981"/>
      <c r="Q926" s="981"/>
      <c r="R926" s="981"/>
      <c r="S926" s="981"/>
      <c r="T926" s="981"/>
      <c r="U926" s="981"/>
      <c r="V926" s="981"/>
      <c r="W926" s="981"/>
      <c r="X926" s="981"/>
      <c r="Y926" s="981"/>
      <c r="Z926" s="981"/>
      <c r="AA926" s="981"/>
      <c r="AB926" s="981"/>
    </row>
    <row r="927">
      <c r="A927" s="981"/>
      <c r="B927" s="991"/>
      <c r="C927" s="981"/>
      <c r="D927" s="981"/>
      <c r="E927" s="981"/>
      <c r="F927" s="981"/>
      <c r="G927" s="981"/>
      <c r="H927" s="981"/>
      <c r="I927" s="981"/>
      <c r="J927" s="981"/>
      <c r="K927" s="981"/>
      <c r="L927" s="981"/>
      <c r="M927" s="981"/>
      <c r="N927" s="981"/>
      <c r="O927" s="981"/>
      <c r="P927" s="981"/>
      <c r="Q927" s="981"/>
      <c r="R927" s="981"/>
      <c r="S927" s="981"/>
      <c r="T927" s="981"/>
      <c r="U927" s="981"/>
      <c r="V927" s="981"/>
      <c r="W927" s="981"/>
      <c r="X927" s="981"/>
      <c r="Y927" s="981"/>
      <c r="Z927" s="981"/>
      <c r="AA927" s="981"/>
      <c r="AB927" s="981"/>
    </row>
    <row r="928">
      <c r="A928" s="981"/>
      <c r="B928" s="991"/>
      <c r="C928" s="981"/>
      <c r="D928" s="981"/>
      <c r="E928" s="981"/>
      <c r="F928" s="981"/>
      <c r="G928" s="981"/>
      <c r="H928" s="981"/>
      <c r="I928" s="981"/>
      <c r="J928" s="981"/>
      <c r="K928" s="981"/>
      <c r="L928" s="981"/>
      <c r="M928" s="981"/>
      <c r="N928" s="981"/>
      <c r="O928" s="981"/>
      <c r="P928" s="981"/>
      <c r="Q928" s="981"/>
      <c r="R928" s="981"/>
      <c r="S928" s="981"/>
      <c r="T928" s="981"/>
      <c r="U928" s="981"/>
      <c r="V928" s="981"/>
      <c r="W928" s="981"/>
      <c r="X928" s="981"/>
      <c r="Y928" s="981"/>
      <c r="Z928" s="981"/>
      <c r="AA928" s="981"/>
      <c r="AB928" s="981"/>
    </row>
    <row r="929">
      <c r="A929" s="981"/>
      <c r="B929" s="991"/>
      <c r="C929" s="981"/>
      <c r="D929" s="981"/>
      <c r="E929" s="981"/>
      <c r="F929" s="981"/>
      <c r="G929" s="981"/>
      <c r="H929" s="981"/>
      <c r="I929" s="981"/>
      <c r="J929" s="981"/>
      <c r="K929" s="981"/>
      <c r="L929" s="981"/>
      <c r="M929" s="981"/>
      <c r="N929" s="981"/>
      <c r="O929" s="981"/>
      <c r="P929" s="981"/>
      <c r="Q929" s="981"/>
      <c r="R929" s="981"/>
      <c r="S929" s="981"/>
      <c r="T929" s="981"/>
      <c r="U929" s="981"/>
      <c r="V929" s="981"/>
      <c r="W929" s="981"/>
      <c r="X929" s="981"/>
      <c r="Y929" s="981"/>
      <c r="Z929" s="981"/>
      <c r="AA929" s="981"/>
      <c r="AB929" s="981"/>
    </row>
    <row r="930">
      <c r="A930" s="981"/>
      <c r="B930" s="991"/>
      <c r="C930" s="981"/>
      <c r="D930" s="981"/>
      <c r="E930" s="981"/>
      <c r="F930" s="981"/>
      <c r="G930" s="981"/>
      <c r="H930" s="981"/>
      <c r="I930" s="981"/>
      <c r="J930" s="981"/>
      <c r="K930" s="981"/>
      <c r="L930" s="981"/>
      <c r="M930" s="981"/>
      <c r="N930" s="981"/>
      <c r="O930" s="981"/>
      <c r="P930" s="981"/>
      <c r="Q930" s="981"/>
      <c r="R930" s="981"/>
      <c r="S930" s="981"/>
      <c r="T930" s="981"/>
      <c r="U930" s="981"/>
      <c r="V930" s="981"/>
      <c r="W930" s="981"/>
      <c r="X930" s="981"/>
      <c r="Y930" s="981"/>
      <c r="Z930" s="981"/>
      <c r="AA930" s="981"/>
      <c r="AB930" s="981"/>
    </row>
    <row r="931">
      <c r="A931" s="981"/>
      <c r="B931" s="991"/>
      <c r="C931" s="981"/>
      <c r="D931" s="981"/>
      <c r="E931" s="981"/>
      <c r="F931" s="981"/>
      <c r="G931" s="981"/>
      <c r="H931" s="981"/>
      <c r="I931" s="981"/>
      <c r="J931" s="981"/>
      <c r="K931" s="981"/>
      <c r="L931" s="981"/>
      <c r="M931" s="981"/>
      <c r="N931" s="981"/>
      <c r="O931" s="981"/>
      <c r="P931" s="981"/>
      <c r="Q931" s="981"/>
      <c r="R931" s="981"/>
      <c r="S931" s="981"/>
      <c r="T931" s="981"/>
      <c r="U931" s="981"/>
      <c r="V931" s="981"/>
      <c r="W931" s="981"/>
      <c r="X931" s="981"/>
      <c r="Y931" s="981"/>
      <c r="Z931" s="981"/>
      <c r="AA931" s="981"/>
      <c r="AB931" s="981"/>
    </row>
    <row r="932">
      <c r="A932" s="981"/>
      <c r="B932" s="991"/>
      <c r="C932" s="981"/>
      <c r="D932" s="981"/>
      <c r="E932" s="981"/>
      <c r="F932" s="981"/>
      <c r="G932" s="981"/>
      <c r="H932" s="981"/>
      <c r="I932" s="981"/>
      <c r="J932" s="981"/>
      <c r="K932" s="981"/>
      <c r="L932" s="981"/>
      <c r="M932" s="981"/>
      <c r="N932" s="981"/>
      <c r="O932" s="981"/>
      <c r="P932" s="981"/>
      <c r="Q932" s="981"/>
      <c r="R932" s="981"/>
      <c r="S932" s="981"/>
      <c r="T932" s="981"/>
      <c r="U932" s="981"/>
      <c r="V932" s="981"/>
      <c r="W932" s="981"/>
      <c r="X932" s="981"/>
      <c r="Y932" s="981"/>
      <c r="Z932" s="981"/>
      <c r="AA932" s="981"/>
      <c r="AB932" s="981"/>
    </row>
    <row r="933">
      <c r="A933" s="981"/>
      <c r="B933" s="991"/>
      <c r="C933" s="981"/>
      <c r="D933" s="981"/>
      <c r="E933" s="981"/>
      <c r="F933" s="981"/>
      <c r="G933" s="981"/>
      <c r="H933" s="981"/>
      <c r="I933" s="981"/>
      <c r="J933" s="981"/>
      <c r="K933" s="981"/>
      <c r="L933" s="981"/>
      <c r="M933" s="981"/>
      <c r="N933" s="981"/>
      <c r="O933" s="981"/>
      <c r="P933" s="981"/>
      <c r="Q933" s="981"/>
      <c r="R933" s="981"/>
      <c r="S933" s="981"/>
      <c r="T933" s="981"/>
      <c r="U933" s="981"/>
      <c r="V933" s="981"/>
      <c r="W933" s="981"/>
      <c r="X933" s="981"/>
      <c r="Y933" s="981"/>
      <c r="Z933" s="981"/>
      <c r="AA933" s="981"/>
      <c r="AB933" s="981"/>
    </row>
    <row r="934">
      <c r="A934" s="981"/>
      <c r="B934" s="991"/>
      <c r="C934" s="981"/>
      <c r="D934" s="981"/>
      <c r="E934" s="981"/>
      <c r="F934" s="981"/>
      <c r="G934" s="981"/>
      <c r="H934" s="981"/>
      <c r="I934" s="981"/>
      <c r="J934" s="981"/>
      <c r="K934" s="981"/>
      <c r="L934" s="981"/>
      <c r="M934" s="981"/>
      <c r="N934" s="981"/>
      <c r="O934" s="981"/>
      <c r="P934" s="981"/>
      <c r="Q934" s="981"/>
      <c r="R934" s="981"/>
      <c r="S934" s="981"/>
      <c r="T934" s="981"/>
      <c r="U934" s="981"/>
      <c r="V934" s="981"/>
      <c r="W934" s="981"/>
      <c r="X934" s="981"/>
      <c r="Y934" s="981"/>
      <c r="Z934" s="981"/>
      <c r="AA934" s="981"/>
      <c r="AB934" s="981"/>
    </row>
    <row r="935">
      <c r="A935" s="981"/>
      <c r="B935" s="991"/>
      <c r="C935" s="981"/>
      <c r="D935" s="981"/>
      <c r="E935" s="981"/>
      <c r="F935" s="981"/>
      <c r="G935" s="981"/>
      <c r="H935" s="981"/>
      <c r="I935" s="981"/>
      <c r="J935" s="981"/>
      <c r="K935" s="981"/>
      <c r="L935" s="981"/>
      <c r="M935" s="981"/>
      <c r="N935" s="981"/>
      <c r="O935" s="981"/>
      <c r="P935" s="981"/>
      <c r="Q935" s="981"/>
      <c r="R935" s="981"/>
      <c r="S935" s="981"/>
      <c r="T935" s="981"/>
      <c r="U935" s="981"/>
      <c r="V935" s="981"/>
      <c r="W935" s="981"/>
      <c r="X935" s="981"/>
      <c r="Y935" s="981"/>
      <c r="Z935" s="981"/>
      <c r="AA935" s="981"/>
      <c r="AB935" s="981"/>
    </row>
    <row r="936">
      <c r="A936" s="981"/>
      <c r="B936" s="991"/>
      <c r="C936" s="981"/>
      <c r="D936" s="981"/>
      <c r="E936" s="981"/>
      <c r="F936" s="981"/>
      <c r="G936" s="981"/>
      <c r="H936" s="981"/>
      <c r="I936" s="981"/>
      <c r="J936" s="981"/>
      <c r="K936" s="981"/>
      <c r="L936" s="981"/>
      <c r="M936" s="981"/>
      <c r="N936" s="981"/>
      <c r="O936" s="981"/>
      <c r="P936" s="981"/>
      <c r="Q936" s="981"/>
      <c r="R936" s="981"/>
      <c r="S936" s="981"/>
      <c r="T936" s="981"/>
      <c r="U936" s="981"/>
      <c r="V936" s="981"/>
      <c r="W936" s="981"/>
      <c r="X936" s="981"/>
      <c r="Y936" s="981"/>
      <c r="Z936" s="981"/>
      <c r="AA936" s="981"/>
      <c r="AB936" s="981"/>
    </row>
    <row r="937">
      <c r="A937" s="981"/>
      <c r="B937" s="991"/>
      <c r="C937" s="981"/>
      <c r="D937" s="981"/>
      <c r="E937" s="981"/>
      <c r="F937" s="981"/>
      <c r="G937" s="981"/>
      <c r="H937" s="981"/>
      <c r="I937" s="981"/>
      <c r="J937" s="981"/>
      <c r="K937" s="981"/>
      <c r="L937" s="981"/>
      <c r="M937" s="981"/>
      <c r="N937" s="981"/>
      <c r="O937" s="981"/>
      <c r="P937" s="981"/>
      <c r="Q937" s="981"/>
      <c r="R937" s="981"/>
      <c r="S937" s="981"/>
      <c r="T937" s="981"/>
      <c r="U937" s="981"/>
      <c r="V937" s="981"/>
      <c r="W937" s="981"/>
      <c r="X937" s="981"/>
      <c r="Y937" s="981"/>
      <c r="Z937" s="981"/>
      <c r="AA937" s="981"/>
      <c r="AB937" s="981"/>
    </row>
    <row r="938">
      <c r="A938" s="981"/>
      <c r="B938" s="991"/>
      <c r="C938" s="981"/>
      <c r="D938" s="981"/>
      <c r="E938" s="981"/>
      <c r="F938" s="981"/>
      <c r="G938" s="981"/>
      <c r="H938" s="981"/>
      <c r="I938" s="981"/>
      <c r="J938" s="981"/>
      <c r="K938" s="981"/>
      <c r="L938" s="981"/>
      <c r="M938" s="981"/>
      <c r="N938" s="981"/>
      <c r="O938" s="981"/>
      <c r="P938" s="981"/>
      <c r="Q938" s="981"/>
      <c r="R938" s="981"/>
      <c r="S938" s="981"/>
      <c r="T938" s="981"/>
      <c r="U938" s="981"/>
      <c r="V938" s="981"/>
      <c r="W938" s="981"/>
      <c r="X938" s="981"/>
      <c r="Y938" s="981"/>
      <c r="Z938" s="981"/>
      <c r="AA938" s="981"/>
      <c r="AB938" s="981"/>
    </row>
    <row r="939">
      <c r="A939" s="981"/>
      <c r="B939" s="991"/>
      <c r="C939" s="981"/>
      <c r="D939" s="981"/>
      <c r="E939" s="981"/>
      <c r="F939" s="981"/>
      <c r="G939" s="981"/>
      <c r="H939" s="981"/>
      <c r="I939" s="981"/>
      <c r="J939" s="981"/>
      <c r="K939" s="981"/>
      <c r="L939" s="981"/>
      <c r="M939" s="981"/>
      <c r="N939" s="981"/>
      <c r="O939" s="981"/>
      <c r="P939" s="981"/>
      <c r="Q939" s="981"/>
      <c r="R939" s="981"/>
      <c r="S939" s="981"/>
      <c r="T939" s="981"/>
      <c r="U939" s="981"/>
      <c r="V939" s="981"/>
      <c r="W939" s="981"/>
      <c r="X939" s="981"/>
      <c r="Y939" s="981"/>
      <c r="Z939" s="981"/>
      <c r="AA939" s="981"/>
      <c r="AB939" s="981"/>
    </row>
    <row r="940">
      <c r="A940" s="981"/>
      <c r="B940" s="991"/>
      <c r="C940" s="981"/>
      <c r="D940" s="981"/>
      <c r="E940" s="981"/>
      <c r="F940" s="981"/>
      <c r="G940" s="981"/>
      <c r="H940" s="981"/>
      <c r="I940" s="981"/>
      <c r="J940" s="981"/>
      <c r="K940" s="981"/>
      <c r="L940" s="981"/>
      <c r="M940" s="981"/>
      <c r="N940" s="981"/>
      <c r="O940" s="981"/>
      <c r="P940" s="981"/>
      <c r="Q940" s="981"/>
      <c r="R940" s="981"/>
      <c r="S940" s="981"/>
      <c r="T940" s="981"/>
      <c r="U940" s="981"/>
      <c r="V940" s="981"/>
      <c r="W940" s="981"/>
      <c r="X940" s="981"/>
      <c r="Y940" s="981"/>
      <c r="Z940" s="981"/>
      <c r="AA940" s="981"/>
      <c r="AB940" s="981"/>
    </row>
    <row r="941">
      <c r="A941" s="981"/>
      <c r="B941" s="991"/>
      <c r="C941" s="981"/>
      <c r="D941" s="981"/>
      <c r="E941" s="981"/>
      <c r="F941" s="981"/>
      <c r="G941" s="981"/>
      <c r="H941" s="981"/>
      <c r="I941" s="981"/>
      <c r="J941" s="981"/>
      <c r="K941" s="981"/>
      <c r="L941" s="981"/>
      <c r="M941" s="981"/>
      <c r="N941" s="981"/>
      <c r="O941" s="981"/>
      <c r="P941" s="981"/>
      <c r="Q941" s="981"/>
      <c r="R941" s="981"/>
      <c r="S941" s="981"/>
      <c r="T941" s="981"/>
      <c r="U941" s="981"/>
      <c r="V941" s="981"/>
      <c r="W941" s="981"/>
      <c r="X941" s="981"/>
      <c r="Y941" s="981"/>
      <c r="Z941" s="981"/>
      <c r="AA941" s="981"/>
      <c r="AB941" s="981"/>
    </row>
    <row r="942">
      <c r="A942" s="981"/>
      <c r="B942" s="991"/>
      <c r="C942" s="981"/>
      <c r="D942" s="981"/>
      <c r="E942" s="981"/>
      <c r="F942" s="981"/>
      <c r="G942" s="981"/>
      <c r="H942" s="981"/>
      <c r="I942" s="981"/>
      <c r="J942" s="981"/>
      <c r="K942" s="981"/>
      <c r="L942" s="981"/>
      <c r="M942" s="981"/>
      <c r="N942" s="981"/>
      <c r="O942" s="981"/>
      <c r="P942" s="981"/>
      <c r="Q942" s="981"/>
      <c r="R942" s="981"/>
      <c r="S942" s="981"/>
      <c r="T942" s="981"/>
      <c r="U942" s="981"/>
      <c r="V942" s="981"/>
      <c r="W942" s="981"/>
      <c r="X942" s="981"/>
      <c r="Y942" s="981"/>
      <c r="Z942" s="981"/>
      <c r="AA942" s="981"/>
      <c r="AB942" s="981"/>
    </row>
    <row r="943">
      <c r="A943" s="981"/>
      <c r="B943" s="991"/>
      <c r="C943" s="981"/>
      <c r="D943" s="981"/>
      <c r="E943" s="981"/>
      <c r="F943" s="981"/>
      <c r="G943" s="981"/>
      <c r="H943" s="981"/>
      <c r="I943" s="981"/>
      <c r="J943" s="981"/>
      <c r="K943" s="981"/>
      <c r="L943" s="981"/>
      <c r="M943" s="981"/>
      <c r="N943" s="981"/>
      <c r="O943" s="981"/>
      <c r="P943" s="981"/>
      <c r="Q943" s="981"/>
      <c r="R943" s="981"/>
      <c r="S943" s="981"/>
      <c r="T943" s="981"/>
      <c r="U943" s="981"/>
      <c r="V943" s="981"/>
      <c r="W943" s="981"/>
      <c r="X943" s="981"/>
      <c r="Y943" s="981"/>
      <c r="Z943" s="981"/>
      <c r="AA943" s="981"/>
      <c r="AB943" s="981"/>
    </row>
    <row r="944">
      <c r="A944" s="981"/>
      <c r="B944" s="991"/>
      <c r="C944" s="981"/>
      <c r="D944" s="981"/>
      <c r="E944" s="981"/>
      <c r="F944" s="981"/>
      <c r="G944" s="981"/>
      <c r="H944" s="981"/>
      <c r="I944" s="981"/>
      <c r="J944" s="981"/>
      <c r="K944" s="981"/>
      <c r="L944" s="981"/>
      <c r="M944" s="981"/>
      <c r="N944" s="981"/>
      <c r="O944" s="981"/>
      <c r="P944" s="981"/>
      <c r="Q944" s="981"/>
      <c r="R944" s="981"/>
      <c r="S944" s="981"/>
      <c r="T944" s="981"/>
      <c r="U944" s="981"/>
      <c r="V944" s="981"/>
      <c r="W944" s="981"/>
      <c r="X944" s="981"/>
      <c r="Y944" s="981"/>
      <c r="Z944" s="981"/>
      <c r="AA944" s="981"/>
      <c r="AB944" s="981"/>
    </row>
    <row r="945">
      <c r="A945" s="981"/>
      <c r="B945" s="991"/>
      <c r="C945" s="981"/>
      <c r="D945" s="981"/>
      <c r="E945" s="981"/>
      <c r="F945" s="981"/>
      <c r="G945" s="981"/>
      <c r="H945" s="981"/>
      <c r="I945" s="981"/>
      <c r="J945" s="981"/>
      <c r="K945" s="981"/>
      <c r="L945" s="981"/>
      <c r="M945" s="981"/>
      <c r="N945" s="981"/>
      <c r="O945" s="981"/>
      <c r="P945" s="981"/>
      <c r="Q945" s="981"/>
      <c r="R945" s="981"/>
      <c r="S945" s="981"/>
      <c r="T945" s="981"/>
      <c r="U945" s="981"/>
      <c r="V945" s="981"/>
      <c r="W945" s="981"/>
      <c r="X945" s="981"/>
      <c r="Y945" s="981"/>
      <c r="Z945" s="981"/>
      <c r="AA945" s="981"/>
      <c r="AB945" s="981"/>
    </row>
    <row r="946">
      <c r="A946" s="981"/>
      <c r="B946" s="991"/>
      <c r="C946" s="981"/>
      <c r="D946" s="981"/>
      <c r="E946" s="981"/>
      <c r="F946" s="981"/>
      <c r="G946" s="981"/>
      <c r="H946" s="981"/>
      <c r="I946" s="981"/>
      <c r="J946" s="981"/>
      <c r="K946" s="981"/>
      <c r="L946" s="981"/>
      <c r="M946" s="981"/>
      <c r="N946" s="981"/>
      <c r="O946" s="981"/>
      <c r="P946" s="981"/>
      <c r="Q946" s="981"/>
      <c r="R946" s="981"/>
      <c r="S946" s="981"/>
      <c r="T946" s="981"/>
      <c r="U946" s="981"/>
      <c r="V946" s="981"/>
      <c r="W946" s="981"/>
      <c r="X946" s="981"/>
      <c r="Y946" s="981"/>
      <c r="Z946" s="981"/>
      <c r="AA946" s="981"/>
      <c r="AB946" s="981"/>
    </row>
    <row r="947">
      <c r="A947" s="981"/>
      <c r="B947" s="991"/>
      <c r="C947" s="981"/>
      <c r="D947" s="981"/>
      <c r="E947" s="981"/>
      <c r="F947" s="981"/>
      <c r="G947" s="981"/>
      <c r="H947" s="981"/>
      <c r="I947" s="981"/>
      <c r="J947" s="981"/>
      <c r="K947" s="981"/>
      <c r="L947" s="981"/>
      <c r="M947" s="981"/>
      <c r="N947" s="981"/>
      <c r="O947" s="981"/>
      <c r="P947" s="981"/>
      <c r="Q947" s="981"/>
      <c r="R947" s="981"/>
      <c r="S947" s="981"/>
      <c r="T947" s="981"/>
      <c r="U947" s="981"/>
      <c r="V947" s="981"/>
      <c r="W947" s="981"/>
      <c r="X947" s="981"/>
      <c r="Y947" s="981"/>
      <c r="Z947" s="981"/>
      <c r="AA947" s="981"/>
      <c r="AB947" s="981"/>
    </row>
    <row r="948">
      <c r="A948" s="981"/>
      <c r="B948" s="991"/>
      <c r="C948" s="981"/>
      <c r="D948" s="981"/>
      <c r="E948" s="981"/>
      <c r="F948" s="981"/>
      <c r="G948" s="981"/>
      <c r="H948" s="981"/>
      <c r="I948" s="981"/>
      <c r="J948" s="981"/>
      <c r="K948" s="981"/>
      <c r="L948" s="981"/>
      <c r="M948" s="981"/>
      <c r="N948" s="981"/>
      <c r="O948" s="981"/>
      <c r="P948" s="981"/>
      <c r="Q948" s="981"/>
      <c r="R948" s="981"/>
      <c r="S948" s="981"/>
      <c r="T948" s="981"/>
      <c r="U948" s="981"/>
      <c r="V948" s="981"/>
      <c r="W948" s="981"/>
      <c r="X948" s="981"/>
      <c r="Y948" s="981"/>
      <c r="Z948" s="981"/>
      <c r="AA948" s="981"/>
      <c r="AB948" s="981"/>
    </row>
    <row r="949">
      <c r="A949" s="981"/>
      <c r="B949" s="991"/>
      <c r="C949" s="981"/>
      <c r="D949" s="981"/>
      <c r="E949" s="981"/>
      <c r="F949" s="981"/>
      <c r="G949" s="981"/>
      <c r="H949" s="981"/>
      <c r="I949" s="981"/>
      <c r="J949" s="981"/>
      <c r="K949" s="981"/>
      <c r="L949" s="981"/>
      <c r="M949" s="981"/>
      <c r="N949" s="981"/>
      <c r="O949" s="981"/>
      <c r="P949" s="981"/>
      <c r="Q949" s="981"/>
      <c r="R949" s="981"/>
      <c r="S949" s="981"/>
      <c r="T949" s="981"/>
      <c r="U949" s="981"/>
      <c r="V949" s="981"/>
      <c r="W949" s="981"/>
      <c r="X949" s="981"/>
      <c r="Y949" s="981"/>
      <c r="Z949" s="981"/>
      <c r="AA949" s="981"/>
      <c r="AB949" s="981"/>
    </row>
    <row r="950">
      <c r="A950" s="981"/>
      <c r="B950" s="991"/>
      <c r="C950" s="981"/>
      <c r="D950" s="981"/>
      <c r="E950" s="981"/>
      <c r="F950" s="981"/>
      <c r="G950" s="981"/>
      <c r="H950" s="981"/>
      <c r="I950" s="981"/>
      <c r="J950" s="981"/>
      <c r="K950" s="981"/>
      <c r="L950" s="981"/>
      <c r="M950" s="981"/>
      <c r="N950" s="981"/>
      <c r="O950" s="981"/>
      <c r="P950" s="981"/>
      <c r="Q950" s="981"/>
      <c r="R950" s="981"/>
      <c r="S950" s="981"/>
      <c r="T950" s="981"/>
      <c r="U950" s="981"/>
      <c r="V950" s="981"/>
      <c r="W950" s="981"/>
      <c r="X950" s="981"/>
      <c r="Y950" s="981"/>
      <c r="Z950" s="981"/>
      <c r="AA950" s="981"/>
      <c r="AB950" s="981"/>
    </row>
    <row r="951">
      <c r="A951" s="981"/>
      <c r="B951" s="991"/>
      <c r="C951" s="981"/>
      <c r="D951" s="981"/>
      <c r="E951" s="981"/>
      <c r="F951" s="981"/>
      <c r="G951" s="981"/>
      <c r="H951" s="981"/>
      <c r="I951" s="981"/>
      <c r="J951" s="981"/>
      <c r="K951" s="981"/>
      <c r="L951" s="981"/>
      <c r="M951" s="981"/>
      <c r="N951" s="981"/>
      <c r="O951" s="981"/>
      <c r="P951" s="981"/>
      <c r="Q951" s="981"/>
      <c r="R951" s="981"/>
      <c r="S951" s="981"/>
      <c r="T951" s="981"/>
      <c r="U951" s="981"/>
      <c r="V951" s="981"/>
      <c r="W951" s="981"/>
      <c r="X951" s="981"/>
      <c r="Y951" s="981"/>
      <c r="Z951" s="981"/>
      <c r="AA951" s="981"/>
      <c r="AB951" s="981"/>
    </row>
    <row r="952">
      <c r="A952" s="981"/>
      <c r="B952" s="991"/>
      <c r="C952" s="981"/>
      <c r="D952" s="981"/>
      <c r="E952" s="981"/>
      <c r="F952" s="981"/>
      <c r="G952" s="981"/>
      <c r="H952" s="981"/>
      <c r="I952" s="981"/>
      <c r="J952" s="981"/>
      <c r="K952" s="981"/>
      <c r="L952" s="981"/>
      <c r="M952" s="981"/>
      <c r="N952" s="981"/>
      <c r="O952" s="981"/>
      <c r="P952" s="981"/>
      <c r="Q952" s="981"/>
      <c r="R952" s="981"/>
      <c r="S952" s="981"/>
      <c r="T952" s="981"/>
      <c r="U952" s="981"/>
      <c r="V952" s="981"/>
      <c r="W952" s="981"/>
      <c r="X952" s="981"/>
      <c r="Y952" s="981"/>
      <c r="Z952" s="981"/>
      <c r="AA952" s="981"/>
      <c r="AB952" s="981"/>
    </row>
    <row r="953">
      <c r="A953" s="981"/>
      <c r="B953" s="991"/>
      <c r="C953" s="981"/>
      <c r="D953" s="981"/>
      <c r="E953" s="981"/>
      <c r="F953" s="981"/>
      <c r="G953" s="981"/>
      <c r="H953" s="981"/>
      <c r="I953" s="981"/>
      <c r="J953" s="981"/>
      <c r="K953" s="981"/>
      <c r="L953" s="981"/>
      <c r="M953" s="981"/>
      <c r="N953" s="981"/>
      <c r="O953" s="981"/>
      <c r="P953" s="981"/>
      <c r="Q953" s="981"/>
      <c r="R953" s="981"/>
      <c r="S953" s="981"/>
      <c r="T953" s="981"/>
      <c r="U953" s="981"/>
      <c r="V953" s="981"/>
      <c r="W953" s="981"/>
      <c r="X953" s="981"/>
      <c r="Y953" s="981"/>
      <c r="Z953" s="981"/>
      <c r="AA953" s="981"/>
      <c r="AB953" s="981"/>
    </row>
    <row r="954">
      <c r="A954" s="981"/>
      <c r="B954" s="991"/>
      <c r="C954" s="981"/>
      <c r="D954" s="981"/>
      <c r="E954" s="981"/>
      <c r="F954" s="981"/>
      <c r="G954" s="981"/>
      <c r="H954" s="981"/>
      <c r="I954" s="981"/>
      <c r="J954" s="981"/>
      <c r="K954" s="981"/>
      <c r="L954" s="981"/>
      <c r="M954" s="981"/>
      <c r="N954" s="981"/>
      <c r="O954" s="981"/>
      <c r="P954" s="981"/>
      <c r="Q954" s="981"/>
      <c r="R954" s="981"/>
      <c r="S954" s="981"/>
      <c r="T954" s="981"/>
      <c r="U954" s="981"/>
      <c r="V954" s="981"/>
      <c r="W954" s="981"/>
      <c r="X954" s="981"/>
      <c r="Y954" s="981"/>
      <c r="Z954" s="981"/>
      <c r="AA954" s="981"/>
      <c r="AB954" s="981"/>
    </row>
    <row r="955">
      <c r="A955" s="981"/>
      <c r="B955" s="991"/>
      <c r="C955" s="981"/>
      <c r="D955" s="981"/>
      <c r="E955" s="981"/>
      <c r="F955" s="981"/>
      <c r="G955" s="981"/>
      <c r="H955" s="981"/>
      <c r="I955" s="981"/>
      <c r="J955" s="981"/>
      <c r="K955" s="981"/>
      <c r="L955" s="981"/>
      <c r="M955" s="981"/>
      <c r="N955" s="981"/>
      <c r="O955" s="981"/>
      <c r="P955" s="981"/>
      <c r="Q955" s="981"/>
      <c r="R955" s="981"/>
      <c r="S955" s="981"/>
      <c r="T955" s="981"/>
      <c r="U955" s="981"/>
      <c r="V955" s="981"/>
      <c r="W955" s="981"/>
      <c r="X955" s="981"/>
      <c r="Y955" s="981"/>
      <c r="Z955" s="981"/>
      <c r="AA955" s="981"/>
      <c r="AB955" s="981"/>
    </row>
    <row r="956">
      <c r="A956" s="981"/>
      <c r="B956" s="991"/>
      <c r="C956" s="981"/>
      <c r="D956" s="981"/>
      <c r="E956" s="981"/>
      <c r="F956" s="981"/>
      <c r="G956" s="981"/>
      <c r="H956" s="981"/>
      <c r="I956" s="981"/>
      <c r="J956" s="981"/>
      <c r="K956" s="981"/>
      <c r="L956" s="981"/>
      <c r="M956" s="981"/>
      <c r="N956" s="981"/>
      <c r="O956" s="981"/>
      <c r="P956" s="981"/>
      <c r="Q956" s="981"/>
      <c r="R956" s="981"/>
      <c r="S956" s="981"/>
      <c r="T956" s="981"/>
      <c r="U956" s="981"/>
      <c r="V956" s="981"/>
      <c r="W956" s="981"/>
      <c r="X956" s="981"/>
      <c r="Y956" s="981"/>
      <c r="Z956" s="981"/>
      <c r="AA956" s="981"/>
      <c r="AB956" s="981"/>
    </row>
    <row r="957">
      <c r="A957" s="981"/>
      <c r="B957" s="991"/>
      <c r="C957" s="981"/>
      <c r="D957" s="981"/>
      <c r="E957" s="981"/>
      <c r="F957" s="981"/>
      <c r="G957" s="981"/>
      <c r="H957" s="981"/>
      <c r="I957" s="981"/>
      <c r="J957" s="981"/>
      <c r="K957" s="981"/>
      <c r="L957" s="981"/>
      <c r="M957" s="981"/>
      <c r="N957" s="981"/>
      <c r="O957" s="981"/>
      <c r="P957" s="981"/>
      <c r="Q957" s="981"/>
      <c r="R957" s="981"/>
      <c r="S957" s="981"/>
      <c r="T957" s="981"/>
      <c r="U957" s="981"/>
      <c r="V957" s="981"/>
      <c r="W957" s="981"/>
      <c r="X957" s="981"/>
      <c r="Y957" s="981"/>
      <c r="Z957" s="981"/>
      <c r="AA957" s="981"/>
      <c r="AB957" s="981"/>
    </row>
    <row r="958">
      <c r="A958" s="981"/>
      <c r="B958" s="991"/>
      <c r="C958" s="981"/>
      <c r="D958" s="981"/>
      <c r="E958" s="981"/>
      <c r="F958" s="981"/>
      <c r="G958" s="981"/>
      <c r="H958" s="981"/>
      <c r="I958" s="981"/>
      <c r="J958" s="981"/>
      <c r="K958" s="981"/>
      <c r="L958" s="981"/>
      <c r="M958" s="981"/>
      <c r="N958" s="981"/>
      <c r="O958" s="981"/>
      <c r="P958" s="981"/>
      <c r="Q958" s="981"/>
      <c r="R958" s="981"/>
      <c r="S958" s="981"/>
      <c r="T958" s="981"/>
      <c r="U958" s="981"/>
      <c r="V958" s="981"/>
      <c r="W958" s="981"/>
      <c r="X958" s="981"/>
      <c r="Y958" s="981"/>
      <c r="Z958" s="981"/>
      <c r="AA958" s="981"/>
      <c r="AB958" s="981"/>
    </row>
    <row r="959">
      <c r="A959" s="981"/>
      <c r="B959" s="991"/>
      <c r="C959" s="981"/>
      <c r="D959" s="981"/>
      <c r="E959" s="981"/>
      <c r="F959" s="981"/>
      <c r="G959" s="981"/>
      <c r="H959" s="981"/>
      <c r="I959" s="981"/>
      <c r="J959" s="981"/>
      <c r="K959" s="981"/>
      <c r="L959" s="981"/>
      <c r="M959" s="981"/>
      <c r="N959" s="981"/>
      <c r="O959" s="981"/>
      <c r="P959" s="981"/>
      <c r="Q959" s="981"/>
      <c r="R959" s="981"/>
      <c r="S959" s="981"/>
      <c r="T959" s="981"/>
      <c r="U959" s="981"/>
      <c r="V959" s="981"/>
      <c r="W959" s="981"/>
      <c r="X959" s="981"/>
      <c r="Y959" s="981"/>
      <c r="Z959" s="981"/>
      <c r="AA959" s="981"/>
      <c r="AB959" s="981"/>
    </row>
    <row r="960">
      <c r="A960" s="981"/>
      <c r="B960" s="991"/>
      <c r="C960" s="981"/>
      <c r="D960" s="981"/>
      <c r="E960" s="981"/>
      <c r="F960" s="981"/>
      <c r="G960" s="981"/>
      <c r="H960" s="981"/>
      <c r="I960" s="981"/>
      <c r="J960" s="981"/>
      <c r="K960" s="981"/>
      <c r="L960" s="981"/>
      <c r="M960" s="981"/>
      <c r="N960" s="981"/>
      <c r="O960" s="981"/>
      <c r="P960" s="981"/>
      <c r="Q960" s="981"/>
      <c r="R960" s="981"/>
      <c r="S960" s="981"/>
      <c r="T960" s="981"/>
      <c r="U960" s="981"/>
      <c r="V960" s="981"/>
      <c r="W960" s="981"/>
      <c r="X960" s="981"/>
      <c r="Y960" s="981"/>
      <c r="Z960" s="981"/>
      <c r="AA960" s="981"/>
      <c r="AB960" s="981"/>
    </row>
    <row r="961">
      <c r="A961" s="981"/>
      <c r="B961" s="991"/>
      <c r="C961" s="981"/>
      <c r="D961" s="981"/>
      <c r="E961" s="981"/>
      <c r="F961" s="981"/>
      <c r="G961" s="981"/>
      <c r="H961" s="981"/>
      <c r="I961" s="981"/>
      <c r="J961" s="981"/>
      <c r="K961" s="981"/>
      <c r="L961" s="981"/>
      <c r="M961" s="981"/>
      <c r="N961" s="981"/>
      <c r="O961" s="981"/>
      <c r="P961" s="981"/>
      <c r="Q961" s="981"/>
      <c r="R961" s="981"/>
      <c r="S961" s="981"/>
      <c r="T961" s="981"/>
      <c r="U961" s="981"/>
      <c r="V961" s="981"/>
      <c r="W961" s="981"/>
      <c r="X961" s="981"/>
      <c r="Y961" s="981"/>
      <c r="Z961" s="981"/>
      <c r="AA961" s="981"/>
      <c r="AB961" s="981"/>
    </row>
    <row r="962">
      <c r="A962" s="981"/>
      <c r="B962" s="991"/>
      <c r="C962" s="981"/>
      <c r="D962" s="981"/>
      <c r="E962" s="981"/>
      <c r="F962" s="981"/>
      <c r="G962" s="981"/>
      <c r="H962" s="981"/>
      <c r="I962" s="981"/>
      <c r="J962" s="981"/>
      <c r="K962" s="981"/>
      <c r="L962" s="981"/>
      <c r="M962" s="981"/>
      <c r="N962" s="981"/>
      <c r="O962" s="981"/>
      <c r="P962" s="981"/>
      <c r="Q962" s="981"/>
      <c r="R962" s="981"/>
      <c r="S962" s="981"/>
      <c r="T962" s="981"/>
      <c r="U962" s="981"/>
      <c r="V962" s="981"/>
      <c r="W962" s="981"/>
      <c r="X962" s="981"/>
      <c r="Y962" s="981"/>
      <c r="Z962" s="981"/>
      <c r="AA962" s="981"/>
      <c r="AB962" s="981"/>
    </row>
    <row r="963">
      <c r="A963" s="981"/>
      <c r="B963" s="991"/>
      <c r="C963" s="981"/>
      <c r="D963" s="981"/>
      <c r="E963" s="981"/>
      <c r="F963" s="981"/>
      <c r="G963" s="981"/>
      <c r="H963" s="981"/>
      <c r="I963" s="981"/>
      <c r="J963" s="981"/>
      <c r="K963" s="981"/>
      <c r="L963" s="981"/>
      <c r="M963" s="981"/>
      <c r="N963" s="981"/>
      <c r="O963" s="981"/>
      <c r="P963" s="981"/>
      <c r="Q963" s="981"/>
      <c r="R963" s="981"/>
      <c r="S963" s="981"/>
      <c r="T963" s="981"/>
      <c r="U963" s="981"/>
      <c r="V963" s="981"/>
      <c r="W963" s="981"/>
      <c r="X963" s="981"/>
      <c r="Y963" s="981"/>
      <c r="Z963" s="981"/>
      <c r="AA963" s="981"/>
      <c r="AB963" s="981"/>
    </row>
    <row r="964">
      <c r="A964" s="981"/>
      <c r="B964" s="991"/>
      <c r="C964" s="981"/>
      <c r="D964" s="981"/>
      <c r="E964" s="981"/>
      <c r="F964" s="981"/>
      <c r="G964" s="981"/>
      <c r="H964" s="981"/>
      <c r="I964" s="981"/>
      <c r="J964" s="981"/>
      <c r="K964" s="981"/>
      <c r="L964" s="981"/>
      <c r="M964" s="981"/>
      <c r="N964" s="981"/>
      <c r="O964" s="981"/>
      <c r="P964" s="981"/>
      <c r="Q964" s="981"/>
      <c r="R964" s="981"/>
      <c r="S964" s="981"/>
      <c r="T964" s="981"/>
      <c r="U964" s="981"/>
      <c r="V964" s="981"/>
      <c r="W964" s="981"/>
      <c r="X964" s="981"/>
      <c r="Y964" s="981"/>
      <c r="Z964" s="981"/>
      <c r="AA964" s="981"/>
      <c r="AB964" s="981"/>
    </row>
    <row r="965">
      <c r="A965" s="981"/>
      <c r="B965" s="991"/>
      <c r="C965" s="981"/>
      <c r="D965" s="981"/>
      <c r="E965" s="981"/>
      <c r="F965" s="981"/>
      <c r="G965" s="981"/>
      <c r="H965" s="981"/>
      <c r="I965" s="981"/>
      <c r="J965" s="981"/>
      <c r="K965" s="981"/>
      <c r="L965" s="981"/>
      <c r="M965" s="981"/>
      <c r="N965" s="981"/>
      <c r="O965" s="981"/>
      <c r="P965" s="981"/>
      <c r="Q965" s="981"/>
      <c r="R965" s="981"/>
      <c r="S965" s="981"/>
      <c r="T965" s="981"/>
      <c r="U965" s="981"/>
      <c r="V965" s="981"/>
      <c r="W965" s="981"/>
      <c r="X965" s="981"/>
      <c r="Y965" s="981"/>
      <c r="Z965" s="981"/>
      <c r="AA965" s="981"/>
      <c r="AB965" s="981"/>
    </row>
    <row r="966">
      <c r="A966" s="981"/>
      <c r="B966" s="991"/>
      <c r="C966" s="981"/>
      <c r="D966" s="981"/>
      <c r="E966" s="981"/>
      <c r="F966" s="981"/>
      <c r="G966" s="981"/>
      <c r="H966" s="981"/>
      <c r="I966" s="981"/>
      <c r="J966" s="981"/>
      <c r="K966" s="981"/>
      <c r="L966" s="981"/>
      <c r="M966" s="981"/>
      <c r="N966" s="981"/>
      <c r="O966" s="981"/>
      <c r="P966" s="981"/>
      <c r="Q966" s="981"/>
      <c r="R966" s="981"/>
      <c r="S966" s="981"/>
      <c r="T966" s="981"/>
      <c r="U966" s="981"/>
      <c r="V966" s="981"/>
      <c r="W966" s="981"/>
      <c r="X966" s="981"/>
      <c r="Y966" s="981"/>
      <c r="Z966" s="981"/>
      <c r="AA966" s="981"/>
      <c r="AB966" s="981"/>
    </row>
    <row r="967">
      <c r="A967" s="981"/>
      <c r="B967" s="991"/>
      <c r="C967" s="981"/>
      <c r="D967" s="981"/>
      <c r="E967" s="981"/>
      <c r="F967" s="981"/>
      <c r="G967" s="981"/>
      <c r="H967" s="981"/>
      <c r="I967" s="981"/>
      <c r="J967" s="981"/>
      <c r="K967" s="981"/>
      <c r="L967" s="981"/>
      <c r="M967" s="981"/>
      <c r="N967" s="981"/>
      <c r="O967" s="981"/>
      <c r="P967" s="981"/>
      <c r="Q967" s="981"/>
      <c r="R967" s="981"/>
      <c r="S967" s="981"/>
      <c r="T967" s="981"/>
      <c r="U967" s="981"/>
      <c r="V967" s="981"/>
      <c r="W967" s="981"/>
      <c r="X967" s="981"/>
      <c r="Y967" s="981"/>
      <c r="Z967" s="981"/>
      <c r="AA967" s="981"/>
      <c r="AB967" s="981"/>
    </row>
    <row r="968">
      <c r="A968" s="981"/>
      <c r="B968" s="991"/>
      <c r="C968" s="981"/>
      <c r="D968" s="981"/>
      <c r="E968" s="981"/>
      <c r="F968" s="981"/>
      <c r="G968" s="981"/>
      <c r="H968" s="981"/>
      <c r="I968" s="981"/>
      <c r="J968" s="981"/>
      <c r="K968" s="981"/>
      <c r="L968" s="981"/>
      <c r="M968" s="981"/>
      <c r="N968" s="981"/>
      <c r="O968" s="981"/>
      <c r="P968" s="981"/>
      <c r="Q968" s="981"/>
      <c r="R968" s="981"/>
      <c r="S968" s="981"/>
      <c r="T968" s="981"/>
      <c r="U968" s="981"/>
      <c r="V968" s="981"/>
      <c r="W968" s="981"/>
      <c r="X968" s="981"/>
      <c r="Y968" s="981"/>
      <c r="Z968" s="981"/>
      <c r="AA968" s="981"/>
      <c r="AB968" s="981"/>
    </row>
    <row r="969">
      <c r="A969" s="981"/>
      <c r="B969" s="991"/>
      <c r="C969" s="981"/>
      <c r="D969" s="981"/>
      <c r="E969" s="981"/>
      <c r="F969" s="981"/>
      <c r="G969" s="981"/>
      <c r="H969" s="981"/>
      <c r="I969" s="981"/>
      <c r="J969" s="981"/>
      <c r="K969" s="981"/>
      <c r="L969" s="981"/>
      <c r="M969" s="981"/>
      <c r="N969" s="981"/>
      <c r="O969" s="981"/>
      <c r="P969" s="981"/>
      <c r="Q969" s="981"/>
      <c r="R969" s="981"/>
      <c r="S969" s="981"/>
      <c r="T969" s="981"/>
      <c r="U969" s="981"/>
      <c r="V969" s="981"/>
      <c r="W969" s="981"/>
      <c r="X969" s="981"/>
      <c r="Y969" s="981"/>
      <c r="Z969" s="981"/>
      <c r="AA969" s="981"/>
      <c r="AB969" s="981"/>
    </row>
    <row r="970">
      <c r="A970" s="981"/>
      <c r="B970" s="991"/>
      <c r="C970" s="981"/>
      <c r="D970" s="981"/>
      <c r="E970" s="981"/>
      <c r="F970" s="981"/>
      <c r="G970" s="981"/>
      <c r="H970" s="981"/>
      <c r="I970" s="981"/>
      <c r="J970" s="981"/>
      <c r="K970" s="981"/>
      <c r="L970" s="981"/>
      <c r="M970" s="981"/>
      <c r="N970" s="981"/>
      <c r="O970" s="981"/>
      <c r="P970" s="981"/>
      <c r="Q970" s="981"/>
      <c r="R970" s="981"/>
      <c r="S970" s="981"/>
      <c r="T970" s="981"/>
      <c r="U970" s="981"/>
      <c r="V970" s="981"/>
      <c r="W970" s="981"/>
      <c r="X970" s="981"/>
      <c r="Y970" s="981"/>
      <c r="Z970" s="981"/>
      <c r="AA970" s="981"/>
      <c r="AB970" s="981"/>
    </row>
    <row r="971">
      <c r="A971" s="981"/>
      <c r="B971" s="991"/>
      <c r="C971" s="981"/>
      <c r="D971" s="981"/>
      <c r="E971" s="981"/>
      <c r="F971" s="981"/>
      <c r="G971" s="981"/>
      <c r="H971" s="981"/>
      <c r="I971" s="981"/>
      <c r="J971" s="981"/>
      <c r="K971" s="981"/>
      <c r="L971" s="981"/>
      <c r="M971" s="981"/>
      <c r="N971" s="981"/>
      <c r="O971" s="981"/>
      <c r="P971" s="981"/>
      <c r="Q971" s="981"/>
      <c r="R971" s="981"/>
      <c r="S971" s="981"/>
      <c r="T971" s="981"/>
      <c r="U971" s="981"/>
      <c r="V971" s="981"/>
      <c r="W971" s="981"/>
      <c r="X971" s="981"/>
      <c r="Y971" s="981"/>
      <c r="Z971" s="981"/>
      <c r="AA971" s="981"/>
      <c r="AB971" s="981"/>
    </row>
    <row r="972">
      <c r="A972" s="981"/>
      <c r="B972" s="991"/>
      <c r="C972" s="981"/>
      <c r="D972" s="981"/>
      <c r="E972" s="981"/>
      <c r="F972" s="981"/>
      <c r="G972" s="981"/>
      <c r="H972" s="981"/>
      <c r="I972" s="981"/>
      <c r="J972" s="981"/>
      <c r="K972" s="981"/>
      <c r="L972" s="981"/>
      <c r="M972" s="981"/>
      <c r="N972" s="981"/>
      <c r="O972" s="981"/>
      <c r="P972" s="981"/>
      <c r="Q972" s="981"/>
      <c r="R972" s="981"/>
      <c r="S972" s="981"/>
      <c r="T972" s="981"/>
      <c r="U972" s="981"/>
      <c r="V972" s="981"/>
      <c r="W972" s="981"/>
      <c r="X972" s="981"/>
      <c r="Y972" s="981"/>
      <c r="Z972" s="981"/>
      <c r="AA972" s="981"/>
      <c r="AB972" s="981"/>
    </row>
    <row r="973">
      <c r="A973" s="981"/>
      <c r="B973" s="991"/>
      <c r="C973" s="981"/>
      <c r="D973" s="981"/>
      <c r="E973" s="981"/>
      <c r="F973" s="981"/>
      <c r="G973" s="981"/>
      <c r="H973" s="981"/>
      <c r="I973" s="981"/>
      <c r="J973" s="981"/>
      <c r="K973" s="981"/>
      <c r="L973" s="981"/>
      <c r="M973" s="981"/>
      <c r="N973" s="981"/>
      <c r="O973" s="981"/>
      <c r="P973" s="981"/>
      <c r="Q973" s="981"/>
      <c r="R973" s="981"/>
      <c r="S973" s="981"/>
      <c r="T973" s="981"/>
      <c r="U973" s="981"/>
      <c r="V973" s="981"/>
      <c r="W973" s="981"/>
      <c r="X973" s="981"/>
      <c r="Y973" s="981"/>
      <c r="Z973" s="981"/>
      <c r="AA973" s="981"/>
      <c r="AB973" s="981"/>
    </row>
    <row r="974">
      <c r="A974" s="981"/>
      <c r="B974" s="991"/>
      <c r="C974" s="981"/>
      <c r="D974" s="981"/>
      <c r="E974" s="981"/>
      <c r="F974" s="981"/>
      <c r="G974" s="981"/>
      <c r="H974" s="981"/>
      <c r="I974" s="981"/>
      <c r="J974" s="981"/>
      <c r="K974" s="981"/>
      <c r="L974" s="981"/>
      <c r="M974" s="981"/>
      <c r="N974" s="981"/>
      <c r="O974" s="981"/>
      <c r="P974" s="981"/>
      <c r="Q974" s="981"/>
      <c r="R974" s="981"/>
      <c r="S974" s="981"/>
      <c r="T974" s="981"/>
      <c r="U974" s="981"/>
      <c r="V974" s="981"/>
      <c r="W974" s="981"/>
      <c r="X974" s="981"/>
      <c r="Y974" s="981"/>
      <c r="Z974" s="981"/>
      <c r="AA974" s="981"/>
      <c r="AB974" s="981"/>
    </row>
    <row r="975">
      <c r="A975" s="981"/>
      <c r="B975" s="991"/>
      <c r="C975" s="981"/>
      <c r="D975" s="981"/>
      <c r="E975" s="981"/>
      <c r="F975" s="981"/>
      <c r="G975" s="981"/>
      <c r="H975" s="981"/>
      <c r="I975" s="981"/>
      <c r="J975" s="981"/>
      <c r="K975" s="981"/>
      <c r="L975" s="981"/>
      <c r="M975" s="981"/>
      <c r="N975" s="981"/>
      <c r="O975" s="981"/>
      <c r="P975" s="981"/>
      <c r="Q975" s="981"/>
      <c r="R975" s="981"/>
      <c r="S975" s="981"/>
      <c r="T975" s="981"/>
      <c r="U975" s="981"/>
      <c r="V975" s="981"/>
      <c r="W975" s="981"/>
      <c r="X975" s="981"/>
      <c r="Y975" s="981"/>
      <c r="Z975" s="981"/>
      <c r="AA975" s="981"/>
      <c r="AB975" s="981"/>
    </row>
    <row r="976">
      <c r="A976" s="981"/>
      <c r="B976" s="991"/>
      <c r="C976" s="981"/>
      <c r="D976" s="981"/>
      <c r="E976" s="981"/>
      <c r="F976" s="981"/>
      <c r="G976" s="981"/>
      <c r="H976" s="981"/>
      <c r="I976" s="981"/>
      <c r="J976" s="981"/>
      <c r="K976" s="981"/>
      <c r="L976" s="981"/>
      <c r="M976" s="981"/>
      <c r="N976" s="981"/>
      <c r="O976" s="981"/>
      <c r="P976" s="981"/>
      <c r="Q976" s="981"/>
      <c r="R976" s="981"/>
      <c r="S976" s="981"/>
      <c r="T976" s="981"/>
      <c r="U976" s="981"/>
      <c r="V976" s="981"/>
      <c r="W976" s="981"/>
      <c r="X976" s="981"/>
      <c r="Y976" s="981"/>
      <c r="Z976" s="981"/>
      <c r="AA976" s="981"/>
      <c r="AB976" s="981"/>
    </row>
    <row r="977">
      <c r="A977" s="981"/>
      <c r="B977" s="991"/>
      <c r="C977" s="981"/>
      <c r="D977" s="981"/>
      <c r="E977" s="981"/>
      <c r="F977" s="981"/>
      <c r="G977" s="981"/>
      <c r="H977" s="981"/>
      <c r="I977" s="981"/>
      <c r="J977" s="981"/>
      <c r="K977" s="981"/>
      <c r="L977" s="981"/>
      <c r="M977" s="981"/>
      <c r="N977" s="981"/>
      <c r="O977" s="981"/>
      <c r="P977" s="981"/>
      <c r="Q977" s="981"/>
      <c r="R977" s="981"/>
      <c r="S977" s="981"/>
      <c r="T977" s="981"/>
      <c r="U977" s="981"/>
      <c r="V977" s="981"/>
      <c r="W977" s="981"/>
      <c r="X977" s="981"/>
      <c r="Y977" s="981"/>
      <c r="Z977" s="981"/>
      <c r="AA977" s="981"/>
      <c r="AB977" s="981"/>
    </row>
    <row r="978">
      <c r="A978" s="981"/>
      <c r="B978" s="991"/>
      <c r="C978" s="981"/>
      <c r="D978" s="981"/>
      <c r="E978" s="981"/>
      <c r="F978" s="981"/>
      <c r="G978" s="981"/>
      <c r="H978" s="981"/>
      <c r="I978" s="981"/>
      <c r="J978" s="981"/>
      <c r="K978" s="981"/>
      <c r="L978" s="981"/>
      <c r="M978" s="981"/>
      <c r="N978" s="981"/>
      <c r="O978" s="981"/>
      <c r="P978" s="981"/>
      <c r="Q978" s="981"/>
      <c r="R978" s="981"/>
      <c r="S978" s="981"/>
      <c r="T978" s="981"/>
      <c r="U978" s="981"/>
      <c r="V978" s="981"/>
      <c r="W978" s="981"/>
      <c r="X978" s="981"/>
      <c r="Y978" s="981"/>
      <c r="Z978" s="981"/>
      <c r="AA978" s="981"/>
      <c r="AB978" s="981"/>
    </row>
    <row r="979">
      <c r="A979" s="981"/>
      <c r="B979" s="991"/>
      <c r="C979" s="981"/>
      <c r="D979" s="981"/>
      <c r="E979" s="981"/>
      <c r="F979" s="981"/>
      <c r="G979" s="981"/>
      <c r="H979" s="981"/>
      <c r="I979" s="981"/>
      <c r="J979" s="981"/>
      <c r="K979" s="981"/>
      <c r="L979" s="981"/>
      <c r="M979" s="981"/>
      <c r="N979" s="981"/>
      <c r="O979" s="981"/>
      <c r="P979" s="981"/>
      <c r="Q979" s="981"/>
      <c r="R979" s="981"/>
      <c r="S979" s="981"/>
      <c r="T979" s="981"/>
      <c r="U979" s="981"/>
      <c r="V979" s="981"/>
      <c r="W979" s="981"/>
      <c r="X979" s="981"/>
      <c r="Y979" s="981"/>
      <c r="Z979" s="981"/>
      <c r="AA979" s="981"/>
      <c r="AB979" s="981"/>
    </row>
    <row r="980">
      <c r="A980" s="981"/>
      <c r="B980" s="991"/>
      <c r="C980" s="981"/>
      <c r="D980" s="981"/>
      <c r="E980" s="981"/>
      <c r="F980" s="981"/>
      <c r="G980" s="981"/>
      <c r="H980" s="981"/>
      <c r="I980" s="981"/>
      <c r="J980" s="981"/>
      <c r="K980" s="981"/>
      <c r="L980" s="981"/>
      <c r="M980" s="981"/>
      <c r="N980" s="981"/>
      <c r="O980" s="981"/>
      <c r="P980" s="981"/>
      <c r="Q980" s="981"/>
      <c r="R980" s="981"/>
      <c r="S980" s="981"/>
      <c r="T980" s="981"/>
      <c r="U980" s="981"/>
      <c r="V980" s="981"/>
      <c r="W980" s="981"/>
      <c r="X980" s="981"/>
      <c r="Y980" s="981"/>
      <c r="Z980" s="981"/>
      <c r="AA980" s="981"/>
      <c r="AB980" s="981"/>
    </row>
    <row r="981">
      <c r="A981" s="981"/>
      <c r="B981" s="991"/>
      <c r="C981" s="981"/>
      <c r="D981" s="981"/>
      <c r="E981" s="981"/>
      <c r="F981" s="981"/>
      <c r="G981" s="981"/>
      <c r="H981" s="981"/>
      <c r="I981" s="981"/>
      <c r="J981" s="981"/>
      <c r="K981" s="981"/>
      <c r="L981" s="981"/>
      <c r="M981" s="981"/>
      <c r="N981" s="981"/>
      <c r="O981" s="981"/>
      <c r="P981" s="981"/>
      <c r="Q981" s="981"/>
      <c r="R981" s="981"/>
      <c r="S981" s="981"/>
      <c r="T981" s="981"/>
      <c r="U981" s="981"/>
      <c r="V981" s="981"/>
      <c r="W981" s="981"/>
      <c r="X981" s="981"/>
      <c r="Y981" s="981"/>
      <c r="Z981" s="981"/>
      <c r="AA981" s="981"/>
      <c r="AB981" s="981"/>
    </row>
    <row r="982">
      <c r="A982" s="981"/>
      <c r="B982" s="991"/>
      <c r="C982" s="981"/>
      <c r="D982" s="981"/>
      <c r="E982" s="981"/>
      <c r="F982" s="981"/>
      <c r="G982" s="981"/>
      <c r="H982" s="981"/>
      <c r="I982" s="981"/>
      <c r="J982" s="981"/>
      <c r="K982" s="981"/>
      <c r="L982" s="981"/>
      <c r="M982" s="981"/>
      <c r="N982" s="981"/>
      <c r="O982" s="981"/>
      <c r="P982" s="981"/>
      <c r="Q982" s="981"/>
      <c r="R982" s="981"/>
      <c r="S982" s="981"/>
      <c r="T982" s="981"/>
      <c r="U982" s="981"/>
      <c r="V982" s="981"/>
      <c r="W982" s="981"/>
      <c r="X982" s="981"/>
      <c r="Y982" s="981"/>
      <c r="Z982" s="981"/>
      <c r="AA982" s="981"/>
      <c r="AB982" s="981"/>
    </row>
    <row r="983">
      <c r="A983" s="981"/>
      <c r="B983" s="991"/>
      <c r="C983" s="981"/>
      <c r="D983" s="981"/>
      <c r="E983" s="981"/>
      <c r="F983" s="981"/>
      <c r="G983" s="981"/>
      <c r="H983" s="981"/>
      <c r="I983" s="981"/>
      <c r="J983" s="981"/>
      <c r="K983" s="981"/>
      <c r="L983" s="981"/>
      <c r="M983" s="981"/>
      <c r="N983" s="981"/>
      <c r="O983" s="981"/>
      <c r="P983" s="981"/>
      <c r="Q983" s="981"/>
      <c r="R983" s="981"/>
      <c r="S983" s="981"/>
      <c r="T983" s="981"/>
      <c r="U983" s="981"/>
      <c r="V983" s="981"/>
      <c r="W983" s="981"/>
      <c r="X983" s="981"/>
      <c r="Y983" s="981"/>
      <c r="Z983" s="981"/>
      <c r="AA983" s="981"/>
      <c r="AB983" s="981"/>
    </row>
    <row r="984">
      <c r="A984" s="981"/>
      <c r="B984" s="991"/>
      <c r="C984" s="981"/>
      <c r="D984" s="981"/>
      <c r="E984" s="981"/>
      <c r="F984" s="981"/>
      <c r="G984" s="981"/>
      <c r="H984" s="981"/>
      <c r="I984" s="981"/>
      <c r="J984" s="981"/>
      <c r="K984" s="981"/>
      <c r="L984" s="981"/>
      <c r="M984" s="981"/>
      <c r="N984" s="981"/>
      <c r="O984" s="981"/>
      <c r="P984" s="981"/>
      <c r="Q984" s="981"/>
      <c r="R984" s="981"/>
      <c r="S984" s="981"/>
      <c r="T984" s="981"/>
      <c r="U984" s="981"/>
      <c r="V984" s="981"/>
      <c r="W984" s="981"/>
      <c r="X984" s="981"/>
      <c r="Y984" s="981"/>
      <c r="Z984" s="981"/>
      <c r="AA984" s="981"/>
      <c r="AB984" s="981"/>
    </row>
    <row r="985">
      <c r="A985" s="981"/>
      <c r="B985" s="991"/>
      <c r="C985" s="981"/>
      <c r="D985" s="981"/>
      <c r="E985" s="981"/>
      <c r="F985" s="981"/>
      <c r="G985" s="981"/>
      <c r="H985" s="981"/>
      <c r="I985" s="981"/>
      <c r="J985" s="981"/>
      <c r="K985" s="981"/>
      <c r="L985" s="981"/>
      <c r="M985" s="981"/>
      <c r="N985" s="981"/>
      <c r="O985" s="981"/>
      <c r="P985" s="981"/>
      <c r="Q985" s="981"/>
      <c r="R985" s="981"/>
      <c r="S985" s="981"/>
      <c r="T985" s="981"/>
      <c r="U985" s="981"/>
      <c r="V985" s="981"/>
      <c r="W985" s="981"/>
      <c r="X985" s="981"/>
      <c r="Y985" s="981"/>
      <c r="Z985" s="981"/>
      <c r="AA985" s="981"/>
      <c r="AB985" s="981"/>
    </row>
    <row r="986">
      <c r="A986" s="981"/>
      <c r="B986" s="991"/>
      <c r="C986" s="981"/>
      <c r="D986" s="981"/>
      <c r="E986" s="981"/>
      <c r="F986" s="981"/>
      <c r="G986" s="981"/>
      <c r="H986" s="981"/>
      <c r="I986" s="981"/>
      <c r="J986" s="981"/>
      <c r="K986" s="981"/>
      <c r="L986" s="981"/>
      <c r="M986" s="981"/>
      <c r="N986" s="981"/>
      <c r="O986" s="981"/>
      <c r="P986" s="981"/>
      <c r="Q986" s="981"/>
      <c r="R986" s="981"/>
      <c r="S986" s="981"/>
      <c r="T986" s="981"/>
      <c r="U986" s="981"/>
      <c r="V986" s="981"/>
      <c r="W986" s="981"/>
      <c r="X986" s="981"/>
      <c r="Y986" s="981"/>
      <c r="Z986" s="981"/>
      <c r="AA986" s="981"/>
      <c r="AB986" s="981"/>
    </row>
    <row r="987">
      <c r="A987" s="981"/>
      <c r="B987" s="991"/>
      <c r="C987" s="981"/>
      <c r="D987" s="981"/>
      <c r="E987" s="981"/>
      <c r="F987" s="981"/>
      <c r="G987" s="981"/>
      <c r="H987" s="981"/>
      <c r="I987" s="981"/>
      <c r="J987" s="981"/>
      <c r="K987" s="981"/>
      <c r="L987" s="981"/>
      <c r="M987" s="981"/>
      <c r="N987" s="981"/>
      <c r="O987" s="981"/>
      <c r="P987" s="981"/>
      <c r="Q987" s="981"/>
      <c r="R987" s="981"/>
      <c r="S987" s="981"/>
      <c r="T987" s="981"/>
      <c r="U987" s="981"/>
      <c r="V987" s="981"/>
      <c r="W987" s="981"/>
      <c r="X987" s="981"/>
      <c r="Y987" s="981"/>
      <c r="Z987" s="981"/>
      <c r="AA987" s="981"/>
      <c r="AB987" s="981"/>
    </row>
    <row r="988">
      <c r="A988" s="981"/>
      <c r="B988" s="991"/>
      <c r="C988" s="981"/>
      <c r="D988" s="981"/>
      <c r="E988" s="981"/>
      <c r="F988" s="981"/>
      <c r="G988" s="981"/>
      <c r="H988" s="981"/>
      <c r="I988" s="981"/>
      <c r="J988" s="981"/>
      <c r="K988" s="981"/>
      <c r="L988" s="981"/>
      <c r="M988" s="981"/>
      <c r="N988" s="981"/>
      <c r="O988" s="981"/>
      <c r="P988" s="981"/>
      <c r="Q988" s="981"/>
      <c r="R988" s="981"/>
      <c r="S988" s="981"/>
      <c r="T988" s="981"/>
      <c r="U988" s="981"/>
      <c r="V988" s="981"/>
      <c r="W988" s="981"/>
      <c r="X988" s="981"/>
      <c r="Y988" s="981"/>
      <c r="Z988" s="981"/>
      <c r="AA988" s="981"/>
      <c r="AB988" s="981"/>
    </row>
    <row r="989">
      <c r="A989" s="981"/>
      <c r="B989" s="991"/>
      <c r="C989" s="981"/>
      <c r="D989" s="981"/>
      <c r="E989" s="981"/>
      <c r="F989" s="981"/>
      <c r="G989" s="981"/>
      <c r="H989" s="981"/>
      <c r="I989" s="981"/>
      <c r="J989" s="981"/>
      <c r="K989" s="981"/>
      <c r="L989" s="981"/>
      <c r="M989" s="981"/>
      <c r="N989" s="981"/>
      <c r="O989" s="981"/>
      <c r="P989" s="981"/>
      <c r="Q989" s="981"/>
      <c r="R989" s="981"/>
      <c r="S989" s="981"/>
      <c r="T989" s="981"/>
      <c r="U989" s="981"/>
      <c r="V989" s="981"/>
      <c r="W989" s="981"/>
      <c r="X989" s="981"/>
      <c r="Y989" s="981"/>
      <c r="Z989" s="981"/>
      <c r="AA989" s="981"/>
      <c r="AB989" s="981"/>
    </row>
    <row r="990">
      <c r="A990" s="981"/>
      <c r="B990" s="991"/>
      <c r="C990" s="981"/>
      <c r="D990" s="981"/>
      <c r="E990" s="981"/>
      <c r="F990" s="981"/>
      <c r="G990" s="981"/>
      <c r="H990" s="981"/>
      <c r="I990" s="981"/>
      <c r="J990" s="981"/>
      <c r="K990" s="981"/>
      <c r="L990" s="981"/>
      <c r="M990" s="981"/>
      <c r="N990" s="981"/>
      <c r="O990" s="981"/>
      <c r="P990" s="981"/>
      <c r="Q990" s="981"/>
      <c r="R990" s="981"/>
      <c r="S990" s="981"/>
      <c r="T990" s="981"/>
      <c r="U990" s="981"/>
      <c r="V990" s="981"/>
      <c r="W990" s="981"/>
      <c r="X990" s="981"/>
      <c r="Y990" s="981"/>
      <c r="Z990" s="981"/>
      <c r="AA990" s="981"/>
      <c r="AB990" s="981"/>
    </row>
    <row r="991">
      <c r="A991" s="981"/>
      <c r="B991" s="991"/>
      <c r="C991" s="981"/>
      <c r="D991" s="981"/>
      <c r="E991" s="981"/>
      <c r="F991" s="981"/>
      <c r="G991" s="981"/>
      <c r="H991" s="981"/>
      <c r="I991" s="981"/>
      <c r="J991" s="981"/>
      <c r="K991" s="981"/>
      <c r="L991" s="981"/>
      <c r="M991" s="981"/>
      <c r="N991" s="981"/>
      <c r="O991" s="981"/>
      <c r="P991" s="981"/>
      <c r="Q991" s="981"/>
      <c r="R991" s="981"/>
      <c r="S991" s="981"/>
      <c r="T991" s="981"/>
      <c r="U991" s="981"/>
      <c r="V991" s="981"/>
      <c r="W991" s="981"/>
      <c r="X991" s="981"/>
      <c r="Y991" s="981"/>
      <c r="Z991" s="981"/>
      <c r="AA991" s="981"/>
      <c r="AB991" s="981"/>
    </row>
    <row r="992">
      <c r="A992" s="981"/>
      <c r="B992" s="991"/>
      <c r="C992" s="981"/>
      <c r="D992" s="981"/>
      <c r="E992" s="981"/>
      <c r="F992" s="981"/>
      <c r="G992" s="981"/>
      <c r="H992" s="981"/>
      <c r="I992" s="981"/>
      <c r="J992" s="981"/>
      <c r="K992" s="981"/>
      <c r="L992" s="981"/>
      <c r="M992" s="981"/>
      <c r="N992" s="981"/>
      <c r="O992" s="981"/>
      <c r="P992" s="981"/>
      <c r="Q992" s="981"/>
      <c r="R992" s="981"/>
      <c r="S992" s="981"/>
      <c r="T992" s="981"/>
      <c r="U992" s="981"/>
      <c r="V992" s="981"/>
      <c r="W992" s="981"/>
      <c r="X992" s="981"/>
      <c r="Y992" s="981"/>
      <c r="Z992" s="981"/>
      <c r="AA992" s="981"/>
      <c r="AB992" s="981"/>
    </row>
    <row r="993">
      <c r="A993" s="981"/>
      <c r="B993" s="991"/>
      <c r="C993" s="981"/>
      <c r="D993" s="981"/>
      <c r="E993" s="981"/>
      <c r="F993" s="981"/>
      <c r="G993" s="981"/>
      <c r="H993" s="981"/>
      <c r="I993" s="981"/>
      <c r="J993" s="981"/>
      <c r="K993" s="981"/>
      <c r="L993" s="981"/>
      <c r="M993" s="981"/>
      <c r="N993" s="981"/>
      <c r="O993" s="981"/>
      <c r="P993" s="981"/>
      <c r="Q993" s="981"/>
      <c r="R993" s="981"/>
      <c r="S993" s="981"/>
      <c r="T993" s="981"/>
      <c r="U993" s="981"/>
      <c r="V993" s="981"/>
      <c r="W993" s="981"/>
      <c r="X993" s="981"/>
      <c r="Y993" s="981"/>
      <c r="Z993" s="981"/>
      <c r="AA993" s="981"/>
      <c r="AB993" s="981"/>
    </row>
    <row r="994">
      <c r="A994" s="981"/>
      <c r="B994" s="991"/>
      <c r="C994" s="981"/>
      <c r="D994" s="981"/>
      <c r="E994" s="981"/>
      <c r="F994" s="981"/>
      <c r="G994" s="981"/>
      <c r="H994" s="981"/>
      <c r="I994" s="981"/>
      <c r="J994" s="981"/>
      <c r="K994" s="981"/>
      <c r="L994" s="981"/>
      <c r="M994" s="981"/>
      <c r="N994" s="981"/>
      <c r="O994" s="981"/>
      <c r="P994" s="981"/>
      <c r="Q994" s="981"/>
      <c r="R994" s="981"/>
      <c r="S994" s="981"/>
      <c r="T994" s="981"/>
      <c r="U994" s="981"/>
      <c r="V994" s="981"/>
      <c r="W994" s="981"/>
      <c r="X994" s="981"/>
      <c r="Y994" s="981"/>
      <c r="Z994" s="981"/>
      <c r="AA994" s="981"/>
      <c r="AB994" s="981"/>
    </row>
    <row r="995">
      <c r="A995" s="981"/>
      <c r="B995" s="991"/>
      <c r="C995" s="981"/>
      <c r="D995" s="981"/>
      <c r="E995" s="981"/>
      <c r="F995" s="981"/>
      <c r="G995" s="981"/>
      <c r="H995" s="981"/>
      <c r="I995" s="981"/>
      <c r="J995" s="981"/>
      <c r="K995" s="981"/>
      <c r="L995" s="981"/>
      <c r="M995" s="981"/>
      <c r="N995" s="981"/>
      <c r="O995" s="981"/>
      <c r="P995" s="981"/>
      <c r="Q995" s="981"/>
      <c r="R995" s="981"/>
      <c r="S995" s="981"/>
      <c r="T995" s="981"/>
      <c r="U995" s="981"/>
      <c r="V995" s="981"/>
      <c r="W995" s="981"/>
      <c r="X995" s="981"/>
      <c r="Y995" s="981"/>
      <c r="Z995" s="981"/>
      <c r="AA995" s="981"/>
      <c r="AB995" s="981"/>
    </row>
    <row r="996">
      <c r="A996" s="981"/>
      <c r="B996" s="991"/>
      <c r="C996" s="981"/>
      <c r="D996" s="981"/>
      <c r="E996" s="981"/>
      <c r="F996" s="981"/>
      <c r="G996" s="981"/>
      <c r="H996" s="981"/>
      <c r="I996" s="981"/>
      <c r="J996" s="981"/>
      <c r="K996" s="981"/>
      <c r="L996" s="981"/>
      <c r="M996" s="981"/>
      <c r="N996" s="981"/>
      <c r="O996" s="981"/>
      <c r="P996" s="981"/>
      <c r="Q996" s="981"/>
      <c r="R996" s="981"/>
      <c r="S996" s="981"/>
      <c r="T996" s="981"/>
      <c r="U996" s="981"/>
      <c r="V996" s="981"/>
      <c r="W996" s="981"/>
      <c r="X996" s="981"/>
      <c r="Y996" s="981"/>
      <c r="Z996" s="981"/>
      <c r="AA996" s="981"/>
      <c r="AB996" s="981"/>
    </row>
    <row r="997">
      <c r="A997" s="981"/>
      <c r="B997" s="991"/>
      <c r="C997" s="981"/>
      <c r="D997" s="981"/>
      <c r="E997" s="981"/>
      <c r="F997" s="981"/>
      <c r="G997" s="981"/>
      <c r="H997" s="981"/>
      <c r="I997" s="981"/>
      <c r="J997" s="981"/>
      <c r="K997" s="981"/>
      <c r="L997" s="981"/>
      <c r="M997" s="981"/>
      <c r="N997" s="981"/>
      <c r="O997" s="981"/>
      <c r="P997" s="981"/>
      <c r="Q997" s="981"/>
      <c r="R997" s="981"/>
      <c r="S997" s="981"/>
      <c r="T997" s="981"/>
      <c r="U997" s="981"/>
      <c r="V997" s="981"/>
      <c r="W997" s="981"/>
      <c r="X997" s="981"/>
      <c r="Y997" s="981"/>
      <c r="Z997" s="981"/>
      <c r="AA997" s="981"/>
      <c r="AB997" s="981"/>
    </row>
    <row r="998">
      <c r="A998" s="981"/>
      <c r="B998" s="991"/>
      <c r="C998" s="981"/>
      <c r="D998" s="981"/>
      <c r="E998" s="981"/>
      <c r="F998" s="981"/>
      <c r="G998" s="981"/>
      <c r="H998" s="981"/>
      <c r="I998" s="981"/>
      <c r="J998" s="981"/>
      <c r="K998" s="981"/>
      <c r="L998" s="981"/>
      <c r="M998" s="981"/>
      <c r="N998" s="981"/>
      <c r="O998" s="981"/>
      <c r="P998" s="981"/>
      <c r="Q998" s="981"/>
      <c r="R998" s="981"/>
      <c r="S998" s="981"/>
      <c r="T998" s="981"/>
      <c r="U998" s="981"/>
      <c r="V998" s="981"/>
      <c r="W998" s="981"/>
      <c r="X998" s="981"/>
      <c r="Y998" s="981"/>
      <c r="Z998" s="981"/>
      <c r="AA998" s="981"/>
      <c r="AB998" s="981"/>
    </row>
    <row r="999">
      <c r="A999" s="981"/>
      <c r="B999" s="991"/>
      <c r="C999" s="981"/>
      <c r="D999" s="981"/>
      <c r="E999" s="981"/>
      <c r="F999" s="981"/>
      <c r="G999" s="981"/>
      <c r="H999" s="981"/>
      <c r="I999" s="981"/>
      <c r="J999" s="981"/>
      <c r="K999" s="981"/>
      <c r="L999" s="981"/>
      <c r="M999" s="981"/>
      <c r="N999" s="981"/>
      <c r="O999" s="981"/>
      <c r="P999" s="981"/>
      <c r="Q999" s="981"/>
      <c r="R999" s="981"/>
      <c r="S999" s="981"/>
      <c r="T999" s="981"/>
      <c r="U999" s="981"/>
      <c r="V999" s="981"/>
      <c r="W999" s="981"/>
      <c r="X999" s="981"/>
      <c r="Y999" s="981"/>
      <c r="Z999" s="981"/>
      <c r="AA999" s="981"/>
      <c r="AB999" s="981"/>
    </row>
    <row r="1000">
      <c r="A1000" s="981"/>
      <c r="B1000" s="991"/>
      <c r="C1000" s="981"/>
      <c r="D1000" s="981"/>
      <c r="E1000" s="981"/>
      <c r="F1000" s="981"/>
      <c r="G1000" s="981"/>
      <c r="H1000" s="981"/>
      <c r="I1000" s="981"/>
      <c r="J1000" s="981"/>
      <c r="K1000" s="981"/>
      <c r="L1000" s="981"/>
      <c r="M1000" s="981"/>
      <c r="N1000" s="981"/>
      <c r="O1000" s="981"/>
      <c r="P1000" s="981"/>
      <c r="Q1000" s="981"/>
      <c r="R1000" s="981"/>
      <c r="S1000" s="981"/>
      <c r="T1000" s="981"/>
      <c r="U1000" s="981"/>
      <c r="V1000" s="981"/>
      <c r="W1000" s="981"/>
      <c r="X1000" s="981"/>
      <c r="Y1000" s="981"/>
      <c r="Z1000" s="981"/>
      <c r="AA1000" s="981"/>
      <c r="AB1000" s="981"/>
    </row>
  </sheetData>
  <mergeCells count="34">
    <mergeCell ref="D2:D3"/>
    <mergeCell ref="E2:E3"/>
    <mergeCell ref="F2:F3"/>
    <mergeCell ref="G2:G3"/>
    <mergeCell ref="E4:E5"/>
    <mergeCell ref="F4:F5"/>
    <mergeCell ref="G4:G5"/>
    <mergeCell ref="D4:D5"/>
    <mergeCell ref="D6:D7"/>
    <mergeCell ref="E6:E7"/>
    <mergeCell ref="F6:F7"/>
    <mergeCell ref="D8:D9"/>
    <mergeCell ref="E8:E9"/>
    <mergeCell ref="F8:F9"/>
    <mergeCell ref="H17:H18"/>
    <mergeCell ref="I17:I18"/>
    <mergeCell ref="H15:H16"/>
    <mergeCell ref="H19:H21"/>
    <mergeCell ref="H24:H26"/>
    <mergeCell ref="I24:I26"/>
    <mergeCell ref="F19:F21"/>
    <mergeCell ref="F22:F23"/>
    <mergeCell ref="F24:F26"/>
    <mergeCell ref="G24:G26"/>
    <mergeCell ref="F27:F28"/>
    <mergeCell ref="G27:G28"/>
    <mergeCell ref="F31:F32"/>
    <mergeCell ref="E14:E16"/>
    <mergeCell ref="F14:F16"/>
    <mergeCell ref="G15:G16"/>
    <mergeCell ref="I15:I16"/>
    <mergeCell ref="F17:F18"/>
    <mergeCell ref="G17:G18"/>
    <mergeCell ref="I19:I21"/>
  </mergeCells>
  <dataValidations>
    <dataValidation type="list" allowBlank="1" showErrorMessage="1" sqref="H2:J15 J16 H17:J17 J18 H19:J19 J20:J21 H22:J24 J25:J26 H27:J45">
      <formula1>"Sudah,Belum,Tidak pakai kembali"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9.0"/>
    <col customWidth="1" min="3" max="3" width="8.71"/>
    <col customWidth="1" min="4" max="4" width="11.43"/>
    <col customWidth="1" min="5" max="5" width="21.43"/>
    <col customWidth="1" min="6" max="6" width="3.57"/>
    <col customWidth="1" min="7" max="7" width="3.43"/>
    <col customWidth="1" min="8" max="8" width="11.43"/>
    <col customWidth="1" min="9" max="9" width="7.14"/>
    <col customWidth="1" min="10" max="10" width="12.71"/>
    <col customWidth="1" min="11" max="11" width="12.29"/>
  </cols>
  <sheetData>
    <row r="1" ht="13.5" customHeight="1">
      <c r="A1" s="590" t="s">
        <v>10962</v>
      </c>
      <c r="B1" s="591"/>
      <c r="C1" s="592"/>
      <c r="D1" s="592"/>
      <c r="E1" s="592"/>
      <c r="F1" s="592"/>
      <c r="G1" s="592"/>
      <c r="H1" s="594"/>
      <c r="I1" s="992" t="s">
        <v>9773</v>
      </c>
      <c r="K1" s="595">
        <v>46137.0</v>
      </c>
    </row>
    <row r="2" ht="13.5" customHeight="1">
      <c r="A2" s="596" t="s">
        <v>10963</v>
      </c>
      <c r="B2" s="597"/>
      <c r="C2" s="598"/>
      <c r="D2" s="598"/>
      <c r="E2" s="598"/>
      <c r="F2" s="592"/>
      <c r="G2" s="592"/>
      <c r="H2" s="594"/>
      <c r="I2" s="992" t="s">
        <v>9775</v>
      </c>
      <c r="K2" s="676"/>
    </row>
    <row r="3" ht="13.5" customHeight="1">
      <c r="A3" s="599" t="s">
        <v>9776</v>
      </c>
      <c r="B3" s="600"/>
      <c r="C3" s="592"/>
      <c r="D3" s="601"/>
      <c r="E3" s="601"/>
      <c r="F3" s="601"/>
      <c r="G3" s="601"/>
      <c r="H3" s="674"/>
      <c r="I3" s="674" t="s">
        <v>10964</v>
      </c>
      <c r="J3" s="674"/>
      <c r="K3" s="674"/>
    </row>
    <row r="4" ht="13.5" customHeight="1">
      <c r="A4" s="604"/>
      <c r="B4" s="604"/>
      <c r="C4" s="592"/>
      <c r="D4" s="601"/>
      <c r="E4" s="601"/>
      <c r="F4" s="601"/>
      <c r="G4" s="601"/>
      <c r="H4" s="109"/>
      <c r="I4" s="567" t="s">
        <v>10965</v>
      </c>
      <c r="J4" s="674"/>
      <c r="K4" s="674"/>
    </row>
    <row r="5" ht="13.5" customHeight="1">
      <c r="A5" s="604"/>
      <c r="B5" s="604"/>
      <c r="C5" s="592"/>
      <c r="D5" s="601"/>
      <c r="E5" s="601"/>
      <c r="F5" s="601"/>
      <c r="G5" s="601"/>
      <c r="I5" s="993"/>
      <c r="J5" s="607"/>
      <c r="K5" s="607"/>
    </row>
    <row r="6" ht="13.5" customHeight="1">
      <c r="A6" s="604"/>
      <c r="B6" s="604"/>
      <c r="C6" s="592"/>
      <c r="D6" s="601"/>
      <c r="E6" s="601"/>
      <c r="F6" s="601"/>
      <c r="G6" s="601"/>
      <c r="H6" s="606"/>
    </row>
    <row r="7" ht="13.5" customHeight="1">
      <c r="A7" s="604"/>
      <c r="B7" s="604"/>
      <c r="C7" s="592"/>
      <c r="D7" s="701" t="s">
        <v>10966</v>
      </c>
      <c r="I7" s="994"/>
      <c r="J7" s="609"/>
      <c r="K7" s="609"/>
    </row>
    <row r="8" ht="13.5" customHeight="1">
      <c r="A8" s="17"/>
      <c r="B8" s="600"/>
      <c r="C8" s="17"/>
      <c r="D8" s="611"/>
      <c r="E8" s="611"/>
      <c r="F8" s="17"/>
      <c r="G8" s="17"/>
      <c r="H8" s="612"/>
      <c r="I8" s="995"/>
      <c r="J8" s="612"/>
      <c r="K8" s="612"/>
    </row>
    <row r="9" ht="13.5" customHeight="1">
      <c r="A9" s="561" t="s">
        <v>10967</v>
      </c>
      <c r="B9" s="996" t="s">
        <v>10968</v>
      </c>
      <c r="C9" s="17"/>
      <c r="D9" s="615"/>
      <c r="E9" s="17"/>
      <c r="F9" s="628"/>
      <c r="H9" s="628"/>
      <c r="I9" s="997"/>
      <c r="J9" s="628"/>
      <c r="K9" s="64"/>
    </row>
    <row r="10" ht="13.5" customHeight="1">
      <c r="A10" s="618" t="s">
        <v>9779</v>
      </c>
      <c r="B10" s="619" t="s">
        <v>0</v>
      </c>
      <c r="C10" s="618" t="s">
        <v>9780</v>
      </c>
      <c r="D10" s="122"/>
      <c r="E10" s="122"/>
      <c r="F10" s="618" t="s">
        <v>9781</v>
      </c>
      <c r="G10" s="122"/>
      <c r="H10" s="998" t="s">
        <v>2739</v>
      </c>
      <c r="I10" s="998" t="s">
        <v>10969</v>
      </c>
      <c r="J10" s="998" t="s">
        <v>10130</v>
      </c>
      <c r="K10" s="618" t="s">
        <v>2740</v>
      </c>
    </row>
    <row r="11" ht="13.5" customHeight="1">
      <c r="A11" s="623">
        <v>1.0</v>
      </c>
      <c r="B11" s="999" t="s">
        <v>10970</v>
      </c>
      <c r="C11" s="999" t="s">
        <v>10971</v>
      </c>
      <c r="F11" s="686">
        <v>1.0</v>
      </c>
      <c r="G11" s="1000" t="s">
        <v>2729</v>
      </c>
      <c r="H11" s="1001">
        <v>880000.0</v>
      </c>
      <c r="I11" s="1002">
        <v>8.0</v>
      </c>
      <c r="J11" s="1003">
        <f t="shared" ref="J11:J16" si="1">H11-(H11*I11/100)</f>
        <v>809600</v>
      </c>
      <c r="K11" s="1003">
        <f t="shared" ref="K11:K16" si="2">F11*J11</f>
        <v>809600</v>
      </c>
    </row>
    <row r="12" ht="13.5" customHeight="1">
      <c r="A12" s="623">
        <v>2.0</v>
      </c>
      <c r="B12" s="999" t="s">
        <v>10972</v>
      </c>
      <c r="C12" s="999" t="s">
        <v>10971</v>
      </c>
      <c r="F12" s="686">
        <v>1.0</v>
      </c>
      <c r="G12" s="1000" t="s">
        <v>2729</v>
      </c>
      <c r="H12" s="1001">
        <v>1240000.0</v>
      </c>
      <c r="I12" s="1002">
        <v>8.0</v>
      </c>
      <c r="J12" s="1003">
        <f t="shared" si="1"/>
        <v>1140800</v>
      </c>
      <c r="K12" s="1003">
        <f t="shared" si="2"/>
        <v>1140800</v>
      </c>
    </row>
    <row r="13" ht="13.5" customHeight="1">
      <c r="A13" s="626">
        <v>3.0</v>
      </c>
      <c r="B13" s="999" t="s">
        <v>10973</v>
      </c>
      <c r="C13" s="999" t="s">
        <v>10974</v>
      </c>
      <c r="F13" s="686">
        <v>1.0</v>
      </c>
      <c r="G13" s="1000" t="s">
        <v>2729</v>
      </c>
      <c r="H13" s="1001">
        <v>349600.0</v>
      </c>
      <c r="I13" s="1002"/>
      <c r="J13" s="1003">
        <f t="shared" si="1"/>
        <v>349600</v>
      </c>
      <c r="K13" s="1003">
        <f t="shared" si="2"/>
        <v>349600</v>
      </c>
    </row>
    <row r="14" ht="13.5" customHeight="1">
      <c r="A14" s="626">
        <v>4.0</v>
      </c>
      <c r="B14" s="109" t="s">
        <v>10975</v>
      </c>
      <c r="C14" s="999" t="s">
        <v>10976</v>
      </c>
      <c r="F14" s="686">
        <v>1.0</v>
      </c>
      <c r="G14" s="1000" t="s">
        <v>2729</v>
      </c>
      <c r="H14" s="1001">
        <v>349600.0</v>
      </c>
      <c r="I14" s="1002"/>
      <c r="J14" s="1003">
        <f t="shared" si="1"/>
        <v>349600</v>
      </c>
      <c r="K14" s="1003">
        <f t="shared" si="2"/>
        <v>349600</v>
      </c>
    </row>
    <row r="15" ht="13.5" customHeight="1">
      <c r="A15" s="623">
        <v>5.0</v>
      </c>
      <c r="B15" s="1004" t="s">
        <v>10977</v>
      </c>
      <c r="C15" s="109" t="s">
        <v>10978</v>
      </c>
      <c r="F15" s="626">
        <v>1.0</v>
      </c>
      <c r="G15" s="1000" t="s">
        <v>2729</v>
      </c>
      <c r="H15" s="1001">
        <v>205000.0</v>
      </c>
      <c r="I15" s="1002">
        <v>8.0</v>
      </c>
      <c r="J15" s="1005">
        <f t="shared" si="1"/>
        <v>188600</v>
      </c>
      <c r="K15" s="1005">
        <f t="shared" si="2"/>
        <v>188600</v>
      </c>
    </row>
    <row r="16" ht="13.5" customHeight="1">
      <c r="A16" s="1006">
        <v>6.0</v>
      </c>
      <c r="B16" s="1007" t="s">
        <v>10979</v>
      </c>
      <c r="C16" s="1008" t="s">
        <v>10980</v>
      </c>
      <c r="D16" s="617"/>
      <c r="E16" s="617"/>
      <c r="F16" s="1009">
        <v>1.0</v>
      </c>
      <c r="G16" s="1010" t="s">
        <v>2729</v>
      </c>
      <c r="H16" s="1011">
        <v>205000.0</v>
      </c>
      <c r="I16" s="1012">
        <v>8.0</v>
      </c>
      <c r="J16" s="1013">
        <f t="shared" si="1"/>
        <v>188600</v>
      </c>
      <c r="K16" s="1005">
        <f t="shared" si="2"/>
        <v>188600</v>
      </c>
    </row>
    <row r="17" ht="13.5" customHeight="1">
      <c r="A17" s="1014" t="s">
        <v>10981</v>
      </c>
      <c r="E17" s="951"/>
      <c r="F17" s="1015"/>
      <c r="G17" s="676"/>
      <c r="H17" s="636"/>
      <c r="I17" s="1016"/>
      <c r="J17" s="201" t="s">
        <v>10982</v>
      </c>
      <c r="K17" s="644">
        <f>SUM(K11:K16)</f>
        <v>3026800</v>
      </c>
    </row>
    <row r="18" ht="13.5" customHeight="1">
      <c r="E18" s="641"/>
      <c r="F18" s="645"/>
      <c r="G18" s="645"/>
      <c r="H18" s="643"/>
      <c r="I18" s="1017"/>
      <c r="J18" s="45" t="s">
        <v>9789</v>
      </c>
      <c r="K18" s="1018">
        <v>0.0</v>
      </c>
    </row>
    <row r="19" ht="13.5" customHeight="1">
      <c r="A19" s="639"/>
      <c r="B19" s="639"/>
      <c r="C19" s="639"/>
      <c r="D19" s="640"/>
      <c r="E19" s="641"/>
      <c r="F19" s="645"/>
      <c r="G19" s="645"/>
      <c r="H19" s="643"/>
      <c r="I19" s="1019"/>
      <c r="J19" s="614" t="s">
        <v>9786</v>
      </c>
      <c r="K19" s="1020">
        <f>K17-K18</f>
        <v>3026800</v>
      </c>
    </row>
    <row r="20" ht="13.5" customHeight="1">
      <c r="A20" s="592"/>
      <c r="B20" s="628"/>
      <c r="C20" s="628"/>
      <c r="D20" s="628"/>
      <c r="E20" s="641"/>
      <c r="F20" s="645"/>
      <c r="G20" s="645"/>
      <c r="H20" s="646"/>
      <c r="I20" s="1021"/>
    </row>
    <row r="21" ht="13.5" customHeight="1">
      <c r="A21" s="592"/>
      <c r="B21" s="604"/>
      <c r="C21" s="604"/>
      <c r="D21" s="649"/>
      <c r="E21" s="641"/>
      <c r="F21" s="645"/>
      <c r="G21" s="645"/>
      <c r="H21" s="650"/>
      <c r="I21" s="1016"/>
      <c r="J21" s="637"/>
      <c r="K21" s="651"/>
    </row>
    <row r="22" ht="13.5" customHeight="1">
      <c r="A22" s="592"/>
      <c r="B22" s="604"/>
      <c r="C22" s="604"/>
      <c r="D22" s="604"/>
      <c r="E22" s="604"/>
      <c r="F22" s="645"/>
      <c r="G22" s="645"/>
      <c r="H22" s="652" t="s">
        <v>1973</v>
      </c>
      <c r="I22" s="1022"/>
      <c r="J22" s="1023" t="s">
        <v>9791</v>
      </c>
      <c r="K22" s="653"/>
    </row>
    <row r="23" ht="13.5" customHeight="1">
      <c r="A23" s="654" t="s">
        <v>9792</v>
      </c>
      <c r="B23" s="591"/>
      <c r="C23" s="591"/>
      <c r="D23" s="649"/>
      <c r="E23" s="604"/>
      <c r="F23" s="707"/>
      <c r="G23" s="707"/>
      <c r="H23" s="655"/>
      <c r="I23" s="1024"/>
      <c r="J23" s="1025" t="s">
        <v>10983</v>
      </c>
      <c r="K23" s="1025"/>
    </row>
    <row r="24" ht="13.5" customHeight="1">
      <c r="I24" s="1021"/>
    </row>
    <row r="25" ht="13.5" customHeight="1">
      <c r="B25" s="64"/>
      <c r="I25" s="1021"/>
    </row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>
      <c r="I33" s="1021"/>
    </row>
    <row r="34" ht="13.5" customHeight="1">
      <c r="I34" s="1021"/>
    </row>
    <row r="35" ht="13.5" customHeight="1">
      <c r="I35" s="1021"/>
    </row>
    <row r="36" ht="13.5" customHeight="1">
      <c r="I36" s="1021"/>
    </row>
    <row r="37" ht="13.5" customHeight="1">
      <c r="B37" s="548"/>
      <c r="I37" s="1021"/>
    </row>
    <row r="38" ht="13.5" customHeight="1">
      <c r="I38" s="1021"/>
    </row>
    <row r="39" ht="13.5" customHeight="1">
      <c r="I39" s="1021"/>
    </row>
    <row r="40" ht="13.5" customHeight="1">
      <c r="I40" s="1021"/>
    </row>
    <row r="41" ht="13.5" customHeight="1">
      <c r="I41" s="1021"/>
    </row>
    <row r="42" ht="13.5" customHeight="1">
      <c r="I42" s="1021"/>
    </row>
    <row r="43" ht="13.5" customHeight="1">
      <c r="I43" s="1021"/>
    </row>
    <row r="44" ht="13.5" customHeight="1">
      <c r="I44" s="1021"/>
    </row>
    <row r="45" ht="13.5" customHeight="1">
      <c r="I45" s="1021"/>
    </row>
    <row r="46" ht="13.5" customHeight="1">
      <c r="I46" s="1021"/>
    </row>
    <row r="47" ht="13.5" customHeight="1">
      <c r="I47" s="1021"/>
    </row>
    <row r="48" ht="13.5" customHeight="1">
      <c r="I48" s="1021"/>
    </row>
    <row r="49" ht="13.5" customHeight="1">
      <c r="I49" s="1021"/>
    </row>
    <row r="50" ht="13.5" customHeight="1">
      <c r="I50" s="1021"/>
    </row>
    <row r="51" ht="13.5" customHeight="1">
      <c r="I51" s="1021"/>
    </row>
    <row r="52" ht="13.5" customHeight="1">
      <c r="I52" s="1021"/>
    </row>
    <row r="53" ht="13.5" customHeight="1">
      <c r="I53" s="1021"/>
    </row>
    <row r="54" ht="13.5" customHeight="1">
      <c r="I54" s="1021"/>
    </row>
    <row r="55" ht="13.5" customHeight="1">
      <c r="I55" s="1021"/>
    </row>
    <row r="56" ht="13.5" customHeight="1">
      <c r="I56" s="1021"/>
    </row>
    <row r="57" ht="13.5" customHeight="1">
      <c r="I57" s="1021"/>
    </row>
    <row r="58" ht="13.5" customHeight="1">
      <c r="I58" s="1021"/>
    </row>
    <row r="59" ht="13.5" customHeight="1">
      <c r="I59" s="1021"/>
    </row>
    <row r="60" ht="13.5" customHeight="1">
      <c r="I60" s="1021"/>
    </row>
    <row r="61" ht="13.5" customHeight="1">
      <c r="I61" s="1021"/>
    </row>
    <row r="62" ht="13.5" customHeight="1">
      <c r="I62" s="1021"/>
    </row>
    <row r="63" ht="13.5" customHeight="1">
      <c r="I63" s="1021"/>
    </row>
    <row r="64" ht="13.5" customHeight="1">
      <c r="I64" s="1021"/>
    </row>
    <row r="65" ht="13.5" customHeight="1">
      <c r="I65" s="1021"/>
    </row>
    <row r="66" ht="13.5" customHeight="1">
      <c r="I66" s="1021"/>
    </row>
    <row r="67" ht="13.5" customHeight="1">
      <c r="I67" s="1021"/>
    </row>
    <row r="68" ht="13.5" customHeight="1">
      <c r="I68" s="1021"/>
    </row>
    <row r="69" ht="13.5" customHeight="1">
      <c r="I69" s="1021"/>
    </row>
    <row r="70" ht="13.5" customHeight="1">
      <c r="I70" s="1021"/>
    </row>
    <row r="71" ht="13.5" customHeight="1">
      <c r="I71" s="1021"/>
    </row>
    <row r="72" ht="13.5" customHeight="1">
      <c r="I72" s="1021"/>
    </row>
    <row r="73" ht="13.5" customHeight="1">
      <c r="I73" s="1021"/>
    </row>
    <row r="74" ht="13.5" customHeight="1">
      <c r="I74" s="1021"/>
    </row>
    <row r="75" ht="13.5" customHeight="1">
      <c r="I75" s="1021"/>
    </row>
    <row r="76" ht="13.5" customHeight="1">
      <c r="I76" s="1021"/>
    </row>
    <row r="77" ht="13.5" customHeight="1">
      <c r="I77" s="1021"/>
    </row>
    <row r="78" ht="13.5" customHeight="1">
      <c r="I78" s="1021"/>
    </row>
    <row r="79" ht="13.5" customHeight="1">
      <c r="I79" s="1021"/>
    </row>
    <row r="80" ht="13.5" customHeight="1">
      <c r="I80" s="1021"/>
    </row>
    <row r="81" ht="13.5" customHeight="1">
      <c r="I81" s="1021"/>
    </row>
    <row r="82" ht="13.5" customHeight="1">
      <c r="I82" s="1021"/>
    </row>
    <row r="83" ht="13.5" customHeight="1">
      <c r="I83" s="1021"/>
    </row>
    <row r="84" ht="13.5" customHeight="1">
      <c r="I84" s="1021"/>
    </row>
    <row r="85" ht="13.5" customHeight="1">
      <c r="I85" s="1021"/>
    </row>
    <row r="86" ht="13.5" customHeight="1">
      <c r="I86" s="1021"/>
    </row>
    <row r="87" ht="13.5" customHeight="1">
      <c r="I87" s="1021"/>
    </row>
    <row r="88" ht="13.5" customHeight="1">
      <c r="I88" s="1021"/>
    </row>
    <row r="89" ht="13.5" customHeight="1">
      <c r="I89" s="1021"/>
    </row>
    <row r="90" ht="13.5" customHeight="1">
      <c r="I90" s="1021"/>
    </row>
    <row r="91" ht="13.5" customHeight="1">
      <c r="I91" s="1021"/>
    </row>
    <row r="92" ht="13.5" customHeight="1">
      <c r="I92" s="1021"/>
    </row>
    <row r="93" ht="13.5" customHeight="1">
      <c r="I93" s="1021"/>
    </row>
    <row r="94" ht="13.5" customHeight="1">
      <c r="I94" s="1021"/>
    </row>
    <row r="95" ht="13.5" customHeight="1">
      <c r="I95" s="1021"/>
    </row>
    <row r="96" ht="13.5" customHeight="1">
      <c r="I96" s="1021"/>
    </row>
    <row r="97" ht="13.5" customHeight="1">
      <c r="I97" s="1021"/>
    </row>
    <row r="98" ht="13.5" customHeight="1">
      <c r="I98" s="1021"/>
    </row>
    <row r="99" ht="13.5" customHeight="1">
      <c r="I99" s="1021"/>
    </row>
    <row r="100" ht="13.5" customHeight="1">
      <c r="I100" s="1021"/>
    </row>
    <row r="101" ht="13.5" customHeight="1">
      <c r="I101" s="1021"/>
    </row>
    <row r="102" ht="13.5" customHeight="1">
      <c r="I102" s="1021"/>
    </row>
    <row r="103" ht="13.5" customHeight="1">
      <c r="I103" s="1021"/>
    </row>
    <row r="104" ht="13.5" customHeight="1">
      <c r="I104" s="1021"/>
    </row>
    <row r="105" ht="13.5" customHeight="1">
      <c r="I105" s="1021"/>
    </row>
    <row r="106" ht="13.5" customHeight="1">
      <c r="I106" s="1021"/>
    </row>
    <row r="107" ht="13.5" customHeight="1">
      <c r="I107" s="1021"/>
    </row>
    <row r="108" ht="13.5" customHeight="1">
      <c r="I108" s="1021"/>
    </row>
    <row r="109" ht="13.5" customHeight="1">
      <c r="I109" s="1021"/>
    </row>
    <row r="110" ht="13.5" customHeight="1">
      <c r="I110" s="1021"/>
    </row>
    <row r="111" ht="13.5" customHeight="1">
      <c r="I111" s="1021"/>
    </row>
    <row r="112" ht="13.5" customHeight="1">
      <c r="I112" s="1021"/>
    </row>
    <row r="113" ht="13.5" customHeight="1">
      <c r="I113" s="1021"/>
    </row>
    <row r="114" ht="13.5" customHeight="1">
      <c r="I114" s="1021"/>
    </row>
    <row r="115" ht="13.5" customHeight="1">
      <c r="I115" s="1021"/>
    </row>
    <row r="116" ht="13.5" customHeight="1">
      <c r="I116" s="1021"/>
    </row>
    <row r="117" ht="13.5" customHeight="1">
      <c r="I117" s="1021"/>
    </row>
    <row r="118" ht="13.5" customHeight="1">
      <c r="I118" s="1021"/>
    </row>
    <row r="119" ht="13.5" customHeight="1">
      <c r="I119" s="1021"/>
    </row>
    <row r="120" ht="13.5" customHeight="1">
      <c r="I120" s="1021"/>
    </row>
    <row r="121" ht="13.5" customHeight="1">
      <c r="I121" s="1021"/>
    </row>
    <row r="122" ht="13.5" customHeight="1">
      <c r="I122" s="1021"/>
    </row>
    <row r="123" ht="13.5" customHeight="1">
      <c r="I123" s="1021"/>
    </row>
    <row r="124" ht="13.5" customHeight="1">
      <c r="I124" s="1021"/>
    </row>
    <row r="125" ht="13.5" customHeight="1">
      <c r="I125" s="1021"/>
    </row>
    <row r="126" ht="13.5" customHeight="1">
      <c r="I126" s="1021"/>
    </row>
    <row r="127" ht="15.75" customHeight="1">
      <c r="I127" s="1021"/>
    </row>
    <row r="128" ht="15.75" customHeight="1">
      <c r="I128" s="1021"/>
    </row>
    <row r="129" ht="15.75" customHeight="1">
      <c r="I129" s="1021"/>
    </row>
    <row r="130" ht="15.75" customHeight="1">
      <c r="I130" s="1021"/>
    </row>
    <row r="131" ht="15.75" customHeight="1">
      <c r="I131" s="1021"/>
    </row>
    <row r="132" ht="15.75" customHeight="1">
      <c r="I132" s="1021"/>
    </row>
    <row r="133" ht="15.75" customHeight="1">
      <c r="I133" s="1021"/>
    </row>
    <row r="134" ht="15.75" customHeight="1">
      <c r="I134" s="1021"/>
    </row>
    <row r="135" ht="15.75" customHeight="1">
      <c r="I135" s="1021"/>
    </row>
    <row r="136" ht="15.75" customHeight="1">
      <c r="I136" s="1021"/>
    </row>
    <row r="137" ht="15.75" customHeight="1">
      <c r="I137" s="1021"/>
    </row>
    <row r="138" ht="15.75" customHeight="1">
      <c r="I138" s="1021"/>
    </row>
    <row r="139" ht="15.75" customHeight="1">
      <c r="I139" s="1021"/>
    </row>
    <row r="140" ht="15.75" customHeight="1">
      <c r="I140" s="1021"/>
    </row>
    <row r="141" ht="15.75" customHeight="1">
      <c r="I141" s="1021"/>
    </row>
    <row r="142" ht="15.75" customHeight="1">
      <c r="I142" s="1021"/>
    </row>
    <row r="143" ht="15.75" customHeight="1">
      <c r="I143" s="1021"/>
    </row>
    <row r="144" ht="15.75" customHeight="1">
      <c r="I144" s="1021"/>
    </row>
    <row r="145" ht="15.75" customHeight="1">
      <c r="I145" s="1021"/>
    </row>
    <row r="146" ht="15.75" customHeight="1">
      <c r="I146" s="1021"/>
    </row>
    <row r="147" ht="15.75" customHeight="1">
      <c r="I147" s="1021"/>
    </row>
    <row r="148" ht="15.75" customHeight="1">
      <c r="I148" s="1021"/>
    </row>
    <row r="149" ht="15.75" customHeight="1">
      <c r="I149" s="1021"/>
    </row>
    <row r="150" ht="15.75" customHeight="1">
      <c r="I150" s="1021"/>
    </row>
    <row r="151" ht="15.75" customHeight="1">
      <c r="I151" s="1021"/>
    </row>
    <row r="152" ht="15.75" customHeight="1">
      <c r="I152" s="1021"/>
    </row>
    <row r="153" ht="15.75" customHeight="1">
      <c r="I153" s="1021"/>
    </row>
    <row r="154" ht="15.75" customHeight="1">
      <c r="I154" s="1021"/>
    </row>
    <row r="155" ht="15.75" customHeight="1">
      <c r="I155" s="1021"/>
    </row>
    <row r="156" ht="15.75" customHeight="1">
      <c r="I156" s="1021"/>
    </row>
    <row r="157" ht="15.75" customHeight="1">
      <c r="I157" s="1021"/>
    </row>
    <row r="158" ht="15.75" customHeight="1">
      <c r="I158" s="1021"/>
    </row>
    <row r="159" ht="15.75" customHeight="1">
      <c r="I159" s="1021"/>
    </row>
    <row r="160" ht="15.75" customHeight="1">
      <c r="I160" s="1021"/>
    </row>
    <row r="161" ht="15.75" customHeight="1">
      <c r="I161" s="1021"/>
    </row>
    <row r="162" ht="15.75" customHeight="1">
      <c r="I162" s="1021"/>
    </row>
    <row r="163" ht="15.75" customHeight="1">
      <c r="I163" s="1021"/>
    </row>
    <row r="164" ht="15.75" customHeight="1">
      <c r="I164" s="1021"/>
    </row>
    <row r="165" ht="15.75" customHeight="1">
      <c r="I165" s="1021"/>
    </row>
    <row r="166" ht="15.75" customHeight="1">
      <c r="I166" s="1021"/>
    </row>
    <row r="167" ht="15.75" customHeight="1">
      <c r="I167" s="1021"/>
    </row>
    <row r="168" ht="15.75" customHeight="1">
      <c r="I168" s="1021"/>
    </row>
    <row r="169" ht="15.75" customHeight="1">
      <c r="I169" s="1021"/>
    </row>
    <row r="170" ht="15.75" customHeight="1">
      <c r="I170" s="1021"/>
    </row>
    <row r="171" ht="15.75" customHeight="1">
      <c r="I171" s="1021"/>
    </row>
    <row r="172" ht="15.75" customHeight="1">
      <c r="I172" s="1021"/>
    </row>
    <row r="173" ht="15.75" customHeight="1">
      <c r="I173" s="1021"/>
    </row>
    <row r="174" ht="15.75" customHeight="1">
      <c r="I174" s="1021"/>
    </row>
    <row r="175" ht="15.75" customHeight="1">
      <c r="I175" s="1021"/>
    </row>
    <row r="176" ht="15.75" customHeight="1">
      <c r="I176" s="1021"/>
    </row>
    <row r="177" ht="15.75" customHeight="1">
      <c r="I177" s="1021"/>
    </row>
    <row r="178" ht="15.75" customHeight="1">
      <c r="I178" s="1021"/>
    </row>
    <row r="179" ht="15.75" customHeight="1">
      <c r="I179" s="1021"/>
    </row>
    <row r="180" ht="15.75" customHeight="1">
      <c r="I180" s="1021"/>
    </row>
    <row r="181" ht="15.75" customHeight="1">
      <c r="I181" s="1021"/>
    </row>
    <row r="182" ht="15.75" customHeight="1">
      <c r="I182" s="1021"/>
    </row>
    <row r="183" ht="15.75" customHeight="1">
      <c r="I183" s="1021"/>
    </row>
    <row r="184" ht="15.75" customHeight="1">
      <c r="I184" s="1021"/>
    </row>
    <row r="185" ht="15.75" customHeight="1">
      <c r="I185" s="1021"/>
    </row>
    <row r="186" ht="15.75" customHeight="1">
      <c r="I186" s="1021"/>
    </row>
    <row r="187" ht="15.75" customHeight="1">
      <c r="I187" s="1021"/>
    </row>
    <row r="188" ht="15.75" customHeight="1">
      <c r="I188" s="1021"/>
    </row>
    <row r="189" ht="15.75" customHeight="1">
      <c r="I189" s="1021"/>
    </row>
    <row r="190" ht="15.75" customHeight="1">
      <c r="I190" s="1021"/>
    </row>
    <row r="191" ht="15.75" customHeight="1">
      <c r="I191" s="1021"/>
    </row>
    <row r="192" ht="15.75" customHeight="1">
      <c r="I192" s="1021"/>
    </row>
    <row r="193" ht="15.75" customHeight="1">
      <c r="I193" s="1021"/>
    </row>
    <row r="194" ht="15.75" customHeight="1">
      <c r="I194" s="1021"/>
    </row>
    <row r="195" ht="15.75" customHeight="1">
      <c r="I195" s="1021"/>
    </row>
    <row r="196" ht="15.75" customHeight="1">
      <c r="I196" s="1021"/>
    </row>
    <row r="197" ht="15.75" customHeight="1">
      <c r="I197" s="1021"/>
    </row>
    <row r="198" ht="15.75" customHeight="1">
      <c r="I198" s="1021"/>
    </row>
    <row r="199" ht="15.75" customHeight="1">
      <c r="I199" s="1021"/>
    </row>
    <row r="200" ht="15.75" customHeight="1">
      <c r="I200" s="1021"/>
    </row>
    <row r="201" ht="15.75" customHeight="1">
      <c r="I201" s="1021"/>
    </row>
    <row r="202" ht="15.75" customHeight="1">
      <c r="I202" s="1021"/>
    </row>
    <row r="203" ht="15.75" customHeight="1">
      <c r="I203" s="1021"/>
    </row>
    <row r="204" ht="15.75" customHeight="1">
      <c r="I204" s="1021"/>
    </row>
    <row r="205" ht="15.75" customHeight="1">
      <c r="I205" s="1021"/>
    </row>
    <row r="206" ht="15.75" customHeight="1">
      <c r="I206" s="1021"/>
    </row>
    <row r="207" ht="15.75" customHeight="1">
      <c r="I207" s="1021"/>
    </row>
    <row r="208" ht="15.75" customHeight="1">
      <c r="I208" s="1021"/>
    </row>
    <row r="209" ht="15.75" customHeight="1">
      <c r="I209" s="1021"/>
    </row>
    <row r="210" ht="15.75" customHeight="1">
      <c r="I210" s="1021"/>
    </row>
    <row r="211" ht="15.75" customHeight="1">
      <c r="I211" s="1021"/>
    </row>
    <row r="212" ht="15.75" customHeight="1">
      <c r="I212" s="1021"/>
    </row>
    <row r="213" ht="15.75" customHeight="1">
      <c r="I213" s="1021"/>
    </row>
    <row r="214" ht="15.75" customHeight="1">
      <c r="I214" s="1021"/>
    </row>
    <row r="215" ht="15.75" customHeight="1">
      <c r="I215" s="1021"/>
    </row>
    <row r="216" ht="15.75" customHeight="1">
      <c r="I216" s="1021"/>
    </row>
    <row r="217" ht="15.75" customHeight="1">
      <c r="I217" s="1021"/>
    </row>
    <row r="218" ht="15.75" customHeight="1">
      <c r="I218" s="1021"/>
    </row>
    <row r="219" ht="15.75" customHeight="1">
      <c r="I219" s="1021"/>
    </row>
    <row r="220" ht="15.75" customHeight="1">
      <c r="I220" s="1021"/>
    </row>
    <row r="221" ht="15.75" customHeight="1">
      <c r="I221" s="1021"/>
    </row>
    <row r="222" ht="15.75" customHeight="1">
      <c r="I222" s="1021"/>
    </row>
    <row r="223" ht="15.75" customHeight="1">
      <c r="I223" s="1021"/>
    </row>
    <row r="224" ht="15.75" customHeight="1">
      <c r="I224" s="1021"/>
    </row>
    <row r="225" ht="15.75" customHeight="1">
      <c r="I225" s="1021"/>
    </row>
    <row r="226" ht="15.75" customHeight="1">
      <c r="I226" s="1021"/>
    </row>
    <row r="227" ht="15.75" customHeight="1">
      <c r="I227" s="1021"/>
    </row>
    <row r="228" ht="15.75" customHeight="1">
      <c r="I228" s="1021"/>
    </row>
    <row r="229" ht="15.75" customHeight="1">
      <c r="I229" s="1021"/>
    </row>
    <row r="230" ht="15.75" customHeight="1">
      <c r="I230" s="1021"/>
    </row>
    <row r="231" ht="15.75" customHeight="1">
      <c r="I231" s="1021"/>
    </row>
    <row r="232" ht="15.75" customHeight="1">
      <c r="I232" s="1021"/>
    </row>
    <row r="233" ht="15.75" customHeight="1">
      <c r="I233" s="1021"/>
    </row>
    <row r="234" ht="15.75" customHeight="1">
      <c r="I234" s="1021"/>
    </row>
    <row r="235" ht="15.75" customHeight="1">
      <c r="I235" s="1021"/>
    </row>
    <row r="236" ht="15.75" customHeight="1">
      <c r="I236" s="1021"/>
    </row>
    <row r="237" ht="15.75" customHeight="1">
      <c r="I237" s="1021"/>
    </row>
    <row r="238" ht="15.75" customHeight="1">
      <c r="I238" s="1021"/>
    </row>
    <row r="239" ht="15.75" customHeight="1">
      <c r="I239" s="1021"/>
    </row>
    <row r="240" ht="15.75" customHeight="1">
      <c r="I240" s="1021"/>
    </row>
    <row r="241" ht="15.75" customHeight="1">
      <c r="I241" s="1021"/>
    </row>
    <row r="242" ht="15.75" customHeight="1">
      <c r="I242" s="1021"/>
    </row>
    <row r="243" ht="15.75" customHeight="1">
      <c r="I243" s="1021"/>
    </row>
    <row r="244" ht="15.75" customHeight="1">
      <c r="I244" s="1021"/>
    </row>
    <row r="245" ht="15.75" customHeight="1">
      <c r="I245" s="1021"/>
    </row>
    <row r="246" ht="15.75" customHeight="1">
      <c r="I246" s="1021"/>
    </row>
    <row r="247" ht="15.75" customHeight="1">
      <c r="I247" s="1021"/>
    </row>
    <row r="248" ht="15.75" customHeight="1">
      <c r="I248" s="1021"/>
    </row>
    <row r="249" ht="15.75" customHeight="1">
      <c r="I249" s="1021"/>
    </row>
    <row r="250" ht="15.75" customHeight="1">
      <c r="I250" s="1021"/>
    </row>
    <row r="251" ht="15.75" customHeight="1">
      <c r="I251" s="1021"/>
    </row>
    <row r="252" ht="15.75" customHeight="1">
      <c r="I252" s="1021"/>
    </row>
    <row r="253" ht="15.75" customHeight="1">
      <c r="I253" s="1021"/>
    </row>
    <row r="254" ht="15.75" customHeight="1">
      <c r="I254" s="1021"/>
    </row>
    <row r="255" ht="15.75" customHeight="1">
      <c r="I255" s="1021"/>
    </row>
    <row r="256" ht="15.75" customHeight="1">
      <c r="I256" s="1021"/>
    </row>
    <row r="257" ht="15.75" customHeight="1">
      <c r="I257" s="1021"/>
    </row>
    <row r="258" ht="15.75" customHeight="1">
      <c r="I258" s="1021"/>
    </row>
    <row r="259" ht="15.75" customHeight="1">
      <c r="I259" s="1021"/>
    </row>
    <row r="260" ht="15.75" customHeight="1">
      <c r="I260" s="1021"/>
    </row>
    <row r="261" ht="15.75" customHeight="1">
      <c r="I261" s="1021"/>
    </row>
    <row r="262" ht="15.75" customHeight="1">
      <c r="I262" s="1021"/>
    </row>
    <row r="263" ht="15.75" customHeight="1">
      <c r="I263" s="1021"/>
    </row>
    <row r="264" ht="15.75" customHeight="1">
      <c r="I264" s="1021"/>
    </row>
    <row r="265" ht="15.75" customHeight="1">
      <c r="I265" s="1021"/>
    </row>
    <row r="266" ht="15.75" customHeight="1">
      <c r="I266" s="1021"/>
    </row>
    <row r="267" ht="15.75" customHeight="1">
      <c r="I267" s="1021"/>
    </row>
    <row r="268" ht="15.75" customHeight="1">
      <c r="I268" s="1021"/>
    </row>
    <row r="269" ht="15.75" customHeight="1">
      <c r="I269" s="1021"/>
    </row>
    <row r="270" ht="15.75" customHeight="1">
      <c r="I270" s="1021"/>
    </row>
    <row r="271" ht="15.75" customHeight="1">
      <c r="I271" s="1021"/>
    </row>
    <row r="272" ht="15.75" customHeight="1">
      <c r="I272" s="1021"/>
    </row>
    <row r="273" ht="15.75" customHeight="1">
      <c r="I273" s="1021"/>
    </row>
    <row r="274" ht="15.75" customHeight="1">
      <c r="I274" s="1021"/>
    </row>
    <row r="275" ht="15.75" customHeight="1">
      <c r="I275" s="1021"/>
    </row>
    <row r="276" ht="15.75" customHeight="1">
      <c r="I276" s="1021"/>
    </row>
    <row r="277" ht="15.75" customHeight="1">
      <c r="I277" s="1021"/>
    </row>
    <row r="278" ht="15.75" customHeight="1">
      <c r="I278" s="1021"/>
    </row>
    <row r="279" ht="15.75" customHeight="1">
      <c r="I279" s="1021"/>
    </row>
    <row r="280" ht="15.75" customHeight="1">
      <c r="I280" s="1021"/>
    </row>
    <row r="281" ht="15.75" customHeight="1">
      <c r="I281" s="1021"/>
    </row>
    <row r="282" ht="15.75" customHeight="1">
      <c r="I282" s="1021"/>
    </row>
    <row r="283" ht="15.75" customHeight="1">
      <c r="I283" s="1021"/>
    </row>
    <row r="284" ht="15.75" customHeight="1">
      <c r="I284" s="1021"/>
    </row>
    <row r="285" ht="15.75" customHeight="1">
      <c r="I285" s="1021"/>
    </row>
    <row r="286" ht="15.75" customHeight="1">
      <c r="I286" s="1021"/>
    </row>
    <row r="287" ht="15.75" customHeight="1">
      <c r="I287" s="1021"/>
    </row>
    <row r="288" ht="15.75" customHeight="1">
      <c r="I288" s="1021"/>
    </row>
    <row r="289" ht="15.75" customHeight="1">
      <c r="I289" s="1021"/>
    </row>
    <row r="290" ht="15.75" customHeight="1">
      <c r="I290" s="1021"/>
    </row>
    <row r="291" ht="15.75" customHeight="1">
      <c r="I291" s="1021"/>
    </row>
    <row r="292" ht="15.75" customHeight="1">
      <c r="I292" s="1021"/>
    </row>
    <row r="293" ht="15.75" customHeight="1">
      <c r="I293" s="1021"/>
    </row>
    <row r="294" ht="15.75" customHeight="1">
      <c r="I294" s="1021"/>
    </row>
    <row r="295" ht="15.75" customHeight="1">
      <c r="I295" s="1021"/>
    </row>
    <row r="296" ht="15.75" customHeight="1">
      <c r="I296" s="1021"/>
    </row>
    <row r="297" ht="15.75" customHeight="1">
      <c r="I297" s="1021"/>
    </row>
    <row r="298" ht="15.75" customHeight="1">
      <c r="I298" s="1021"/>
    </row>
    <row r="299" ht="15.75" customHeight="1">
      <c r="I299" s="1021"/>
    </row>
    <row r="300" ht="15.75" customHeight="1">
      <c r="I300" s="1021"/>
    </row>
    <row r="301" ht="15.75" customHeight="1">
      <c r="I301" s="1021"/>
    </row>
    <row r="302" ht="15.75" customHeight="1">
      <c r="I302" s="1021"/>
    </row>
    <row r="303" ht="15.75" customHeight="1">
      <c r="I303" s="1021"/>
    </row>
    <row r="304" ht="15.75" customHeight="1">
      <c r="I304" s="1021"/>
    </row>
    <row r="305" ht="15.75" customHeight="1">
      <c r="I305" s="1021"/>
    </row>
    <row r="306" ht="15.75" customHeight="1">
      <c r="I306" s="1021"/>
    </row>
    <row r="307" ht="15.75" customHeight="1">
      <c r="I307" s="1021"/>
    </row>
    <row r="308" ht="15.75" customHeight="1">
      <c r="I308" s="1021"/>
    </row>
    <row r="309" ht="15.75" customHeight="1">
      <c r="I309" s="1021"/>
    </row>
    <row r="310" ht="15.75" customHeight="1">
      <c r="I310" s="1021"/>
    </row>
    <row r="311" ht="15.75" customHeight="1">
      <c r="I311" s="1021"/>
    </row>
    <row r="312" ht="15.75" customHeight="1">
      <c r="I312" s="1021"/>
    </row>
    <row r="313" ht="15.75" customHeight="1">
      <c r="I313" s="1021"/>
    </row>
    <row r="314" ht="15.75" customHeight="1">
      <c r="I314" s="1021"/>
    </row>
    <row r="315" ht="15.75" customHeight="1">
      <c r="I315" s="1021"/>
    </row>
    <row r="316" ht="15.75" customHeight="1">
      <c r="I316" s="1021"/>
    </row>
    <row r="317" ht="15.75" customHeight="1">
      <c r="I317" s="1021"/>
    </row>
    <row r="318" ht="15.75" customHeight="1">
      <c r="I318" s="1021"/>
    </row>
    <row r="319" ht="15.75" customHeight="1">
      <c r="I319" s="1021"/>
    </row>
    <row r="320" ht="15.75" customHeight="1">
      <c r="I320" s="1021"/>
    </row>
    <row r="321" ht="15.75" customHeight="1">
      <c r="I321" s="1021"/>
    </row>
    <row r="322" ht="15.75" customHeight="1">
      <c r="I322" s="1021"/>
    </row>
    <row r="323" ht="15.75" customHeight="1">
      <c r="I323" s="1021"/>
    </row>
    <row r="324" ht="15.75" customHeight="1">
      <c r="I324" s="1021"/>
    </row>
    <row r="325" ht="15.75" customHeight="1">
      <c r="I325" s="1021"/>
    </row>
    <row r="326" ht="15.75" customHeight="1">
      <c r="I326" s="1021"/>
    </row>
    <row r="327" ht="15.75" customHeight="1">
      <c r="I327" s="1021"/>
    </row>
    <row r="328" ht="15.75" customHeight="1">
      <c r="I328" s="1021"/>
    </row>
    <row r="329" ht="15.75" customHeight="1">
      <c r="I329" s="1021"/>
    </row>
    <row r="330" ht="15.75" customHeight="1">
      <c r="I330" s="1021"/>
    </row>
    <row r="331" ht="15.75" customHeight="1">
      <c r="I331" s="1021"/>
    </row>
    <row r="332" ht="15.75" customHeight="1">
      <c r="I332" s="1021"/>
    </row>
    <row r="333" ht="15.75" customHeight="1">
      <c r="I333" s="1021"/>
    </row>
    <row r="334" ht="15.75" customHeight="1">
      <c r="I334" s="1021"/>
    </row>
    <row r="335" ht="15.75" customHeight="1">
      <c r="I335" s="1021"/>
    </row>
    <row r="336" ht="15.75" customHeight="1">
      <c r="I336" s="1021"/>
    </row>
    <row r="337" ht="15.75" customHeight="1">
      <c r="I337" s="1021"/>
    </row>
    <row r="338" ht="15.75" customHeight="1">
      <c r="I338" s="1021"/>
    </row>
    <row r="339" ht="15.75" customHeight="1">
      <c r="I339" s="1021"/>
    </row>
    <row r="340" ht="15.75" customHeight="1">
      <c r="I340" s="1021"/>
    </row>
    <row r="341" ht="15.75" customHeight="1">
      <c r="I341" s="1021"/>
    </row>
    <row r="342" ht="15.75" customHeight="1">
      <c r="I342" s="1021"/>
    </row>
    <row r="343" ht="15.75" customHeight="1">
      <c r="I343" s="1021"/>
    </row>
    <row r="344" ht="15.75" customHeight="1">
      <c r="I344" s="1021"/>
    </row>
    <row r="345" ht="15.75" customHeight="1">
      <c r="I345" s="1021"/>
    </row>
    <row r="346" ht="15.75" customHeight="1">
      <c r="I346" s="1021"/>
    </row>
    <row r="347" ht="15.75" customHeight="1">
      <c r="I347" s="1021"/>
    </row>
    <row r="348" ht="15.75" customHeight="1">
      <c r="I348" s="1021"/>
    </row>
    <row r="349" ht="15.75" customHeight="1">
      <c r="I349" s="1021"/>
    </row>
    <row r="350" ht="15.75" customHeight="1">
      <c r="I350" s="1021"/>
    </row>
    <row r="351" ht="15.75" customHeight="1">
      <c r="I351" s="1021"/>
    </row>
    <row r="352" ht="15.75" customHeight="1">
      <c r="I352" s="1021"/>
    </row>
    <row r="353" ht="15.75" customHeight="1">
      <c r="I353" s="1021"/>
    </row>
    <row r="354" ht="15.75" customHeight="1">
      <c r="I354" s="1021"/>
    </row>
    <row r="355" ht="15.75" customHeight="1">
      <c r="I355" s="1021"/>
    </row>
    <row r="356" ht="15.75" customHeight="1">
      <c r="I356" s="1021"/>
    </row>
    <row r="357" ht="15.75" customHeight="1">
      <c r="I357" s="1021"/>
    </row>
    <row r="358" ht="15.75" customHeight="1">
      <c r="I358" s="1021"/>
    </row>
    <row r="359" ht="15.75" customHeight="1">
      <c r="I359" s="1021"/>
    </row>
    <row r="360" ht="15.75" customHeight="1">
      <c r="I360" s="1021"/>
    </row>
    <row r="361" ht="15.75" customHeight="1">
      <c r="I361" s="1021"/>
    </row>
    <row r="362" ht="15.75" customHeight="1">
      <c r="I362" s="1021"/>
    </row>
    <row r="363" ht="15.75" customHeight="1">
      <c r="I363" s="1021"/>
    </row>
    <row r="364" ht="15.75" customHeight="1">
      <c r="I364" s="1021"/>
    </row>
    <row r="365" ht="15.75" customHeight="1">
      <c r="I365" s="1021"/>
    </row>
    <row r="366" ht="15.75" customHeight="1">
      <c r="I366" s="1021"/>
    </row>
    <row r="367" ht="15.75" customHeight="1">
      <c r="I367" s="1021"/>
    </row>
    <row r="368" ht="15.75" customHeight="1">
      <c r="I368" s="1021"/>
    </row>
    <row r="369" ht="15.75" customHeight="1">
      <c r="I369" s="1021"/>
    </row>
    <row r="370" ht="15.75" customHeight="1">
      <c r="I370" s="1021"/>
    </row>
    <row r="371" ht="15.75" customHeight="1">
      <c r="I371" s="1021"/>
    </row>
    <row r="372" ht="15.75" customHeight="1">
      <c r="I372" s="1021"/>
    </row>
    <row r="373" ht="15.75" customHeight="1">
      <c r="I373" s="1021"/>
    </row>
    <row r="374" ht="15.75" customHeight="1">
      <c r="I374" s="1021"/>
    </row>
    <row r="375" ht="15.75" customHeight="1">
      <c r="I375" s="1021"/>
    </row>
    <row r="376" ht="15.75" customHeight="1">
      <c r="I376" s="1021"/>
    </row>
    <row r="377" ht="15.75" customHeight="1">
      <c r="I377" s="1021"/>
    </row>
    <row r="378" ht="15.75" customHeight="1">
      <c r="I378" s="1021"/>
    </row>
    <row r="379" ht="15.75" customHeight="1">
      <c r="I379" s="1021"/>
    </row>
    <row r="380" ht="15.75" customHeight="1">
      <c r="I380" s="1021"/>
    </row>
    <row r="381" ht="15.75" customHeight="1">
      <c r="I381" s="1021"/>
    </row>
    <row r="382" ht="15.75" customHeight="1">
      <c r="I382" s="1021"/>
    </row>
    <row r="383" ht="15.75" customHeight="1">
      <c r="I383" s="1021"/>
    </row>
    <row r="384" ht="15.75" customHeight="1">
      <c r="I384" s="1021"/>
    </row>
    <row r="385" ht="15.75" customHeight="1">
      <c r="I385" s="1021"/>
    </row>
    <row r="386" ht="15.75" customHeight="1">
      <c r="I386" s="1021"/>
    </row>
    <row r="387" ht="15.75" customHeight="1">
      <c r="I387" s="1021"/>
    </row>
    <row r="388" ht="15.75" customHeight="1">
      <c r="I388" s="1021"/>
    </row>
    <row r="389" ht="15.75" customHeight="1">
      <c r="I389" s="1021"/>
    </row>
    <row r="390" ht="15.75" customHeight="1">
      <c r="I390" s="1021"/>
    </row>
    <row r="391" ht="15.75" customHeight="1">
      <c r="I391" s="1021"/>
    </row>
    <row r="392" ht="15.75" customHeight="1">
      <c r="I392" s="1021"/>
    </row>
    <row r="393" ht="15.75" customHeight="1">
      <c r="I393" s="1021"/>
    </row>
    <row r="394" ht="15.75" customHeight="1">
      <c r="I394" s="1021"/>
    </row>
    <row r="395" ht="15.75" customHeight="1">
      <c r="I395" s="1021"/>
    </row>
    <row r="396" ht="15.75" customHeight="1">
      <c r="I396" s="1021"/>
    </row>
    <row r="397" ht="15.75" customHeight="1">
      <c r="I397" s="1021"/>
    </row>
    <row r="398" ht="15.75" customHeight="1">
      <c r="I398" s="1021"/>
    </row>
    <row r="399" ht="15.75" customHeight="1">
      <c r="I399" s="1021"/>
    </row>
    <row r="400" ht="15.75" customHeight="1">
      <c r="I400" s="1021"/>
    </row>
    <row r="401" ht="15.75" customHeight="1">
      <c r="I401" s="1021"/>
    </row>
    <row r="402" ht="15.75" customHeight="1">
      <c r="I402" s="1021"/>
    </row>
    <row r="403" ht="15.75" customHeight="1">
      <c r="I403" s="1021"/>
    </row>
    <row r="404" ht="15.75" customHeight="1">
      <c r="I404" s="1021"/>
    </row>
    <row r="405" ht="15.75" customHeight="1">
      <c r="I405" s="1021"/>
    </row>
    <row r="406" ht="15.75" customHeight="1">
      <c r="I406" s="1021"/>
    </row>
    <row r="407" ht="15.75" customHeight="1">
      <c r="I407" s="1021"/>
    </row>
    <row r="408" ht="15.75" customHeight="1">
      <c r="I408" s="1021"/>
    </row>
    <row r="409" ht="15.75" customHeight="1">
      <c r="I409" s="1021"/>
    </row>
    <row r="410" ht="15.75" customHeight="1">
      <c r="I410" s="1021"/>
    </row>
    <row r="411" ht="15.75" customHeight="1">
      <c r="I411" s="1021"/>
    </row>
    <row r="412" ht="15.75" customHeight="1">
      <c r="I412" s="1021"/>
    </row>
    <row r="413" ht="15.75" customHeight="1">
      <c r="I413" s="1021"/>
    </row>
    <row r="414" ht="15.75" customHeight="1">
      <c r="I414" s="1021"/>
    </row>
    <row r="415" ht="15.75" customHeight="1">
      <c r="I415" s="1021"/>
    </row>
    <row r="416" ht="15.75" customHeight="1">
      <c r="I416" s="1021"/>
    </row>
    <row r="417" ht="15.75" customHeight="1">
      <c r="I417" s="1021"/>
    </row>
    <row r="418" ht="15.75" customHeight="1">
      <c r="I418" s="1021"/>
    </row>
    <row r="419" ht="15.75" customHeight="1">
      <c r="I419" s="1021"/>
    </row>
    <row r="420" ht="15.75" customHeight="1">
      <c r="I420" s="1021"/>
    </row>
    <row r="421" ht="15.75" customHeight="1">
      <c r="I421" s="1021"/>
    </row>
    <row r="422" ht="15.75" customHeight="1">
      <c r="I422" s="1021"/>
    </row>
    <row r="423" ht="15.75" customHeight="1">
      <c r="I423" s="1021"/>
    </row>
    <row r="424" ht="15.75" customHeight="1">
      <c r="I424" s="1021"/>
    </row>
    <row r="425" ht="15.75" customHeight="1">
      <c r="I425" s="1021"/>
    </row>
    <row r="426" ht="15.75" customHeight="1">
      <c r="I426" s="1021"/>
    </row>
    <row r="427" ht="15.75" customHeight="1">
      <c r="I427" s="1021"/>
    </row>
    <row r="428" ht="15.75" customHeight="1">
      <c r="I428" s="1021"/>
    </row>
    <row r="429" ht="15.75" customHeight="1">
      <c r="I429" s="1021"/>
    </row>
    <row r="430" ht="15.75" customHeight="1">
      <c r="I430" s="1021"/>
    </row>
    <row r="431" ht="15.75" customHeight="1">
      <c r="I431" s="1021"/>
    </row>
    <row r="432" ht="15.75" customHeight="1">
      <c r="I432" s="1021"/>
    </row>
    <row r="433" ht="15.75" customHeight="1">
      <c r="I433" s="1021"/>
    </row>
    <row r="434" ht="15.75" customHeight="1">
      <c r="I434" s="1021"/>
    </row>
    <row r="435" ht="15.75" customHeight="1">
      <c r="I435" s="1021"/>
    </row>
    <row r="436" ht="15.75" customHeight="1">
      <c r="I436" s="1021"/>
    </row>
    <row r="437" ht="15.75" customHeight="1">
      <c r="I437" s="1021"/>
    </row>
    <row r="438" ht="15.75" customHeight="1">
      <c r="I438" s="1021"/>
    </row>
    <row r="439" ht="15.75" customHeight="1">
      <c r="I439" s="1021"/>
    </row>
    <row r="440" ht="15.75" customHeight="1">
      <c r="I440" s="1021"/>
    </row>
    <row r="441" ht="15.75" customHeight="1">
      <c r="I441" s="1021"/>
    </row>
    <row r="442" ht="15.75" customHeight="1">
      <c r="I442" s="1021"/>
    </row>
    <row r="443" ht="15.75" customHeight="1">
      <c r="I443" s="1021"/>
    </row>
    <row r="444" ht="15.75" customHeight="1">
      <c r="I444" s="1021"/>
    </row>
    <row r="445" ht="15.75" customHeight="1">
      <c r="I445" s="1021"/>
    </row>
    <row r="446" ht="15.75" customHeight="1">
      <c r="I446" s="1021"/>
    </row>
    <row r="447" ht="15.75" customHeight="1">
      <c r="I447" s="1021"/>
    </row>
    <row r="448" ht="15.75" customHeight="1">
      <c r="I448" s="1021"/>
    </row>
    <row r="449" ht="15.75" customHeight="1">
      <c r="I449" s="1021"/>
    </row>
    <row r="450" ht="15.75" customHeight="1">
      <c r="I450" s="1021"/>
    </row>
    <row r="451" ht="15.75" customHeight="1">
      <c r="I451" s="1021"/>
    </row>
    <row r="452" ht="15.75" customHeight="1">
      <c r="I452" s="1021"/>
    </row>
    <row r="453" ht="15.75" customHeight="1">
      <c r="I453" s="1021"/>
    </row>
    <row r="454" ht="15.75" customHeight="1">
      <c r="I454" s="1021"/>
    </row>
    <row r="455" ht="15.75" customHeight="1">
      <c r="I455" s="1021"/>
    </row>
    <row r="456" ht="15.75" customHeight="1">
      <c r="I456" s="1021"/>
    </row>
    <row r="457" ht="15.75" customHeight="1">
      <c r="I457" s="1021"/>
    </row>
    <row r="458" ht="15.75" customHeight="1">
      <c r="I458" s="1021"/>
    </row>
    <row r="459" ht="15.75" customHeight="1">
      <c r="I459" s="1021"/>
    </row>
    <row r="460" ht="15.75" customHeight="1">
      <c r="I460" s="1021"/>
    </row>
    <row r="461" ht="15.75" customHeight="1">
      <c r="I461" s="1021"/>
    </row>
    <row r="462" ht="15.75" customHeight="1">
      <c r="I462" s="1021"/>
    </row>
    <row r="463" ht="15.75" customHeight="1">
      <c r="I463" s="1021"/>
    </row>
    <row r="464" ht="15.75" customHeight="1">
      <c r="I464" s="1021"/>
    </row>
    <row r="465" ht="15.75" customHeight="1">
      <c r="I465" s="1021"/>
    </row>
    <row r="466" ht="15.75" customHeight="1">
      <c r="I466" s="1021"/>
    </row>
    <row r="467" ht="15.75" customHeight="1">
      <c r="I467" s="1021"/>
    </row>
    <row r="468" ht="15.75" customHeight="1">
      <c r="I468" s="1021"/>
    </row>
    <row r="469" ht="15.75" customHeight="1">
      <c r="I469" s="1021"/>
    </row>
    <row r="470" ht="15.75" customHeight="1">
      <c r="I470" s="1021"/>
    </row>
    <row r="471" ht="15.75" customHeight="1">
      <c r="I471" s="1021"/>
    </row>
    <row r="472" ht="15.75" customHeight="1">
      <c r="I472" s="1021"/>
    </row>
    <row r="473" ht="15.75" customHeight="1">
      <c r="I473" s="1021"/>
    </row>
    <row r="474" ht="15.75" customHeight="1">
      <c r="I474" s="1021"/>
    </row>
    <row r="475" ht="15.75" customHeight="1">
      <c r="I475" s="1021"/>
    </row>
    <row r="476" ht="15.75" customHeight="1">
      <c r="I476" s="1021"/>
    </row>
    <row r="477" ht="15.75" customHeight="1">
      <c r="I477" s="1021"/>
    </row>
    <row r="478" ht="15.75" customHeight="1">
      <c r="I478" s="1021"/>
    </row>
    <row r="479" ht="15.75" customHeight="1">
      <c r="I479" s="1021"/>
    </row>
    <row r="480" ht="15.75" customHeight="1">
      <c r="I480" s="1021"/>
    </row>
    <row r="481" ht="15.75" customHeight="1">
      <c r="I481" s="1021"/>
    </row>
    <row r="482" ht="15.75" customHeight="1">
      <c r="I482" s="1021"/>
    </row>
    <row r="483" ht="15.75" customHeight="1">
      <c r="I483" s="1021"/>
    </row>
    <row r="484" ht="15.75" customHeight="1">
      <c r="I484" s="1021"/>
    </row>
    <row r="485" ht="15.75" customHeight="1">
      <c r="I485" s="1021"/>
    </row>
    <row r="486" ht="15.75" customHeight="1">
      <c r="I486" s="1021"/>
    </row>
    <row r="487" ht="15.75" customHeight="1">
      <c r="I487" s="1021"/>
    </row>
    <row r="488" ht="15.75" customHeight="1">
      <c r="I488" s="1021"/>
    </row>
    <row r="489" ht="15.75" customHeight="1">
      <c r="I489" s="1021"/>
    </row>
    <row r="490" ht="15.75" customHeight="1">
      <c r="I490" s="1021"/>
    </row>
    <row r="491" ht="15.75" customHeight="1">
      <c r="I491" s="1021"/>
    </row>
    <row r="492" ht="15.75" customHeight="1">
      <c r="I492" s="1021"/>
    </row>
    <row r="493" ht="15.75" customHeight="1">
      <c r="I493" s="1021"/>
    </row>
    <row r="494" ht="15.75" customHeight="1">
      <c r="I494" s="1021"/>
    </row>
    <row r="495" ht="15.75" customHeight="1">
      <c r="I495" s="1021"/>
    </row>
    <row r="496" ht="15.75" customHeight="1">
      <c r="I496" s="1021"/>
    </row>
    <row r="497" ht="15.75" customHeight="1">
      <c r="I497" s="1021"/>
    </row>
    <row r="498" ht="15.75" customHeight="1">
      <c r="I498" s="1021"/>
    </row>
    <row r="499" ht="15.75" customHeight="1">
      <c r="I499" s="1021"/>
    </row>
    <row r="500" ht="15.75" customHeight="1">
      <c r="I500" s="1021"/>
    </row>
    <row r="501" ht="15.75" customHeight="1">
      <c r="I501" s="1021"/>
    </row>
    <row r="502" ht="15.75" customHeight="1">
      <c r="I502" s="1021"/>
    </row>
    <row r="503" ht="15.75" customHeight="1">
      <c r="I503" s="1021"/>
    </row>
    <row r="504" ht="15.75" customHeight="1">
      <c r="I504" s="1021"/>
    </row>
    <row r="505" ht="15.75" customHeight="1">
      <c r="I505" s="1021"/>
    </row>
    <row r="506" ht="15.75" customHeight="1">
      <c r="I506" s="1021"/>
    </row>
    <row r="507" ht="15.75" customHeight="1">
      <c r="I507" s="1021"/>
    </row>
    <row r="508" ht="15.75" customHeight="1">
      <c r="I508" s="1021"/>
    </row>
    <row r="509" ht="15.75" customHeight="1">
      <c r="I509" s="1021"/>
    </row>
    <row r="510" ht="15.75" customHeight="1">
      <c r="I510" s="1021"/>
    </row>
    <row r="511" ht="15.75" customHeight="1">
      <c r="I511" s="1021"/>
    </row>
    <row r="512" ht="15.75" customHeight="1">
      <c r="I512" s="1021"/>
    </row>
    <row r="513" ht="15.75" customHeight="1">
      <c r="I513" s="1021"/>
    </row>
    <row r="514" ht="15.75" customHeight="1">
      <c r="I514" s="1021"/>
    </row>
    <row r="515" ht="15.75" customHeight="1">
      <c r="I515" s="1021"/>
    </row>
    <row r="516" ht="15.75" customHeight="1">
      <c r="I516" s="1021"/>
    </row>
    <row r="517" ht="15.75" customHeight="1">
      <c r="I517" s="1021"/>
    </row>
    <row r="518" ht="15.75" customHeight="1">
      <c r="I518" s="1021"/>
    </row>
    <row r="519" ht="15.75" customHeight="1">
      <c r="I519" s="1021"/>
    </row>
    <row r="520" ht="15.75" customHeight="1">
      <c r="I520" s="1021"/>
    </row>
    <row r="521" ht="15.75" customHeight="1">
      <c r="I521" s="1021"/>
    </row>
    <row r="522" ht="15.75" customHeight="1">
      <c r="I522" s="1021"/>
    </row>
    <row r="523" ht="15.75" customHeight="1">
      <c r="I523" s="1021"/>
    </row>
    <row r="524" ht="15.75" customHeight="1">
      <c r="I524" s="1021"/>
    </row>
    <row r="525" ht="15.75" customHeight="1">
      <c r="I525" s="1021"/>
    </row>
    <row r="526" ht="15.75" customHeight="1">
      <c r="I526" s="1021"/>
    </row>
    <row r="527" ht="15.75" customHeight="1">
      <c r="I527" s="1021"/>
    </row>
    <row r="528" ht="15.75" customHeight="1">
      <c r="I528" s="1021"/>
    </row>
    <row r="529" ht="15.75" customHeight="1">
      <c r="I529" s="1021"/>
    </row>
    <row r="530" ht="15.75" customHeight="1">
      <c r="I530" s="1021"/>
    </row>
    <row r="531" ht="15.75" customHeight="1">
      <c r="I531" s="1021"/>
    </row>
    <row r="532" ht="15.75" customHeight="1">
      <c r="I532" s="1021"/>
    </row>
    <row r="533" ht="15.75" customHeight="1">
      <c r="I533" s="1021"/>
    </row>
    <row r="534" ht="15.75" customHeight="1">
      <c r="I534" s="1021"/>
    </row>
    <row r="535" ht="15.75" customHeight="1">
      <c r="I535" s="1021"/>
    </row>
    <row r="536" ht="15.75" customHeight="1">
      <c r="I536" s="1021"/>
    </row>
    <row r="537" ht="15.75" customHeight="1">
      <c r="I537" s="1021"/>
    </row>
    <row r="538" ht="15.75" customHeight="1">
      <c r="I538" s="1021"/>
    </row>
    <row r="539" ht="15.75" customHeight="1">
      <c r="I539" s="1021"/>
    </row>
    <row r="540" ht="15.75" customHeight="1">
      <c r="I540" s="1021"/>
    </row>
    <row r="541" ht="15.75" customHeight="1">
      <c r="I541" s="1021"/>
    </row>
    <row r="542" ht="15.75" customHeight="1">
      <c r="I542" s="1021"/>
    </row>
    <row r="543" ht="15.75" customHeight="1">
      <c r="I543" s="1021"/>
    </row>
    <row r="544" ht="15.75" customHeight="1">
      <c r="I544" s="1021"/>
    </row>
    <row r="545" ht="15.75" customHeight="1">
      <c r="I545" s="1021"/>
    </row>
    <row r="546" ht="15.75" customHeight="1">
      <c r="I546" s="1021"/>
    </row>
    <row r="547" ht="15.75" customHeight="1">
      <c r="I547" s="1021"/>
    </row>
    <row r="548" ht="15.75" customHeight="1">
      <c r="I548" s="1021"/>
    </row>
    <row r="549" ht="15.75" customHeight="1">
      <c r="I549" s="1021"/>
    </row>
    <row r="550" ht="15.75" customHeight="1">
      <c r="I550" s="1021"/>
    </row>
    <row r="551" ht="15.75" customHeight="1">
      <c r="I551" s="1021"/>
    </row>
    <row r="552" ht="15.75" customHeight="1">
      <c r="I552" s="1021"/>
    </row>
    <row r="553" ht="15.75" customHeight="1">
      <c r="I553" s="1021"/>
    </row>
    <row r="554" ht="15.75" customHeight="1">
      <c r="I554" s="1021"/>
    </row>
    <row r="555" ht="15.75" customHeight="1">
      <c r="I555" s="1021"/>
    </row>
    <row r="556" ht="15.75" customHeight="1">
      <c r="I556" s="1021"/>
    </row>
    <row r="557" ht="15.75" customHeight="1">
      <c r="I557" s="1021"/>
    </row>
    <row r="558" ht="15.75" customHeight="1">
      <c r="I558" s="1021"/>
    </row>
    <row r="559" ht="15.75" customHeight="1">
      <c r="I559" s="1021"/>
    </row>
    <row r="560" ht="15.75" customHeight="1">
      <c r="I560" s="1021"/>
    </row>
    <row r="561" ht="15.75" customHeight="1">
      <c r="I561" s="1021"/>
    </row>
    <row r="562" ht="15.75" customHeight="1">
      <c r="I562" s="1021"/>
    </row>
    <row r="563" ht="15.75" customHeight="1">
      <c r="I563" s="1021"/>
    </row>
    <row r="564" ht="15.75" customHeight="1">
      <c r="I564" s="1021"/>
    </row>
    <row r="565" ht="15.75" customHeight="1">
      <c r="I565" s="1021"/>
    </row>
    <row r="566" ht="15.75" customHeight="1">
      <c r="I566" s="1021"/>
    </row>
    <row r="567" ht="15.75" customHeight="1">
      <c r="I567" s="1021"/>
    </row>
    <row r="568" ht="15.75" customHeight="1">
      <c r="I568" s="1021"/>
    </row>
    <row r="569" ht="15.75" customHeight="1">
      <c r="I569" s="1021"/>
    </row>
    <row r="570" ht="15.75" customHeight="1">
      <c r="I570" s="1021"/>
    </row>
    <row r="571" ht="15.75" customHeight="1">
      <c r="I571" s="1021"/>
    </row>
    <row r="572" ht="15.75" customHeight="1">
      <c r="I572" s="1021"/>
    </row>
    <row r="573" ht="15.75" customHeight="1">
      <c r="I573" s="1021"/>
    </row>
    <row r="574" ht="15.75" customHeight="1">
      <c r="I574" s="1021"/>
    </row>
    <row r="575" ht="15.75" customHeight="1">
      <c r="I575" s="1021"/>
    </row>
    <row r="576" ht="15.75" customHeight="1">
      <c r="I576" s="1021"/>
    </row>
    <row r="577" ht="15.75" customHeight="1">
      <c r="I577" s="1021"/>
    </row>
    <row r="578" ht="15.75" customHeight="1">
      <c r="I578" s="1021"/>
    </row>
    <row r="579" ht="15.75" customHeight="1">
      <c r="I579" s="1021"/>
    </row>
    <row r="580" ht="15.75" customHeight="1">
      <c r="I580" s="1021"/>
    </row>
    <row r="581" ht="15.75" customHeight="1">
      <c r="I581" s="1021"/>
    </row>
    <row r="582" ht="15.75" customHeight="1">
      <c r="I582" s="1021"/>
    </row>
    <row r="583" ht="15.75" customHeight="1">
      <c r="I583" s="1021"/>
    </row>
    <row r="584" ht="15.75" customHeight="1">
      <c r="I584" s="1021"/>
    </row>
    <row r="585" ht="15.75" customHeight="1">
      <c r="I585" s="1021"/>
    </row>
    <row r="586" ht="15.75" customHeight="1">
      <c r="I586" s="1021"/>
    </row>
    <row r="587" ht="15.75" customHeight="1">
      <c r="I587" s="1021"/>
    </row>
    <row r="588" ht="15.75" customHeight="1">
      <c r="I588" s="1021"/>
    </row>
    <row r="589" ht="15.75" customHeight="1">
      <c r="I589" s="1021"/>
    </row>
    <row r="590" ht="15.75" customHeight="1">
      <c r="I590" s="1021"/>
    </row>
    <row r="591" ht="15.75" customHeight="1">
      <c r="I591" s="1021"/>
    </row>
    <row r="592" ht="15.75" customHeight="1">
      <c r="I592" s="1021"/>
    </row>
    <row r="593" ht="15.75" customHeight="1">
      <c r="I593" s="1021"/>
    </row>
    <row r="594" ht="15.75" customHeight="1">
      <c r="I594" s="1021"/>
    </row>
    <row r="595" ht="15.75" customHeight="1">
      <c r="I595" s="1021"/>
    </row>
    <row r="596" ht="15.75" customHeight="1">
      <c r="I596" s="1021"/>
    </row>
    <row r="597" ht="15.75" customHeight="1">
      <c r="I597" s="1021"/>
    </row>
    <row r="598" ht="15.75" customHeight="1">
      <c r="I598" s="1021"/>
    </row>
    <row r="599" ht="15.75" customHeight="1">
      <c r="I599" s="1021"/>
    </row>
    <row r="600" ht="15.75" customHeight="1">
      <c r="I600" s="1021"/>
    </row>
    <row r="601" ht="15.75" customHeight="1">
      <c r="I601" s="1021"/>
    </row>
    <row r="602" ht="15.75" customHeight="1">
      <c r="I602" s="1021"/>
    </row>
    <row r="603" ht="15.75" customHeight="1">
      <c r="I603" s="1021"/>
    </row>
    <row r="604" ht="15.75" customHeight="1">
      <c r="I604" s="1021"/>
    </row>
    <row r="605" ht="15.75" customHeight="1">
      <c r="I605" s="1021"/>
    </row>
    <row r="606" ht="15.75" customHeight="1">
      <c r="I606" s="1021"/>
    </row>
    <row r="607" ht="15.75" customHeight="1">
      <c r="I607" s="1021"/>
    </row>
    <row r="608" ht="15.75" customHeight="1">
      <c r="I608" s="1021"/>
    </row>
    <row r="609" ht="15.75" customHeight="1">
      <c r="I609" s="1021"/>
    </row>
    <row r="610" ht="15.75" customHeight="1">
      <c r="I610" s="1021"/>
    </row>
    <row r="611" ht="15.75" customHeight="1">
      <c r="I611" s="1021"/>
    </row>
    <row r="612" ht="15.75" customHeight="1">
      <c r="I612" s="1021"/>
    </row>
    <row r="613" ht="15.75" customHeight="1">
      <c r="I613" s="1021"/>
    </row>
    <row r="614" ht="15.75" customHeight="1">
      <c r="I614" s="1021"/>
    </row>
    <row r="615" ht="15.75" customHeight="1">
      <c r="I615" s="1021"/>
    </row>
    <row r="616" ht="15.75" customHeight="1">
      <c r="I616" s="1021"/>
    </row>
    <row r="617" ht="15.75" customHeight="1">
      <c r="I617" s="1021"/>
    </row>
    <row r="618" ht="15.75" customHeight="1">
      <c r="I618" s="1021"/>
    </row>
    <row r="619" ht="15.75" customHeight="1">
      <c r="I619" s="1021"/>
    </row>
    <row r="620" ht="15.75" customHeight="1">
      <c r="I620" s="1021"/>
    </row>
    <row r="621" ht="15.75" customHeight="1">
      <c r="I621" s="1021"/>
    </row>
    <row r="622" ht="15.75" customHeight="1">
      <c r="I622" s="1021"/>
    </row>
    <row r="623" ht="15.75" customHeight="1">
      <c r="I623" s="1021"/>
    </row>
    <row r="624" ht="15.75" customHeight="1">
      <c r="I624" s="1021"/>
    </row>
    <row r="625" ht="15.75" customHeight="1">
      <c r="I625" s="1021"/>
    </row>
    <row r="626" ht="15.75" customHeight="1">
      <c r="I626" s="1021"/>
    </row>
    <row r="627" ht="15.75" customHeight="1">
      <c r="I627" s="1021"/>
    </row>
    <row r="628" ht="15.75" customHeight="1">
      <c r="I628" s="1021"/>
    </row>
    <row r="629" ht="15.75" customHeight="1">
      <c r="I629" s="1021"/>
    </row>
    <row r="630" ht="15.75" customHeight="1">
      <c r="I630" s="1021"/>
    </row>
    <row r="631" ht="15.75" customHeight="1">
      <c r="I631" s="1021"/>
    </row>
    <row r="632" ht="15.75" customHeight="1">
      <c r="I632" s="1021"/>
    </row>
    <row r="633" ht="15.75" customHeight="1">
      <c r="I633" s="1021"/>
    </row>
    <row r="634" ht="15.75" customHeight="1">
      <c r="I634" s="1021"/>
    </row>
    <row r="635" ht="15.75" customHeight="1">
      <c r="I635" s="1021"/>
    </row>
    <row r="636" ht="15.75" customHeight="1">
      <c r="I636" s="1021"/>
    </row>
    <row r="637" ht="15.75" customHeight="1">
      <c r="I637" s="1021"/>
    </row>
    <row r="638" ht="15.75" customHeight="1">
      <c r="I638" s="1021"/>
    </row>
    <row r="639" ht="15.75" customHeight="1">
      <c r="I639" s="1021"/>
    </row>
    <row r="640" ht="15.75" customHeight="1">
      <c r="I640" s="1021"/>
    </row>
    <row r="641" ht="15.75" customHeight="1">
      <c r="I641" s="1021"/>
    </row>
    <row r="642" ht="15.75" customHeight="1">
      <c r="I642" s="1021"/>
    </row>
    <row r="643" ht="15.75" customHeight="1">
      <c r="I643" s="1021"/>
    </row>
    <row r="644" ht="15.75" customHeight="1">
      <c r="I644" s="1021"/>
    </row>
    <row r="645" ht="15.75" customHeight="1">
      <c r="I645" s="1021"/>
    </row>
    <row r="646" ht="15.75" customHeight="1">
      <c r="I646" s="1021"/>
    </row>
    <row r="647" ht="15.75" customHeight="1">
      <c r="I647" s="1021"/>
    </row>
    <row r="648" ht="15.75" customHeight="1">
      <c r="I648" s="1021"/>
    </row>
    <row r="649" ht="15.75" customHeight="1">
      <c r="I649" s="1021"/>
    </row>
    <row r="650" ht="15.75" customHeight="1">
      <c r="I650" s="1021"/>
    </row>
    <row r="651" ht="15.75" customHeight="1">
      <c r="I651" s="1021"/>
    </row>
    <row r="652" ht="15.75" customHeight="1">
      <c r="I652" s="1021"/>
    </row>
    <row r="653" ht="15.75" customHeight="1">
      <c r="I653" s="1021"/>
    </row>
    <row r="654" ht="15.75" customHeight="1">
      <c r="I654" s="1021"/>
    </row>
    <row r="655" ht="15.75" customHeight="1">
      <c r="I655" s="1021"/>
    </row>
    <row r="656" ht="15.75" customHeight="1">
      <c r="I656" s="1021"/>
    </row>
    <row r="657" ht="15.75" customHeight="1">
      <c r="I657" s="1021"/>
    </row>
    <row r="658" ht="15.75" customHeight="1">
      <c r="I658" s="1021"/>
    </row>
    <row r="659" ht="15.75" customHeight="1">
      <c r="I659" s="1021"/>
    </row>
    <row r="660" ht="15.75" customHeight="1">
      <c r="I660" s="1021"/>
    </row>
    <row r="661" ht="15.75" customHeight="1">
      <c r="I661" s="1021"/>
    </row>
    <row r="662" ht="15.75" customHeight="1">
      <c r="I662" s="1021"/>
    </row>
    <row r="663" ht="15.75" customHeight="1">
      <c r="I663" s="1021"/>
    </row>
    <row r="664" ht="15.75" customHeight="1">
      <c r="I664" s="1021"/>
    </row>
    <row r="665" ht="15.75" customHeight="1">
      <c r="I665" s="1021"/>
    </row>
    <row r="666" ht="15.75" customHeight="1">
      <c r="I666" s="1021"/>
    </row>
    <row r="667" ht="15.75" customHeight="1">
      <c r="I667" s="1021"/>
    </row>
    <row r="668" ht="15.75" customHeight="1">
      <c r="I668" s="1021"/>
    </row>
    <row r="669" ht="15.75" customHeight="1">
      <c r="I669" s="1021"/>
    </row>
    <row r="670" ht="15.75" customHeight="1">
      <c r="I670" s="1021"/>
    </row>
    <row r="671" ht="15.75" customHeight="1">
      <c r="I671" s="1021"/>
    </row>
    <row r="672" ht="15.75" customHeight="1">
      <c r="I672" s="1021"/>
    </row>
    <row r="673" ht="15.75" customHeight="1">
      <c r="I673" s="1021"/>
    </row>
    <row r="674" ht="15.75" customHeight="1">
      <c r="I674" s="1021"/>
    </row>
    <row r="675" ht="15.75" customHeight="1">
      <c r="I675" s="1021"/>
    </row>
    <row r="676" ht="15.75" customHeight="1">
      <c r="I676" s="1021"/>
    </row>
    <row r="677" ht="15.75" customHeight="1">
      <c r="I677" s="1021"/>
    </row>
    <row r="678" ht="15.75" customHeight="1">
      <c r="I678" s="1021"/>
    </row>
    <row r="679" ht="15.75" customHeight="1">
      <c r="I679" s="1021"/>
    </row>
    <row r="680" ht="15.75" customHeight="1">
      <c r="I680" s="1021"/>
    </row>
    <row r="681" ht="15.75" customHeight="1">
      <c r="I681" s="1021"/>
    </row>
    <row r="682" ht="15.75" customHeight="1">
      <c r="I682" s="1021"/>
    </row>
    <row r="683" ht="15.75" customHeight="1">
      <c r="I683" s="1021"/>
    </row>
    <row r="684" ht="15.75" customHeight="1">
      <c r="I684" s="1021"/>
    </row>
    <row r="685" ht="15.75" customHeight="1">
      <c r="I685" s="1021"/>
    </row>
    <row r="686" ht="15.75" customHeight="1">
      <c r="I686" s="1021"/>
    </row>
    <row r="687" ht="15.75" customHeight="1">
      <c r="I687" s="1021"/>
    </row>
    <row r="688" ht="15.75" customHeight="1">
      <c r="I688" s="1021"/>
    </row>
    <row r="689" ht="15.75" customHeight="1">
      <c r="I689" s="1021"/>
    </row>
    <row r="690" ht="15.75" customHeight="1">
      <c r="I690" s="1021"/>
    </row>
    <row r="691" ht="15.75" customHeight="1">
      <c r="I691" s="1021"/>
    </row>
    <row r="692" ht="15.75" customHeight="1">
      <c r="I692" s="1021"/>
    </row>
    <row r="693" ht="15.75" customHeight="1">
      <c r="I693" s="1021"/>
    </row>
    <row r="694" ht="15.75" customHeight="1">
      <c r="I694" s="1021"/>
    </row>
    <row r="695" ht="15.75" customHeight="1">
      <c r="I695" s="1021"/>
    </row>
    <row r="696" ht="15.75" customHeight="1">
      <c r="I696" s="1021"/>
    </row>
    <row r="697" ht="15.75" customHeight="1">
      <c r="I697" s="1021"/>
    </row>
    <row r="698" ht="15.75" customHeight="1">
      <c r="I698" s="1021"/>
    </row>
    <row r="699" ht="15.75" customHeight="1">
      <c r="I699" s="1021"/>
    </row>
    <row r="700" ht="15.75" customHeight="1">
      <c r="I700" s="1021"/>
    </row>
    <row r="701" ht="15.75" customHeight="1">
      <c r="I701" s="1021"/>
    </row>
    <row r="702" ht="15.75" customHeight="1">
      <c r="I702" s="1021"/>
    </row>
    <row r="703" ht="15.75" customHeight="1">
      <c r="I703" s="1021"/>
    </row>
    <row r="704" ht="15.75" customHeight="1">
      <c r="I704" s="1021"/>
    </row>
    <row r="705" ht="15.75" customHeight="1">
      <c r="I705" s="1021"/>
    </row>
    <row r="706" ht="15.75" customHeight="1">
      <c r="I706" s="1021"/>
    </row>
    <row r="707" ht="15.75" customHeight="1">
      <c r="I707" s="1021"/>
    </row>
    <row r="708" ht="15.75" customHeight="1">
      <c r="I708" s="1021"/>
    </row>
    <row r="709" ht="15.75" customHeight="1">
      <c r="I709" s="1021"/>
    </row>
    <row r="710" ht="15.75" customHeight="1">
      <c r="I710" s="1021"/>
    </row>
    <row r="711" ht="15.75" customHeight="1">
      <c r="I711" s="1021"/>
    </row>
    <row r="712" ht="15.75" customHeight="1">
      <c r="I712" s="1021"/>
    </row>
    <row r="713" ht="15.75" customHeight="1">
      <c r="I713" s="1021"/>
    </row>
    <row r="714" ht="15.75" customHeight="1">
      <c r="I714" s="1021"/>
    </row>
    <row r="715" ht="15.75" customHeight="1">
      <c r="I715" s="1021"/>
    </row>
    <row r="716" ht="15.75" customHeight="1">
      <c r="I716" s="1021"/>
    </row>
    <row r="717" ht="15.75" customHeight="1">
      <c r="I717" s="1021"/>
    </row>
    <row r="718" ht="15.75" customHeight="1">
      <c r="I718" s="1021"/>
    </row>
    <row r="719" ht="15.75" customHeight="1">
      <c r="I719" s="1021"/>
    </row>
    <row r="720" ht="15.75" customHeight="1">
      <c r="I720" s="1021"/>
    </row>
    <row r="721" ht="15.75" customHeight="1">
      <c r="I721" s="1021"/>
    </row>
    <row r="722" ht="15.75" customHeight="1">
      <c r="I722" s="1021"/>
    </row>
    <row r="723" ht="15.75" customHeight="1">
      <c r="I723" s="1021"/>
    </row>
    <row r="724" ht="15.75" customHeight="1">
      <c r="I724" s="1021"/>
    </row>
    <row r="725" ht="15.75" customHeight="1">
      <c r="I725" s="1021"/>
    </row>
    <row r="726" ht="15.75" customHeight="1">
      <c r="I726" s="1021"/>
    </row>
    <row r="727" ht="15.75" customHeight="1">
      <c r="I727" s="1021"/>
    </row>
    <row r="728" ht="15.75" customHeight="1">
      <c r="I728" s="1021"/>
    </row>
    <row r="729" ht="15.75" customHeight="1">
      <c r="I729" s="1021"/>
    </row>
    <row r="730" ht="15.75" customHeight="1">
      <c r="I730" s="1021"/>
    </row>
    <row r="731" ht="15.75" customHeight="1">
      <c r="I731" s="1021"/>
    </row>
    <row r="732" ht="15.75" customHeight="1">
      <c r="I732" s="1021"/>
    </row>
    <row r="733" ht="15.75" customHeight="1">
      <c r="I733" s="1021"/>
    </row>
    <row r="734" ht="15.75" customHeight="1">
      <c r="I734" s="1021"/>
    </row>
    <row r="735" ht="15.75" customHeight="1">
      <c r="I735" s="1021"/>
    </row>
    <row r="736" ht="15.75" customHeight="1">
      <c r="I736" s="1021"/>
    </row>
    <row r="737" ht="15.75" customHeight="1">
      <c r="I737" s="1021"/>
    </row>
    <row r="738" ht="15.75" customHeight="1">
      <c r="I738" s="1021"/>
    </row>
    <row r="739" ht="15.75" customHeight="1">
      <c r="I739" s="1021"/>
    </row>
    <row r="740" ht="15.75" customHeight="1">
      <c r="I740" s="1021"/>
    </row>
    <row r="741" ht="15.75" customHeight="1">
      <c r="I741" s="1021"/>
    </row>
    <row r="742" ht="15.75" customHeight="1">
      <c r="I742" s="1021"/>
    </row>
    <row r="743" ht="15.75" customHeight="1">
      <c r="I743" s="1021"/>
    </row>
    <row r="744" ht="15.75" customHeight="1">
      <c r="I744" s="1021"/>
    </row>
    <row r="745" ht="15.75" customHeight="1">
      <c r="I745" s="1021"/>
    </row>
    <row r="746" ht="15.75" customHeight="1">
      <c r="I746" s="1021"/>
    </row>
    <row r="747" ht="15.75" customHeight="1">
      <c r="I747" s="1021"/>
    </row>
    <row r="748" ht="15.75" customHeight="1">
      <c r="I748" s="1021"/>
    </row>
    <row r="749" ht="15.75" customHeight="1">
      <c r="I749" s="1021"/>
    </row>
    <row r="750" ht="15.75" customHeight="1">
      <c r="I750" s="1021"/>
    </row>
    <row r="751" ht="15.75" customHeight="1">
      <c r="I751" s="1021"/>
    </row>
    <row r="752" ht="15.75" customHeight="1">
      <c r="I752" s="1021"/>
    </row>
    <row r="753" ht="15.75" customHeight="1">
      <c r="I753" s="1021"/>
    </row>
    <row r="754" ht="15.75" customHeight="1">
      <c r="I754" s="1021"/>
    </row>
    <row r="755" ht="15.75" customHeight="1">
      <c r="I755" s="1021"/>
    </row>
    <row r="756" ht="15.75" customHeight="1">
      <c r="I756" s="1021"/>
    </row>
    <row r="757" ht="15.75" customHeight="1">
      <c r="I757" s="1021"/>
    </row>
    <row r="758" ht="15.75" customHeight="1">
      <c r="I758" s="1021"/>
    </row>
    <row r="759" ht="15.75" customHeight="1">
      <c r="I759" s="1021"/>
    </row>
    <row r="760" ht="15.75" customHeight="1">
      <c r="I760" s="1021"/>
    </row>
    <row r="761" ht="15.75" customHeight="1">
      <c r="I761" s="1021"/>
    </row>
    <row r="762" ht="15.75" customHeight="1">
      <c r="I762" s="1021"/>
    </row>
    <row r="763" ht="15.75" customHeight="1">
      <c r="I763" s="1021"/>
    </row>
    <row r="764" ht="15.75" customHeight="1">
      <c r="I764" s="1021"/>
    </row>
    <row r="765" ht="15.75" customHeight="1">
      <c r="I765" s="1021"/>
    </row>
    <row r="766" ht="15.75" customHeight="1">
      <c r="I766" s="1021"/>
    </row>
    <row r="767" ht="15.75" customHeight="1">
      <c r="I767" s="1021"/>
    </row>
    <row r="768" ht="15.75" customHeight="1">
      <c r="I768" s="1021"/>
    </row>
    <row r="769" ht="15.75" customHeight="1">
      <c r="I769" s="1021"/>
    </row>
    <row r="770" ht="15.75" customHeight="1">
      <c r="I770" s="1021"/>
    </row>
    <row r="771" ht="15.75" customHeight="1">
      <c r="I771" s="1021"/>
    </row>
    <row r="772" ht="15.75" customHeight="1">
      <c r="I772" s="1021"/>
    </row>
    <row r="773" ht="15.75" customHeight="1">
      <c r="I773" s="1021"/>
    </row>
    <row r="774" ht="15.75" customHeight="1">
      <c r="I774" s="1021"/>
    </row>
    <row r="775" ht="15.75" customHeight="1">
      <c r="I775" s="1021"/>
    </row>
    <row r="776" ht="15.75" customHeight="1">
      <c r="I776" s="1021"/>
    </row>
    <row r="777" ht="15.75" customHeight="1">
      <c r="I777" s="1021"/>
    </row>
    <row r="778" ht="15.75" customHeight="1">
      <c r="I778" s="1021"/>
    </row>
    <row r="779" ht="15.75" customHeight="1">
      <c r="I779" s="1021"/>
    </row>
    <row r="780" ht="15.75" customHeight="1">
      <c r="I780" s="1021"/>
    </row>
    <row r="781" ht="15.75" customHeight="1">
      <c r="I781" s="1021"/>
    </row>
    <row r="782" ht="15.75" customHeight="1">
      <c r="I782" s="1021"/>
    </row>
    <row r="783" ht="15.75" customHeight="1">
      <c r="I783" s="1021"/>
    </row>
    <row r="784" ht="15.75" customHeight="1">
      <c r="I784" s="1021"/>
    </row>
    <row r="785" ht="15.75" customHeight="1">
      <c r="I785" s="1021"/>
    </row>
    <row r="786" ht="15.75" customHeight="1">
      <c r="I786" s="1021"/>
    </row>
    <row r="787" ht="15.75" customHeight="1">
      <c r="I787" s="1021"/>
    </row>
    <row r="788" ht="15.75" customHeight="1">
      <c r="I788" s="1021"/>
    </row>
    <row r="789" ht="15.75" customHeight="1">
      <c r="I789" s="1021"/>
    </row>
    <row r="790" ht="15.75" customHeight="1">
      <c r="I790" s="1021"/>
    </row>
    <row r="791" ht="15.75" customHeight="1">
      <c r="I791" s="1021"/>
    </row>
    <row r="792" ht="15.75" customHeight="1">
      <c r="I792" s="1021"/>
    </row>
    <row r="793" ht="15.75" customHeight="1">
      <c r="I793" s="1021"/>
    </row>
    <row r="794" ht="15.75" customHeight="1">
      <c r="I794" s="1021"/>
    </row>
    <row r="795" ht="15.75" customHeight="1">
      <c r="I795" s="1021"/>
    </row>
    <row r="796" ht="15.75" customHeight="1">
      <c r="I796" s="1021"/>
    </row>
    <row r="797" ht="15.75" customHeight="1">
      <c r="I797" s="1021"/>
    </row>
    <row r="798" ht="15.75" customHeight="1">
      <c r="I798" s="1021"/>
    </row>
    <row r="799" ht="15.75" customHeight="1">
      <c r="I799" s="1021"/>
    </row>
    <row r="800" ht="15.75" customHeight="1">
      <c r="I800" s="1021"/>
    </row>
    <row r="801" ht="15.75" customHeight="1">
      <c r="I801" s="1021"/>
    </row>
    <row r="802" ht="15.75" customHeight="1">
      <c r="I802" s="1021"/>
    </row>
    <row r="803" ht="15.75" customHeight="1">
      <c r="I803" s="1021"/>
    </row>
    <row r="804" ht="15.75" customHeight="1">
      <c r="I804" s="1021"/>
    </row>
    <row r="805" ht="15.75" customHeight="1">
      <c r="I805" s="1021"/>
    </row>
    <row r="806" ht="15.75" customHeight="1">
      <c r="I806" s="1021"/>
    </row>
    <row r="807" ht="15.75" customHeight="1">
      <c r="I807" s="1021"/>
    </row>
    <row r="808" ht="15.75" customHeight="1">
      <c r="I808" s="1021"/>
    </row>
    <row r="809" ht="15.75" customHeight="1">
      <c r="I809" s="1021"/>
    </row>
    <row r="810" ht="15.75" customHeight="1">
      <c r="I810" s="1021"/>
    </row>
    <row r="811" ht="15.75" customHeight="1">
      <c r="I811" s="1021"/>
    </row>
    <row r="812" ht="15.75" customHeight="1">
      <c r="I812" s="1021"/>
    </row>
    <row r="813" ht="15.75" customHeight="1">
      <c r="I813" s="1021"/>
    </row>
    <row r="814" ht="15.75" customHeight="1">
      <c r="I814" s="1021"/>
    </row>
    <row r="815" ht="15.75" customHeight="1">
      <c r="I815" s="1021"/>
    </row>
    <row r="816" ht="15.75" customHeight="1">
      <c r="I816" s="1021"/>
    </row>
    <row r="817" ht="15.75" customHeight="1">
      <c r="I817" s="1021"/>
    </row>
    <row r="818" ht="15.75" customHeight="1">
      <c r="I818" s="1021"/>
    </row>
    <row r="819" ht="15.75" customHeight="1">
      <c r="I819" s="1021"/>
    </row>
    <row r="820" ht="15.75" customHeight="1">
      <c r="I820" s="1021"/>
    </row>
    <row r="821" ht="15.75" customHeight="1">
      <c r="I821" s="1021"/>
    </row>
    <row r="822" ht="15.75" customHeight="1">
      <c r="I822" s="1021"/>
    </row>
    <row r="823" ht="15.75" customHeight="1">
      <c r="I823" s="1021"/>
    </row>
    <row r="824" ht="15.75" customHeight="1">
      <c r="I824" s="1021"/>
    </row>
    <row r="825" ht="15.75" customHeight="1">
      <c r="I825" s="1021"/>
    </row>
    <row r="826" ht="15.75" customHeight="1">
      <c r="I826" s="1021"/>
    </row>
    <row r="827" ht="15.75" customHeight="1">
      <c r="I827" s="1021"/>
    </row>
    <row r="828" ht="15.75" customHeight="1">
      <c r="I828" s="1021"/>
    </row>
    <row r="829" ht="15.75" customHeight="1">
      <c r="I829" s="1021"/>
    </row>
    <row r="830" ht="15.75" customHeight="1">
      <c r="I830" s="1021"/>
    </row>
    <row r="831" ht="15.75" customHeight="1">
      <c r="I831" s="1021"/>
    </row>
    <row r="832" ht="15.75" customHeight="1">
      <c r="I832" s="1021"/>
    </row>
    <row r="833" ht="15.75" customHeight="1">
      <c r="I833" s="1021"/>
    </row>
    <row r="834" ht="15.75" customHeight="1">
      <c r="I834" s="1021"/>
    </row>
    <row r="835" ht="15.75" customHeight="1">
      <c r="I835" s="1021"/>
    </row>
    <row r="836" ht="15.75" customHeight="1">
      <c r="I836" s="1021"/>
    </row>
    <row r="837" ht="15.75" customHeight="1">
      <c r="I837" s="1021"/>
    </row>
    <row r="838" ht="15.75" customHeight="1">
      <c r="I838" s="1021"/>
    </row>
    <row r="839" ht="15.75" customHeight="1">
      <c r="I839" s="1021"/>
    </row>
    <row r="840" ht="15.75" customHeight="1">
      <c r="I840" s="1021"/>
    </row>
    <row r="841" ht="15.75" customHeight="1">
      <c r="I841" s="1021"/>
    </row>
    <row r="842" ht="15.75" customHeight="1">
      <c r="I842" s="1021"/>
    </row>
    <row r="843" ht="15.75" customHeight="1">
      <c r="I843" s="1021"/>
    </row>
    <row r="844" ht="15.75" customHeight="1">
      <c r="I844" s="1021"/>
    </row>
    <row r="845" ht="15.75" customHeight="1">
      <c r="I845" s="1021"/>
    </row>
    <row r="846" ht="15.75" customHeight="1">
      <c r="I846" s="1021"/>
    </row>
    <row r="847" ht="15.75" customHeight="1">
      <c r="I847" s="1021"/>
    </row>
    <row r="848" ht="15.75" customHeight="1">
      <c r="I848" s="1021"/>
    </row>
    <row r="849" ht="15.75" customHeight="1">
      <c r="I849" s="1021"/>
    </row>
    <row r="850" ht="15.75" customHeight="1">
      <c r="I850" s="1021"/>
    </row>
    <row r="851" ht="15.75" customHeight="1">
      <c r="I851" s="1021"/>
    </row>
    <row r="852" ht="15.75" customHeight="1">
      <c r="I852" s="1021"/>
    </row>
    <row r="853" ht="15.75" customHeight="1">
      <c r="I853" s="1021"/>
    </row>
    <row r="854" ht="15.75" customHeight="1">
      <c r="I854" s="1021"/>
    </row>
    <row r="855" ht="15.75" customHeight="1">
      <c r="I855" s="1021"/>
    </row>
    <row r="856" ht="15.75" customHeight="1">
      <c r="I856" s="1021"/>
    </row>
    <row r="857" ht="15.75" customHeight="1">
      <c r="I857" s="1021"/>
    </row>
    <row r="858" ht="15.75" customHeight="1">
      <c r="I858" s="1021"/>
    </row>
    <row r="859" ht="15.75" customHeight="1">
      <c r="I859" s="1021"/>
    </row>
    <row r="860" ht="15.75" customHeight="1">
      <c r="I860" s="1021"/>
    </row>
    <row r="861" ht="15.75" customHeight="1">
      <c r="I861" s="1021"/>
    </row>
    <row r="862" ht="15.75" customHeight="1">
      <c r="I862" s="1021"/>
    </row>
    <row r="863" ht="15.75" customHeight="1">
      <c r="I863" s="1021"/>
    </row>
    <row r="864" ht="15.75" customHeight="1">
      <c r="I864" s="1021"/>
    </row>
    <row r="865" ht="15.75" customHeight="1">
      <c r="I865" s="1021"/>
    </row>
    <row r="866" ht="15.75" customHeight="1">
      <c r="I866" s="1021"/>
    </row>
    <row r="867" ht="15.75" customHeight="1">
      <c r="I867" s="1021"/>
    </row>
    <row r="868" ht="15.75" customHeight="1">
      <c r="I868" s="1021"/>
    </row>
    <row r="869" ht="15.75" customHeight="1">
      <c r="I869" s="1021"/>
    </row>
    <row r="870" ht="15.75" customHeight="1">
      <c r="I870" s="1021"/>
    </row>
    <row r="871" ht="15.75" customHeight="1">
      <c r="I871" s="1021"/>
    </row>
    <row r="872" ht="15.75" customHeight="1">
      <c r="I872" s="1021"/>
    </row>
    <row r="873" ht="15.75" customHeight="1">
      <c r="I873" s="1021"/>
    </row>
    <row r="874" ht="15.75" customHeight="1">
      <c r="I874" s="1021"/>
    </row>
    <row r="875" ht="15.75" customHeight="1">
      <c r="I875" s="1021"/>
    </row>
    <row r="876" ht="15.75" customHeight="1">
      <c r="I876" s="1021"/>
    </row>
    <row r="877" ht="15.75" customHeight="1">
      <c r="I877" s="1021"/>
    </row>
    <row r="878" ht="15.75" customHeight="1">
      <c r="I878" s="1021"/>
    </row>
    <row r="879" ht="15.75" customHeight="1">
      <c r="I879" s="1021"/>
    </row>
    <row r="880" ht="15.75" customHeight="1">
      <c r="I880" s="1021"/>
    </row>
    <row r="881" ht="15.75" customHeight="1">
      <c r="I881" s="1021"/>
    </row>
    <row r="882" ht="15.75" customHeight="1">
      <c r="I882" s="1021"/>
    </row>
    <row r="883" ht="15.75" customHeight="1">
      <c r="I883" s="1021"/>
    </row>
    <row r="884" ht="15.75" customHeight="1">
      <c r="I884" s="1021"/>
    </row>
    <row r="885" ht="15.75" customHeight="1">
      <c r="I885" s="1021"/>
    </row>
    <row r="886" ht="15.75" customHeight="1">
      <c r="I886" s="1021"/>
    </row>
    <row r="887" ht="15.75" customHeight="1">
      <c r="I887" s="1021"/>
    </row>
    <row r="888" ht="15.75" customHeight="1">
      <c r="I888" s="1021"/>
    </row>
    <row r="889" ht="15.75" customHeight="1">
      <c r="I889" s="1021"/>
    </row>
    <row r="890" ht="15.75" customHeight="1">
      <c r="I890" s="1021"/>
    </row>
    <row r="891" ht="15.75" customHeight="1">
      <c r="I891" s="1021"/>
    </row>
    <row r="892" ht="15.75" customHeight="1">
      <c r="I892" s="1021"/>
    </row>
    <row r="893" ht="15.75" customHeight="1">
      <c r="I893" s="1021"/>
    </row>
    <row r="894" ht="15.75" customHeight="1">
      <c r="I894" s="1021"/>
    </row>
    <row r="895" ht="15.75" customHeight="1">
      <c r="I895" s="1021"/>
    </row>
    <row r="896" ht="15.75" customHeight="1">
      <c r="I896" s="1021"/>
    </row>
    <row r="897" ht="15.75" customHeight="1">
      <c r="I897" s="1021"/>
    </row>
    <row r="898" ht="15.75" customHeight="1">
      <c r="I898" s="1021"/>
    </row>
    <row r="899" ht="15.75" customHeight="1">
      <c r="I899" s="1021"/>
    </row>
    <row r="900" ht="15.75" customHeight="1">
      <c r="I900" s="1021"/>
    </row>
    <row r="901" ht="15.75" customHeight="1">
      <c r="I901" s="1021"/>
    </row>
    <row r="902" ht="15.75" customHeight="1">
      <c r="I902" s="1021"/>
    </row>
    <row r="903" ht="15.75" customHeight="1">
      <c r="I903" s="1021"/>
    </row>
  </sheetData>
  <mergeCells count="12">
    <mergeCell ref="C13:E13"/>
    <mergeCell ref="C14:E14"/>
    <mergeCell ref="C15:E15"/>
    <mergeCell ref="C16:E16"/>
    <mergeCell ref="A17:D18"/>
    <mergeCell ref="H6:K6"/>
    <mergeCell ref="D7:H7"/>
    <mergeCell ref="F9:G9"/>
    <mergeCell ref="C10:E10"/>
    <mergeCell ref="F10:G10"/>
    <mergeCell ref="C11:E11"/>
    <mergeCell ref="C12:E12"/>
  </mergeCells>
  <printOptions horizontalCentered="1"/>
  <pageMargins bottom="0.2689839283788157" footer="0.0" header="0.0" left="0.0" right="0.0" top="0.39484029764007433"/>
  <pageSetup paperSize="11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9.0"/>
    <col customWidth="1" min="3" max="3" width="8.71"/>
    <col customWidth="1" min="4" max="4" width="11.43"/>
    <col customWidth="1" min="5" max="5" width="8.71"/>
    <col customWidth="1" min="6" max="6" width="3.57"/>
    <col customWidth="1" min="7" max="7" width="3.43"/>
    <col customWidth="1" min="8" max="8" width="11.43"/>
    <col customWidth="1" min="9" max="9" width="7.14"/>
    <col customWidth="1" min="10" max="10" width="11.43"/>
    <col customWidth="1" min="11" max="11" width="12.29"/>
  </cols>
  <sheetData>
    <row r="1" ht="13.5" customHeight="1">
      <c r="A1" s="590" t="s">
        <v>10962</v>
      </c>
      <c r="B1" s="591"/>
      <c r="C1" s="592"/>
      <c r="D1" s="592"/>
      <c r="E1" s="592"/>
      <c r="F1" s="592"/>
      <c r="G1" s="592"/>
      <c r="H1" s="594"/>
      <c r="I1" s="992" t="s">
        <v>9773</v>
      </c>
      <c r="K1" s="595">
        <v>46129.0</v>
      </c>
    </row>
    <row r="2" ht="13.5" customHeight="1">
      <c r="A2" s="596" t="s">
        <v>10963</v>
      </c>
      <c r="B2" s="597"/>
      <c r="C2" s="598"/>
      <c r="D2" s="598"/>
      <c r="E2" s="598"/>
      <c r="F2" s="592"/>
      <c r="G2" s="592"/>
      <c r="H2" s="594"/>
      <c r="I2" s="992" t="s">
        <v>9775</v>
      </c>
      <c r="K2" s="676"/>
    </row>
    <row r="3" ht="13.5" customHeight="1">
      <c r="A3" s="599" t="s">
        <v>9776</v>
      </c>
      <c r="B3" s="600"/>
      <c r="C3" s="592"/>
      <c r="D3" s="601"/>
      <c r="E3" s="601"/>
      <c r="F3" s="601"/>
      <c r="G3" s="601"/>
      <c r="H3" s="674"/>
      <c r="I3" s="1026" t="s">
        <v>10984</v>
      </c>
      <c r="J3" s="674"/>
      <c r="K3" s="674"/>
    </row>
    <row r="4" ht="13.5" customHeight="1">
      <c r="A4" s="604"/>
      <c r="B4" s="604"/>
      <c r="C4" s="592"/>
      <c r="D4" s="601"/>
      <c r="E4" s="601"/>
      <c r="F4" s="601"/>
      <c r="G4" s="601"/>
      <c r="H4" s="109"/>
      <c r="I4" s="1027" t="s">
        <v>10985</v>
      </c>
      <c r="J4" s="674"/>
      <c r="K4" s="674"/>
    </row>
    <row r="5" ht="13.5" customHeight="1">
      <c r="A5" s="604"/>
      <c r="B5" s="604"/>
      <c r="C5" s="592"/>
      <c r="D5" s="601"/>
      <c r="E5" s="601"/>
      <c r="F5" s="601"/>
      <c r="G5" s="601"/>
      <c r="I5" s="993"/>
      <c r="J5" s="607"/>
      <c r="K5" s="607"/>
    </row>
    <row r="6" ht="13.5" customHeight="1">
      <c r="A6" s="604"/>
      <c r="B6" s="604"/>
      <c r="C6" s="592"/>
      <c r="D6" s="601"/>
      <c r="E6" s="601"/>
      <c r="F6" s="601"/>
      <c r="G6" s="601"/>
      <c r="H6" s="606"/>
    </row>
    <row r="7" ht="13.5" customHeight="1">
      <c r="A7" s="604"/>
      <c r="B7" s="604"/>
      <c r="C7" s="592"/>
      <c r="D7" s="701" t="s">
        <v>10966</v>
      </c>
      <c r="I7" s="994"/>
      <c r="J7" s="609"/>
      <c r="K7" s="609"/>
    </row>
    <row r="8" ht="13.5" customHeight="1">
      <c r="A8" s="17"/>
      <c r="B8" s="600"/>
      <c r="C8" s="17"/>
      <c r="D8" s="611"/>
      <c r="E8" s="611"/>
      <c r="F8" s="17"/>
      <c r="G8" s="17"/>
      <c r="H8" s="612"/>
      <c r="I8" s="995"/>
      <c r="J8" s="612"/>
      <c r="K8" s="612"/>
    </row>
    <row r="9" ht="13.5" customHeight="1">
      <c r="A9" s="561" t="s">
        <v>10967</v>
      </c>
      <c r="B9" s="996" t="s">
        <v>10986</v>
      </c>
      <c r="C9" s="17"/>
      <c r="D9" s="615"/>
      <c r="E9" s="17"/>
      <c r="F9" s="628"/>
      <c r="H9" s="628"/>
      <c r="I9" s="997"/>
      <c r="J9" s="628"/>
      <c r="K9" s="64"/>
    </row>
    <row r="10" ht="13.5" customHeight="1">
      <c r="A10" s="618" t="s">
        <v>9779</v>
      </c>
      <c r="B10" s="619" t="s">
        <v>0</v>
      </c>
      <c r="C10" s="618" t="s">
        <v>9780</v>
      </c>
      <c r="D10" s="122"/>
      <c r="E10" s="122"/>
      <c r="F10" s="618" t="s">
        <v>9781</v>
      </c>
      <c r="G10" s="122"/>
      <c r="H10" s="998" t="s">
        <v>2739</v>
      </c>
      <c r="I10" s="998" t="s">
        <v>10969</v>
      </c>
      <c r="J10" s="998" t="s">
        <v>10130</v>
      </c>
      <c r="K10" s="618" t="s">
        <v>2740</v>
      </c>
    </row>
    <row r="11" ht="13.5" customHeight="1">
      <c r="A11" s="623">
        <v>1.0</v>
      </c>
      <c r="B11" s="45" t="s">
        <v>10987</v>
      </c>
      <c r="C11" s="1028" t="s">
        <v>10988</v>
      </c>
      <c r="F11" s="1029">
        <v>1.0</v>
      </c>
      <c r="G11" s="1030" t="s">
        <v>2729</v>
      </c>
      <c r="H11" s="1031">
        <v>7632000.0</v>
      </c>
      <c r="I11" s="1032">
        <v>12.0</v>
      </c>
      <c r="J11" s="696">
        <f t="shared" ref="J11:J15" si="1">H11-(H11*I11/100)</f>
        <v>6716160</v>
      </c>
      <c r="K11" s="696">
        <f t="shared" ref="K11:K15" si="2">F11*J11</f>
        <v>6716160</v>
      </c>
    </row>
    <row r="12" ht="13.5" customHeight="1">
      <c r="A12" s="623">
        <v>2.0</v>
      </c>
      <c r="B12" s="45"/>
      <c r="C12" s="1028"/>
      <c r="F12" s="1029"/>
      <c r="G12" s="1030"/>
      <c r="H12" s="1031"/>
      <c r="I12" s="1032"/>
      <c r="J12" s="696">
        <f t="shared" si="1"/>
        <v>0</v>
      </c>
      <c r="K12" s="696">
        <f t="shared" si="2"/>
        <v>0</v>
      </c>
    </row>
    <row r="13" ht="13.5" customHeight="1">
      <c r="A13" s="623">
        <v>3.0</v>
      </c>
      <c r="B13" s="45"/>
      <c r="C13" s="45"/>
      <c r="F13" s="1029"/>
      <c r="G13" s="1030"/>
      <c r="H13" s="627"/>
      <c r="I13" s="1032"/>
      <c r="J13" s="696">
        <f t="shared" si="1"/>
        <v>0</v>
      </c>
      <c r="K13" s="696">
        <f t="shared" si="2"/>
        <v>0</v>
      </c>
    </row>
    <row r="14" ht="13.5" customHeight="1">
      <c r="A14" s="623">
        <v>4.0</v>
      </c>
      <c r="B14" s="45"/>
      <c r="C14" s="45"/>
      <c r="F14" s="1029"/>
      <c r="G14" s="1030"/>
      <c r="H14" s="627"/>
      <c r="I14" s="1032"/>
      <c r="J14" s="1033">
        <f t="shared" si="1"/>
        <v>0</v>
      </c>
      <c r="K14" s="1033">
        <f t="shared" si="2"/>
        <v>0</v>
      </c>
    </row>
    <row r="15" ht="13.5" customHeight="1">
      <c r="A15" s="623">
        <v>5.0</v>
      </c>
      <c r="B15" s="45"/>
      <c r="C15" s="45"/>
      <c r="F15" s="1029"/>
      <c r="G15" s="1030"/>
      <c r="H15" s="627"/>
      <c r="I15" s="1032"/>
      <c r="J15" s="1033">
        <f t="shared" si="1"/>
        <v>0</v>
      </c>
      <c r="K15" s="1033">
        <f t="shared" si="2"/>
        <v>0</v>
      </c>
    </row>
    <row r="16" ht="13.5" customHeight="1">
      <c r="A16" s="623">
        <v>6.0</v>
      </c>
      <c r="B16" s="201"/>
      <c r="C16" s="264"/>
      <c r="F16" s="704"/>
      <c r="G16" s="1030"/>
      <c r="H16" s="419"/>
      <c r="I16" s="1032"/>
      <c r="J16" s="696"/>
      <c r="K16" s="696"/>
    </row>
    <row r="17" ht="13.5" customHeight="1">
      <c r="A17" s="623">
        <v>7.0</v>
      </c>
      <c r="B17" s="443"/>
      <c r="C17" s="45"/>
      <c r="F17" s="444"/>
      <c r="G17" s="704"/>
      <c r="H17" s="627"/>
      <c r="I17" s="1032"/>
      <c r="J17" s="696">
        <f t="shared" ref="J17:J18" si="3">H17-(H17*I17/100)</f>
        <v>0</v>
      </c>
      <c r="K17" s="696">
        <f t="shared" ref="K17:K18" si="4">F17*J17</f>
        <v>0</v>
      </c>
    </row>
    <row r="18" ht="13.5" customHeight="1">
      <c r="A18" s="1006">
        <v>8.0</v>
      </c>
      <c r="B18" s="630"/>
      <c r="C18" s="463"/>
      <c r="D18" s="617"/>
      <c r="E18" s="617"/>
      <c r="F18" s="533"/>
      <c r="G18" s="533"/>
      <c r="H18" s="1034"/>
      <c r="I18" s="463"/>
      <c r="J18" s="1035">
        <f t="shared" si="3"/>
        <v>0</v>
      </c>
      <c r="K18" s="1035">
        <f t="shared" si="4"/>
        <v>0</v>
      </c>
    </row>
    <row r="19" ht="13.5" customHeight="1">
      <c r="A19" s="1014" t="s">
        <v>10989</v>
      </c>
      <c r="E19" s="951"/>
      <c r="F19" s="1015"/>
      <c r="G19" s="676"/>
      <c r="H19" s="636"/>
      <c r="I19" s="1016"/>
      <c r="J19" s="201" t="s">
        <v>10982</v>
      </c>
      <c r="K19" s="644">
        <f>SUM(K11:K18)</f>
        <v>6716160</v>
      </c>
    </row>
    <row r="20" ht="13.5" customHeight="1">
      <c r="E20" s="641"/>
      <c r="F20" s="645"/>
      <c r="G20" s="645"/>
      <c r="H20" s="643"/>
      <c r="I20" s="1036"/>
      <c r="J20" s="64" t="s">
        <v>9789</v>
      </c>
      <c r="K20" s="1018">
        <v>0.0</v>
      </c>
    </row>
    <row r="21" ht="13.5" customHeight="1">
      <c r="A21" s="639"/>
      <c r="B21" s="639"/>
      <c r="C21" s="639"/>
      <c r="D21" s="640"/>
      <c r="E21" s="641"/>
      <c r="F21" s="645"/>
      <c r="G21" s="645"/>
      <c r="H21" s="643"/>
      <c r="I21" s="1019"/>
      <c r="J21" s="614" t="s">
        <v>9786</v>
      </c>
      <c r="K21" s="1020">
        <f>K19-K20</f>
        <v>6716160</v>
      </c>
    </row>
    <row r="22" ht="13.5" customHeight="1">
      <c r="A22" s="592"/>
      <c r="B22" s="628"/>
      <c r="C22" s="628"/>
      <c r="D22" s="628"/>
      <c r="E22" s="641"/>
      <c r="F22" s="645"/>
      <c r="G22" s="645"/>
      <c r="H22" s="646"/>
      <c r="I22" s="1021"/>
    </row>
    <row r="23" ht="13.5" customHeight="1">
      <c r="A23" s="592"/>
      <c r="B23" s="604"/>
      <c r="C23" s="604"/>
      <c r="D23" s="649"/>
      <c r="E23" s="641"/>
      <c r="F23" s="645"/>
      <c r="G23" s="645"/>
      <c r="H23" s="650"/>
      <c r="I23" s="1016"/>
      <c r="J23" s="637"/>
      <c r="K23" s="651"/>
    </row>
    <row r="24" ht="13.5" customHeight="1">
      <c r="A24" s="592"/>
      <c r="B24" s="604"/>
      <c r="C24" s="604"/>
      <c r="D24" s="604"/>
      <c r="E24" s="604"/>
      <c r="F24" s="645"/>
      <c r="G24" s="645"/>
      <c r="H24" s="652" t="s">
        <v>1973</v>
      </c>
      <c r="I24" s="1022"/>
      <c r="J24" s="1023" t="s">
        <v>9791</v>
      </c>
      <c r="K24" s="653"/>
    </row>
    <row r="25" ht="13.5" customHeight="1">
      <c r="A25" s="654" t="s">
        <v>9792</v>
      </c>
      <c r="B25" s="591"/>
      <c r="C25" s="591"/>
      <c r="D25" s="649"/>
      <c r="E25" s="604"/>
      <c r="F25" s="707"/>
      <c r="G25" s="707"/>
      <c r="H25" s="655"/>
      <c r="I25" s="1024"/>
      <c r="J25" s="1025" t="s">
        <v>10990</v>
      </c>
      <c r="K25" s="1025"/>
    </row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I31" s="1021"/>
    </row>
    <row r="32" ht="13.5" customHeight="1">
      <c r="B32" s="64"/>
      <c r="I32" s="1021"/>
    </row>
    <row r="33" ht="13.5" customHeight="1"/>
    <row r="34" ht="13.5" customHeight="1"/>
    <row r="35" ht="13.5" customHeight="1">
      <c r="I35" s="1021"/>
    </row>
    <row r="36" ht="13.5" customHeight="1">
      <c r="I36" s="1021"/>
    </row>
    <row r="37" ht="13.5" customHeight="1">
      <c r="I37" s="1021"/>
    </row>
    <row r="38" ht="13.5" customHeight="1">
      <c r="I38" s="1021"/>
    </row>
    <row r="39" ht="13.5" customHeight="1">
      <c r="B39" s="548"/>
      <c r="I39" s="1021"/>
    </row>
    <row r="40" ht="13.5" customHeight="1">
      <c r="I40" s="1021"/>
    </row>
    <row r="41" ht="13.5" customHeight="1">
      <c r="I41" s="1021"/>
    </row>
    <row r="42" ht="13.5" customHeight="1">
      <c r="I42" s="1021"/>
    </row>
    <row r="43" ht="13.5" customHeight="1">
      <c r="I43" s="1021"/>
    </row>
    <row r="44" ht="13.5" customHeight="1">
      <c r="I44" s="1021"/>
    </row>
    <row r="45" ht="13.5" customHeight="1">
      <c r="I45" s="1021"/>
    </row>
    <row r="46" ht="13.5" customHeight="1">
      <c r="I46" s="1021"/>
    </row>
    <row r="47" ht="13.5" customHeight="1">
      <c r="I47" s="1021"/>
    </row>
    <row r="48" ht="13.5" customHeight="1">
      <c r="I48" s="1021"/>
    </row>
    <row r="49" ht="13.5" customHeight="1">
      <c r="I49" s="1021"/>
    </row>
    <row r="50" ht="13.5" customHeight="1">
      <c r="I50" s="1021"/>
    </row>
    <row r="51" ht="13.5" customHeight="1">
      <c r="I51" s="1021"/>
    </row>
    <row r="52" ht="13.5" customHeight="1">
      <c r="I52" s="1021"/>
    </row>
    <row r="53" ht="13.5" customHeight="1">
      <c r="I53" s="1021"/>
    </row>
    <row r="54" ht="13.5" customHeight="1">
      <c r="I54" s="1021"/>
    </row>
    <row r="55" ht="13.5" customHeight="1">
      <c r="I55" s="1021"/>
    </row>
    <row r="56" ht="13.5" customHeight="1">
      <c r="I56" s="1021"/>
    </row>
    <row r="57" ht="13.5" customHeight="1">
      <c r="I57" s="1021"/>
    </row>
    <row r="58" ht="13.5" customHeight="1">
      <c r="I58" s="1021"/>
    </row>
    <row r="59" ht="13.5" customHeight="1">
      <c r="I59" s="1021"/>
    </row>
    <row r="60" ht="13.5" customHeight="1">
      <c r="I60" s="1021"/>
    </row>
    <row r="61" ht="13.5" customHeight="1">
      <c r="I61" s="1021"/>
    </row>
    <row r="62" ht="13.5" customHeight="1">
      <c r="I62" s="1021"/>
    </row>
    <row r="63" ht="13.5" customHeight="1">
      <c r="I63" s="1021"/>
    </row>
    <row r="64" ht="13.5" customHeight="1">
      <c r="I64" s="1021"/>
    </row>
    <row r="65" ht="13.5" customHeight="1">
      <c r="I65" s="1021"/>
    </row>
    <row r="66" ht="13.5" customHeight="1">
      <c r="I66" s="1021"/>
    </row>
    <row r="67" ht="13.5" customHeight="1">
      <c r="I67" s="1021"/>
    </row>
    <row r="68" ht="13.5" customHeight="1">
      <c r="I68" s="1021"/>
    </row>
    <row r="69" ht="13.5" customHeight="1">
      <c r="I69" s="1021"/>
    </row>
    <row r="70" ht="13.5" customHeight="1">
      <c r="I70" s="1021"/>
    </row>
    <row r="71" ht="13.5" customHeight="1">
      <c r="I71" s="1021"/>
    </row>
    <row r="72" ht="13.5" customHeight="1">
      <c r="I72" s="1021"/>
    </row>
    <row r="73" ht="13.5" customHeight="1">
      <c r="I73" s="1021"/>
    </row>
    <row r="74" ht="13.5" customHeight="1">
      <c r="I74" s="1021"/>
    </row>
    <row r="75" ht="13.5" customHeight="1">
      <c r="I75" s="1021"/>
    </row>
    <row r="76" ht="13.5" customHeight="1">
      <c r="I76" s="1021"/>
    </row>
    <row r="77" ht="13.5" customHeight="1">
      <c r="I77" s="1021"/>
    </row>
    <row r="78" ht="13.5" customHeight="1">
      <c r="I78" s="1021"/>
    </row>
    <row r="79" ht="13.5" customHeight="1">
      <c r="I79" s="1021"/>
    </row>
    <row r="80" ht="13.5" customHeight="1">
      <c r="I80" s="1021"/>
    </row>
    <row r="81" ht="13.5" customHeight="1">
      <c r="I81" s="1021"/>
    </row>
    <row r="82" ht="13.5" customHeight="1">
      <c r="I82" s="1021"/>
    </row>
    <row r="83" ht="13.5" customHeight="1">
      <c r="I83" s="1021"/>
    </row>
    <row r="84" ht="13.5" customHeight="1">
      <c r="I84" s="1021"/>
    </row>
    <row r="85" ht="13.5" customHeight="1">
      <c r="I85" s="1021"/>
    </row>
    <row r="86" ht="13.5" customHeight="1">
      <c r="I86" s="1021"/>
    </row>
    <row r="87" ht="13.5" customHeight="1">
      <c r="I87" s="1021"/>
    </row>
    <row r="88" ht="13.5" customHeight="1">
      <c r="I88" s="1021"/>
    </row>
    <row r="89" ht="13.5" customHeight="1">
      <c r="I89" s="1021"/>
    </row>
    <row r="90" ht="13.5" customHeight="1">
      <c r="I90" s="1021"/>
    </row>
    <row r="91" ht="13.5" customHeight="1">
      <c r="I91" s="1021"/>
    </row>
    <row r="92" ht="13.5" customHeight="1">
      <c r="I92" s="1021"/>
    </row>
    <row r="93" ht="13.5" customHeight="1">
      <c r="I93" s="1021"/>
    </row>
    <row r="94" ht="13.5" customHeight="1">
      <c r="I94" s="1021"/>
    </row>
    <row r="95" ht="13.5" customHeight="1">
      <c r="I95" s="1021"/>
    </row>
    <row r="96" ht="13.5" customHeight="1">
      <c r="I96" s="1021"/>
    </row>
    <row r="97" ht="13.5" customHeight="1">
      <c r="I97" s="1021"/>
    </row>
    <row r="98" ht="13.5" customHeight="1">
      <c r="I98" s="1021"/>
    </row>
    <row r="99" ht="13.5" customHeight="1">
      <c r="I99" s="1021"/>
    </row>
    <row r="100" ht="13.5" customHeight="1">
      <c r="I100" s="1021"/>
    </row>
    <row r="101" ht="13.5" customHeight="1">
      <c r="I101" s="1021"/>
    </row>
    <row r="102" ht="13.5" customHeight="1">
      <c r="I102" s="1021"/>
    </row>
    <row r="103" ht="13.5" customHeight="1">
      <c r="I103" s="1021"/>
    </row>
    <row r="104" ht="13.5" customHeight="1">
      <c r="I104" s="1021"/>
    </row>
    <row r="105" ht="13.5" customHeight="1">
      <c r="I105" s="1021"/>
    </row>
    <row r="106" ht="13.5" customHeight="1">
      <c r="I106" s="1021"/>
    </row>
    <row r="107" ht="13.5" customHeight="1">
      <c r="I107" s="1021"/>
    </row>
    <row r="108" ht="13.5" customHeight="1">
      <c r="I108" s="1021"/>
    </row>
    <row r="109" ht="13.5" customHeight="1">
      <c r="I109" s="1021"/>
    </row>
    <row r="110" ht="13.5" customHeight="1">
      <c r="I110" s="1021"/>
    </row>
    <row r="111" ht="13.5" customHeight="1">
      <c r="I111" s="1021"/>
    </row>
    <row r="112" ht="13.5" customHeight="1">
      <c r="I112" s="1021"/>
    </row>
    <row r="113" ht="13.5" customHeight="1">
      <c r="I113" s="1021"/>
    </row>
    <row r="114" ht="13.5" customHeight="1">
      <c r="I114" s="1021"/>
    </row>
    <row r="115" ht="13.5" customHeight="1">
      <c r="I115" s="1021"/>
    </row>
    <row r="116" ht="13.5" customHeight="1">
      <c r="I116" s="1021"/>
    </row>
    <row r="117" ht="13.5" customHeight="1">
      <c r="I117" s="1021"/>
    </row>
    <row r="118" ht="13.5" customHeight="1">
      <c r="I118" s="1021"/>
    </row>
    <row r="119" ht="13.5" customHeight="1">
      <c r="I119" s="1021"/>
    </row>
    <row r="120" ht="13.5" customHeight="1">
      <c r="I120" s="1021"/>
    </row>
    <row r="121" ht="13.5" customHeight="1">
      <c r="I121" s="1021"/>
    </row>
    <row r="122" ht="13.5" customHeight="1">
      <c r="I122" s="1021"/>
    </row>
    <row r="123" ht="13.5" customHeight="1">
      <c r="I123" s="1021"/>
    </row>
    <row r="124" ht="13.5" customHeight="1">
      <c r="I124" s="1021"/>
    </row>
    <row r="125" ht="13.5" customHeight="1">
      <c r="I125" s="1021"/>
    </row>
    <row r="126" ht="13.5" customHeight="1">
      <c r="I126" s="1021"/>
    </row>
    <row r="127" ht="13.5" customHeight="1">
      <c r="I127" s="1021"/>
    </row>
    <row r="128" ht="13.5" customHeight="1">
      <c r="I128" s="1021"/>
    </row>
    <row r="129" ht="15.75" customHeight="1">
      <c r="I129" s="1021"/>
    </row>
    <row r="130" ht="15.75" customHeight="1">
      <c r="I130" s="1021"/>
    </row>
    <row r="131" ht="15.75" customHeight="1">
      <c r="I131" s="1021"/>
    </row>
    <row r="132" ht="15.75" customHeight="1">
      <c r="I132" s="1021"/>
    </row>
    <row r="133" ht="15.75" customHeight="1">
      <c r="I133" s="1021"/>
    </row>
    <row r="134" ht="15.75" customHeight="1">
      <c r="I134" s="1021"/>
    </row>
    <row r="135" ht="15.75" customHeight="1">
      <c r="I135" s="1021"/>
    </row>
    <row r="136" ht="15.75" customHeight="1">
      <c r="I136" s="1021"/>
    </row>
    <row r="137" ht="15.75" customHeight="1">
      <c r="I137" s="1021"/>
    </row>
    <row r="138" ht="15.75" customHeight="1">
      <c r="I138" s="1021"/>
    </row>
    <row r="139" ht="15.75" customHeight="1">
      <c r="I139" s="1021"/>
    </row>
    <row r="140" ht="15.75" customHeight="1">
      <c r="I140" s="1021"/>
    </row>
    <row r="141" ht="15.75" customHeight="1">
      <c r="I141" s="1021"/>
    </row>
    <row r="142" ht="15.75" customHeight="1">
      <c r="I142" s="1021"/>
    </row>
    <row r="143" ht="15.75" customHeight="1">
      <c r="I143" s="1021"/>
    </row>
    <row r="144" ht="15.75" customHeight="1">
      <c r="I144" s="1021"/>
    </row>
    <row r="145" ht="15.75" customHeight="1">
      <c r="I145" s="1021"/>
    </row>
    <row r="146" ht="15.75" customHeight="1">
      <c r="I146" s="1021"/>
    </row>
    <row r="147" ht="15.75" customHeight="1">
      <c r="I147" s="1021"/>
    </row>
    <row r="148" ht="15.75" customHeight="1">
      <c r="I148" s="1021"/>
    </row>
    <row r="149" ht="15.75" customHeight="1">
      <c r="I149" s="1021"/>
    </row>
    <row r="150" ht="15.75" customHeight="1">
      <c r="I150" s="1021"/>
    </row>
    <row r="151" ht="15.75" customHeight="1">
      <c r="I151" s="1021"/>
    </row>
    <row r="152" ht="15.75" customHeight="1">
      <c r="I152" s="1021"/>
    </row>
    <row r="153" ht="15.75" customHeight="1">
      <c r="I153" s="1021"/>
    </row>
    <row r="154" ht="15.75" customHeight="1">
      <c r="I154" s="1021"/>
    </row>
    <row r="155" ht="15.75" customHeight="1">
      <c r="I155" s="1021"/>
    </row>
    <row r="156" ht="15.75" customHeight="1">
      <c r="I156" s="1021"/>
    </row>
    <row r="157" ht="15.75" customHeight="1">
      <c r="I157" s="1021"/>
    </row>
    <row r="158" ht="15.75" customHeight="1">
      <c r="I158" s="1021"/>
    </row>
    <row r="159" ht="15.75" customHeight="1">
      <c r="I159" s="1021"/>
    </row>
    <row r="160" ht="15.75" customHeight="1">
      <c r="I160" s="1021"/>
    </row>
    <row r="161" ht="15.75" customHeight="1">
      <c r="I161" s="1021"/>
    </row>
    <row r="162" ht="15.75" customHeight="1">
      <c r="I162" s="1021"/>
    </row>
    <row r="163" ht="15.75" customHeight="1">
      <c r="I163" s="1021"/>
    </row>
    <row r="164" ht="15.75" customHeight="1">
      <c r="I164" s="1021"/>
    </row>
    <row r="165" ht="15.75" customHeight="1">
      <c r="I165" s="1021"/>
    </row>
    <row r="166" ht="15.75" customHeight="1">
      <c r="I166" s="1021"/>
    </row>
    <row r="167" ht="15.75" customHeight="1">
      <c r="I167" s="1021"/>
    </row>
    <row r="168" ht="15.75" customHeight="1">
      <c r="I168" s="1021"/>
    </row>
    <row r="169" ht="15.75" customHeight="1">
      <c r="I169" s="1021"/>
    </row>
    <row r="170" ht="15.75" customHeight="1">
      <c r="I170" s="1021"/>
    </row>
    <row r="171" ht="15.75" customHeight="1">
      <c r="I171" s="1021"/>
    </row>
    <row r="172" ht="15.75" customHeight="1">
      <c r="I172" s="1021"/>
    </row>
    <row r="173" ht="15.75" customHeight="1">
      <c r="I173" s="1021"/>
    </row>
    <row r="174" ht="15.75" customHeight="1">
      <c r="I174" s="1021"/>
    </row>
    <row r="175" ht="15.75" customHeight="1">
      <c r="I175" s="1021"/>
    </row>
    <row r="176" ht="15.75" customHeight="1">
      <c r="I176" s="1021"/>
    </row>
    <row r="177" ht="15.75" customHeight="1">
      <c r="I177" s="1021"/>
    </row>
    <row r="178" ht="15.75" customHeight="1">
      <c r="I178" s="1021"/>
    </row>
    <row r="179" ht="15.75" customHeight="1">
      <c r="I179" s="1021"/>
    </row>
    <row r="180" ht="15.75" customHeight="1">
      <c r="I180" s="1021"/>
    </row>
    <row r="181" ht="15.75" customHeight="1">
      <c r="I181" s="1021"/>
    </row>
    <row r="182" ht="15.75" customHeight="1">
      <c r="I182" s="1021"/>
    </row>
    <row r="183" ht="15.75" customHeight="1">
      <c r="I183" s="1021"/>
    </row>
    <row r="184" ht="15.75" customHeight="1">
      <c r="I184" s="1021"/>
    </row>
    <row r="185" ht="15.75" customHeight="1">
      <c r="I185" s="1021"/>
    </row>
    <row r="186" ht="15.75" customHeight="1">
      <c r="I186" s="1021"/>
    </row>
    <row r="187" ht="15.75" customHeight="1">
      <c r="I187" s="1021"/>
    </row>
    <row r="188" ht="15.75" customHeight="1">
      <c r="I188" s="1021"/>
    </row>
    <row r="189" ht="15.75" customHeight="1">
      <c r="I189" s="1021"/>
    </row>
    <row r="190" ht="15.75" customHeight="1">
      <c r="I190" s="1021"/>
    </row>
    <row r="191" ht="15.75" customHeight="1">
      <c r="I191" s="1021"/>
    </row>
    <row r="192" ht="15.75" customHeight="1">
      <c r="I192" s="1021"/>
    </row>
    <row r="193" ht="15.75" customHeight="1">
      <c r="I193" s="1021"/>
    </row>
    <row r="194" ht="15.75" customHeight="1">
      <c r="I194" s="1021"/>
    </row>
    <row r="195" ht="15.75" customHeight="1">
      <c r="I195" s="1021"/>
    </row>
    <row r="196" ht="15.75" customHeight="1">
      <c r="I196" s="1021"/>
    </row>
    <row r="197" ht="15.75" customHeight="1">
      <c r="I197" s="1021"/>
    </row>
    <row r="198" ht="15.75" customHeight="1">
      <c r="I198" s="1021"/>
    </row>
    <row r="199" ht="15.75" customHeight="1">
      <c r="I199" s="1021"/>
    </row>
    <row r="200" ht="15.75" customHeight="1">
      <c r="I200" s="1021"/>
    </row>
    <row r="201" ht="15.75" customHeight="1">
      <c r="I201" s="1021"/>
    </row>
    <row r="202" ht="15.75" customHeight="1">
      <c r="I202" s="1021"/>
    </row>
    <row r="203" ht="15.75" customHeight="1">
      <c r="I203" s="1021"/>
    </row>
    <row r="204" ht="15.75" customHeight="1">
      <c r="I204" s="1021"/>
    </row>
    <row r="205" ht="15.75" customHeight="1">
      <c r="I205" s="1021"/>
    </row>
    <row r="206" ht="15.75" customHeight="1">
      <c r="I206" s="1021"/>
    </row>
    <row r="207" ht="15.75" customHeight="1">
      <c r="I207" s="1021"/>
    </row>
    <row r="208" ht="15.75" customHeight="1">
      <c r="I208" s="1021"/>
    </row>
    <row r="209" ht="15.75" customHeight="1">
      <c r="I209" s="1021"/>
    </row>
    <row r="210" ht="15.75" customHeight="1">
      <c r="I210" s="1021"/>
    </row>
    <row r="211" ht="15.75" customHeight="1">
      <c r="I211" s="1021"/>
    </row>
    <row r="212" ht="15.75" customHeight="1">
      <c r="I212" s="1021"/>
    </row>
    <row r="213" ht="15.75" customHeight="1">
      <c r="I213" s="1021"/>
    </row>
    <row r="214" ht="15.75" customHeight="1">
      <c r="I214" s="1021"/>
    </row>
    <row r="215" ht="15.75" customHeight="1">
      <c r="I215" s="1021"/>
    </row>
    <row r="216" ht="15.75" customHeight="1">
      <c r="I216" s="1021"/>
    </row>
    <row r="217" ht="15.75" customHeight="1">
      <c r="I217" s="1021"/>
    </row>
    <row r="218" ht="15.75" customHeight="1">
      <c r="I218" s="1021"/>
    </row>
    <row r="219" ht="15.75" customHeight="1">
      <c r="I219" s="1021"/>
    </row>
    <row r="220" ht="15.75" customHeight="1">
      <c r="I220" s="1021"/>
    </row>
    <row r="221" ht="15.75" customHeight="1">
      <c r="I221" s="1021"/>
    </row>
    <row r="222" ht="15.75" customHeight="1">
      <c r="I222" s="1021"/>
    </row>
    <row r="223" ht="15.75" customHeight="1">
      <c r="I223" s="1021"/>
    </row>
    <row r="224" ht="15.75" customHeight="1">
      <c r="I224" s="1021"/>
    </row>
    <row r="225" ht="15.75" customHeight="1">
      <c r="I225" s="1021"/>
    </row>
    <row r="226" ht="15.75" customHeight="1">
      <c r="I226" s="1021"/>
    </row>
    <row r="227" ht="15.75" customHeight="1">
      <c r="I227" s="1021"/>
    </row>
    <row r="228" ht="15.75" customHeight="1">
      <c r="I228" s="1021"/>
    </row>
    <row r="229" ht="15.75" customHeight="1">
      <c r="I229" s="1021"/>
    </row>
    <row r="230" ht="15.75" customHeight="1">
      <c r="I230" s="1021"/>
    </row>
    <row r="231" ht="15.75" customHeight="1">
      <c r="I231" s="1021"/>
    </row>
    <row r="232" ht="15.75" customHeight="1">
      <c r="I232" s="1021"/>
    </row>
    <row r="233" ht="15.75" customHeight="1">
      <c r="I233" s="1021"/>
    </row>
    <row r="234" ht="15.75" customHeight="1">
      <c r="I234" s="1021"/>
    </row>
    <row r="235" ht="15.75" customHeight="1">
      <c r="I235" s="1021"/>
    </row>
    <row r="236" ht="15.75" customHeight="1">
      <c r="I236" s="1021"/>
    </row>
    <row r="237" ht="15.75" customHeight="1">
      <c r="I237" s="1021"/>
    </row>
    <row r="238" ht="15.75" customHeight="1">
      <c r="I238" s="1021"/>
    </row>
    <row r="239" ht="15.75" customHeight="1">
      <c r="I239" s="1021"/>
    </row>
    <row r="240" ht="15.75" customHeight="1">
      <c r="I240" s="1021"/>
    </row>
    <row r="241" ht="15.75" customHeight="1">
      <c r="I241" s="1021"/>
    </row>
    <row r="242" ht="15.75" customHeight="1">
      <c r="I242" s="1021"/>
    </row>
    <row r="243" ht="15.75" customHeight="1">
      <c r="I243" s="1021"/>
    </row>
    <row r="244" ht="15.75" customHeight="1">
      <c r="I244" s="1021"/>
    </row>
    <row r="245" ht="15.75" customHeight="1">
      <c r="I245" s="1021"/>
    </row>
    <row r="246" ht="15.75" customHeight="1">
      <c r="I246" s="1021"/>
    </row>
    <row r="247" ht="15.75" customHeight="1">
      <c r="I247" s="1021"/>
    </row>
    <row r="248" ht="15.75" customHeight="1">
      <c r="I248" s="1021"/>
    </row>
    <row r="249" ht="15.75" customHeight="1">
      <c r="I249" s="1021"/>
    </row>
    <row r="250" ht="15.75" customHeight="1">
      <c r="I250" s="1021"/>
    </row>
    <row r="251" ht="15.75" customHeight="1">
      <c r="I251" s="1021"/>
    </row>
    <row r="252" ht="15.75" customHeight="1">
      <c r="I252" s="1021"/>
    </row>
    <row r="253" ht="15.75" customHeight="1">
      <c r="I253" s="1021"/>
    </row>
    <row r="254" ht="15.75" customHeight="1">
      <c r="I254" s="1021"/>
    </row>
    <row r="255" ht="15.75" customHeight="1">
      <c r="I255" s="1021"/>
    </row>
    <row r="256" ht="15.75" customHeight="1">
      <c r="I256" s="1021"/>
    </row>
    <row r="257" ht="15.75" customHeight="1">
      <c r="I257" s="1021"/>
    </row>
    <row r="258" ht="15.75" customHeight="1">
      <c r="I258" s="1021"/>
    </row>
    <row r="259" ht="15.75" customHeight="1">
      <c r="I259" s="1021"/>
    </row>
    <row r="260" ht="15.75" customHeight="1">
      <c r="I260" s="1021"/>
    </row>
    <row r="261" ht="15.75" customHeight="1">
      <c r="I261" s="1021"/>
    </row>
    <row r="262" ht="15.75" customHeight="1">
      <c r="I262" s="1021"/>
    </row>
    <row r="263" ht="15.75" customHeight="1">
      <c r="I263" s="1021"/>
    </row>
    <row r="264" ht="15.75" customHeight="1">
      <c r="I264" s="1021"/>
    </row>
    <row r="265" ht="15.75" customHeight="1">
      <c r="I265" s="1021"/>
    </row>
    <row r="266" ht="15.75" customHeight="1">
      <c r="I266" s="1021"/>
    </row>
    <row r="267" ht="15.75" customHeight="1">
      <c r="I267" s="1021"/>
    </row>
    <row r="268" ht="15.75" customHeight="1">
      <c r="I268" s="1021"/>
    </row>
    <row r="269" ht="15.75" customHeight="1">
      <c r="I269" s="1021"/>
    </row>
    <row r="270" ht="15.75" customHeight="1">
      <c r="I270" s="1021"/>
    </row>
    <row r="271" ht="15.75" customHeight="1">
      <c r="I271" s="1021"/>
    </row>
    <row r="272" ht="15.75" customHeight="1">
      <c r="I272" s="1021"/>
    </row>
    <row r="273" ht="15.75" customHeight="1">
      <c r="I273" s="1021"/>
    </row>
    <row r="274" ht="15.75" customHeight="1">
      <c r="I274" s="1021"/>
    </row>
    <row r="275" ht="15.75" customHeight="1">
      <c r="I275" s="1021"/>
    </row>
    <row r="276" ht="15.75" customHeight="1">
      <c r="I276" s="1021"/>
    </row>
    <row r="277" ht="15.75" customHeight="1">
      <c r="I277" s="1021"/>
    </row>
    <row r="278" ht="15.75" customHeight="1">
      <c r="I278" s="1021"/>
    </row>
    <row r="279" ht="15.75" customHeight="1">
      <c r="I279" s="1021"/>
    </row>
    <row r="280" ht="15.75" customHeight="1">
      <c r="I280" s="1021"/>
    </row>
    <row r="281" ht="15.75" customHeight="1">
      <c r="I281" s="1021"/>
    </row>
    <row r="282" ht="15.75" customHeight="1">
      <c r="I282" s="1021"/>
    </row>
    <row r="283" ht="15.75" customHeight="1">
      <c r="I283" s="1021"/>
    </row>
    <row r="284" ht="15.75" customHeight="1">
      <c r="I284" s="1021"/>
    </row>
    <row r="285" ht="15.75" customHeight="1">
      <c r="I285" s="1021"/>
    </row>
    <row r="286" ht="15.75" customHeight="1">
      <c r="I286" s="1021"/>
    </row>
    <row r="287" ht="15.75" customHeight="1">
      <c r="I287" s="1021"/>
    </row>
    <row r="288" ht="15.75" customHeight="1">
      <c r="I288" s="1021"/>
    </row>
    <row r="289" ht="15.75" customHeight="1">
      <c r="I289" s="1021"/>
    </row>
    <row r="290" ht="15.75" customHeight="1">
      <c r="I290" s="1021"/>
    </row>
    <row r="291" ht="15.75" customHeight="1">
      <c r="I291" s="1021"/>
    </row>
    <row r="292" ht="15.75" customHeight="1">
      <c r="I292" s="1021"/>
    </row>
    <row r="293" ht="15.75" customHeight="1">
      <c r="I293" s="1021"/>
    </row>
    <row r="294" ht="15.75" customHeight="1">
      <c r="I294" s="1021"/>
    </row>
    <row r="295" ht="15.75" customHeight="1">
      <c r="I295" s="1021"/>
    </row>
    <row r="296" ht="15.75" customHeight="1">
      <c r="I296" s="1021"/>
    </row>
    <row r="297" ht="15.75" customHeight="1">
      <c r="I297" s="1021"/>
    </row>
    <row r="298" ht="15.75" customHeight="1">
      <c r="I298" s="1021"/>
    </row>
    <row r="299" ht="15.75" customHeight="1">
      <c r="I299" s="1021"/>
    </row>
    <row r="300" ht="15.75" customHeight="1">
      <c r="I300" s="1021"/>
    </row>
    <row r="301" ht="15.75" customHeight="1">
      <c r="I301" s="1021"/>
    </row>
    <row r="302" ht="15.75" customHeight="1">
      <c r="I302" s="1021"/>
    </row>
    <row r="303" ht="15.75" customHeight="1">
      <c r="I303" s="1021"/>
    </row>
    <row r="304" ht="15.75" customHeight="1">
      <c r="I304" s="1021"/>
    </row>
    <row r="305" ht="15.75" customHeight="1">
      <c r="I305" s="1021"/>
    </row>
    <row r="306" ht="15.75" customHeight="1">
      <c r="I306" s="1021"/>
    </row>
    <row r="307" ht="15.75" customHeight="1">
      <c r="I307" s="1021"/>
    </row>
    <row r="308" ht="15.75" customHeight="1">
      <c r="I308" s="1021"/>
    </row>
    <row r="309" ht="15.75" customHeight="1">
      <c r="I309" s="1021"/>
    </row>
    <row r="310" ht="15.75" customHeight="1">
      <c r="I310" s="1021"/>
    </row>
    <row r="311" ht="15.75" customHeight="1">
      <c r="I311" s="1021"/>
    </row>
    <row r="312" ht="15.75" customHeight="1">
      <c r="I312" s="1021"/>
    </row>
    <row r="313" ht="15.75" customHeight="1">
      <c r="I313" s="1021"/>
    </row>
    <row r="314" ht="15.75" customHeight="1">
      <c r="I314" s="1021"/>
    </row>
    <row r="315" ht="15.75" customHeight="1">
      <c r="I315" s="1021"/>
    </row>
    <row r="316" ht="15.75" customHeight="1">
      <c r="I316" s="1021"/>
    </row>
    <row r="317" ht="15.75" customHeight="1">
      <c r="I317" s="1021"/>
    </row>
    <row r="318" ht="15.75" customHeight="1">
      <c r="I318" s="1021"/>
    </row>
    <row r="319" ht="15.75" customHeight="1">
      <c r="I319" s="1021"/>
    </row>
    <row r="320" ht="15.75" customHeight="1">
      <c r="I320" s="1021"/>
    </row>
    <row r="321" ht="15.75" customHeight="1">
      <c r="I321" s="1021"/>
    </row>
    <row r="322" ht="15.75" customHeight="1">
      <c r="I322" s="1021"/>
    </row>
    <row r="323" ht="15.75" customHeight="1">
      <c r="I323" s="1021"/>
    </row>
    <row r="324" ht="15.75" customHeight="1">
      <c r="I324" s="1021"/>
    </row>
    <row r="325" ht="15.75" customHeight="1">
      <c r="I325" s="1021"/>
    </row>
    <row r="326" ht="15.75" customHeight="1">
      <c r="I326" s="1021"/>
    </row>
    <row r="327" ht="15.75" customHeight="1">
      <c r="I327" s="1021"/>
    </row>
    <row r="328" ht="15.75" customHeight="1">
      <c r="I328" s="1021"/>
    </row>
    <row r="329" ht="15.75" customHeight="1">
      <c r="I329" s="1021"/>
    </row>
    <row r="330" ht="15.75" customHeight="1">
      <c r="I330" s="1021"/>
    </row>
    <row r="331" ht="15.75" customHeight="1">
      <c r="I331" s="1021"/>
    </row>
    <row r="332" ht="15.75" customHeight="1">
      <c r="I332" s="1021"/>
    </row>
    <row r="333" ht="15.75" customHeight="1">
      <c r="I333" s="1021"/>
    </row>
    <row r="334" ht="15.75" customHeight="1">
      <c r="I334" s="1021"/>
    </row>
    <row r="335" ht="15.75" customHeight="1">
      <c r="I335" s="1021"/>
    </row>
    <row r="336" ht="15.75" customHeight="1">
      <c r="I336" s="1021"/>
    </row>
    <row r="337" ht="15.75" customHeight="1">
      <c r="I337" s="1021"/>
    </row>
    <row r="338" ht="15.75" customHeight="1">
      <c r="I338" s="1021"/>
    </row>
    <row r="339" ht="15.75" customHeight="1">
      <c r="I339" s="1021"/>
    </row>
    <row r="340" ht="15.75" customHeight="1">
      <c r="I340" s="1021"/>
    </row>
    <row r="341" ht="15.75" customHeight="1">
      <c r="I341" s="1021"/>
    </row>
    <row r="342" ht="15.75" customHeight="1">
      <c r="I342" s="1021"/>
    </row>
    <row r="343" ht="15.75" customHeight="1">
      <c r="I343" s="1021"/>
    </row>
    <row r="344" ht="15.75" customHeight="1">
      <c r="I344" s="1021"/>
    </row>
    <row r="345" ht="15.75" customHeight="1">
      <c r="I345" s="1021"/>
    </row>
    <row r="346" ht="15.75" customHeight="1">
      <c r="I346" s="1021"/>
    </row>
    <row r="347" ht="15.75" customHeight="1">
      <c r="I347" s="1021"/>
    </row>
    <row r="348" ht="15.75" customHeight="1">
      <c r="I348" s="1021"/>
    </row>
    <row r="349" ht="15.75" customHeight="1">
      <c r="I349" s="1021"/>
    </row>
    <row r="350" ht="15.75" customHeight="1">
      <c r="I350" s="1021"/>
    </row>
    <row r="351" ht="15.75" customHeight="1">
      <c r="I351" s="1021"/>
    </row>
    <row r="352" ht="15.75" customHeight="1">
      <c r="I352" s="1021"/>
    </row>
    <row r="353" ht="15.75" customHeight="1">
      <c r="I353" s="1021"/>
    </row>
    <row r="354" ht="15.75" customHeight="1">
      <c r="I354" s="1021"/>
    </row>
    <row r="355" ht="15.75" customHeight="1">
      <c r="I355" s="1021"/>
    </row>
    <row r="356" ht="15.75" customHeight="1">
      <c r="I356" s="1021"/>
    </row>
    <row r="357" ht="15.75" customHeight="1">
      <c r="I357" s="1021"/>
    </row>
    <row r="358" ht="15.75" customHeight="1">
      <c r="I358" s="1021"/>
    </row>
    <row r="359" ht="15.75" customHeight="1">
      <c r="I359" s="1021"/>
    </row>
    <row r="360" ht="15.75" customHeight="1">
      <c r="I360" s="1021"/>
    </row>
    <row r="361" ht="15.75" customHeight="1">
      <c r="I361" s="1021"/>
    </row>
    <row r="362" ht="15.75" customHeight="1">
      <c r="I362" s="1021"/>
    </row>
    <row r="363" ht="15.75" customHeight="1">
      <c r="I363" s="1021"/>
    </row>
    <row r="364" ht="15.75" customHeight="1">
      <c r="I364" s="1021"/>
    </row>
    <row r="365" ht="15.75" customHeight="1">
      <c r="I365" s="1021"/>
    </row>
    <row r="366" ht="15.75" customHeight="1">
      <c r="I366" s="1021"/>
    </row>
    <row r="367" ht="15.75" customHeight="1">
      <c r="I367" s="1021"/>
    </row>
    <row r="368" ht="15.75" customHeight="1">
      <c r="I368" s="1021"/>
    </row>
    <row r="369" ht="15.75" customHeight="1">
      <c r="I369" s="1021"/>
    </row>
    <row r="370" ht="15.75" customHeight="1">
      <c r="I370" s="1021"/>
    </row>
    <row r="371" ht="15.75" customHeight="1">
      <c r="I371" s="1021"/>
    </row>
    <row r="372" ht="15.75" customHeight="1">
      <c r="I372" s="1021"/>
    </row>
    <row r="373" ht="15.75" customHeight="1">
      <c r="I373" s="1021"/>
    </row>
    <row r="374" ht="15.75" customHeight="1">
      <c r="I374" s="1021"/>
    </row>
    <row r="375" ht="15.75" customHeight="1">
      <c r="I375" s="1021"/>
    </row>
    <row r="376" ht="15.75" customHeight="1">
      <c r="I376" s="1021"/>
    </row>
    <row r="377" ht="15.75" customHeight="1">
      <c r="I377" s="1021"/>
    </row>
    <row r="378" ht="15.75" customHeight="1">
      <c r="I378" s="1021"/>
    </row>
    <row r="379" ht="15.75" customHeight="1">
      <c r="I379" s="1021"/>
    </row>
    <row r="380" ht="15.75" customHeight="1">
      <c r="I380" s="1021"/>
    </row>
    <row r="381" ht="15.75" customHeight="1">
      <c r="I381" s="1021"/>
    </row>
    <row r="382" ht="15.75" customHeight="1">
      <c r="I382" s="1021"/>
    </row>
    <row r="383" ht="15.75" customHeight="1">
      <c r="I383" s="1021"/>
    </row>
    <row r="384" ht="15.75" customHeight="1">
      <c r="I384" s="1021"/>
    </row>
    <row r="385" ht="15.75" customHeight="1">
      <c r="I385" s="1021"/>
    </row>
    <row r="386" ht="15.75" customHeight="1">
      <c r="I386" s="1021"/>
    </row>
    <row r="387" ht="15.75" customHeight="1">
      <c r="I387" s="1021"/>
    </row>
    <row r="388" ht="15.75" customHeight="1">
      <c r="I388" s="1021"/>
    </row>
    <row r="389" ht="15.75" customHeight="1">
      <c r="I389" s="1021"/>
    </row>
    <row r="390" ht="15.75" customHeight="1">
      <c r="I390" s="1021"/>
    </row>
    <row r="391" ht="15.75" customHeight="1">
      <c r="I391" s="1021"/>
    </row>
    <row r="392" ht="15.75" customHeight="1">
      <c r="I392" s="1021"/>
    </row>
    <row r="393" ht="15.75" customHeight="1">
      <c r="I393" s="1021"/>
    </row>
    <row r="394" ht="15.75" customHeight="1">
      <c r="I394" s="1021"/>
    </row>
    <row r="395" ht="15.75" customHeight="1">
      <c r="I395" s="1021"/>
    </row>
    <row r="396" ht="15.75" customHeight="1">
      <c r="I396" s="1021"/>
    </row>
    <row r="397" ht="15.75" customHeight="1">
      <c r="I397" s="1021"/>
    </row>
    <row r="398" ht="15.75" customHeight="1">
      <c r="I398" s="1021"/>
    </row>
    <row r="399" ht="15.75" customHeight="1">
      <c r="I399" s="1021"/>
    </row>
    <row r="400" ht="15.75" customHeight="1">
      <c r="I400" s="1021"/>
    </row>
    <row r="401" ht="15.75" customHeight="1">
      <c r="I401" s="1021"/>
    </row>
    <row r="402" ht="15.75" customHeight="1">
      <c r="I402" s="1021"/>
    </row>
    <row r="403" ht="15.75" customHeight="1">
      <c r="I403" s="1021"/>
    </row>
    <row r="404" ht="15.75" customHeight="1">
      <c r="I404" s="1021"/>
    </row>
    <row r="405" ht="15.75" customHeight="1">
      <c r="I405" s="1021"/>
    </row>
    <row r="406" ht="15.75" customHeight="1">
      <c r="I406" s="1021"/>
    </row>
    <row r="407" ht="15.75" customHeight="1">
      <c r="I407" s="1021"/>
    </row>
    <row r="408" ht="15.75" customHeight="1">
      <c r="I408" s="1021"/>
    </row>
    <row r="409" ht="15.75" customHeight="1">
      <c r="I409" s="1021"/>
    </row>
    <row r="410" ht="15.75" customHeight="1">
      <c r="I410" s="1021"/>
    </row>
    <row r="411" ht="15.75" customHeight="1">
      <c r="I411" s="1021"/>
    </row>
    <row r="412" ht="15.75" customHeight="1">
      <c r="I412" s="1021"/>
    </row>
    <row r="413" ht="15.75" customHeight="1">
      <c r="I413" s="1021"/>
    </row>
    <row r="414" ht="15.75" customHeight="1">
      <c r="I414" s="1021"/>
    </row>
    <row r="415" ht="15.75" customHeight="1">
      <c r="I415" s="1021"/>
    </row>
    <row r="416" ht="15.75" customHeight="1">
      <c r="I416" s="1021"/>
    </row>
    <row r="417" ht="15.75" customHeight="1">
      <c r="I417" s="1021"/>
    </row>
    <row r="418" ht="15.75" customHeight="1">
      <c r="I418" s="1021"/>
    </row>
    <row r="419" ht="15.75" customHeight="1">
      <c r="I419" s="1021"/>
    </row>
    <row r="420" ht="15.75" customHeight="1">
      <c r="I420" s="1021"/>
    </row>
    <row r="421" ht="15.75" customHeight="1">
      <c r="I421" s="1021"/>
    </row>
    <row r="422" ht="15.75" customHeight="1">
      <c r="I422" s="1021"/>
    </row>
    <row r="423" ht="15.75" customHeight="1">
      <c r="I423" s="1021"/>
    </row>
    <row r="424" ht="15.75" customHeight="1">
      <c r="I424" s="1021"/>
    </row>
    <row r="425" ht="15.75" customHeight="1">
      <c r="I425" s="1021"/>
    </row>
    <row r="426" ht="15.75" customHeight="1">
      <c r="I426" s="1021"/>
    </row>
    <row r="427" ht="15.75" customHeight="1">
      <c r="I427" s="1021"/>
    </row>
    <row r="428" ht="15.75" customHeight="1">
      <c r="I428" s="1021"/>
    </row>
    <row r="429" ht="15.75" customHeight="1">
      <c r="I429" s="1021"/>
    </row>
    <row r="430" ht="15.75" customHeight="1">
      <c r="I430" s="1021"/>
    </row>
    <row r="431" ht="15.75" customHeight="1">
      <c r="I431" s="1021"/>
    </row>
    <row r="432" ht="15.75" customHeight="1">
      <c r="I432" s="1021"/>
    </row>
    <row r="433" ht="15.75" customHeight="1">
      <c r="I433" s="1021"/>
    </row>
    <row r="434" ht="15.75" customHeight="1">
      <c r="I434" s="1021"/>
    </row>
    <row r="435" ht="15.75" customHeight="1">
      <c r="I435" s="1021"/>
    </row>
    <row r="436" ht="15.75" customHeight="1">
      <c r="I436" s="1021"/>
    </row>
    <row r="437" ht="15.75" customHeight="1">
      <c r="I437" s="1021"/>
    </row>
    <row r="438" ht="15.75" customHeight="1">
      <c r="I438" s="1021"/>
    </row>
    <row r="439" ht="15.75" customHeight="1">
      <c r="I439" s="1021"/>
    </row>
    <row r="440" ht="15.75" customHeight="1">
      <c r="I440" s="1021"/>
    </row>
    <row r="441" ht="15.75" customHeight="1">
      <c r="I441" s="1021"/>
    </row>
    <row r="442" ht="15.75" customHeight="1">
      <c r="I442" s="1021"/>
    </row>
    <row r="443" ht="15.75" customHeight="1">
      <c r="I443" s="1021"/>
    </row>
    <row r="444" ht="15.75" customHeight="1">
      <c r="I444" s="1021"/>
    </row>
    <row r="445" ht="15.75" customHeight="1">
      <c r="I445" s="1021"/>
    </row>
    <row r="446" ht="15.75" customHeight="1">
      <c r="I446" s="1021"/>
    </row>
    <row r="447" ht="15.75" customHeight="1">
      <c r="I447" s="1021"/>
    </row>
    <row r="448" ht="15.75" customHeight="1">
      <c r="I448" s="1021"/>
    </row>
    <row r="449" ht="15.75" customHeight="1">
      <c r="I449" s="1021"/>
    </row>
    <row r="450" ht="15.75" customHeight="1">
      <c r="I450" s="1021"/>
    </row>
    <row r="451" ht="15.75" customHeight="1">
      <c r="I451" s="1021"/>
    </row>
    <row r="452" ht="15.75" customHeight="1">
      <c r="I452" s="1021"/>
    </row>
    <row r="453" ht="15.75" customHeight="1">
      <c r="I453" s="1021"/>
    </row>
    <row r="454" ht="15.75" customHeight="1">
      <c r="I454" s="1021"/>
    </row>
    <row r="455" ht="15.75" customHeight="1">
      <c r="I455" s="1021"/>
    </row>
    <row r="456" ht="15.75" customHeight="1">
      <c r="I456" s="1021"/>
    </row>
    <row r="457" ht="15.75" customHeight="1">
      <c r="I457" s="1021"/>
    </row>
    <row r="458" ht="15.75" customHeight="1">
      <c r="I458" s="1021"/>
    </row>
    <row r="459" ht="15.75" customHeight="1">
      <c r="I459" s="1021"/>
    </row>
    <row r="460" ht="15.75" customHeight="1">
      <c r="I460" s="1021"/>
    </row>
    <row r="461" ht="15.75" customHeight="1">
      <c r="I461" s="1021"/>
    </row>
    <row r="462" ht="15.75" customHeight="1">
      <c r="I462" s="1021"/>
    </row>
    <row r="463" ht="15.75" customHeight="1">
      <c r="I463" s="1021"/>
    </row>
    <row r="464" ht="15.75" customHeight="1">
      <c r="I464" s="1021"/>
    </row>
    <row r="465" ht="15.75" customHeight="1">
      <c r="I465" s="1021"/>
    </row>
    <row r="466" ht="15.75" customHeight="1">
      <c r="I466" s="1021"/>
    </row>
    <row r="467" ht="15.75" customHeight="1">
      <c r="I467" s="1021"/>
    </row>
    <row r="468" ht="15.75" customHeight="1">
      <c r="I468" s="1021"/>
    </row>
    <row r="469" ht="15.75" customHeight="1">
      <c r="I469" s="1021"/>
    </row>
    <row r="470" ht="15.75" customHeight="1">
      <c r="I470" s="1021"/>
    </row>
    <row r="471" ht="15.75" customHeight="1">
      <c r="I471" s="1021"/>
    </row>
    <row r="472" ht="15.75" customHeight="1">
      <c r="I472" s="1021"/>
    </row>
    <row r="473" ht="15.75" customHeight="1">
      <c r="I473" s="1021"/>
    </row>
    <row r="474" ht="15.75" customHeight="1">
      <c r="I474" s="1021"/>
    </row>
    <row r="475" ht="15.75" customHeight="1">
      <c r="I475" s="1021"/>
    </row>
    <row r="476" ht="15.75" customHeight="1">
      <c r="I476" s="1021"/>
    </row>
    <row r="477" ht="15.75" customHeight="1">
      <c r="I477" s="1021"/>
    </row>
    <row r="478" ht="15.75" customHeight="1">
      <c r="I478" s="1021"/>
    </row>
    <row r="479" ht="15.75" customHeight="1">
      <c r="I479" s="1021"/>
    </row>
    <row r="480" ht="15.75" customHeight="1">
      <c r="I480" s="1021"/>
    </row>
    <row r="481" ht="15.75" customHeight="1">
      <c r="I481" s="1021"/>
    </row>
    <row r="482" ht="15.75" customHeight="1">
      <c r="I482" s="1021"/>
    </row>
    <row r="483" ht="15.75" customHeight="1">
      <c r="I483" s="1021"/>
    </row>
    <row r="484" ht="15.75" customHeight="1">
      <c r="I484" s="1021"/>
    </row>
    <row r="485" ht="15.75" customHeight="1">
      <c r="I485" s="1021"/>
    </row>
    <row r="486" ht="15.75" customHeight="1">
      <c r="I486" s="1021"/>
    </row>
    <row r="487" ht="15.75" customHeight="1">
      <c r="I487" s="1021"/>
    </row>
    <row r="488" ht="15.75" customHeight="1">
      <c r="I488" s="1021"/>
    </row>
    <row r="489" ht="15.75" customHeight="1">
      <c r="I489" s="1021"/>
    </row>
    <row r="490" ht="15.75" customHeight="1">
      <c r="I490" s="1021"/>
    </row>
    <row r="491" ht="15.75" customHeight="1">
      <c r="I491" s="1021"/>
    </row>
    <row r="492" ht="15.75" customHeight="1">
      <c r="I492" s="1021"/>
    </row>
    <row r="493" ht="15.75" customHeight="1">
      <c r="I493" s="1021"/>
    </row>
    <row r="494" ht="15.75" customHeight="1">
      <c r="I494" s="1021"/>
    </row>
    <row r="495" ht="15.75" customHeight="1">
      <c r="I495" s="1021"/>
    </row>
    <row r="496" ht="15.75" customHeight="1">
      <c r="I496" s="1021"/>
    </row>
    <row r="497" ht="15.75" customHeight="1">
      <c r="I497" s="1021"/>
    </row>
    <row r="498" ht="15.75" customHeight="1">
      <c r="I498" s="1021"/>
    </row>
    <row r="499" ht="15.75" customHeight="1">
      <c r="I499" s="1021"/>
    </row>
    <row r="500" ht="15.75" customHeight="1">
      <c r="I500" s="1021"/>
    </row>
    <row r="501" ht="15.75" customHeight="1">
      <c r="I501" s="1021"/>
    </row>
    <row r="502" ht="15.75" customHeight="1">
      <c r="I502" s="1021"/>
    </row>
    <row r="503" ht="15.75" customHeight="1">
      <c r="I503" s="1021"/>
    </row>
    <row r="504" ht="15.75" customHeight="1">
      <c r="I504" s="1021"/>
    </row>
    <row r="505" ht="15.75" customHeight="1">
      <c r="I505" s="1021"/>
    </row>
    <row r="506" ht="15.75" customHeight="1">
      <c r="I506" s="1021"/>
    </row>
    <row r="507" ht="15.75" customHeight="1">
      <c r="I507" s="1021"/>
    </row>
    <row r="508" ht="15.75" customHeight="1">
      <c r="I508" s="1021"/>
    </row>
    <row r="509" ht="15.75" customHeight="1">
      <c r="I509" s="1021"/>
    </row>
    <row r="510" ht="15.75" customHeight="1">
      <c r="I510" s="1021"/>
    </row>
    <row r="511" ht="15.75" customHeight="1">
      <c r="I511" s="1021"/>
    </row>
    <row r="512" ht="15.75" customHeight="1">
      <c r="I512" s="1021"/>
    </row>
    <row r="513" ht="15.75" customHeight="1">
      <c r="I513" s="1021"/>
    </row>
    <row r="514" ht="15.75" customHeight="1">
      <c r="I514" s="1021"/>
    </row>
    <row r="515" ht="15.75" customHeight="1">
      <c r="I515" s="1021"/>
    </row>
    <row r="516" ht="15.75" customHeight="1">
      <c r="I516" s="1021"/>
    </row>
    <row r="517" ht="15.75" customHeight="1">
      <c r="I517" s="1021"/>
    </row>
    <row r="518" ht="15.75" customHeight="1">
      <c r="I518" s="1021"/>
    </row>
    <row r="519" ht="15.75" customHeight="1">
      <c r="I519" s="1021"/>
    </row>
    <row r="520" ht="15.75" customHeight="1">
      <c r="I520" s="1021"/>
    </row>
    <row r="521" ht="15.75" customHeight="1">
      <c r="I521" s="1021"/>
    </row>
    <row r="522" ht="15.75" customHeight="1">
      <c r="I522" s="1021"/>
    </row>
    <row r="523" ht="15.75" customHeight="1">
      <c r="I523" s="1021"/>
    </row>
    <row r="524" ht="15.75" customHeight="1">
      <c r="I524" s="1021"/>
    </row>
    <row r="525" ht="15.75" customHeight="1">
      <c r="I525" s="1021"/>
    </row>
    <row r="526" ht="15.75" customHeight="1">
      <c r="I526" s="1021"/>
    </row>
    <row r="527" ht="15.75" customHeight="1">
      <c r="I527" s="1021"/>
    </row>
    <row r="528" ht="15.75" customHeight="1">
      <c r="I528" s="1021"/>
    </row>
    <row r="529" ht="15.75" customHeight="1">
      <c r="I529" s="1021"/>
    </row>
    <row r="530" ht="15.75" customHeight="1">
      <c r="I530" s="1021"/>
    </row>
    <row r="531" ht="15.75" customHeight="1">
      <c r="I531" s="1021"/>
    </row>
    <row r="532" ht="15.75" customHeight="1">
      <c r="I532" s="1021"/>
    </row>
    <row r="533" ht="15.75" customHeight="1">
      <c r="I533" s="1021"/>
    </row>
    <row r="534" ht="15.75" customHeight="1">
      <c r="I534" s="1021"/>
    </row>
    <row r="535" ht="15.75" customHeight="1">
      <c r="I535" s="1021"/>
    </row>
    <row r="536" ht="15.75" customHeight="1">
      <c r="I536" s="1021"/>
    </row>
    <row r="537" ht="15.75" customHeight="1">
      <c r="I537" s="1021"/>
    </row>
    <row r="538" ht="15.75" customHeight="1">
      <c r="I538" s="1021"/>
    </row>
    <row r="539" ht="15.75" customHeight="1">
      <c r="I539" s="1021"/>
    </row>
    <row r="540" ht="15.75" customHeight="1">
      <c r="I540" s="1021"/>
    </row>
    <row r="541" ht="15.75" customHeight="1">
      <c r="I541" s="1021"/>
    </row>
    <row r="542" ht="15.75" customHeight="1">
      <c r="I542" s="1021"/>
    </row>
    <row r="543" ht="15.75" customHeight="1">
      <c r="I543" s="1021"/>
    </row>
    <row r="544" ht="15.75" customHeight="1">
      <c r="I544" s="1021"/>
    </row>
    <row r="545" ht="15.75" customHeight="1">
      <c r="I545" s="1021"/>
    </row>
    <row r="546" ht="15.75" customHeight="1">
      <c r="I546" s="1021"/>
    </row>
    <row r="547" ht="15.75" customHeight="1">
      <c r="I547" s="1021"/>
    </row>
    <row r="548" ht="15.75" customHeight="1">
      <c r="I548" s="1021"/>
    </row>
    <row r="549" ht="15.75" customHeight="1">
      <c r="I549" s="1021"/>
    </row>
    <row r="550" ht="15.75" customHeight="1">
      <c r="I550" s="1021"/>
    </row>
    <row r="551" ht="15.75" customHeight="1">
      <c r="I551" s="1021"/>
    </row>
    <row r="552" ht="15.75" customHeight="1">
      <c r="I552" s="1021"/>
    </row>
    <row r="553" ht="15.75" customHeight="1">
      <c r="I553" s="1021"/>
    </row>
    <row r="554" ht="15.75" customHeight="1">
      <c r="I554" s="1021"/>
    </row>
    <row r="555" ht="15.75" customHeight="1">
      <c r="I555" s="1021"/>
    </row>
    <row r="556" ht="15.75" customHeight="1">
      <c r="I556" s="1021"/>
    </row>
    <row r="557" ht="15.75" customHeight="1">
      <c r="I557" s="1021"/>
    </row>
    <row r="558" ht="15.75" customHeight="1">
      <c r="I558" s="1021"/>
    </row>
    <row r="559" ht="15.75" customHeight="1">
      <c r="I559" s="1021"/>
    </row>
    <row r="560" ht="15.75" customHeight="1">
      <c r="I560" s="1021"/>
    </row>
    <row r="561" ht="15.75" customHeight="1">
      <c r="I561" s="1021"/>
    </row>
    <row r="562" ht="15.75" customHeight="1">
      <c r="I562" s="1021"/>
    </row>
    <row r="563" ht="15.75" customHeight="1">
      <c r="I563" s="1021"/>
    </row>
    <row r="564" ht="15.75" customHeight="1">
      <c r="I564" s="1021"/>
    </row>
    <row r="565" ht="15.75" customHeight="1">
      <c r="I565" s="1021"/>
    </row>
    <row r="566" ht="15.75" customHeight="1">
      <c r="I566" s="1021"/>
    </row>
    <row r="567" ht="15.75" customHeight="1">
      <c r="I567" s="1021"/>
    </row>
    <row r="568" ht="15.75" customHeight="1">
      <c r="I568" s="1021"/>
    </row>
    <row r="569" ht="15.75" customHeight="1">
      <c r="I569" s="1021"/>
    </row>
    <row r="570" ht="15.75" customHeight="1">
      <c r="I570" s="1021"/>
    </row>
    <row r="571" ht="15.75" customHeight="1">
      <c r="I571" s="1021"/>
    </row>
    <row r="572" ht="15.75" customHeight="1">
      <c r="I572" s="1021"/>
    </row>
    <row r="573" ht="15.75" customHeight="1">
      <c r="I573" s="1021"/>
    </row>
    <row r="574" ht="15.75" customHeight="1">
      <c r="I574" s="1021"/>
    </row>
    <row r="575" ht="15.75" customHeight="1">
      <c r="I575" s="1021"/>
    </row>
    <row r="576" ht="15.75" customHeight="1">
      <c r="I576" s="1021"/>
    </row>
    <row r="577" ht="15.75" customHeight="1">
      <c r="I577" s="1021"/>
    </row>
    <row r="578" ht="15.75" customHeight="1">
      <c r="I578" s="1021"/>
    </row>
    <row r="579" ht="15.75" customHeight="1">
      <c r="I579" s="1021"/>
    </row>
    <row r="580" ht="15.75" customHeight="1">
      <c r="I580" s="1021"/>
    </row>
    <row r="581" ht="15.75" customHeight="1">
      <c r="I581" s="1021"/>
    </row>
    <row r="582" ht="15.75" customHeight="1">
      <c r="I582" s="1021"/>
    </row>
    <row r="583" ht="15.75" customHeight="1">
      <c r="I583" s="1021"/>
    </row>
    <row r="584" ht="15.75" customHeight="1">
      <c r="I584" s="1021"/>
    </row>
    <row r="585" ht="15.75" customHeight="1">
      <c r="I585" s="1021"/>
    </row>
    <row r="586" ht="15.75" customHeight="1">
      <c r="I586" s="1021"/>
    </row>
    <row r="587" ht="15.75" customHeight="1">
      <c r="I587" s="1021"/>
    </row>
    <row r="588" ht="15.75" customHeight="1">
      <c r="I588" s="1021"/>
    </row>
    <row r="589" ht="15.75" customHeight="1">
      <c r="I589" s="1021"/>
    </row>
    <row r="590" ht="15.75" customHeight="1">
      <c r="I590" s="1021"/>
    </row>
    <row r="591" ht="15.75" customHeight="1">
      <c r="I591" s="1021"/>
    </row>
    <row r="592" ht="15.75" customHeight="1">
      <c r="I592" s="1021"/>
    </row>
    <row r="593" ht="15.75" customHeight="1">
      <c r="I593" s="1021"/>
    </row>
    <row r="594" ht="15.75" customHeight="1">
      <c r="I594" s="1021"/>
    </row>
    <row r="595" ht="15.75" customHeight="1">
      <c r="I595" s="1021"/>
    </row>
    <row r="596" ht="15.75" customHeight="1">
      <c r="I596" s="1021"/>
    </row>
    <row r="597" ht="15.75" customHeight="1">
      <c r="I597" s="1021"/>
    </row>
    <row r="598" ht="15.75" customHeight="1">
      <c r="I598" s="1021"/>
    </row>
    <row r="599" ht="15.75" customHeight="1">
      <c r="I599" s="1021"/>
    </row>
    <row r="600" ht="15.75" customHeight="1">
      <c r="I600" s="1021"/>
    </row>
    <row r="601" ht="15.75" customHeight="1">
      <c r="I601" s="1021"/>
    </row>
    <row r="602" ht="15.75" customHeight="1">
      <c r="I602" s="1021"/>
    </row>
    <row r="603" ht="15.75" customHeight="1">
      <c r="I603" s="1021"/>
    </row>
    <row r="604" ht="15.75" customHeight="1">
      <c r="I604" s="1021"/>
    </row>
    <row r="605" ht="15.75" customHeight="1">
      <c r="I605" s="1021"/>
    </row>
    <row r="606" ht="15.75" customHeight="1">
      <c r="I606" s="1021"/>
    </row>
    <row r="607" ht="15.75" customHeight="1">
      <c r="I607" s="1021"/>
    </row>
    <row r="608" ht="15.75" customHeight="1">
      <c r="I608" s="1021"/>
    </row>
    <row r="609" ht="15.75" customHeight="1">
      <c r="I609" s="1021"/>
    </row>
    <row r="610" ht="15.75" customHeight="1">
      <c r="I610" s="1021"/>
    </row>
    <row r="611" ht="15.75" customHeight="1">
      <c r="I611" s="1021"/>
    </row>
    <row r="612" ht="15.75" customHeight="1">
      <c r="I612" s="1021"/>
    </row>
    <row r="613" ht="15.75" customHeight="1">
      <c r="I613" s="1021"/>
    </row>
    <row r="614" ht="15.75" customHeight="1">
      <c r="I614" s="1021"/>
    </row>
    <row r="615" ht="15.75" customHeight="1">
      <c r="I615" s="1021"/>
    </row>
    <row r="616" ht="15.75" customHeight="1">
      <c r="I616" s="1021"/>
    </row>
    <row r="617" ht="15.75" customHeight="1">
      <c r="I617" s="1021"/>
    </row>
    <row r="618" ht="15.75" customHeight="1">
      <c r="I618" s="1021"/>
    </row>
    <row r="619" ht="15.75" customHeight="1">
      <c r="I619" s="1021"/>
    </row>
    <row r="620" ht="15.75" customHeight="1">
      <c r="I620" s="1021"/>
    </row>
    <row r="621" ht="15.75" customHeight="1">
      <c r="I621" s="1021"/>
    </row>
    <row r="622" ht="15.75" customHeight="1">
      <c r="I622" s="1021"/>
    </row>
    <row r="623" ht="15.75" customHeight="1">
      <c r="I623" s="1021"/>
    </row>
    <row r="624" ht="15.75" customHeight="1">
      <c r="I624" s="1021"/>
    </row>
    <row r="625" ht="15.75" customHeight="1">
      <c r="I625" s="1021"/>
    </row>
    <row r="626" ht="15.75" customHeight="1">
      <c r="I626" s="1021"/>
    </row>
    <row r="627" ht="15.75" customHeight="1">
      <c r="I627" s="1021"/>
    </row>
    <row r="628" ht="15.75" customHeight="1">
      <c r="I628" s="1021"/>
    </row>
    <row r="629" ht="15.75" customHeight="1">
      <c r="I629" s="1021"/>
    </row>
    <row r="630" ht="15.75" customHeight="1">
      <c r="I630" s="1021"/>
    </row>
    <row r="631" ht="15.75" customHeight="1">
      <c r="I631" s="1021"/>
    </row>
    <row r="632" ht="15.75" customHeight="1">
      <c r="I632" s="1021"/>
    </row>
    <row r="633" ht="15.75" customHeight="1">
      <c r="I633" s="1021"/>
    </row>
    <row r="634" ht="15.75" customHeight="1">
      <c r="I634" s="1021"/>
    </row>
    <row r="635" ht="15.75" customHeight="1">
      <c r="I635" s="1021"/>
    </row>
    <row r="636" ht="15.75" customHeight="1">
      <c r="I636" s="1021"/>
    </row>
    <row r="637" ht="15.75" customHeight="1">
      <c r="I637" s="1021"/>
    </row>
    <row r="638" ht="15.75" customHeight="1">
      <c r="I638" s="1021"/>
    </row>
    <row r="639" ht="15.75" customHeight="1">
      <c r="I639" s="1021"/>
    </row>
    <row r="640" ht="15.75" customHeight="1">
      <c r="I640" s="1021"/>
    </row>
    <row r="641" ht="15.75" customHeight="1">
      <c r="I641" s="1021"/>
    </row>
    <row r="642" ht="15.75" customHeight="1">
      <c r="I642" s="1021"/>
    </row>
    <row r="643" ht="15.75" customHeight="1">
      <c r="I643" s="1021"/>
    </row>
    <row r="644" ht="15.75" customHeight="1">
      <c r="I644" s="1021"/>
    </row>
    <row r="645" ht="15.75" customHeight="1">
      <c r="I645" s="1021"/>
    </row>
    <row r="646" ht="15.75" customHeight="1">
      <c r="I646" s="1021"/>
    </row>
    <row r="647" ht="15.75" customHeight="1">
      <c r="I647" s="1021"/>
    </row>
    <row r="648" ht="15.75" customHeight="1">
      <c r="I648" s="1021"/>
    </row>
    <row r="649" ht="15.75" customHeight="1">
      <c r="I649" s="1021"/>
    </row>
    <row r="650" ht="15.75" customHeight="1">
      <c r="I650" s="1021"/>
    </row>
    <row r="651" ht="15.75" customHeight="1">
      <c r="I651" s="1021"/>
    </row>
    <row r="652" ht="15.75" customHeight="1">
      <c r="I652" s="1021"/>
    </row>
    <row r="653" ht="15.75" customHeight="1">
      <c r="I653" s="1021"/>
    </row>
    <row r="654" ht="15.75" customHeight="1">
      <c r="I654" s="1021"/>
    </row>
    <row r="655" ht="15.75" customHeight="1">
      <c r="I655" s="1021"/>
    </row>
    <row r="656" ht="15.75" customHeight="1">
      <c r="I656" s="1021"/>
    </row>
    <row r="657" ht="15.75" customHeight="1">
      <c r="I657" s="1021"/>
    </row>
    <row r="658" ht="15.75" customHeight="1">
      <c r="I658" s="1021"/>
    </row>
    <row r="659" ht="15.75" customHeight="1">
      <c r="I659" s="1021"/>
    </row>
    <row r="660" ht="15.75" customHeight="1">
      <c r="I660" s="1021"/>
    </row>
    <row r="661" ht="15.75" customHeight="1">
      <c r="I661" s="1021"/>
    </row>
    <row r="662" ht="15.75" customHeight="1">
      <c r="I662" s="1021"/>
    </row>
    <row r="663" ht="15.75" customHeight="1">
      <c r="I663" s="1021"/>
    </row>
    <row r="664" ht="15.75" customHeight="1">
      <c r="I664" s="1021"/>
    </row>
    <row r="665" ht="15.75" customHeight="1">
      <c r="I665" s="1021"/>
    </row>
    <row r="666" ht="15.75" customHeight="1">
      <c r="I666" s="1021"/>
    </row>
    <row r="667" ht="15.75" customHeight="1">
      <c r="I667" s="1021"/>
    </row>
    <row r="668" ht="15.75" customHeight="1">
      <c r="I668" s="1021"/>
    </row>
    <row r="669" ht="15.75" customHeight="1">
      <c r="I669" s="1021"/>
    </row>
    <row r="670" ht="15.75" customHeight="1">
      <c r="I670" s="1021"/>
    </row>
    <row r="671" ht="15.75" customHeight="1">
      <c r="I671" s="1021"/>
    </row>
    <row r="672" ht="15.75" customHeight="1">
      <c r="I672" s="1021"/>
    </row>
    <row r="673" ht="15.75" customHeight="1">
      <c r="I673" s="1021"/>
    </row>
    <row r="674" ht="15.75" customHeight="1">
      <c r="I674" s="1021"/>
    </row>
    <row r="675" ht="15.75" customHeight="1">
      <c r="I675" s="1021"/>
    </row>
    <row r="676" ht="15.75" customHeight="1">
      <c r="I676" s="1021"/>
    </row>
    <row r="677" ht="15.75" customHeight="1">
      <c r="I677" s="1021"/>
    </row>
    <row r="678" ht="15.75" customHeight="1">
      <c r="I678" s="1021"/>
    </row>
    <row r="679" ht="15.75" customHeight="1">
      <c r="I679" s="1021"/>
    </row>
    <row r="680" ht="15.75" customHeight="1">
      <c r="I680" s="1021"/>
    </row>
    <row r="681" ht="15.75" customHeight="1">
      <c r="I681" s="1021"/>
    </row>
    <row r="682" ht="15.75" customHeight="1">
      <c r="I682" s="1021"/>
    </row>
    <row r="683" ht="15.75" customHeight="1">
      <c r="I683" s="1021"/>
    </row>
    <row r="684" ht="15.75" customHeight="1">
      <c r="I684" s="1021"/>
    </row>
    <row r="685" ht="15.75" customHeight="1">
      <c r="I685" s="1021"/>
    </row>
    <row r="686" ht="15.75" customHeight="1">
      <c r="I686" s="1021"/>
    </row>
    <row r="687" ht="15.75" customHeight="1">
      <c r="I687" s="1021"/>
    </row>
    <row r="688" ht="15.75" customHeight="1">
      <c r="I688" s="1021"/>
    </row>
    <row r="689" ht="15.75" customHeight="1">
      <c r="I689" s="1021"/>
    </row>
    <row r="690" ht="15.75" customHeight="1">
      <c r="I690" s="1021"/>
    </row>
    <row r="691" ht="15.75" customHeight="1">
      <c r="I691" s="1021"/>
    </row>
    <row r="692" ht="15.75" customHeight="1">
      <c r="I692" s="1021"/>
    </row>
    <row r="693" ht="15.75" customHeight="1">
      <c r="I693" s="1021"/>
    </row>
    <row r="694" ht="15.75" customHeight="1">
      <c r="I694" s="1021"/>
    </row>
    <row r="695" ht="15.75" customHeight="1">
      <c r="I695" s="1021"/>
    </row>
    <row r="696" ht="15.75" customHeight="1">
      <c r="I696" s="1021"/>
    </row>
    <row r="697" ht="15.75" customHeight="1">
      <c r="I697" s="1021"/>
    </row>
    <row r="698" ht="15.75" customHeight="1">
      <c r="I698" s="1021"/>
    </row>
    <row r="699" ht="15.75" customHeight="1">
      <c r="I699" s="1021"/>
    </row>
    <row r="700" ht="15.75" customHeight="1">
      <c r="I700" s="1021"/>
    </row>
    <row r="701" ht="15.75" customHeight="1">
      <c r="I701" s="1021"/>
    </row>
    <row r="702" ht="15.75" customHeight="1">
      <c r="I702" s="1021"/>
    </row>
    <row r="703" ht="15.75" customHeight="1">
      <c r="I703" s="1021"/>
    </row>
    <row r="704" ht="15.75" customHeight="1">
      <c r="I704" s="1021"/>
    </row>
    <row r="705" ht="15.75" customHeight="1">
      <c r="I705" s="1021"/>
    </row>
    <row r="706" ht="15.75" customHeight="1">
      <c r="I706" s="1021"/>
    </row>
    <row r="707" ht="15.75" customHeight="1">
      <c r="I707" s="1021"/>
    </row>
    <row r="708" ht="15.75" customHeight="1">
      <c r="I708" s="1021"/>
    </row>
    <row r="709" ht="15.75" customHeight="1">
      <c r="I709" s="1021"/>
    </row>
    <row r="710" ht="15.75" customHeight="1">
      <c r="I710" s="1021"/>
    </row>
    <row r="711" ht="15.75" customHeight="1">
      <c r="I711" s="1021"/>
    </row>
    <row r="712" ht="15.75" customHeight="1">
      <c r="I712" s="1021"/>
    </row>
    <row r="713" ht="15.75" customHeight="1">
      <c r="I713" s="1021"/>
    </row>
    <row r="714" ht="15.75" customHeight="1">
      <c r="I714" s="1021"/>
    </row>
    <row r="715" ht="15.75" customHeight="1">
      <c r="I715" s="1021"/>
    </row>
    <row r="716" ht="15.75" customHeight="1">
      <c r="I716" s="1021"/>
    </row>
    <row r="717" ht="15.75" customHeight="1">
      <c r="I717" s="1021"/>
    </row>
    <row r="718" ht="15.75" customHeight="1">
      <c r="I718" s="1021"/>
    </row>
    <row r="719" ht="15.75" customHeight="1">
      <c r="I719" s="1021"/>
    </row>
    <row r="720" ht="15.75" customHeight="1">
      <c r="I720" s="1021"/>
    </row>
    <row r="721" ht="15.75" customHeight="1">
      <c r="I721" s="1021"/>
    </row>
    <row r="722" ht="15.75" customHeight="1">
      <c r="I722" s="1021"/>
    </row>
    <row r="723" ht="15.75" customHeight="1">
      <c r="I723" s="1021"/>
    </row>
    <row r="724" ht="15.75" customHeight="1">
      <c r="I724" s="1021"/>
    </row>
    <row r="725" ht="15.75" customHeight="1">
      <c r="I725" s="1021"/>
    </row>
    <row r="726" ht="15.75" customHeight="1">
      <c r="I726" s="1021"/>
    </row>
    <row r="727" ht="15.75" customHeight="1">
      <c r="I727" s="1021"/>
    </row>
    <row r="728" ht="15.75" customHeight="1">
      <c r="I728" s="1021"/>
    </row>
    <row r="729" ht="15.75" customHeight="1">
      <c r="I729" s="1021"/>
    </row>
    <row r="730" ht="15.75" customHeight="1">
      <c r="I730" s="1021"/>
    </row>
    <row r="731" ht="15.75" customHeight="1">
      <c r="I731" s="1021"/>
    </row>
    <row r="732" ht="15.75" customHeight="1">
      <c r="I732" s="1021"/>
    </row>
    <row r="733" ht="15.75" customHeight="1">
      <c r="I733" s="1021"/>
    </row>
    <row r="734" ht="15.75" customHeight="1">
      <c r="I734" s="1021"/>
    </row>
    <row r="735" ht="15.75" customHeight="1">
      <c r="I735" s="1021"/>
    </row>
    <row r="736" ht="15.75" customHeight="1">
      <c r="I736" s="1021"/>
    </row>
    <row r="737" ht="15.75" customHeight="1">
      <c r="I737" s="1021"/>
    </row>
    <row r="738" ht="15.75" customHeight="1">
      <c r="I738" s="1021"/>
    </row>
    <row r="739" ht="15.75" customHeight="1">
      <c r="I739" s="1021"/>
    </row>
    <row r="740" ht="15.75" customHeight="1">
      <c r="I740" s="1021"/>
    </row>
    <row r="741" ht="15.75" customHeight="1">
      <c r="I741" s="1021"/>
    </row>
    <row r="742" ht="15.75" customHeight="1">
      <c r="I742" s="1021"/>
    </row>
    <row r="743" ht="15.75" customHeight="1">
      <c r="I743" s="1021"/>
    </row>
    <row r="744" ht="15.75" customHeight="1">
      <c r="I744" s="1021"/>
    </row>
    <row r="745" ht="15.75" customHeight="1">
      <c r="I745" s="1021"/>
    </row>
    <row r="746" ht="15.75" customHeight="1">
      <c r="I746" s="1021"/>
    </row>
    <row r="747" ht="15.75" customHeight="1">
      <c r="I747" s="1021"/>
    </row>
    <row r="748" ht="15.75" customHeight="1">
      <c r="I748" s="1021"/>
    </row>
    <row r="749" ht="15.75" customHeight="1">
      <c r="I749" s="1021"/>
    </row>
    <row r="750" ht="15.75" customHeight="1">
      <c r="I750" s="1021"/>
    </row>
    <row r="751" ht="15.75" customHeight="1">
      <c r="I751" s="1021"/>
    </row>
    <row r="752" ht="15.75" customHeight="1">
      <c r="I752" s="1021"/>
    </row>
    <row r="753" ht="15.75" customHeight="1">
      <c r="I753" s="1021"/>
    </row>
    <row r="754" ht="15.75" customHeight="1">
      <c r="I754" s="1021"/>
    </row>
    <row r="755" ht="15.75" customHeight="1">
      <c r="I755" s="1021"/>
    </row>
    <row r="756" ht="15.75" customHeight="1">
      <c r="I756" s="1021"/>
    </row>
    <row r="757" ht="15.75" customHeight="1">
      <c r="I757" s="1021"/>
    </row>
    <row r="758" ht="15.75" customHeight="1">
      <c r="I758" s="1021"/>
    </row>
    <row r="759" ht="15.75" customHeight="1">
      <c r="I759" s="1021"/>
    </row>
    <row r="760" ht="15.75" customHeight="1">
      <c r="I760" s="1021"/>
    </row>
    <row r="761" ht="15.75" customHeight="1">
      <c r="I761" s="1021"/>
    </row>
    <row r="762" ht="15.75" customHeight="1">
      <c r="I762" s="1021"/>
    </row>
    <row r="763" ht="15.75" customHeight="1">
      <c r="I763" s="1021"/>
    </row>
    <row r="764" ht="15.75" customHeight="1">
      <c r="I764" s="1021"/>
    </row>
    <row r="765" ht="15.75" customHeight="1">
      <c r="I765" s="1021"/>
    </row>
    <row r="766" ht="15.75" customHeight="1">
      <c r="I766" s="1021"/>
    </row>
    <row r="767" ht="15.75" customHeight="1">
      <c r="I767" s="1021"/>
    </row>
    <row r="768" ht="15.75" customHeight="1">
      <c r="I768" s="1021"/>
    </row>
    <row r="769" ht="15.75" customHeight="1">
      <c r="I769" s="1021"/>
    </row>
    <row r="770" ht="15.75" customHeight="1">
      <c r="I770" s="1021"/>
    </row>
    <row r="771" ht="15.75" customHeight="1">
      <c r="I771" s="1021"/>
    </row>
    <row r="772" ht="15.75" customHeight="1">
      <c r="I772" s="1021"/>
    </row>
    <row r="773" ht="15.75" customHeight="1">
      <c r="I773" s="1021"/>
    </row>
    <row r="774" ht="15.75" customHeight="1">
      <c r="I774" s="1021"/>
    </row>
    <row r="775" ht="15.75" customHeight="1">
      <c r="I775" s="1021"/>
    </row>
    <row r="776" ht="15.75" customHeight="1">
      <c r="I776" s="1021"/>
    </row>
    <row r="777" ht="15.75" customHeight="1">
      <c r="I777" s="1021"/>
    </row>
    <row r="778" ht="15.75" customHeight="1">
      <c r="I778" s="1021"/>
    </row>
    <row r="779" ht="15.75" customHeight="1">
      <c r="I779" s="1021"/>
    </row>
    <row r="780" ht="15.75" customHeight="1">
      <c r="I780" s="1021"/>
    </row>
    <row r="781" ht="15.75" customHeight="1">
      <c r="I781" s="1021"/>
    </row>
    <row r="782" ht="15.75" customHeight="1">
      <c r="I782" s="1021"/>
    </row>
    <row r="783" ht="15.75" customHeight="1">
      <c r="I783" s="1021"/>
    </row>
    <row r="784" ht="15.75" customHeight="1">
      <c r="I784" s="1021"/>
    </row>
    <row r="785" ht="15.75" customHeight="1">
      <c r="I785" s="1021"/>
    </row>
    <row r="786" ht="15.75" customHeight="1">
      <c r="I786" s="1021"/>
    </row>
    <row r="787" ht="15.75" customHeight="1">
      <c r="I787" s="1021"/>
    </row>
    <row r="788" ht="15.75" customHeight="1">
      <c r="I788" s="1021"/>
    </row>
    <row r="789" ht="15.75" customHeight="1">
      <c r="I789" s="1021"/>
    </row>
    <row r="790" ht="15.75" customHeight="1">
      <c r="I790" s="1021"/>
    </row>
    <row r="791" ht="15.75" customHeight="1">
      <c r="I791" s="1021"/>
    </row>
    <row r="792" ht="15.75" customHeight="1">
      <c r="I792" s="1021"/>
    </row>
    <row r="793" ht="15.75" customHeight="1">
      <c r="I793" s="1021"/>
    </row>
    <row r="794" ht="15.75" customHeight="1">
      <c r="I794" s="1021"/>
    </row>
    <row r="795" ht="15.75" customHeight="1">
      <c r="I795" s="1021"/>
    </row>
    <row r="796" ht="15.75" customHeight="1">
      <c r="I796" s="1021"/>
    </row>
    <row r="797" ht="15.75" customHeight="1">
      <c r="I797" s="1021"/>
    </row>
    <row r="798" ht="15.75" customHeight="1">
      <c r="I798" s="1021"/>
    </row>
    <row r="799" ht="15.75" customHeight="1">
      <c r="I799" s="1021"/>
    </row>
    <row r="800" ht="15.75" customHeight="1">
      <c r="I800" s="1021"/>
    </row>
    <row r="801" ht="15.75" customHeight="1">
      <c r="I801" s="1021"/>
    </row>
    <row r="802" ht="15.75" customHeight="1">
      <c r="I802" s="1021"/>
    </row>
    <row r="803" ht="15.75" customHeight="1">
      <c r="I803" s="1021"/>
    </row>
    <row r="804" ht="15.75" customHeight="1">
      <c r="I804" s="1021"/>
    </row>
    <row r="805" ht="15.75" customHeight="1">
      <c r="I805" s="1021"/>
    </row>
    <row r="806" ht="15.75" customHeight="1">
      <c r="I806" s="1021"/>
    </row>
    <row r="807" ht="15.75" customHeight="1">
      <c r="I807" s="1021"/>
    </row>
    <row r="808" ht="15.75" customHeight="1">
      <c r="I808" s="1021"/>
    </row>
    <row r="809" ht="15.75" customHeight="1">
      <c r="I809" s="1021"/>
    </row>
    <row r="810" ht="15.75" customHeight="1">
      <c r="I810" s="1021"/>
    </row>
    <row r="811" ht="15.75" customHeight="1">
      <c r="I811" s="1021"/>
    </row>
    <row r="812" ht="15.75" customHeight="1">
      <c r="I812" s="1021"/>
    </row>
    <row r="813" ht="15.75" customHeight="1">
      <c r="I813" s="1021"/>
    </row>
    <row r="814" ht="15.75" customHeight="1">
      <c r="I814" s="1021"/>
    </row>
    <row r="815" ht="15.75" customHeight="1">
      <c r="I815" s="1021"/>
    </row>
    <row r="816" ht="15.75" customHeight="1">
      <c r="I816" s="1021"/>
    </row>
    <row r="817" ht="15.75" customHeight="1">
      <c r="I817" s="1021"/>
    </row>
    <row r="818" ht="15.75" customHeight="1">
      <c r="I818" s="1021"/>
    </row>
    <row r="819" ht="15.75" customHeight="1">
      <c r="I819" s="1021"/>
    </row>
    <row r="820" ht="15.75" customHeight="1">
      <c r="I820" s="1021"/>
    </row>
    <row r="821" ht="15.75" customHeight="1">
      <c r="I821" s="1021"/>
    </row>
    <row r="822" ht="15.75" customHeight="1">
      <c r="I822" s="1021"/>
    </row>
    <row r="823" ht="15.75" customHeight="1">
      <c r="I823" s="1021"/>
    </row>
    <row r="824" ht="15.75" customHeight="1">
      <c r="I824" s="1021"/>
    </row>
    <row r="825" ht="15.75" customHeight="1">
      <c r="I825" s="1021"/>
    </row>
    <row r="826" ht="15.75" customHeight="1">
      <c r="I826" s="1021"/>
    </row>
    <row r="827" ht="15.75" customHeight="1">
      <c r="I827" s="1021"/>
    </row>
    <row r="828" ht="15.75" customHeight="1">
      <c r="I828" s="1021"/>
    </row>
    <row r="829" ht="15.75" customHeight="1">
      <c r="I829" s="1021"/>
    </row>
    <row r="830" ht="15.75" customHeight="1">
      <c r="I830" s="1021"/>
    </row>
    <row r="831" ht="15.75" customHeight="1">
      <c r="I831" s="1021"/>
    </row>
    <row r="832" ht="15.75" customHeight="1">
      <c r="I832" s="1021"/>
    </row>
    <row r="833" ht="15.75" customHeight="1">
      <c r="I833" s="1021"/>
    </row>
    <row r="834" ht="15.75" customHeight="1">
      <c r="I834" s="1021"/>
    </row>
    <row r="835" ht="15.75" customHeight="1">
      <c r="I835" s="1021"/>
    </row>
    <row r="836" ht="15.75" customHeight="1">
      <c r="I836" s="1021"/>
    </row>
    <row r="837" ht="15.75" customHeight="1">
      <c r="I837" s="1021"/>
    </row>
    <row r="838" ht="15.75" customHeight="1">
      <c r="I838" s="1021"/>
    </row>
    <row r="839" ht="15.75" customHeight="1">
      <c r="I839" s="1021"/>
    </row>
    <row r="840" ht="15.75" customHeight="1">
      <c r="I840" s="1021"/>
    </row>
    <row r="841" ht="15.75" customHeight="1">
      <c r="I841" s="1021"/>
    </row>
    <row r="842" ht="15.75" customHeight="1">
      <c r="I842" s="1021"/>
    </row>
    <row r="843" ht="15.75" customHeight="1">
      <c r="I843" s="1021"/>
    </row>
    <row r="844" ht="15.75" customHeight="1">
      <c r="I844" s="1021"/>
    </row>
    <row r="845" ht="15.75" customHeight="1">
      <c r="I845" s="1021"/>
    </row>
    <row r="846" ht="15.75" customHeight="1">
      <c r="I846" s="1021"/>
    </row>
    <row r="847" ht="15.75" customHeight="1">
      <c r="I847" s="1021"/>
    </row>
    <row r="848" ht="15.75" customHeight="1">
      <c r="I848" s="1021"/>
    </row>
    <row r="849" ht="15.75" customHeight="1">
      <c r="I849" s="1021"/>
    </row>
    <row r="850" ht="15.75" customHeight="1">
      <c r="I850" s="1021"/>
    </row>
    <row r="851" ht="15.75" customHeight="1">
      <c r="I851" s="1021"/>
    </row>
    <row r="852" ht="15.75" customHeight="1">
      <c r="I852" s="1021"/>
    </row>
    <row r="853" ht="15.75" customHeight="1">
      <c r="I853" s="1021"/>
    </row>
    <row r="854" ht="15.75" customHeight="1">
      <c r="I854" s="1021"/>
    </row>
    <row r="855" ht="15.75" customHeight="1">
      <c r="I855" s="1021"/>
    </row>
    <row r="856" ht="15.75" customHeight="1">
      <c r="I856" s="1021"/>
    </row>
    <row r="857" ht="15.75" customHeight="1">
      <c r="I857" s="1021"/>
    </row>
    <row r="858" ht="15.75" customHeight="1">
      <c r="I858" s="1021"/>
    </row>
    <row r="859" ht="15.75" customHeight="1">
      <c r="I859" s="1021"/>
    </row>
    <row r="860" ht="15.75" customHeight="1">
      <c r="I860" s="1021"/>
    </row>
    <row r="861" ht="15.75" customHeight="1">
      <c r="I861" s="1021"/>
    </row>
    <row r="862" ht="15.75" customHeight="1">
      <c r="I862" s="1021"/>
    </row>
    <row r="863" ht="15.75" customHeight="1">
      <c r="I863" s="1021"/>
    </row>
    <row r="864" ht="15.75" customHeight="1">
      <c r="I864" s="1021"/>
    </row>
    <row r="865" ht="15.75" customHeight="1">
      <c r="I865" s="1021"/>
    </row>
    <row r="866" ht="15.75" customHeight="1">
      <c r="I866" s="1021"/>
    </row>
    <row r="867" ht="15.75" customHeight="1">
      <c r="I867" s="1021"/>
    </row>
    <row r="868" ht="15.75" customHeight="1">
      <c r="I868" s="1021"/>
    </row>
    <row r="869" ht="15.75" customHeight="1">
      <c r="I869" s="1021"/>
    </row>
    <row r="870" ht="15.75" customHeight="1">
      <c r="I870" s="1021"/>
    </row>
    <row r="871" ht="15.75" customHeight="1">
      <c r="I871" s="1021"/>
    </row>
    <row r="872" ht="15.75" customHeight="1">
      <c r="I872" s="1021"/>
    </row>
    <row r="873" ht="15.75" customHeight="1">
      <c r="I873" s="1021"/>
    </row>
    <row r="874" ht="15.75" customHeight="1">
      <c r="I874" s="1021"/>
    </row>
    <row r="875" ht="15.75" customHeight="1">
      <c r="I875" s="1021"/>
    </row>
    <row r="876" ht="15.75" customHeight="1">
      <c r="I876" s="1021"/>
    </row>
    <row r="877" ht="15.75" customHeight="1">
      <c r="I877" s="1021"/>
    </row>
    <row r="878" ht="15.75" customHeight="1">
      <c r="I878" s="1021"/>
    </row>
    <row r="879" ht="15.75" customHeight="1">
      <c r="I879" s="1021"/>
    </row>
    <row r="880" ht="15.75" customHeight="1">
      <c r="I880" s="1021"/>
    </row>
    <row r="881" ht="15.75" customHeight="1">
      <c r="I881" s="1021"/>
    </row>
    <row r="882" ht="15.75" customHeight="1">
      <c r="I882" s="1021"/>
    </row>
    <row r="883" ht="15.75" customHeight="1">
      <c r="I883" s="1021"/>
    </row>
    <row r="884" ht="15.75" customHeight="1">
      <c r="I884" s="1021"/>
    </row>
    <row r="885" ht="15.75" customHeight="1">
      <c r="I885" s="1021"/>
    </row>
    <row r="886" ht="15.75" customHeight="1">
      <c r="I886" s="1021"/>
    </row>
    <row r="887" ht="15.75" customHeight="1">
      <c r="I887" s="1021"/>
    </row>
    <row r="888" ht="15.75" customHeight="1">
      <c r="I888" s="1021"/>
    </row>
    <row r="889" ht="15.75" customHeight="1">
      <c r="I889" s="1021"/>
    </row>
    <row r="890" ht="15.75" customHeight="1">
      <c r="I890" s="1021"/>
    </row>
    <row r="891" ht="15.75" customHeight="1">
      <c r="I891" s="1021"/>
    </row>
    <row r="892" ht="15.75" customHeight="1">
      <c r="I892" s="1021"/>
    </row>
    <row r="893" ht="15.75" customHeight="1">
      <c r="I893" s="1021"/>
    </row>
    <row r="894" ht="15.75" customHeight="1">
      <c r="I894" s="1021"/>
    </row>
    <row r="895" ht="15.75" customHeight="1">
      <c r="I895" s="1021"/>
    </row>
    <row r="896" ht="15.75" customHeight="1">
      <c r="I896" s="1021"/>
    </row>
    <row r="897" ht="15.75" customHeight="1">
      <c r="I897" s="1021"/>
    </row>
    <row r="898" ht="15.75" customHeight="1">
      <c r="I898" s="1021"/>
    </row>
    <row r="899" ht="15.75" customHeight="1">
      <c r="I899" s="1021"/>
    </row>
    <row r="900" ht="15.75" customHeight="1">
      <c r="I900" s="1021"/>
    </row>
    <row r="901" ht="15.75" customHeight="1">
      <c r="I901" s="1021"/>
    </row>
    <row r="902" ht="15.75" customHeight="1">
      <c r="I902" s="1021"/>
    </row>
    <row r="903" ht="15.75" customHeight="1">
      <c r="I903" s="1021"/>
    </row>
    <row r="904" ht="15.75" customHeight="1">
      <c r="I904" s="1021"/>
    </row>
    <row r="905" ht="15.75" customHeight="1">
      <c r="I905" s="1021"/>
    </row>
  </sheetData>
  <mergeCells count="14">
    <mergeCell ref="C13:E13"/>
    <mergeCell ref="C14:E14"/>
    <mergeCell ref="C15:E15"/>
    <mergeCell ref="C16:E16"/>
    <mergeCell ref="C17:E17"/>
    <mergeCell ref="C18:E18"/>
    <mergeCell ref="A19:D20"/>
    <mergeCell ref="H6:K6"/>
    <mergeCell ref="D7:H7"/>
    <mergeCell ref="F9:G9"/>
    <mergeCell ref="C10:E10"/>
    <mergeCell ref="F10:G10"/>
    <mergeCell ref="C11:E11"/>
    <mergeCell ref="C12:E12"/>
  </mergeCells>
  <printOptions horizontalCentered="1"/>
  <pageMargins bottom="0.2689839283788157" footer="0.0" header="0.0" left="0.026372301548430854" right="0.0" top="0.2689839283788157"/>
  <pageSetup paperSize="11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9.0"/>
    <col customWidth="1" min="3" max="3" width="8.71"/>
    <col customWidth="1" min="4" max="4" width="11.43"/>
    <col customWidth="1" min="5" max="5" width="8.71"/>
    <col customWidth="1" min="6" max="6" width="3.57"/>
    <col customWidth="1" min="7" max="7" width="3.43"/>
    <col customWidth="1" min="8" max="8" width="11.43"/>
    <col customWidth="1" min="9" max="9" width="7.14"/>
    <col customWidth="1" min="10" max="10" width="11.43"/>
    <col customWidth="1" min="11" max="11" width="12.29"/>
  </cols>
  <sheetData>
    <row r="1" ht="13.5" customHeight="1">
      <c r="A1" s="590" t="s">
        <v>10962</v>
      </c>
      <c r="B1" s="591"/>
      <c r="C1" s="592"/>
      <c r="D1" s="592"/>
      <c r="E1" s="592"/>
      <c r="F1" s="592"/>
      <c r="G1" s="592"/>
      <c r="H1" s="594"/>
      <c r="I1" s="992" t="s">
        <v>9773</v>
      </c>
      <c r="K1" s="595">
        <v>46025.0</v>
      </c>
    </row>
    <row r="2" ht="13.5" customHeight="1">
      <c r="A2" s="596" t="s">
        <v>10963</v>
      </c>
      <c r="B2" s="597"/>
      <c r="C2" s="598"/>
      <c r="D2" s="598"/>
      <c r="E2" s="598"/>
      <c r="F2" s="592"/>
      <c r="G2" s="592"/>
      <c r="H2" s="594"/>
      <c r="I2" s="992" t="s">
        <v>9775</v>
      </c>
      <c r="K2" s="676"/>
    </row>
    <row r="3" ht="13.5" customHeight="1">
      <c r="A3" s="599" t="s">
        <v>9776</v>
      </c>
      <c r="B3" s="600"/>
      <c r="C3" s="592"/>
      <c r="D3" s="601"/>
      <c r="E3" s="601"/>
      <c r="F3" s="601"/>
      <c r="G3" s="601"/>
      <c r="H3" s="674"/>
      <c r="I3" s="1026" t="s">
        <v>10984</v>
      </c>
      <c r="J3" s="674"/>
      <c r="K3" s="674"/>
    </row>
    <row r="4" ht="13.5" customHeight="1">
      <c r="A4" s="604"/>
      <c r="B4" s="604"/>
      <c r="C4" s="592"/>
      <c r="D4" s="601"/>
      <c r="E4" s="601"/>
      <c r="F4" s="601"/>
      <c r="G4" s="601"/>
      <c r="H4" s="109"/>
      <c r="I4" s="1027" t="s">
        <v>10985</v>
      </c>
      <c r="J4" s="674"/>
      <c r="K4" s="674"/>
    </row>
    <row r="5" ht="13.5" customHeight="1">
      <c r="A5" s="604"/>
      <c r="B5" s="604"/>
      <c r="C5" s="592"/>
      <c r="D5" s="601"/>
      <c r="E5" s="601"/>
      <c r="F5" s="601"/>
      <c r="G5" s="601"/>
      <c r="I5" s="993"/>
      <c r="J5" s="607"/>
      <c r="K5" s="607"/>
    </row>
    <row r="6" ht="13.5" customHeight="1">
      <c r="A6" s="604"/>
      <c r="B6" s="604"/>
      <c r="C6" s="592"/>
      <c r="D6" s="601"/>
      <c r="E6" s="601"/>
      <c r="F6" s="601"/>
      <c r="G6" s="601"/>
      <c r="H6" s="606"/>
    </row>
    <row r="7" ht="13.5" customHeight="1">
      <c r="A7" s="604"/>
      <c r="B7" s="604"/>
      <c r="C7" s="592"/>
      <c r="D7" s="701" t="s">
        <v>10966</v>
      </c>
      <c r="I7" s="994"/>
      <c r="J7" s="609"/>
      <c r="K7" s="609"/>
    </row>
    <row r="8" ht="13.5" customHeight="1">
      <c r="A8" s="17"/>
      <c r="B8" s="600"/>
      <c r="C8" s="17"/>
      <c r="D8" s="611"/>
      <c r="E8" s="611"/>
      <c r="F8" s="17"/>
      <c r="G8" s="17"/>
      <c r="H8" s="612"/>
      <c r="I8" s="995"/>
      <c r="J8" s="612"/>
      <c r="K8" s="612"/>
    </row>
    <row r="9" ht="13.5" customHeight="1">
      <c r="A9" s="561" t="s">
        <v>10967</v>
      </c>
      <c r="B9" s="996" t="s">
        <v>10991</v>
      </c>
      <c r="C9" s="17"/>
      <c r="D9" s="615"/>
      <c r="E9" s="17"/>
      <c r="F9" s="628"/>
      <c r="H9" s="628"/>
      <c r="I9" s="997"/>
      <c r="J9" s="628"/>
      <c r="K9" s="64"/>
    </row>
    <row r="10" ht="13.5" customHeight="1">
      <c r="A10" s="618" t="s">
        <v>9779</v>
      </c>
      <c r="B10" s="619" t="s">
        <v>0</v>
      </c>
      <c r="C10" s="618" t="s">
        <v>9780</v>
      </c>
      <c r="D10" s="122"/>
      <c r="E10" s="122"/>
      <c r="F10" s="618" t="s">
        <v>9781</v>
      </c>
      <c r="G10" s="122"/>
      <c r="H10" s="998" t="s">
        <v>2739</v>
      </c>
      <c r="I10" s="998" t="s">
        <v>10969</v>
      </c>
      <c r="J10" s="998" t="s">
        <v>10130</v>
      </c>
      <c r="K10" s="618" t="s">
        <v>2740</v>
      </c>
    </row>
    <row r="11" ht="13.5" customHeight="1">
      <c r="A11" s="623">
        <v>1.0</v>
      </c>
      <c r="B11" s="264" t="s">
        <v>10992</v>
      </c>
      <c r="C11" s="264" t="s">
        <v>10993</v>
      </c>
      <c r="F11" s="704">
        <v>2.0</v>
      </c>
      <c r="G11" s="1037" t="s">
        <v>2729</v>
      </c>
      <c r="H11" s="756">
        <v>1711199.0</v>
      </c>
      <c r="I11" s="1032"/>
      <c r="J11" s="1033">
        <f t="shared" ref="J11:J12" si="1">H11-(H11*I11/100)</f>
        <v>1711199</v>
      </c>
      <c r="K11" s="1033">
        <f t="shared" ref="K11:K12" si="2">F11*J11</f>
        <v>3422398</v>
      </c>
    </row>
    <row r="12" ht="13.5" customHeight="1">
      <c r="A12" s="623">
        <v>2.0</v>
      </c>
      <c r="B12" s="45"/>
      <c r="C12" s="264"/>
      <c r="F12" s="704"/>
      <c r="G12" s="704"/>
      <c r="H12" s="141"/>
      <c r="I12" s="1032"/>
      <c r="J12" s="696">
        <f t="shared" si="1"/>
        <v>0</v>
      </c>
      <c r="K12" s="696">
        <f t="shared" si="2"/>
        <v>0</v>
      </c>
    </row>
    <row r="13" ht="13.5" customHeight="1">
      <c r="A13" s="444">
        <v>3.0</v>
      </c>
      <c r="B13" s="45"/>
      <c r="C13" s="264"/>
      <c r="F13" s="704"/>
      <c r="G13" s="1037"/>
      <c r="H13" s="1038"/>
      <c r="I13" s="1032"/>
      <c r="J13" s="696"/>
      <c r="K13" s="696"/>
    </row>
    <row r="14" ht="13.5" customHeight="1">
      <c r="A14" s="444">
        <v>4.0</v>
      </c>
      <c r="B14" s="45"/>
      <c r="C14" s="264"/>
      <c r="F14" s="1037"/>
      <c r="G14" s="1037"/>
      <c r="H14" s="106"/>
      <c r="I14" s="1032"/>
      <c r="J14" s="696">
        <f t="shared" ref="J14:J20" si="3">H14-(H14*I14/100)</f>
        <v>0</v>
      </c>
      <c r="K14" s="696">
        <f t="shared" ref="K14:K20" si="4">F14*J14</f>
        <v>0</v>
      </c>
    </row>
    <row r="15" ht="13.5" customHeight="1">
      <c r="A15" s="629">
        <v>5.0</v>
      </c>
      <c r="B15" s="45"/>
      <c r="C15" s="247"/>
      <c r="F15" s="1037"/>
      <c r="G15" s="1037"/>
      <c r="H15" s="106"/>
      <c r="I15" s="1032"/>
      <c r="J15" s="696">
        <f t="shared" si="3"/>
        <v>0</v>
      </c>
      <c r="K15" s="696">
        <f t="shared" si="4"/>
        <v>0</v>
      </c>
    </row>
    <row r="16" ht="13.5" customHeight="1">
      <c r="A16" s="629">
        <v>6.0</v>
      </c>
      <c r="B16" s="443"/>
      <c r="C16" s="247"/>
      <c r="F16" s="1037"/>
      <c r="G16" s="1037"/>
      <c r="H16" s="106"/>
      <c r="I16" s="1032"/>
      <c r="J16" s="696">
        <f t="shared" si="3"/>
        <v>0</v>
      </c>
      <c r="K16" s="696">
        <f t="shared" si="4"/>
        <v>0</v>
      </c>
    </row>
    <row r="17" ht="13.5" customHeight="1">
      <c r="A17" s="629">
        <v>7.0</v>
      </c>
      <c r="B17" s="443"/>
      <c r="C17" s="247"/>
      <c r="F17" s="1037"/>
      <c r="G17" s="1037"/>
      <c r="H17" s="544"/>
      <c r="I17" s="1032"/>
      <c r="J17" s="696">
        <f t="shared" si="3"/>
        <v>0</v>
      </c>
      <c r="K17" s="696">
        <f t="shared" si="4"/>
        <v>0</v>
      </c>
    </row>
    <row r="18" ht="13.5" customHeight="1">
      <c r="A18" s="629">
        <v>8.0</v>
      </c>
      <c r="B18" s="201"/>
      <c r="C18" s="247"/>
      <c r="F18" s="1037"/>
      <c r="G18" s="1037"/>
      <c r="H18" s="544"/>
      <c r="I18" s="1032"/>
      <c r="J18" s="696">
        <f t="shared" si="3"/>
        <v>0</v>
      </c>
      <c r="K18" s="696">
        <f t="shared" si="4"/>
        <v>0</v>
      </c>
    </row>
    <row r="19" ht="13.5" customHeight="1">
      <c r="A19" s="629">
        <v>9.0</v>
      </c>
      <c r="B19" s="443"/>
      <c r="C19" s="45"/>
      <c r="F19" s="444"/>
      <c r="G19" s="444"/>
      <c r="H19" s="627"/>
      <c r="I19" s="45"/>
      <c r="J19" s="696">
        <f t="shared" si="3"/>
        <v>0</v>
      </c>
      <c r="K19" s="696">
        <f t="shared" si="4"/>
        <v>0</v>
      </c>
    </row>
    <row r="20" ht="13.5" customHeight="1">
      <c r="A20" s="1039">
        <v>10.0</v>
      </c>
      <c r="B20" s="630"/>
      <c r="C20" s="463"/>
      <c r="D20" s="617"/>
      <c r="E20" s="617"/>
      <c r="F20" s="533"/>
      <c r="G20" s="533"/>
      <c r="H20" s="1034"/>
      <c r="I20" s="463"/>
      <c r="J20" s="1035">
        <f t="shared" si="3"/>
        <v>0</v>
      </c>
      <c r="K20" s="1035">
        <f t="shared" si="4"/>
        <v>0</v>
      </c>
    </row>
    <row r="21" ht="13.5" customHeight="1">
      <c r="A21" s="1014" t="s">
        <v>10994</v>
      </c>
      <c r="E21" s="951"/>
      <c r="F21" s="1015"/>
      <c r="G21" s="676"/>
      <c r="H21" s="636"/>
      <c r="I21" s="1016"/>
      <c r="J21" s="201" t="s">
        <v>10982</v>
      </c>
      <c r="K21" s="644">
        <f>SUM(K11:K20)</f>
        <v>3422398</v>
      </c>
    </row>
    <row r="22" ht="13.5" customHeight="1">
      <c r="E22" s="641"/>
      <c r="F22" s="645"/>
      <c r="G22" s="645"/>
      <c r="H22" s="643"/>
      <c r="I22" s="1036"/>
      <c r="J22" s="64" t="s">
        <v>9789</v>
      </c>
      <c r="K22" s="1018">
        <v>0.0</v>
      </c>
    </row>
    <row r="23" ht="13.5" customHeight="1">
      <c r="A23" s="639"/>
      <c r="B23" s="639"/>
      <c r="C23" s="639"/>
      <c r="D23" s="640"/>
      <c r="E23" s="641"/>
      <c r="F23" s="645"/>
      <c r="G23" s="645"/>
      <c r="H23" s="643"/>
      <c r="I23" s="1019"/>
      <c r="J23" s="614" t="s">
        <v>9786</v>
      </c>
      <c r="K23" s="1020">
        <f>K21-K22</f>
        <v>3422398</v>
      </c>
    </row>
    <row r="24" ht="13.5" customHeight="1">
      <c r="A24" s="592"/>
      <c r="B24" s="628"/>
      <c r="C24" s="628"/>
      <c r="D24" s="628"/>
      <c r="E24" s="641"/>
      <c r="F24" s="645"/>
      <c r="G24" s="645"/>
      <c r="H24" s="646"/>
      <c r="I24" s="1021"/>
    </row>
    <row r="25" ht="13.5" customHeight="1">
      <c r="A25" s="592"/>
      <c r="B25" s="604"/>
      <c r="C25" s="604"/>
      <c r="D25" s="649"/>
      <c r="E25" s="641"/>
      <c r="F25" s="645"/>
      <c r="G25" s="645"/>
      <c r="H25" s="650"/>
      <c r="I25" s="1016"/>
      <c r="J25" s="637"/>
      <c r="K25" s="651"/>
    </row>
    <row r="26" ht="13.5" customHeight="1">
      <c r="A26" s="592"/>
      <c r="B26" s="604"/>
      <c r="C26" s="604"/>
      <c r="D26" s="604"/>
      <c r="E26" s="604"/>
      <c r="F26" s="645"/>
      <c r="G26" s="645"/>
      <c r="H26" s="652" t="s">
        <v>1973</v>
      </c>
      <c r="I26" s="1022"/>
      <c r="J26" s="1023" t="s">
        <v>9791</v>
      </c>
      <c r="K26" s="653"/>
    </row>
    <row r="27" ht="13.5" customHeight="1">
      <c r="A27" s="654" t="s">
        <v>9792</v>
      </c>
      <c r="B27" s="591"/>
      <c r="C27" s="591"/>
      <c r="D27" s="649"/>
      <c r="E27" s="604"/>
      <c r="F27" s="707"/>
      <c r="G27" s="707"/>
      <c r="H27" s="655"/>
      <c r="I27" s="1024"/>
      <c r="J27" s="1025" t="s">
        <v>10990</v>
      </c>
      <c r="K27" s="1025"/>
    </row>
    <row r="28" ht="13.5" customHeight="1">
      <c r="I28" s="1021"/>
    </row>
    <row r="29" ht="13.5" customHeight="1">
      <c r="B29" s="64"/>
      <c r="I29" s="1021"/>
    </row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>
      <c r="I37" s="1021"/>
    </row>
    <row r="38" ht="13.5" customHeight="1">
      <c r="I38" s="1021"/>
    </row>
    <row r="39" ht="13.5" customHeight="1">
      <c r="I39" s="1021"/>
    </row>
    <row r="40" ht="13.5" customHeight="1">
      <c r="I40" s="1021"/>
    </row>
    <row r="41" ht="13.5" customHeight="1">
      <c r="B41" s="548"/>
      <c r="I41" s="1021"/>
    </row>
    <row r="42" ht="13.5" customHeight="1">
      <c r="I42" s="1021"/>
    </row>
    <row r="43" ht="13.5" customHeight="1">
      <c r="I43" s="1021"/>
    </row>
    <row r="44" ht="13.5" customHeight="1">
      <c r="I44" s="1021"/>
    </row>
    <row r="45" ht="13.5" customHeight="1">
      <c r="I45" s="1021"/>
    </row>
    <row r="46" ht="13.5" customHeight="1">
      <c r="I46" s="1021"/>
    </row>
    <row r="47" ht="13.5" customHeight="1">
      <c r="I47" s="1021"/>
    </row>
    <row r="48" ht="13.5" customHeight="1">
      <c r="I48" s="1021"/>
    </row>
    <row r="49" ht="13.5" customHeight="1">
      <c r="I49" s="1021"/>
    </row>
    <row r="50" ht="13.5" customHeight="1">
      <c r="I50" s="1021"/>
    </row>
    <row r="51" ht="13.5" customHeight="1">
      <c r="I51" s="1021"/>
    </row>
    <row r="52" ht="13.5" customHeight="1">
      <c r="I52" s="1021"/>
    </row>
    <row r="53" ht="13.5" customHeight="1">
      <c r="I53" s="1021"/>
    </row>
    <row r="54" ht="13.5" customHeight="1">
      <c r="I54" s="1021"/>
    </row>
    <row r="55" ht="13.5" customHeight="1">
      <c r="I55" s="1021"/>
    </row>
    <row r="56" ht="13.5" customHeight="1">
      <c r="I56" s="1021"/>
    </row>
    <row r="57" ht="13.5" customHeight="1">
      <c r="I57" s="1021"/>
    </row>
    <row r="58" ht="13.5" customHeight="1">
      <c r="I58" s="1021"/>
    </row>
    <row r="59" ht="13.5" customHeight="1">
      <c r="I59" s="1021"/>
    </row>
    <row r="60" ht="13.5" customHeight="1">
      <c r="I60" s="1021"/>
    </row>
    <row r="61" ht="13.5" customHeight="1">
      <c r="I61" s="1021"/>
    </row>
    <row r="62" ht="13.5" customHeight="1">
      <c r="I62" s="1021"/>
    </row>
    <row r="63" ht="13.5" customHeight="1">
      <c r="I63" s="1021"/>
    </row>
    <row r="64" ht="13.5" customHeight="1">
      <c r="I64" s="1021"/>
    </row>
    <row r="65" ht="13.5" customHeight="1">
      <c r="I65" s="1021"/>
    </row>
    <row r="66" ht="13.5" customHeight="1">
      <c r="I66" s="1021"/>
    </row>
    <row r="67" ht="13.5" customHeight="1">
      <c r="I67" s="1021"/>
    </row>
    <row r="68" ht="13.5" customHeight="1">
      <c r="I68" s="1021"/>
    </row>
    <row r="69" ht="13.5" customHeight="1">
      <c r="I69" s="1021"/>
    </row>
    <row r="70" ht="13.5" customHeight="1">
      <c r="I70" s="1021"/>
    </row>
    <row r="71" ht="13.5" customHeight="1">
      <c r="I71" s="1021"/>
    </row>
    <row r="72" ht="13.5" customHeight="1">
      <c r="I72" s="1021"/>
    </row>
    <row r="73" ht="13.5" customHeight="1">
      <c r="I73" s="1021"/>
    </row>
    <row r="74" ht="13.5" customHeight="1">
      <c r="I74" s="1021"/>
    </row>
    <row r="75" ht="13.5" customHeight="1">
      <c r="I75" s="1021"/>
    </row>
    <row r="76" ht="13.5" customHeight="1">
      <c r="I76" s="1021"/>
    </row>
    <row r="77" ht="13.5" customHeight="1">
      <c r="I77" s="1021"/>
    </row>
    <row r="78" ht="13.5" customHeight="1">
      <c r="I78" s="1021"/>
    </row>
    <row r="79" ht="13.5" customHeight="1">
      <c r="I79" s="1021"/>
    </row>
    <row r="80" ht="13.5" customHeight="1">
      <c r="I80" s="1021"/>
    </row>
    <row r="81" ht="13.5" customHeight="1">
      <c r="I81" s="1021"/>
    </row>
    <row r="82" ht="13.5" customHeight="1">
      <c r="I82" s="1021"/>
    </row>
    <row r="83" ht="13.5" customHeight="1">
      <c r="I83" s="1021"/>
    </row>
    <row r="84" ht="13.5" customHeight="1">
      <c r="I84" s="1021"/>
    </row>
    <row r="85" ht="13.5" customHeight="1">
      <c r="I85" s="1021"/>
    </row>
    <row r="86" ht="13.5" customHeight="1">
      <c r="I86" s="1021"/>
    </row>
    <row r="87" ht="13.5" customHeight="1">
      <c r="I87" s="1021"/>
    </row>
    <row r="88" ht="13.5" customHeight="1">
      <c r="I88" s="1021"/>
    </row>
    <row r="89" ht="13.5" customHeight="1">
      <c r="I89" s="1021"/>
    </row>
    <row r="90" ht="13.5" customHeight="1">
      <c r="I90" s="1021"/>
    </row>
    <row r="91" ht="13.5" customHeight="1">
      <c r="I91" s="1021"/>
    </row>
    <row r="92" ht="13.5" customHeight="1">
      <c r="I92" s="1021"/>
    </row>
    <row r="93" ht="13.5" customHeight="1">
      <c r="I93" s="1021"/>
    </row>
    <row r="94" ht="13.5" customHeight="1">
      <c r="I94" s="1021"/>
    </row>
    <row r="95" ht="13.5" customHeight="1">
      <c r="I95" s="1021"/>
    </row>
    <row r="96" ht="13.5" customHeight="1">
      <c r="I96" s="1021"/>
    </row>
    <row r="97" ht="13.5" customHeight="1">
      <c r="I97" s="1021"/>
    </row>
    <row r="98" ht="13.5" customHeight="1">
      <c r="I98" s="1021"/>
    </row>
    <row r="99" ht="13.5" customHeight="1">
      <c r="I99" s="1021"/>
    </row>
    <row r="100" ht="13.5" customHeight="1">
      <c r="I100" s="1021"/>
    </row>
    <row r="101" ht="13.5" customHeight="1">
      <c r="I101" s="1021"/>
    </row>
    <row r="102" ht="13.5" customHeight="1">
      <c r="I102" s="1021"/>
    </row>
    <row r="103" ht="13.5" customHeight="1">
      <c r="I103" s="1021"/>
    </row>
    <row r="104" ht="13.5" customHeight="1">
      <c r="I104" s="1021"/>
    </row>
    <row r="105" ht="13.5" customHeight="1">
      <c r="I105" s="1021"/>
    </row>
    <row r="106" ht="13.5" customHeight="1">
      <c r="I106" s="1021"/>
    </row>
    <row r="107" ht="13.5" customHeight="1">
      <c r="I107" s="1021"/>
    </row>
    <row r="108" ht="13.5" customHeight="1">
      <c r="I108" s="1021"/>
    </row>
    <row r="109" ht="13.5" customHeight="1">
      <c r="I109" s="1021"/>
    </row>
    <row r="110" ht="13.5" customHeight="1">
      <c r="I110" s="1021"/>
    </row>
    <row r="111" ht="13.5" customHeight="1">
      <c r="I111" s="1021"/>
    </row>
    <row r="112" ht="13.5" customHeight="1">
      <c r="I112" s="1021"/>
    </row>
    <row r="113" ht="13.5" customHeight="1">
      <c r="I113" s="1021"/>
    </row>
    <row r="114" ht="13.5" customHeight="1">
      <c r="I114" s="1021"/>
    </row>
    <row r="115" ht="13.5" customHeight="1">
      <c r="I115" s="1021"/>
    </row>
    <row r="116" ht="13.5" customHeight="1">
      <c r="I116" s="1021"/>
    </row>
    <row r="117" ht="13.5" customHeight="1">
      <c r="I117" s="1021"/>
    </row>
    <row r="118" ht="13.5" customHeight="1">
      <c r="I118" s="1021"/>
    </row>
    <row r="119" ht="13.5" customHeight="1">
      <c r="I119" s="1021"/>
    </row>
    <row r="120" ht="13.5" customHeight="1">
      <c r="I120" s="1021"/>
    </row>
    <row r="121" ht="13.5" customHeight="1">
      <c r="I121" s="1021"/>
    </row>
    <row r="122" ht="13.5" customHeight="1">
      <c r="I122" s="1021"/>
    </row>
    <row r="123" ht="13.5" customHeight="1">
      <c r="I123" s="1021"/>
    </row>
    <row r="124" ht="13.5" customHeight="1">
      <c r="I124" s="1021"/>
    </row>
    <row r="125" ht="13.5" customHeight="1">
      <c r="I125" s="1021"/>
    </row>
    <row r="126" ht="13.5" customHeight="1">
      <c r="I126" s="1021"/>
    </row>
    <row r="127" ht="13.5" customHeight="1">
      <c r="I127" s="1021"/>
    </row>
    <row r="128" ht="13.5" customHeight="1">
      <c r="I128" s="1021"/>
    </row>
    <row r="129" ht="13.5" customHeight="1">
      <c r="I129" s="1021"/>
    </row>
    <row r="130" ht="13.5" customHeight="1">
      <c r="I130" s="1021"/>
    </row>
    <row r="131" ht="15.75" customHeight="1">
      <c r="I131" s="1021"/>
    </row>
    <row r="132" ht="15.75" customHeight="1">
      <c r="I132" s="1021"/>
    </row>
    <row r="133" ht="15.75" customHeight="1">
      <c r="I133" s="1021"/>
    </row>
    <row r="134" ht="15.75" customHeight="1">
      <c r="I134" s="1021"/>
    </row>
    <row r="135" ht="15.75" customHeight="1">
      <c r="I135" s="1021"/>
    </row>
    <row r="136" ht="15.75" customHeight="1">
      <c r="I136" s="1021"/>
    </row>
    <row r="137" ht="15.75" customHeight="1">
      <c r="I137" s="1021"/>
    </row>
    <row r="138" ht="15.75" customHeight="1">
      <c r="I138" s="1021"/>
    </row>
    <row r="139" ht="15.75" customHeight="1">
      <c r="I139" s="1021"/>
    </row>
    <row r="140" ht="15.75" customHeight="1">
      <c r="I140" s="1021"/>
    </row>
    <row r="141" ht="15.75" customHeight="1">
      <c r="I141" s="1021"/>
    </row>
    <row r="142" ht="15.75" customHeight="1">
      <c r="I142" s="1021"/>
    </row>
    <row r="143" ht="15.75" customHeight="1">
      <c r="I143" s="1021"/>
    </row>
    <row r="144" ht="15.75" customHeight="1">
      <c r="I144" s="1021"/>
    </row>
    <row r="145" ht="15.75" customHeight="1">
      <c r="I145" s="1021"/>
    </row>
    <row r="146" ht="15.75" customHeight="1">
      <c r="I146" s="1021"/>
    </row>
    <row r="147" ht="15.75" customHeight="1">
      <c r="I147" s="1021"/>
    </row>
    <row r="148" ht="15.75" customHeight="1">
      <c r="I148" s="1021"/>
    </row>
    <row r="149" ht="15.75" customHeight="1">
      <c r="I149" s="1021"/>
    </row>
    <row r="150" ht="15.75" customHeight="1">
      <c r="I150" s="1021"/>
    </row>
    <row r="151" ht="15.75" customHeight="1">
      <c r="I151" s="1021"/>
    </row>
    <row r="152" ht="15.75" customHeight="1">
      <c r="I152" s="1021"/>
    </row>
    <row r="153" ht="15.75" customHeight="1">
      <c r="I153" s="1021"/>
    </row>
    <row r="154" ht="15.75" customHeight="1">
      <c r="I154" s="1021"/>
    </row>
    <row r="155" ht="15.75" customHeight="1">
      <c r="I155" s="1021"/>
    </row>
    <row r="156" ht="15.75" customHeight="1">
      <c r="I156" s="1021"/>
    </row>
    <row r="157" ht="15.75" customHeight="1">
      <c r="I157" s="1021"/>
    </row>
    <row r="158" ht="15.75" customHeight="1">
      <c r="I158" s="1021"/>
    </row>
    <row r="159" ht="15.75" customHeight="1">
      <c r="I159" s="1021"/>
    </row>
    <row r="160" ht="15.75" customHeight="1">
      <c r="I160" s="1021"/>
    </row>
    <row r="161" ht="15.75" customHeight="1">
      <c r="I161" s="1021"/>
    </row>
    <row r="162" ht="15.75" customHeight="1">
      <c r="I162" s="1021"/>
    </row>
    <row r="163" ht="15.75" customHeight="1">
      <c r="I163" s="1021"/>
    </row>
    <row r="164" ht="15.75" customHeight="1">
      <c r="I164" s="1021"/>
    </row>
    <row r="165" ht="15.75" customHeight="1">
      <c r="I165" s="1021"/>
    </row>
    <row r="166" ht="15.75" customHeight="1">
      <c r="I166" s="1021"/>
    </row>
    <row r="167" ht="15.75" customHeight="1">
      <c r="I167" s="1021"/>
    </row>
    <row r="168" ht="15.75" customHeight="1">
      <c r="I168" s="1021"/>
    </row>
    <row r="169" ht="15.75" customHeight="1">
      <c r="I169" s="1021"/>
    </row>
    <row r="170" ht="15.75" customHeight="1">
      <c r="I170" s="1021"/>
    </row>
    <row r="171" ht="15.75" customHeight="1">
      <c r="I171" s="1021"/>
    </row>
    <row r="172" ht="15.75" customHeight="1">
      <c r="I172" s="1021"/>
    </row>
    <row r="173" ht="15.75" customHeight="1">
      <c r="I173" s="1021"/>
    </row>
    <row r="174" ht="15.75" customHeight="1">
      <c r="I174" s="1021"/>
    </row>
    <row r="175" ht="15.75" customHeight="1">
      <c r="I175" s="1021"/>
    </row>
    <row r="176" ht="15.75" customHeight="1">
      <c r="I176" s="1021"/>
    </row>
    <row r="177" ht="15.75" customHeight="1">
      <c r="I177" s="1021"/>
    </row>
    <row r="178" ht="15.75" customHeight="1">
      <c r="I178" s="1021"/>
    </row>
    <row r="179" ht="15.75" customHeight="1">
      <c r="I179" s="1021"/>
    </row>
    <row r="180" ht="15.75" customHeight="1">
      <c r="I180" s="1021"/>
    </row>
    <row r="181" ht="15.75" customHeight="1">
      <c r="I181" s="1021"/>
    </row>
    <row r="182" ht="15.75" customHeight="1">
      <c r="I182" s="1021"/>
    </row>
    <row r="183" ht="15.75" customHeight="1">
      <c r="I183" s="1021"/>
    </row>
    <row r="184" ht="15.75" customHeight="1">
      <c r="I184" s="1021"/>
    </row>
    <row r="185" ht="15.75" customHeight="1">
      <c r="I185" s="1021"/>
    </row>
    <row r="186" ht="15.75" customHeight="1">
      <c r="I186" s="1021"/>
    </row>
    <row r="187" ht="15.75" customHeight="1">
      <c r="I187" s="1021"/>
    </row>
    <row r="188" ht="15.75" customHeight="1">
      <c r="I188" s="1021"/>
    </row>
    <row r="189" ht="15.75" customHeight="1">
      <c r="I189" s="1021"/>
    </row>
    <row r="190" ht="15.75" customHeight="1">
      <c r="I190" s="1021"/>
    </row>
    <row r="191" ht="15.75" customHeight="1">
      <c r="I191" s="1021"/>
    </row>
    <row r="192" ht="15.75" customHeight="1">
      <c r="I192" s="1021"/>
    </row>
    <row r="193" ht="15.75" customHeight="1">
      <c r="I193" s="1021"/>
    </row>
    <row r="194" ht="15.75" customHeight="1">
      <c r="I194" s="1021"/>
    </row>
    <row r="195" ht="15.75" customHeight="1">
      <c r="I195" s="1021"/>
    </row>
    <row r="196" ht="15.75" customHeight="1">
      <c r="I196" s="1021"/>
    </row>
    <row r="197" ht="15.75" customHeight="1">
      <c r="I197" s="1021"/>
    </row>
    <row r="198" ht="15.75" customHeight="1">
      <c r="I198" s="1021"/>
    </row>
    <row r="199" ht="15.75" customHeight="1">
      <c r="I199" s="1021"/>
    </row>
    <row r="200" ht="15.75" customHeight="1">
      <c r="I200" s="1021"/>
    </row>
    <row r="201" ht="15.75" customHeight="1">
      <c r="I201" s="1021"/>
    </row>
    <row r="202" ht="15.75" customHeight="1">
      <c r="I202" s="1021"/>
    </row>
    <row r="203" ht="15.75" customHeight="1">
      <c r="I203" s="1021"/>
    </row>
    <row r="204" ht="15.75" customHeight="1">
      <c r="I204" s="1021"/>
    </row>
    <row r="205" ht="15.75" customHeight="1">
      <c r="I205" s="1021"/>
    </row>
    <row r="206" ht="15.75" customHeight="1">
      <c r="I206" s="1021"/>
    </row>
    <row r="207" ht="15.75" customHeight="1">
      <c r="I207" s="1021"/>
    </row>
    <row r="208" ht="15.75" customHeight="1">
      <c r="I208" s="1021"/>
    </row>
    <row r="209" ht="15.75" customHeight="1">
      <c r="I209" s="1021"/>
    </row>
    <row r="210" ht="15.75" customHeight="1">
      <c r="I210" s="1021"/>
    </row>
    <row r="211" ht="15.75" customHeight="1">
      <c r="I211" s="1021"/>
    </row>
    <row r="212" ht="15.75" customHeight="1">
      <c r="I212" s="1021"/>
    </row>
    <row r="213" ht="15.75" customHeight="1">
      <c r="I213" s="1021"/>
    </row>
    <row r="214" ht="15.75" customHeight="1">
      <c r="I214" s="1021"/>
    </row>
    <row r="215" ht="15.75" customHeight="1">
      <c r="I215" s="1021"/>
    </row>
    <row r="216" ht="15.75" customHeight="1">
      <c r="I216" s="1021"/>
    </row>
    <row r="217" ht="15.75" customHeight="1">
      <c r="I217" s="1021"/>
    </row>
    <row r="218" ht="15.75" customHeight="1">
      <c r="I218" s="1021"/>
    </row>
    <row r="219" ht="15.75" customHeight="1">
      <c r="I219" s="1021"/>
    </row>
    <row r="220" ht="15.75" customHeight="1">
      <c r="I220" s="1021"/>
    </row>
    <row r="221" ht="15.75" customHeight="1">
      <c r="I221" s="1021"/>
    </row>
    <row r="222" ht="15.75" customHeight="1">
      <c r="I222" s="1021"/>
    </row>
    <row r="223" ht="15.75" customHeight="1">
      <c r="I223" s="1021"/>
    </row>
    <row r="224" ht="15.75" customHeight="1">
      <c r="I224" s="1021"/>
    </row>
    <row r="225" ht="15.75" customHeight="1">
      <c r="I225" s="1021"/>
    </row>
    <row r="226" ht="15.75" customHeight="1">
      <c r="I226" s="1021"/>
    </row>
    <row r="227" ht="15.75" customHeight="1">
      <c r="I227" s="1021"/>
    </row>
    <row r="228" ht="15.75" customHeight="1">
      <c r="I228" s="1021"/>
    </row>
    <row r="229" ht="15.75" customHeight="1">
      <c r="I229" s="1021"/>
    </row>
    <row r="230" ht="15.75" customHeight="1">
      <c r="I230" s="1021"/>
    </row>
    <row r="231" ht="15.75" customHeight="1">
      <c r="I231" s="1021"/>
    </row>
    <row r="232" ht="15.75" customHeight="1">
      <c r="I232" s="1021"/>
    </row>
    <row r="233" ht="15.75" customHeight="1">
      <c r="I233" s="1021"/>
    </row>
    <row r="234" ht="15.75" customHeight="1">
      <c r="I234" s="1021"/>
    </row>
    <row r="235" ht="15.75" customHeight="1">
      <c r="I235" s="1021"/>
    </row>
    <row r="236" ht="15.75" customHeight="1">
      <c r="I236" s="1021"/>
    </row>
    <row r="237" ht="15.75" customHeight="1">
      <c r="I237" s="1021"/>
    </row>
    <row r="238" ht="15.75" customHeight="1">
      <c r="I238" s="1021"/>
    </row>
    <row r="239" ht="15.75" customHeight="1">
      <c r="I239" s="1021"/>
    </row>
    <row r="240" ht="15.75" customHeight="1">
      <c r="I240" s="1021"/>
    </row>
    <row r="241" ht="15.75" customHeight="1">
      <c r="I241" s="1021"/>
    </row>
    <row r="242" ht="15.75" customHeight="1">
      <c r="I242" s="1021"/>
    </row>
    <row r="243" ht="15.75" customHeight="1">
      <c r="I243" s="1021"/>
    </row>
    <row r="244" ht="15.75" customHeight="1">
      <c r="I244" s="1021"/>
    </row>
    <row r="245" ht="15.75" customHeight="1">
      <c r="I245" s="1021"/>
    </row>
    <row r="246" ht="15.75" customHeight="1">
      <c r="I246" s="1021"/>
    </row>
    <row r="247" ht="15.75" customHeight="1">
      <c r="I247" s="1021"/>
    </row>
    <row r="248" ht="15.75" customHeight="1">
      <c r="I248" s="1021"/>
    </row>
    <row r="249" ht="15.75" customHeight="1">
      <c r="I249" s="1021"/>
    </row>
    <row r="250" ht="15.75" customHeight="1">
      <c r="I250" s="1021"/>
    </row>
    <row r="251" ht="15.75" customHeight="1">
      <c r="I251" s="1021"/>
    </row>
    <row r="252" ht="15.75" customHeight="1">
      <c r="I252" s="1021"/>
    </row>
    <row r="253" ht="15.75" customHeight="1">
      <c r="I253" s="1021"/>
    </row>
    <row r="254" ht="15.75" customHeight="1">
      <c r="I254" s="1021"/>
    </row>
    <row r="255" ht="15.75" customHeight="1">
      <c r="I255" s="1021"/>
    </row>
    <row r="256" ht="15.75" customHeight="1">
      <c r="I256" s="1021"/>
    </row>
    <row r="257" ht="15.75" customHeight="1">
      <c r="I257" s="1021"/>
    </row>
    <row r="258" ht="15.75" customHeight="1">
      <c r="I258" s="1021"/>
    </row>
    <row r="259" ht="15.75" customHeight="1">
      <c r="I259" s="1021"/>
    </row>
    <row r="260" ht="15.75" customHeight="1">
      <c r="I260" s="1021"/>
    </row>
    <row r="261" ht="15.75" customHeight="1">
      <c r="I261" s="1021"/>
    </row>
    <row r="262" ht="15.75" customHeight="1">
      <c r="I262" s="1021"/>
    </row>
    <row r="263" ht="15.75" customHeight="1">
      <c r="I263" s="1021"/>
    </row>
    <row r="264" ht="15.75" customHeight="1">
      <c r="I264" s="1021"/>
    </row>
    <row r="265" ht="15.75" customHeight="1">
      <c r="I265" s="1021"/>
    </row>
    <row r="266" ht="15.75" customHeight="1">
      <c r="I266" s="1021"/>
    </row>
    <row r="267" ht="15.75" customHeight="1">
      <c r="I267" s="1021"/>
    </row>
    <row r="268" ht="15.75" customHeight="1">
      <c r="I268" s="1021"/>
    </row>
    <row r="269" ht="15.75" customHeight="1">
      <c r="I269" s="1021"/>
    </row>
    <row r="270" ht="15.75" customHeight="1">
      <c r="I270" s="1021"/>
    </row>
    <row r="271" ht="15.75" customHeight="1">
      <c r="I271" s="1021"/>
    </row>
    <row r="272" ht="15.75" customHeight="1">
      <c r="I272" s="1021"/>
    </row>
    <row r="273" ht="15.75" customHeight="1">
      <c r="I273" s="1021"/>
    </row>
    <row r="274" ht="15.75" customHeight="1">
      <c r="I274" s="1021"/>
    </row>
    <row r="275" ht="15.75" customHeight="1">
      <c r="I275" s="1021"/>
    </row>
    <row r="276" ht="15.75" customHeight="1">
      <c r="I276" s="1021"/>
    </row>
    <row r="277" ht="15.75" customHeight="1">
      <c r="I277" s="1021"/>
    </row>
    <row r="278" ht="15.75" customHeight="1">
      <c r="I278" s="1021"/>
    </row>
    <row r="279" ht="15.75" customHeight="1">
      <c r="I279" s="1021"/>
    </row>
    <row r="280" ht="15.75" customHeight="1">
      <c r="I280" s="1021"/>
    </row>
    <row r="281" ht="15.75" customHeight="1">
      <c r="I281" s="1021"/>
    </row>
    <row r="282" ht="15.75" customHeight="1">
      <c r="I282" s="1021"/>
    </row>
    <row r="283" ht="15.75" customHeight="1">
      <c r="I283" s="1021"/>
    </row>
    <row r="284" ht="15.75" customHeight="1">
      <c r="I284" s="1021"/>
    </row>
    <row r="285" ht="15.75" customHeight="1">
      <c r="I285" s="1021"/>
    </row>
    <row r="286" ht="15.75" customHeight="1">
      <c r="I286" s="1021"/>
    </row>
    <row r="287" ht="15.75" customHeight="1">
      <c r="I287" s="1021"/>
    </row>
    <row r="288" ht="15.75" customHeight="1">
      <c r="I288" s="1021"/>
    </row>
    <row r="289" ht="15.75" customHeight="1">
      <c r="I289" s="1021"/>
    </row>
    <row r="290" ht="15.75" customHeight="1">
      <c r="I290" s="1021"/>
    </row>
    <row r="291" ht="15.75" customHeight="1">
      <c r="I291" s="1021"/>
    </row>
    <row r="292" ht="15.75" customHeight="1">
      <c r="I292" s="1021"/>
    </row>
    <row r="293" ht="15.75" customHeight="1">
      <c r="I293" s="1021"/>
    </row>
    <row r="294" ht="15.75" customHeight="1">
      <c r="I294" s="1021"/>
    </row>
    <row r="295" ht="15.75" customHeight="1">
      <c r="I295" s="1021"/>
    </row>
    <row r="296" ht="15.75" customHeight="1">
      <c r="I296" s="1021"/>
    </row>
    <row r="297" ht="15.75" customHeight="1">
      <c r="I297" s="1021"/>
    </row>
    <row r="298" ht="15.75" customHeight="1">
      <c r="I298" s="1021"/>
    </row>
    <row r="299" ht="15.75" customHeight="1">
      <c r="I299" s="1021"/>
    </row>
    <row r="300" ht="15.75" customHeight="1">
      <c r="I300" s="1021"/>
    </row>
    <row r="301" ht="15.75" customHeight="1">
      <c r="I301" s="1021"/>
    </row>
    <row r="302" ht="15.75" customHeight="1">
      <c r="I302" s="1021"/>
    </row>
    <row r="303" ht="15.75" customHeight="1">
      <c r="I303" s="1021"/>
    </row>
    <row r="304" ht="15.75" customHeight="1">
      <c r="I304" s="1021"/>
    </row>
    <row r="305" ht="15.75" customHeight="1">
      <c r="I305" s="1021"/>
    </row>
    <row r="306" ht="15.75" customHeight="1">
      <c r="I306" s="1021"/>
    </row>
    <row r="307" ht="15.75" customHeight="1">
      <c r="I307" s="1021"/>
    </row>
    <row r="308" ht="15.75" customHeight="1">
      <c r="I308" s="1021"/>
    </row>
    <row r="309" ht="15.75" customHeight="1">
      <c r="I309" s="1021"/>
    </row>
    <row r="310" ht="15.75" customHeight="1">
      <c r="I310" s="1021"/>
    </row>
    <row r="311" ht="15.75" customHeight="1">
      <c r="I311" s="1021"/>
    </row>
    <row r="312" ht="15.75" customHeight="1">
      <c r="I312" s="1021"/>
    </row>
    <row r="313" ht="15.75" customHeight="1">
      <c r="I313" s="1021"/>
    </row>
    <row r="314" ht="15.75" customHeight="1">
      <c r="I314" s="1021"/>
    </row>
    <row r="315" ht="15.75" customHeight="1">
      <c r="I315" s="1021"/>
    </row>
    <row r="316" ht="15.75" customHeight="1">
      <c r="I316" s="1021"/>
    </row>
    <row r="317" ht="15.75" customHeight="1">
      <c r="I317" s="1021"/>
    </row>
    <row r="318" ht="15.75" customHeight="1">
      <c r="I318" s="1021"/>
    </row>
    <row r="319" ht="15.75" customHeight="1">
      <c r="I319" s="1021"/>
    </row>
    <row r="320" ht="15.75" customHeight="1">
      <c r="I320" s="1021"/>
    </row>
    <row r="321" ht="15.75" customHeight="1">
      <c r="I321" s="1021"/>
    </row>
    <row r="322" ht="15.75" customHeight="1">
      <c r="I322" s="1021"/>
    </row>
    <row r="323" ht="15.75" customHeight="1">
      <c r="I323" s="1021"/>
    </row>
    <row r="324" ht="15.75" customHeight="1">
      <c r="I324" s="1021"/>
    </row>
    <row r="325" ht="15.75" customHeight="1">
      <c r="I325" s="1021"/>
    </row>
    <row r="326" ht="15.75" customHeight="1">
      <c r="I326" s="1021"/>
    </row>
    <row r="327" ht="15.75" customHeight="1">
      <c r="I327" s="1021"/>
    </row>
    <row r="328" ht="15.75" customHeight="1">
      <c r="I328" s="1021"/>
    </row>
    <row r="329" ht="15.75" customHeight="1">
      <c r="I329" s="1021"/>
    </row>
    <row r="330" ht="15.75" customHeight="1">
      <c r="I330" s="1021"/>
    </row>
    <row r="331" ht="15.75" customHeight="1">
      <c r="I331" s="1021"/>
    </row>
    <row r="332" ht="15.75" customHeight="1">
      <c r="I332" s="1021"/>
    </row>
    <row r="333" ht="15.75" customHeight="1">
      <c r="I333" s="1021"/>
    </row>
    <row r="334" ht="15.75" customHeight="1">
      <c r="I334" s="1021"/>
    </row>
    <row r="335" ht="15.75" customHeight="1">
      <c r="I335" s="1021"/>
    </row>
    <row r="336" ht="15.75" customHeight="1">
      <c r="I336" s="1021"/>
    </row>
    <row r="337" ht="15.75" customHeight="1">
      <c r="I337" s="1021"/>
    </row>
    <row r="338" ht="15.75" customHeight="1">
      <c r="I338" s="1021"/>
    </row>
    <row r="339" ht="15.75" customHeight="1">
      <c r="I339" s="1021"/>
    </row>
    <row r="340" ht="15.75" customHeight="1">
      <c r="I340" s="1021"/>
    </row>
    <row r="341" ht="15.75" customHeight="1">
      <c r="I341" s="1021"/>
    </row>
    <row r="342" ht="15.75" customHeight="1">
      <c r="I342" s="1021"/>
    </row>
    <row r="343" ht="15.75" customHeight="1">
      <c r="I343" s="1021"/>
    </row>
    <row r="344" ht="15.75" customHeight="1">
      <c r="I344" s="1021"/>
    </row>
    <row r="345" ht="15.75" customHeight="1">
      <c r="I345" s="1021"/>
    </row>
    <row r="346" ht="15.75" customHeight="1">
      <c r="I346" s="1021"/>
    </row>
    <row r="347" ht="15.75" customHeight="1">
      <c r="I347" s="1021"/>
    </row>
    <row r="348" ht="15.75" customHeight="1">
      <c r="I348" s="1021"/>
    </row>
    <row r="349" ht="15.75" customHeight="1">
      <c r="I349" s="1021"/>
    </row>
    <row r="350" ht="15.75" customHeight="1">
      <c r="I350" s="1021"/>
    </row>
    <row r="351" ht="15.75" customHeight="1">
      <c r="I351" s="1021"/>
    </row>
    <row r="352" ht="15.75" customHeight="1">
      <c r="I352" s="1021"/>
    </row>
    <row r="353" ht="15.75" customHeight="1">
      <c r="I353" s="1021"/>
    </row>
    <row r="354" ht="15.75" customHeight="1">
      <c r="I354" s="1021"/>
    </row>
    <row r="355" ht="15.75" customHeight="1">
      <c r="I355" s="1021"/>
    </row>
    <row r="356" ht="15.75" customHeight="1">
      <c r="I356" s="1021"/>
    </row>
    <row r="357" ht="15.75" customHeight="1">
      <c r="I357" s="1021"/>
    </row>
    <row r="358" ht="15.75" customHeight="1">
      <c r="I358" s="1021"/>
    </row>
    <row r="359" ht="15.75" customHeight="1">
      <c r="I359" s="1021"/>
    </row>
    <row r="360" ht="15.75" customHeight="1">
      <c r="I360" s="1021"/>
    </row>
    <row r="361" ht="15.75" customHeight="1">
      <c r="I361" s="1021"/>
    </row>
    <row r="362" ht="15.75" customHeight="1">
      <c r="I362" s="1021"/>
    </row>
    <row r="363" ht="15.75" customHeight="1">
      <c r="I363" s="1021"/>
    </row>
    <row r="364" ht="15.75" customHeight="1">
      <c r="I364" s="1021"/>
    </row>
    <row r="365" ht="15.75" customHeight="1">
      <c r="I365" s="1021"/>
    </row>
    <row r="366" ht="15.75" customHeight="1">
      <c r="I366" s="1021"/>
    </row>
    <row r="367" ht="15.75" customHeight="1">
      <c r="I367" s="1021"/>
    </row>
    <row r="368" ht="15.75" customHeight="1">
      <c r="I368" s="1021"/>
    </row>
    <row r="369" ht="15.75" customHeight="1">
      <c r="I369" s="1021"/>
    </row>
    <row r="370" ht="15.75" customHeight="1">
      <c r="I370" s="1021"/>
    </row>
    <row r="371" ht="15.75" customHeight="1">
      <c r="I371" s="1021"/>
    </row>
    <row r="372" ht="15.75" customHeight="1">
      <c r="I372" s="1021"/>
    </row>
    <row r="373" ht="15.75" customHeight="1">
      <c r="I373" s="1021"/>
    </row>
    <row r="374" ht="15.75" customHeight="1">
      <c r="I374" s="1021"/>
    </row>
    <row r="375" ht="15.75" customHeight="1">
      <c r="I375" s="1021"/>
    </row>
    <row r="376" ht="15.75" customHeight="1">
      <c r="I376" s="1021"/>
    </row>
    <row r="377" ht="15.75" customHeight="1">
      <c r="I377" s="1021"/>
    </row>
    <row r="378" ht="15.75" customHeight="1">
      <c r="I378" s="1021"/>
    </row>
    <row r="379" ht="15.75" customHeight="1">
      <c r="I379" s="1021"/>
    </row>
    <row r="380" ht="15.75" customHeight="1">
      <c r="I380" s="1021"/>
    </row>
    <row r="381" ht="15.75" customHeight="1">
      <c r="I381" s="1021"/>
    </row>
    <row r="382" ht="15.75" customHeight="1">
      <c r="I382" s="1021"/>
    </row>
    <row r="383" ht="15.75" customHeight="1">
      <c r="I383" s="1021"/>
    </row>
    <row r="384" ht="15.75" customHeight="1">
      <c r="I384" s="1021"/>
    </row>
    <row r="385" ht="15.75" customHeight="1">
      <c r="I385" s="1021"/>
    </row>
    <row r="386" ht="15.75" customHeight="1">
      <c r="I386" s="1021"/>
    </row>
    <row r="387" ht="15.75" customHeight="1">
      <c r="I387" s="1021"/>
    </row>
    <row r="388" ht="15.75" customHeight="1">
      <c r="I388" s="1021"/>
    </row>
    <row r="389" ht="15.75" customHeight="1">
      <c r="I389" s="1021"/>
    </row>
    <row r="390" ht="15.75" customHeight="1">
      <c r="I390" s="1021"/>
    </row>
    <row r="391" ht="15.75" customHeight="1">
      <c r="I391" s="1021"/>
    </row>
    <row r="392" ht="15.75" customHeight="1">
      <c r="I392" s="1021"/>
    </row>
    <row r="393" ht="15.75" customHeight="1">
      <c r="I393" s="1021"/>
    </row>
    <row r="394" ht="15.75" customHeight="1">
      <c r="I394" s="1021"/>
    </row>
    <row r="395" ht="15.75" customHeight="1">
      <c r="I395" s="1021"/>
    </row>
    <row r="396" ht="15.75" customHeight="1">
      <c r="I396" s="1021"/>
    </row>
    <row r="397" ht="15.75" customHeight="1">
      <c r="I397" s="1021"/>
    </row>
    <row r="398" ht="15.75" customHeight="1">
      <c r="I398" s="1021"/>
    </row>
    <row r="399" ht="15.75" customHeight="1">
      <c r="I399" s="1021"/>
    </row>
    <row r="400" ht="15.75" customHeight="1">
      <c r="I400" s="1021"/>
    </row>
    <row r="401" ht="15.75" customHeight="1">
      <c r="I401" s="1021"/>
    </row>
    <row r="402" ht="15.75" customHeight="1">
      <c r="I402" s="1021"/>
    </row>
    <row r="403" ht="15.75" customHeight="1">
      <c r="I403" s="1021"/>
    </row>
    <row r="404" ht="15.75" customHeight="1">
      <c r="I404" s="1021"/>
    </row>
    <row r="405" ht="15.75" customHeight="1">
      <c r="I405" s="1021"/>
    </row>
    <row r="406" ht="15.75" customHeight="1">
      <c r="I406" s="1021"/>
    </row>
    <row r="407" ht="15.75" customHeight="1">
      <c r="I407" s="1021"/>
    </row>
    <row r="408" ht="15.75" customHeight="1">
      <c r="I408" s="1021"/>
    </row>
    <row r="409" ht="15.75" customHeight="1">
      <c r="I409" s="1021"/>
    </row>
    <row r="410" ht="15.75" customHeight="1">
      <c r="I410" s="1021"/>
    </row>
    <row r="411" ht="15.75" customHeight="1">
      <c r="I411" s="1021"/>
    </row>
    <row r="412" ht="15.75" customHeight="1">
      <c r="I412" s="1021"/>
    </row>
    <row r="413" ht="15.75" customHeight="1">
      <c r="I413" s="1021"/>
    </row>
    <row r="414" ht="15.75" customHeight="1">
      <c r="I414" s="1021"/>
    </row>
    <row r="415" ht="15.75" customHeight="1">
      <c r="I415" s="1021"/>
    </row>
    <row r="416" ht="15.75" customHeight="1">
      <c r="I416" s="1021"/>
    </row>
    <row r="417" ht="15.75" customHeight="1">
      <c r="I417" s="1021"/>
    </row>
    <row r="418" ht="15.75" customHeight="1">
      <c r="I418" s="1021"/>
    </row>
    <row r="419" ht="15.75" customHeight="1">
      <c r="I419" s="1021"/>
    </row>
    <row r="420" ht="15.75" customHeight="1">
      <c r="I420" s="1021"/>
    </row>
    <row r="421" ht="15.75" customHeight="1">
      <c r="I421" s="1021"/>
    </row>
    <row r="422" ht="15.75" customHeight="1">
      <c r="I422" s="1021"/>
    </row>
    <row r="423" ht="15.75" customHeight="1">
      <c r="I423" s="1021"/>
    </row>
    <row r="424" ht="15.75" customHeight="1">
      <c r="I424" s="1021"/>
    </row>
    <row r="425" ht="15.75" customHeight="1">
      <c r="I425" s="1021"/>
    </row>
    <row r="426" ht="15.75" customHeight="1">
      <c r="I426" s="1021"/>
    </row>
    <row r="427" ht="15.75" customHeight="1">
      <c r="I427" s="1021"/>
    </row>
    <row r="428" ht="15.75" customHeight="1">
      <c r="I428" s="1021"/>
    </row>
    <row r="429" ht="15.75" customHeight="1">
      <c r="I429" s="1021"/>
    </row>
    <row r="430" ht="15.75" customHeight="1">
      <c r="I430" s="1021"/>
    </row>
    <row r="431" ht="15.75" customHeight="1">
      <c r="I431" s="1021"/>
    </row>
    <row r="432" ht="15.75" customHeight="1">
      <c r="I432" s="1021"/>
    </row>
    <row r="433" ht="15.75" customHeight="1">
      <c r="I433" s="1021"/>
    </row>
    <row r="434" ht="15.75" customHeight="1">
      <c r="I434" s="1021"/>
    </row>
    <row r="435" ht="15.75" customHeight="1">
      <c r="I435" s="1021"/>
    </row>
    <row r="436" ht="15.75" customHeight="1">
      <c r="I436" s="1021"/>
    </row>
    <row r="437" ht="15.75" customHeight="1">
      <c r="I437" s="1021"/>
    </row>
    <row r="438" ht="15.75" customHeight="1">
      <c r="I438" s="1021"/>
    </row>
    <row r="439" ht="15.75" customHeight="1">
      <c r="I439" s="1021"/>
    </row>
    <row r="440" ht="15.75" customHeight="1">
      <c r="I440" s="1021"/>
    </row>
    <row r="441" ht="15.75" customHeight="1">
      <c r="I441" s="1021"/>
    </row>
    <row r="442" ht="15.75" customHeight="1">
      <c r="I442" s="1021"/>
    </row>
    <row r="443" ht="15.75" customHeight="1">
      <c r="I443" s="1021"/>
    </row>
    <row r="444" ht="15.75" customHeight="1">
      <c r="I444" s="1021"/>
    </row>
    <row r="445" ht="15.75" customHeight="1">
      <c r="I445" s="1021"/>
    </row>
    <row r="446" ht="15.75" customHeight="1">
      <c r="I446" s="1021"/>
    </row>
    <row r="447" ht="15.75" customHeight="1">
      <c r="I447" s="1021"/>
    </row>
    <row r="448" ht="15.75" customHeight="1">
      <c r="I448" s="1021"/>
    </row>
    <row r="449" ht="15.75" customHeight="1">
      <c r="I449" s="1021"/>
    </row>
    <row r="450" ht="15.75" customHeight="1">
      <c r="I450" s="1021"/>
    </row>
    <row r="451" ht="15.75" customHeight="1">
      <c r="I451" s="1021"/>
    </row>
    <row r="452" ht="15.75" customHeight="1">
      <c r="I452" s="1021"/>
    </row>
    <row r="453" ht="15.75" customHeight="1">
      <c r="I453" s="1021"/>
    </row>
    <row r="454" ht="15.75" customHeight="1">
      <c r="I454" s="1021"/>
    </row>
    <row r="455" ht="15.75" customHeight="1">
      <c r="I455" s="1021"/>
    </row>
    <row r="456" ht="15.75" customHeight="1">
      <c r="I456" s="1021"/>
    </row>
    <row r="457" ht="15.75" customHeight="1">
      <c r="I457" s="1021"/>
    </row>
    <row r="458" ht="15.75" customHeight="1">
      <c r="I458" s="1021"/>
    </row>
    <row r="459" ht="15.75" customHeight="1">
      <c r="I459" s="1021"/>
    </row>
    <row r="460" ht="15.75" customHeight="1">
      <c r="I460" s="1021"/>
    </row>
    <row r="461" ht="15.75" customHeight="1">
      <c r="I461" s="1021"/>
    </row>
    <row r="462" ht="15.75" customHeight="1">
      <c r="I462" s="1021"/>
    </row>
    <row r="463" ht="15.75" customHeight="1">
      <c r="I463" s="1021"/>
    </row>
    <row r="464" ht="15.75" customHeight="1">
      <c r="I464" s="1021"/>
    </row>
    <row r="465" ht="15.75" customHeight="1">
      <c r="I465" s="1021"/>
    </row>
    <row r="466" ht="15.75" customHeight="1">
      <c r="I466" s="1021"/>
    </row>
    <row r="467" ht="15.75" customHeight="1">
      <c r="I467" s="1021"/>
    </row>
    <row r="468" ht="15.75" customHeight="1">
      <c r="I468" s="1021"/>
    </row>
    <row r="469" ht="15.75" customHeight="1">
      <c r="I469" s="1021"/>
    </row>
    <row r="470" ht="15.75" customHeight="1">
      <c r="I470" s="1021"/>
    </row>
    <row r="471" ht="15.75" customHeight="1">
      <c r="I471" s="1021"/>
    </row>
    <row r="472" ht="15.75" customHeight="1">
      <c r="I472" s="1021"/>
    </row>
    <row r="473" ht="15.75" customHeight="1">
      <c r="I473" s="1021"/>
    </row>
    <row r="474" ht="15.75" customHeight="1">
      <c r="I474" s="1021"/>
    </row>
    <row r="475" ht="15.75" customHeight="1">
      <c r="I475" s="1021"/>
    </row>
    <row r="476" ht="15.75" customHeight="1">
      <c r="I476" s="1021"/>
    </row>
    <row r="477" ht="15.75" customHeight="1">
      <c r="I477" s="1021"/>
    </row>
    <row r="478" ht="15.75" customHeight="1">
      <c r="I478" s="1021"/>
    </row>
    <row r="479" ht="15.75" customHeight="1">
      <c r="I479" s="1021"/>
    </row>
    <row r="480" ht="15.75" customHeight="1">
      <c r="I480" s="1021"/>
    </row>
    <row r="481" ht="15.75" customHeight="1">
      <c r="I481" s="1021"/>
    </row>
    <row r="482" ht="15.75" customHeight="1">
      <c r="I482" s="1021"/>
    </row>
    <row r="483" ht="15.75" customHeight="1">
      <c r="I483" s="1021"/>
    </row>
    <row r="484" ht="15.75" customHeight="1">
      <c r="I484" s="1021"/>
    </row>
    <row r="485" ht="15.75" customHeight="1">
      <c r="I485" s="1021"/>
    </row>
    <row r="486" ht="15.75" customHeight="1">
      <c r="I486" s="1021"/>
    </row>
    <row r="487" ht="15.75" customHeight="1">
      <c r="I487" s="1021"/>
    </row>
    <row r="488" ht="15.75" customHeight="1">
      <c r="I488" s="1021"/>
    </row>
    <row r="489" ht="15.75" customHeight="1">
      <c r="I489" s="1021"/>
    </row>
    <row r="490" ht="15.75" customHeight="1">
      <c r="I490" s="1021"/>
    </row>
    <row r="491" ht="15.75" customHeight="1">
      <c r="I491" s="1021"/>
    </row>
    <row r="492" ht="15.75" customHeight="1">
      <c r="I492" s="1021"/>
    </row>
    <row r="493" ht="15.75" customHeight="1">
      <c r="I493" s="1021"/>
    </row>
    <row r="494" ht="15.75" customHeight="1">
      <c r="I494" s="1021"/>
    </row>
    <row r="495" ht="15.75" customHeight="1">
      <c r="I495" s="1021"/>
    </row>
    <row r="496" ht="15.75" customHeight="1">
      <c r="I496" s="1021"/>
    </row>
    <row r="497" ht="15.75" customHeight="1">
      <c r="I497" s="1021"/>
    </row>
    <row r="498" ht="15.75" customHeight="1">
      <c r="I498" s="1021"/>
    </row>
    <row r="499" ht="15.75" customHeight="1">
      <c r="I499" s="1021"/>
    </row>
    <row r="500" ht="15.75" customHeight="1">
      <c r="I500" s="1021"/>
    </row>
    <row r="501" ht="15.75" customHeight="1">
      <c r="I501" s="1021"/>
    </row>
    <row r="502" ht="15.75" customHeight="1">
      <c r="I502" s="1021"/>
    </row>
    <row r="503" ht="15.75" customHeight="1">
      <c r="I503" s="1021"/>
    </row>
    <row r="504" ht="15.75" customHeight="1">
      <c r="I504" s="1021"/>
    </row>
    <row r="505" ht="15.75" customHeight="1">
      <c r="I505" s="1021"/>
    </row>
    <row r="506" ht="15.75" customHeight="1">
      <c r="I506" s="1021"/>
    </row>
    <row r="507" ht="15.75" customHeight="1">
      <c r="I507" s="1021"/>
    </row>
    <row r="508" ht="15.75" customHeight="1">
      <c r="I508" s="1021"/>
    </row>
    <row r="509" ht="15.75" customHeight="1">
      <c r="I509" s="1021"/>
    </row>
    <row r="510" ht="15.75" customHeight="1">
      <c r="I510" s="1021"/>
    </row>
    <row r="511" ht="15.75" customHeight="1">
      <c r="I511" s="1021"/>
    </row>
    <row r="512" ht="15.75" customHeight="1">
      <c r="I512" s="1021"/>
    </row>
    <row r="513" ht="15.75" customHeight="1">
      <c r="I513" s="1021"/>
    </row>
    <row r="514" ht="15.75" customHeight="1">
      <c r="I514" s="1021"/>
    </row>
    <row r="515" ht="15.75" customHeight="1">
      <c r="I515" s="1021"/>
    </row>
    <row r="516" ht="15.75" customHeight="1">
      <c r="I516" s="1021"/>
    </row>
    <row r="517" ht="15.75" customHeight="1">
      <c r="I517" s="1021"/>
    </row>
    <row r="518" ht="15.75" customHeight="1">
      <c r="I518" s="1021"/>
    </row>
    <row r="519" ht="15.75" customHeight="1">
      <c r="I519" s="1021"/>
    </row>
    <row r="520" ht="15.75" customHeight="1">
      <c r="I520" s="1021"/>
    </row>
    <row r="521" ht="15.75" customHeight="1">
      <c r="I521" s="1021"/>
    </row>
    <row r="522" ht="15.75" customHeight="1">
      <c r="I522" s="1021"/>
    </row>
    <row r="523" ht="15.75" customHeight="1">
      <c r="I523" s="1021"/>
    </row>
    <row r="524" ht="15.75" customHeight="1">
      <c r="I524" s="1021"/>
    </row>
    <row r="525" ht="15.75" customHeight="1">
      <c r="I525" s="1021"/>
    </row>
    <row r="526" ht="15.75" customHeight="1">
      <c r="I526" s="1021"/>
    </row>
    <row r="527" ht="15.75" customHeight="1">
      <c r="I527" s="1021"/>
    </row>
    <row r="528" ht="15.75" customHeight="1">
      <c r="I528" s="1021"/>
    </row>
    <row r="529" ht="15.75" customHeight="1">
      <c r="I529" s="1021"/>
    </row>
    <row r="530" ht="15.75" customHeight="1">
      <c r="I530" s="1021"/>
    </row>
    <row r="531" ht="15.75" customHeight="1">
      <c r="I531" s="1021"/>
    </row>
    <row r="532" ht="15.75" customHeight="1">
      <c r="I532" s="1021"/>
    </row>
    <row r="533" ht="15.75" customHeight="1">
      <c r="I533" s="1021"/>
    </row>
    <row r="534" ht="15.75" customHeight="1">
      <c r="I534" s="1021"/>
    </row>
    <row r="535" ht="15.75" customHeight="1">
      <c r="I535" s="1021"/>
    </row>
    <row r="536" ht="15.75" customHeight="1">
      <c r="I536" s="1021"/>
    </row>
    <row r="537" ht="15.75" customHeight="1">
      <c r="I537" s="1021"/>
    </row>
    <row r="538" ht="15.75" customHeight="1">
      <c r="I538" s="1021"/>
    </row>
    <row r="539" ht="15.75" customHeight="1">
      <c r="I539" s="1021"/>
    </row>
    <row r="540" ht="15.75" customHeight="1">
      <c r="I540" s="1021"/>
    </row>
    <row r="541" ht="15.75" customHeight="1">
      <c r="I541" s="1021"/>
    </row>
    <row r="542" ht="15.75" customHeight="1">
      <c r="I542" s="1021"/>
    </row>
    <row r="543" ht="15.75" customHeight="1">
      <c r="I543" s="1021"/>
    </row>
    <row r="544" ht="15.75" customHeight="1">
      <c r="I544" s="1021"/>
    </row>
    <row r="545" ht="15.75" customHeight="1">
      <c r="I545" s="1021"/>
    </row>
    <row r="546" ht="15.75" customHeight="1">
      <c r="I546" s="1021"/>
    </row>
    <row r="547" ht="15.75" customHeight="1">
      <c r="I547" s="1021"/>
    </row>
    <row r="548" ht="15.75" customHeight="1">
      <c r="I548" s="1021"/>
    </row>
    <row r="549" ht="15.75" customHeight="1">
      <c r="I549" s="1021"/>
    </row>
    <row r="550" ht="15.75" customHeight="1">
      <c r="I550" s="1021"/>
    </row>
    <row r="551" ht="15.75" customHeight="1">
      <c r="I551" s="1021"/>
    </row>
    <row r="552" ht="15.75" customHeight="1">
      <c r="I552" s="1021"/>
    </row>
    <row r="553" ht="15.75" customHeight="1">
      <c r="I553" s="1021"/>
    </row>
    <row r="554" ht="15.75" customHeight="1">
      <c r="I554" s="1021"/>
    </row>
    <row r="555" ht="15.75" customHeight="1">
      <c r="I555" s="1021"/>
    </row>
    <row r="556" ht="15.75" customHeight="1">
      <c r="I556" s="1021"/>
    </row>
    <row r="557" ht="15.75" customHeight="1">
      <c r="I557" s="1021"/>
    </row>
    <row r="558" ht="15.75" customHeight="1">
      <c r="I558" s="1021"/>
    </row>
    <row r="559" ht="15.75" customHeight="1">
      <c r="I559" s="1021"/>
    </row>
    <row r="560" ht="15.75" customHeight="1">
      <c r="I560" s="1021"/>
    </row>
    <row r="561" ht="15.75" customHeight="1">
      <c r="I561" s="1021"/>
    </row>
    <row r="562" ht="15.75" customHeight="1">
      <c r="I562" s="1021"/>
    </row>
    <row r="563" ht="15.75" customHeight="1">
      <c r="I563" s="1021"/>
    </row>
    <row r="564" ht="15.75" customHeight="1">
      <c r="I564" s="1021"/>
    </row>
    <row r="565" ht="15.75" customHeight="1">
      <c r="I565" s="1021"/>
    </row>
    <row r="566" ht="15.75" customHeight="1">
      <c r="I566" s="1021"/>
    </row>
    <row r="567" ht="15.75" customHeight="1">
      <c r="I567" s="1021"/>
    </row>
    <row r="568" ht="15.75" customHeight="1">
      <c r="I568" s="1021"/>
    </row>
    <row r="569" ht="15.75" customHeight="1">
      <c r="I569" s="1021"/>
    </row>
    <row r="570" ht="15.75" customHeight="1">
      <c r="I570" s="1021"/>
    </row>
    <row r="571" ht="15.75" customHeight="1">
      <c r="I571" s="1021"/>
    </row>
    <row r="572" ht="15.75" customHeight="1">
      <c r="I572" s="1021"/>
    </row>
    <row r="573" ht="15.75" customHeight="1">
      <c r="I573" s="1021"/>
    </row>
    <row r="574" ht="15.75" customHeight="1">
      <c r="I574" s="1021"/>
    </row>
    <row r="575" ht="15.75" customHeight="1">
      <c r="I575" s="1021"/>
    </row>
    <row r="576" ht="15.75" customHeight="1">
      <c r="I576" s="1021"/>
    </row>
    <row r="577" ht="15.75" customHeight="1">
      <c r="I577" s="1021"/>
    </row>
    <row r="578" ht="15.75" customHeight="1">
      <c r="I578" s="1021"/>
    </row>
    <row r="579" ht="15.75" customHeight="1">
      <c r="I579" s="1021"/>
    </row>
    <row r="580" ht="15.75" customHeight="1">
      <c r="I580" s="1021"/>
    </row>
    <row r="581" ht="15.75" customHeight="1">
      <c r="I581" s="1021"/>
    </row>
    <row r="582" ht="15.75" customHeight="1">
      <c r="I582" s="1021"/>
    </row>
    <row r="583" ht="15.75" customHeight="1">
      <c r="I583" s="1021"/>
    </row>
    <row r="584" ht="15.75" customHeight="1">
      <c r="I584" s="1021"/>
    </row>
    <row r="585" ht="15.75" customHeight="1">
      <c r="I585" s="1021"/>
    </row>
    <row r="586" ht="15.75" customHeight="1">
      <c r="I586" s="1021"/>
    </row>
    <row r="587" ht="15.75" customHeight="1">
      <c r="I587" s="1021"/>
    </row>
    <row r="588" ht="15.75" customHeight="1">
      <c r="I588" s="1021"/>
    </row>
    <row r="589" ht="15.75" customHeight="1">
      <c r="I589" s="1021"/>
    </row>
    <row r="590" ht="15.75" customHeight="1">
      <c r="I590" s="1021"/>
    </row>
    <row r="591" ht="15.75" customHeight="1">
      <c r="I591" s="1021"/>
    </row>
    <row r="592" ht="15.75" customHeight="1">
      <c r="I592" s="1021"/>
    </row>
    <row r="593" ht="15.75" customHeight="1">
      <c r="I593" s="1021"/>
    </row>
    <row r="594" ht="15.75" customHeight="1">
      <c r="I594" s="1021"/>
    </row>
    <row r="595" ht="15.75" customHeight="1">
      <c r="I595" s="1021"/>
    </row>
    <row r="596" ht="15.75" customHeight="1">
      <c r="I596" s="1021"/>
    </row>
    <row r="597" ht="15.75" customHeight="1">
      <c r="I597" s="1021"/>
    </row>
    <row r="598" ht="15.75" customHeight="1">
      <c r="I598" s="1021"/>
    </row>
    <row r="599" ht="15.75" customHeight="1">
      <c r="I599" s="1021"/>
    </row>
    <row r="600" ht="15.75" customHeight="1">
      <c r="I600" s="1021"/>
    </row>
    <row r="601" ht="15.75" customHeight="1">
      <c r="I601" s="1021"/>
    </row>
    <row r="602" ht="15.75" customHeight="1">
      <c r="I602" s="1021"/>
    </row>
    <row r="603" ht="15.75" customHeight="1">
      <c r="I603" s="1021"/>
    </row>
    <row r="604" ht="15.75" customHeight="1">
      <c r="I604" s="1021"/>
    </row>
    <row r="605" ht="15.75" customHeight="1">
      <c r="I605" s="1021"/>
    </row>
    <row r="606" ht="15.75" customHeight="1">
      <c r="I606" s="1021"/>
    </row>
    <row r="607" ht="15.75" customHeight="1">
      <c r="I607" s="1021"/>
    </row>
    <row r="608" ht="15.75" customHeight="1">
      <c r="I608" s="1021"/>
    </row>
    <row r="609" ht="15.75" customHeight="1">
      <c r="I609" s="1021"/>
    </row>
    <row r="610" ht="15.75" customHeight="1">
      <c r="I610" s="1021"/>
    </row>
    <row r="611" ht="15.75" customHeight="1">
      <c r="I611" s="1021"/>
    </row>
    <row r="612" ht="15.75" customHeight="1">
      <c r="I612" s="1021"/>
    </row>
    <row r="613" ht="15.75" customHeight="1">
      <c r="I613" s="1021"/>
    </row>
    <row r="614" ht="15.75" customHeight="1">
      <c r="I614" s="1021"/>
    </row>
    <row r="615" ht="15.75" customHeight="1">
      <c r="I615" s="1021"/>
    </row>
    <row r="616" ht="15.75" customHeight="1">
      <c r="I616" s="1021"/>
    </row>
    <row r="617" ht="15.75" customHeight="1">
      <c r="I617" s="1021"/>
    </row>
    <row r="618" ht="15.75" customHeight="1">
      <c r="I618" s="1021"/>
    </row>
    <row r="619" ht="15.75" customHeight="1">
      <c r="I619" s="1021"/>
    </row>
    <row r="620" ht="15.75" customHeight="1">
      <c r="I620" s="1021"/>
    </row>
    <row r="621" ht="15.75" customHeight="1">
      <c r="I621" s="1021"/>
    </row>
    <row r="622" ht="15.75" customHeight="1">
      <c r="I622" s="1021"/>
    </row>
    <row r="623" ht="15.75" customHeight="1">
      <c r="I623" s="1021"/>
    </row>
    <row r="624" ht="15.75" customHeight="1">
      <c r="I624" s="1021"/>
    </row>
    <row r="625" ht="15.75" customHeight="1">
      <c r="I625" s="1021"/>
    </row>
    <row r="626" ht="15.75" customHeight="1">
      <c r="I626" s="1021"/>
    </row>
    <row r="627" ht="15.75" customHeight="1">
      <c r="I627" s="1021"/>
    </row>
    <row r="628" ht="15.75" customHeight="1">
      <c r="I628" s="1021"/>
    </row>
    <row r="629" ht="15.75" customHeight="1">
      <c r="I629" s="1021"/>
    </row>
    <row r="630" ht="15.75" customHeight="1">
      <c r="I630" s="1021"/>
    </row>
    <row r="631" ht="15.75" customHeight="1">
      <c r="I631" s="1021"/>
    </row>
    <row r="632" ht="15.75" customHeight="1">
      <c r="I632" s="1021"/>
    </row>
    <row r="633" ht="15.75" customHeight="1">
      <c r="I633" s="1021"/>
    </row>
    <row r="634" ht="15.75" customHeight="1">
      <c r="I634" s="1021"/>
    </row>
    <row r="635" ht="15.75" customHeight="1">
      <c r="I635" s="1021"/>
    </row>
    <row r="636" ht="15.75" customHeight="1">
      <c r="I636" s="1021"/>
    </row>
    <row r="637" ht="15.75" customHeight="1">
      <c r="I637" s="1021"/>
    </row>
    <row r="638" ht="15.75" customHeight="1">
      <c r="I638" s="1021"/>
    </row>
    <row r="639" ht="15.75" customHeight="1">
      <c r="I639" s="1021"/>
    </row>
    <row r="640" ht="15.75" customHeight="1">
      <c r="I640" s="1021"/>
    </row>
    <row r="641" ht="15.75" customHeight="1">
      <c r="I641" s="1021"/>
    </row>
    <row r="642" ht="15.75" customHeight="1">
      <c r="I642" s="1021"/>
    </row>
    <row r="643" ht="15.75" customHeight="1">
      <c r="I643" s="1021"/>
    </row>
    <row r="644" ht="15.75" customHeight="1">
      <c r="I644" s="1021"/>
    </row>
    <row r="645" ht="15.75" customHeight="1">
      <c r="I645" s="1021"/>
    </row>
    <row r="646" ht="15.75" customHeight="1">
      <c r="I646" s="1021"/>
    </row>
    <row r="647" ht="15.75" customHeight="1">
      <c r="I647" s="1021"/>
    </row>
    <row r="648" ht="15.75" customHeight="1">
      <c r="I648" s="1021"/>
    </row>
    <row r="649" ht="15.75" customHeight="1">
      <c r="I649" s="1021"/>
    </row>
    <row r="650" ht="15.75" customHeight="1">
      <c r="I650" s="1021"/>
    </row>
    <row r="651" ht="15.75" customHeight="1">
      <c r="I651" s="1021"/>
    </row>
    <row r="652" ht="15.75" customHeight="1">
      <c r="I652" s="1021"/>
    </row>
    <row r="653" ht="15.75" customHeight="1">
      <c r="I653" s="1021"/>
    </row>
    <row r="654" ht="15.75" customHeight="1">
      <c r="I654" s="1021"/>
    </row>
    <row r="655" ht="15.75" customHeight="1">
      <c r="I655" s="1021"/>
    </row>
    <row r="656" ht="15.75" customHeight="1">
      <c r="I656" s="1021"/>
    </row>
    <row r="657" ht="15.75" customHeight="1">
      <c r="I657" s="1021"/>
    </row>
    <row r="658" ht="15.75" customHeight="1">
      <c r="I658" s="1021"/>
    </row>
    <row r="659" ht="15.75" customHeight="1">
      <c r="I659" s="1021"/>
    </row>
    <row r="660" ht="15.75" customHeight="1">
      <c r="I660" s="1021"/>
    </row>
    <row r="661" ht="15.75" customHeight="1">
      <c r="I661" s="1021"/>
    </row>
    <row r="662" ht="15.75" customHeight="1">
      <c r="I662" s="1021"/>
    </row>
    <row r="663" ht="15.75" customHeight="1">
      <c r="I663" s="1021"/>
    </row>
    <row r="664" ht="15.75" customHeight="1">
      <c r="I664" s="1021"/>
    </row>
    <row r="665" ht="15.75" customHeight="1">
      <c r="I665" s="1021"/>
    </row>
    <row r="666" ht="15.75" customHeight="1">
      <c r="I666" s="1021"/>
    </row>
    <row r="667" ht="15.75" customHeight="1">
      <c r="I667" s="1021"/>
    </row>
    <row r="668" ht="15.75" customHeight="1">
      <c r="I668" s="1021"/>
    </row>
    <row r="669" ht="15.75" customHeight="1">
      <c r="I669" s="1021"/>
    </row>
    <row r="670" ht="15.75" customHeight="1">
      <c r="I670" s="1021"/>
    </row>
    <row r="671" ht="15.75" customHeight="1">
      <c r="I671" s="1021"/>
    </row>
    <row r="672" ht="15.75" customHeight="1">
      <c r="I672" s="1021"/>
    </row>
    <row r="673" ht="15.75" customHeight="1">
      <c r="I673" s="1021"/>
    </row>
    <row r="674" ht="15.75" customHeight="1">
      <c r="I674" s="1021"/>
    </row>
    <row r="675" ht="15.75" customHeight="1">
      <c r="I675" s="1021"/>
    </row>
    <row r="676" ht="15.75" customHeight="1">
      <c r="I676" s="1021"/>
    </row>
    <row r="677" ht="15.75" customHeight="1">
      <c r="I677" s="1021"/>
    </row>
    <row r="678" ht="15.75" customHeight="1">
      <c r="I678" s="1021"/>
    </row>
    <row r="679" ht="15.75" customHeight="1">
      <c r="I679" s="1021"/>
    </row>
    <row r="680" ht="15.75" customHeight="1">
      <c r="I680" s="1021"/>
    </row>
    <row r="681" ht="15.75" customHeight="1">
      <c r="I681" s="1021"/>
    </row>
    <row r="682" ht="15.75" customHeight="1">
      <c r="I682" s="1021"/>
    </row>
    <row r="683" ht="15.75" customHeight="1">
      <c r="I683" s="1021"/>
    </row>
    <row r="684" ht="15.75" customHeight="1">
      <c r="I684" s="1021"/>
    </row>
    <row r="685" ht="15.75" customHeight="1">
      <c r="I685" s="1021"/>
    </row>
    <row r="686" ht="15.75" customHeight="1">
      <c r="I686" s="1021"/>
    </row>
    <row r="687" ht="15.75" customHeight="1">
      <c r="I687" s="1021"/>
    </row>
    <row r="688" ht="15.75" customHeight="1">
      <c r="I688" s="1021"/>
    </row>
    <row r="689" ht="15.75" customHeight="1">
      <c r="I689" s="1021"/>
    </row>
    <row r="690" ht="15.75" customHeight="1">
      <c r="I690" s="1021"/>
    </row>
    <row r="691" ht="15.75" customHeight="1">
      <c r="I691" s="1021"/>
    </row>
    <row r="692" ht="15.75" customHeight="1">
      <c r="I692" s="1021"/>
    </row>
    <row r="693" ht="15.75" customHeight="1">
      <c r="I693" s="1021"/>
    </row>
    <row r="694" ht="15.75" customHeight="1">
      <c r="I694" s="1021"/>
    </row>
    <row r="695" ht="15.75" customHeight="1">
      <c r="I695" s="1021"/>
    </row>
    <row r="696" ht="15.75" customHeight="1">
      <c r="I696" s="1021"/>
    </row>
    <row r="697" ht="15.75" customHeight="1">
      <c r="I697" s="1021"/>
    </row>
    <row r="698" ht="15.75" customHeight="1">
      <c r="I698" s="1021"/>
    </row>
    <row r="699" ht="15.75" customHeight="1">
      <c r="I699" s="1021"/>
    </row>
    <row r="700" ht="15.75" customHeight="1">
      <c r="I700" s="1021"/>
    </row>
    <row r="701" ht="15.75" customHeight="1">
      <c r="I701" s="1021"/>
    </row>
    <row r="702" ht="15.75" customHeight="1">
      <c r="I702" s="1021"/>
    </row>
    <row r="703" ht="15.75" customHeight="1">
      <c r="I703" s="1021"/>
    </row>
    <row r="704" ht="15.75" customHeight="1">
      <c r="I704" s="1021"/>
    </row>
    <row r="705" ht="15.75" customHeight="1">
      <c r="I705" s="1021"/>
    </row>
    <row r="706" ht="15.75" customHeight="1">
      <c r="I706" s="1021"/>
    </row>
    <row r="707" ht="15.75" customHeight="1">
      <c r="I707" s="1021"/>
    </row>
    <row r="708" ht="15.75" customHeight="1">
      <c r="I708" s="1021"/>
    </row>
    <row r="709" ht="15.75" customHeight="1">
      <c r="I709" s="1021"/>
    </row>
    <row r="710" ht="15.75" customHeight="1">
      <c r="I710" s="1021"/>
    </row>
    <row r="711" ht="15.75" customHeight="1">
      <c r="I711" s="1021"/>
    </row>
    <row r="712" ht="15.75" customHeight="1">
      <c r="I712" s="1021"/>
    </row>
    <row r="713" ht="15.75" customHeight="1">
      <c r="I713" s="1021"/>
    </row>
    <row r="714" ht="15.75" customHeight="1">
      <c r="I714" s="1021"/>
    </row>
    <row r="715" ht="15.75" customHeight="1">
      <c r="I715" s="1021"/>
    </row>
    <row r="716" ht="15.75" customHeight="1">
      <c r="I716" s="1021"/>
    </row>
    <row r="717" ht="15.75" customHeight="1">
      <c r="I717" s="1021"/>
    </row>
    <row r="718" ht="15.75" customHeight="1">
      <c r="I718" s="1021"/>
    </row>
    <row r="719" ht="15.75" customHeight="1">
      <c r="I719" s="1021"/>
    </row>
    <row r="720" ht="15.75" customHeight="1">
      <c r="I720" s="1021"/>
    </row>
    <row r="721" ht="15.75" customHeight="1">
      <c r="I721" s="1021"/>
    </row>
    <row r="722" ht="15.75" customHeight="1">
      <c r="I722" s="1021"/>
    </row>
    <row r="723" ht="15.75" customHeight="1">
      <c r="I723" s="1021"/>
    </row>
    <row r="724" ht="15.75" customHeight="1">
      <c r="I724" s="1021"/>
    </row>
    <row r="725" ht="15.75" customHeight="1">
      <c r="I725" s="1021"/>
    </row>
    <row r="726" ht="15.75" customHeight="1">
      <c r="I726" s="1021"/>
    </row>
    <row r="727" ht="15.75" customHeight="1">
      <c r="I727" s="1021"/>
    </row>
    <row r="728" ht="15.75" customHeight="1">
      <c r="I728" s="1021"/>
    </row>
    <row r="729" ht="15.75" customHeight="1">
      <c r="I729" s="1021"/>
    </row>
    <row r="730" ht="15.75" customHeight="1">
      <c r="I730" s="1021"/>
    </row>
    <row r="731" ht="15.75" customHeight="1">
      <c r="I731" s="1021"/>
    </row>
    <row r="732" ht="15.75" customHeight="1">
      <c r="I732" s="1021"/>
    </row>
    <row r="733" ht="15.75" customHeight="1">
      <c r="I733" s="1021"/>
    </row>
    <row r="734" ht="15.75" customHeight="1">
      <c r="I734" s="1021"/>
    </row>
    <row r="735" ht="15.75" customHeight="1">
      <c r="I735" s="1021"/>
    </row>
    <row r="736" ht="15.75" customHeight="1">
      <c r="I736" s="1021"/>
    </row>
    <row r="737" ht="15.75" customHeight="1">
      <c r="I737" s="1021"/>
    </row>
    <row r="738" ht="15.75" customHeight="1">
      <c r="I738" s="1021"/>
    </row>
    <row r="739" ht="15.75" customHeight="1">
      <c r="I739" s="1021"/>
    </row>
    <row r="740" ht="15.75" customHeight="1">
      <c r="I740" s="1021"/>
    </row>
    <row r="741" ht="15.75" customHeight="1">
      <c r="I741" s="1021"/>
    </row>
    <row r="742" ht="15.75" customHeight="1">
      <c r="I742" s="1021"/>
    </row>
    <row r="743" ht="15.75" customHeight="1">
      <c r="I743" s="1021"/>
    </row>
    <row r="744" ht="15.75" customHeight="1">
      <c r="I744" s="1021"/>
    </row>
    <row r="745" ht="15.75" customHeight="1">
      <c r="I745" s="1021"/>
    </row>
    <row r="746" ht="15.75" customHeight="1">
      <c r="I746" s="1021"/>
    </row>
    <row r="747" ht="15.75" customHeight="1">
      <c r="I747" s="1021"/>
    </row>
    <row r="748" ht="15.75" customHeight="1">
      <c r="I748" s="1021"/>
    </row>
    <row r="749" ht="15.75" customHeight="1">
      <c r="I749" s="1021"/>
    </row>
    <row r="750" ht="15.75" customHeight="1">
      <c r="I750" s="1021"/>
    </row>
    <row r="751" ht="15.75" customHeight="1">
      <c r="I751" s="1021"/>
    </row>
    <row r="752" ht="15.75" customHeight="1">
      <c r="I752" s="1021"/>
    </row>
    <row r="753" ht="15.75" customHeight="1">
      <c r="I753" s="1021"/>
    </row>
    <row r="754" ht="15.75" customHeight="1">
      <c r="I754" s="1021"/>
    </row>
    <row r="755" ht="15.75" customHeight="1">
      <c r="I755" s="1021"/>
    </row>
    <row r="756" ht="15.75" customHeight="1">
      <c r="I756" s="1021"/>
    </row>
    <row r="757" ht="15.75" customHeight="1">
      <c r="I757" s="1021"/>
    </row>
    <row r="758" ht="15.75" customHeight="1">
      <c r="I758" s="1021"/>
    </row>
    <row r="759" ht="15.75" customHeight="1">
      <c r="I759" s="1021"/>
    </row>
    <row r="760" ht="15.75" customHeight="1">
      <c r="I760" s="1021"/>
    </row>
    <row r="761" ht="15.75" customHeight="1">
      <c r="I761" s="1021"/>
    </row>
    <row r="762" ht="15.75" customHeight="1">
      <c r="I762" s="1021"/>
    </row>
    <row r="763" ht="15.75" customHeight="1">
      <c r="I763" s="1021"/>
    </row>
    <row r="764" ht="15.75" customHeight="1">
      <c r="I764" s="1021"/>
    </row>
    <row r="765" ht="15.75" customHeight="1">
      <c r="I765" s="1021"/>
    </row>
    <row r="766" ht="15.75" customHeight="1">
      <c r="I766" s="1021"/>
    </row>
    <row r="767" ht="15.75" customHeight="1">
      <c r="I767" s="1021"/>
    </row>
    <row r="768" ht="15.75" customHeight="1">
      <c r="I768" s="1021"/>
    </row>
    <row r="769" ht="15.75" customHeight="1">
      <c r="I769" s="1021"/>
    </row>
    <row r="770" ht="15.75" customHeight="1">
      <c r="I770" s="1021"/>
    </row>
    <row r="771" ht="15.75" customHeight="1">
      <c r="I771" s="1021"/>
    </row>
    <row r="772" ht="15.75" customHeight="1">
      <c r="I772" s="1021"/>
    </row>
    <row r="773" ht="15.75" customHeight="1">
      <c r="I773" s="1021"/>
    </row>
    <row r="774" ht="15.75" customHeight="1">
      <c r="I774" s="1021"/>
    </row>
    <row r="775" ht="15.75" customHeight="1">
      <c r="I775" s="1021"/>
    </row>
    <row r="776" ht="15.75" customHeight="1">
      <c r="I776" s="1021"/>
    </row>
    <row r="777" ht="15.75" customHeight="1">
      <c r="I777" s="1021"/>
    </row>
    <row r="778" ht="15.75" customHeight="1">
      <c r="I778" s="1021"/>
    </row>
    <row r="779" ht="15.75" customHeight="1">
      <c r="I779" s="1021"/>
    </row>
    <row r="780" ht="15.75" customHeight="1">
      <c r="I780" s="1021"/>
    </row>
    <row r="781" ht="15.75" customHeight="1">
      <c r="I781" s="1021"/>
    </row>
    <row r="782" ht="15.75" customHeight="1">
      <c r="I782" s="1021"/>
    </row>
    <row r="783" ht="15.75" customHeight="1">
      <c r="I783" s="1021"/>
    </row>
    <row r="784" ht="15.75" customHeight="1">
      <c r="I784" s="1021"/>
    </row>
    <row r="785" ht="15.75" customHeight="1">
      <c r="I785" s="1021"/>
    </row>
    <row r="786" ht="15.75" customHeight="1">
      <c r="I786" s="1021"/>
    </row>
    <row r="787" ht="15.75" customHeight="1">
      <c r="I787" s="1021"/>
    </row>
    <row r="788" ht="15.75" customHeight="1">
      <c r="I788" s="1021"/>
    </row>
    <row r="789" ht="15.75" customHeight="1">
      <c r="I789" s="1021"/>
    </row>
    <row r="790" ht="15.75" customHeight="1">
      <c r="I790" s="1021"/>
    </row>
    <row r="791" ht="15.75" customHeight="1">
      <c r="I791" s="1021"/>
    </row>
    <row r="792" ht="15.75" customHeight="1">
      <c r="I792" s="1021"/>
    </row>
    <row r="793" ht="15.75" customHeight="1">
      <c r="I793" s="1021"/>
    </row>
    <row r="794" ht="15.75" customHeight="1">
      <c r="I794" s="1021"/>
    </row>
    <row r="795" ht="15.75" customHeight="1">
      <c r="I795" s="1021"/>
    </row>
    <row r="796" ht="15.75" customHeight="1">
      <c r="I796" s="1021"/>
    </row>
    <row r="797" ht="15.75" customHeight="1">
      <c r="I797" s="1021"/>
    </row>
    <row r="798" ht="15.75" customHeight="1">
      <c r="I798" s="1021"/>
    </row>
    <row r="799" ht="15.75" customHeight="1">
      <c r="I799" s="1021"/>
    </row>
    <row r="800" ht="15.75" customHeight="1">
      <c r="I800" s="1021"/>
    </row>
    <row r="801" ht="15.75" customHeight="1">
      <c r="I801" s="1021"/>
    </row>
    <row r="802" ht="15.75" customHeight="1">
      <c r="I802" s="1021"/>
    </row>
    <row r="803" ht="15.75" customHeight="1">
      <c r="I803" s="1021"/>
    </row>
    <row r="804" ht="15.75" customHeight="1">
      <c r="I804" s="1021"/>
    </row>
    <row r="805" ht="15.75" customHeight="1">
      <c r="I805" s="1021"/>
    </row>
    <row r="806" ht="15.75" customHeight="1">
      <c r="I806" s="1021"/>
    </row>
    <row r="807" ht="15.75" customHeight="1">
      <c r="I807" s="1021"/>
    </row>
    <row r="808" ht="15.75" customHeight="1">
      <c r="I808" s="1021"/>
    </row>
    <row r="809" ht="15.75" customHeight="1">
      <c r="I809" s="1021"/>
    </row>
    <row r="810" ht="15.75" customHeight="1">
      <c r="I810" s="1021"/>
    </row>
    <row r="811" ht="15.75" customHeight="1">
      <c r="I811" s="1021"/>
    </row>
    <row r="812" ht="15.75" customHeight="1">
      <c r="I812" s="1021"/>
    </row>
    <row r="813" ht="15.75" customHeight="1">
      <c r="I813" s="1021"/>
    </row>
    <row r="814" ht="15.75" customHeight="1">
      <c r="I814" s="1021"/>
    </row>
    <row r="815" ht="15.75" customHeight="1">
      <c r="I815" s="1021"/>
    </row>
    <row r="816" ht="15.75" customHeight="1">
      <c r="I816" s="1021"/>
    </row>
    <row r="817" ht="15.75" customHeight="1">
      <c r="I817" s="1021"/>
    </row>
    <row r="818" ht="15.75" customHeight="1">
      <c r="I818" s="1021"/>
    </row>
    <row r="819" ht="15.75" customHeight="1">
      <c r="I819" s="1021"/>
    </row>
    <row r="820" ht="15.75" customHeight="1">
      <c r="I820" s="1021"/>
    </row>
    <row r="821" ht="15.75" customHeight="1">
      <c r="I821" s="1021"/>
    </row>
    <row r="822" ht="15.75" customHeight="1">
      <c r="I822" s="1021"/>
    </row>
    <row r="823" ht="15.75" customHeight="1">
      <c r="I823" s="1021"/>
    </row>
    <row r="824" ht="15.75" customHeight="1">
      <c r="I824" s="1021"/>
    </row>
    <row r="825" ht="15.75" customHeight="1">
      <c r="I825" s="1021"/>
    </row>
    <row r="826" ht="15.75" customHeight="1">
      <c r="I826" s="1021"/>
    </row>
    <row r="827" ht="15.75" customHeight="1">
      <c r="I827" s="1021"/>
    </row>
    <row r="828" ht="15.75" customHeight="1">
      <c r="I828" s="1021"/>
    </row>
    <row r="829" ht="15.75" customHeight="1">
      <c r="I829" s="1021"/>
    </row>
    <row r="830" ht="15.75" customHeight="1">
      <c r="I830" s="1021"/>
    </row>
    <row r="831" ht="15.75" customHeight="1">
      <c r="I831" s="1021"/>
    </row>
    <row r="832" ht="15.75" customHeight="1">
      <c r="I832" s="1021"/>
    </row>
    <row r="833" ht="15.75" customHeight="1">
      <c r="I833" s="1021"/>
    </row>
    <row r="834" ht="15.75" customHeight="1">
      <c r="I834" s="1021"/>
    </row>
    <row r="835" ht="15.75" customHeight="1">
      <c r="I835" s="1021"/>
    </row>
    <row r="836" ht="15.75" customHeight="1">
      <c r="I836" s="1021"/>
    </row>
    <row r="837" ht="15.75" customHeight="1">
      <c r="I837" s="1021"/>
    </row>
    <row r="838" ht="15.75" customHeight="1">
      <c r="I838" s="1021"/>
    </row>
    <row r="839" ht="15.75" customHeight="1">
      <c r="I839" s="1021"/>
    </row>
    <row r="840" ht="15.75" customHeight="1">
      <c r="I840" s="1021"/>
    </row>
    <row r="841" ht="15.75" customHeight="1">
      <c r="I841" s="1021"/>
    </row>
    <row r="842" ht="15.75" customHeight="1">
      <c r="I842" s="1021"/>
    </row>
    <row r="843" ht="15.75" customHeight="1">
      <c r="I843" s="1021"/>
    </row>
    <row r="844" ht="15.75" customHeight="1">
      <c r="I844" s="1021"/>
    </row>
    <row r="845" ht="15.75" customHeight="1">
      <c r="I845" s="1021"/>
    </row>
    <row r="846" ht="15.75" customHeight="1">
      <c r="I846" s="1021"/>
    </row>
    <row r="847" ht="15.75" customHeight="1">
      <c r="I847" s="1021"/>
    </row>
    <row r="848" ht="15.75" customHeight="1">
      <c r="I848" s="1021"/>
    </row>
    <row r="849" ht="15.75" customHeight="1">
      <c r="I849" s="1021"/>
    </row>
    <row r="850" ht="15.75" customHeight="1">
      <c r="I850" s="1021"/>
    </row>
    <row r="851" ht="15.75" customHeight="1">
      <c r="I851" s="1021"/>
    </row>
    <row r="852" ht="15.75" customHeight="1">
      <c r="I852" s="1021"/>
    </row>
    <row r="853" ht="15.75" customHeight="1">
      <c r="I853" s="1021"/>
    </row>
    <row r="854" ht="15.75" customHeight="1">
      <c r="I854" s="1021"/>
    </row>
    <row r="855" ht="15.75" customHeight="1">
      <c r="I855" s="1021"/>
    </row>
    <row r="856" ht="15.75" customHeight="1">
      <c r="I856" s="1021"/>
    </row>
    <row r="857" ht="15.75" customHeight="1">
      <c r="I857" s="1021"/>
    </row>
    <row r="858" ht="15.75" customHeight="1">
      <c r="I858" s="1021"/>
    </row>
    <row r="859" ht="15.75" customHeight="1">
      <c r="I859" s="1021"/>
    </row>
    <row r="860" ht="15.75" customHeight="1">
      <c r="I860" s="1021"/>
    </row>
    <row r="861" ht="15.75" customHeight="1">
      <c r="I861" s="1021"/>
    </row>
    <row r="862" ht="15.75" customHeight="1">
      <c r="I862" s="1021"/>
    </row>
    <row r="863" ht="15.75" customHeight="1">
      <c r="I863" s="1021"/>
    </row>
    <row r="864" ht="15.75" customHeight="1">
      <c r="I864" s="1021"/>
    </row>
    <row r="865" ht="15.75" customHeight="1">
      <c r="I865" s="1021"/>
    </row>
    <row r="866" ht="15.75" customHeight="1">
      <c r="I866" s="1021"/>
    </row>
    <row r="867" ht="15.75" customHeight="1">
      <c r="I867" s="1021"/>
    </row>
    <row r="868" ht="15.75" customHeight="1">
      <c r="I868" s="1021"/>
    </row>
    <row r="869" ht="15.75" customHeight="1">
      <c r="I869" s="1021"/>
    </row>
    <row r="870" ht="15.75" customHeight="1">
      <c r="I870" s="1021"/>
    </row>
    <row r="871" ht="15.75" customHeight="1">
      <c r="I871" s="1021"/>
    </row>
    <row r="872" ht="15.75" customHeight="1">
      <c r="I872" s="1021"/>
    </row>
    <row r="873" ht="15.75" customHeight="1">
      <c r="I873" s="1021"/>
    </row>
    <row r="874" ht="15.75" customHeight="1">
      <c r="I874" s="1021"/>
    </row>
    <row r="875" ht="15.75" customHeight="1">
      <c r="I875" s="1021"/>
    </row>
    <row r="876" ht="15.75" customHeight="1">
      <c r="I876" s="1021"/>
    </row>
    <row r="877" ht="15.75" customHeight="1">
      <c r="I877" s="1021"/>
    </row>
    <row r="878" ht="15.75" customHeight="1">
      <c r="I878" s="1021"/>
    </row>
    <row r="879" ht="15.75" customHeight="1">
      <c r="I879" s="1021"/>
    </row>
    <row r="880" ht="15.75" customHeight="1">
      <c r="I880" s="1021"/>
    </row>
    <row r="881" ht="15.75" customHeight="1">
      <c r="I881" s="1021"/>
    </row>
    <row r="882" ht="15.75" customHeight="1">
      <c r="I882" s="1021"/>
    </row>
    <row r="883" ht="15.75" customHeight="1">
      <c r="I883" s="1021"/>
    </row>
    <row r="884" ht="15.75" customHeight="1">
      <c r="I884" s="1021"/>
    </row>
    <row r="885" ht="15.75" customHeight="1">
      <c r="I885" s="1021"/>
    </row>
    <row r="886" ht="15.75" customHeight="1">
      <c r="I886" s="1021"/>
    </row>
    <row r="887" ht="15.75" customHeight="1">
      <c r="I887" s="1021"/>
    </row>
    <row r="888" ht="15.75" customHeight="1">
      <c r="I888" s="1021"/>
    </row>
    <row r="889" ht="15.75" customHeight="1">
      <c r="I889" s="1021"/>
    </row>
    <row r="890" ht="15.75" customHeight="1">
      <c r="I890" s="1021"/>
    </row>
    <row r="891" ht="15.75" customHeight="1">
      <c r="I891" s="1021"/>
    </row>
    <row r="892" ht="15.75" customHeight="1">
      <c r="I892" s="1021"/>
    </row>
    <row r="893" ht="15.75" customHeight="1">
      <c r="I893" s="1021"/>
    </row>
    <row r="894" ht="15.75" customHeight="1">
      <c r="I894" s="1021"/>
    </row>
    <row r="895" ht="15.75" customHeight="1">
      <c r="I895" s="1021"/>
    </row>
    <row r="896" ht="15.75" customHeight="1">
      <c r="I896" s="1021"/>
    </row>
    <row r="897" ht="15.75" customHeight="1">
      <c r="I897" s="1021"/>
    </row>
    <row r="898" ht="15.75" customHeight="1">
      <c r="I898" s="1021"/>
    </row>
    <row r="899" ht="15.75" customHeight="1">
      <c r="I899" s="1021"/>
    </row>
    <row r="900" ht="15.75" customHeight="1">
      <c r="I900" s="1021"/>
    </row>
    <row r="901" ht="15.75" customHeight="1">
      <c r="I901" s="1021"/>
    </row>
    <row r="902" ht="15.75" customHeight="1">
      <c r="I902" s="1021"/>
    </row>
    <row r="903" ht="15.75" customHeight="1">
      <c r="I903" s="1021"/>
    </row>
    <row r="904" ht="15.75" customHeight="1">
      <c r="I904" s="1021"/>
    </row>
    <row r="905" ht="15.75" customHeight="1">
      <c r="I905" s="1021"/>
    </row>
    <row r="906" ht="15.75" customHeight="1">
      <c r="I906" s="1021"/>
    </row>
    <row r="907" ht="15.75" customHeight="1">
      <c r="I907" s="1021"/>
    </row>
  </sheetData>
  <mergeCells count="16">
    <mergeCell ref="H6:K6"/>
    <mergeCell ref="D7:H7"/>
    <mergeCell ref="F9:G9"/>
    <mergeCell ref="C10:E10"/>
    <mergeCell ref="F10:G10"/>
    <mergeCell ref="C11:E11"/>
    <mergeCell ref="C12:E12"/>
    <mergeCell ref="C20:E20"/>
    <mergeCell ref="A21:D22"/>
    <mergeCell ref="C13:E13"/>
    <mergeCell ref="C14:E14"/>
    <mergeCell ref="C15:E15"/>
    <mergeCell ref="C16:E16"/>
    <mergeCell ref="C17:E17"/>
    <mergeCell ref="C18:E18"/>
    <mergeCell ref="C19:E19"/>
  </mergeCells>
  <printOptions horizontalCentered="1"/>
  <pageMargins bottom="0.2689839283788157" footer="0.0" header="0.0" left="0.0" right="0.0" top="0.39484029764007433"/>
  <pageSetup paperSize="11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9.0"/>
    <col customWidth="1" min="3" max="3" width="8.71"/>
    <col customWidth="1" min="4" max="4" width="11.43"/>
    <col customWidth="1" min="5" max="5" width="8.71"/>
    <col customWidth="1" min="6" max="6" width="3.57"/>
    <col customWidth="1" min="7" max="7" width="3.43"/>
    <col customWidth="1" min="8" max="8" width="11.43"/>
    <col customWidth="1" min="9" max="9" width="7.14"/>
    <col customWidth="1" min="10" max="10" width="11.43"/>
    <col customWidth="1" min="11" max="11" width="12.29"/>
  </cols>
  <sheetData>
    <row r="1" ht="13.5" customHeight="1">
      <c r="A1" s="590" t="s">
        <v>10962</v>
      </c>
      <c r="B1" s="591"/>
      <c r="C1" s="592"/>
      <c r="D1" s="592"/>
      <c r="E1" s="592"/>
      <c r="F1" s="592"/>
      <c r="G1" s="592"/>
      <c r="H1" s="594"/>
      <c r="I1" s="992" t="s">
        <v>9773</v>
      </c>
      <c r="K1" s="595">
        <v>46120.0</v>
      </c>
    </row>
    <row r="2" ht="13.5" customHeight="1">
      <c r="A2" s="596" t="s">
        <v>10963</v>
      </c>
      <c r="B2" s="597"/>
      <c r="C2" s="598"/>
      <c r="D2" s="598"/>
      <c r="E2" s="598"/>
      <c r="F2" s="592"/>
      <c r="G2" s="592"/>
      <c r="H2" s="594"/>
      <c r="I2" s="992" t="s">
        <v>9775</v>
      </c>
      <c r="K2" s="676"/>
    </row>
    <row r="3" ht="13.5" customHeight="1">
      <c r="A3" s="599" t="s">
        <v>9776</v>
      </c>
      <c r="B3" s="600"/>
      <c r="C3" s="592"/>
      <c r="D3" s="601"/>
      <c r="E3" s="601"/>
      <c r="F3" s="601"/>
      <c r="G3" s="601"/>
      <c r="H3" s="674"/>
      <c r="I3" s="674" t="s">
        <v>10995</v>
      </c>
      <c r="J3" s="674"/>
      <c r="K3" s="674"/>
    </row>
    <row r="4" ht="13.5" customHeight="1">
      <c r="A4" s="604"/>
      <c r="B4" s="604"/>
      <c r="C4" s="592"/>
      <c r="D4" s="601"/>
      <c r="E4" s="601"/>
      <c r="F4" s="601"/>
      <c r="G4" s="601"/>
      <c r="H4" s="109"/>
      <c r="I4" s="1040"/>
      <c r="J4" s="674"/>
      <c r="K4" s="674"/>
    </row>
    <row r="5" ht="13.5" customHeight="1">
      <c r="A5" s="604"/>
      <c r="B5" s="604"/>
      <c r="C5" s="592"/>
      <c r="D5" s="601"/>
      <c r="E5" s="601"/>
      <c r="F5" s="601"/>
      <c r="G5" s="601"/>
      <c r="I5" s="993"/>
      <c r="J5" s="607"/>
      <c r="K5" s="607"/>
    </row>
    <row r="6" ht="13.5" customHeight="1">
      <c r="A6" s="604"/>
      <c r="B6" s="604"/>
      <c r="C6" s="592"/>
      <c r="D6" s="601"/>
      <c r="E6" s="601"/>
      <c r="F6" s="601"/>
      <c r="G6" s="601"/>
      <c r="H6" s="606"/>
    </row>
    <row r="7" ht="13.5" customHeight="1">
      <c r="A7" s="604"/>
      <c r="B7" s="604"/>
      <c r="C7" s="592"/>
      <c r="D7" s="701" t="s">
        <v>10966</v>
      </c>
      <c r="I7" s="994"/>
      <c r="J7" s="609"/>
      <c r="K7" s="609"/>
    </row>
    <row r="8" ht="13.5" customHeight="1">
      <c r="A8" s="17"/>
      <c r="B8" s="600"/>
      <c r="C8" s="17"/>
      <c r="D8" s="611"/>
      <c r="E8" s="611"/>
      <c r="F8" s="17"/>
      <c r="G8" s="17"/>
      <c r="H8" s="612"/>
      <c r="I8" s="995"/>
      <c r="J8" s="612"/>
      <c r="K8" s="612"/>
    </row>
    <row r="9" ht="13.5" customHeight="1">
      <c r="A9" s="561" t="s">
        <v>10967</v>
      </c>
      <c r="B9" s="996" t="s">
        <v>10996</v>
      </c>
      <c r="C9" s="17"/>
      <c r="D9" s="615"/>
      <c r="E9" s="17"/>
      <c r="F9" s="628"/>
      <c r="H9" s="628"/>
      <c r="I9" s="997"/>
      <c r="J9" s="628"/>
      <c r="K9" s="64"/>
    </row>
    <row r="10" ht="13.5" customHeight="1">
      <c r="A10" s="618" t="s">
        <v>9779</v>
      </c>
      <c r="B10" s="619" t="s">
        <v>0</v>
      </c>
      <c r="C10" s="618" t="s">
        <v>9780</v>
      </c>
      <c r="D10" s="122"/>
      <c r="E10" s="122"/>
      <c r="F10" s="618" t="s">
        <v>9781</v>
      </c>
      <c r="G10" s="122"/>
      <c r="H10" s="998" t="s">
        <v>2739</v>
      </c>
      <c r="I10" s="998" t="s">
        <v>10969</v>
      </c>
      <c r="J10" s="998" t="s">
        <v>10130</v>
      </c>
      <c r="K10" s="618" t="s">
        <v>2740</v>
      </c>
    </row>
    <row r="11" ht="13.5" customHeight="1">
      <c r="A11" s="623">
        <v>1.0</v>
      </c>
      <c r="B11" s="45" t="s">
        <v>10997</v>
      </c>
      <c r="C11" s="264" t="s">
        <v>10998</v>
      </c>
      <c r="F11" s="704">
        <v>1.0</v>
      </c>
      <c r="G11" s="1037" t="s">
        <v>2729</v>
      </c>
      <c r="H11" s="1038">
        <v>6000000.0</v>
      </c>
      <c r="I11" s="1032"/>
      <c r="J11" s="696">
        <f t="shared" ref="J11:J20" si="1">H11-(H11*I11/100)</f>
        <v>6000000</v>
      </c>
      <c r="K11" s="696">
        <f t="shared" ref="K11:K20" si="2">F11*J11</f>
        <v>6000000</v>
      </c>
    </row>
    <row r="12" ht="13.5" customHeight="1">
      <c r="A12" s="623">
        <v>2.0</v>
      </c>
      <c r="B12" s="45"/>
      <c r="C12" s="264"/>
      <c r="F12" s="704"/>
      <c r="G12" s="704"/>
      <c r="H12" s="419"/>
      <c r="I12" s="280"/>
      <c r="J12" s="696">
        <f t="shared" si="1"/>
        <v>0</v>
      </c>
      <c r="K12" s="696">
        <f t="shared" si="2"/>
        <v>0</v>
      </c>
    </row>
    <row r="13" ht="13.5" customHeight="1">
      <c r="A13" s="444">
        <v>3.0</v>
      </c>
      <c r="B13" s="45"/>
      <c r="C13" s="264"/>
      <c r="F13" s="704"/>
      <c r="G13" s="704"/>
      <c r="H13" s="1038"/>
      <c r="I13" s="280"/>
      <c r="J13" s="696">
        <f t="shared" si="1"/>
        <v>0</v>
      </c>
      <c r="K13" s="696">
        <f t="shared" si="2"/>
        <v>0</v>
      </c>
    </row>
    <row r="14" ht="13.5" customHeight="1">
      <c r="A14" s="444">
        <v>4.0</v>
      </c>
      <c r="B14" s="45"/>
      <c r="C14" s="264"/>
      <c r="F14" s="704"/>
      <c r="G14" s="704"/>
      <c r="H14" s="1038"/>
      <c r="I14" s="280"/>
      <c r="J14" s="696">
        <f t="shared" si="1"/>
        <v>0</v>
      </c>
      <c r="K14" s="696">
        <f t="shared" si="2"/>
        <v>0</v>
      </c>
    </row>
    <row r="15" ht="13.5" customHeight="1">
      <c r="A15" s="629">
        <v>5.0</v>
      </c>
      <c r="B15" s="45"/>
      <c r="C15" s="264"/>
      <c r="F15" s="704"/>
      <c r="G15" s="704"/>
      <c r="H15" s="1038"/>
      <c r="I15" s="280"/>
      <c r="J15" s="696">
        <f t="shared" si="1"/>
        <v>0</v>
      </c>
      <c r="K15" s="696">
        <f t="shared" si="2"/>
        <v>0</v>
      </c>
    </row>
    <row r="16" ht="13.5" hidden="1" customHeight="1">
      <c r="A16" s="629">
        <v>6.0</v>
      </c>
      <c r="B16" s="443"/>
      <c r="C16" s="264"/>
      <c r="F16" s="704"/>
      <c r="G16" s="704"/>
      <c r="H16" s="1038"/>
      <c r="I16" s="280"/>
      <c r="J16" s="696">
        <f t="shared" si="1"/>
        <v>0</v>
      </c>
      <c r="K16" s="696">
        <f t="shared" si="2"/>
        <v>0</v>
      </c>
    </row>
    <row r="17" ht="13.5" hidden="1" customHeight="1">
      <c r="A17" s="629">
        <v>7.0</v>
      </c>
      <c r="B17" s="443"/>
      <c r="C17" s="264"/>
      <c r="F17" s="704"/>
      <c r="G17" s="704"/>
      <c r="H17" s="419"/>
      <c r="I17" s="280"/>
      <c r="J17" s="696">
        <f t="shared" si="1"/>
        <v>0</v>
      </c>
      <c r="K17" s="696">
        <f t="shared" si="2"/>
        <v>0</v>
      </c>
    </row>
    <row r="18" ht="13.5" hidden="1" customHeight="1">
      <c r="A18" s="629">
        <v>8.0</v>
      </c>
      <c r="B18" s="201"/>
      <c r="C18" s="264"/>
      <c r="F18" s="704"/>
      <c r="G18" s="704"/>
      <c r="H18" s="419"/>
      <c r="I18" s="280"/>
      <c r="J18" s="696">
        <f t="shared" si="1"/>
        <v>0</v>
      </c>
      <c r="K18" s="696">
        <f t="shared" si="2"/>
        <v>0</v>
      </c>
    </row>
    <row r="19" ht="13.5" hidden="1" customHeight="1">
      <c r="A19" s="629">
        <v>9.0</v>
      </c>
      <c r="B19" s="443"/>
      <c r="C19" s="45"/>
      <c r="F19" s="444"/>
      <c r="G19" s="704"/>
      <c r="H19" s="627"/>
      <c r="I19" s="45"/>
      <c r="J19" s="696">
        <f t="shared" si="1"/>
        <v>0</v>
      </c>
      <c r="K19" s="696">
        <f t="shared" si="2"/>
        <v>0</v>
      </c>
    </row>
    <row r="20" ht="13.5" customHeight="1">
      <c r="A20" s="1039">
        <v>6.0</v>
      </c>
      <c r="B20" s="630"/>
      <c r="C20" s="463"/>
      <c r="D20" s="617"/>
      <c r="E20" s="617"/>
      <c r="F20" s="533"/>
      <c r="G20" s="1041"/>
      <c r="H20" s="1034"/>
      <c r="I20" s="463"/>
      <c r="J20" s="1035">
        <f t="shared" si="1"/>
        <v>0</v>
      </c>
      <c r="K20" s="1035">
        <f t="shared" si="2"/>
        <v>0</v>
      </c>
    </row>
    <row r="21" ht="13.5" customHeight="1">
      <c r="A21" s="1014" t="s">
        <v>10999</v>
      </c>
      <c r="E21" s="951"/>
      <c r="F21" s="1015"/>
      <c r="G21" s="676"/>
      <c r="H21" s="636"/>
      <c r="I21" s="1016"/>
      <c r="J21" s="201" t="s">
        <v>10982</v>
      </c>
      <c r="K21" s="644">
        <f>SUM(K11:K20)</f>
        <v>6000000</v>
      </c>
    </row>
    <row r="22" ht="13.5" customHeight="1">
      <c r="E22" s="641"/>
      <c r="F22" s="645"/>
      <c r="G22" s="645"/>
      <c r="H22" s="643"/>
      <c r="I22" s="1036"/>
      <c r="J22" s="64" t="s">
        <v>9789</v>
      </c>
      <c r="K22" s="1018">
        <v>0.0</v>
      </c>
    </row>
    <row r="23" ht="13.5" customHeight="1">
      <c r="A23" s="639"/>
      <c r="B23" s="639"/>
      <c r="C23" s="639"/>
      <c r="D23" s="640"/>
      <c r="E23" s="641"/>
      <c r="F23" s="645"/>
      <c r="G23" s="645"/>
      <c r="H23" s="643"/>
      <c r="I23" s="1019"/>
      <c r="J23" s="614" t="s">
        <v>9786</v>
      </c>
      <c r="K23" s="1020">
        <f>K21-K22</f>
        <v>6000000</v>
      </c>
    </row>
    <row r="24" ht="13.5" customHeight="1">
      <c r="A24" s="592"/>
      <c r="B24" s="628"/>
      <c r="C24" s="628"/>
      <c r="D24" s="628"/>
      <c r="E24" s="641"/>
      <c r="F24" s="645"/>
      <c r="G24" s="645"/>
      <c r="H24" s="646"/>
      <c r="I24" s="1021"/>
    </row>
    <row r="25" ht="13.5" customHeight="1">
      <c r="A25" s="592"/>
      <c r="B25" s="604"/>
      <c r="C25" s="604"/>
      <c r="D25" s="649"/>
      <c r="E25" s="641"/>
      <c r="F25" s="645"/>
      <c r="G25" s="645"/>
      <c r="H25" s="650"/>
      <c r="I25" s="1016"/>
      <c r="J25" s="637"/>
      <c r="K25" s="651"/>
    </row>
    <row r="26" ht="13.5" customHeight="1">
      <c r="A26" s="592"/>
      <c r="B26" s="604"/>
      <c r="C26" s="604"/>
      <c r="D26" s="604"/>
      <c r="E26" s="604"/>
      <c r="F26" s="645"/>
      <c r="G26" s="645"/>
      <c r="H26" s="652" t="s">
        <v>1973</v>
      </c>
      <c r="I26" s="1022"/>
      <c r="J26" s="1023" t="s">
        <v>9791</v>
      </c>
      <c r="K26" s="653"/>
    </row>
    <row r="27" ht="13.5" customHeight="1">
      <c r="A27" s="654" t="s">
        <v>9792</v>
      </c>
      <c r="B27" s="591"/>
      <c r="C27" s="591"/>
      <c r="D27" s="649"/>
      <c r="E27" s="604"/>
      <c r="F27" s="707"/>
      <c r="G27" s="707"/>
      <c r="H27" s="655"/>
      <c r="I27" s="1024"/>
      <c r="J27" s="1025"/>
      <c r="K27" s="1025"/>
    </row>
    <row r="28" ht="13.5" customHeight="1">
      <c r="I28" s="1021"/>
    </row>
    <row r="29" ht="13.5" customHeight="1"/>
    <row r="30" ht="13.5" customHeight="1"/>
    <row r="31" ht="13.5" customHeight="1"/>
    <row r="32" ht="13.5" customHeight="1"/>
    <row r="33" ht="13.5" customHeight="1"/>
    <row r="34" ht="13.5" customHeight="1">
      <c r="B34" s="64"/>
      <c r="I34" s="1021"/>
    </row>
    <row r="35" ht="13.5" customHeight="1"/>
    <row r="36" ht="13.5" customHeight="1"/>
    <row r="37" ht="13.5" customHeight="1">
      <c r="I37" s="1021"/>
    </row>
    <row r="38" ht="13.5" customHeight="1">
      <c r="I38" s="1021"/>
    </row>
    <row r="39" ht="13.5" customHeight="1">
      <c r="I39" s="1021"/>
    </row>
    <row r="40" ht="13.5" customHeight="1">
      <c r="I40" s="1021"/>
    </row>
    <row r="41" ht="13.5" customHeight="1">
      <c r="B41" s="548"/>
      <c r="I41" s="1021"/>
    </row>
    <row r="42" ht="13.5" customHeight="1">
      <c r="I42" s="1021"/>
    </row>
    <row r="43" ht="13.5" customHeight="1">
      <c r="I43" s="1021"/>
    </row>
    <row r="44" ht="13.5" customHeight="1">
      <c r="I44" s="1021"/>
    </row>
    <row r="45" ht="13.5" customHeight="1">
      <c r="I45" s="1021"/>
    </row>
    <row r="46" ht="13.5" customHeight="1">
      <c r="I46" s="1021"/>
    </row>
    <row r="47" ht="13.5" customHeight="1">
      <c r="I47" s="1021"/>
    </row>
    <row r="48" ht="13.5" customHeight="1">
      <c r="I48" s="1021"/>
    </row>
    <row r="49" ht="13.5" customHeight="1">
      <c r="I49" s="1021"/>
    </row>
    <row r="50" ht="13.5" customHeight="1">
      <c r="I50" s="1021"/>
    </row>
    <row r="51" ht="13.5" customHeight="1">
      <c r="I51" s="1021"/>
    </row>
    <row r="52" ht="13.5" customHeight="1">
      <c r="I52" s="1021"/>
    </row>
    <row r="53" ht="13.5" customHeight="1">
      <c r="I53" s="1021"/>
    </row>
    <row r="54" ht="13.5" customHeight="1">
      <c r="I54" s="1021"/>
    </row>
    <row r="55" ht="13.5" customHeight="1">
      <c r="I55" s="1021"/>
    </row>
    <row r="56" ht="13.5" customHeight="1">
      <c r="I56" s="1021"/>
    </row>
    <row r="57" ht="13.5" customHeight="1">
      <c r="I57" s="1021"/>
    </row>
    <row r="58" ht="13.5" customHeight="1">
      <c r="I58" s="1021"/>
    </row>
    <row r="59" ht="13.5" customHeight="1">
      <c r="I59" s="1021"/>
    </row>
    <row r="60" ht="13.5" customHeight="1">
      <c r="I60" s="1021"/>
    </row>
    <row r="61" ht="13.5" customHeight="1">
      <c r="I61" s="1021"/>
    </row>
    <row r="62" ht="13.5" customHeight="1">
      <c r="I62" s="1021"/>
    </row>
    <row r="63" ht="13.5" customHeight="1">
      <c r="I63" s="1021"/>
    </row>
    <row r="64" ht="13.5" customHeight="1">
      <c r="I64" s="1021"/>
    </row>
    <row r="65" ht="13.5" customHeight="1">
      <c r="I65" s="1021"/>
    </row>
    <row r="66" ht="13.5" customHeight="1">
      <c r="I66" s="1021"/>
    </row>
    <row r="67" ht="13.5" customHeight="1">
      <c r="I67" s="1021"/>
    </row>
    <row r="68" ht="13.5" customHeight="1">
      <c r="I68" s="1021"/>
    </row>
    <row r="69" ht="13.5" customHeight="1">
      <c r="I69" s="1021"/>
    </row>
    <row r="70" ht="13.5" customHeight="1">
      <c r="I70" s="1021"/>
    </row>
    <row r="71" ht="13.5" customHeight="1">
      <c r="I71" s="1021"/>
    </row>
    <row r="72" ht="13.5" customHeight="1">
      <c r="I72" s="1021"/>
    </row>
    <row r="73" ht="13.5" customHeight="1">
      <c r="I73" s="1021"/>
    </row>
    <row r="74" ht="13.5" customHeight="1">
      <c r="I74" s="1021"/>
    </row>
    <row r="75" ht="13.5" customHeight="1">
      <c r="I75" s="1021"/>
    </row>
    <row r="76" ht="13.5" customHeight="1">
      <c r="I76" s="1021"/>
    </row>
    <row r="77" ht="13.5" customHeight="1">
      <c r="I77" s="1021"/>
    </row>
    <row r="78" ht="13.5" customHeight="1">
      <c r="I78" s="1021"/>
    </row>
    <row r="79" ht="13.5" customHeight="1">
      <c r="I79" s="1021"/>
    </row>
    <row r="80" ht="13.5" customHeight="1">
      <c r="I80" s="1021"/>
    </row>
    <row r="81" ht="13.5" customHeight="1">
      <c r="I81" s="1021"/>
    </row>
    <row r="82" ht="13.5" customHeight="1">
      <c r="I82" s="1021"/>
    </row>
    <row r="83" ht="13.5" customHeight="1">
      <c r="I83" s="1021"/>
    </row>
    <row r="84" ht="13.5" customHeight="1">
      <c r="I84" s="1021"/>
    </row>
    <row r="85" ht="13.5" customHeight="1">
      <c r="I85" s="1021"/>
    </row>
    <row r="86" ht="13.5" customHeight="1">
      <c r="I86" s="1021"/>
    </row>
    <row r="87" ht="13.5" customHeight="1">
      <c r="I87" s="1021"/>
    </row>
    <row r="88" ht="13.5" customHeight="1">
      <c r="I88" s="1021"/>
    </row>
    <row r="89" ht="13.5" customHeight="1">
      <c r="I89" s="1021"/>
    </row>
    <row r="90" ht="13.5" customHeight="1">
      <c r="I90" s="1021"/>
    </row>
    <row r="91" ht="13.5" customHeight="1">
      <c r="I91" s="1021"/>
    </row>
    <row r="92" ht="13.5" customHeight="1">
      <c r="I92" s="1021"/>
    </row>
    <row r="93" ht="13.5" customHeight="1">
      <c r="I93" s="1021"/>
    </row>
    <row r="94" ht="13.5" customHeight="1">
      <c r="I94" s="1021"/>
    </row>
    <row r="95" ht="13.5" customHeight="1">
      <c r="I95" s="1021"/>
    </row>
    <row r="96" ht="13.5" customHeight="1">
      <c r="I96" s="1021"/>
    </row>
    <row r="97" ht="13.5" customHeight="1">
      <c r="I97" s="1021"/>
    </row>
    <row r="98" ht="13.5" customHeight="1">
      <c r="I98" s="1021"/>
    </row>
    <row r="99" ht="13.5" customHeight="1">
      <c r="I99" s="1021"/>
    </row>
    <row r="100" ht="13.5" customHeight="1">
      <c r="I100" s="1021"/>
    </row>
    <row r="101" ht="13.5" customHeight="1">
      <c r="I101" s="1021"/>
    </row>
    <row r="102" ht="13.5" customHeight="1">
      <c r="I102" s="1021"/>
    </row>
    <row r="103" ht="13.5" customHeight="1">
      <c r="I103" s="1021"/>
    </row>
    <row r="104" ht="13.5" customHeight="1">
      <c r="I104" s="1021"/>
    </row>
    <row r="105" ht="13.5" customHeight="1">
      <c r="I105" s="1021"/>
    </row>
    <row r="106" ht="13.5" customHeight="1">
      <c r="I106" s="1021"/>
    </row>
    <row r="107" ht="13.5" customHeight="1">
      <c r="I107" s="1021"/>
    </row>
    <row r="108" ht="13.5" customHeight="1">
      <c r="I108" s="1021"/>
    </row>
    <row r="109" ht="13.5" customHeight="1">
      <c r="I109" s="1021"/>
    </row>
    <row r="110" ht="13.5" customHeight="1">
      <c r="I110" s="1021"/>
    </row>
    <row r="111" ht="13.5" customHeight="1">
      <c r="I111" s="1021"/>
    </row>
    <row r="112" ht="13.5" customHeight="1">
      <c r="I112" s="1021"/>
    </row>
    <row r="113" ht="13.5" customHeight="1">
      <c r="I113" s="1021"/>
    </row>
    <row r="114" ht="13.5" customHeight="1">
      <c r="I114" s="1021"/>
    </row>
    <row r="115" ht="13.5" customHeight="1">
      <c r="I115" s="1021"/>
    </row>
    <row r="116" ht="13.5" customHeight="1">
      <c r="I116" s="1021"/>
    </row>
    <row r="117" ht="13.5" customHeight="1">
      <c r="I117" s="1021"/>
    </row>
    <row r="118" ht="13.5" customHeight="1">
      <c r="I118" s="1021"/>
    </row>
    <row r="119" ht="13.5" customHeight="1">
      <c r="I119" s="1021"/>
    </row>
    <row r="120" ht="13.5" customHeight="1">
      <c r="I120" s="1021"/>
    </row>
    <row r="121" ht="13.5" customHeight="1">
      <c r="I121" s="1021"/>
    </row>
    <row r="122" ht="13.5" customHeight="1">
      <c r="I122" s="1021"/>
    </row>
    <row r="123" ht="13.5" customHeight="1">
      <c r="I123" s="1021"/>
    </row>
    <row r="124" ht="13.5" customHeight="1">
      <c r="I124" s="1021"/>
    </row>
    <row r="125" ht="13.5" customHeight="1">
      <c r="I125" s="1021"/>
    </row>
    <row r="126" ht="13.5" customHeight="1">
      <c r="I126" s="1021"/>
    </row>
    <row r="127" ht="13.5" customHeight="1">
      <c r="I127" s="1021"/>
    </row>
    <row r="128" ht="13.5" customHeight="1">
      <c r="I128" s="1021"/>
    </row>
    <row r="129" ht="13.5" customHeight="1">
      <c r="I129" s="1021"/>
    </row>
    <row r="130" ht="13.5" customHeight="1">
      <c r="I130" s="1021"/>
    </row>
    <row r="131" ht="15.75" customHeight="1">
      <c r="I131" s="1021"/>
    </row>
    <row r="132" ht="15.75" customHeight="1">
      <c r="I132" s="1021"/>
    </row>
    <row r="133" ht="15.75" customHeight="1">
      <c r="I133" s="1021"/>
    </row>
    <row r="134" ht="15.75" customHeight="1">
      <c r="I134" s="1021"/>
    </row>
    <row r="135" ht="15.75" customHeight="1">
      <c r="I135" s="1021"/>
    </row>
    <row r="136" ht="15.75" customHeight="1">
      <c r="I136" s="1021"/>
    </row>
    <row r="137" ht="15.75" customHeight="1">
      <c r="I137" s="1021"/>
    </row>
    <row r="138" ht="15.75" customHeight="1">
      <c r="I138" s="1021"/>
    </row>
    <row r="139" ht="15.75" customHeight="1">
      <c r="I139" s="1021"/>
    </row>
    <row r="140" ht="15.75" customHeight="1">
      <c r="I140" s="1021"/>
    </row>
    <row r="141" ht="15.75" customHeight="1">
      <c r="I141" s="1021"/>
    </row>
    <row r="142" ht="15.75" customHeight="1">
      <c r="I142" s="1021"/>
    </row>
    <row r="143" ht="15.75" customHeight="1">
      <c r="I143" s="1021"/>
    </row>
    <row r="144" ht="15.75" customHeight="1">
      <c r="I144" s="1021"/>
    </row>
    <row r="145" ht="15.75" customHeight="1">
      <c r="I145" s="1021"/>
    </row>
    <row r="146" ht="15.75" customHeight="1">
      <c r="I146" s="1021"/>
    </row>
    <row r="147" ht="15.75" customHeight="1">
      <c r="I147" s="1021"/>
    </row>
    <row r="148" ht="15.75" customHeight="1">
      <c r="I148" s="1021"/>
    </row>
    <row r="149" ht="15.75" customHeight="1">
      <c r="I149" s="1021"/>
    </row>
    <row r="150" ht="15.75" customHeight="1">
      <c r="I150" s="1021"/>
    </row>
    <row r="151" ht="15.75" customHeight="1">
      <c r="I151" s="1021"/>
    </row>
    <row r="152" ht="15.75" customHeight="1">
      <c r="I152" s="1021"/>
    </row>
    <row r="153" ht="15.75" customHeight="1">
      <c r="I153" s="1021"/>
    </row>
    <row r="154" ht="15.75" customHeight="1">
      <c r="I154" s="1021"/>
    </row>
    <row r="155" ht="15.75" customHeight="1">
      <c r="I155" s="1021"/>
    </row>
    <row r="156" ht="15.75" customHeight="1">
      <c r="I156" s="1021"/>
    </row>
    <row r="157" ht="15.75" customHeight="1">
      <c r="I157" s="1021"/>
    </row>
    <row r="158" ht="15.75" customHeight="1">
      <c r="I158" s="1021"/>
    </row>
    <row r="159" ht="15.75" customHeight="1">
      <c r="I159" s="1021"/>
    </row>
    <row r="160" ht="15.75" customHeight="1">
      <c r="I160" s="1021"/>
    </row>
    <row r="161" ht="15.75" customHeight="1">
      <c r="I161" s="1021"/>
    </row>
    <row r="162" ht="15.75" customHeight="1">
      <c r="I162" s="1021"/>
    </row>
    <row r="163" ht="15.75" customHeight="1">
      <c r="I163" s="1021"/>
    </row>
    <row r="164" ht="15.75" customHeight="1">
      <c r="I164" s="1021"/>
    </row>
    <row r="165" ht="15.75" customHeight="1">
      <c r="I165" s="1021"/>
    </row>
    <row r="166" ht="15.75" customHeight="1">
      <c r="I166" s="1021"/>
    </row>
    <row r="167" ht="15.75" customHeight="1">
      <c r="I167" s="1021"/>
    </row>
    <row r="168" ht="15.75" customHeight="1">
      <c r="I168" s="1021"/>
    </row>
    <row r="169" ht="15.75" customHeight="1">
      <c r="I169" s="1021"/>
    </row>
    <row r="170" ht="15.75" customHeight="1">
      <c r="I170" s="1021"/>
    </row>
    <row r="171" ht="15.75" customHeight="1">
      <c r="I171" s="1021"/>
    </row>
    <row r="172" ht="15.75" customHeight="1">
      <c r="I172" s="1021"/>
    </row>
    <row r="173" ht="15.75" customHeight="1">
      <c r="I173" s="1021"/>
    </row>
    <row r="174" ht="15.75" customHeight="1">
      <c r="I174" s="1021"/>
    </row>
    <row r="175" ht="15.75" customHeight="1">
      <c r="I175" s="1021"/>
    </row>
    <row r="176" ht="15.75" customHeight="1">
      <c r="I176" s="1021"/>
    </row>
    <row r="177" ht="15.75" customHeight="1">
      <c r="I177" s="1021"/>
    </row>
    <row r="178" ht="15.75" customHeight="1">
      <c r="I178" s="1021"/>
    </row>
    <row r="179" ht="15.75" customHeight="1">
      <c r="I179" s="1021"/>
    </row>
    <row r="180" ht="15.75" customHeight="1">
      <c r="I180" s="1021"/>
    </row>
    <row r="181" ht="15.75" customHeight="1">
      <c r="I181" s="1021"/>
    </row>
    <row r="182" ht="15.75" customHeight="1">
      <c r="I182" s="1021"/>
    </row>
    <row r="183" ht="15.75" customHeight="1">
      <c r="I183" s="1021"/>
    </row>
    <row r="184" ht="15.75" customHeight="1">
      <c r="I184" s="1021"/>
    </row>
    <row r="185" ht="15.75" customHeight="1">
      <c r="I185" s="1021"/>
    </row>
    <row r="186" ht="15.75" customHeight="1">
      <c r="I186" s="1021"/>
    </row>
    <row r="187" ht="15.75" customHeight="1">
      <c r="I187" s="1021"/>
    </row>
    <row r="188" ht="15.75" customHeight="1">
      <c r="I188" s="1021"/>
    </row>
    <row r="189" ht="15.75" customHeight="1">
      <c r="I189" s="1021"/>
    </row>
    <row r="190" ht="15.75" customHeight="1">
      <c r="I190" s="1021"/>
    </row>
    <row r="191" ht="15.75" customHeight="1">
      <c r="I191" s="1021"/>
    </row>
    <row r="192" ht="15.75" customHeight="1">
      <c r="I192" s="1021"/>
    </row>
    <row r="193" ht="15.75" customHeight="1">
      <c r="I193" s="1021"/>
    </row>
    <row r="194" ht="15.75" customHeight="1">
      <c r="I194" s="1021"/>
    </row>
    <row r="195" ht="15.75" customHeight="1">
      <c r="I195" s="1021"/>
    </row>
    <row r="196" ht="15.75" customHeight="1">
      <c r="I196" s="1021"/>
    </row>
    <row r="197" ht="15.75" customHeight="1">
      <c r="I197" s="1021"/>
    </row>
    <row r="198" ht="15.75" customHeight="1">
      <c r="I198" s="1021"/>
    </row>
    <row r="199" ht="15.75" customHeight="1">
      <c r="I199" s="1021"/>
    </row>
    <row r="200" ht="15.75" customHeight="1">
      <c r="I200" s="1021"/>
    </row>
    <row r="201" ht="15.75" customHeight="1">
      <c r="I201" s="1021"/>
    </row>
    <row r="202" ht="15.75" customHeight="1">
      <c r="I202" s="1021"/>
    </row>
    <row r="203" ht="15.75" customHeight="1">
      <c r="I203" s="1021"/>
    </row>
    <row r="204" ht="15.75" customHeight="1">
      <c r="I204" s="1021"/>
    </row>
    <row r="205" ht="15.75" customHeight="1">
      <c r="I205" s="1021"/>
    </row>
    <row r="206" ht="15.75" customHeight="1">
      <c r="I206" s="1021"/>
    </row>
    <row r="207" ht="15.75" customHeight="1">
      <c r="I207" s="1021"/>
    </row>
    <row r="208" ht="15.75" customHeight="1">
      <c r="I208" s="1021"/>
    </row>
    <row r="209" ht="15.75" customHeight="1">
      <c r="I209" s="1021"/>
    </row>
    <row r="210" ht="15.75" customHeight="1">
      <c r="I210" s="1021"/>
    </row>
    <row r="211" ht="15.75" customHeight="1">
      <c r="I211" s="1021"/>
    </row>
    <row r="212" ht="15.75" customHeight="1">
      <c r="I212" s="1021"/>
    </row>
    <row r="213" ht="15.75" customHeight="1">
      <c r="I213" s="1021"/>
    </row>
    <row r="214" ht="15.75" customHeight="1">
      <c r="I214" s="1021"/>
    </row>
    <row r="215" ht="15.75" customHeight="1">
      <c r="I215" s="1021"/>
    </row>
    <row r="216" ht="15.75" customHeight="1">
      <c r="I216" s="1021"/>
    </row>
    <row r="217" ht="15.75" customHeight="1">
      <c r="I217" s="1021"/>
    </row>
    <row r="218" ht="15.75" customHeight="1">
      <c r="I218" s="1021"/>
    </row>
    <row r="219" ht="15.75" customHeight="1">
      <c r="I219" s="1021"/>
    </row>
    <row r="220" ht="15.75" customHeight="1">
      <c r="I220" s="1021"/>
    </row>
    <row r="221" ht="15.75" customHeight="1">
      <c r="I221" s="1021"/>
    </row>
    <row r="222" ht="15.75" customHeight="1">
      <c r="I222" s="1021"/>
    </row>
    <row r="223" ht="15.75" customHeight="1">
      <c r="I223" s="1021"/>
    </row>
    <row r="224" ht="15.75" customHeight="1">
      <c r="I224" s="1021"/>
    </row>
    <row r="225" ht="15.75" customHeight="1">
      <c r="I225" s="1021"/>
    </row>
    <row r="226" ht="15.75" customHeight="1">
      <c r="I226" s="1021"/>
    </row>
    <row r="227" ht="15.75" customHeight="1">
      <c r="I227" s="1021"/>
    </row>
    <row r="228" ht="15.75" customHeight="1">
      <c r="I228" s="1021"/>
    </row>
    <row r="229" ht="15.75" customHeight="1">
      <c r="I229" s="1021"/>
    </row>
    <row r="230" ht="15.75" customHeight="1">
      <c r="I230" s="1021"/>
    </row>
    <row r="231" ht="15.75" customHeight="1">
      <c r="I231" s="1021"/>
    </row>
    <row r="232" ht="15.75" customHeight="1">
      <c r="I232" s="1021"/>
    </row>
    <row r="233" ht="15.75" customHeight="1">
      <c r="I233" s="1021"/>
    </row>
    <row r="234" ht="15.75" customHeight="1">
      <c r="I234" s="1021"/>
    </row>
    <row r="235" ht="15.75" customHeight="1">
      <c r="I235" s="1021"/>
    </row>
    <row r="236" ht="15.75" customHeight="1">
      <c r="I236" s="1021"/>
    </row>
    <row r="237" ht="15.75" customHeight="1">
      <c r="I237" s="1021"/>
    </row>
    <row r="238" ht="15.75" customHeight="1">
      <c r="I238" s="1021"/>
    </row>
    <row r="239" ht="15.75" customHeight="1">
      <c r="I239" s="1021"/>
    </row>
    <row r="240" ht="15.75" customHeight="1">
      <c r="I240" s="1021"/>
    </row>
    <row r="241" ht="15.75" customHeight="1">
      <c r="I241" s="1021"/>
    </row>
    <row r="242" ht="15.75" customHeight="1">
      <c r="I242" s="1021"/>
    </row>
    <row r="243" ht="15.75" customHeight="1">
      <c r="I243" s="1021"/>
    </row>
    <row r="244" ht="15.75" customHeight="1">
      <c r="I244" s="1021"/>
    </row>
    <row r="245" ht="15.75" customHeight="1">
      <c r="I245" s="1021"/>
    </row>
    <row r="246" ht="15.75" customHeight="1">
      <c r="I246" s="1021"/>
    </row>
    <row r="247" ht="15.75" customHeight="1">
      <c r="I247" s="1021"/>
    </row>
    <row r="248" ht="15.75" customHeight="1">
      <c r="I248" s="1021"/>
    </row>
    <row r="249" ht="15.75" customHeight="1">
      <c r="I249" s="1021"/>
    </row>
    <row r="250" ht="15.75" customHeight="1">
      <c r="I250" s="1021"/>
    </row>
    <row r="251" ht="15.75" customHeight="1">
      <c r="I251" s="1021"/>
    </row>
    <row r="252" ht="15.75" customHeight="1">
      <c r="I252" s="1021"/>
    </row>
    <row r="253" ht="15.75" customHeight="1">
      <c r="I253" s="1021"/>
    </row>
    <row r="254" ht="15.75" customHeight="1">
      <c r="I254" s="1021"/>
    </row>
    <row r="255" ht="15.75" customHeight="1">
      <c r="I255" s="1021"/>
    </row>
    <row r="256" ht="15.75" customHeight="1">
      <c r="I256" s="1021"/>
    </row>
    <row r="257" ht="15.75" customHeight="1">
      <c r="I257" s="1021"/>
    </row>
    <row r="258" ht="15.75" customHeight="1">
      <c r="I258" s="1021"/>
    </row>
    <row r="259" ht="15.75" customHeight="1">
      <c r="I259" s="1021"/>
    </row>
    <row r="260" ht="15.75" customHeight="1">
      <c r="I260" s="1021"/>
    </row>
    <row r="261" ht="15.75" customHeight="1">
      <c r="I261" s="1021"/>
    </row>
    <row r="262" ht="15.75" customHeight="1">
      <c r="I262" s="1021"/>
    </row>
    <row r="263" ht="15.75" customHeight="1">
      <c r="I263" s="1021"/>
    </row>
    <row r="264" ht="15.75" customHeight="1">
      <c r="I264" s="1021"/>
    </row>
    <row r="265" ht="15.75" customHeight="1">
      <c r="I265" s="1021"/>
    </row>
    <row r="266" ht="15.75" customHeight="1">
      <c r="I266" s="1021"/>
    </row>
    <row r="267" ht="15.75" customHeight="1">
      <c r="I267" s="1021"/>
    </row>
    <row r="268" ht="15.75" customHeight="1">
      <c r="I268" s="1021"/>
    </row>
    <row r="269" ht="15.75" customHeight="1">
      <c r="I269" s="1021"/>
    </row>
    <row r="270" ht="15.75" customHeight="1">
      <c r="I270" s="1021"/>
    </row>
    <row r="271" ht="15.75" customHeight="1">
      <c r="I271" s="1021"/>
    </row>
    <row r="272" ht="15.75" customHeight="1">
      <c r="I272" s="1021"/>
    </row>
    <row r="273" ht="15.75" customHeight="1">
      <c r="I273" s="1021"/>
    </row>
    <row r="274" ht="15.75" customHeight="1">
      <c r="I274" s="1021"/>
    </row>
    <row r="275" ht="15.75" customHeight="1">
      <c r="I275" s="1021"/>
    </row>
    <row r="276" ht="15.75" customHeight="1">
      <c r="I276" s="1021"/>
    </row>
    <row r="277" ht="15.75" customHeight="1">
      <c r="I277" s="1021"/>
    </row>
    <row r="278" ht="15.75" customHeight="1">
      <c r="I278" s="1021"/>
    </row>
    <row r="279" ht="15.75" customHeight="1">
      <c r="I279" s="1021"/>
    </row>
    <row r="280" ht="15.75" customHeight="1">
      <c r="I280" s="1021"/>
    </row>
    <row r="281" ht="15.75" customHeight="1">
      <c r="I281" s="1021"/>
    </row>
    <row r="282" ht="15.75" customHeight="1">
      <c r="I282" s="1021"/>
    </row>
    <row r="283" ht="15.75" customHeight="1">
      <c r="I283" s="1021"/>
    </row>
    <row r="284" ht="15.75" customHeight="1">
      <c r="I284" s="1021"/>
    </row>
    <row r="285" ht="15.75" customHeight="1">
      <c r="I285" s="1021"/>
    </row>
    <row r="286" ht="15.75" customHeight="1">
      <c r="I286" s="1021"/>
    </row>
    <row r="287" ht="15.75" customHeight="1">
      <c r="I287" s="1021"/>
    </row>
    <row r="288" ht="15.75" customHeight="1">
      <c r="I288" s="1021"/>
    </row>
    <row r="289" ht="15.75" customHeight="1">
      <c r="I289" s="1021"/>
    </row>
    <row r="290" ht="15.75" customHeight="1">
      <c r="I290" s="1021"/>
    </row>
    <row r="291" ht="15.75" customHeight="1">
      <c r="I291" s="1021"/>
    </row>
    <row r="292" ht="15.75" customHeight="1">
      <c r="I292" s="1021"/>
    </row>
    <row r="293" ht="15.75" customHeight="1">
      <c r="I293" s="1021"/>
    </row>
    <row r="294" ht="15.75" customHeight="1">
      <c r="I294" s="1021"/>
    </row>
    <row r="295" ht="15.75" customHeight="1">
      <c r="I295" s="1021"/>
    </row>
    <row r="296" ht="15.75" customHeight="1">
      <c r="I296" s="1021"/>
    </row>
    <row r="297" ht="15.75" customHeight="1">
      <c r="I297" s="1021"/>
    </row>
    <row r="298" ht="15.75" customHeight="1">
      <c r="I298" s="1021"/>
    </row>
    <row r="299" ht="15.75" customHeight="1">
      <c r="I299" s="1021"/>
    </row>
    <row r="300" ht="15.75" customHeight="1">
      <c r="I300" s="1021"/>
    </row>
    <row r="301" ht="15.75" customHeight="1">
      <c r="I301" s="1021"/>
    </row>
    <row r="302" ht="15.75" customHeight="1">
      <c r="I302" s="1021"/>
    </row>
    <row r="303" ht="15.75" customHeight="1">
      <c r="I303" s="1021"/>
    </row>
    <row r="304" ht="15.75" customHeight="1">
      <c r="I304" s="1021"/>
    </row>
    <row r="305" ht="15.75" customHeight="1">
      <c r="I305" s="1021"/>
    </row>
    <row r="306" ht="15.75" customHeight="1">
      <c r="I306" s="1021"/>
    </row>
    <row r="307" ht="15.75" customHeight="1">
      <c r="I307" s="1021"/>
    </row>
    <row r="308" ht="15.75" customHeight="1">
      <c r="I308" s="1021"/>
    </row>
    <row r="309" ht="15.75" customHeight="1">
      <c r="I309" s="1021"/>
    </row>
    <row r="310" ht="15.75" customHeight="1">
      <c r="I310" s="1021"/>
    </row>
    <row r="311" ht="15.75" customHeight="1">
      <c r="I311" s="1021"/>
    </row>
    <row r="312" ht="15.75" customHeight="1">
      <c r="I312" s="1021"/>
    </row>
    <row r="313" ht="15.75" customHeight="1">
      <c r="I313" s="1021"/>
    </row>
    <row r="314" ht="15.75" customHeight="1">
      <c r="I314" s="1021"/>
    </row>
    <row r="315" ht="15.75" customHeight="1">
      <c r="I315" s="1021"/>
    </row>
    <row r="316" ht="15.75" customHeight="1">
      <c r="I316" s="1021"/>
    </row>
    <row r="317" ht="15.75" customHeight="1">
      <c r="I317" s="1021"/>
    </row>
    <row r="318" ht="15.75" customHeight="1">
      <c r="I318" s="1021"/>
    </row>
    <row r="319" ht="15.75" customHeight="1">
      <c r="I319" s="1021"/>
    </row>
    <row r="320" ht="15.75" customHeight="1">
      <c r="I320" s="1021"/>
    </row>
    <row r="321" ht="15.75" customHeight="1">
      <c r="I321" s="1021"/>
    </row>
    <row r="322" ht="15.75" customHeight="1">
      <c r="I322" s="1021"/>
    </row>
    <row r="323" ht="15.75" customHeight="1">
      <c r="I323" s="1021"/>
    </row>
    <row r="324" ht="15.75" customHeight="1">
      <c r="I324" s="1021"/>
    </row>
    <row r="325" ht="15.75" customHeight="1">
      <c r="I325" s="1021"/>
    </row>
    <row r="326" ht="15.75" customHeight="1">
      <c r="I326" s="1021"/>
    </row>
    <row r="327" ht="15.75" customHeight="1">
      <c r="I327" s="1021"/>
    </row>
    <row r="328" ht="15.75" customHeight="1">
      <c r="I328" s="1021"/>
    </row>
    <row r="329" ht="15.75" customHeight="1">
      <c r="I329" s="1021"/>
    </row>
    <row r="330" ht="15.75" customHeight="1">
      <c r="I330" s="1021"/>
    </row>
    <row r="331" ht="15.75" customHeight="1">
      <c r="I331" s="1021"/>
    </row>
    <row r="332" ht="15.75" customHeight="1">
      <c r="I332" s="1021"/>
    </row>
    <row r="333" ht="15.75" customHeight="1">
      <c r="I333" s="1021"/>
    </row>
    <row r="334" ht="15.75" customHeight="1">
      <c r="I334" s="1021"/>
    </row>
    <row r="335" ht="15.75" customHeight="1">
      <c r="I335" s="1021"/>
    </row>
    <row r="336" ht="15.75" customHeight="1">
      <c r="I336" s="1021"/>
    </row>
    <row r="337" ht="15.75" customHeight="1">
      <c r="I337" s="1021"/>
    </row>
    <row r="338" ht="15.75" customHeight="1">
      <c r="I338" s="1021"/>
    </row>
    <row r="339" ht="15.75" customHeight="1">
      <c r="I339" s="1021"/>
    </row>
    <row r="340" ht="15.75" customHeight="1">
      <c r="I340" s="1021"/>
    </row>
    <row r="341" ht="15.75" customHeight="1">
      <c r="I341" s="1021"/>
    </row>
    <row r="342" ht="15.75" customHeight="1">
      <c r="I342" s="1021"/>
    </row>
    <row r="343" ht="15.75" customHeight="1">
      <c r="I343" s="1021"/>
    </row>
    <row r="344" ht="15.75" customHeight="1">
      <c r="I344" s="1021"/>
    </row>
    <row r="345" ht="15.75" customHeight="1">
      <c r="I345" s="1021"/>
    </row>
    <row r="346" ht="15.75" customHeight="1">
      <c r="I346" s="1021"/>
    </row>
    <row r="347" ht="15.75" customHeight="1">
      <c r="I347" s="1021"/>
    </row>
    <row r="348" ht="15.75" customHeight="1">
      <c r="I348" s="1021"/>
    </row>
    <row r="349" ht="15.75" customHeight="1">
      <c r="I349" s="1021"/>
    </row>
    <row r="350" ht="15.75" customHeight="1">
      <c r="I350" s="1021"/>
    </row>
    <row r="351" ht="15.75" customHeight="1">
      <c r="I351" s="1021"/>
    </row>
    <row r="352" ht="15.75" customHeight="1">
      <c r="I352" s="1021"/>
    </row>
    <row r="353" ht="15.75" customHeight="1">
      <c r="I353" s="1021"/>
    </row>
    <row r="354" ht="15.75" customHeight="1">
      <c r="I354" s="1021"/>
    </row>
    <row r="355" ht="15.75" customHeight="1">
      <c r="I355" s="1021"/>
    </row>
    <row r="356" ht="15.75" customHeight="1">
      <c r="I356" s="1021"/>
    </row>
    <row r="357" ht="15.75" customHeight="1">
      <c r="I357" s="1021"/>
    </row>
    <row r="358" ht="15.75" customHeight="1">
      <c r="I358" s="1021"/>
    </row>
    <row r="359" ht="15.75" customHeight="1">
      <c r="I359" s="1021"/>
    </row>
    <row r="360" ht="15.75" customHeight="1">
      <c r="I360" s="1021"/>
    </row>
    <row r="361" ht="15.75" customHeight="1">
      <c r="I361" s="1021"/>
    </row>
    <row r="362" ht="15.75" customHeight="1">
      <c r="I362" s="1021"/>
    </row>
    <row r="363" ht="15.75" customHeight="1">
      <c r="I363" s="1021"/>
    </row>
    <row r="364" ht="15.75" customHeight="1">
      <c r="I364" s="1021"/>
    </row>
    <row r="365" ht="15.75" customHeight="1">
      <c r="I365" s="1021"/>
    </row>
    <row r="366" ht="15.75" customHeight="1">
      <c r="I366" s="1021"/>
    </row>
    <row r="367" ht="15.75" customHeight="1">
      <c r="I367" s="1021"/>
    </row>
    <row r="368" ht="15.75" customHeight="1">
      <c r="I368" s="1021"/>
    </row>
    <row r="369" ht="15.75" customHeight="1">
      <c r="I369" s="1021"/>
    </row>
    <row r="370" ht="15.75" customHeight="1">
      <c r="I370" s="1021"/>
    </row>
    <row r="371" ht="15.75" customHeight="1">
      <c r="I371" s="1021"/>
    </row>
    <row r="372" ht="15.75" customHeight="1">
      <c r="I372" s="1021"/>
    </row>
    <row r="373" ht="15.75" customHeight="1">
      <c r="I373" s="1021"/>
    </row>
    <row r="374" ht="15.75" customHeight="1">
      <c r="I374" s="1021"/>
    </row>
    <row r="375" ht="15.75" customHeight="1">
      <c r="I375" s="1021"/>
    </row>
    <row r="376" ht="15.75" customHeight="1">
      <c r="I376" s="1021"/>
    </row>
    <row r="377" ht="15.75" customHeight="1">
      <c r="I377" s="1021"/>
    </row>
    <row r="378" ht="15.75" customHeight="1">
      <c r="I378" s="1021"/>
    </row>
    <row r="379" ht="15.75" customHeight="1">
      <c r="I379" s="1021"/>
    </row>
    <row r="380" ht="15.75" customHeight="1">
      <c r="I380" s="1021"/>
    </row>
    <row r="381" ht="15.75" customHeight="1">
      <c r="I381" s="1021"/>
    </row>
    <row r="382" ht="15.75" customHeight="1">
      <c r="I382" s="1021"/>
    </row>
    <row r="383" ht="15.75" customHeight="1">
      <c r="I383" s="1021"/>
    </row>
    <row r="384" ht="15.75" customHeight="1">
      <c r="I384" s="1021"/>
    </row>
    <row r="385" ht="15.75" customHeight="1">
      <c r="I385" s="1021"/>
    </row>
    <row r="386" ht="15.75" customHeight="1">
      <c r="I386" s="1021"/>
    </row>
    <row r="387" ht="15.75" customHeight="1">
      <c r="I387" s="1021"/>
    </row>
    <row r="388" ht="15.75" customHeight="1">
      <c r="I388" s="1021"/>
    </row>
    <row r="389" ht="15.75" customHeight="1">
      <c r="I389" s="1021"/>
    </row>
    <row r="390" ht="15.75" customHeight="1">
      <c r="I390" s="1021"/>
    </row>
    <row r="391" ht="15.75" customHeight="1">
      <c r="I391" s="1021"/>
    </row>
    <row r="392" ht="15.75" customHeight="1">
      <c r="I392" s="1021"/>
    </row>
    <row r="393" ht="15.75" customHeight="1">
      <c r="I393" s="1021"/>
    </row>
    <row r="394" ht="15.75" customHeight="1">
      <c r="I394" s="1021"/>
    </row>
    <row r="395" ht="15.75" customHeight="1">
      <c r="I395" s="1021"/>
    </row>
    <row r="396" ht="15.75" customHeight="1">
      <c r="I396" s="1021"/>
    </row>
    <row r="397" ht="15.75" customHeight="1">
      <c r="I397" s="1021"/>
    </row>
    <row r="398" ht="15.75" customHeight="1">
      <c r="I398" s="1021"/>
    </row>
    <row r="399" ht="15.75" customHeight="1">
      <c r="I399" s="1021"/>
    </row>
    <row r="400" ht="15.75" customHeight="1">
      <c r="I400" s="1021"/>
    </row>
    <row r="401" ht="15.75" customHeight="1">
      <c r="I401" s="1021"/>
    </row>
    <row r="402" ht="15.75" customHeight="1">
      <c r="I402" s="1021"/>
    </row>
    <row r="403" ht="15.75" customHeight="1">
      <c r="I403" s="1021"/>
    </row>
    <row r="404" ht="15.75" customHeight="1">
      <c r="I404" s="1021"/>
    </row>
    <row r="405" ht="15.75" customHeight="1">
      <c r="I405" s="1021"/>
    </row>
    <row r="406" ht="15.75" customHeight="1">
      <c r="I406" s="1021"/>
    </row>
    <row r="407" ht="15.75" customHeight="1">
      <c r="I407" s="1021"/>
    </row>
    <row r="408" ht="15.75" customHeight="1">
      <c r="I408" s="1021"/>
    </row>
    <row r="409" ht="15.75" customHeight="1">
      <c r="I409" s="1021"/>
    </row>
    <row r="410" ht="15.75" customHeight="1">
      <c r="I410" s="1021"/>
    </row>
    <row r="411" ht="15.75" customHeight="1">
      <c r="I411" s="1021"/>
    </row>
    <row r="412" ht="15.75" customHeight="1">
      <c r="I412" s="1021"/>
    </row>
    <row r="413" ht="15.75" customHeight="1">
      <c r="I413" s="1021"/>
    </row>
    <row r="414" ht="15.75" customHeight="1">
      <c r="I414" s="1021"/>
    </row>
    <row r="415" ht="15.75" customHeight="1">
      <c r="I415" s="1021"/>
    </row>
    <row r="416" ht="15.75" customHeight="1">
      <c r="I416" s="1021"/>
    </row>
    <row r="417" ht="15.75" customHeight="1">
      <c r="I417" s="1021"/>
    </row>
    <row r="418" ht="15.75" customHeight="1">
      <c r="I418" s="1021"/>
    </row>
    <row r="419" ht="15.75" customHeight="1">
      <c r="I419" s="1021"/>
    </row>
    <row r="420" ht="15.75" customHeight="1">
      <c r="I420" s="1021"/>
    </row>
    <row r="421" ht="15.75" customHeight="1">
      <c r="I421" s="1021"/>
    </row>
    <row r="422" ht="15.75" customHeight="1">
      <c r="I422" s="1021"/>
    </row>
    <row r="423" ht="15.75" customHeight="1">
      <c r="I423" s="1021"/>
    </row>
    <row r="424" ht="15.75" customHeight="1">
      <c r="I424" s="1021"/>
    </row>
    <row r="425" ht="15.75" customHeight="1">
      <c r="I425" s="1021"/>
    </row>
    <row r="426" ht="15.75" customHeight="1">
      <c r="I426" s="1021"/>
    </row>
    <row r="427" ht="15.75" customHeight="1">
      <c r="I427" s="1021"/>
    </row>
    <row r="428" ht="15.75" customHeight="1">
      <c r="I428" s="1021"/>
    </row>
    <row r="429" ht="15.75" customHeight="1">
      <c r="I429" s="1021"/>
    </row>
    <row r="430" ht="15.75" customHeight="1">
      <c r="I430" s="1021"/>
    </row>
    <row r="431" ht="15.75" customHeight="1">
      <c r="I431" s="1021"/>
    </row>
    <row r="432" ht="15.75" customHeight="1">
      <c r="I432" s="1021"/>
    </row>
    <row r="433" ht="15.75" customHeight="1">
      <c r="I433" s="1021"/>
    </row>
    <row r="434" ht="15.75" customHeight="1">
      <c r="I434" s="1021"/>
    </row>
    <row r="435" ht="15.75" customHeight="1">
      <c r="I435" s="1021"/>
    </row>
    <row r="436" ht="15.75" customHeight="1">
      <c r="I436" s="1021"/>
    </row>
    <row r="437" ht="15.75" customHeight="1">
      <c r="I437" s="1021"/>
    </row>
    <row r="438" ht="15.75" customHeight="1">
      <c r="I438" s="1021"/>
    </row>
    <row r="439" ht="15.75" customHeight="1">
      <c r="I439" s="1021"/>
    </row>
    <row r="440" ht="15.75" customHeight="1">
      <c r="I440" s="1021"/>
    </row>
    <row r="441" ht="15.75" customHeight="1">
      <c r="I441" s="1021"/>
    </row>
    <row r="442" ht="15.75" customHeight="1">
      <c r="I442" s="1021"/>
    </row>
    <row r="443" ht="15.75" customHeight="1">
      <c r="I443" s="1021"/>
    </row>
    <row r="444" ht="15.75" customHeight="1">
      <c r="I444" s="1021"/>
    </row>
    <row r="445" ht="15.75" customHeight="1">
      <c r="I445" s="1021"/>
    </row>
    <row r="446" ht="15.75" customHeight="1">
      <c r="I446" s="1021"/>
    </row>
    <row r="447" ht="15.75" customHeight="1">
      <c r="I447" s="1021"/>
    </row>
    <row r="448" ht="15.75" customHeight="1">
      <c r="I448" s="1021"/>
    </row>
    <row r="449" ht="15.75" customHeight="1">
      <c r="I449" s="1021"/>
    </row>
    <row r="450" ht="15.75" customHeight="1">
      <c r="I450" s="1021"/>
    </row>
    <row r="451" ht="15.75" customHeight="1">
      <c r="I451" s="1021"/>
    </row>
    <row r="452" ht="15.75" customHeight="1">
      <c r="I452" s="1021"/>
    </row>
    <row r="453" ht="15.75" customHeight="1">
      <c r="I453" s="1021"/>
    </row>
    <row r="454" ht="15.75" customHeight="1">
      <c r="I454" s="1021"/>
    </row>
    <row r="455" ht="15.75" customHeight="1">
      <c r="I455" s="1021"/>
    </row>
    <row r="456" ht="15.75" customHeight="1">
      <c r="I456" s="1021"/>
    </row>
    <row r="457" ht="15.75" customHeight="1">
      <c r="I457" s="1021"/>
    </row>
    <row r="458" ht="15.75" customHeight="1">
      <c r="I458" s="1021"/>
    </row>
    <row r="459" ht="15.75" customHeight="1">
      <c r="I459" s="1021"/>
    </row>
    <row r="460" ht="15.75" customHeight="1">
      <c r="I460" s="1021"/>
    </row>
    <row r="461" ht="15.75" customHeight="1">
      <c r="I461" s="1021"/>
    </row>
    <row r="462" ht="15.75" customHeight="1">
      <c r="I462" s="1021"/>
    </row>
    <row r="463" ht="15.75" customHeight="1">
      <c r="I463" s="1021"/>
    </row>
    <row r="464" ht="15.75" customHeight="1">
      <c r="I464" s="1021"/>
    </row>
    <row r="465" ht="15.75" customHeight="1">
      <c r="I465" s="1021"/>
    </row>
    <row r="466" ht="15.75" customHeight="1">
      <c r="I466" s="1021"/>
    </row>
    <row r="467" ht="15.75" customHeight="1">
      <c r="I467" s="1021"/>
    </row>
    <row r="468" ht="15.75" customHeight="1">
      <c r="I468" s="1021"/>
    </row>
    <row r="469" ht="15.75" customHeight="1">
      <c r="I469" s="1021"/>
    </row>
    <row r="470" ht="15.75" customHeight="1">
      <c r="I470" s="1021"/>
    </row>
    <row r="471" ht="15.75" customHeight="1">
      <c r="I471" s="1021"/>
    </row>
    <row r="472" ht="15.75" customHeight="1">
      <c r="I472" s="1021"/>
    </row>
    <row r="473" ht="15.75" customHeight="1">
      <c r="I473" s="1021"/>
    </row>
    <row r="474" ht="15.75" customHeight="1">
      <c r="I474" s="1021"/>
    </row>
    <row r="475" ht="15.75" customHeight="1">
      <c r="I475" s="1021"/>
    </row>
    <row r="476" ht="15.75" customHeight="1">
      <c r="I476" s="1021"/>
    </row>
    <row r="477" ht="15.75" customHeight="1">
      <c r="I477" s="1021"/>
    </row>
    <row r="478" ht="15.75" customHeight="1">
      <c r="I478" s="1021"/>
    </row>
    <row r="479" ht="15.75" customHeight="1">
      <c r="I479" s="1021"/>
    </row>
    <row r="480" ht="15.75" customHeight="1">
      <c r="I480" s="1021"/>
    </row>
    <row r="481" ht="15.75" customHeight="1">
      <c r="I481" s="1021"/>
    </row>
    <row r="482" ht="15.75" customHeight="1">
      <c r="I482" s="1021"/>
    </row>
    <row r="483" ht="15.75" customHeight="1">
      <c r="I483" s="1021"/>
    </row>
    <row r="484" ht="15.75" customHeight="1">
      <c r="I484" s="1021"/>
    </row>
    <row r="485" ht="15.75" customHeight="1">
      <c r="I485" s="1021"/>
    </row>
    <row r="486" ht="15.75" customHeight="1">
      <c r="I486" s="1021"/>
    </row>
    <row r="487" ht="15.75" customHeight="1">
      <c r="I487" s="1021"/>
    </row>
    <row r="488" ht="15.75" customHeight="1">
      <c r="I488" s="1021"/>
    </row>
    <row r="489" ht="15.75" customHeight="1">
      <c r="I489" s="1021"/>
    </row>
    <row r="490" ht="15.75" customHeight="1">
      <c r="I490" s="1021"/>
    </row>
    <row r="491" ht="15.75" customHeight="1">
      <c r="I491" s="1021"/>
    </row>
    <row r="492" ht="15.75" customHeight="1">
      <c r="I492" s="1021"/>
    </row>
    <row r="493" ht="15.75" customHeight="1">
      <c r="I493" s="1021"/>
    </row>
    <row r="494" ht="15.75" customHeight="1">
      <c r="I494" s="1021"/>
    </row>
    <row r="495" ht="15.75" customHeight="1">
      <c r="I495" s="1021"/>
    </row>
    <row r="496" ht="15.75" customHeight="1">
      <c r="I496" s="1021"/>
    </row>
    <row r="497" ht="15.75" customHeight="1">
      <c r="I497" s="1021"/>
    </row>
    <row r="498" ht="15.75" customHeight="1">
      <c r="I498" s="1021"/>
    </row>
    <row r="499" ht="15.75" customHeight="1">
      <c r="I499" s="1021"/>
    </row>
    <row r="500" ht="15.75" customHeight="1">
      <c r="I500" s="1021"/>
    </row>
    <row r="501" ht="15.75" customHeight="1">
      <c r="I501" s="1021"/>
    </row>
    <row r="502" ht="15.75" customHeight="1">
      <c r="I502" s="1021"/>
    </row>
    <row r="503" ht="15.75" customHeight="1">
      <c r="I503" s="1021"/>
    </row>
    <row r="504" ht="15.75" customHeight="1">
      <c r="I504" s="1021"/>
    </row>
    <row r="505" ht="15.75" customHeight="1">
      <c r="I505" s="1021"/>
    </row>
    <row r="506" ht="15.75" customHeight="1">
      <c r="I506" s="1021"/>
    </row>
    <row r="507" ht="15.75" customHeight="1">
      <c r="I507" s="1021"/>
    </row>
    <row r="508" ht="15.75" customHeight="1">
      <c r="I508" s="1021"/>
    </row>
    <row r="509" ht="15.75" customHeight="1">
      <c r="I509" s="1021"/>
    </row>
    <row r="510" ht="15.75" customHeight="1">
      <c r="I510" s="1021"/>
    </row>
    <row r="511" ht="15.75" customHeight="1">
      <c r="I511" s="1021"/>
    </row>
    <row r="512" ht="15.75" customHeight="1">
      <c r="I512" s="1021"/>
    </row>
    <row r="513" ht="15.75" customHeight="1">
      <c r="I513" s="1021"/>
    </row>
    <row r="514" ht="15.75" customHeight="1">
      <c r="I514" s="1021"/>
    </row>
    <row r="515" ht="15.75" customHeight="1">
      <c r="I515" s="1021"/>
    </row>
    <row r="516" ht="15.75" customHeight="1">
      <c r="I516" s="1021"/>
    </row>
    <row r="517" ht="15.75" customHeight="1">
      <c r="I517" s="1021"/>
    </row>
    <row r="518" ht="15.75" customHeight="1">
      <c r="I518" s="1021"/>
    </row>
    <row r="519" ht="15.75" customHeight="1">
      <c r="I519" s="1021"/>
    </row>
    <row r="520" ht="15.75" customHeight="1">
      <c r="I520" s="1021"/>
    </row>
    <row r="521" ht="15.75" customHeight="1">
      <c r="I521" s="1021"/>
    </row>
    <row r="522" ht="15.75" customHeight="1">
      <c r="I522" s="1021"/>
    </row>
    <row r="523" ht="15.75" customHeight="1">
      <c r="I523" s="1021"/>
    </row>
    <row r="524" ht="15.75" customHeight="1">
      <c r="I524" s="1021"/>
    </row>
    <row r="525" ht="15.75" customHeight="1">
      <c r="I525" s="1021"/>
    </row>
    <row r="526" ht="15.75" customHeight="1">
      <c r="I526" s="1021"/>
    </row>
    <row r="527" ht="15.75" customHeight="1">
      <c r="I527" s="1021"/>
    </row>
    <row r="528" ht="15.75" customHeight="1">
      <c r="I528" s="1021"/>
    </row>
    <row r="529" ht="15.75" customHeight="1">
      <c r="I529" s="1021"/>
    </row>
    <row r="530" ht="15.75" customHeight="1">
      <c r="I530" s="1021"/>
    </row>
    <row r="531" ht="15.75" customHeight="1">
      <c r="I531" s="1021"/>
    </row>
    <row r="532" ht="15.75" customHeight="1">
      <c r="I532" s="1021"/>
    </row>
    <row r="533" ht="15.75" customHeight="1">
      <c r="I533" s="1021"/>
    </row>
    <row r="534" ht="15.75" customHeight="1">
      <c r="I534" s="1021"/>
    </row>
    <row r="535" ht="15.75" customHeight="1">
      <c r="I535" s="1021"/>
    </row>
    <row r="536" ht="15.75" customHeight="1">
      <c r="I536" s="1021"/>
    </row>
    <row r="537" ht="15.75" customHeight="1">
      <c r="I537" s="1021"/>
    </row>
    <row r="538" ht="15.75" customHeight="1">
      <c r="I538" s="1021"/>
    </row>
    <row r="539" ht="15.75" customHeight="1">
      <c r="I539" s="1021"/>
    </row>
    <row r="540" ht="15.75" customHeight="1">
      <c r="I540" s="1021"/>
    </row>
    <row r="541" ht="15.75" customHeight="1">
      <c r="I541" s="1021"/>
    </row>
    <row r="542" ht="15.75" customHeight="1">
      <c r="I542" s="1021"/>
    </row>
    <row r="543" ht="15.75" customHeight="1">
      <c r="I543" s="1021"/>
    </row>
    <row r="544" ht="15.75" customHeight="1">
      <c r="I544" s="1021"/>
    </row>
    <row r="545" ht="15.75" customHeight="1">
      <c r="I545" s="1021"/>
    </row>
    <row r="546" ht="15.75" customHeight="1">
      <c r="I546" s="1021"/>
    </row>
    <row r="547" ht="15.75" customHeight="1">
      <c r="I547" s="1021"/>
    </row>
    <row r="548" ht="15.75" customHeight="1">
      <c r="I548" s="1021"/>
    </row>
    <row r="549" ht="15.75" customHeight="1">
      <c r="I549" s="1021"/>
    </row>
    <row r="550" ht="15.75" customHeight="1">
      <c r="I550" s="1021"/>
    </row>
    <row r="551" ht="15.75" customHeight="1">
      <c r="I551" s="1021"/>
    </row>
    <row r="552" ht="15.75" customHeight="1">
      <c r="I552" s="1021"/>
    </row>
    <row r="553" ht="15.75" customHeight="1">
      <c r="I553" s="1021"/>
    </row>
    <row r="554" ht="15.75" customHeight="1">
      <c r="I554" s="1021"/>
    </row>
    <row r="555" ht="15.75" customHeight="1">
      <c r="I555" s="1021"/>
    </row>
    <row r="556" ht="15.75" customHeight="1">
      <c r="I556" s="1021"/>
    </row>
    <row r="557" ht="15.75" customHeight="1">
      <c r="I557" s="1021"/>
    </row>
    <row r="558" ht="15.75" customHeight="1">
      <c r="I558" s="1021"/>
    </row>
    <row r="559" ht="15.75" customHeight="1">
      <c r="I559" s="1021"/>
    </row>
    <row r="560" ht="15.75" customHeight="1">
      <c r="I560" s="1021"/>
    </row>
    <row r="561" ht="15.75" customHeight="1">
      <c r="I561" s="1021"/>
    </row>
    <row r="562" ht="15.75" customHeight="1">
      <c r="I562" s="1021"/>
    </row>
    <row r="563" ht="15.75" customHeight="1">
      <c r="I563" s="1021"/>
    </row>
    <row r="564" ht="15.75" customHeight="1">
      <c r="I564" s="1021"/>
    </row>
    <row r="565" ht="15.75" customHeight="1">
      <c r="I565" s="1021"/>
    </row>
    <row r="566" ht="15.75" customHeight="1">
      <c r="I566" s="1021"/>
    </row>
    <row r="567" ht="15.75" customHeight="1">
      <c r="I567" s="1021"/>
    </row>
    <row r="568" ht="15.75" customHeight="1">
      <c r="I568" s="1021"/>
    </row>
    <row r="569" ht="15.75" customHeight="1">
      <c r="I569" s="1021"/>
    </row>
    <row r="570" ht="15.75" customHeight="1">
      <c r="I570" s="1021"/>
    </row>
    <row r="571" ht="15.75" customHeight="1">
      <c r="I571" s="1021"/>
    </row>
    <row r="572" ht="15.75" customHeight="1">
      <c r="I572" s="1021"/>
    </row>
    <row r="573" ht="15.75" customHeight="1">
      <c r="I573" s="1021"/>
    </row>
    <row r="574" ht="15.75" customHeight="1">
      <c r="I574" s="1021"/>
    </row>
    <row r="575" ht="15.75" customHeight="1">
      <c r="I575" s="1021"/>
    </row>
    <row r="576" ht="15.75" customHeight="1">
      <c r="I576" s="1021"/>
    </row>
    <row r="577" ht="15.75" customHeight="1">
      <c r="I577" s="1021"/>
    </row>
    <row r="578" ht="15.75" customHeight="1">
      <c r="I578" s="1021"/>
    </row>
    <row r="579" ht="15.75" customHeight="1">
      <c r="I579" s="1021"/>
    </row>
    <row r="580" ht="15.75" customHeight="1">
      <c r="I580" s="1021"/>
    </row>
    <row r="581" ht="15.75" customHeight="1">
      <c r="I581" s="1021"/>
    </row>
    <row r="582" ht="15.75" customHeight="1">
      <c r="I582" s="1021"/>
    </row>
    <row r="583" ht="15.75" customHeight="1">
      <c r="I583" s="1021"/>
    </row>
    <row r="584" ht="15.75" customHeight="1">
      <c r="I584" s="1021"/>
    </row>
    <row r="585" ht="15.75" customHeight="1">
      <c r="I585" s="1021"/>
    </row>
    <row r="586" ht="15.75" customHeight="1">
      <c r="I586" s="1021"/>
    </row>
    <row r="587" ht="15.75" customHeight="1">
      <c r="I587" s="1021"/>
    </row>
    <row r="588" ht="15.75" customHeight="1">
      <c r="I588" s="1021"/>
    </row>
    <row r="589" ht="15.75" customHeight="1">
      <c r="I589" s="1021"/>
    </row>
    <row r="590" ht="15.75" customHeight="1">
      <c r="I590" s="1021"/>
    </row>
    <row r="591" ht="15.75" customHeight="1">
      <c r="I591" s="1021"/>
    </row>
    <row r="592" ht="15.75" customHeight="1">
      <c r="I592" s="1021"/>
    </row>
    <row r="593" ht="15.75" customHeight="1">
      <c r="I593" s="1021"/>
    </row>
    <row r="594" ht="15.75" customHeight="1">
      <c r="I594" s="1021"/>
    </row>
    <row r="595" ht="15.75" customHeight="1">
      <c r="I595" s="1021"/>
    </row>
    <row r="596" ht="15.75" customHeight="1">
      <c r="I596" s="1021"/>
    </row>
    <row r="597" ht="15.75" customHeight="1">
      <c r="I597" s="1021"/>
    </row>
    <row r="598" ht="15.75" customHeight="1">
      <c r="I598" s="1021"/>
    </row>
    <row r="599" ht="15.75" customHeight="1">
      <c r="I599" s="1021"/>
    </row>
    <row r="600" ht="15.75" customHeight="1">
      <c r="I600" s="1021"/>
    </row>
    <row r="601" ht="15.75" customHeight="1">
      <c r="I601" s="1021"/>
    </row>
    <row r="602" ht="15.75" customHeight="1">
      <c r="I602" s="1021"/>
    </row>
    <row r="603" ht="15.75" customHeight="1">
      <c r="I603" s="1021"/>
    </row>
    <row r="604" ht="15.75" customHeight="1">
      <c r="I604" s="1021"/>
    </row>
    <row r="605" ht="15.75" customHeight="1">
      <c r="I605" s="1021"/>
    </row>
    <row r="606" ht="15.75" customHeight="1">
      <c r="I606" s="1021"/>
    </row>
    <row r="607" ht="15.75" customHeight="1">
      <c r="I607" s="1021"/>
    </row>
    <row r="608" ht="15.75" customHeight="1">
      <c r="I608" s="1021"/>
    </row>
    <row r="609" ht="15.75" customHeight="1">
      <c r="I609" s="1021"/>
    </row>
    <row r="610" ht="15.75" customHeight="1">
      <c r="I610" s="1021"/>
    </row>
    <row r="611" ht="15.75" customHeight="1">
      <c r="I611" s="1021"/>
    </row>
    <row r="612" ht="15.75" customHeight="1">
      <c r="I612" s="1021"/>
    </row>
    <row r="613" ht="15.75" customHeight="1">
      <c r="I613" s="1021"/>
    </row>
    <row r="614" ht="15.75" customHeight="1">
      <c r="I614" s="1021"/>
    </row>
    <row r="615" ht="15.75" customHeight="1">
      <c r="I615" s="1021"/>
    </row>
    <row r="616" ht="15.75" customHeight="1">
      <c r="I616" s="1021"/>
    </row>
    <row r="617" ht="15.75" customHeight="1">
      <c r="I617" s="1021"/>
    </row>
    <row r="618" ht="15.75" customHeight="1">
      <c r="I618" s="1021"/>
    </row>
    <row r="619" ht="15.75" customHeight="1">
      <c r="I619" s="1021"/>
    </row>
    <row r="620" ht="15.75" customHeight="1">
      <c r="I620" s="1021"/>
    </row>
    <row r="621" ht="15.75" customHeight="1">
      <c r="I621" s="1021"/>
    </row>
    <row r="622" ht="15.75" customHeight="1">
      <c r="I622" s="1021"/>
    </row>
    <row r="623" ht="15.75" customHeight="1">
      <c r="I623" s="1021"/>
    </row>
    <row r="624" ht="15.75" customHeight="1">
      <c r="I624" s="1021"/>
    </row>
    <row r="625" ht="15.75" customHeight="1">
      <c r="I625" s="1021"/>
    </row>
    <row r="626" ht="15.75" customHeight="1">
      <c r="I626" s="1021"/>
    </row>
    <row r="627" ht="15.75" customHeight="1">
      <c r="I627" s="1021"/>
    </row>
    <row r="628" ht="15.75" customHeight="1">
      <c r="I628" s="1021"/>
    </row>
    <row r="629" ht="15.75" customHeight="1">
      <c r="I629" s="1021"/>
    </row>
    <row r="630" ht="15.75" customHeight="1">
      <c r="I630" s="1021"/>
    </row>
    <row r="631" ht="15.75" customHeight="1">
      <c r="I631" s="1021"/>
    </row>
    <row r="632" ht="15.75" customHeight="1">
      <c r="I632" s="1021"/>
    </row>
    <row r="633" ht="15.75" customHeight="1">
      <c r="I633" s="1021"/>
    </row>
    <row r="634" ht="15.75" customHeight="1">
      <c r="I634" s="1021"/>
    </row>
    <row r="635" ht="15.75" customHeight="1">
      <c r="I635" s="1021"/>
    </row>
    <row r="636" ht="15.75" customHeight="1">
      <c r="I636" s="1021"/>
    </row>
    <row r="637" ht="15.75" customHeight="1">
      <c r="I637" s="1021"/>
    </row>
    <row r="638" ht="15.75" customHeight="1">
      <c r="I638" s="1021"/>
    </row>
    <row r="639" ht="15.75" customHeight="1">
      <c r="I639" s="1021"/>
    </row>
    <row r="640" ht="15.75" customHeight="1">
      <c r="I640" s="1021"/>
    </row>
    <row r="641" ht="15.75" customHeight="1">
      <c r="I641" s="1021"/>
    </row>
    <row r="642" ht="15.75" customHeight="1">
      <c r="I642" s="1021"/>
    </row>
    <row r="643" ht="15.75" customHeight="1">
      <c r="I643" s="1021"/>
    </row>
    <row r="644" ht="15.75" customHeight="1">
      <c r="I644" s="1021"/>
    </row>
    <row r="645" ht="15.75" customHeight="1">
      <c r="I645" s="1021"/>
    </row>
    <row r="646" ht="15.75" customHeight="1">
      <c r="I646" s="1021"/>
    </row>
    <row r="647" ht="15.75" customHeight="1">
      <c r="I647" s="1021"/>
    </row>
    <row r="648" ht="15.75" customHeight="1">
      <c r="I648" s="1021"/>
    </row>
    <row r="649" ht="15.75" customHeight="1">
      <c r="I649" s="1021"/>
    </row>
    <row r="650" ht="15.75" customHeight="1">
      <c r="I650" s="1021"/>
    </row>
    <row r="651" ht="15.75" customHeight="1">
      <c r="I651" s="1021"/>
    </row>
    <row r="652" ht="15.75" customHeight="1">
      <c r="I652" s="1021"/>
    </row>
    <row r="653" ht="15.75" customHeight="1">
      <c r="I653" s="1021"/>
    </row>
    <row r="654" ht="15.75" customHeight="1">
      <c r="I654" s="1021"/>
    </row>
    <row r="655" ht="15.75" customHeight="1">
      <c r="I655" s="1021"/>
    </row>
    <row r="656" ht="15.75" customHeight="1">
      <c r="I656" s="1021"/>
    </row>
    <row r="657" ht="15.75" customHeight="1">
      <c r="I657" s="1021"/>
    </row>
    <row r="658" ht="15.75" customHeight="1">
      <c r="I658" s="1021"/>
    </row>
    <row r="659" ht="15.75" customHeight="1">
      <c r="I659" s="1021"/>
    </row>
    <row r="660" ht="15.75" customHeight="1">
      <c r="I660" s="1021"/>
    </row>
    <row r="661" ht="15.75" customHeight="1">
      <c r="I661" s="1021"/>
    </row>
    <row r="662" ht="15.75" customHeight="1">
      <c r="I662" s="1021"/>
    </row>
    <row r="663" ht="15.75" customHeight="1">
      <c r="I663" s="1021"/>
    </row>
    <row r="664" ht="15.75" customHeight="1">
      <c r="I664" s="1021"/>
    </row>
    <row r="665" ht="15.75" customHeight="1">
      <c r="I665" s="1021"/>
    </row>
    <row r="666" ht="15.75" customHeight="1">
      <c r="I666" s="1021"/>
    </row>
    <row r="667" ht="15.75" customHeight="1">
      <c r="I667" s="1021"/>
    </row>
    <row r="668" ht="15.75" customHeight="1">
      <c r="I668" s="1021"/>
    </row>
    <row r="669" ht="15.75" customHeight="1">
      <c r="I669" s="1021"/>
    </row>
    <row r="670" ht="15.75" customHeight="1">
      <c r="I670" s="1021"/>
    </row>
    <row r="671" ht="15.75" customHeight="1">
      <c r="I671" s="1021"/>
    </row>
    <row r="672" ht="15.75" customHeight="1">
      <c r="I672" s="1021"/>
    </row>
    <row r="673" ht="15.75" customHeight="1">
      <c r="I673" s="1021"/>
    </row>
    <row r="674" ht="15.75" customHeight="1">
      <c r="I674" s="1021"/>
    </row>
    <row r="675" ht="15.75" customHeight="1">
      <c r="I675" s="1021"/>
    </row>
    <row r="676" ht="15.75" customHeight="1">
      <c r="I676" s="1021"/>
    </row>
    <row r="677" ht="15.75" customHeight="1">
      <c r="I677" s="1021"/>
    </row>
    <row r="678" ht="15.75" customHeight="1">
      <c r="I678" s="1021"/>
    </row>
    <row r="679" ht="15.75" customHeight="1">
      <c r="I679" s="1021"/>
    </row>
    <row r="680" ht="15.75" customHeight="1">
      <c r="I680" s="1021"/>
    </row>
    <row r="681" ht="15.75" customHeight="1">
      <c r="I681" s="1021"/>
    </row>
    <row r="682" ht="15.75" customHeight="1">
      <c r="I682" s="1021"/>
    </row>
    <row r="683" ht="15.75" customHeight="1">
      <c r="I683" s="1021"/>
    </row>
    <row r="684" ht="15.75" customHeight="1">
      <c r="I684" s="1021"/>
    </row>
    <row r="685" ht="15.75" customHeight="1">
      <c r="I685" s="1021"/>
    </row>
    <row r="686" ht="15.75" customHeight="1">
      <c r="I686" s="1021"/>
    </row>
    <row r="687" ht="15.75" customHeight="1">
      <c r="I687" s="1021"/>
    </row>
    <row r="688" ht="15.75" customHeight="1">
      <c r="I688" s="1021"/>
    </row>
    <row r="689" ht="15.75" customHeight="1">
      <c r="I689" s="1021"/>
    </row>
    <row r="690" ht="15.75" customHeight="1">
      <c r="I690" s="1021"/>
    </row>
    <row r="691" ht="15.75" customHeight="1">
      <c r="I691" s="1021"/>
    </row>
    <row r="692" ht="15.75" customHeight="1">
      <c r="I692" s="1021"/>
    </row>
    <row r="693" ht="15.75" customHeight="1">
      <c r="I693" s="1021"/>
    </row>
    <row r="694" ht="15.75" customHeight="1">
      <c r="I694" s="1021"/>
    </row>
    <row r="695" ht="15.75" customHeight="1">
      <c r="I695" s="1021"/>
    </row>
    <row r="696" ht="15.75" customHeight="1">
      <c r="I696" s="1021"/>
    </row>
    <row r="697" ht="15.75" customHeight="1">
      <c r="I697" s="1021"/>
    </row>
    <row r="698" ht="15.75" customHeight="1">
      <c r="I698" s="1021"/>
    </row>
    <row r="699" ht="15.75" customHeight="1">
      <c r="I699" s="1021"/>
    </row>
    <row r="700" ht="15.75" customHeight="1">
      <c r="I700" s="1021"/>
    </row>
    <row r="701" ht="15.75" customHeight="1">
      <c r="I701" s="1021"/>
    </row>
    <row r="702" ht="15.75" customHeight="1">
      <c r="I702" s="1021"/>
    </row>
    <row r="703" ht="15.75" customHeight="1">
      <c r="I703" s="1021"/>
    </row>
    <row r="704" ht="15.75" customHeight="1">
      <c r="I704" s="1021"/>
    </row>
    <row r="705" ht="15.75" customHeight="1">
      <c r="I705" s="1021"/>
    </row>
    <row r="706" ht="15.75" customHeight="1">
      <c r="I706" s="1021"/>
    </row>
    <row r="707" ht="15.75" customHeight="1">
      <c r="I707" s="1021"/>
    </row>
    <row r="708" ht="15.75" customHeight="1">
      <c r="I708" s="1021"/>
    </row>
    <row r="709" ht="15.75" customHeight="1">
      <c r="I709" s="1021"/>
    </row>
    <row r="710" ht="15.75" customHeight="1">
      <c r="I710" s="1021"/>
    </row>
    <row r="711" ht="15.75" customHeight="1">
      <c r="I711" s="1021"/>
    </row>
    <row r="712" ht="15.75" customHeight="1">
      <c r="I712" s="1021"/>
    </row>
    <row r="713" ht="15.75" customHeight="1">
      <c r="I713" s="1021"/>
    </row>
    <row r="714" ht="15.75" customHeight="1">
      <c r="I714" s="1021"/>
    </row>
    <row r="715" ht="15.75" customHeight="1">
      <c r="I715" s="1021"/>
    </row>
    <row r="716" ht="15.75" customHeight="1">
      <c r="I716" s="1021"/>
    </row>
    <row r="717" ht="15.75" customHeight="1">
      <c r="I717" s="1021"/>
    </row>
    <row r="718" ht="15.75" customHeight="1">
      <c r="I718" s="1021"/>
    </row>
    <row r="719" ht="15.75" customHeight="1">
      <c r="I719" s="1021"/>
    </row>
    <row r="720" ht="15.75" customHeight="1">
      <c r="I720" s="1021"/>
    </row>
    <row r="721" ht="15.75" customHeight="1">
      <c r="I721" s="1021"/>
    </row>
    <row r="722" ht="15.75" customHeight="1">
      <c r="I722" s="1021"/>
    </row>
    <row r="723" ht="15.75" customHeight="1">
      <c r="I723" s="1021"/>
    </row>
    <row r="724" ht="15.75" customHeight="1">
      <c r="I724" s="1021"/>
    </row>
    <row r="725" ht="15.75" customHeight="1">
      <c r="I725" s="1021"/>
    </row>
    <row r="726" ht="15.75" customHeight="1">
      <c r="I726" s="1021"/>
    </row>
    <row r="727" ht="15.75" customHeight="1">
      <c r="I727" s="1021"/>
    </row>
    <row r="728" ht="15.75" customHeight="1">
      <c r="I728" s="1021"/>
    </row>
    <row r="729" ht="15.75" customHeight="1">
      <c r="I729" s="1021"/>
    </row>
    <row r="730" ht="15.75" customHeight="1">
      <c r="I730" s="1021"/>
    </row>
    <row r="731" ht="15.75" customHeight="1">
      <c r="I731" s="1021"/>
    </row>
    <row r="732" ht="15.75" customHeight="1">
      <c r="I732" s="1021"/>
    </row>
    <row r="733" ht="15.75" customHeight="1">
      <c r="I733" s="1021"/>
    </row>
    <row r="734" ht="15.75" customHeight="1">
      <c r="I734" s="1021"/>
    </row>
    <row r="735" ht="15.75" customHeight="1">
      <c r="I735" s="1021"/>
    </row>
    <row r="736" ht="15.75" customHeight="1">
      <c r="I736" s="1021"/>
    </row>
    <row r="737" ht="15.75" customHeight="1">
      <c r="I737" s="1021"/>
    </row>
    <row r="738" ht="15.75" customHeight="1">
      <c r="I738" s="1021"/>
    </row>
    <row r="739" ht="15.75" customHeight="1">
      <c r="I739" s="1021"/>
    </row>
    <row r="740" ht="15.75" customHeight="1">
      <c r="I740" s="1021"/>
    </row>
    <row r="741" ht="15.75" customHeight="1">
      <c r="I741" s="1021"/>
    </row>
    <row r="742" ht="15.75" customHeight="1">
      <c r="I742" s="1021"/>
    </row>
    <row r="743" ht="15.75" customHeight="1">
      <c r="I743" s="1021"/>
    </row>
    <row r="744" ht="15.75" customHeight="1">
      <c r="I744" s="1021"/>
    </row>
    <row r="745" ht="15.75" customHeight="1">
      <c r="I745" s="1021"/>
    </row>
    <row r="746" ht="15.75" customHeight="1">
      <c r="I746" s="1021"/>
    </row>
    <row r="747" ht="15.75" customHeight="1">
      <c r="I747" s="1021"/>
    </row>
    <row r="748" ht="15.75" customHeight="1">
      <c r="I748" s="1021"/>
    </row>
    <row r="749" ht="15.75" customHeight="1">
      <c r="I749" s="1021"/>
    </row>
    <row r="750" ht="15.75" customHeight="1">
      <c r="I750" s="1021"/>
    </row>
    <row r="751" ht="15.75" customHeight="1">
      <c r="I751" s="1021"/>
    </row>
    <row r="752" ht="15.75" customHeight="1">
      <c r="I752" s="1021"/>
    </row>
    <row r="753" ht="15.75" customHeight="1">
      <c r="I753" s="1021"/>
    </row>
    <row r="754" ht="15.75" customHeight="1">
      <c r="I754" s="1021"/>
    </row>
    <row r="755" ht="15.75" customHeight="1">
      <c r="I755" s="1021"/>
    </row>
    <row r="756" ht="15.75" customHeight="1">
      <c r="I756" s="1021"/>
    </row>
    <row r="757" ht="15.75" customHeight="1">
      <c r="I757" s="1021"/>
    </row>
    <row r="758" ht="15.75" customHeight="1">
      <c r="I758" s="1021"/>
    </row>
    <row r="759" ht="15.75" customHeight="1">
      <c r="I759" s="1021"/>
    </row>
    <row r="760" ht="15.75" customHeight="1">
      <c r="I760" s="1021"/>
    </row>
    <row r="761" ht="15.75" customHeight="1">
      <c r="I761" s="1021"/>
    </row>
    <row r="762" ht="15.75" customHeight="1">
      <c r="I762" s="1021"/>
    </row>
    <row r="763" ht="15.75" customHeight="1">
      <c r="I763" s="1021"/>
    </row>
    <row r="764" ht="15.75" customHeight="1">
      <c r="I764" s="1021"/>
    </row>
    <row r="765" ht="15.75" customHeight="1">
      <c r="I765" s="1021"/>
    </row>
    <row r="766" ht="15.75" customHeight="1">
      <c r="I766" s="1021"/>
    </row>
    <row r="767" ht="15.75" customHeight="1">
      <c r="I767" s="1021"/>
    </row>
    <row r="768" ht="15.75" customHeight="1">
      <c r="I768" s="1021"/>
    </row>
    <row r="769" ht="15.75" customHeight="1">
      <c r="I769" s="1021"/>
    </row>
    <row r="770" ht="15.75" customHeight="1">
      <c r="I770" s="1021"/>
    </row>
    <row r="771" ht="15.75" customHeight="1">
      <c r="I771" s="1021"/>
    </row>
    <row r="772" ht="15.75" customHeight="1">
      <c r="I772" s="1021"/>
    </row>
    <row r="773" ht="15.75" customHeight="1">
      <c r="I773" s="1021"/>
    </row>
    <row r="774" ht="15.75" customHeight="1">
      <c r="I774" s="1021"/>
    </row>
    <row r="775" ht="15.75" customHeight="1">
      <c r="I775" s="1021"/>
    </row>
    <row r="776" ht="15.75" customHeight="1">
      <c r="I776" s="1021"/>
    </row>
    <row r="777" ht="15.75" customHeight="1">
      <c r="I777" s="1021"/>
    </row>
    <row r="778" ht="15.75" customHeight="1">
      <c r="I778" s="1021"/>
    </row>
    <row r="779" ht="15.75" customHeight="1">
      <c r="I779" s="1021"/>
    </row>
    <row r="780" ht="15.75" customHeight="1">
      <c r="I780" s="1021"/>
    </row>
    <row r="781" ht="15.75" customHeight="1">
      <c r="I781" s="1021"/>
    </row>
    <row r="782" ht="15.75" customHeight="1">
      <c r="I782" s="1021"/>
    </row>
    <row r="783" ht="15.75" customHeight="1">
      <c r="I783" s="1021"/>
    </row>
    <row r="784" ht="15.75" customHeight="1">
      <c r="I784" s="1021"/>
    </row>
    <row r="785" ht="15.75" customHeight="1">
      <c r="I785" s="1021"/>
    </row>
    <row r="786" ht="15.75" customHeight="1">
      <c r="I786" s="1021"/>
    </row>
    <row r="787" ht="15.75" customHeight="1">
      <c r="I787" s="1021"/>
    </row>
    <row r="788" ht="15.75" customHeight="1">
      <c r="I788" s="1021"/>
    </row>
    <row r="789" ht="15.75" customHeight="1">
      <c r="I789" s="1021"/>
    </row>
    <row r="790" ht="15.75" customHeight="1">
      <c r="I790" s="1021"/>
    </row>
    <row r="791" ht="15.75" customHeight="1">
      <c r="I791" s="1021"/>
    </row>
    <row r="792" ht="15.75" customHeight="1">
      <c r="I792" s="1021"/>
    </row>
    <row r="793" ht="15.75" customHeight="1">
      <c r="I793" s="1021"/>
    </row>
    <row r="794" ht="15.75" customHeight="1">
      <c r="I794" s="1021"/>
    </row>
    <row r="795" ht="15.75" customHeight="1">
      <c r="I795" s="1021"/>
    </row>
    <row r="796" ht="15.75" customHeight="1">
      <c r="I796" s="1021"/>
    </row>
    <row r="797" ht="15.75" customHeight="1">
      <c r="I797" s="1021"/>
    </row>
    <row r="798" ht="15.75" customHeight="1">
      <c r="I798" s="1021"/>
    </row>
    <row r="799" ht="15.75" customHeight="1">
      <c r="I799" s="1021"/>
    </row>
    <row r="800" ht="15.75" customHeight="1">
      <c r="I800" s="1021"/>
    </row>
    <row r="801" ht="15.75" customHeight="1">
      <c r="I801" s="1021"/>
    </row>
    <row r="802" ht="15.75" customHeight="1">
      <c r="I802" s="1021"/>
    </row>
    <row r="803" ht="15.75" customHeight="1">
      <c r="I803" s="1021"/>
    </row>
    <row r="804" ht="15.75" customHeight="1">
      <c r="I804" s="1021"/>
    </row>
    <row r="805" ht="15.75" customHeight="1">
      <c r="I805" s="1021"/>
    </row>
    <row r="806" ht="15.75" customHeight="1">
      <c r="I806" s="1021"/>
    </row>
    <row r="807" ht="15.75" customHeight="1">
      <c r="I807" s="1021"/>
    </row>
    <row r="808" ht="15.75" customHeight="1">
      <c r="I808" s="1021"/>
    </row>
    <row r="809" ht="15.75" customHeight="1">
      <c r="I809" s="1021"/>
    </row>
    <row r="810" ht="15.75" customHeight="1">
      <c r="I810" s="1021"/>
    </row>
    <row r="811" ht="15.75" customHeight="1">
      <c r="I811" s="1021"/>
    </row>
    <row r="812" ht="15.75" customHeight="1">
      <c r="I812" s="1021"/>
    </row>
    <row r="813" ht="15.75" customHeight="1">
      <c r="I813" s="1021"/>
    </row>
    <row r="814" ht="15.75" customHeight="1">
      <c r="I814" s="1021"/>
    </row>
    <row r="815" ht="15.75" customHeight="1">
      <c r="I815" s="1021"/>
    </row>
    <row r="816" ht="15.75" customHeight="1">
      <c r="I816" s="1021"/>
    </row>
    <row r="817" ht="15.75" customHeight="1">
      <c r="I817" s="1021"/>
    </row>
    <row r="818" ht="15.75" customHeight="1">
      <c r="I818" s="1021"/>
    </row>
    <row r="819" ht="15.75" customHeight="1">
      <c r="I819" s="1021"/>
    </row>
    <row r="820" ht="15.75" customHeight="1">
      <c r="I820" s="1021"/>
    </row>
    <row r="821" ht="15.75" customHeight="1">
      <c r="I821" s="1021"/>
    </row>
    <row r="822" ht="15.75" customHeight="1">
      <c r="I822" s="1021"/>
    </row>
    <row r="823" ht="15.75" customHeight="1">
      <c r="I823" s="1021"/>
    </row>
    <row r="824" ht="15.75" customHeight="1">
      <c r="I824" s="1021"/>
    </row>
    <row r="825" ht="15.75" customHeight="1">
      <c r="I825" s="1021"/>
    </row>
    <row r="826" ht="15.75" customHeight="1">
      <c r="I826" s="1021"/>
    </row>
    <row r="827" ht="15.75" customHeight="1">
      <c r="I827" s="1021"/>
    </row>
    <row r="828" ht="15.75" customHeight="1">
      <c r="I828" s="1021"/>
    </row>
    <row r="829" ht="15.75" customHeight="1">
      <c r="I829" s="1021"/>
    </row>
    <row r="830" ht="15.75" customHeight="1">
      <c r="I830" s="1021"/>
    </row>
    <row r="831" ht="15.75" customHeight="1">
      <c r="I831" s="1021"/>
    </row>
    <row r="832" ht="15.75" customHeight="1">
      <c r="I832" s="1021"/>
    </row>
    <row r="833" ht="15.75" customHeight="1">
      <c r="I833" s="1021"/>
    </row>
    <row r="834" ht="15.75" customHeight="1">
      <c r="I834" s="1021"/>
    </row>
    <row r="835" ht="15.75" customHeight="1">
      <c r="I835" s="1021"/>
    </row>
    <row r="836" ht="15.75" customHeight="1">
      <c r="I836" s="1021"/>
    </row>
    <row r="837" ht="15.75" customHeight="1">
      <c r="I837" s="1021"/>
    </row>
    <row r="838" ht="15.75" customHeight="1">
      <c r="I838" s="1021"/>
    </row>
    <row r="839" ht="15.75" customHeight="1">
      <c r="I839" s="1021"/>
    </row>
    <row r="840" ht="15.75" customHeight="1">
      <c r="I840" s="1021"/>
    </row>
    <row r="841" ht="15.75" customHeight="1">
      <c r="I841" s="1021"/>
    </row>
    <row r="842" ht="15.75" customHeight="1">
      <c r="I842" s="1021"/>
    </row>
    <row r="843" ht="15.75" customHeight="1">
      <c r="I843" s="1021"/>
    </row>
    <row r="844" ht="15.75" customHeight="1">
      <c r="I844" s="1021"/>
    </row>
    <row r="845" ht="15.75" customHeight="1">
      <c r="I845" s="1021"/>
    </row>
    <row r="846" ht="15.75" customHeight="1">
      <c r="I846" s="1021"/>
    </row>
    <row r="847" ht="15.75" customHeight="1">
      <c r="I847" s="1021"/>
    </row>
    <row r="848" ht="15.75" customHeight="1">
      <c r="I848" s="1021"/>
    </row>
    <row r="849" ht="15.75" customHeight="1">
      <c r="I849" s="1021"/>
    </row>
    <row r="850" ht="15.75" customHeight="1">
      <c r="I850" s="1021"/>
    </row>
    <row r="851" ht="15.75" customHeight="1">
      <c r="I851" s="1021"/>
    </row>
    <row r="852" ht="15.75" customHeight="1">
      <c r="I852" s="1021"/>
    </row>
    <row r="853" ht="15.75" customHeight="1">
      <c r="I853" s="1021"/>
    </row>
    <row r="854" ht="15.75" customHeight="1">
      <c r="I854" s="1021"/>
    </row>
    <row r="855" ht="15.75" customHeight="1">
      <c r="I855" s="1021"/>
    </row>
    <row r="856" ht="15.75" customHeight="1">
      <c r="I856" s="1021"/>
    </row>
    <row r="857" ht="15.75" customHeight="1">
      <c r="I857" s="1021"/>
    </row>
    <row r="858" ht="15.75" customHeight="1">
      <c r="I858" s="1021"/>
    </row>
    <row r="859" ht="15.75" customHeight="1">
      <c r="I859" s="1021"/>
    </row>
    <row r="860" ht="15.75" customHeight="1">
      <c r="I860" s="1021"/>
    </row>
    <row r="861" ht="15.75" customHeight="1">
      <c r="I861" s="1021"/>
    </row>
    <row r="862" ht="15.75" customHeight="1">
      <c r="I862" s="1021"/>
    </row>
    <row r="863" ht="15.75" customHeight="1">
      <c r="I863" s="1021"/>
    </row>
    <row r="864" ht="15.75" customHeight="1">
      <c r="I864" s="1021"/>
    </row>
    <row r="865" ht="15.75" customHeight="1">
      <c r="I865" s="1021"/>
    </row>
    <row r="866" ht="15.75" customHeight="1">
      <c r="I866" s="1021"/>
    </row>
    <row r="867" ht="15.75" customHeight="1">
      <c r="I867" s="1021"/>
    </row>
    <row r="868" ht="15.75" customHeight="1">
      <c r="I868" s="1021"/>
    </row>
    <row r="869" ht="15.75" customHeight="1">
      <c r="I869" s="1021"/>
    </row>
    <row r="870" ht="15.75" customHeight="1">
      <c r="I870" s="1021"/>
    </row>
    <row r="871" ht="15.75" customHeight="1">
      <c r="I871" s="1021"/>
    </row>
    <row r="872" ht="15.75" customHeight="1">
      <c r="I872" s="1021"/>
    </row>
    <row r="873" ht="15.75" customHeight="1">
      <c r="I873" s="1021"/>
    </row>
    <row r="874" ht="15.75" customHeight="1">
      <c r="I874" s="1021"/>
    </row>
    <row r="875" ht="15.75" customHeight="1">
      <c r="I875" s="1021"/>
    </row>
    <row r="876" ht="15.75" customHeight="1">
      <c r="I876" s="1021"/>
    </row>
    <row r="877" ht="15.75" customHeight="1">
      <c r="I877" s="1021"/>
    </row>
    <row r="878" ht="15.75" customHeight="1">
      <c r="I878" s="1021"/>
    </row>
    <row r="879" ht="15.75" customHeight="1">
      <c r="I879" s="1021"/>
    </row>
    <row r="880" ht="15.75" customHeight="1">
      <c r="I880" s="1021"/>
    </row>
    <row r="881" ht="15.75" customHeight="1">
      <c r="I881" s="1021"/>
    </row>
    <row r="882" ht="15.75" customHeight="1">
      <c r="I882" s="1021"/>
    </row>
    <row r="883" ht="15.75" customHeight="1">
      <c r="I883" s="1021"/>
    </row>
    <row r="884" ht="15.75" customHeight="1">
      <c r="I884" s="1021"/>
    </row>
    <row r="885" ht="15.75" customHeight="1">
      <c r="I885" s="1021"/>
    </row>
    <row r="886" ht="15.75" customHeight="1">
      <c r="I886" s="1021"/>
    </row>
    <row r="887" ht="15.75" customHeight="1">
      <c r="I887" s="1021"/>
    </row>
    <row r="888" ht="15.75" customHeight="1">
      <c r="I888" s="1021"/>
    </row>
    <row r="889" ht="15.75" customHeight="1">
      <c r="I889" s="1021"/>
    </row>
    <row r="890" ht="15.75" customHeight="1">
      <c r="I890" s="1021"/>
    </row>
    <row r="891" ht="15.75" customHeight="1">
      <c r="I891" s="1021"/>
    </row>
    <row r="892" ht="15.75" customHeight="1">
      <c r="I892" s="1021"/>
    </row>
    <row r="893" ht="15.75" customHeight="1">
      <c r="I893" s="1021"/>
    </row>
    <row r="894" ht="15.75" customHeight="1">
      <c r="I894" s="1021"/>
    </row>
    <row r="895" ht="15.75" customHeight="1">
      <c r="I895" s="1021"/>
    </row>
    <row r="896" ht="15.75" customHeight="1">
      <c r="I896" s="1021"/>
    </row>
    <row r="897" ht="15.75" customHeight="1">
      <c r="I897" s="1021"/>
    </row>
    <row r="898" ht="15.75" customHeight="1">
      <c r="I898" s="1021"/>
    </row>
    <row r="899" ht="15.75" customHeight="1">
      <c r="I899" s="1021"/>
    </row>
    <row r="900" ht="15.75" customHeight="1">
      <c r="I900" s="1021"/>
    </row>
    <row r="901" ht="15.75" customHeight="1">
      <c r="I901" s="1021"/>
    </row>
    <row r="902" ht="15.75" customHeight="1">
      <c r="I902" s="1021"/>
    </row>
    <row r="903" ht="15.75" customHeight="1">
      <c r="I903" s="1021"/>
    </row>
    <row r="904" ht="15.75" customHeight="1">
      <c r="I904" s="1021"/>
    </row>
    <row r="905" ht="15.75" customHeight="1">
      <c r="I905" s="1021"/>
    </row>
    <row r="906" ht="15.75" customHeight="1">
      <c r="I906" s="1021"/>
    </row>
    <row r="907" ht="15.75" customHeight="1">
      <c r="I907" s="1021"/>
    </row>
  </sheetData>
  <mergeCells count="16">
    <mergeCell ref="H6:K6"/>
    <mergeCell ref="D7:H7"/>
    <mergeCell ref="F9:G9"/>
    <mergeCell ref="C10:E10"/>
    <mergeCell ref="F10:G10"/>
    <mergeCell ref="C11:E11"/>
    <mergeCell ref="C12:E12"/>
    <mergeCell ref="C20:E20"/>
    <mergeCell ref="A21:D22"/>
    <mergeCell ref="C13:E13"/>
    <mergeCell ref="C14:E14"/>
    <mergeCell ref="C15:E15"/>
    <mergeCell ref="C16:E16"/>
    <mergeCell ref="C17:E17"/>
    <mergeCell ref="C18:E18"/>
    <mergeCell ref="C19:E19"/>
  </mergeCells>
  <printOptions horizontalCentered="1"/>
  <pageMargins bottom="0.2689839283788157" footer="0.0" header="0.0" left="0.25" right="0.25" top="0.22651278179268688"/>
  <pageSetup paperSize="11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8.43"/>
    <col customWidth="1" min="3" max="3" width="18.0"/>
    <col customWidth="1" min="4" max="4" width="11.86"/>
    <col customWidth="1" min="5" max="5" width="11.71"/>
    <col customWidth="1" min="6" max="6" width="5.57"/>
    <col customWidth="1" min="7" max="7" width="6.0"/>
    <col customWidth="1" min="8" max="8" width="9.57"/>
    <col customWidth="1" min="9" max="9" width="6.43"/>
    <col customWidth="1" min="10" max="10" width="9.0"/>
  </cols>
  <sheetData>
    <row r="1" ht="13.5" customHeight="1">
      <c r="A1" s="590" t="s">
        <v>9772</v>
      </c>
      <c r="B1" s="591"/>
      <c r="C1" s="592"/>
      <c r="D1" s="592"/>
      <c r="E1" s="592"/>
      <c r="F1" s="593"/>
      <c r="G1" s="592"/>
      <c r="H1" s="623" t="s">
        <v>11000</v>
      </c>
    </row>
    <row r="2" ht="13.5" customHeight="1">
      <c r="A2" s="596" t="s">
        <v>9774</v>
      </c>
      <c r="B2" s="597"/>
      <c r="C2" s="598"/>
      <c r="D2" s="598"/>
      <c r="E2" s="598"/>
      <c r="F2" s="592"/>
      <c r="G2" s="592"/>
      <c r="H2" s="1042">
        <v>46113.0</v>
      </c>
    </row>
    <row r="3" ht="13.5" customHeight="1">
      <c r="A3" s="599" t="s">
        <v>9776</v>
      </c>
      <c r="B3" s="600"/>
      <c r="C3" s="592"/>
      <c r="D3" s="601"/>
      <c r="E3" s="601"/>
      <c r="F3" s="601"/>
      <c r="G3" s="601"/>
    </row>
    <row r="4" ht="13.5" customHeight="1">
      <c r="A4" s="604"/>
      <c r="B4" s="604"/>
      <c r="C4" s="592"/>
      <c r="D4" s="601"/>
      <c r="E4" s="601"/>
      <c r="F4" s="601"/>
      <c r="G4" s="601"/>
      <c r="H4" s="601"/>
      <c r="I4" s="109"/>
      <c r="J4" s="674"/>
    </row>
    <row r="5" ht="13.5" customHeight="1">
      <c r="A5" s="604"/>
      <c r="B5" s="604"/>
      <c r="C5" s="592"/>
      <c r="D5" s="601"/>
      <c r="E5" s="601"/>
      <c r="F5" s="601"/>
      <c r="G5" s="601"/>
      <c r="H5" s="601"/>
      <c r="J5" s="607"/>
    </row>
    <row r="6" ht="13.5" customHeight="1">
      <c r="A6" s="604"/>
      <c r="B6" s="604"/>
      <c r="C6" s="592"/>
      <c r="D6" s="601"/>
      <c r="E6" s="601"/>
      <c r="F6" s="601"/>
      <c r="G6" s="601"/>
      <c r="H6" s="601"/>
      <c r="I6" s="606"/>
      <c r="J6" s="606"/>
    </row>
    <row r="7" ht="13.5" customHeight="1">
      <c r="A7" s="701" t="s">
        <v>11001</v>
      </c>
    </row>
    <row r="8" ht="13.5" customHeight="1">
      <c r="A8" s="17"/>
      <c r="B8" s="600"/>
      <c r="C8" s="17"/>
      <c r="D8" s="611"/>
      <c r="E8" s="611"/>
      <c r="F8" s="611"/>
      <c r="G8" s="17"/>
      <c r="H8" s="17"/>
      <c r="I8" s="702"/>
      <c r="J8" s="702"/>
    </row>
    <row r="9" ht="13.5" customHeight="1">
      <c r="A9" s="561"/>
      <c r="B9" s="614"/>
      <c r="C9" s="17"/>
      <c r="D9" s="615"/>
      <c r="E9" s="17"/>
      <c r="F9" s="17"/>
      <c r="G9" s="17"/>
      <c r="H9" s="628"/>
      <c r="I9" s="702"/>
      <c r="J9" s="702"/>
    </row>
    <row r="10" ht="30.75" customHeight="1">
      <c r="A10" s="1043" t="s">
        <v>9779</v>
      </c>
      <c r="B10" s="1044" t="s">
        <v>11002</v>
      </c>
      <c r="C10" s="1043" t="s">
        <v>9780</v>
      </c>
      <c r="D10" s="1045" t="s">
        <v>11003</v>
      </c>
      <c r="E10" s="1045" t="s">
        <v>11004</v>
      </c>
      <c r="F10" s="1046" t="s">
        <v>9781</v>
      </c>
      <c r="G10" s="1047" t="s">
        <v>11005</v>
      </c>
      <c r="H10" s="120"/>
      <c r="I10" s="1048" t="s">
        <v>11006</v>
      </c>
      <c r="J10" s="120"/>
    </row>
    <row r="11" ht="13.5" customHeight="1">
      <c r="A11" s="1049">
        <v>1.0</v>
      </c>
      <c r="B11" s="1049" t="s">
        <v>11007</v>
      </c>
      <c r="C11" s="11" t="str">
        <f>IFERROR(VLOOKUP(B11,Stock,3,FALSE),"")</f>
        <v/>
      </c>
      <c r="D11" s="11"/>
      <c r="E11" s="11"/>
      <c r="F11" s="11"/>
      <c r="G11" s="1050"/>
      <c r="H11" s="120"/>
      <c r="I11" s="1050"/>
      <c r="J11" s="120"/>
    </row>
    <row r="12" ht="13.5" customHeight="1">
      <c r="A12" s="1049">
        <v>2.0</v>
      </c>
      <c r="B12" s="1049" t="s">
        <v>11007</v>
      </c>
      <c r="C12" s="11"/>
      <c r="D12" s="11"/>
      <c r="E12" s="11"/>
      <c r="F12" s="11"/>
      <c r="G12" s="1050"/>
      <c r="H12" s="120"/>
      <c r="I12" s="1050"/>
      <c r="J12" s="120"/>
    </row>
    <row r="13" ht="13.5" customHeight="1">
      <c r="A13" s="1049">
        <v>3.0</v>
      </c>
      <c r="B13" s="1049" t="s">
        <v>11007</v>
      </c>
      <c r="C13" s="11"/>
      <c r="D13" s="11"/>
      <c r="E13" s="11"/>
      <c r="F13" s="11"/>
      <c r="G13" s="1051"/>
      <c r="H13" s="120"/>
      <c r="I13" s="1051"/>
      <c r="J13" s="120"/>
    </row>
    <row r="14" ht="13.5" customHeight="1">
      <c r="A14" s="1049">
        <v>4.0</v>
      </c>
      <c r="B14" s="1049" t="s">
        <v>11007</v>
      </c>
      <c r="C14" s="11"/>
      <c r="D14" s="11"/>
      <c r="E14" s="11"/>
      <c r="F14" s="11"/>
      <c r="G14" s="1050"/>
      <c r="H14" s="120"/>
      <c r="I14" s="1050"/>
      <c r="J14" s="120"/>
    </row>
    <row r="15" ht="13.5" customHeight="1">
      <c r="A15" s="1049">
        <v>5.0</v>
      </c>
      <c r="B15" s="1049" t="s">
        <v>11007</v>
      </c>
      <c r="C15" s="11"/>
      <c r="D15" s="11"/>
      <c r="E15" s="11"/>
      <c r="F15" s="11"/>
      <c r="G15" s="1050"/>
      <c r="H15" s="120"/>
      <c r="I15" s="1050"/>
      <c r="J15" s="120"/>
    </row>
    <row r="16" ht="13.5" customHeight="1">
      <c r="A16" s="1049">
        <v>6.0</v>
      </c>
      <c r="B16" s="1049" t="s">
        <v>11007</v>
      </c>
      <c r="C16" s="11"/>
      <c r="D16" s="11"/>
      <c r="E16" s="11"/>
      <c r="F16" s="11"/>
      <c r="G16" s="1052"/>
      <c r="H16" s="120"/>
      <c r="I16" s="1052"/>
      <c r="J16" s="120"/>
    </row>
    <row r="17" ht="13.5" customHeight="1">
      <c r="A17" s="1049">
        <v>7.0</v>
      </c>
      <c r="B17" s="1049" t="s">
        <v>11007</v>
      </c>
      <c r="C17" s="11"/>
      <c r="D17" s="11"/>
      <c r="E17" s="11"/>
      <c r="F17" s="11"/>
      <c r="G17" s="1052"/>
      <c r="H17" s="120"/>
      <c r="I17" s="1052"/>
      <c r="J17" s="120"/>
    </row>
    <row r="18" ht="13.5" customHeight="1">
      <c r="A18" s="1049">
        <v>8.0</v>
      </c>
      <c r="B18" s="1049" t="s">
        <v>11007</v>
      </c>
      <c r="C18" s="11"/>
      <c r="D18" s="11"/>
      <c r="E18" s="11"/>
      <c r="F18" s="11"/>
      <c r="G18" s="1052"/>
      <c r="H18" s="120"/>
      <c r="I18" s="1052"/>
      <c r="J18" s="120"/>
    </row>
    <row r="19" ht="13.5" customHeight="1">
      <c r="A19" s="1049">
        <v>9.0</v>
      </c>
      <c r="B19" s="1049" t="s">
        <v>11007</v>
      </c>
      <c r="C19" s="11"/>
      <c r="D19" s="11"/>
      <c r="E19" s="11"/>
      <c r="F19" s="11"/>
      <c r="G19" s="1052"/>
      <c r="H19" s="120"/>
      <c r="I19" s="1052"/>
      <c r="J19" s="120"/>
    </row>
    <row r="20" ht="13.5" customHeight="1">
      <c r="A20" s="1049">
        <v>10.0</v>
      </c>
      <c r="B20" s="1049" t="s">
        <v>11007</v>
      </c>
      <c r="C20" s="11"/>
      <c r="D20" s="11"/>
      <c r="E20" s="11"/>
      <c r="F20" s="11"/>
      <c r="G20" s="1052"/>
      <c r="H20" s="120"/>
      <c r="I20" s="1052"/>
      <c r="J20" s="120"/>
    </row>
    <row r="21" ht="13.5" customHeight="1">
      <c r="A21" s="1049">
        <v>11.0</v>
      </c>
      <c r="B21" s="1049" t="s">
        <v>11007</v>
      </c>
      <c r="C21" s="11"/>
      <c r="D21" s="11"/>
      <c r="E21" s="11"/>
      <c r="F21" s="11"/>
      <c r="G21" s="1052"/>
      <c r="H21" s="120"/>
      <c r="I21" s="1052"/>
      <c r="J21" s="120"/>
    </row>
    <row r="22" ht="13.5" customHeight="1">
      <c r="A22" s="1049">
        <v>12.0</v>
      </c>
      <c r="B22" s="1049" t="s">
        <v>11007</v>
      </c>
      <c r="C22" s="11"/>
      <c r="D22" s="11"/>
      <c r="E22" s="11"/>
      <c r="F22" s="11"/>
      <c r="G22" s="1052"/>
      <c r="H22" s="120"/>
      <c r="I22" s="1052"/>
      <c r="J22" s="120"/>
    </row>
    <row r="23" ht="13.5" customHeight="1">
      <c r="A23" s="1049">
        <v>13.0</v>
      </c>
      <c r="B23" s="1049" t="s">
        <v>11007</v>
      </c>
      <c r="C23" s="11"/>
      <c r="D23" s="11"/>
      <c r="E23" s="11"/>
      <c r="F23" s="11"/>
      <c r="G23" s="1052"/>
      <c r="H23" s="120"/>
      <c r="I23" s="1052"/>
      <c r="J23" s="120"/>
    </row>
    <row r="24" ht="13.5" customHeight="1">
      <c r="A24" s="1049">
        <v>14.0</v>
      </c>
      <c r="B24" s="1049" t="s">
        <v>11007</v>
      </c>
      <c r="C24" s="11"/>
      <c r="D24" s="11"/>
      <c r="E24" s="11"/>
      <c r="F24" s="11"/>
      <c r="G24" s="1052"/>
      <c r="H24" s="120"/>
      <c r="I24" s="1052"/>
      <c r="J24" s="120"/>
    </row>
    <row r="25" ht="15.75" customHeight="1">
      <c r="A25" s="1049">
        <v>15.0</v>
      </c>
      <c r="B25" s="1049" t="s">
        <v>11007</v>
      </c>
      <c r="C25" s="11"/>
      <c r="D25" s="11"/>
      <c r="E25" s="11"/>
      <c r="F25" s="11"/>
      <c r="G25" s="1052"/>
      <c r="H25" s="120"/>
      <c r="I25" s="1052"/>
      <c r="J25" s="120"/>
    </row>
    <row r="26" ht="15.75" customHeight="1">
      <c r="A26" s="1049">
        <v>16.0</v>
      </c>
      <c r="B26" s="1049" t="s">
        <v>11007</v>
      </c>
      <c r="C26" s="11"/>
      <c r="D26" s="11"/>
      <c r="E26" s="11"/>
      <c r="F26" s="11"/>
      <c r="G26" s="1052"/>
      <c r="H26" s="120"/>
      <c r="I26" s="1052"/>
      <c r="J26" s="120"/>
    </row>
    <row r="27" ht="15.75" customHeight="1">
      <c r="A27" s="1049">
        <v>17.0</v>
      </c>
      <c r="B27" s="1049" t="s">
        <v>11007</v>
      </c>
      <c r="C27" s="11"/>
      <c r="D27" s="11"/>
      <c r="E27" s="11"/>
      <c r="F27" s="11"/>
      <c r="G27" s="1052"/>
      <c r="H27" s="120"/>
      <c r="I27" s="1052"/>
      <c r="J27" s="120"/>
    </row>
    <row r="28" ht="15.75" customHeight="1">
      <c r="A28" s="1049">
        <v>18.0</v>
      </c>
      <c r="B28" s="1049" t="s">
        <v>11007</v>
      </c>
      <c r="C28" s="11"/>
      <c r="D28" s="11"/>
      <c r="E28" s="11"/>
      <c r="F28" s="11"/>
      <c r="G28" s="1052"/>
      <c r="H28" s="120"/>
      <c r="I28" s="1052"/>
      <c r="J28" s="120"/>
    </row>
    <row r="29" ht="15.75" customHeight="1">
      <c r="A29" s="1049">
        <v>19.0</v>
      </c>
      <c r="B29" s="1049" t="s">
        <v>11007</v>
      </c>
      <c r="C29" s="11"/>
      <c r="D29" s="11"/>
      <c r="E29" s="11"/>
      <c r="F29" s="11"/>
      <c r="G29" s="1052"/>
      <c r="H29" s="120"/>
      <c r="I29" s="1052"/>
      <c r="J29" s="120"/>
    </row>
    <row r="30" ht="15.75" customHeight="1">
      <c r="A30" s="1049">
        <v>20.0</v>
      </c>
      <c r="B30" s="1049" t="s">
        <v>11007</v>
      </c>
      <c r="C30" s="11"/>
      <c r="D30" s="11"/>
      <c r="E30" s="11"/>
      <c r="F30" s="11"/>
      <c r="G30" s="1052"/>
      <c r="H30" s="120"/>
      <c r="I30" s="1052"/>
      <c r="J30" s="120"/>
    </row>
    <row r="31" ht="15.75" customHeight="1">
      <c r="A31" s="1049">
        <v>21.0</v>
      </c>
      <c r="B31" s="1049" t="s">
        <v>11007</v>
      </c>
      <c r="C31" s="11"/>
      <c r="D31" s="11"/>
      <c r="E31" s="11"/>
      <c r="F31" s="11"/>
      <c r="G31" s="1052"/>
      <c r="H31" s="120"/>
      <c r="I31" s="1052"/>
      <c r="J31" s="120"/>
    </row>
    <row r="32" ht="15.75" customHeight="1">
      <c r="A32" s="1049">
        <v>22.0</v>
      </c>
      <c r="B32" s="1049" t="s">
        <v>11007</v>
      </c>
      <c r="C32" s="11"/>
      <c r="D32" s="11"/>
      <c r="E32" s="11"/>
      <c r="F32" s="11"/>
      <c r="G32" s="1052"/>
      <c r="H32" s="120"/>
      <c r="I32" s="1052"/>
      <c r="J32" s="120"/>
    </row>
    <row r="33" ht="15.75" customHeight="1">
      <c r="A33" s="1049">
        <v>23.0</v>
      </c>
      <c r="B33" s="1049" t="s">
        <v>11007</v>
      </c>
      <c r="C33" s="11"/>
      <c r="D33" s="11"/>
      <c r="E33" s="11"/>
      <c r="F33" s="11"/>
      <c r="G33" s="1052"/>
      <c r="H33" s="120"/>
      <c r="I33" s="1052"/>
      <c r="J33" s="120"/>
    </row>
    <row r="34" ht="15.75" customHeight="1">
      <c r="A34" s="1049">
        <v>24.0</v>
      </c>
      <c r="B34" s="1049" t="s">
        <v>11007</v>
      </c>
      <c r="C34" s="11"/>
      <c r="D34" s="11"/>
      <c r="E34" s="11"/>
      <c r="F34" s="11"/>
      <c r="G34" s="1052"/>
      <c r="H34" s="120"/>
      <c r="I34" s="1052"/>
      <c r="J34" s="120"/>
    </row>
    <row r="35" ht="15.75" customHeight="1">
      <c r="A35" s="1049">
        <v>25.0</v>
      </c>
      <c r="B35" s="1049" t="s">
        <v>11007</v>
      </c>
      <c r="C35" s="11"/>
      <c r="D35" s="11"/>
      <c r="E35" s="11"/>
      <c r="F35" s="11"/>
      <c r="G35" s="1052"/>
      <c r="H35" s="120"/>
      <c r="I35" s="1052"/>
      <c r="J35" s="120"/>
    </row>
    <row r="36" ht="15.75" customHeight="1">
      <c r="A36" s="1049">
        <v>26.0</v>
      </c>
      <c r="B36" s="1049" t="s">
        <v>11007</v>
      </c>
      <c r="C36" s="11"/>
      <c r="D36" s="11"/>
      <c r="E36" s="11"/>
      <c r="F36" s="11"/>
      <c r="G36" s="1052"/>
      <c r="H36" s="120"/>
      <c r="I36" s="1052"/>
      <c r="J36" s="120"/>
    </row>
    <row r="37" ht="15.75" customHeight="1">
      <c r="A37" s="1049">
        <v>27.0</v>
      </c>
      <c r="B37" s="1049" t="s">
        <v>11007</v>
      </c>
      <c r="C37" s="11"/>
      <c r="D37" s="11"/>
      <c r="E37" s="11"/>
      <c r="F37" s="11"/>
      <c r="G37" s="1052"/>
      <c r="H37" s="120"/>
      <c r="I37" s="1052"/>
      <c r="J37" s="120"/>
    </row>
    <row r="38" ht="15.75" customHeight="1">
      <c r="A38" s="1049">
        <v>28.0</v>
      </c>
      <c r="B38" s="1049" t="s">
        <v>11007</v>
      </c>
      <c r="C38" s="11"/>
      <c r="D38" s="11"/>
      <c r="E38" s="11"/>
      <c r="F38" s="11"/>
      <c r="G38" s="1052"/>
      <c r="H38" s="120"/>
      <c r="I38" s="1052"/>
      <c r="J38" s="120"/>
    </row>
    <row r="39" ht="15.75" customHeight="1">
      <c r="A39" s="1049">
        <v>29.0</v>
      </c>
      <c r="B39" s="1049" t="s">
        <v>11007</v>
      </c>
      <c r="C39" s="11"/>
      <c r="D39" s="11"/>
      <c r="E39" s="11"/>
      <c r="F39" s="11"/>
      <c r="G39" s="1052"/>
      <c r="H39" s="120"/>
      <c r="I39" s="1052"/>
      <c r="J39" s="120"/>
    </row>
    <row r="40" ht="15.75" customHeight="1">
      <c r="A40" s="1049">
        <v>30.0</v>
      </c>
      <c r="B40" s="1049" t="s">
        <v>11007</v>
      </c>
      <c r="C40" s="11"/>
      <c r="D40" s="11"/>
      <c r="E40" s="11"/>
      <c r="F40" s="11"/>
      <c r="G40" s="1052"/>
      <c r="H40" s="120"/>
      <c r="I40" s="1052"/>
      <c r="J40" s="120"/>
    </row>
    <row r="41" ht="15.75" customHeight="1">
      <c r="A41" s="1049">
        <v>31.0</v>
      </c>
      <c r="B41" s="1049" t="s">
        <v>11007</v>
      </c>
      <c r="C41" s="11"/>
      <c r="D41" s="11"/>
      <c r="E41" s="11"/>
      <c r="F41" s="11"/>
      <c r="G41" s="1052"/>
      <c r="H41" s="120"/>
      <c r="I41" s="1052"/>
      <c r="J41" s="120"/>
    </row>
    <row r="42" ht="15.75" customHeight="1">
      <c r="A42" s="1049">
        <v>32.0</v>
      </c>
      <c r="B42" s="1049" t="s">
        <v>11007</v>
      </c>
      <c r="C42" s="11"/>
      <c r="D42" s="11"/>
      <c r="E42" s="11"/>
      <c r="F42" s="11"/>
      <c r="G42" s="1052"/>
      <c r="H42" s="120"/>
      <c r="I42" s="1052"/>
      <c r="J42" s="120"/>
    </row>
    <row r="43" ht="15.75" customHeight="1">
      <c r="A43" s="1049">
        <v>33.0</v>
      </c>
      <c r="B43" s="1049" t="s">
        <v>11007</v>
      </c>
      <c r="C43" s="11"/>
      <c r="D43" s="11"/>
      <c r="E43" s="11"/>
      <c r="F43" s="11"/>
      <c r="G43" s="1052"/>
      <c r="H43" s="120"/>
      <c r="I43" s="1052"/>
      <c r="J43" s="120"/>
    </row>
    <row r="44" ht="15.75" customHeight="1">
      <c r="A44" s="1049">
        <v>34.0</v>
      </c>
      <c r="B44" s="1049" t="s">
        <v>11007</v>
      </c>
      <c r="C44" s="11"/>
      <c r="D44" s="11"/>
      <c r="E44" s="11"/>
      <c r="F44" s="11"/>
      <c r="G44" s="1052"/>
      <c r="H44" s="120"/>
      <c r="I44" s="1052"/>
      <c r="J44" s="120"/>
    </row>
    <row r="45" ht="15.75" customHeight="1">
      <c r="A45" s="1049">
        <v>35.0</v>
      </c>
      <c r="B45" s="1049" t="s">
        <v>11007</v>
      </c>
      <c r="C45" s="11"/>
      <c r="D45" s="11"/>
      <c r="E45" s="11"/>
      <c r="F45" s="11"/>
      <c r="G45" s="1052"/>
      <c r="H45" s="120"/>
      <c r="I45" s="1052"/>
      <c r="J45" s="120"/>
    </row>
    <row r="46" ht="15.75" customHeight="1">
      <c r="A46" s="1049">
        <v>36.0</v>
      </c>
      <c r="B46" s="1049" t="s">
        <v>11007</v>
      </c>
      <c r="C46" s="11"/>
      <c r="D46" s="11"/>
      <c r="E46" s="11"/>
      <c r="F46" s="11"/>
      <c r="G46" s="1052"/>
      <c r="H46" s="120"/>
      <c r="I46" s="1052"/>
      <c r="J46" s="120"/>
    </row>
    <row r="47" ht="15.75" customHeight="1">
      <c r="A47" s="1049">
        <v>37.0</v>
      </c>
      <c r="B47" s="1049" t="s">
        <v>11007</v>
      </c>
      <c r="C47" s="11"/>
      <c r="D47" s="11"/>
      <c r="E47" s="11"/>
      <c r="F47" s="11"/>
      <c r="G47" s="1052"/>
      <c r="H47" s="120"/>
      <c r="I47" s="1052"/>
      <c r="J47" s="120"/>
    </row>
    <row r="48" ht="15.75" customHeight="1">
      <c r="A48" s="1049">
        <v>38.0</v>
      </c>
      <c r="B48" s="1049" t="s">
        <v>11007</v>
      </c>
      <c r="C48" s="11"/>
      <c r="D48" s="11"/>
      <c r="E48" s="11"/>
      <c r="F48" s="11"/>
      <c r="G48" s="1052"/>
      <c r="H48" s="120"/>
      <c r="I48" s="1052"/>
      <c r="J48" s="120"/>
    </row>
    <row r="49" ht="15.75" customHeight="1">
      <c r="A49" s="1049">
        <v>39.0</v>
      </c>
      <c r="B49" s="1049" t="s">
        <v>11007</v>
      </c>
      <c r="C49" s="11"/>
      <c r="D49" s="11"/>
      <c r="E49" s="11"/>
      <c r="F49" s="11"/>
      <c r="G49" s="1052"/>
      <c r="H49" s="120"/>
      <c r="I49" s="1052"/>
      <c r="J49" s="120"/>
    </row>
    <row r="50" ht="15.75" customHeight="1">
      <c r="A50" s="1049">
        <v>40.0</v>
      </c>
      <c r="B50" s="1049" t="s">
        <v>11007</v>
      </c>
      <c r="C50" s="11"/>
      <c r="D50" s="11"/>
      <c r="E50" s="11"/>
      <c r="F50" s="11"/>
      <c r="G50" s="1052"/>
      <c r="H50" s="120"/>
      <c r="I50" s="1052"/>
      <c r="J50" s="120"/>
    </row>
    <row r="51" ht="15.75" customHeight="1">
      <c r="A51" s="1049">
        <v>41.0</v>
      </c>
      <c r="B51" s="1049" t="s">
        <v>11007</v>
      </c>
      <c r="C51" s="11"/>
      <c r="D51" s="11"/>
      <c r="E51" s="11"/>
      <c r="F51" s="11"/>
      <c r="G51" s="1052"/>
      <c r="H51" s="120"/>
      <c r="I51" s="1052"/>
      <c r="J51" s="120"/>
    </row>
    <row r="52" ht="15.75" customHeight="1">
      <c r="A52" s="1049">
        <v>42.0</v>
      </c>
      <c r="B52" s="1049" t="s">
        <v>11007</v>
      </c>
      <c r="C52" s="11"/>
      <c r="D52" s="11"/>
      <c r="E52" s="11"/>
      <c r="F52" s="11"/>
      <c r="G52" s="1052"/>
      <c r="H52" s="120"/>
      <c r="I52" s="1052"/>
      <c r="J52" s="120"/>
    </row>
    <row r="53" ht="15.75" customHeight="1">
      <c r="A53" s="1049">
        <v>43.0</v>
      </c>
      <c r="B53" s="1049" t="s">
        <v>11007</v>
      </c>
      <c r="C53" s="11"/>
      <c r="D53" s="11"/>
      <c r="E53" s="11"/>
      <c r="F53" s="11"/>
      <c r="G53" s="1052"/>
      <c r="H53" s="120"/>
      <c r="I53" s="1052"/>
      <c r="J53" s="120"/>
    </row>
    <row r="54" ht="15.75" customHeight="1">
      <c r="A54" s="629"/>
      <c r="B54" s="629"/>
      <c r="C54" s="17"/>
      <c r="D54" s="17"/>
      <c r="E54" s="17"/>
      <c r="F54" s="17"/>
      <c r="G54" s="967"/>
      <c r="H54" s="967"/>
      <c r="I54" s="967"/>
      <c r="J54" s="967"/>
    </row>
    <row r="55" ht="15.75" customHeight="1">
      <c r="A55" s="590"/>
      <c r="B55" s="590"/>
      <c r="C55" s="590"/>
      <c r="D55" s="590"/>
      <c r="E55" s="590"/>
      <c r="F55" s="590"/>
      <c r="G55" s="590"/>
      <c r="H55" s="590"/>
      <c r="I55" s="590"/>
      <c r="J55" s="590"/>
    </row>
    <row r="56" ht="15.75" customHeight="1">
      <c r="A56" s="590"/>
      <c r="B56" s="590"/>
      <c r="C56" s="590"/>
      <c r="D56" s="590"/>
      <c r="E56" s="590"/>
      <c r="F56" s="590"/>
      <c r="G56" s="590"/>
      <c r="H56" s="590"/>
      <c r="I56" s="590"/>
      <c r="J56" s="590"/>
    </row>
    <row r="57" ht="15.75" customHeight="1">
      <c r="A57" s="590"/>
      <c r="B57" s="590"/>
      <c r="C57" s="590"/>
      <c r="D57" s="590"/>
      <c r="E57" s="590"/>
      <c r="F57" s="590"/>
      <c r="G57" s="590"/>
      <c r="H57" s="590"/>
      <c r="I57" s="590"/>
      <c r="J57" s="590"/>
    </row>
    <row r="58" ht="15.75" customHeight="1">
      <c r="A58" s="590"/>
      <c r="B58" s="590"/>
      <c r="C58" s="590"/>
      <c r="D58" s="590"/>
      <c r="E58" s="590"/>
      <c r="F58" s="590"/>
      <c r="G58" s="590"/>
      <c r="H58" s="590"/>
      <c r="I58" s="590"/>
      <c r="J58" s="590"/>
    </row>
    <row r="59" ht="15.75" customHeight="1">
      <c r="A59" s="590"/>
      <c r="B59" s="590"/>
      <c r="C59" s="590"/>
      <c r="D59" s="590"/>
      <c r="E59" s="590"/>
      <c r="F59" s="590"/>
      <c r="G59" s="590"/>
      <c r="H59" s="590"/>
      <c r="I59" s="590"/>
      <c r="J59" s="590"/>
    </row>
    <row r="60" ht="15.75" customHeight="1">
      <c r="A60" s="590"/>
      <c r="B60" s="590"/>
      <c r="C60" s="590"/>
      <c r="D60" s="590"/>
      <c r="E60" s="590"/>
      <c r="F60" s="590"/>
      <c r="G60" s="590"/>
      <c r="H60" s="590"/>
      <c r="I60" s="590"/>
      <c r="J60" s="590"/>
    </row>
    <row r="61" ht="15.75" customHeight="1">
      <c r="A61" s="590"/>
      <c r="B61" s="590"/>
      <c r="C61" s="590"/>
      <c r="D61" s="590"/>
      <c r="E61" s="590"/>
      <c r="F61" s="590"/>
      <c r="G61" s="590"/>
      <c r="H61" s="590"/>
      <c r="I61" s="590"/>
      <c r="J61" s="590"/>
    </row>
    <row r="62" ht="15.75" customHeight="1">
      <c r="A62" s="590"/>
      <c r="B62" s="590"/>
      <c r="C62" s="590"/>
      <c r="D62" s="590"/>
      <c r="E62" s="590"/>
      <c r="F62" s="590"/>
      <c r="G62" s="590"/>
      <c r="H62" s="590"/>
      <c r="I62" s="590"/>
      <c r="J62" s="590"/>
    </row>
    <row r="63" ht="15.75" customHeight="1">
      <c r="A63" s="629"/>
      <c r="B63" s="629"/>
      <c r="C63" s="17"/>
      <c r="D63" s="17"/>
      <c r="E63" s="17"/>
      <c r="F63" s="17"/>
      <c r="G63" s="967"/>
      <c r="H63" s="967"/>
      <c r="I63" s="967"/>
      <c r="J63" s="967"/>
    </row>
    <row r="64" ht="15.75" customHeight="1">
      <c r="A64" s="590"/>
      <c r="B64" s="590"/>
      <c r="C64" s="590"/>
      <c r="D64" s="590"/>
      <c r="E64" s="590"/>
      <c r="F64" s="590"/>
      <c r="G64" s="590"/>
      <c r="H64" s="590"/>
      <c r="I64" s="590"/>
      <c r="J64" s="590"/>
    </row>
    <row r="65" ht="15.75" customHeight="1">
      <c r="A65" s="590"/>
      <c r="B65" s="590"/>
      <c r="C65" s="590"/>
      <c r="D65" s="590"/>
      <c r="E65" s="590"/>
      <c r="F65" s="590"/>
      <c r="G65" s="590"/>
      <c r="H65" s="590"/>
      <c r="I65" s="590"/>
      <c r="J65" s="590"/>
    </row>
    <row r="66" ht="15.75" customHeight="1">
      <c r="A66" s="590"/>
      <c r="B66" s="590"/>
      <c r="C66" s="590"/>
      <c r="D66" s="590"/>
      <c r="E66" s="590"/>
      <c r="F66" s="590"/>
      <c r="G66" s="590"/>
      <c r="H66" s="590"/>
      <c r="I66" s="590"/>
      <c r="J66" s="590"/>
    </row>
    <row r="67" ht="15.75" customHeight="1">
      <c r="A67" s="590"/>
      <c r="B67" s="590"/>
      <c r="C67" s="590"/>
      <c r="D67" s="590"/>
      <c r="E67" s="590"/>
      <c r="F67" s="590"/>
      <c r="G67" s="590"/>
      <c r="H67" s="590"/>
      <c r="I67" s="590"/>
      <c r="J67" s="590"/>
    </row>
    <row r="68" ht="15.75" customHeight="1">
      <c r="A68" s="590"/>
      <c r="B68" s="590"/>
      <c r="C68" s="590"/>
      <c r="D68" s="590"/>
      <c r="E68" s="590"/>
      <c r="F68" s="590"/>
      <c r="G68" s="590"/>
      <c r="H68" s="590"/>
      <c r="I68" s="590"/>
      <c r="J68" s="590"/>
    </row>
    <row r="69" ht="15.75" customHeight="1">
      <c r="A69" s="590"/>
      <c r="B69" s="590"/>
      <c r="C69" s="590"/>
      <c r="D69" s="590"/>
      <c r="E69" s="590"/>
      <c r="F69" s="590"/>
      <c r="G69" s="590"/>
      <c r="H69" s="590"/>
      <c r="I69" s="590"/>
      <c r="J69" s="590"/>
    </row>
    <row r="70" ht="15.75" customHeight="1">
      <c r="A70" s="590"/>
      <c r="B70" s="590"/>
      <c r="C70" s="590"/>
      <c r="D70" s="590"/>
      <c r="E70" s="590"/>
      <c r="F70" s="590"/>
      <c r="G70" s="590"/>
      <c r="H70" s="590"/>
      <c r="I70" s="590"/>
      <c r="J70" s="590"/>
    </row>
    <row r="71" ht="15.75" customHeight="1">
      <c r="A71" s="590"/>
      <c r="B71" s="590"/>
      <c r="C71" s="590"/>
      <c r="D71" s="590"/>
      <c r="E71" s="590"/>
      <c r="F71" s="590"/>
      <c r="G71" s="590"/>
      <c r="H71" s="590"/>
      <c r="I71" s="590"/>
      <c r="J71" s="590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</sheetData>
  <mergeCells count="91"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50:H50"/>
    <mergeCell ref="G51:H51"/>
    <mergeCell ref="G52:H52"/>
    <mergeCell ref="G53:H53"/>
    <mergeCell ref="G43:H43"/>
    <mergeCell ref="G44:H44"/>
    <mergeCell ref="G45:H45"/>
    <mergeCell ref="G46:H46"/>
    <mergeCell ref="G47:H47"/>
    <mergeCell ref="G48:H48"/>
    <mergeCell ref="G49:H49"/>
    <mergeCell ref="I37:J37"/>
    <mergeCell ref="I38:J38"/>
    <mergeCell ref="I39:J39"/>
    <mergeCell ref="I40:J40"/>
    <mergeCell ref="I41:J41"/>
    <mergeCell ref="I42:J42"/>
    <mergeCell ref="I43:J43"/>
    <mergeCell ref="I51:J51"/>
    <mergeCell ref="I52:J52"/>
    <mergeCell ref="I53:J53"/>
    <mergeCell ref="I44:J44"/>
    <mergeCell ref="I45:J45"/>
    <mergeCell ref="I46:J46"/>
    <mergeCell ref="I47:J47"/>
    <mergeCell ref="I48:J48"/>
    <mergeCell ref="I49:J49"/>
    <mergeCell ref="I50:J50"/>
    <mergeCell ref="H1:J1"/>
    <mergeCell ref="H2:J3"/>
    <mergeCell ref="A7:J7"/>
    <mergeCell ref="G10:H10"/>
    <mergeCell ref="I10:J10"/>
    <mergeCell ref="G11:H11"/>
    <mergeCell ref="I11:J11"/>
    <mergeCell ref="G12:H12"/>
    <mergeCell ref="I12:J12"/>
    <mergeCell ref="G13:H13"/>
    <mergeCell ref="I13:J13"/>
    <mergeCell ref="G14:H14"/>
    <mergeCell ref="I14:J14"/>
    <mergeCell ref="I15:J15"/>
    <mergeCell ref="G15:H15"/>
    <mergeCell ref="G16:H16"/>
    <mergeCell ref="G17:H17"/>
    <mergeCell ref="G18:H18"/>
    <mergeCell ref="G19:H19"/>
    <mergeCell ref="G20:H20"/>
    <mergeCell ref="G21:H21"/>
    <mergeCell ref="I16:J16"/>
    <mergeCell ref="I17:J17"/>
    <mergeCell ref="I18:J18"/>
    <mergeCell ref="I19:J19"/>
    <mergeCell ref="I20:J20"/>
    <mergeCell ref="I21:J21"/>
    <mergeCell ref="I22:J22"/>
    <mergeCell ref="G22:H22"/>
    <mergeCell ref="G23:H23"/>
    <mergeCell ref="G24:H24"/>
    <mergeCell ref="G25:H25"/>
    <mergeCell ref="G26:H26"/>
    <mergeCell ref="G27:H27"/>
    <mergeCell ref="G28:H28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</mergeCells>
  <printOptions horizontalCentered="1"/>
  <pageMargins bottom="0.0" footer="0.0" header="0.0" left="0.0" right="0.0" top="0.15157480314960634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6.86"/>
    <col customWidth="1" min="3" max="3" width="8.71"/>
    <col customWidth="1" min="4" max="4" width="11.43"/>
    <col customWidth="1" min="5" max="5" width="8.71"/>
    <col customWidth="1" min="6" max="6" width="3.57"/>
    <col customWidth="1" min="7" max="7" width="3.43"/>
    <col customWidth="1" min="8" max="8" width="11.43"/>
    <col customWidth="1" min="9" max="9" width="7.14"/>
    <col customWidth="1" min="10" max="10" width="11.43"/>
    <col customWidth="1" min="11" max="11" width="12.29"/>
  </cols>
  <sheetData>
    <row r="1" ht="13.5" customHeight="1">
      <c r="A1" s="590" t="s">
        <v>10962</v>
      </c>
      <c r="B1" s="591"/>
      <c r="C1" s="592"/>
      <c r="D1" s="592"/>
      <c r="E1" s="592"/>
      <c r="F1" s="592"/>
      <c r="G1" s="592"/>
      <c r="H1" s="594"/>
      <c r="I1" s="992" t="s">
        <v>9773</v>
      </c>
      <c r="K1" s="595">
        <v>46030.0</v>
      </c>
    </row>
    <row r="2" ht="13.5" customHeight="1">
      <c r="A2" s="596" t="s">
        <v>10963</v>
      </c>
      <c r="B2" s="597"/>
      <c r="C2" s="598"/>
      <c r="D2" s="598"/>
      <c r="E2" s="598"/>
      <c r="F2" s="592"/>
      <c r="G2" s="592"/>
      <c r="H2" s="594"/>
      <c r="I2" s="992" t="s">
        <v>9775</v>
      </c>
      <c r="K2" s="676"/>
    </row>
    <row r="3" ht="13.5" customHeight="1">
      <c r="A3" s="599" t="s">
        <v>9776</v>
      </c>
      <c r="B3" s="600"/>
      <c r="C3" s="592"/>
      <c r="D3" s="601"/>
      <c r="E3" s="601"/>
      <c r="F3" s="601"/>
      <c r="G3" s="601"/>
      <c r="H3" s="674"/>
      <c r="I3" s="1026" t="s">
        <v>10984</v>
      </c>
      <c r="J3" s="674"/>
      <c r="K3" s="674"/>
    </row>
    <row r="4" ht="13.5" customHeight="1">
      <c r="A4" s="604"/>
      <c r="B4" s="604"/>
      <c r="C4" s="592"/>
      <c r="D4" s="601"/>
      <c r="E4" s="601"/>
      <c r="F4" s="601"/>
      <c r="G4" s="601"/>
      <c r="H4" s="109"/>
      <c r="I4" s="1027" t="s">
        <v>10985</v>
      </c>
      <c r="J4" s="674"/>
      <c r="K4" s="674"/>
    </row>
    <row r="5" ht="13.5" customHeight="1">
      <c r="A5" s="604"/>
      <c r="B5" s="604"/>
      <c r="C5" s="592"/>
      <c r="D5" s="601"/>
      <c r="E5" s="601"/>
      <c r="F5" s="601"/>
      <c r="G5" s="601"/>
      <c r="I5" s="993"/>
      <c r="J5" s="607"/>
      <c r="K5" s="607"/>
    </row>
    <row r="6" ht="13.5" customHeight="1">
      <c r="A6" s="604"/>
      <c r="B6" s="604"/>
      <c r="C6" s="592"/>
      <c r="D6" s="601"/>
      <c r="E6" s="601"/>
      <c r="F6" s="601"/>
      <c r="G6" s="601"/>
      <c r="H6" s="606"/>
    </row>
    <row r="7" ht="13.5" customHeight="1">
      <c r="A7" s="604"/>
      <c r="B7" s="604"/>
      <c r="C7" s="592"/>
      <c r="D7" s="701" t="s">
        <v>10966</v>
      </c>
      <c r="I7" s="994"/>
      <c r="J7" s="609"/>
      <c r="K7" s="609"/>
    </row>
    <row r="8" ht="13.5" customHeight="1">
      <c r="A8" s="17"/>
      <c r="B8" s="600"/>
      <c r="C8" s="17"/>
      <c r="D8" s="611"/>
      <c r="E8" s="611"/>
      <c r="F8" s="17"/>
      <c r="G8" s="17"/>
      <c r="H8" s="612"/>
      <c r="I8" s="995"/>
      <c r="J8" s="612"/>
      <c r="K8" s="612"/>
    </row>
    <row r="9" ht="13.5" customHeight="1">
      <c r="A9" s="561" t="s">
        <v>10967</v>
      </c>
      <c r="B9" s="996" t="s">
        <v>11008</v>
      </c>
      <c r="C9" s="17"/>
      <c r="D9" s="615"/>
      <c r="E9" s="17"/>
      <c r="F9" s="628"/>
      <c r="H9" s="628"/>
      <c r="I9" s="997"/>
      <c r="J9" s="628"/>
      <c r="K9" s="64"/>
    </row>
    <row r="10" ht="13.5" customHeight="1">
      <c r="A10" s="618" t="s">
        <v>9779</v>
      </c>
      <c r="B10" s="619" t="s">
        <v>0</v>
      </c>
      <c r="C10" s="618" t="s">
        <v>9780</v>
      </c>
      <c r="D10" s="122"/>
      <c r="E10" s="122"/>
      <c r="F10" s="618" t="s">
        <v>9781</v>
      </c>
      <c r="G10" s="122"/>
      <c r="H10" s="998" t="s">
        <v>2739</v>
      </c>
      <c r="I10" s="998" t="s">
        <v>10969</v>
      </c>
      <c r="J10" s="998" t="s">
        <v>10130</v>
      </c>
      <c r="K10" s="618" t="s">
        <v>2740</v>
      </c>
    </row>
    <row r="11" ht="13.5" customHeight="1">
      <c r="A11" s="623">
        <v>1.0</v>
      </c>
      <c r="B11" s="264" t="s">
        <v>11009</v>
      </c>
      <c r="C11" s="1053" t="s">
        <v>11010</v>
      </c>
      <c r="F11" s="704">
        <v>1.0</v>
      </c>
      <c r="G11" s="1037" t="s">
        <v>2729</v>
      </c>
      <c r="H11" s="141">
        <v>142500.0</v>
      </c>
      <c r="I11" s="1032"/>
      <c r="J11" s="1033">
        <f t="shared" ref="J11:J20" si="1">H11-(H11*I11/100)</f>
        <v>142500</v>
      </c>
      <c r="K11" s="1033">
        <f t="shared" ref="K11:K20" si="2">F11*J11</f>
        <v>142500</v>
      </c>
    </row>
    <row r="12" ht="13.5" customHeight="1">
      <c r="A12" s="444">
        <v>2.0</v>
      </c>
      <c r="B12" s="45" t="s">
        <v>11011</v>
      </c>
      <c r="C12" s="1053" t="s">
        <v>11012</v>
      </c>
      <c r="F12" s="444">
        <v>1.0</v>
      </c>
      <c r="G12" s="444" t="s">
        <v>2729</v>
      </c>
      <c r="H12" s="141">
        <v>303600.0</v>
      </c>
      <c r="I12" s="45"/>
      <c r="J12" s="696">
        <f t="shared" si="1"/>
        <v>303600</v>
      </c>
      <c r="K12" s="696">
        <f t="shared" si="2"/>
        <v>303600</v>
      </c>
    </row>
    <row r="13" ht="13.5" customHeight="1">
      <c r="A13" s="444">
        <v>3.0</v>
      </c>
      <c r="B13" s="45"/>
      <c r="C13" s="45"/>
      <c r="F13" s="444"/>
      <c r="G13" s="444"/>
      <c r="H13" s="627"/>
      <c r="I13" s="45"/>
      <c r="J13" s="696">
        <f t="shared" si="1"/>
        <v>0</v>
      </c>
      <c r="K13" s="696">
        <f t="shared" si="2"/>
        <v>0</v>
      </c>
    </row>
    <row r="14" ht="13.5" customHeight="1">
      <c r="A14" s="444">
        <v>4.0</v>
      </c>
      <c r="B14" s="45"/>
      <c r="C14" s="45"/>
      <c r="F14" s="444"/>
      <c r="G14" s="444"/>
      <c r="H14" s="627"/>
      <c r="I14" s="45"/>
      <c r="J14" s="696">
        <f t="shared" si="1"/>
        <v>0</v>
      </c>
      <c r="K14" s="696">
        <f t="shared" si="2"/>
        <v>0</v>
      </c>
    </row>
    <row r="15" ht="13.5" customHeight="1">
      <c r="A15" s="629">
        <v>5.0</v>
      </c>
      <c r="B15" s="443"/>
      <c r="C15" s="45"/>
      <c r="F15" s="444"/>
      <c r="G15" s="444"/>
      <c r="H15" s="965"/>
      <c r="I15" s="45"/>
      <c r="J15" s="696">
        <f t="shared" si="1"/>
        <v>0</v>
      </c>
      <c r="K15" s="696">
        <f t="shared" si="2"/>
        <v>0</v>
      </c>
    </row>
    <row r="16" ht="13.5" customHeight="1">
      <c r="A16" s="629">
        <v>6.0</v>
      </c>
      <c r="B16" s="443"/>
      <c r="C16" s="45"/>
      <c r="F16" s="444"/>
      <c r="G16" s="444"/>
      <c r="H16" s="965"/>
      <c r="I16" s="45"/>
      <c r="J16" s="696">
        <f t="shared" si="1"/>
        <v>0</v>
      </c>
      <c r="K16" s="696">
        <f t="shared" si="2"/>
        <v>0</v>
      </c>
    </row>
    <row r="17" ht="13.5" customHeight="1">
      <c r="A17" s="629">
        <v>7.0</v>
      </c>
      <c r="B17" s="443"/>
      <c r="C17" s="45"/>
      <c r="F17" s="444"/>
      <c r="G17" s="444"/>
      <c r="H17" s="965"/>
      <c r="I17" s="45"/>
      <c r="J17" s="696">
        <f t="shared" si="1"/>
        <v>0</v>
      </c>
      <c r="K17" s="696">
        <f t="shared" si="2"/>
        <v>0</v>
      </c>
    </row>
    <row r="18" ht="13.5" customHeight="1">
      <c r="A18" s="629">
        <v>8.0</v>
      </c>
      <c r="B18" s="443"/>
      <c r="C18" s="45"/>
      <c r="F18" s="444"/>
      <c r="G18" s="444"/>
      <c r="H18" s="965"/>
      <c r="I18" s="45"/>
      <c r="J18" s="696">
        <f t="shared" si="1"/>
        <v>0</v>
      </c>
      <c r="K18" s="696">
        <f t="shared" si="2"/>
        <v>0</v>
      </c>
    </row>
    <row r="19" ht="13.5" customHeight="1">
      <c r="A19" s="629">
        <v>9.0</v>
      </c>
      <c r="B19" s="443"/>
      <c r="C19" s="45"/>
      <c r="F19" s="444"/>
      <c r="G19" s="444"/>
      <c r="H19" s="965"/>
      <c r="I19" s="45"/>
      <c r="J19" s="696">
        <f t="shared" si="1"/>
        <v>0</v>
      </c>
      <c r="K19" s="696">
        <f t="shared" si="2"/>
        <v>0</v>
      </c>
    </row>
    <row r="20" ht="13.5" customHeight="1">
      <c r="A20" s="1039">
        <v>10.0</v>
      </c>
      <c r="B20" s="1054"/>
      <c r="C20" s="463"/>
      <c r="D20" s="617"/>
      <c r="E20" s="617"/>
      <c r="F20" s="533"/>
      <c r="G20" s="533"/>
      <c r="H20" s="1055"/>
      <c r="I20" s="463"/>
      <c r="J20" s="1035">
        <f t="shared" si="1"/>
        <v>0</v>
      </c>
      <c r="K20" s="696">
        <f t="shared" si="2"/>
        <v>0</v>
      </c>
    </row>
    <row r="21" ht="13.5" customHeight="1">
      <c r="A21" s="1014" t="s">
        <v>11013</v>
      </c>
      <c r="E21" s="951"/>
      <c r="F21" s="1015"/>
      <c r="G21" s="676"/>
      <c r="H21" s="636"/>
      <c r="I21" s="1016"/>
      <c r="J21" s="201" t="s">
        <v>10982</v>
      </c>
      <c r="K21" s="644">
        <f>SUM(K11:K20)</f>
        <v>446100</v>
      </c>
    </row>
    <row r="22" ht="13.5" customHeight="1">
      <c r="E22" s="641"/>
      <c r="F22" s="645"/>
      <c r="G22" s="645"/>
      <c r="H22" s="643"/>
      <c r="I22" s="1036"/>
      <c r="J22" s="64" t="s">
        <v>9789</v>
      </c>
      <c r="K22" s="1018">
        <v>0.0</v>
      </c>
    </row>
    <row r="23" ht="13.5" customHeight="1">
      <c r="A23" s="639"/>
      <c r="B23" s="639"/>
      <c r="C23" s="639"/>
      <c r="D23" s="640"/>
      <c r="E23" s="641"/>
      <c r="F23" s="645"/>
      <c r="G23" s="645"/>
      <c r="H23" s="643"/>
      <c r="I23" s="1019"/>
      <c r="J23" s="614" t="s">
        <v>9786</v>
      </c>
      <c r="K23" s="1020">
        <f>K21-K22</f>
        <v>446100</v>
      </c>
    </row>
    <row r="24" ht="13.5" customHeight="1">
      <c r="A24" s="592"/>
      <c r="B24" s="628"/>
      <c r="C24" s="628"/>
      <c r="D24" s="628"/>
      <c r="E24" s="641"/>
      <c r="F24" s="645"/>
      <c r="G24" s="645"/>
      <c r="H24" s="646"/>
      <c r="I24" s="1021"/>
    </row>
    <row r="25" ht="13.5" customHeight="1">
      <c r="A25" s="592"/>
      <c r="B25" s="604"/>
      <c r="C25" s="604"/>
      <c r="D25" s="649"/>
      <c r="E25" s="641"/>
      <c r="F25" s="645"/>
      <c r="G25" s="645"/>
      <c r="H25" s="650"/>
      <c r="I25" s="1016"/>
      <c r="J25" s="637"/>
      <c r="K25" s="651"/>
    </row>
    <row r="26" ht="13.5" customHeight="1">
      <c r="A26" s="592"/>
      <c r="B26" s="604"/>
      <c r="C26" s="604"/>
      <c r="D26" s="604"/>
      <c r="E26" s="604"/>
      <c r="F26" s="645"/>
      <c r="G26" s="645"/>
      <c r="H26" s="652" t="s">
        <v>1973</v>
      </c>
      <c r="I26" s="1022"/>
      <c r="J26" s="1023" t="s">
        <v>9791</v>
      </c>
      <c r="K26" s="653"/>
    </row>
    <row r="27" ht="13.5" customHeight="1">
      <c r="A27" s="654" t="s">
        <v>9792</v>
      </c>
      <c r="B27" s="591"/>
      <c r="C27" s="591"/>
      <c r="D27" s="649"/>
      <c r="E27" s="604"/>
      <c r="F27" s="707"/>
      <c r="G27" s="707"/>
      <c r="H27" s="655"/>
      <c r="I27" s="1024"/>
      <c r="J27" s="1025" t="s">
        <v>10990</v>
      </c>
      <c r="K27" s="1025"/>
    </row>
    <row r="28" ht="13.5" customHeight="1">
      <c r="B28" s="657"/>
      <c r="F28" s="658"/>
      <c r="G28" s="658"/>
      <c r="H28" s="650"/>
      <c r="I28" s="1024"/>
      <c r="J28" s="1025"/>
      <c r="K28" s="1025"/>
    </row>
    <row r="29" ht="13.5" customHeight="1">
      <c r="I29" s="1056"/>
      <c r="J29" s="708"/>
      <c r="K29" s="708"/>
    </row>
    <row r="30" ht="13.5" customHeight="1">
      <c r="I30" s="1021"/>
    </row>
    <row r="31" ht="13.5" customHeight="1">
      <c r="I31" s="1021"/>
    </row>
    <row r="32" ht="13.5" customHeight="1">
      <c r="I32" s="1021"/>
    </row>
    <row r="33" ht="13.5" customHeight="1">
      <c r="I33" s="1021"/>
    </row>
    <row r="34" ht="13.5" customHeight="1">
      <c r="I34" s="1021"/>
    </row>
    <row r="35" ht="13.5" customHeight="1">
      <c r="I35" s="1021"/>
    </row>
    <row r="36" ht="13.5" customHeight="1">
      <c r="B36" s="64"/>
      <c r="I36" s="1021"/>
    </row>
    <row r="37" ht="13.5" customHeight="1">
      <c r="I37" s="1021"/>
    </row>
    <row r="38" ht="13.5" customHeight="1">
      <c r="I38" s="1021"/>
    </row>
    <row r="39" ht="13.5" customHeight="1">
      <c r="I39" s="1021"/>
    </row>
    <row r="40" ht="13.5" customHeight="1">
      <c r="I40" s="1021"/>
    </row>
    <row r="41" ht="13.5" customHeight="1">
      <c r="B41" s="548"/>
      <c r="I41" s="1021"/>
    </row>
    <row r="42" ht="13.5" customHeight="1">
      <c r="I42" s="1021"/>
    </row>
    <row r="43" ht="13.5" customHeight="1">
      <c r="I43" s="1021"/>
    </row>
    <row r="44" ht="13.5" customHeight="1">
      <c r="I44" s="1021"/>
    </row>
    <row r="45" ht="13.5" customHeight="1">
      <c r="I45" s="1021"/>
    </row>
    <row r="46" ht="13.5" customHeight="1">
      <c r="I46" s="1021"/>
    </row>
    <row r="47" ht="13.5" customHeight="1">
      <c r="I47" s="1021"/>
    </row>
    <row r="48" ht="13.5" customHeight="1">
      <c r="I48" s="1021"/>
    </row>
    <row r="49" ht="13.5" customHeight="1">
      <c r="I49" s="1021"/>
    </row>
    <row r="50" ht="13.5" customHeight="1">
      <c r="I50" s="1021"/>
    </row>
    <row r="51" ht="13.5" customHeight="1">
      <c r="I51" s="1021"/>
    </row>
    <row r="52" ht="13.5" customHeight="1">
      <c r="I52" s="1021"/>
    </row>
    <row r="53" ht="13.5" customHeight="1">
      <c r="I53" s="1021"/>
    </row>
    <row r="54" ht="13.5" customHeight="1">
      <c r="I54" s="1021"/>
    </row>
    <row r="55" ht="13.5" customHeight="1">
      <c r="I55" s="1021"/>
    </row>
    <row r="56" ht="13.5" customHeight="1">
      <c r="I56" s="1021"/>
    </row>
    <row r="57" ht="13.5" customHeight="1">
      <c r="I57" s="1021"/>
    </row>
    <row r="58" ht="13.5" customHeight="1">
      <c r="I58" s="1021"/>
    </row>
    <row r="59" ht="13.5" customHeight="1">
      <c r="I59" s="1021"/>
    </row>
    <row r="60" ht="13.5" customHeight="1">
      <c r="I60" s="1021"/>
    </row>
    <row r="61" ht="13.5" customHeight="1">
      <c r="I61" s="1021"/>
    </row>
    <row r="62" ht="13.5" customHeight="1">
      <c r="I62" s="1021"/>
    </row>
    <row r="63" ht="13.5" customHeight="1">
      <c r="I63" s="1021"/>
    </row>
    <row r="64" ht="13.5" customHeight="1">
      <c r="I64" s="1021"/>
    </row>
    <row r="65" ht="13.5" customHeight="1">
      <c r="I65" s="1021"/>
    </row>
    <row r="66" ht="13.5" customHeight="1">
      <c r="I66" s="1021"/>
    </row>
    <row r="67" ht="13.5" customHeight="1">
      <c r="I67" s="1021"/>
    </row>
    <row r="68" ht="13.5" customHeight="1">
      <c r="I68" s="1021"/>
    </row>
    <row r="69" ht="13.5" customHeight="1">
      <c r="I69" s="1021"/>
    </row>
    <row r="70" ht="13.5" customHeight="1">
      <c r="I70" s="1021"/>
    </row>
    <row r="71" ht="13.5" customHeight="1">
      <c r="I71" s="1021"/>
    </row>
    <row r="72" ht="13.5" customHeight="1">
      <c r="I72" s="1021"/>
    </row>
    <row r="73" ht="13.5" customHeight="1">
      <c r="I73" s="1021"/>
    </row>
    <row r="74" ht="13.5" customHeight="1">
      <c r="I74" s="1021"/>
    </row>
    <row r="75" ht="13.5" customHeight="1">
      <c r="I75" s="1021"/>
    </row>
    <row r="76" ht="13.5" customHeight="1">
      <c r="I76" s="1021"/>
    </row>
    <row r="77" ht="13.5" customHeight="1">
      <c r="I77" s="1021"/>
    </row>
    <row r="78" ht="13.5" customHeight="1">
      <c r="I78" s="1021"/>
    </row>
    <row r="79" ht="13.5" customHeight="1">
      <c r="I79" s="1021"/>
    </row>
    <row r="80" ht="13.5" customHeight="1">
      <c r="I80" s="1021"/>
    </row>
    <row r="81" ht="13.5" customHeight="1">
      <c r="I81" s="1021"/>
    </row>
    <row r="82" ht="13.5" customHeight="1">
      <c r="I82" s="1021"/>
    </row>
    <row r="83" ht="13.5" customHeight="1">
      <c r="I83" s="1021"/>
    </row>
    <row r="84" ht="13.5" customHeight="1">
      <c r="I84" s="1021"/>
    </row>
    <row r="85" ht="13.5" customHeight="1">
      <c r="I85" s="1021"/>
    </row>
    <row r="86" ht="13.5" customHeight="1">
      <c r="I86" s="1021"/>
    </row>
    <row r="87" ht="13.5" customHeight="1">
      <c r="I87" s="1021"/>
    </row>
    <row r="88" ht="13.5" customHeight="1">
      <c r="I88" s="1021"/>
    </row>
    <row r="89" ht="13.5" customHeight="1">
      <c r="I89" s="1021"/>
    </row>
    <row r="90" ht="13.5" customHeight="1">
      <c r="I90" s="1021"/>
    </row>
    <row r="91" ht="13.5" customHeight="1">
      <c r="I91" s="1021"/>
    </row>
    <row r="92" ht="13.5" customHeight="1">
      <c r="I92" s="1021"/>
    </row>
    <row r="93" ht="13.5" customHeight="1">
      <c r="I93" s="1021"/>
    </row>
    <row r="94" ht="13.5" customHeight="1">
      <c r="I94" s="1021"/>
    </row>
    <row r="95" ht="13.5" customHeight="1">
      <c r="I95" s="1021"/>
    </row>
    <row r="96" ht="13.5" customHeight="1">
      <c r="I96" s="1021"/>
    </row>
    <row r="97" ht="13.5" customHeight="1">
      <c r="I97" s="1021"/>
    </row>
    <row r="98" ht="13.5" customHeight="1">
      <c r="I98" s="1021"/>
    </row>
    <row r="99" ht="13.5" customHeight="1">
      <c r="I99" s="1021"/>
    </row>
    <row r="100" ht="13.5" customHeight="1">
      <c r="I100" s="1021"/>
    </row>
    <row r="101" ht="13.5" customHeight="1">
      <c r="I101" s="1021"/>
    </row>
    <row r="102" ht="13.5" customHeight="1">
      <c r="I102" s="1021"/>
    </row>
    <row r="103" ht="13.5" customHeight="1">
      <c r="I103" s="1021"/>
    </row>
    <row r="104" ht="13.5" customHeight="1">
      <c r="I104" s="1021"/>
    </row>
    <row r="105" ht="13.5" customHeight="1">
      <c r="I105" s="1021"/>
    </row>
    <row r="106" ht="13.5" customHeight="1">
      <c r="I106" s="1021"/>
    </row>
    <row r="107" ht="13.5" customHeight="1">
      <c r="I107" s="1021"/>
    </row>
    <row r="108" ht="13.5" customHeight="1">
      <c r="I108" s="1021"/>
    </row>
    <row r="109" ht="13.5" customHeight="1">
      <c r="I109" s="1021"/>
    </row>
    <row r="110" ht="13.5" customHeight="1">
      <c r="I110" s="1021"/>
    </row>
    <row r="111" ht="13.5" customHeight="1">
      <c r="I111" s="1021"/>
    </row>
    <row r="112" ht="13.5" customHeight="1">
      <c r="I112" s="1021"/>
    </row>
    <row r="113" ht="13.5" customHeight="1">
      <c r="I113" s="1021"/>
    </row>
    <row r="114" ht="13.5" customHeight="1">
      <c r="I114" s="1021"/>
    </row>
    <row r="115" ht="13.5" customHeight="1">
      <c r="I115" s="1021"/>
    </row>
    <row r="116" ht="13.5" customHeight="1">
      <c r="I116" s="1021"/>
    </row>
    <row r="117" ht="13.5" customHeight="1">
      <c r="I117" s="1021"/>
    </row>
    <row r="118" ht="13.5" customHeight="1">
      <c r="I118" s="1021"/>
    </row>
    <row r="119" ht="13.5" customHeight="1">
      <c r="I119" s="1021"/>
    </row>
    <row r="120" ht="13.5" customHeight="1">
      <c r="I120" s="1021"/>
    </row>
    <row r="121" ht="13.5" customHeight="1">
      <c r="I121" s="1021"/>
    </row>
    <row r="122" ht="13.5" customHeight="1">
      <c r="I122" s="1021"/>
    </row>
    <row r="123" ht="13.5" customHeight="1">
      <c r="I123" s="1021"/>
    </row>
    <row r="124" ht="13.5" customHeight="1">
      <c r="I124" s="1021"/>
    </row>
    <row r="125" ht="13.5" customHeight="1">
      <c r="I125" s="1021"/>
    </row>
    <row r="126" ht="13.5" customHeight="1">
      <c r="I126" s="1021"/>
    </row>
    <row r="127" ht="13.5" customHeight="1">
      <c r="I127" s="1021"/>
    </row>
    <row r="128" ht="13.5" customHeight="1">
      <c r="I128" s="1021"/>
    </row>
    <row r="129" ht="13.5" customHeight="1">
      <c r="I129" s="1021"/>
    </row>
    <row r="130" ht="13.5" customHeight="1">
      <c r="I130" s="1021"/>
    </row>
    <row r="131" ht="15.75" customHeight="1">
      <c r="I131" s="1021"/>
    </row>
    <row r="132" ht="15.75" customHeight="1">
      <c r="I132" s="1021"/>
    </row>
    <row r="133" ht="15.75" customHeight="1">
      <c r="I133" s="1021"/>
    </row>
    <row r="134" ht="15.75" customHeight="1">
      <c r="I134" s="1021"/>
    </row>
    <row r="135" ht="15.75" customHeight="1">
      <c r="I135" s="1021"/>
    </row>
    <row r="136" ht="15.75" customHeight="1">
      <c r="I136" s="1021"/>
    </row>
    <row r="137" ht="15.75" customHeight="1">
      <c r="I137" s="1021"/>
    </row>
    <row r="138" ht="15.75" customHeight="1">
      <c r="I138" s="1021"/>
    </row>
    <row r="139" ht="15.75" customHeight="1">
      <c r="I139" s="1021"/>
    </row>
    <row r="140" ht="15.75" customHeight="1">
      <c r="I140" s="1021"/>
    </row>
    <row r="141" ht="15.75" customHeight="1">
      <c r="I141" s="1021"/>
    </row>
    <row r="142" ht="15.75" customHeight="1">
      <c r="I142" s="1021"/>
    </row>
    <row r="143" ht="15.75" customHeight="1">
      <c r="I143" s="1021"/>
    </row>
    <row r="144" ht="15.75" customHeight="1">
      <c r="I144" s="1021"/>
    </row>
    <row r="145" ht="15.75" customHeight="1">
      <c r="I145" s="1021"/>
    </row>
    <row r="146" ht="15.75" customHeight="1">
      <c r="I146" s="1021"/>
    </row>
    <row r="147" ht="15.75" customHeight="1">
      <c r="I147" s="1021"/>
    </row>
    <row r="148" ht="15.75" customHeight="1">
      <c r="I148" s="1021"/>
    </row>
    <row r="149" ht="15.75" customHeight="1">
      <c r="I149" s="1021"/>
    </row>
    <row r="150" ht="15.75" customHeight="1">
      <c r="I150" s="1021"/>
    </row>
    <row r="151" ht="15.75" customHeight="1">
      <c r="I151" s="1021"/>
    </row>
    <row r="152" ht="15.75" customHeight="1">
      <c r="I152" s="1021"/>
    </row>
    <row r="153" ht="15.75" customHeight="1">
      <c r="I153" s="1021"/>
    </row>
    <row r="154" ht="15.75" customHeight="1">
      <c r="I154" s="1021"/>
    </row>
    <row r="155" ht="15.75" customHeight="1">
      <c r="I155" s="1021"/>
    </row>
    <row r="156" ht="15.75" customHeight="1">
      <c r="I156" s="1021"/>
    </row>
    <row r="157" ht="15.75" customHeight="1">
      <c r="I157" s="1021"/>
    </row>
    <row r="158" ht="15.75" customHeight="1">
      <c r="I158" s="1021"/>
    </row>
    <row r="159" ht="15.75" customHeight="1">
      <c r="I159" s="1021"/>
    </row>
    <row r="160" ht="15.75" customHeight="1">
      <c r="I160" s="1021"/>
    </row>
    <row r="161" ht="15.75" customHeight="1">
      <c r="I161" s="1021"/>
    </row>
    <row r="162" ht="15.75" customHeight="1">
      <c r="I162" s="1021"/>
    </row>
    <row r="163" ht="15.75" customHeight="1">
      <c r="I163" s="1021"/>
    </row>
    <row r="164" ht="15.75" customHeight="1">
      <c r="I164" s="1021"/>
    </row>
    <row r="165" ht="15.75" customHeight="1">
      <c r="I165" s="1021"/>
    </row>
    <row r="166" ht="15.75" customHeight="1">
      <c r="I166" s="1021"/>
    </row>
    <row r="167" ht="15.75" customHeight="1">
      <c r="I167" s="1021"/>
    </row>
    <row r="168" ht="15.75" customHeight="1">
      <c r="I168" s="1021"/>
    </row>
    <row r="169" ht="15.75" customHeight="1">
      <c r="I169" s="1021"/>
    </row>
    <row r="170" ht="15.75" customHeight="1">
      <c r="I170" s="1021"/>
    </row>
    <row r="171" ht="15.75" customHeight="1">
      <c r="I171" s="1021"/>
    </row>
    <row r="172" ht="15.75" customHeight="1">
      <c r="I172" s="1021"/>
    </row>
    <row r="173" ht="15.75" customHeight="1">
      <c r="I173" s="1021"/>
    </row>
    <row r="174" ht="15.75" customHeight="1">
      <c r="I174" s="1021"/>
    </row>
    <row r="175" ht="15.75" customHeight="1">
      <c r="I175" s="1021"/>
    </row>
    <row r="176" ht="15.75" customHeight="1">
      <c r="I176" s="1021"/>
    </row>
    <row r="177" ht="15.75" customHeight="1">
      <c r="I177" s="1021"/>
    </row>
    <row r="178" ht="15.75" customHeight="1">
      <c r="I178" s="1021"/>
    </row>
    <row r="179" ht="15.75" customHeight="1">
      <c r="I179" s="1021"/>
    </row>
    <row r="180" ht="15.75" customHeight="1">
      <c r="I180" s="1021"/>
    </row>
    <row r="181" ht="15.75" customHeight="1">
      <c r="I181" s="1021"/>
    </row>
    <row r="182" ht="15.75" customHeight="1">
      <c r="I182" s="1021"/>
    </row>
    <row r="183" ht="15.75" customHeight="1">
      <c r="I183" s="1021"/>
    </row>
    <row r="184" ht="15.75" customHeight="1">
      <c r="I184" s="1021"/>
    </row>
    <row r="185" ht="15.75" customHeight="1">
      <c r="I185" s="1021"/>
    </row>
    <row r="186" ht="15.75" customHeight="1">
      <c r="I186" s="1021"/>
    </row>
    <row r="187" ht="15.75" customHeight="1">
      <c r="I187" s="1021"/>
    </row>
    <row r="188" ht="15.75" customHeight="1">
      <c r="I188" s="1021"/>
    </row>
    <row r="189" ht="15.75" customHeight="1">
      <c r="I189" s="1021"/>
    </row>
    <row r="190" ht="15.75" customHeight="1">
      <c r="I190" s="1021"/>
    </row>
    <row r="191" ht="15.75" customHeight="1">
      <c r="I191" s="1021"/>
    </row>
    <row r="192" ht="15.75" customHeight="1">
      <c r="I192" s="1021"/>
    </row>
    <row r="193" ht="15.75" customHeight="1">
      <c r="I193" s="1021"/>
    </row>
    <row r="194" ht="15.75" customHeight="1">
      <c r="I194" s="1021"/>
    </row>
    <row r="195" ht="15.75" customHeight="1">
      <c r="I195" s="1021"/>
    </row>
    <row r="196" ht="15.75" customHeight="1">
      <c r="I196" s="1021"/>
    </row>
    <row r="197" ht="15.75" customHeight="1">
      <c r="I197" s="1021"/>
    </row>
    <row r="198" ht="15.75" customHeight="1">
      <c r="I198" s="1021"/>
    </row>
    <row r="199" ht="15.75" customHeight="1">
      <c r="I199" s="1021"/>
    </row>
    <row r="200" ht="15.75" customHeight="1">
      <c r="I200" s="1021"/>
    </row>
    <row r="201" ht="15.75" customHeight="1">
      <c r="I201" s="1021"/>
    </row>
    <row r="202" ht="15.75" customHeight="1">
      <c r="I202" s="1021"/>
    </row>
    <row r="203" ht="15.75" customHeight="1">
      <c r="I203" s="1021"/>
    </row>
    <row r="204" ht="15.75" customHeight="1">
      <c r="I204" s="1021"/>
    </row>
    <row r="205" ht="15.75" customHeight="1">
      <c r="I205" s="1021"/>
    </row>
    <row r="206" ht="15.75" customHeight="1">
      <c r="I206" s="1021"/>
    </row>
    <row r="207" ht="15.75" customHeight="1">
      <c r="I207" s="1021"/>
    </row>
    <row r="208" ht="15.75" customHeight="1">
      <c r="I208" s="1021"/>
    </row>
    <row r="209" ht="15.75" customHeight="1">
      <c r="I209" s="1021"/>
    </row>
    <row r="210" ht="15.75" customHeight="1">
      <c r="I210" s="1021"/>
    </row>
    <row r="211" ht="15.75" customHeight="1">
      <c r="I211" s="1021"/>
    </row>
    <row r="212" ht="15.75" customHeight="1">
      <c r="I212" s="1021"/>
    </row>
    <row r="213" ht="15.75" customHeight="1">
      <c r="I213" s="1021"/>
    </row>
    <row r="214" ht="15.75" customHeight="1">
      <c r="I214" s="1021"/>
    </row>
    <row r="215" ht="15.75" customHeight="1">
      <c r="I215" s="1021"/>
    </row>
    <row r="216" ht="15.75" customHeight="1">
      <c r="I216" s="1021"/>
    </row>
    <row r="217" ht="15.75" customHeight="1">
      <c r="I217" s="1021"/>
    </row>
    <row r="218" ht="15.75" customHeight="1">
      <c r="I218" s="1021"/>
    </row>
    <row r="219" ht="15.75" customHeight="1">
      <c r="I219" s="1021"/>
    </row>
    <row r="220" ht="15.75" customHeight="1">
      <c r="I220" s="1021"/>
    </row>
    <row r="221" ht="15.75" customHeight="1">
      <c r="I221" s="1021"/>
    </row>
    <row r="222" ht="15.75" customHeight="1">
      <c r="I222" s="1021"/>
    </row>
    <row r="223" ht="15.75" customHeight="1">
      <c r="I223" s="1021"/>
    </row>
    <row r="224" ht="15.75" customHeight="1">
      <c r="I224" s="1021"/>
    </row>
    <row r="225" ht="15.75" customHeight="1">
      <c r="I225" s="1021"/>
    </row>
    <row r="226" ht="15.75" customHeight="1">
      <c r="I226" s="1021"/>
    </row>
    <row r="227" ht="15.75" customHeight="1">
      <c r="I227" s="1021"/>
    </row>
    <row r="228" ht="15.75" customHeight="1">
      <c r="I228" s="1021"/>
    </row>
    <row r="229" ht="15.75" customHeight="1">
      <c r="I229" s="1021"/>
    </row>
    <row r="230" ht="15.75" customHeight="1">
      <c r="I230" s="1021"/>
    </row>
    <row r="231" ht="15.75" customHeight="1">
      <c r="I231" s="1021"/>
    </row>
    <row r="232" ht="15.75" customHeight="1">
      <c r="I232" s="1021"/>
    </row>
    <row r="233" ht="15.75" customHeight="1">
      <c r="I233" s="1021"/>
    </row>
    <row r="234" ht="15.75" customHeight="1">
      <c r="I234" s="1021"/>
    </row>
    <row r="235" ht="15.75" customHeight="1">
      <c r="I235" s="1021"/>
    </row>
    <row r="236" ht="15.75" customHeight="1">
      <c r="I236" s="1021"/>
    </row>
    <row r="237" ht="15.75" customHeight="1">
      <c r="I237" s="1021"/>
    </row>
    <row r="238" ht="15.75" customHeight="1">
      <c r="I238" s="1021"/>
    </row>
    <row r="239" ht="15.75" customHeight="1">
      <c r="I239" s="1021"/>
    </row>
    <row r="240" ht="15.75" customHeight="1">
      <c r="I240" s="1021"/>
    </row>
    <row r="241" ht="15.75" customHeight="1">
      <c r="I241" s="1021"/>
    </row>
    <row r="242" ht="15.75" customHeight="1">
      <c r="I242" s="1021"/>
    </row>
    <row r="243" ht="15.75" customHeight="1">
      <c r="I243" s="1021"/>
    </row>
    <row r="244" ht="15.75" customHeight="1">
      <c r="I244" s="1021"/>
    </row>
    <row r="245" ht="15.75" customHeight="1">
      <c r="I245" s="1021"/>
    </row>
    <row r="246" ht="15.75" customHeight="1">
      <c r="I246" s="1021"/>
    </row>
    <row r="247" ht="15.75" customHeight="1">
      <c r="I247" s="1021"/>
    </row>
    <row r="248" ht="15.75" customHeight="1">
      <c r="I248" s="1021"/>
    </row>
    <row r="249" ht="15.75" customHeight="1">
      <c r="I249" s="1021"/>
    </row>
    <row r="250" ht="15.75" customHeight="1">
      <c r="I250" s="1021"/>
    </row>
    <row r="251" ht="15.75" customHeight="1">
      <c r="I251" s="1021"/>
    </row>
    <row r="252" ht="15.75" customHeight="1">
      <c r="I252" s="1021"/>
    </row>
    <row r="253" ht="15.75" customHeight="1">
      <c r="I253" s="1021"/>
    </row>
    <row r="254" ht="15.75" customHeight="1">
      <c r="I254" s="1021"/>
    </row>
    <row r="255" ht="15.75" customHeight="1">
      <c r="I255" s="1021"/>
    </row>
    <row r="256" ht="15.75" customHeight="1">
      <c r="I256" s="1021"/>
    </row>
    <row r="257" ht="15.75" customHeight="1">
      <c r="I257" s="1021"/>
    </row>
    <row r="258" ht="15.75" customHeight="1">
      <c r="I258" s="1021"/>
    </row>
    <row r="259" ht="15.75" customHeight="1">
      <c r="I259" s="1021"/>
    </row>
    <row r="260" ht="15.75" customHeight="1">
      <c r="I260" s="1021"/>
    </row>
    <row r="261" ht="15.75" customHeight="1">
      <c r="I261" s="1021"/>
    </row>
    <row r="262" ht="15.75" customHeight="1">
      <c r="I262" s="1021"/>
    </row>
    <row r="263" ht="15.75" customHeight="1">
      <c r="I263" s="1021"/>
    </row>
    <row r="264" ht="15.75" customHeight="1">
      <c r="I264" s="1021"/>
    </row>
    <row r="265" ht="15.75" customHeight="1">
      <c r="I265" s="1021"/>
    </row>
    <row r="266" ht="15.75" customHeight="1">
      <c r="I266" s="1021"/>
    </row>
    <row r="267" ht="15.75" customHeight="1">
      <c r="I267" s="1021"/>
    </row>
    <row r="268" ht="15.75" customHeight="1">
      <c r="I268" s="1021"/>
    </row>
    <row r="269" ht="15.75" customHeight="1">
      <c r="I269" s="1021"/>
    </row>
    <row r="270" ht="15.75" customHeight="1">
      <c r="I270" s="1021"/>
    </row>
    <row r="271" ht="15.75" customHeight="1">
      <c r="I271" s="1021"/>
    </row>
    <row r="272" ht="15.75" customHeight="1">
      <c r="I272" s="1021"/>
    </row>
    <row r="273" ht="15.75" customHeight="1">
      <c r="I273" s="1021"/>
    </row>
    <row r="274" ht="15.75" customHeight="1">
      <c r="I274" s="1021"/>
    </row>
    <row r="275" ht="15.75" customHeight="1">
      <c r="I275" s="1021"/>
    </row>
    <row r="276" ht="15.75" customHeight="1">
      <c r="I276" s="1021"/>
    </row>
    <row r="277" ht="15.75" customHeight="1">
      <c r="I277" s="1021"/>
    </row>
    <row r="278" ht="15.75" customHeight="1">
      <c r="I278" s="1021"/>
    </row>
    <row r="279" ht="15.75" customHeight="1">
      <c r="I279" s="1021"/>
    </row>
    <row r="280" ht="15.75" customHeight="1">
      <c r="I280" s="1021"/>
    </row>
    <row r="281" ht="15.75" customHeight="1">
      <c r="I281" s="1021"/>
    </row>
    <row r="282" ht="15.75" customHeight="1">
      <c r="I282" s="1021"/>
    </row>
    <row r="283" ht="15.75" customHeight="1">
      <c r="I283" s="1021"/>
    </row>
    <row r="284" ht="15.75" customHeight="1">
      <c r="I284" s="1021"/>
    </row>
    <row r="285" ht="15.75" customHeight="1">
      <c r="I285" s="1021"/>
    </row>
    <row r="286" ht="15.75" customHeight="1">
      <c r="I286" s="1021"/>
    </row>
    <row r="287" ht="15.75" customHeight="1">
      <c r="I287" s="1021"/>
    </row>
    <row r="288" ht="15.75" customHeight="1">
      <c r="I288" s="1021"/>
    </row>
    <row r="289" ht="15.75" customHeight="1">
      <c r="I289" s="1021"/>
    </row>
    <row r="290" ht="15.75" customHeight="1">
      <c r="I290" s="1021"/>
    </row>
    <row r="291" ht="15.75" customHeight="1">
      <c r="I291" s="1021"/>
    </row>
    <row r="292" ht="15.75" customHeight="1">
      <c r="I292" s="1021"/>
    </row>
    <row r="293" ht="15.75" customHeight="1">
      <c r="I293" s="1021"/>
    </row>
    <row r="294" ht="15.75" customHeight="1">
      <c r="I294" s="1021"/>
    </row>
    <row r="295" ht="15.75" customHeight="1">
      <c r="I295" s="1021"/>
    </row>
    <row r="296" ht="15.75" customHeight="1">
      <c r="I296" s="1021"/>
    </row>
    <row r="297" ht="15.75" customHeight="1">
      <c r="I297" s="1021"/>
    </row>
    <row r="298" ht="15.75" customHeight="1">
      <c r="I298" s="1021"/>
    </row>
    <row r="299" ht="15.75" customHeight="1">
      <c r="I299" s="1021"/>
    </row>
    <row r="300" ht="15.75" customHeight="1">
      <c r="I300" s="1021"/>
    </row>
    <row r="301" ht="15.75" customHeight="1">
      <c r="I301" s="1021"/>
    </row>
    <row r="302" ht="15.75" customHeight="1">
      <c r="I302" s="1021"/>
    </row>
    <row r="303" ht="15.75" customHeight="1">
      <c r="I303" s="1021"/>
    </row>
    <row r="304" ht="15.75" customHeight="1">
      <c r="I304" s="1021"/>
    </row>
    <row r="305" ht="15.75" customHeight="1">
      <c r="I305" s="1021"/>
    </row>
    <row r="306" ht="15.75" customHeight="1">
      <c r="I306" s="1021"/>
    </row>
    <row r="307" ht="15.75" customHeight="1">
      <c r="I307" s="1021"/>
    </row>
    <row r="308" ht="15.75" customHeight="1">
      <c r="I308" s="1021"/>
    </row>
    <row r="309" ht="15.75" customHeight="1">
      <c r="I309" s="1021"/>
    </row>
    <row r="310" ht="15.75" customHeight="1">
      <c r="I310" s="1021"/>
    </row>
    <row r="311" ht="15.75" customHeight="1">
      <c r="I311" s="1021"/>
    </row>
    <row r="312" ht="15.75" customHeight="1">
      <c r="I312" s="1021"/>
    </row>
    <row r="313" ht="15.75" customHeight="1">
      <c r="I313" s="1021"/>
    </row>
    <row r="314" ht="15.75" customHeight="1">
      <c r="I314" s="1021"/>
    </row>
    <row r="315" ht="15.75" customHeight="1">
      <c r="I315" s="1021"/>
    </row>
    <row r="316" ht="15.75" customHeight="1">
      <c r="I316" s="1021"/>
    </row>
    <row r="317" ht="15.75" customHeight="1">
      <c r="I317" s="1021"/>
    </row>
    <row r="318" ht="15.75" customHeight="1">
      <c r="I318" s="1021"/>
    </row>
    <row r="319" ht="15.75" customHeight="1">
      <c r="I319" s="1021"/>
    </row>
    <row r="320" ht="15.75" customHeight="1">
      <c r="I320" s="1021"/>
    </row>
    <row r="321" ht="15.75" customHeight="1">
      <c r="I321" s="1021"/>
    </row>
    <row r="322" ht="15.75" customHeight="1">
      <c r="I322" s="1021"/>
    </row>
    <row r="323" ht="15.75" customHeight="1">
      <c r="I323" s="1021"/>
    </row>
    <row r="324" ht="15.75" customHeight="1">
      <c r="I324" s="1021"/>
    </row>
    <row r="325" ht="15.75" customHeight="1">
      <c r="I325" s="1021"/>
    </row>
    <row r="326" ht="15.75" customHeight="1">
      <c r="I326" s="1021"/>
    </row>
    <row r="327" ht="15.75" customHeight="1">
      <c r="I327" s="1021"/>
    </row>
    <row r="328" ht="15.75" customHeight="1">
      <c r="I328" s="1021"/>
    </row>
    <row r="329" ht="15.75" customHeight="1">
      <c r="I329" s="1021"/>
    </row>
    <row r="330" ht="15.75" customHeight="1">
      <c r="I330" s="1021"/>
    </row>
    <row r="331" ht="15.75" customHeight="1">
      <c r="I331" s="1021"/>
    </row>
    <row r="332" ht="15.75" customHeight="1">
      <c r="I332" s="1021"/>
    </row>
    <row r="333" ht="15.75" customHeight="1">
      <c r="I333" s="1021"/>
    </row>
    <row r="334" ht="15.75" customHeight="1">
      <c r="I334" s="1021"/>
    </row>
    <row r="335" ht="15.75" customHeight="1">
      <c r="I335" s="1021"/>
    </row>
    <row r="336" ht="15.75" customHeight="1">
      <c r="I336" s="1021"/>
    </row>
    <row r="337" ht="15.75" customHeight="1">
      <c r="I337" s="1021"/>
    </row>
    <row r="338" ht="15.75" customHeight="1">
      <c r="I338" s="1021"/>
    </row>
    <row r="339" ht="15.75" customHeight="1">
      <c r="I339" s="1021"/>
    </row>
    <row r="340" ht="15.75" customHeight="1">
      <c r="I340" s="1021"/>
    </row>
    <row r="341" ht="15.75" customHeight="1">
      <c r="I341" s="1021"/>
    </row>
    <row r="342" ht="15.75" customHeight="1">
      <c r="I342" s="1021"/>
    </row>
    <row r="343" ht="15.75" customHeight="1">
      <c r="I343" s="1021"/>
    </row>
    <row r="344" ht="15.75" customHeight="1">
      <c r="I344" s="1021"/>
    </row>
    <row r="345" ht="15.75" customHeight="1">
      <c r="I345" s="1021"/>
    </row>
    <row r="346" ht="15.75" customHeight="1">
      <c r="I346" s="1021"/>
    </row>
    <row r="347" ht="15.75" customHeight="1">
      <c r="I347" s="1021"/>
    </row>
    <row r="348" ht="15.75" customHeight="1">
      <c r="I348" s="1021"/>
    </row>
    <row r="349" ht="15.75" customHeight="1">
      <c r="I349" s="1021"/>
    </row>
    <row r="350" ht="15.75" customHeight="1">
      <c r="I350" s="1021"/>
    </row>
    <row r="351" ht="15.75" customHeight="1">
      <c r="I351" s="1021"/>
    </row>
    <row r="352" ht="15.75" customHeight="1">
      <c r="I352" s="1021"/>
    </row>
    <row r="353" ht="15.75" customHeight="1">
      <c r="I353" s="1021"/>
    </row>
    <row r="354" ht="15.75" customHeight="1">
      <c r="I354" s="1021"/>
    </row>
    <row r="355" ht="15.75" customHeight="1">
      <c r="I355" s="1021"/>
    </row>
    <row r="356" ht="15.75" customHeight="1">
      <c r="I356" s="1021"/>
    </row>
    <row r="357" ht="15.75" customHeight="1">
      <c r="I357" s="1021"/>
    </row>
    <row r="358" ht="15.75" customHeight="1">
      <c r="I358" s="1021"/>
    </row>
    <row r="359" ht="15.75" customHeight="1">
      <c r="I359" s="1021"/>
    </row>
    <row r="360" ht="15.75" customHeight="1">
      <c r="I360" s="1021"/>
    </row>
    <row r="361" ht="15.75" customHeight="1">
      <c r="I361" s="1021"/>
    </row>
    <row r="362" ht="15.75" customHeight="1">
      <c r="I362" s="1021"/>
    </row>
    <row r="363" ht="15.75" customHeight="1">
      <c r="I363" s="1021"/>
    </row>
    <row r="364" ht="15.75" customHeight="1">
      <c r="I364" s="1021"/>
    </row>
    <row r="365" ht="15.75" customHeight="1">
      <c r="I365" s="1021"/>
    </row>
    <row r="366" ht="15.75" customHeight="1">
      <c r="I366" s="1021"/>
    </row>
    <row r="367" ht="15.75" customHeight="1">
      <c r="I367" s="1021"/>
    </row>
    <row r="368" ht="15.75" customHeight="1">
      <c r="I368" s="1021"/>
    </row>
    <row r="369" ht="15.75" customHeight="1">
      <c r="I369" s="1021"/>
    </row>
    <row r="370" ht="15.75" customHeight="1">
      <c r="I370" s="1021"/>
    </row>
    <row r="371" ht="15.75" customHeight="1">
      <c r="I371" s="1021"/>
    </row>
    <row r="372" ht="15.75" customHeight="1">
      <c r="I372" s="1021"/>
    </row>
    <row r="373" ht="15.75" customHeight="1">
      <c r="I373" s="1021"/>
    </row>
    <row r="374" ht="15.75" customHeight="1">
      <c r="I374" s="1021"/>
    </row>
    <row r="375" ht="15.75" customHeight="1">
      <c r="I375" s="1021"/>
    </row>
    <row r="376" ht="15.75" customHeight="1">
      <c r="I376" s="1021"/>
    </row>
    <row r="377" ht="15.75" customHeight="1">
      <c r="I377" s="1021"/>
    </row>
    <row r="378" ht="15.75" customHeight="1">
      <c r="I378" s="1021"/>
    </row>
    <row r="379" ht="15.75" customHeight="1">
      <c r="I379" s="1021"/>
    </row>
    <row r="380" ht="15.75" customHeight="1">
      <c r="I380" s="1021"/>
    </row>
    <row r="381" ht="15.75" customHeight="1">
      <c r="I381" s="1021"/>
    </row>
    <row r="382" ht="15.75" customHeight="1">
      <c r="I382" s="1021"/>
    </row>
    <row r="383" ht="15.75" customHeight="1">
      <c r="I383" s="1021"/>
    </row>
    <row r="384" ht="15.75" customHeight="1">
      <c r="I384" s="1021"/>
    </row>
    <row r="385" ht="15.75" customHeight="1">
      <c r="I385" s="1021"/>
    </row>
    <row r="386" ht="15.75" customHeight="1">
      <c r="I386" s="1021"/>
    </row>
    <row r="387" ht="15.75" customHeight="1">
      <c r="I387" s="1021"/>
    </row>
    <row r="388" ht="15.75" customHeight="1">
      <c r="I388" s="1021"/>
    </row>
    <row r="389" ht="15.75" customHeight="1">
      <c r="I389" s="1021"/>
    </row>
    <row r="390" ht="15.75" customHeight="1">
      <c r="I390" s="1021"/>
    </row>
    <row r="391" ht="15.75" customHeight="1">
      <c r="I391" s="1021"/>
    </row>
    <row r="392" ht="15.75" customHeight="1">
      <c r="I392" s="1021"/>
    </row>
    <row r="393" ht="15.75" customHeight="1">
      <c r="I393" s="1021"/>
    </row>
    <row r="394" ht="15.75" customHeight="1">
      <c r="I394" s="1021"/>
    </row>
    <row r="395" ht="15.75" customHeight="1">
      <c r="I395" s="1021"/>
    </row>
    <row r="396" ht="15.75" customHeight="1">
      <c r="I396" s="1021"/>
    </row>
    <row r="397" ht="15.75" customHeight="1">
      <c r="I397" s="1021"/>
    </row>
    <row r="398" ht="15.75" customHeight="1">
      <c r="I398" s="1021"/>
    </row>
    <row r="399" ht="15.75" customHeight="1">
      <c r="I399" s="1021"/>
    </row>
    <row r="400" ht="15.75" customHeight="1">
      <c r="I400" s="1021"/>
    </row>
    <row r="401" ht="15.75" customHeight="1">
      <c r="I401" s="1021"/>
    </row>
    <row r="402" ht="15.75" customHeight="1">
      <c r="I402" s="1021"/>
    </row>
    <row r="403" ht="15.75" customHeight="1">
      <c r="I403" s="1021"/>
    </row>
    <row r="404" ht="15.75" customHeight="1">
      <c r="I404" s="1021"/>
    </row>
    <row r="405" ht="15.75" customHeight="1">
      <c r="I405" s="1021"/>
    </row>
    <row r="406" ht="15.75" customHeight="1">
      <c r="I406" s="1021"/>
    </row>
    <row r="407" ht="15.75" customHeight="1">
      <c r="I407" s="1021"/>
    </row>
    <row r="408" ht="15.75" customHeight="1">
      <c r="I408" s="1021"/>
    </row>
    <row r="409" ht="15.75" customHeight="1">
      <c r="I409" s="1021"/>
    </row>
    <row r="410" ht="15.75" customHeight="1">
      <c r="I410" s="1021"/>
    </row>
    <row r="411" ht="15.75" customHeight="1">
      <c r="I411" s="1021"/>
    </row>
    <row r="412" ht="15.75" customHeight="1">
      <c r="I412" s="1021"/>
    </row>
    <row r="413" ht="15.75" customHeight="1">
      <c r="I413" s="1021"/>
    </row>
    <row r="414" ht="15.75" customHeight="1">
      <c r="I414" s="1021"/>
    </row>
    <row r="415" ht="15.75" customHeight="1">
      <c r="I415" s="1021"/>
    </row>
    <row r="416" ht="15.75" customHeight="1">
      <c r="I416" s="1021"/>
    </row>
    <row r="417" ht="15.75" customHeight="1">
      <c r="I417" s="1021"/>
    </row>
    <row r="418" ht="15.75" customHeight="1">
      <c r="I418" s="1021"/>
    </row>
    <row r="419" ht="15.75" customHeight="1">
      <c r="I419" s="1021"/>
    </row>
    <row r="420" ht="15.75" customHeight="1">
      <c r="I420" s="1021"/>
    </row>
    <row r="421" ht="15.75" customHeight="1">
      <c r="I421" s="1021"/>
    </row>
    <row r="422" ht="15.75" customHeight="1">
      <c r="I422" s="1021"/>
    </row>
    <row r="423" ht="15.75" customHeight="1">
      <c r="I423" s="1021"/>
    </row>
    <row r="424" ht="15.75" customHeight="1">
      <c r="I424" s="1021"/>
    </row>
    <row r="425" ht="15.75" customHeight="1">
      <c r="I425" s="1021"/>
    </row>
    <row r="426" ht="15.75" customHeight="1">
      <c r="I426" s="1021"/>
    </row>
    <row r="427" ht="15.75" customHeight="1">
      <c r="I427" s="1021"/>
    </row>
    <row r="428" ht="15.75" customHeight="1">
      <c r="I428" s="1021"/>
    </row>
    <row r="429" ht="15.75" customHeight="1">
      <c r="I429" s="1021"/>
    </row>
    <row r="430" ht="15.75" customHeight="1">
      <c r="I430" s="1021"/>
    </row>
    <row r="431" ht="15.75" customHeight="1">
      <c r="I431" s="1021"/>
    </row>
    <row r="432" ht="15.75" customHeight="1">
      <c r="I432" s="1021"/>
    </row>
    <row r="433" ht="15.75" customHeight="1">
      <c r="I433" s="1021"/>
    </row>
    <row r="434" ht="15.75" customHeight="1">
      <c r="I434" s="1021"/>
    </row>
    <row r="435" ht="15.75" customHeight="1">
      <c r="I435" s="1021"/>
    </row>
    <row r="436" ht="15.75" customHeight="1">
      <c r="I436" s="1021"/>
    </row>
    <row r="437" ht="15.75" customHeight="1">
      <c r="I437" s="1021"/>
    </row>
    <row r="438" ht="15.75" customHeight="1">
      <c r="I438" s="1021"/>
    </row>
    <row r="439" ht="15.75" customHeight="1">
      <c r="I439" s="1021"/>
    </row>
    <row r="440" ht="15.75" customHeight="1">
      <c r="I440" s="1021"/>
    </row>
    <row r="441" ht="15.75" customHeight="1">
      <c r="I441" s="1021"/>
    </row>
    <row r="442" ht="15.75" customHeight="1">
      <c r="I442" s="1021"/>
    </row>
    <row r="443" ht="15.75" customHeight="1">
      <c r="I443" s="1021"/>
    </row>
    <row r="444" ht="15.75" customHeight="1">
      <c r="I444" s="1021"/>
    </row>
    <row r="445" ht="15.75" customHeight="1">
      <c r="I445" s="1021"/>
    </row>
    <row r="446" ht="15.75" customHeight="1">
      <c r="I446" s="1021"/>
    </row>
    <row r="447" ht="15.75" customHeight="1">
      <c r="I447" s="1021"/>
    </row>
    <row r="448" ht="15.75" customHeight="1">
      <c r="I448" s="1021"/>
    </row>
    <row r="449" ht="15.75" customHeight="1">
      <c r="I449" s="1021"/>
    </row>
    <row r="450" ht="15.75" customHeight="1">
      <c r="I450" s="1021"/>
    </row>
    <row r="451" ht="15.75" customHeight="1">
      <c r="I451" s="1021"/>
    </row>
    <row r="452" ht="15.75" customHeight="1">
      <c r="I452" s="1021"/>
    </row>
    <row r="453" ht="15.75" customHeight="1">
      <c r="I453" s="1021"/>
    </row>
    <row r="454" ht="15.75" customHeight="1">
      <c r="I454" s="1021"/>
    </row>
    <row r="455" ht="15.75" customHeight="1">
      <c r="I455" s="1021"/>
    </row>
    <row r="456" ht="15.75" customHeight="1">
      <c r="I456" s="1021"/>
    </row>
    <row r="457" ht="15.75" customHeight="1">
      <c r="I457" s="1021"/>
    </row>
    <row r="458" ht="15.75" customHeight="1">
      <c r="I458" s="1021"/>
    </row>
    <row r="459" ht="15.75" customHeight="1">
      <c r="I459" s="1021"/>
    </row>
    <row r="460" ht="15.75" customHeight="1">
      <c r="I460" s="1021"/>
    </row>
    <row r="461" ht="15.75" customHeight="1">
      <c r="I461" s="1021"/>
    </row>
    <row r="462" ht="15.75" customHeight="1">
      <c r="I462" s="1021"/>
    </row>
    <row r="463" ht="15.75" customHeight="1">
      <c r="I463" s="1021"/>
    </row>
    <row r="464" ht="15.75" customHeight="1">
      <c r="I464" s="1021"/>
    </row>
    <row r="465" ht="15.75" customHeight="1">
      <c r="I465" s="1021"/>
    </row>
    <row r="466" ht="15.75" customHeight="1">
      <c r="I466" s="1021"/>
    </row>
    <row r="467" ht="15.75" customHeight="1">
      <c r="I467" s="1021"/>
    </row>
    <row r="468" ht="15.75" customHeight="1">
      <c r="I468" s="1021"/>
    </row>
    <row r="469" ht="15.75" customHeight="1">
      <c r="I469" s="1021"/>
    </row>
    <row r="470" ht="15.75" customHeight="1">
      <c r="I470" s="1021"/>
    </row>
    <row r="471" ht="15.75" customHeight="1">
      <c r="I471" s="1021"/>
    </row>
    <row r="472" ht="15.75" customHeight="1">
      <c r="I472" s="1021"/>
    </row>
    <row r="473" ht="15.75" customHeight="1">
      <c r="I473" s="1021"/>
    </row>
    <row r="474" ht="15.75" customHeight="1">
      <c r="I474" s="1021"/>
    </row>
    <row r="475" ht="15.75" customHeight="1">
      <c r="I475" s="1021"/>
    </row>
    <row r="476" ht="15.75" customHeight="1">
      <c r="I476" s="1021"/>
    </row>
    <row r="477" ht="15.75" customHeight="1">
      <c r="I477" s="1021"/>
    </row>
    <row r="478" ht="15.75" customHeight="1">
      <c r="I478" s="1021"/>
    </row>
    <row r="479" ht="15.75" customHeight="1">
      <c r="I479" s="1021"/>
    </row>
    <row r="480" ht="15.75" customHeight="1">
      <c r="I480" s="1021"/>
    </row>
    <row r="481" ht="15.75" customHeight="1">
      <c r="I481" s="1021"/>
    </row>
    <row r="482" ht="15.75" customHeight="1">
      <c r="I482" s="1021"/>
    </row>
    <row r="483" ht="15.75" customHeight="1">
      <c r="I483" s="1021"/>
    </row>
    <row r="484" ht="15.75" customHeight="1">
      <c r="I484" s="1021"/>
    </row>
    <row r="485" ht="15.75" customHeight="1">
      <c r="I485" s="1021"/>
    </row>
    <row r="486" ht="15.75" customHeight="1">
      <c r="I486" s="1021"/>
    </row>
    <row r="487" ht="15.75" customHeight="1">
      <c r="I487" s="1021"/>
    </row>
    <row r="488" ht="15.75" customHeight="1">
      <c r="I488" s="1021"/>
    </row>
    <row r="489" ht="15.75" customHeight="1">
      <c r="I489" s="1021"/>
    </row>
    <row r="490" ht="15.75" customHeight="1">
      <c r="I490" s="1021"/>
    </row>
    <row r="491" ht="15.75" customHeight="1">
      <c r="I491" s="1021"/>
    </row>
    <row r="492" ht="15.75" customHeight="1">
      <c r="I492" s="1021"/>
    </row>
    <row r="493" ht="15.75" customHeight="1">
      <c r="I493" s="1021"/>
    </row>
    <row r="494" ht="15.75" customHeight="1">
      <c r="I494" s="1021"/>
    </row>
    <row r="495" ht="15.75" customHeight="1">
      <c r="I495" s="1021"/>
    </row>
    <row r="496" ht="15.75" customHeight="1">
      <c r="I496" s="1021"/>
    </row>
    <row r="497" ht="15.75" customHeight="1">
      <c r="I497" s="1021"/>
    </row>
    <row r="498" ht="15.75" customHeight="1">
      <c r="I498" s="1021"/>
    </row>
    <row r="499" ht="15.75" customHeight="1">
      <c r="I499" s="1021"/>
    </row>
    <row r="500" ht="15.75" customHeight="1">
      <c r="I500" s="1021"/>
    </row>
    <row r="501" ht="15.75" customHeight="1">
      <c r="I501" s="1021"/>
    </row>
    <row r="502" ht="15.75" customHeight="1">
      <c r="I502" s="1021"/>
    </row>
    <row r="503" ht="15.75" customHeight="1">
      <c r="I503" s="1021"/>
    </row>
    <row r="504" ht="15.75" customHeight="1">
      <c r="I504" s="1021"/>
    </row>
    <row r="505" ht="15.75" customHeight="1">
      <c r="I505" s="1021"/>
    </row>
    <row r="506" ht="15.75" customHeight="1">
      <c r="I506" s="1021"/>
    </row>
    <row r="507" ht="15.75" customHeight="1">
      <c r="I507" s="1021"/>
    </row>
    <row r="508" ht="15.75" customHeight="1">
      <c r="I508" s="1021"/>
    </row>
    <row r="509" ht="15.75" customHeight="1">
      <c r="I509" s="1021"/>
    </row>
    <row r="510" ht="15.75" customHeight="1">
      <c r="I510" s="1021"/>
    </row>
    <row r="511" ht="15.75" customHeight="1">
      <c r="I511" s="1021"/>
    </row>
    <row r="512" ht="15.75" customHeight="1">
      <c r="I512" s="1021"/>
    </row>
    <row r="513" ht="15.75" customHeight="1">
      <c r="I513" s="1021"/>
    </row>
    <row r="514" ht="15.75" customHeight="1">
      <c r="I514" s="1021"/>
    </row>
    <row r="515" ht="15.75" customHeight="1">
      <c r="I515" s="1021"/>
    </row>
    <row r="516" ht="15.75" customHeight="1">
      <c r="I516" s="1021"/>
    </row>
    <row r="517" ht="15.75" customHeight="1">
      <c r="I517" s="1021"/>
    </row>
    <row r="518" ht="15.75" customHeight="1">
      <c r="I518" s="1021"/>
    </row>
    <row r="519" ht="15.75" customHeight="1">
      <c r="I519" s="1021"/>
    </row>
    <row r="520" ht="15.75" customHeight="1">
      <c r="I520" s="1021"/>
    </row>
    <row r="521" ht="15.75" customHeight="1">
      <c r="I521" s="1021"/>
    </row>
    <row r="522" ht="15.75" customHeight="1">
      <c r="I522" s="1021"/>
    </row>
    <row r="523" ht="15.75" customHeight="1">
      <c r="I523" s="1021"/>
    </row>
    <row r="524" ht="15.75" customHeight="1">
      <c r="I524" s="1021"/>
    </row>
    <row r="525" ht="15.75" customHeight="1">
      <c r="I525" s="1021"/>
    </row>
    <row r="526" ht="15.75" customHeight="1">
      <c r="I526" s="1021"/>
    </row>
    <row r="527" ht="15.75" customHeight="1">
      <c r="I527" s="1021"/>
    </row>
    <row r="528" ht="15.75" customHeight="1">
      <c r="I528" s="1021"/>
    </row>
    <row r="529" ht="15.75" customHeight="1">
      <c r="I529" s="1021"/>
    </row>
    <row r="530" ht="15.75" customHeight="1">
      <c r="I530" s="1021"/>
    </row>
    <row r="531" ht="15.75" customHeight="1">
      <c r="I531" s="1021"/>
    </row>
    <row r="532" ht="15.75" customHeight="1">
      <c r="I532" s="1021"/>
    </row>
    <row r="533" ht="15.75" customHeight="1">
      <c r="I533" s="1021"/>
    </row>
    <row r="534" ht="15.75" customHeight="1">
      <c r="I534" s="1021"/>
    </row>
    <row r="535" ht="15.75" customHeight="1">
      <c r="I535" s="1021"/>
    </row>
    <row r="536" ht="15.75" customHeight="1">
      <c r="I536" s="1021"/>
    </row>
    <row r="537" ht="15.75" customHeight="1">
      <c r="I537" s="1021"/>
    </row>
    <row r="538" ht="15.75" customHeight="1">
      <c r="I538" s="1021"/>
    </row>
    <row r="539" ht="15.75" customHeight="1">
      <c r="I539" s="1021"/>
    </row>
    <row r="540" ht="15.75" customHeight="1">
      <c r="I540" s="1021"/>
    </row>
    <row r="541" ht="15.75" customHeight="1">
      <c r="I541" s="1021"/>
    </row>
    <row r="542" ht="15.75" customHeight="1">
      <c r="I542" s="1021"/>
    </row>
    <row r="543" ht="15.75" customHeight="1">
      <c r="I543" s="1021"/>
    </row>
    <row r="544" ht="15.75" customHeight="1">
      <c r="I544" s="1021"/>
    </row>
    <row r="545" ht="15.75" customHeight="1">
      <c r="I545" s="1021"/>
    </row>
    <row r="546" ht="15.75" customHeight="1">
      <c r="I546" s="1021"/>
    </row>
    <row r="547" ht="15.75" customHeight="1">
      <c r="I547" s="1021"/>
    </row>
    <row r="548" ht="15.75" customHeight="1">
      <c r="I548" s="1021"/>
    </row>
    <row r="549" ht="15.75" customHeight="1">
      <c r="I549" s="1021"/>
    </row>
    <row r="550" ht="15.75" customHeight="1">
      <c r="I550" s="1021"/>
    </row>
    <row r="551" ht="15.75" customHeight="1">
      <c r="I551" s="1021"/>
    </row>
    <row r="552" ht="15.75" customHeight="1">
      <c r="I552" s="1021"/>
    </row>
    <row r="553" ht="15.75" customHeight="1">
      <c r="I553" s="1021"/>
    </row>
    <row r="554" ht="15.75" customHeight="1">
      <c r="I554" s="1021"/>
    </row>
    <row r="555" ht="15.75" customHeight="1">
      <c r="I555" s="1021"/>
    </row>
    <row r="556" ht="15.75" customHeight="1">
      <c r="I556" s="1021"/>
    </row>
    <row r="557" ht="15.75" customHeight="1">
      <c r="I557" s="1021"/>
    </row>
    <row r="558" ht="15.75" customHeight="1">
      <c r="I558" s="1021"/>
    </row>
    <row r="559" ht="15.75" customHeight="1">
      <c r="I559" s="1021"/>
    </row>
    <row r="560" ht="15.75" customHeight="1">
      <c r="I560" s="1021"/>
    </row>
    <row r="561" ht="15.75" customHeight="1">
      <c r="I561" s="1021"/>
    </row>
    <row r="562" ht="15.75" customHeight="1">
      <c r="I562" s="1021"/>
    </row>
    <row r="563" ht="15.75" customHeight="1">
      <c r="I563" s="1021"/>
    </row>
    <row r="564" ht="15.75" customHeight="1">
      <c r="I564" s="1021"/>
    </row>
    <row r="565" ht="15.75" customHeight="1">
      <c r="I565" s="1021"/>
    </row>
    <row r="566" ht="15.75" customHeight="1">
      <c r="I566" s="1021"/>
    </row>
    <row r="567" ht="15.75" customHeight="1">
      <c r="I567" s="1021"/>
    </row>
    <row r="568" ht="15.75" customHeight="1">
      <c r="I568" s="1021"/>
    </row>
    <row r="569" ht="15.75" customHeight="1">
      <c r="I569" s="1021"/>
    </row>
    <row r="570" ht="15.75" customHeight="1">
      <c r="I570" s="1021"/>
    </row>
    <row r="571" ht="15.75" customHeight="1">
      <c r="I571" s="1021"/>
    </row>
    <row r="572" ht="15.75" customHeight="1">
      <c r="I572" s="1021"/>
    </row>
    <row r="573" ht="15.75" customHeight="1">
      <c r="I573" s="1021"/>
    </row>
    <row r="574" ht="15.75" customHeight="1">
      <c r="I574" s="1021"/>
    </row>
    <row r="575" ht="15.75" customHeight="1">
      <c r="I575" s="1021"/>
    </row>
    <row r="576" ht="15.75" customHeight="1">
      <c r="I576" s="1021"/>
    </row>
    <row r="577" ht="15.75" customHeight="1">
      <c r="I577" s="1021"/>
    </row>
    <row r="578" ht="15.75" customHeight="1">
      <c r="I578" s="1021"/>
    </row>
    <row r="579" ht="15.75" customHeight="1">
      <c r="I579" s="1021"/>
    </row>
    <row r="580" ht="15.75" customHeight="1">
      <c r="I580" s="1021"/>
    </row>
    <row r="581" ht="15.75" customHeight="1">
      <c r="I581" s="1021"/>
    </row>
    <row r="582" ht="15.75" customHeight="1">
      <c r="I582" s="1021"/>
    </row>
    <row r="583" ht="15.75" customHeight="1">
      <c r="I583" s="1021"/>
    </row>
    <row r="584" ht="15.75" customHeight="1">
      <c r="I584" s="1021"/>
    </row>
    <row r="585" ht="15.75" customHeight="1">
      <c r="I585" s="1021"/>
    </row>
    <row r="586" ht="15.75" customHeight="1">
      <c r="I586" s="1021"/>
    </row>
    <row r="587" ht="15.75" customHeight="1">
      <c r="I587" s="1021"/>
    </row>
    <row r="588" ht="15.75" customHeight="1">
      <c r="I588" s="1021"/>
    </row>
    <row r="589" ht="15.75" customHeight="1">
      <c r="I589" s="1021"/>
    </row>
    <row r="590" ht="15.75" customHeight="1">
      <c r="I590" s="1021"/>
    </row>
    <row r="591" ht="15.75" customHeight="1">
      <c r="I591" s="1021"/>
    </row>
    <row r="592" ht="15.75" customHeight="1">
      <c r="I592" s="1021"/>
    </row>
    <row r="593" ht="15.75" customHeight="1">
      <c r="I593" s="1021"/>
    </row>
    <row r="594" ht="15.75" customHeight="1">
      <c r="I594" s="1021"/>
    </row>
    <row r="595" ht="15.75" customHeight="1">
      <c r="I595" s="1021"/>
    </row>
    <row r="596" ht="15.75" customHeight="1">
      <c r="I596" s="1021"/>
    </row>
    <row r="597" ht="15.75" customHeight="1">
      <c r="I597" s="1021"/>
    </row>
    <row r="598" ht="15.75" customHeight="1">
      <c r="I598" s="1021"/>
    </row>
    <row r="599" ht="15.75" customHeight="1">
      <c r="I599" s="1021"/>
    </row>
    <row r="600" ht="15.75" customHeight="1">
      <c r="I600" s="1021"/>
    </row>
    <row r="601" ht="15.75" customHeight="1">
      <c r="I601" s="1021"/>
    </row>
    <row r="602" ht="15.75" customHeight="1">
      <c r="I602" s="1021"/>
    </row>
    <row r="603" ht="15.75" customHeight="1">
      <c r="I603" s="1021"/>
    </row>
    <row r="604" ht="15.75" customHeight="1">
      <c r="I604" s="1021"/>
    </row>
    <row r="605" ht="15.75" customHeight="1">
      <c r="I605" s="1021"/>
    </row>
    <row r="606" ht="15.75" customHeight="1">
      <c r="I606" s="1021"/>
    </row>
    <row r="607" ht="15.75" customHeight="1">
      <c r="I607" s="1021"/>
    </row>
    <row r="608" ht="15.75" customHeight="1">
      <c r="I608" s="1021"/>
    </row>
    <row r="609" ht="15.75" customHeight="1">
      <c r="I609" s="1021"/>
    </row>
    <row r="610" ht="15.75" customHeight="1">
      <c r="I610" s="1021"/>
    </row>
    <row r="611" ht="15.75" customHeight="1">
      <c r="I611" s="1021"/>
    </row>
    <row r="612" ht="15.75" customHeight="1">
      <c r="I612" s="1021"/>
    </row>
    <row r="613" ht="15.75" customHeight="1">
      <c r="I613" s="1021"/>
    </row>
    <row r="614" ht="15.75" customHeight="1">
      <c r="I614" s="1021"/>
    </row>
    <row r="615" ht="15.75" customHeight="1">
      <c r="I615" s="1021"/>
    </row>
    <row r="616" ht="15.75" customHeight="1">
      <c r="I616" s="1021"/>
    </row>
    <row r="617" ht="15.75" customHeight="1">
      <c r="I617" s="1021"/>
    </row>
    <row r="618" ht="15.75" customHeight="1">
      <c r="I618" s="1021"/>
    </row>
    <row r="619" ht="15.75" customHeight="1">
      <c r="I619" s="1021"/>
    </row>
    <row r="620" ht="15.75" customHeight="1">
      <c r="I620" s="1021"/>
    </row>
    <row r="621" ht="15.75" customHeight="1">
      <c r="I621" s="1021"/>
    </row>
    <row r="622" ht="15.75" customHeight="1">
      <c r="I622" s="1021"/>
    </row>
    <row r="623" ht="15.75" customHeight="1">
      <c r="I623" s="1021"/>
    </row>
    <row r="624" ht="15.75" customHeight="1">
      <c r="I624" s="1021"/>
    </row>
    <row r="625" ht="15.75" customHeight="1">
      <c r="I625" s="1021"/>
    </row>
    <row r="626" ht="15.75" customHeight="1">
      <c r="I626" s="1021"/>
    </row>
    <row r="627" ht="15.75" customHeight="1">
      <c r="I627" s="1021"/>
    </row>
    <row r="628" ht="15.75" customHeight="1">
      <c r="I628" s="1021"/>
    </row>
    <row r="629" ht="15.75" customHeight="1">
      <c r="I629" s="1021"/>
    </row>
    <row r="630" ht="15.75" customHeight="1">
      <c r="I630" s="1021"/>
    </row>
    <row r="631" ht="15.75" customHeight="1">
      <c r="I631" s="1021"/>
    </row>
    <row r="632" ht="15.75" customHeight="1">
      <c r="I632" s="1021"/>
    </row>
    <row r="633" ht="15.75" customHeight="1">
      <c r="I633" s="1021"/>
    </row>
    <row r="634" ht="15.75" customHeight="1">
      <c r="I634" s="1021"/>
    </row>
    <row r="635" ht="15.75" customHeight="1">
      <c r="I635" s="1021"/>
    </row>
    <row r="636" ht="15.75" customHeight="1">
      <c r="I636" s="1021"/>
    </row>
    <row r="637" ht="15.75" customHeight="1">
      <c r="I637" s="1021"/>
    </row>
    <row r="638" ht="15.75" customHeight="1">
      <c r="I638" s="1021"/>
    </row>
    <row r="639" ht="15.75" customHeight="1">
      <c r="I639" s="1021"/>
    </row>
    <row r="640" ht="15.75" customHeight="1">
      <c r="I640" s="1021"/>
    </row>
    <row r="641" ht="15.75" customHeight="1">
      <c r="I641" s="1021"/>
    </row>
    <row r="642" ht="15.75" customHeight="1">
      <c r="I642" s="1021"/>
    </row>
    <row r="643" ht="15.75" customHeight="1">
      <c r="I643" s="1021"/>
    </row>
    <row r="644" ht="15.75" customHeight="1">
      <c r="I644" s="1021"/>
    </row>
    <row r="645" ht="15.75" customHeight="1">
      <c r="I645" s="1021"/>
    </row>
    <row r="646" ht="15.75" customHeight="1">
      <c r="I646" s="1021"/>
    </row>
    <row r="647" ht="15.75" customHeight="1">
      <c r="I647" s="1021"/>
    </row>
    <row r="648" ht="15.75" customHeight="1">
      <c r="I648" s="1021"/>
    </row>
    <row r="649" ht="15.75" customHeight="1">
      <c r="I649" s="1021"/>
    </row>
    <row r="650" ht="15.75" customHeight="1">
      <c r="I650" s="1021"/>
    </row>
    <row r="651" ht="15.75" customHeight="1">
      <c r="I651" s="1021"/>
    </row>
    <row r="652" ht="15.75" customHeight="1">
      <c r="I652" s="1021"/>
    </row>
    <row r="653" ht="15.75" customHeight="1">
      <c r="I653" s="1021"/>
    </row>
    <row r="654" ht="15.75" customHeight="1">
      <c r="I654" s="1021"/>
    </row>
    <row r="655" ht="15.75" customHeight="1">
      <c r="I655" s="1021"/>
    </row>
    <row r="656" ht="15.75" customHeight="1">
      <c r="I656" s="1021"/>
    </row>
    <row r="657" ht="15.75" customHeight="1">
      <c r="I657" s="1021"/>
    </row>
    <row r="658" ht="15.75" customHeight="1">
      <c r="I658" s="1021"/>
    </row>
    <row r="659" ht="15.75" customHeight="1">
      <c r="I659" s="1021"/>
    </row>
    <row r="660" ht="15.75" customHeight="1">
      <c r="I660" s="1021"/>
    </row>
    <row r="661" ht="15.75" customHeight="1">
      <c r="I661" s="1021"/>
    </row>
    <row r="662" ht="15.75" customHeight="1">
      <c r="I662" s="1021"/>
    </row>
    <row r="663" ht="15.75" customHeight="1">
      <c r="I663" s="1021"/>
    </row>
    <row r="664" ht="15.75" customHeight="1">
      <c r="I664" s="1021"/>
    </row>
    <row r="665" ht="15.75" customHeight="1">
      <c r="I665" s="1021"/>
    </row>
    <row r="666" ht="15.75" customHeight="1">
      <c r="I666" s="1021"/>
    </row>
    <row r="667" ht="15.75" customHeight="1">
      <c r="I667" s="1021"/>
    </row>
    <row r="668" ht="15.75" customHeight="1">
      <c r="I668" s="1021"/>
    </row>
    <row r="669" ht="15.75" customHeight="1">
      <c r="I669" s="1021"/>
    </row>
    <row r="670" ht="15.75" customHeight="1">
      <c r="I670" s="1021"/>
    </row>
    <row r="671" ht="15.75" customHeight="1">
      <c r="I671" s="1021"/>
    </row>
    <row r="672" ht="15.75" customHeight="1">
      <c r="I672" s="1021"/>
    </row>
    <row r="673" ht="15.75" customHeight="1">
      <c r="I673" s="1021"/>
    </row>
    <row r="674" ht="15.75" customHeight="1">
      <c r="I674" s="1021"/>
    </row>
    <row r="675" ht="15.75" customHeight="1">
      <c r="I675" s="1021"/>
    </row>
    <row r="676" ht="15.75" customHeight="1">
      <c r="I676" s="1021"/>
    </row>
    <row r="677" ht="15.75" customHeight="1">
      <c r="I677" s="1021"/>
    </row>
    <row r="678" ht="15.75" customHeight="1">
      <c r="I678" s="1021"/>
    </row>
    <row r="679" ht="15.75" customHeight="1">
      <c r="I679" s="1021"/>
    </row>
    <row r="680" ht="15.75" customHeight="1">
      <c r="I680" s="1021"/>
    </row>
    <row r="681" ht="15.75" customHeight="1">
      <c r="I681" s="1021"/>
    </row>
    <row r="682" ht="15.75" customHeight="1">
      <c r="I682" s="1021"/>
    </row>
    <row r="683" ht="15.75" customHeight="1">
      <c r="I683" s="1021"/>
    </row>
    <row r="684" ht="15.75" customHeight="1">
      <c r="I684" s="1021"/>
    </row>
    <row r="685" ht="15.75" customHeight="1">
      <c r="I685" s="1021"/>
    </row>
    <row r="686" ht="15.75" customHeight="1">
      <c r="I686" s="1021"/>
    </row>
    <row r="687" ht="15.75" customHeight="1">
      <c r="I687" s="1021"/>
    </row>
    <row r="688" ht="15.75" customHeight="1">
      <c r="I688" s="1021"/>
    </row>
    <row r="689" ht="15.75" customHeight="1">
      <c r="I689" s="1021"/>
    </row>
    <row r="690" ht="15.75" customHeight="1">
      <c r="I690" s="1021"/>
    </row>
    <row r="691" ht="15.75" customHeight="1">
      <c r="I691" s="1021"/>
    </row>
    <row r="692" ht="15.75" customHeight="1">
      <c r="I692" s="1021"/>
    </row>
    <row r="693" ht="15.75" customHeight="1">
      <c r="I693" s="1021"/>
    </row>
    <row r="694" ht="15.75" customHeight="1">
      <c r="I694" s="1021"/>
    </row>
    <row r="695" ht="15.75" customHeight="1">
      <c r="I695" s="1021"/>
    </row>
    <row r="696" ht="15.75" customHeight="1">
      <c r="I696" s="1021"/>
    </row>
    <row r="697" ht="15.75" customHeight="1">
      <c r="I697" s="1021"/>
    </row>
    <row r="698" ht="15.75" customHeight="1">
      <c r="I698" s="1021"/>
    </row>
    <row r="699" ht="15.75" customHeight="1">
      <c r="I699" s="1021"/>
    </row>
    <row r="700" ht="15.75" customHeight="1">
      <c r="I700" s="1021"/>
    </row>
    <row r="701" ht="15.75" customHeight="1">
      <c r="I701" s="1021"/>
    </row>
    <row r="702" ht="15.75" customHeight="1">
      <c r="I702" s="1021"/>
    </row>
    <row r="703" ht="15.75" customHeight="1">
      <c r="I703" s="1021"/>
    </row>
    <row r="704" ht="15.75" customHeight="1">
      <c r="I704" s="1021"/>
    </row>
    <row r="705" ht="15.75" customHeight="1">
      <c r="I705" s="1021"/>
    </row>
    <row r="706" ht="15.75" customHeight="1">
      <c r="I706" s="1021"/>
    </row>
    <row r="707" ht="15.75" customHeight="1">
      <c r="I707" s="1021"/>
    </row>
    <row r="708" ht="15.75" customHeight="1">
      <c r="I708" s="1021"/>
    </row>
    <row r="709" ht="15.75" customHeight="1">
      <c r="I709" s="1021"/>
    </row>
    <row r="710" ht="15.75" customHeight="1">
      <c r="I710" s="1021"/>
    </row>
    <row r="711" ht="15.75" customHeight="1">
      <c r="I711" s="1021"/>
    </row>
    <row r="712" ht="15.75" customHeight="1">
      <c r="I712" s="1021"/>
    </row>
    <row r="713" ht="15.75" customHeight="1">
      <c r="I713" s="1021"/>
    </row>
    <row r="714" ht="15.75" customHeight="1">
      <c r="I714" s="1021"/>
    </row>
    <row r="715" ht="15.75" customHeight="1">
      <c r="I715" s="1021"/>
    </row>
    <row r="716" ht="15.75" customHeight="1">
      <c r="I716" s="1021"/>
    </row>
    <row r="717" ht="15.75" customHeight="1">
      <c r="I717" s="1021"/>
    </row>
    <row r="718" ht="15.75" customHeight="1">
      <c r="I718" s="1021"/>
    </row>
    <row r="719" ht="15.75" customHeight="1">
      <c r="I719" s="1021"/>
    </row>
    <row r="720" ht="15.75" customHeight="1">
      <c r="I720" s="1021"/>
    </row>
    <row r="721" ht="15.75" customHeight="1">
      <c r="I721" s="1021"/>
    </row>
    <row r="722" ht="15.75" customHeight="1">
      <c r="I722" s="1021"/>
    </row>
    <row r="723" ht="15.75" customHeight="1">
      <c r="I723" s="1021"/>
    </row>
    <row r="724" ht="15.75" customHeight="1">
      <c r="I724" s="1021"/>
    </row>
    <row r="725" ht="15.75" customHeight="1">
      <c r="I725" s="1021"/>
    </row>
    <row r="726" ht="15.75" customHeight="1">
      <c r="I726" s="1021"/>
    </row>
    <row r="727" ht="15.75" customHeight="1">
      <c r="I727" s="1021"/>
    </row>
    <row r="728" ht="15.75" customHeight="1">
      <c r="I728" s="1021"/>
    </row>
    <row r="729" ht="15.75" customHeight="1">
      <c r="I729" s="1021"/>
    </row>
    <row r="730" ht="15.75" customHeight="1">
      <c r="I730" s="1021"/>
    </row>
    <row r="731" ht="15.75" customHeight="1">
      <c r="I731" s="1021"/>
    </row>
    <row r="732" ht="15.75" customHeight="1">
      <c r="I732" s="1021"/>
    </row>
    <row r="733" ht="15.75" customHeight="1">
      <c r="I733" s="1021"/>
    </row>
    <row r="734" ht="15.75" customHeight="1">
      <c r="I734" s="1021"/>
    </row>
    <row r="735" ht="15.75" customHeight="1">
      <c r="I735" s="1021"/>
    </row>
    <row r="736" ht="15.75" customHeight="1">
      <c r="I736" s="1021"/>
    </row>
    <row r="737" ht="15.75" customHeight="1">
      <c r="I737" s="1021"/>
    </row>
    <row r="738" ht="15.75" customHeight="1">
      <c r="I738" s="1021"/>
    </row>
    <row r="739" ht="15.75" customHeight="1">
      <c r="I739" s="1021"/>
    </row>
    <row r="740" ht="15.75" customHeight="1">
      <c r="I740" s="1021"/>
    </row>
    <row r="741" ht="15.75" customHeight="1">
      <c r="I741" s="1021"/>
    </row>
    <row r="742" ht="15.75" customHeight="1">
      <c r="I742" s="1021"/>
    </row>
    <row r="743" ht="15.75" customHeight="1">
      <c r="I743" s="1021"/>
    </row>
    <row r="744" ht="15.75" customHeight="1">
      <c r="I744" s="1021"/>
    </row>
    <row r="745" ht="15.75" customHeight="1">
      <c r="I745" s="1021"/>
    </row>
    <row r="746" ht="15.75" customHeight="1">
      <c r="I746" s="1021"/>
    </row>
    <row r="747" ht="15.75" customHeight="1">
      <c r="I747" s="1021"/>
    </row>
    <row r="748" ht="15.75" customHeight="1">
      <c r="I748" s="1021"/>
    </row>
    <row r="749" ht="15.75" customHeight="1">
      <c r="I749" s="1021"/>
    </row>
    <row r="750" ht="15.75" customHeight="1">
      <c r="I750" s="1021"/>
    </row>
    <row r="751" ht="15.75" customHeight="1">
      <c r="I751" s="1021"/>
    </row>
    <row r="752" ht="15.75" customHeight="1">
      <c r="I752" s="1021"/>
    </row>
    <row r="753" ht="15.75" customHeight="1">
      <c r="I753" s="1021"/>
    </row>
    <row r="754" ht="15.75" customHeight="1">
      <c r="I754" s="1021"/>
    </row>
    <row r="755" ht="15.75" customHeight="1">
      <c r="I755" s="1021"/>
    </row>
    <row r="756" ht="15.75" customHeight="1">
      <c r="I756" s="1021"/>
    </row>
    <row r="757" ht="15.75" customHeight="1">
      <c r="I757" s="1021"/>
    </row>
    <row r="758" ht="15.75" customHeight="1">
      <c r="I758" s="1021"/>
    </row>
    <row r="759" ht="15.75" customHeight="1">
      <c r="I759" s="1021"/>
    </row>
    <row r="760" ht="15.75" customHeight="1">
      <c r="I760" s="1021"/>
    </row>
    <row r="761" ht="15.75" customHeight="1">
      <c r="I761" s="1021"/>
    </row>
    <row r="762" ht="15.75" customHeight="1">
      <c r="I762" s="1021"/>
    </row>
    <row r="763" ht="15.75" customHeight="1">
      <c r="I763" s="1021"/>
    </row>
    <row r="764" ht="15.75" customHeight="1">
      <c r="I764" s="1021"/>
    </row>
    <row r="765" ht="15.75" customHeight="1">
      <c r="I765" s="1021"/>
    </row>
    <row r="766" ht="15.75" customHeight="1">
      <c r="I766" s="1021"/>
    </row>
    <row r="767" ht="15.75" customHeight="1">
      <c r="I767" s="1021"/>
    </row>
    <row r="768" ht="15.75" customHeight="1">
      <c r="I768" s="1021"/>
    </row>
    <row r="769" ht="15.75" customHeight="1">
      <c r="I769" s="1021"/>
    </row>
    <row r="770" ht="15.75" customHeight="1">
      <c r="I770" s="1021"/>
    </row>
    <row r="771" ht="15.75" customHeight="1">
      <c r="I771" s="1021"/>
    </row>
    <row r="772" ht="15.75" customHeight="1">
      <c r="I772" s="1021"/>
    </row>
    <row r="773" ht="15.75" customHeight="1">
      <c r="I773" s="1021"/>
    </row>
    <row r="774" ht="15.75" customHeight="1">
      <c r="I774" s="1021"/>
    </row>
    <row r="775" ht="15.75" customHeight="1">
      <c r="I775" s="1021"/>
    </row>
    <row r="776" ht="15.75" customHeight="1">
      <c r="I776" s="1021"/>
    </row>
    <row r="777" ht="15.75" customHeight="1">
      <c r="I777" s="1021"/>
    </row>
    <row r="778" ht="15.75" customHeight="1">
      <c r="I778" s="1021"/>
    </row>
    <row r="779" ht="15.75" customHeight="1">
      <c r="I779" s="1021"/>
    </row>
    <row r="780" ht="15.75" customHeight="1">
      <c r="I780" s="1021"/>
    </row>
    <row r="781" ht="15.75" customHeight="1">
      <c r="I781" s="1021"/>
    </row>
    <row r="782" ht="15.75" customHeight="1">
      <c r="I782" s="1021"/>
    </row>
    <row r="783" ht="15.75" customHeight="1">
      <c r="I783" s="1021"/>
    </row>
    <row r="784" ht="15.75" customHeight="1">
      <c r="I784" s="1021"/>
    </row>
    <row r="785" ht="15.75" customHeight="1">
      <c r="I785" s="1021"/>
    </row>
    <row r="786" ht="15.75" customHeight="1">
      <c r="I786" s="1021"/>
    </row>
    <row r="787" ht="15.75" customHeight="1">
      <c r="I787" s="1021"/>
    </row>
    <row r="788" ht="15.75" customHeight="1">
      <c r="I788" s="1021"/>
    </row>
    <row r="789" ht="15.75" customHeight="1">
      <c r="I789" s="1021"/>
    </row>
    <row r="790" ht="15.75" customHeight="1">
      <c r="I790" s="1021"/>
    </row>
    <row r="791" ht="15.75" customHeight="1">
      <c r="I791" s="1021"/>
    </row>
    <row r="792" ht="15.75" customHeight="1">
      <c r="I792" s="1021"/>
    </row>
    <row r="793" ht="15.75" customHeight="1">
      <c r="I793" s="1021"/>
    </row>
    <row r="794" ht="15.75" customHeight="1">
      <c r="I794" s="1021"/>
    </row>
    <row r="795" ht="15.75" customHeight="1">
      <c r="I795" s="1021"/>
    </row>
    <row r="796" ht="15.75" customHeight="1">
      <c r="I796" s="1021"/>
    </row>
    <row r="797" ht="15.75" customHeight="1">
      <c r="I797" s="1021"/>
    </row>
    <row r="798" ht="15.75" customHeight="1">
      <c r="I798" s="1021"/>
    </row>
    <row r="799" ht="15.75" customHeight="1">
      <c r="I799" s="1021"/>
    </row>
    <row r="800" ht="15.75" customHeight="1">
      <c r="I800" s="1021"/>
    </row>
    <row r="801" ht="15.75" customHeight="1">
      <c r="I801" s="1021"/>
    </row>
    <row r="802" ht="15.75" customHeight="1">
      <c r="I802" s="1021"/>
    </row>
    <row r="803" ht="15.75" customHeight="1">
      <c r="I803" s="1021"/>
    </row>
    <row r="804" ht="15.75" customHeight="1">
      <c r="I804" s="1021"/>
    </row>
    <row r="805" ht="15.75" customHeight="1">
      <c r="I805" s="1021"/>
    </row>
    <row r="806" ht="15.75" customHeight="1">
      <c r="I806" s="1021"/>
    </row>
    <row r="807" ht="15.75" customHeight="1">
      <c r="I807" s="1021"/>
    </row>
    <row r="808" ht="15.75" customHeight="1">
      <c r="I808" s="1021"/>
    </row>
    <row r="809" ht="15.75" customHeight="1">
      <c r="I809" s="1021"/>
    </row>
    <row r="810" ht="15.75" customHeight="1">
      <c r="I810" s="1021"/>
    </row>
    <row r="811" ht="15.75" customHeight="1">
      <c r="I811" s="1021"/>
    </row>
    <row r="812" ht="15.75" customHeight="1">
      <c r="I812" s="1021"/>
    </row>
    <row r="813" ht="15.75" customHeight="1">
      <c r="I813" s="1021"/>
    </row>
    <row r="814" ht="15.75" customHeight="1">
      <c r="I814" s="1021"/>
    </row>
    <row r="815" ht="15.75" customHeight="1">
      <c r="I815" s="1021"/>
    </row>
    <row r="816" ht="15.75" customHeight="1">
      <c r="I816" s="1021"/>
    </row>
    <row r="817" ht="15.75" customHeight="1">
      <c r="I817" s="1021"/>
    </row>
    <row r="818" ht="15.75" customHeight="1">
      <c r="I818" s="1021"/>
    </row>
    <row r="819" ht="15.75" customHeight="1">
      <c r="I819" s="1021"/>
    </row>
    <row r="820" ht="15.75" customHeight="1">
      <c r="I820" s="1021"/>
    </row>
    <row r="821" ht="15.75" customHeight="1">
      <c r="I821" s="1021"/>
    </row>
    <row r="822" ht="15.75" customHeight="1">
      <c r="I822" s="1021"/>
    </row>
    <row r="823" ht="15.75" customHeight="1">
      <c r="I823" s="1021"/>
    </row>
    <row r="824" ht="15.75" customHeight="1">
      <c r="I824" s="1021"/>
    </row>
    <row r="825" ht="15.75" customHeight="1">
      <c r="I825" s="1021"/>
    </row>
    <row r="826" ht="15.75" customHeight="1">
      <c r="I826" s="1021"/>
    </row>
    <row r="827" ht="15.75" customHeight="1">
      <c r="I827" s="1021"/>
    </row>
    <row r="828" ht="15.75" customHeight="1">
      <c r="I828" s="1021"/>
    </row>
    <row r="829" ht="15.75" customHeight="1">
      <c r="I829" s="1021"/>
    </row>
    <row r="830" ht="15.75" customHeight="1">
      <c r="I830" s="1021"/>
    </row>
    <row r="831" ht="15.75" customHeight="1">
      <c r="I831" s="1021"/>
    </row>
    <row r="832" ht="15.75" customHeight="1">
      <c r="I832" s="1021"/>
    </row>
    <row r="833" ht="15.75" customHeight="1">
      <c r="I833" s="1021"/>
    </row>
    <row r="834" ht="15.75" customHeight="1">
      <c r="I834" s="1021"/>
    </row>
    <row r="835" ht="15.75" customHeight="1">
      <c r="I835" s="1021"/>
    </row>
    <row r="836" ht="15.75" customHeight="1">
      <c r="I836" s="1021"/>
    </row>
    <row r="837" ht="15.75" customHeight="1">
      <c r="I837" s="1021"/>
    </row>
    <row r="838" ht="15.75" customHeight="1">
      <c r="I838" s="1021"/>
    </row>
    <row r="839" ht="15.75" customHeight="1">
      <c r="I839" s="1021"/>
    </row>
    <row r="840" ht="15.75" customHeight="1">
      <c r="I840" s="1021"/>
    </row>
    <row r="841" ht="15.75" customHeight="1">
      <c r="I841" s="1021"/>
    </row>
    <row r="842" ht="15.75" customHeight="1">
      <c r="I842" s="1021"/>
    </row>
    <row r="843" ht="15.75" customHeight="1">
      <c r="I843" s="1021"/>
    </row>
    <row r="844" ht="15.75" customHeight="1">
      <c r="I844" s="1021"/>
    </row>
    <row r="845" ht="15.75" customHeight="1">
      <c r="I845" s="1021"/>
    </row>
    <row r="846" ht="15.75" customHeight="1">
      <c r="I846" s="1021"/>
    </row>
    <row r="847" ht="15.75" customHeight="1">
      <c r="I847" s="1021"/>
    </row>
    <row r="848" ht="15.75" customHeight="1">
      <c r="I848" s="1021"/>
    </row>
    <row r="849" ht="15.75" customHeight="1">
      <c r="I849" s="1021"/>
    </row>
    <row r="850" ht="15.75" customHeight="1">
      <c r="I850" s="1021"/>
    </row>
    <row r="851" ht="15.75" customHeight="1">
      <c r="I851" s="1021"/>
    </row>
    <row r="852" ht="15.75" customHeight="1">
      <c r="I852" s="1021"/>
    </row>
    <row r="853" ht="15.75" customHeight="1">
      <c r="I853" s="1021"/>
    </row>
    <row r="854" ht="15.75" customHeight="1">
      <c r="I854" s="1021"/>
    </row>
    <row r="855" ht="15.75" customHeight="1">
      <c r="I855" s="1021"/>
    </row>
    <row r="856" ht="15.75" customHeight="1">
      <c r="I856" s="1021"/>
    </row>
    <row r="857" ht="15.75" customHeight="1">
      <c r="I857" s="1021"/>
    </row>
    <row r="858" ht="15.75" customHeight="1">
      <c r="I858" s="1021"/>
    </row>
    <row r="859" ht="15.75" customHeight="1">
      <c r="I859" s="1021"/>
    </row>
    <row r="860" ht="15.75" customHeight="1">
      <c r="I860" s="1021"/>
    </row>
    <row r="861" ht="15.75" customHeight="1">
      <c r="I861" s="1021"/>
    </row>
    <row r="862" ht="15.75" customHeight="1">
      <c r="I862" s="1021"/>
    </row>
    <row r="863" ht="15.75" customHeight="1">
      <c r="I863" s="1021"/>
    </row>
    <row r="864" ht="15.75" customHeight="1">
      <c r="I864" s="1021"/>
    </row>
    <row r="865" ht="15.75" customHeight="1">
      <c r="I865" s="1021"/>
    </row>
    <row r="866" ht="15.75" customHeight="1">
      <c r="I866" s="1021"/>
    </row>
    <row r="867" ht="15.75" customHeight="1">
      <c r="I867" s="1021"/>
    </row>
    <row r="868" ht="15.75" customHeight="1">
      <c r="I868" s="1021"/>
    </row>
    <row r="869" ht="15.75" customHeight="1">
      <c r="I869" s="1021"/>
    </row>
    <row r="870" ht="15.75" customHeight="1">
      <c r="I870" s="1021"/>
    </row>
    <row r="871" ht="15.75" customHeight="1">
      <c r="I871" s="1021"/>
    </row>
    <row r="872" ht="15.75" customHeight="1">
      <c r="I872" s="1021"/>
    </row>
    <row r="873" ht="15.75" customHeight="1">
      <c r="I873" s="1021"/>
    </row>
    <row r="874" ht="15.75" customHeight="1">
      <c r="I874" s="1021"/>
    </row>
    <row r="875" ht="15.75" customHeight="1">
      <c r="I875" s="1021"/>
    </row>
    <row r="876" ht="15.75" customHeight="1">
      <c r="I876" s="1021"/>
    </row>
    <row r="877" ht="15.75" customHeight="1">
      <c r="I877" s="1021"/>
    </row>
    <row r="878" ht="15.75" customHeight="1">
      <c r="I878" s="1021"/>
    </row>
    <row r="879" ht="15.75" customHeight="1">
      <c r="I879" s="1021"/>
    </row>
    <row r="880" ht="15.75" customHeight="1">
      <c r="I880" s="1021"/>
    </row>
    <row r="881" ht="15.75" customHeight="1">
      <c r="I881" s="1021"/>
    </row>
    <row r="882" ht="15.75" customHeight="1">
      <c r="I882" s="1021"/>
    </row>
    <row r="883" ht="15.75" customHeight="1">
      <c r="I883" s="1021"/>
    </row>
    <row r="884" ht="15.75" customHeight="1">
      <c r="I884" s="1021"/>
    </row>
    <row r="885" ht="15.75" customHeight="1">
      <c r="I885" s="1021"/>
    </row>
    <row r="886" ht="15.75" customHeight="1">
      <c r="I886" s="1021"/>
    </row>
    <row r="887" ht="15.75" customHeight="1">
      <c r="I887" s="1021"/>
    </row>
    <row r="888" ht="15.75" customHeight="1">
      <c r="I888" s="1021"/>
    </row>
    <row r="889" ht="15.75" customHeight="1">
      <c r="I889" s="1021"/>
    </row>
    <row r="890" ht="15.75" customHeight="1">
      <c r="I890" s="1021"/>
    </row>
    <row r="891" ht="15.75" customHeight="1">
      <c r="I891" s="1021"/>
    </row>
    <row r="892" ht="15.75" customHeight="1">
      <c r="I892" s="1021"/>
    </row>
    <row r="893" ht="15.75" customHeight="1">
      <c r="I893" s="1021"/>
    </row>
    <row r="894" ht="15.75" customHeight="1">
      <c r="I894" s="1021"/>
    </row>
    <row r="895" ht="15.75" customHeight="1">
      <c r="I895" s="1021"/>
    </row>
    <row r="896" ht="15.75" customHeight="1">
      <c r="I896" s="1021"/>
    </row>
    <row r="897" ht="15.75" customHeight="1">
      <c r="I897" s="1021"/>
    </row>
    <row r="898" ht="15.75" customHeight="1">
      <c r="I898" s="1021"/>
    </row>
    <row r="899" ht="15.75" customHeight="1">
      <c r="I899" s="1021"/>
    </row>
    <row r="900" ht="15.75" customHeight="1">
      <c r="I900" s="1021"/>
    </row>
    <row r="901" ht="15.75" customHeight="1">
      <c r="I901" s="1021"/>
    </row>
    <row r="902" ht="15.75" customHeight="1">
      <c r="I902" s="1021"/>
    </row>
    <row r="903" ht="15.75" customHeight="1">
      <c r="I903" s="1021"/>
    </row>
    <row r="904" ht="15.75" customHeight="1">
      <c r="I904" s="1021"/>
    </row>
    <row r="905" ht="15.75" customHeight="1">
      <c r="I905" s="1021"/>
    </row>
    <row r="906" ht="15.75" customHeight="1">
      <c r="I906" s="1021"/>
    </row>
    <row r="907" ht="15.75" customHeight="1">
      <c r="I907" s="1021"/>
    </row>
  </sheetData>
  <mergeCells count="16">
    <mergeCell ref="H6:K6"/>
    <mergeCell ref="D7:H7"/>
    <mergeCell ref="F9:G9"/>
    <mergeCell ref="C10:E10"/>
    <mergeCell ref="F10:G10"/>
    <mergeCell ref="C11:E11"/>
    <mergeCell ref="C12:E12"/>
    <mergeCell ref="C20:E20"/>
    <mergeCell ref="A21:D22"/>
    <mergeCell ref="C13:E13"/>
    <mergeCell ref="C14:E14"/>
    <mergeCell ref="C15:E15"/>
    <mergeCell ref="C16:E16"/>
    <mergeCell ref="C17:E17"/>
    <mergeCell ref="C18:E18"/>
    <mergeCell ref="C19:E19"/>
  </mergeCells>
  <printOptions horizontalCentered="1"/>
  <pageMargins bottom="0.0" footer="0.0" header="0.0" left="0.0" right="0.0" top="0.3256121238269874"/>
  <pageSetup paperSize="11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6.86"/>
    <col customWidth="1" min="3" max="3" width="8.71"/>
    <col customWidth="1" min="4" max="4" width="11.43"/>
    <col customWidth="1" min="5" max="5" width="8.71"/>
    <col customWidth="1" min="6" max="6" width="3.57"/>
    <col customWidth="1" min="7" max="7" width="3.43"/>
    <col customWidth="1" min="8" max="8" width="11.43"/>
    <col customWidth="1" min="9" max="9" width="7.14"/>
    <col customWidth="1" min="10" max="10" width="11.43"/>
    <col customWidth="1" min="11" max="11" width="12.29"/>
  </cols>
  <sheetData>
    <row r="1" ht="13.5" customHeight="1">
      <c r="A1" s="590" t="s">
        <v>10962</v>
      </c>
      <c r="B1" s="591"/>
      <c r="C1" s="592"/>
      <c r="D1" s="592"/>
      <c r="E1" s="592"/>
      <c r="F1" s="592"/>
      <c r="G1" s="592"/>
      <c r="H1" s="594"/>
      <c r="I1" s="992" t="s">
        <v>9773</v>
      </c>
      <c r="K1" s="595">
        <v>46137.0</v>
      </c>
    </row>
    <row r="2" ht="13.5" customHeight="1">
      <c r="A2" s="596" t="s">
        <v>10963</v>
      </c>
      <c r="B2" s="597"/>
      <c r="C2" s="598"/>
      <c r="D2" s="598"/>
      <c r="E2" s="598"/>
      <c r="F2" s="592"/>
      <c r="G2" s="592"/>
      <c r="H2" s="594"/>
      <c r="I2" s="992" t="s">
        <v>9775</v>
      </c>
      <c r="K2" s="676"/>
    </row>
    <row r="3" ht="13.5" customHeight="1">
      <c r="A3" s="599" t="s">
        <v>9776</v>
      </c>
      <c r="B3" s="600"/>
      <c r="C3" s="592"/>
      <c r="D3" s="601"/>
      <c r="E3" s="601"/>
      <c r="F3" s="601"/>
      <c r="G3" s="601"/>
      <c r="H3" s="674"/>
      <c r="I3" s="1026" t="s">
        <v>10984</v>
      </c>
      <c r="J3" s="674"/>
      <c r="K3" s="674"/>
    </row>
    <row r="4" ht="13.5" customHeight="1">
      <c r="A4" s="604"/>
      <c r="B4" s="604"/>
      <c r="C4" s="592"/>
      <c r="D4" s="601"/>
      <c r="E4" s="601"/>
      <c r="F4" s="601"/>
      <c r="G4" s="601"/>
      <c r="H4" s="109"/>
      <c r="I4" s="1027" t="s">
        <v>10985</v>
      </c>
      <c r="J4" s="674"/>
      <c r="K4" s="674"/>
    </row>
    <row r="5" ht="13.5" customHeight="1">
      <c r="A5" s="604"/>
      <c r="B5" s="604"/>
      <c r="C5" s="592"/>
      <c r="D5" s="601"/>
      <c r="E5" s="601"/>
      <c r="F5" s="601"/>
      <c r="G5" s="601"/>
      <c r="I5" s="993"/>
      <c r="J5" s="607"/>
      <c r="K5" s="607"/>
    </row>
    <row r="6" ht="13.5" customHeight="1">
      <c r="A6" s="604"/>
      <c r="B6" s="604"/>
      <c r="C6" s="592"/>
      <c r="D6" s="601"/>
      <c r="E6" s="601"/>
      <c r="F6" s="601"/>
      <c r="G6" s="601"/>
      <c r="H6" s="606"/>
    </row>
    <row r="7" ht="13.5" customHeight="1">
      <c r="A7" s="604"/>
      <c r="B7" s="604"/>
      <c r="C7" s="592"/>
      <c r="D7" s="701" t="s">
        <v>10966</v>
      </c>
      <c r="I7" s="994"/>
      <c r="J7" s="609"/>
      <c r="K7" s="609"/>
    </row>
    <row r="8" ht="13.5" customHeight="1">
      <c r="A8" s="17"/>
      <c r="B8" s="600"/>
      <c r="C8" s="17"/>
      <c r="D8" s="611"/>
      <c r="E8" s="611"/>
      <c r="F8" s="17"/>
      <c r="G8" s="17"/>
      <c r="H8" s="612"/>
      <c r="I8" s="995"/>
      <c r="J8" s="612"/>
      <c r="K8" s="612"/>
    </row>
    <row r="9" ht="13.5" customHeight="1">
      <c r="A9" s="561" t="s">
        <v>10967</v>
      </c>
      <c r="B9" s="996" t="s">
        <v>11014</v>
      </c>
      <c r="C9" s="17"/>
      <c r="D9" s="615"/>
      <c r="E9" s="17"/>
      <c r="F9" s="628"/>
      <c r="H9" s="628"/>
      <c r="I9" s="997"/>
      <c r="J9" s="628"/>
      <c r="K9" s="64"/>
    </row>
    <row r="10" ht="13.5" customHeight="1">
      <c r="A10" s="618" t="s">
        <v>9779</v>
      </c>
      <c r="B10" s="619" t="s">
        <v>0</v>
      </c>
      <c r="C10" s="618" t="s">
        <v>9780</v>
      </c>
      <c r="D10" s="122"/>
      <c r="E10" s="122"/>
      <c r="F10" s="618" t="s">
        <v>9781</v>
      </c>
      <c r="G10" s="122"/>
      <c r="H10" s="998" t="s">
        <v>2739</v>
      </c>
      <c r="I10" s="998" t="s">
        <v>10969</v>
      </c>
      <c r="J10" s="998" t="s">
        <v>10130</v>
      </c>
      <c r="K10" s="618" t="s">
        <v>2740</v>
      </c>
    </row>
    <row r="11" ht="13.5" customHeight="1">
      <c r="A11" s="623">
        <v>1.0</v>
      </c>
      <c r="B11" s="45" t="s">
        <v>11015</v>
      </c>
      <c r="C11" s="1028" t="s">
        <v>6654</v>
      </c>
      <c r="F11" s="1029">
        <v>1.0</v>
      </c>
      <c r="G11" s="1030" t="s">
        <v>2729</v>
      </c>
      <c r="H11" s="1031">
        <v>2378508.0</v>
      </c>
      <c r="I11" s="999"/>
      <c r="J11" s="1057">
        <f t="shared" ref="J11:J17" si="1">H11-(H11*I11/100)</f>
        <v>2378508</v>
      </c>
      <c r="K11" s="1057">
        <f t="shared" ref="K11:K17" si="2">F11*J11</f>
        <v>2378508</v>
      </c>
    </row>
    <row r="12" ht="13.5" customHeight="1">
      <c r="A12" s="444">
        <v>2.0</v>
      </c>
      <c r="B12" s="45" t="s">
        <v>11016</v>
      </c>
      <c r="C12" s="45" t="s">
        <v>4763</v>
      </c>
      <c r="F12" s="1029">
        <v>1.0</v>
      </c>
      <c r="G12" s="1030" t="s">
        <v>2729</v>
      </c>
      <c r="H12" s="1031">
        <v>477300.0</v>
      </c>
      <c r="I12" s="45">
        <v>12.0</v>
      </c>
      <c r="J12" s="1057">
        <f t="shared" si="1"/>
        <v>420024</v>
      </c>
      <c r="K12" s="1057">
        <f t="shared" si="2"/>
        <v>420024</v>
      </c>
    </row>
    <row r="13" ht="13.5" customHeight="1">
      <c r="A13" s="444">
        <v>3.0</v>
      </c>
      <c r="B13" s="45" t="s">
        <v>11017</v>
      </c>
      <c r="C13" s="45" t="s">
        <v>5861</v>
      </c>
      <c r="F13" s="1029">
        <v>1.0</v>
      </c>
      <c r="G13" s="1030" t="s">
        <v>2729</v>
      </c>
      <c r="H13" s="627">
        <v>2744808.0</v>
      </c>
      <c r="I13" s="999"/>
      <c r="J13" s="1057">
        <f t="shared" si="1"/>
        <v>2744808</v>
      </c>
      <c r="K13" s="1057">
        <f t="shared" si="2"/>
        <v>2744808</v>
      </c>
    </row>
    <row r="14" ht="13.5" customHeight="1">
      <c r="A14" s="629">
        <v>4.0</v>
      </c>
      <c r="B14" s="201" t="s">
        <v>11018</v>
      </c>
      <c r="C14" s="45" t="s">
        <v>9378</v>
      </c>
      <c r="F14" s="444">
        <v>1.0</v>
      </c>
      <c r="G14" s="1030" t="s">
        <v>2729</v>
      </c>
      <c r="H14" s="965">
        <v>146520.0</v>
      </c>
      <c r="I14" s="999">
        <v>12.0</v>
      </c>
      <c r="J14" s="1057">
        <f t="shared" si="1"/>
        <v>128937.6</v>
      </c>
      <c r="K14" s="1057">
        <f t="shared" si="2"/>
        <v>128937.6</v>
      </c>
    </row>
    <row r="15" ht="13.5" customHeight="1">
      <c r="A15" s="629">
        <v>5.0</v>
      </c>
      <c r="B15" s="201"/>
      <c r="C15" s="45"/>
      <c r="F15" s="444"/>
      <c r="G15" s="1030"/>
      <c r="H15" s="627"/>
      <c r="I15" s="45"/>
      <c r="J15" s="1057">
        <f t="shared" si="1"/>
        <v>0</v>
      </c>
      <c r="K15" s="1057">
        <f t="shared" si="2"/>
        <v>0</v>
      </c>
    </row>
    <row r="16" ht="13.5" customHeight="1">
      <c r="A16" s="629">
        <v>6.0</v>
      </c>
      <c r="B16" s="201"/>
      <c r="C16" s="45"/>
      <c r="F16" s="444"/>
      <c r="G16" s="1030"/>
      <c r="H16" s="627"/>
      <c r="I16" s="45"/>
      <c r="J16" s="1057">
        <f t="shared" si="1"/>
        <v>0</v>
      </c>
      <c r="K16" s="1057">
        <f t="shared" si="2"/>
        <v>0</v>
      </c>
    </row>
    <row r="17" ht="13.5" customHeight="1">
      <c r="A17" s="1039">
        <v>7.0</v>
      </c>
      <c r="B17" s="1054"/>
      <c r="C17" s="463"/>
      <c r="D17" s="617"/>
      <c r="E17" s="617"/>
      <c r="F17" s="533"/>
      <c r="G17" s="1058"/>
      <c r="H17" s="1055"/>
      <c r="I17" s="463"/>
      <c r="J17" s="1059">
        <f t="shared" si="1"/>
        <v>0</v>
      </c>
      <c r="K17" s="1057">
        <f t="shared" si="2"/>
        <v>0</v>
      </c>
    </row>
    <row r="18" ht="13.5" customHeight="1">
      <c r="A18" s="1014" t="s">
        <v>11013</v>
      </c>
      <c r="E18" s="951"/>
      <c r="F18" s="1015"/>
      <c r="G18" s="676"/>
      <c r="H18" s="636"/>
      <c r="I18" s="1016"/>
      <c r="J18" s="201" t="s">
        <v>10982</v>
      </c>
      <c r="K18" s="644">
        <f>SUM(K11:K17)</f>
        <v>5672277.6</v>
      </c>
    </row>
    <row r="19" ht="13.5" customHeight="1">
      <c r="E19" s="641"/>
      <c r="F19" s="645"/>
      <c r="G19" s="645"/>
      <c r="H19" s="643"/>
      <c r="I19" s="1036"/>
      <c r="J19" s="64" t="s">
        <v>9789</v>
      </c>
      <c r="K19" s="1018">
        <v>0.0</v>
      </c>
    </row>
    <row r="20" ht="13.5" customHeight="1">
      <c r="A20" s="639"/>
      <c r="B20" s="639"/>
      <c r="C20" s="639"/>
      <c r="D20" s="640"/>
      <c r="E20" s="641"/>
      <c r="F20" s="645"/>
      <c r="G20" s="645"/>
      <c r="H20" s="643"/>
      <c r="I20" s="1019"/>
      <c r="J20" s="614" t="s">
        <v>9786</v>
      </c>
      <c r="K20" s="1020">
        <f>K18-K19</f>
        <v>5672277.6</v>
      </c>
    </row>
    <row r="21" ht="13.5" customHeight="1">
      <c r="A21" s="592"/>
      <c r="B21" s="628"/>
      <c r="C21" s="628"/>
      <c r="D21" s="628"/>
      <c r="E21" s="641"/>
      <c r="F21" s="645"/>
      <c r="G21" s="645"/>
      <c r="H21" s="646"/>
      <c r="I21" s="1021"/>
    </row>
    <row r="22" ht="13.5" customHeight="1">
      <c r="A22" s="592"/>
      <c r="B22" s="604"/>
      <c r="C22" s="604"/>
      <c r="D22" s="649"/>
      <c r="E22" s="641"/>
      <c r="F22" s="645"/>
      <c r="G22" s="645"/>
      <c r="H22" s="650"/>
      <c r="I22" s="1016"/>
      <c r="J22" s="637"/>
      <c r="K22" s="651"/>
    </row>
    <row r="23" ht="13.5" customHeight="1">
      <c r="A23" s="592"/>
      <c r="B23" s="604"/>
      <c r="C23" s="604"/>
      <c r="D23" s="604"/>
      <c r="E23" s="604"/>
      <c r="F23" s="645"/>
      <c r="G23" s="645"/>
      <c r="H23" s="652" t="s">
        <v>1973</v>
      </c>
      <c r="I23" s="1022"/>
      <c r="J23" s="1023" t="s">
        <v>9791</v>
      </c>
      <c r="K23" s="653"/>
    </row>
    <row r="24" ht="13.5" customHeight="1">
      <c r="A24" s="654" t="s">
        <v>9792</v>
      </c>
      <c r="B24" s="591"/>
      <c r="C24" s="591"/>
      <c r="D24" s="649"/>
      <c r="E24" s="604"/>
      <c r="F24" s="707"/>
      <c r="G24" s="707"/>
      <c r="H24" s="655"/>
      <c r="I24" s="1024"/>
      <c r="J24" s="1025" t="s">
        <v>10990</v>
      </c>
      <c r="K24" s="1025"/>
    </row>
    <row r="25" ht="13.5" customHeight="1">
      <c r="B25" s="657"/>
      <c r="F25" s="658"/>
      <c r="G25" s="658"/>
      <c r="H25" s="650"/>
      <c r="I25" s="1024"/>
      <c r="J25" s="1025"/>
      <c r="K25" s="1025"/>
    </row>
    <row r="26" ht="13.5" customHeight="1">
      <c r="I26" s="1056"/>
      <c r="J26" s="708"/>
      <c r="K26" s="708"/>
    </row>
    <row r="27" ht="13.5" customHeight="1">
      <c r="I27" s="1021"/>
    </row>
    <row r="28" ht="13.5" customHeight="1">
      <c r="I28" s="1021"/>
    </row>
    <row r="29" ht="13.5" customHeight="1">
      <c r="I29" s="1021"/>
    </row>
    <row r="30" ht="13.5" customHeight="1">
      <c r="I30" s="1021"/>
    </row>
    <row r="31" ht="13.5" customHeight="1">
      <c r="I31" s="1021"/>
    </row>
    <row r="32" ht="13.5" customHeight="1">
      <c r="I32" s="1021"/>
    </row>
    <row r="33" ht="13.5" customHeight="1">
      <c r="B33" s="64"/>
      <c r="I33" s="1021"/>
    </row>
    <row r="34" ht="13.5" customHeight="1">
      <c r="I34" s="1021"/>
    </row>
    <row r="35" ht="13.5" customHeight="1">
      <c r="I35" s="1021"/>
    </row>
    <row r="36" ht="13.5" customHeight="1">
      <c r="I36" s="1021"/>
    </row>
    <row r="37" ht="13.5" customHeight="1">
      <c r="I37" s="1021"/>
    </row>
    <row r="38" ht="13.5" customHeight="1">
      <c r="B38" s="548"/>
      <c r="I38" s="1021"/>
    </row>
    <row r="39" ht="13.5" customHeight="1">
      <c r="I39" s="1021"/>
    </row>
    <row r="40" ht="13.5" customHeight="1">
      <c r="I40" s="1021"/>
    </row>
    <row r="41" ht="13.5" customHeight="1">
      <c r="I41" s="1021"/>
    </row>
    <row r="42" ht="13.5" customHeight="1">
      <c r="I42" s="1021"/>
    </row>
    <row r="43" ht="13.5" customHeight="1">
      <c r="I43" s="1021"/>
    </row>
    <row r="44" ht="13.5" customHeight="1">
      <c r="I44" s="1021"/>
    </row>
    <row r="45" ht="13.5" customHeight="1">
      <c r="I45" s="1021"/>
    </row>
    <row r="46" ht="13.5" customHeight="1">
      <c r="I46" s="1021"/>
    </row>
    <row r="47" ht="13.5" customHeight="1">
      <c r="I47" s="1021"/>
    </row>
    <row r="48" ht="13.5" customHeight="1">
      <c r="I48" s="1021"/>
    </row>
    <row r="49" ht="13.5" customHeight="1">
      <c r="I49" s="1021"/>
    </row>
    <row r="50" ht="13.5" customHeight="1">
      <c r="I50" s="1021"/>
    </row>
    <row r="51" ht="13.5" customHeight="1">
      <c r="I51" s="1021"/>
    </row>
    <row r="52" ht="13.5" customHeight="1">
      <c r="I52" s="1021"/>
    </row>
    <row r="53" ht="13.5" customHeight="1">
      <c r="I53" s="1021"/>
    </row>
    <row r="54" ht="13.5" customHeight="1">
      <c r="I54" s="1021"/>
    </row>
    <row r="55" ht="13.5" customHeight="1">
      <c r="I55" s="1021"/>
    </row>
    <row r="56" ht="13.5" customHeight="1">
      <c r="I56" s="1021"/>
    </row>
    <row r="57" ht="13.5" customHeight="1">
      <c r="I57" s="1021"/>
    </row>
    <row r="58" ht="13.5" customHeight="1">
      <c r="I58" s="1021"/>
    </row>
    <row r="59" ht="13.5" customHeight="1">
      <c r="I59" s="1021"/>
    </row>
    <row r="60" ht="13.5" customHeight="1">
      <c r="I60" s="1021"/>
    </row>
    <row r="61" ht="13.5" customHeight="1">
      <c r="I61" s="1021"/>
    </row>
    <row r="62" ht="13.5" customHeight="1">
      <c r="I62" s="1021"/>
    </row>
    <row r="63" ht="13.5" customHeight="1">
      <c r="I63" s="1021"/>
    </row>
    <row r="64" ht="13.5" customHeight="1">
      <c r="I64" s="1021"/>
    </row>
    <row r="65" ht="13.5" customHeight="1">
      <c r="I65" s="1021"/>
    </row>
    <row r="66" ht="13.5" customHeight="1">
      <c r="I66" s="1021"/>
    </row>
    <row r="67" ht="13.5" customHeight="1">
      <c r="I67" s="1021"/>
    </row>
    <row r="68" ht="13.5" customHeight="1">
      <c r="I68" s="1021"/>
    </row>
    <row r="69" ht="13.5" customHeight="1">
      <c r="I69" s="1021"/>
    </row>
    <row r="70" ht="13.5" customHeight="1">
      <c r="I70" s="1021"/>
    </row>
    <row r="71" ht="13.5" customHeight="1">
      <c r="I71" s="1021"/>
    </row>
    <row r="72" ht="13.5" customHeight="1">
      <c r="I72" s="1021"/>
    </row>
    <row r="73" ht="13.5" customHeight="1">
      <c r="I73" s="1021"/>
    </row>
    <row r="74" ht="13.5" customHeight="1">
      <c r="I74" s="1021"/>
    </row>
    <row r="75" ht="13.5" customHeight="1">
      <c r="I75" s="1021"/>
    </row>
    <row r="76" ht="13.5" customHeight="1">
      <c r="I76" s="1021"/>
    </row>
    <row r="77" ht="13.5" customHeight="1">
      <c r="I77" s="1021"/>
    </row>
    <row r="78" ht="13.5" customHeight="1">
      <c r="I78" s="1021"/>
    </row>
    <row r="79" ht="13.5" customHeight="1">
      <c r="I79" s="1021"/>
    </row>
    <row r="80" ht="13.5" customHeight="1">
      <c r="I80" s="1021"/>
    </row>
    <row r="81" ht="13.5" customHeight="1">
      <c r="I81" s="1021"/>
    </row>
    <row r="82" ht="13.5" customHeight="1">
      <c r="I82" s="1021"/>
    </row>
    <row r="83" ht="13.5" customHeight="1">
      <c r="I83" s="1021"/>
    </row>
    <row r="84" ht="13.5" customHeight="1">
      <c r="I84" s="1021"/>
    </row>
    <row r="85" ht="13.5" customHeight="1">
      <c r="I85" s="1021"/>
    </row>
    <row r="86" ht="13.5" customHeight="1">
      <c r="I86" s="1021"/>
    </row>
    <row r="87" ht="13.5" customHeight="1">
      <c r="I87" s="1021"/>
    </row>
    <row r="88" ht="13.5" customHeight="1">
      <c r="I88" s="1021"/>
    </row>
    <row r="89" ht="13.5" customHeight="1">
      <c r="I89" s="1021"/>
    </row>
    <row r="90" ht="13.5" customHeight="1">
      <c r="I90" s="1021"/>
    </row>
    <row r="91" ht="13.5" customHeight="1">
      <c r="I91" s="1021"/>
    </row>
    <row r="92" ht="13.5" customHeight="1">
      <c r="I92" s="1021"/>
    </row>
    <row r="93" ht="13.5" customHeight="1">
      <c r="I93" s="1021"/>
    </row>
    <row r="94" ht="13.5" customHeight="1">
      <c r="I94" s="1021"/>
    </row>
    <row r="95" ht="13.5" customHeight="1">
      <c r="I95" s="1021"/>
    </row>
    <row r="96" ht="13.5" customHeight="1">
      <c r="I96" s="1021"/>
    </row>
    <row r="97" ht="13.5" customHeight="1">
      <c r="I97" s="1021"/>
    </row>
    <row r="98" ht="13.5" customHeight="1">
      <c r="I98" s="1021"/>
    </row>
    <row r="99" ht="13.5" customHeight="1">
      <c r="I99" s="1021"/>
    </row>
    <row r="100" ht="13.5" customHeight="1">
      <c r="I100" s="1021"/>
    </row>
    <row r="101" ht="13.5" customHeight="1">
      <c r="I101" s="1021"/>
    </row>
    <row r="102" ht="13.5" customHeight="1">
      <c r="I102" s="1021"/>
    </row>
    <row r="103" ht="13.5" customHeight="1">
      <c r="I103" s="1021"/>
    </row>
    <row r="104" ht="13.5" customHeight="1">
      <c r="I104" s="1021"/>
    </row>
    <row r="105" ht="13.5" customHeight="1">
      <c r="I105" s="1021"/>
    </row>
    <row r="106" ht="13.5" customHeight="1">
      <c r="I106" s="1021"/>
    </row>
    <row r="107" ht="13.5" customHeight="1">
      <c r="I107" s="1021"/>
    </row>
    <row r="108" ht="13.5" customHeight="1">
      <c r="I108" s="1021"/>
    </row>
    <row r="109" ht="13.5" customHeight="1">
      <c r="I109" s="1021"/>
    </row>
    <row r="110" ht="13.5" customHeight="1">
      <c r="I110" s="1021"/>
    </row>
    <row r="111" ht="13.5" customHeight="1">
      <c r="I111" s="1021"/>
    </row>
    <row r="112" ht="13.5" customHeight="1">
      <c r="I112" s="1021"/>
    </row>
    <row r="113" ht="13.5" customHeight="1">
      <c r="I113" s="1021"/>
    </row>
    <row r="114" ht="13.5" customHeight="1">
      <c r="I114" s="1021"/>
    </row>
    <row r="115" ht="13.5" customHeight="1">
      <c r="I115" s="1021"/>
    </row>
    <row r="116" ht="13.5" customHeight="1">
      <c r="I116" s="1021"/>
    </row>
    <row r="117" ht="13.5" customHeight="1">
      <c r="I117" s="1021"/>
    </row>
    <row r="118" ht="13.5" customHeight="1">
      <c r="I118" s="1021"/>
    </row>
    <row r="119" ht="13.5" customHeight="1">
      <c r="I119" s="1021"/>
    </row>
    <row r="120" ht="13.5" customHeight="1">
      <c r="I120" s="1021"/>
    </row>
    <row r="121" ht="13.5" customHeight="1">
      <c r="I121" s="1021"/>
    </row>
    <row r="122" ht="13.5" customHeight="1">
      <c r="I122" s="1021"/>
    </row>
    <row r="123" ht="13.5" customHeight="1">
      <c r="I123" s="1021"/>
    </row>
    <row r="124" ht="13.5" customHeight="1">
      <c r="I124" s="1021"/>
    </row>
    <row r="125" ht="13.5" customHeight="1">
      <c r="I125" s="1021"/>
    </row>
    <row r="126" ht="13.5" customHeight="1">
      <c r="I126" s="1021"/>
    </row>
    <row r="127" ht="13.5" customHeight="1">
      <c r="I127" s="1021"/>
    </row>
    <row r="128" ht="15.75" customHeight="1">
      <c r="I128" s="1021"/>
    </row>
    <row r="129" ht="15.75" customHeight="1">
      <c r="I129" s="1021"/>
    </row>
    <row r="130" ht="15.75" customHeight="1">
      <c r="I130" s="1021"/>
    </row>
    <row r="131" ht="15.75" customHeight="1">
      <c r="I131" s="1021"/>
    </row>
    <row r="132" ht="15.75" customHeight="1">
      <c r="I132" s="1021"/>
    </row>
    <row r="133" ht="15.75" customHeight="1">
      <c r="I133" s="1021"/>
    </row>
    <row r="134" ht="15.75" customHeight="1">
      <c r="I134" s="1021"/>
    </row>
    <row r="135" ht="15.75" customHeight="1">
      <c r="I135" s="1021"/>
    </row>
    <row r="136" ht="15.75" customHeight="1">
      <c r="I136" s="1021"/>
    </row>
    <row r="137" ht="15.75" customHeight="1">
      <c r="I137" s="1021"/>
    </row>
    <row r="138" ht="15.75" customHeight="1">
      <c r="I138" s="1021"/>
    </row>
    <row r="139" ht="15.75" customHeight="1">
      <c r="I139" s="1021"/>
    </row>
    <row r="140" ht="15.75" customHeight="1">
      <c r="I140" s="1021"/>
    </row>
    <row r="141" ht="15.75" customHeight="1">
      <c r="I141" s="1021"/>
    </row>
    <row r="142" ht="15.75" customHeight="1">
      <c r="I142" s="1021"/>
    </row>
    <row r="143" ht="15.75" customHeight="1">
      <c r="I143" s="1021"/>
    </row>
    <row r="144" ht="15.75" customHeight="1">
      <c r="I144" s="1021"/>
    </row>
    <row r="145" ht="15.75" customHeight="1">
      <c r="I145" s="1021"/>
    </row>
    <row r="146" ht="15.75" customHeight="1">
      <c r="I146" s="1021"/>
    </row>
    <row r="147" ht="15.75" customHeight="1">
      <c r="I147" s="1021"/>
    </row>
    <row r="148" ht="15.75" customHeight="1">
      <c r="I148" s="1021"/>
    </row>
    <row r="149" ht="15.75" customHeight="1">
      <c r="I149" s="1021"/>
    </row>
    <row r="150" ht="15.75" customHeight="1">
      <c r="I150" s="1021"/>
    </row>
    <row r="151" ht="15.75" customHeight="1">
      <c r="I151" s="1021"/>
    </row>
    <row r="152" ht="15.75" customHeight="1">
      <c r="I152" s="1021"/>
    </row>
    <row r="153" ht="15.75" customHeight="1">
      <c r="I153" s="1021"/>
    </row>
    <row r="154" ht="15.75" customHeight="1">
      <c r="I154" s="1021"/>
    </row>
    <row r="155" ht="15.75" customHeight="1">
      <c r="I155" s="1021"/>
    </row>
    <row r="156" ht="15.75" customHeight="1">
      <c r="I156" s="1021"/>
    </row>
    <row r="157" ht="15.75" customHeight="1">
      <c r="I157" s="1021"/>
    </row>
    <row r="158" ht="15.75" customHeight="1">
      <c r="I158" s="1021"/>
    </row>
    <row r="159" ht="15.75" customHeight="1">
      <c r="I159" s="1021"/>
    </row>
    <row r="160" ht="15.75" customHeight="1">
      <c r="I160" s="1021"/>
    </row>
    <row r="161" ht="15.75" customHeight="1">
      <c r="I161" s="1021"/>
    </row>
    <row r="162" ht="15.75" customHeight="1">
      <c r="I162" s="1021"/>
    </row>
    <row r="163" ht="15.75" customHeight="1">
      <c r="I163" s="1021"/>
    </row>
    <row r="164" ht="15.75" customHeight="1">
      <c r="I164" s="1021"/>
    </row>
    <row r="165" ht="15.75" customHeight="1">
      <c r="I165" s="1021"/>
    </row>
    <row r="166" ht="15.75" customHeight="1">
      <c r="I166" s="1021"/>
    </row>
    <row r="167" ht="15.75" customHeight="1">
      <c r="I167" s="1021"/>
    </row>
    <row r="168" ht="15.75" customHeight="1">
      <c r="I168" s="1021"/>
    </row>
    <row r="169" ht="15.75" customHeight="1">
      <c r="I169" s="1021"/>
    </row>
    <row r="170" ht="15.75" customHeight="1">
      <c r="I170" s="1021"/>
    </row>
    <row r="171" ht="15.75" customHeight="1">
      <c r="I171" s="1021"/>
    </row>
    <row r="172" ht="15.75" customHeight="1">
      <c r="I172" s="1021"/>
    </row>
    <row r="173" ht="15.75" customHeight="1">
      <c r="I173" s="1021"/>
    </row>
    <row r="174" ht="15.75" customHeight="1">
      <c r="I174" s="1021"/>
    </row>
    <row r="175" ht="15.75" customHeight="1">
      <c r="I175" s="1021"/>
    </row>
    <row r="176" ht="15.75" customHeight="1">
      <c r="I176" s="1021"/>
    </row>
    <row r="177" ht="15.75" customHeight="1">
      <c r="I177" s="1021"/>
    </row>
    <row r="178" ht="15.75" customHeight="1">
      <c r="I178" s="1021"/>
    </row>
    <row r="179" ht="15.75" customHeight="1">
      <c r="I179" s="1021"/>
    </row>
    <row r="180" ht="15.75" customHeight="1">
      <c r="I180" s="1021"/>
    </row>
    <row r="181" ht="15.75" customHeight="1">
      <c r="I181" s="1021"/>
    </row>
    <row r="182" ht="15.75" customHeight="1">
      <c r="I182" s="1021"/>
    </row>
    <row r="183" ht="15.75" customHeight="1">
      <c r="I183" s="1021"/>
    </row>
    <row r="184" ht="15.75" customHeight="1">
      <c r="I184" s="1021"/>
    </row>
    <row r="185" ht="15.75" customHeight="1">
      <c r="I185" s="1021"/>
    </row>
    <row r="186" ht="15.75" customHeight="1">
      <c r="I186" s="1021"/>
    </row>
    <row r="187" ht="15.75" customHeight="1">
      <c r="I187" s="1021"/>
    </row>
    <row r="188" ht="15.75" customHeight="1">
      <c r="I188" s="1021"/>
    </row>
    <row r="189" ht="15.75" customHeight="1">
      <c r="I189" s="1021"/>
    </row>
    <row r="190" ht="15.75" customHeight="1">
      <c r="I190" s="1021"/>
    </row>
    <row r="191" ht="15.75" customHeight="1">
      <c r="I191" s="1021"/>
    </row>
    <row r="192" ht="15.75" customHeight="1">
      <c r="I192" s="1021"/>
    </row>
    <row r="193" ht="15.75" customHeight="1">
      <c r="I193" s="1021"/>
    </row>
    <row r="194" ht="15.75" customHeight="1">
      <c r="I194" s="1021"/>
    </row>
    <row r="195" ht="15.75" customHeight="1">
      <c r="I195" s="1021"/>
    </row>
    <row r="196" ht="15.75" customHeight="1">
      <c r="I196" s="1021"/>
    </row>
    <row r="197" ht="15.75" customHeight="1">
      <c r="I197" s="1021"/>
    </row>
    <row r="198" ht="15.75" customHeight="1">
      <c r="I198" s="1021"/>
    </row>
    <row r="199" ht="15.75" customHeight="1">
      <c r="I199" s="1021"/>
    </row>
    <row r="200" ht="15.75" customHeight="1">
      <c r="I200" s="1021"/>
    </row>
    <row r="201" ht="15.75" customHeight="1">
      <c r="I201" s="1021"/>
    </row>
    <row r="202" ht="15.75" customHeight="1">
      <c r="I202" s="1021"/>
    </row>
    <row r="203" ht="15.75" customHeight="1">
      <c r="I203" s="1021"/>
    </row>
    <row r="204" ht="15.75" customHeight="1">
      <c r="I204" s="1021"/>
    </row>
    <row r="205" ht="15.75" customHeight="1">
      <c r="I205" s="1021"/>
    </row>
    <row r="206" ht="15.75" customHeight="1">
      <c r="I206" s="1021"/>
    </row>
    <row r="207" ht="15.75" customHeight="1">
      <c r="I207" s="1021"/>
    </row>
    <row r="208" ht="15.75" customHeight="1">
      <c r="I208" s="1021"/>
    </row>
    <row r="209" ht="15.75" customHeight="1">
      <c r="I209" s="1021"/>
    </row>
    <row r="210" ht="15.75" customHeight="1">
      <c r="I210" s="1021"/>
    </row>
    <row r="211" ht="15.75" customHeight="1">
      <c r="I211" s="1021"/>
    </row>
    <row r="212" ht="15.75" customHeight="1">
      <c r="I212" s="1021"/>
    </row>
    <row r="213" ht="15.75" customHeight="1">
      <c r="I213" s="1021"/>
    </row>
    <row r="214" ht="15.75" customHeight="1">
      <c r="I214" s="1021"/>
    </row>
    <row r="215" ht="15.75" customHeight="1">
      <c r="I215" s="1021"/>
    </row>
    <row r="216" ht="15.75" customHeight="1">
      <c r="I216" s="1021"/>
    </row>
    <row r="217" ht="15.75" customHeight="1">
      <c r="I217" s="1021"/>
    </row>
    <row r="218" ht="15.75" customHeight="1">
      <c r="I218" s="1021"/>
    </row>
    <row r="219" ht="15.75" customHeight="1">
      <c r="I219" s="1021"/>
    </row>
    <row r="220" ht="15.75" customHeight="1">
      <c r="I220" s="1021"/>
    </row>
    <row r="221" ht="15.75" customHeight="1">
      <c r="I221" s="1021"/>
    </row>
    <row r="222" ht="15.75" customHeight="1">
      <c r="I222" s="1021"/>
    </row>
    <row r="223" ht="15.75" customHeight="1">
      <c r="I223" s="1021"/>
    </row>
    <row r="224" ht="15.75" customHeight="1">
      <c r="I224" s="1021"/>
    </row>
    <row r="225" ht="15.75" customHeight="1">
      <c r="I225" s="1021"/>
    </row>
    <row r="226" ht="15.75" customHeight="1">
      <c r="I226" s="1021"/>
    </row>
    <row r="227" ht="15.75" customHeight="1">
      <c r="I227" s="1021"/>
    </row>
    <row r="228" ht="15.75" customHeight="1">
      <c r="I228" s="1021"/>
    </row>
    <row r="229" ht="15.75" customHeight="1">
      <c r="I229" s="1021"/>
    </row>
    <row r="230" ht="15.75" customHeight="1">
      <c r="I230" s="1021"/>
    </row>
    <row r="231" ht="15.75" customHeight="1">
      <c r="I231" s="1021"/>
    </row>
    <row r="232" ht="15.75" customHeight="1">
      <c r="I232" s="1021"/>
    </row>
    <row r="233" ht="15.75" customHeight="1">
      <c r="I233" s="1021"/>
    </row>
    <row r="234" ht="15.75" customHeight="1">
      <c r="I234" s="1021"/>
    </row>
    <row r="235" ht="15.75" customHeight="1">
      <c r="I235" s="1021"/>
    </row>
    <row r="236" ht="15.75" customHeight="1">
      <c r="I236" s="1021"/>
    </row>
    <row r="237" ht="15.75" customHeight="1">
      <c r="I237" s="1021"/>
    </row>
    <row r="238" ht="15.75" customHeight="1">
      <c r="I238" s="1021"/>
    </row>
    <row r="239" ht="15.75" customHeight="1">
      <c r="I239" s="1021"/>
    </row>
    <row r="240" ht="15.75" customHeight="1">
      <c r="I240" s="1021"/>
    </row>
    <row r="241" ht="15.75" customHeight="1">
      <c r="I241" s="1021"/>
    </row>
    <row r="242" ht="15.75" customHeight="1">
      <c r="I242" s="1021"/>
    </row>
    <row r="243" ht="15.75" customHeight="1">
      <c r="I243" s="1021"/>
    </row>
    <row r="244" ht="15.75" customHeight="1">
      <c r="I244" s="1021"/>
    </row>
    <row r="245" ht="15.75" customHeight="1">
      <c r="I245" s="1021"/>
    </row>
    <row r="246" ht="15.75" customHeight="1">
      <c r="I246" s="1021"/>
    </row>
    <row r="247" ht="15.75" customHeight="1">
      <c r="I247" s="1021"/>
    </row>
    <row r="248" ht="15.75" customHeight="1">
      <c r="I248" s="1021"/>
    </row>
    <row r="249" ht="15.75" customHeight="1">
      <c r="I249" s="1021"/>
    </row>
    <row r="250" ht="15.75" customHeight="1">
      <c r="I250" s="1021"/>
    </row>
    <row r="251" ht="15.75" customHeight="1">
      <c r="I251" s="1021"/>
    </row>
    <row r="252" ht="15.75" customHeight="1">
      <c r="I252" s="1021"/>
    </row>
    <row r="253" ht="15.75" customHeight="1">
      <c r="I253" s="1021"/>
    </row>
    <row r="254" ht="15.75" customHeight="1">
      <c r="I254" s="1021"/>
    </row>
    <row r="255" ht="15.75" customHeight="1">
      <c r="I255" s="1021"/>
    </row>
    <row r="256" ht="15.75" customHeight="1">
      <c r="I256" s="1021"/>
    </row>
    <row r="257" ht="15.75" customHeight="1">
      <c r="I257" s="1021"/>
    </row>
    <row r="258" ht="15.75" customHeight="1">
      <c r="I258" s="1021"/>
    </row>
    <row r="259" ht="15.75" customHeight="1">
      <c r="I259" s="1021"/>
    </row>
    <row r="260" ht="15.75" customHeight="1">
      <c r="I260" s="1021"/>
    </row>
    <row r="261" ht="15.75" customHeight="1">
      <c r="I261" s="1021"/>
    </row>
    <row r="262" ht="15.75" customHeight="1">
      <c r="I262" s="1021"/>
    </row>
    <row r="263" ht="15.75" customHeight="1">
      <c r="I263" s="1021"/>
    </row>
    <row r="264" ht="15.75" customHeight="1">
      <c r="I264" s="1021"/>
    </row>
    <row r="265" ht="15.75" customHeight="1">
      <c r="I265" s="1021"/>
    </row>
    <row r="266" ht="15.75" customHeight="1">
      <c r="I266" s="1021"/>
    </row>
    <row r="267" ht="15.75" customHeight="1">
      <c r="I267" s="1021"/>
    </row>
    <row r="268" ht="15.75" customHeight="1">
      <c r="I268" s="1021"/>
    </row>
    <row r="269" ht="15.75" customHeight="1">
      <c r="I269" s="1021"/>
    </row>
    <row r="270" ht="15.75" customHeight="1">
      <c r="I270" s="1021"/>
    </row>
    <row r="271" ht="15.75" customHeight="1">
      <c r="I271" s="1021"/>
    </row>
    <row r="272" ht="15.75" customHeight="1">
      <c r="I272" s="1021"/>
    </row>
    <row r="273" ht="15.75" customHeight="1">
      <c r="I273" s="1021"/>
    </row>
    <row r="274" ht="15.75" customHeight="1">
      <c r="I274" s="1021"/>
    </row>
    <row r="275" ht="15.75" customHeight="1">
      <c r="I275" s="1021"/>
    </row>
    <row r="276" ht="15.75" customHeight="1">
      <c r="I276" s="1021"/>
    </row>
    <row r="277" ht="15.75" customHeight="1">
      <c r="I277" s="1021"/>
    </row>
    <row r="278" ht="15.75" customHeight="1">
      <c r="I278" s="1021"/>
    </row>
    <row r="279" ht="15.75" customHeight="1">
      <c r="I279" s="1021"/>
    </row>
    <row r="280" ht="15.75" customHeight="1">
      <c r="I280" s="1021"/>
    </row>
    <row r="281" ht="15.75" customHeight="1">
      <c r="I281" s="1021"/>
    </row>
    <row r="282" ht="15.75" customHeight="1">
      <c r="I282" s="1021"/>
    </row>
    <row r="283" ht="15.75" customHeight="1">
      <c r="I283" s="1021"/>
    </row>
    <row r="284" ht="15.75" customHeight="1">
      <c r="I284" s="1021"/>
    </row>
    <row r="285" ht="15.75" customHeight="1">
      <c r="I285" s="1021"/>
    </row>
    <row r="286" ht="15.75" customHeight="1">
      <c r="I286" s="1021"/>
    </row>
    <row r="287" ht="15.75" customHeight="1">
      <c r="I287" s="1021"/>
    </row>
    <row r="288" ht="15.75" customHeight="1">
      <c r="I288" s="1021"/>
    </row>
    <row r="289" ht="15.75" customHeight="1">
      <c r="I289" s="1021"/>
    </row>
    <row r="290" ht="15.75" customHeight="1">
      <c r="I290" s="1021"/>
    </row>
    <row r="291" ht="15.75" customHeight="1">
      <c r="I291" s="1021"/>
    </row>
    <row r="292" ht="15.75" customHeight="1">
      <c r="I292" s="1021"/>
    </row>
    <row r="293" ht="15.75" customHeight="1">
      <c r="I293" s="1021"/>
    </row>
    <row r="294" ht="15.75" customHeight="1">
      <c r="I294" s="1021"/>
    </row>
    <row r="295" ht="15.75" customHeight="1">
      <c r="I295" s="1021"/>
    </row>
    <row r="296" ht="15.75" customHeight="1">
      <c r="I296" s="1021"/>
    </row>
    <row r="297" ht="15.75" customHeight="1">
      <c r="I297" s="1021"/>
    </row>
    <row r="298" ht="15.75" customHeight="1">
      <c r="I298" s="1021"/>
    </row>
    <row r="299" ht="15.75" customHeight="1">
      <c r="I299" s="1021"/>
    </row>
    <row r="300" ht="15.75" customHeight="1">
      <c r="I300" s="1021"/>
    </row>
    <row r="301" ht="15.75" customHeight="1">
      <c r="I301" s="1021"/>
    </row>
    <row r="302" ht="15.75" customHeight="1">
      <c r="I302" s="1021"/>
    </row>
    <row r="303" ht="15.75" customHeight="1">
      <c r="I303" s="1021"/>
    </row>
    <row r="304" ht="15.75" customHeight="1">
      <c r="I304" s="1021"/>
    </row>
    <row r="305" ht="15.75" customHeight="1">
      <c r="I305" s="1021"/>
    </row>
    <row r="306" ht="15.75" customHeight="1">
      <c r="I306" s="1021"/>
    </row>
    <row r="307" ht="15.75" customHeight="1">
      <c r="I307" s="1021"/>
    </row>
    <row r="308" ht="15.75" customHeight="1">
      <c r="I308" s="1021"/>
    </row>
    <row r="309" ht="15.75" customHeight="1">
      <c r="I309" s="1021"/>
    </row>
    <row r="310" ht="15.75" customHeight="1">
      <c r="I310" s="1021"/>
    </row>
    <row r="311" ht="15.75" customHeight="1">
      <c r="I311" s="1021"/>
    </row>
    <row r="312" ht="15.75" customHeight="1">
      <c r="I312" s="1021"/>
    </row>
    <row r="313" ht="15.75" customHeight="1">
      <c r="I313" s="1021"/>
    </row>
    <row r="314" ht="15.75" customHeight="1">
      <c r="I314" s="1021"/>
    </row>
    <row r="315" ht="15.75" customHeight="1">
      <c r="I315" s="1021"/>
    </row>
    <row r="316" ht="15.75" customHeight="1">
      <c r="I316" s="1021"/>
    </row>
    <row r="317" ht="15.75" customHeight="1">
      <c r="I317" s="1021"/>
    </row>
    <row r="318" ht="15.75" customHeight="1">
      <c r="I318" s="1021"/>
    </row>
    <row r="319" ht="15.75" customHeight="1">
      <c r="I319" s="1021"/>
    </row>
    <row r="320" ht="15.75" customHeight="1">
      <c r="I320" s="1021"/>
    </row>
    <row r="321" ht="15.75" customHeight="1">
      <c r="I321" s="1021"/>
    </row>
    <row r="322" ht="15.75" customHeight="1">
      <c r="I322" s="1021"/>
    </row>
    <row r="323" ht="15.75" customHeight="1">
      <c r="I323" s="1021"/>
    </row>
    <row r="324" ht="15.75" customHeight="1">
      <c r="I324" s="1021"/>
    </row>
    <row r="325" ht="15.75" customHeight="1">
      <c r="I325" s="1021"/>
    </row>
    <row r="326" ht="15.75" customHeight="1">
      <c r="I326" s="1021"/>
    </row>
    <row r="327" ht="15.75" customHeight="1">
      <c r="I327" s="1021"/>
    </row>
    <row r="328" ht="15.75" customHeight="1">
      <c r="I328" s="1021"/>
    </row>
    <row r="329" ht="15.75" customHeight="1">
      <c r="I329" s="1021"/>
    </row>
    <row r="330" ht="15.75" customHeight="1">
      <c r="I330" s="1021"/>
    </row>
    <row r="331" ht="15.75" customHeight="1">
      <c r="I331" s="1021"/>
    </row>
    <row r="332" ht="15.75" customHeight="1">
      <c r="I332" s="1021"/>
    </row>
    <row r="333" ht="15.75" customHeight="1">
      <c r="I333" s="1021"/>
    </row>
    <row r="334" ht="15.75" customHeight="1">
      <c r="I334" s="1021"/>
    </row>
    <row r="335" ht="15.75" customHeight="1">
      <c r="I335" s="1021"/>
    </row>
    <row r="336" ht="15.75" customHeight="1">
      <c r="I336" s="1021"/>
    </row>
    <row r="337" ht="15.75" customHeight="1">
      <c r="I337" s="1021"/>
    </row>
    <row r="338" ht="15.75" customHeight="1">
      <c r="I338" s="1021"/>
    </row>
    <row r="339" ht="15.75" customHeight="1">
      <c r="I339" s="1021"/>
    </row>
    <row r="340" ht="15.75" customHeight="1">
      <c r="I340" s="1021"/>
    </row>
    <row r="341" ht="15.75" customHeight="1">
      <c r="I341" s="1021"/>
    </row>
    <row r="342" ht="15.75" customHeight="1">
      <c r="I342" s="1021"/>
    </row>
    <row r="343" ht="15.75" customHeight="1">
      <c r="I343" s="1021"/>
    </row>
    <row r="344" ht="15.75" customHeight="1">
      <c r="I344" s="1021"/>
    </row>
    <row r="345" ht="15.75" customHeight="1">
      <c r="I345" s="1021"/>
    </row>
    <row r="346" ht="15.75" customHeight="1">
      <c r="I346" s="1021"/>
    </row>
    <row r="347" ht="15.75" customHeight="1">
      <c r="I347" s="1021"/>
    </row>
    <row r="348" ht="15.75" customHeight="1">
      <c r="I348" s="1021"/>
    </row>
    <row r="349" ht="15.75" customHeight="1">
      <c r="I349" s="1021"/>
    </row>
    <row r="350" ht="15.75" customHeight="1">
      <c r="I350" s="1021"/>
    </row>
    <row r="351" ht="15.75" customHeight="1">
      <c r="I351" s="1021"/>
    </row>
    <row r="352" ht="15.75" customHeight="1">
      <c r="I352" s="1021"/>
    </row>
    <row r="353" ht="15.75" customHeight="1">
      <c r="I353" s="1021"/>
    </row>
    <row r="354" ht="15.75" customHeight="1">
      <c r="I354" s="1021"/>
    </row>
    <row r="355" ht="15.75" customHeight="1">
      <c r="I355" s="1021"/>
    </row>
    <row r="356" ht="15.75" customHeight="1">
      <c r="I356" s="1021"/>
    </row>
    <row r="357" ht="15.75" customHeight="1">
      <c r="I357" s="1021"/>
    </row>
    <row r="358" ht="15.75" customHeight="1">
      <c r="I358" s="1021"/>
    </row>
    <row r="359" ht="15.75" customHeight="1">
      <c r="I359" s="1021"/>
    </row>
    <row r="360" ht="15.75" customHeight="1">
      <c r="I360" s="1021"/>
    </row>
    <row r="361" ht="15.75" customHeight="1">
      <c r="I361" s="1021"/>
    </row>
    <row r="362" ht="15.75" customHeight="1">
      <c r="I362" s="1021"/>
    </row>
    <row r="363" ht="15.75" customHeight="1">
      <c r="I363" s="1021"/>
    </row>
    <row r="364" ht="15.75" customHeight="1">
      <c r="I364" s="1021"/>
    </row>
    <row r="365" ht="15.75" customHeight="1">
      <c r="I365" s="1021"/>
    </row>
    <row r="366" ht="15.75" customHeight="1">
      <c r="I366" s="1021"/>
    </row>
    <row r="367" ht="15.75" customHeight="1">
      <c r="I367" s="1021"/>
    </row>
    <row r="368" ht="15.75" customHeight="1">
      <c r="I368" s="1021"/>
    </row>
    <row r="369" ht="15.75" customHeight="1">
      <c r="I369" s="1021"/>
    </row>
    <row r="370" ht="15.75" customHeight="1">
      <c r="I370" s="1021"/>
    </row>
    <row r="371" ht="15.75" customHeight="1">
      <c r="I371" s="1021"/>
    </row>
    <row r="372" ht="15.75" customHeight="1">
      <c r="I372" s="1021"/>
    </row>
    <row r="373" ht="15.75" customHeight="1">
      <c r="I373" s="1021"/>
    </row>
    <row r="374" ht="15.75" customHeight="1">
      <c r="I374" s="1021"/>
    </row>
    <row r="375" ht="15.75" customHeight="1">
      <c r="I375" s="1021"/>
    </row>
    <row r="376" ht="15.75" customHeight="1">
      <c r="I376" s="1021"/>
    </row>
    <row r="377" ht="15.75" customHeight="1">
      <c r="I377" s="1021"/>
    </row>
    <row r="378" ht="15.75" customHeight="1">
      <c r="I378" s="1021"/>
    </row>
    <row r="379" ht="15.75" customHeight="1">
      <c r="I379" s="1021"/>
    </row>
    <row r="380" ht="15.75" customHeight="1">
      <c r="I380" s="1021"/>
    </row>
    <row r="381" ht="15.75" customHeight="1">
      <c r="I381" s="1021"/>
    </row>
    <row r="382" ht="15.75" customHeight="1">
      <c r="I382" s="1021"/>
    </row>
    <row r="383" ht="15.75" customHeight="1">
      <c r="I383" s="1021"/>
    </row>
    <row r="384" ht="15.75" customHeight="1">
      <c r="I384" s="1021"/>
    </row>
    <row r="385" ht="15.75" customHeight="1">
      <c r="I385" s="1021"/>
    </row>
    <row r="386" ht="15.75" customHeight="1">
      <c r="I386" s="1021"/>
    </row>
    <row r="387" ht="15.75" customHeight="1">
      <c r="I387" s="1021"/>
    </row>
    <row r="388" ht="15.75" customHeight="1">
      <c r="I388" s="1021"/>
    </row>
    <row r="389" ht="15.75" customHeight="1">
      <c r="I389" s="1021"/>
    </row>
    <row r="390" ht="15.75" customHeight="1">
      <c r="I390" s="1021"/>
    </row>
    <row r="391" ht="15.75" customHeight="1">
      <c r="I391" s="1021"/>
    </row>
    <row r="392" ht="15.75" customHeight="1">
      <c r="I392" s="1021"/>
    </row>
    <row r="393" ht="15.75" customHeight="1">
      <c r="I393" s="1021"/>
    </row>
    <row r="394" ht="15.75" customHeight="1">
      <c r="I394" s="1021"/>
    </row>
    <row r="395" ht="15.75" customHeight="1">
      <c r="I395" s="1021"/>
    </row>
    <row r="396" ht="15.75" customHeight="1">
      <c r="I396" s="1021"/>
    </row>
    <row r="397" ht="15.75" customHeight="1">
      <c r="I397" s="1021"/>
    </row>
    <row r="398" ht="15.75" customHeight="1">
      <c r="I398" s="1021"/>
    </row>
    <row r="399" ht="15.75" customHeight="1">
      <c r="I399" s="1021"/>
    </row>
    <row r="400" ht="15.75" customHeight="1">
      <c r="I400" s="1021"/>
    </row>
    <row r="401" ht="15.75" customHeight="1">
      <c r="I401" s="1021"/>
    </row>
    <row r="402" ht="15.75" customHeight="1">
      <c r="I402" s="1021"/>
    </row>
    <row r="403" ht="15.75" customHeight="1">
      <c r="I403" s="1021"/>
    </row>
    <row r="404" ht="15.75" customHeight="1">
      <c r="I404" s="1021"/>
    </row>
    <row r="405" ht="15.75" customHeight="1">
      <c r="I405" s="1021"/>
    </row>
    <row r="406" ht="15.75" customHeight="1">
      <c r="I406" s="1021"/>
    </row>
    <row r="407" ht="15.75" customHeight="1">
      <c r="I407" s="1021"/>
    </row>
    <row r="408" ht="15.75" customHeight="1">
      <c r="I408" s="1021"/>
    </row>
    <row r="409" ht="15.75" customHeight="1">
      <c r="I409" s="1021"/>
    </row>
    <row r="410" ht="15.75" customHeight="1">
      <c r="I410" s="1021"/>
    </row>
    <row r="411" ht="15.75" customHeight="1">
      <c r="I411" s="1021"/>
    </row>
    <row r="412" ht="15.75" customHeight="1">
      <c r="I412" s="1021"/>
    </row>
    <row r="413" ht="15.75" customHeight="1">
      <c r="I413" s="1021"/>
    </row>
    <row r="414" ht="15.75" customHeight="1">
      <c r="I414" s="1021"/>
    </row>
    <row r="415" ht="15.75" customHeight="1">
      <c r="I415" s="1021"/>
    </row>
    <row r="416" ht="15.75" customHeight="1">
      <c r="I416" s="1021"/>
    </row>
    <row r="417" ht="15.75" customHeight="1">
      <c r="I417" s="1021"/>
    </row>
    <row r="418" ht="15.75" customHeight="1">
      <c r="I418" s="1021"/>
    </row>
    <row r="419" ht="15.75" customHeight="1">
      <c r="I419" s="1021"/>
    </row>
    <row r="420" ht="15.75" customHeight="1">
      <c r="I420" s="1021"/>
    </row>
    <row r="421" ht="15.75" customHeight="1">
      <c r="I421" s="1021"/>
    </row>
    <row r="422" ht="15.75" customHeight="1">
      <c r="I422" s="1021"/>
    </row>
    <row r="423" ht="15.75" customHeight="1">
      <c r="I423" s="1021"/>
    </row>
    <row r="424" ht="15.75" customHeight="1">
      <c r="I424" s="1021"/>
    </row>
    <row r="425" ht="15.75" customHeight="1">
      <c r="I425" s="1021"/>
    </row>
    <row r="426" ht="15.75" customHeight="1">
      <c r="I426" s="1021"/>
    </row>
    <row r="427" ht="15.75" customHeight="1">
      <c r="I427" s="1021"/>
    </row>
    <row r="428" ht="15.75" customHeight="1">
      <c r="I428" s="1021"/>
    </row>
    <row r="429" ht="15.75" customHeight="1">
      <c r="I429" s="1021"/>
    </row>
    <row r="430" ht="15.75" customHeight="1">
      <c r="I430" s="1021"/>
    </row>
    <row r="431" ht="15.75" customHeight="1">
      <c r="I431" s="1021"/>
    </row>
    <row r="432" ht="15.75" customHeight="1">
      <c r="I432" s="1021"/>
    </row>
    <row r="433" ht="15.75" customHeight="1">
      <c r="I433" s="1021"/>
    </row>
    <row r="434" ht="15.75" customHeight="1">
      <c r="I434" s="1021"/>
    </row>
    <row r="435" ht="15.75" customHeight="1">
      <c r="I435" s="1021"/>
    </row>
    <row r="436" ht="15.75" customHeight="1">
      <c r="I436" s="1021"/>
    </row>
    <row r="437" ht="15.75" customHeight="1">
      <c r="I437" s="1021"/>
    </row>
    <row r="438" ht="15.75" customHeight="1">
      <c r="I438" s="1021"/>
    </row>
    <row r="439" ht="15.75" customHeight="1">
      <c r="I439" s="1021"/>
    </row>
    <row r="440" ht="15.75" customHeight="1">
      <c r="I440" s="1021"/>
    </row>
    <row r="441" ht="15.75" customHeight="1">
      <c r="I441" s="1021"/>
    </row>
    <row r="442" ht="15.75" customHeight="1">
      <c r="I442" s="1021"/>
    </row>
    <row r="443" ht="15.75" customHeight="1">
      <c r="I443" s="1021"/>
    </row>
    <row r="444" ht="15.75" customHeight="1">
      <c r="I444" s="1021"/>
    </row>
    <row r="445" ht="15.75" customHeight="1">
      <c r="I445" s="1021"/>
    </row>
    <row r="446" ht="15.75" customHeight="1">
      <c r="I446" s="1021"/>
    </row>
    <row r="447" ht="15.75" customHeight="1">
      <c r="I447" s="1021"/>
    </row>
    <row r="448" ht="15.75" customHeight="1">
      <c r="I448" s="1021"/>
    </row>
    <row r="449" ht="15.75" customHeight="1">
      <c r="I449" s="1021"/>
    </row>
    <row r="450" ht="15.75" customHeight="1">
      <c r="I450" s="1021"/>
    </row>
    <row r="451" ht="15.75" customHeight="1">
      <c r="I451" s="1021"/>
    </row>
    <row r="452" ht="15.75" customHeight="1">
      <c r="I452" s="1021"/>
    </row>
    <row r="453" ht="15.75" customHeight="1">
      <c r="I453" s="1021"/>
    </row>
    <row r="454" ht="15.75" customHeight="1">
      <c r="I454" s="1021"/>
    </row>
    <row r="455" ht="15.75" customHeight="1">
      <c r="I455" s="1021"/>
    </row>
    <row r="456" ht="15.75" customHeight="1">
      <c r="I456" s="1021"/>
    </row>
    <row r="457" ht="15.75" customHeight="1">
      <c r="I457" s="1021"/>
    </row>
    <row r="458" ht="15.75" customHeight="1">
      <c r="I458" s="1021"/>
    </row>
    <row r="459" ht="15.75" customHeight="1">
      <c r="I459" s="1021"/>
    </row>
    <row r="460" ht="15.75" customHeight="1">
      <c r="I460" s="1021"/>
    </row>
    <row r="461" ht="15.75" customHeight="1">
      <c r="I461" s="1021"/>
    </row>
    <row r="462" ht="15.75" customHeight="1">
      <c r="I462" s="1021"/>
    </row>
    <row r="463" ht="15.75" customHeight="1">
      <c r="I463" s="1021"/>
    </row>
    <row r="464" ht="15.75" customHeight="1">
      <c r="I464" s="1021"/>
    </row>
    <row r="465" ht="15.75" customHeight="1">
      <c r="I465" s="1021"/>
    </row>
    <row r="466" ht="15.75" customHeight="1">
      <c r="I466" s="1021"/>
    </row>
    <row r="467" ht="15.75" customHeight="1">
      <c r="I467" s="1021"/>
    </row>
    <row r="468" ht="15.75" customHeight="1">
      <c r="I468" s="1021"/>
    </row>
    <row r="469" ht="15.75" customHeight="1">
      <c r="I469" s="1021"/>
    </row>
    <row r="470" ht="15.75" customHeight="1">
      <c r="I470" s="1021"/>
    </row>
    <row r="471" ht="15.75" customHeight="1">
      <c r="I471" s="1021"/>
    </row>
    <row r="472" ht="15.75" customHeight="1">
      <c r="I472" s="1021"/>
    </row>
    <row r="473" ht="15.75" customHeight="1">
      <c r="I473" s="1021"/>
    </row>
    <row r="474" ht="15.75" customHeight="1">
      <c r="I474" s="1021"/>
    </row>
    <row r="475" ht="15.75" customHeight="1">
      <c r="I475" s="1021"/>
    </row>
    <row r="476" ht="15.75" customHeight="1">
      <c r="I476" s="1021"/>
    </row>
    <row r="477" ht="15.75" customHeight="1">
      <c r="I477" s="1021"/>
    </row>
    <row r="478" ht="15.75" customHeight="1">
      <c r="I478" s="1021"/>
    </row>
    <row r="479" ht="15.75" customHeight="1">
      <c r="I479" s="1021"/>
    </row>
    <row r="480" ht="15.75" customHeight="1">
      <c r="I480" s="1021"/>
    </row>
    <row r="481" ht="15.75" customHeight="1">
      <c r="I481" s="1021"/>
    </row>
    <row r="482" ht="15.75" customHeight="1">
      <c r="I482" s="1021"/>
    </row>
    <row r="483" ht="15.75" customHeight="1">
      <c r="I483" s="1021"/>
    </row>
    <row r="484" ht="15.75" customHeight="1">
      <c r="I484" s="1021"/>
    </row>
    <row r="485" ht="15.75" customHeight="1">
      <c r="I485" s="1021"/>
    </row>
    <row r="486" ht="15.75" customHeight="1">
      <c r="I486" s="1021"/>
    </row>
    <row r="487" ht="15.75" customHeight="1">
      <c r="I487" s="1021"/>
    </row>
    <row r="488" ht="15.75" customHeight="1">
      <c r="I488" s="1021"/>
    </row>
    <row r="489" ht="15.75" customHeight="1">
      <c r="I489" s="1021"/>
    </row>
    <row r="490" ht="15.75" customHeight="1">
      <c r="I490" s="1021"/>
    </row>
    <row r="491" ht="15.75" customHeight="1">
      <c r="I491" s="1021"/>
    </row>
    <row r="492" ht="15.75" customHeight="1">
      <c r="I492" s="1021"/>
    </row>
    <row r="493" ht="15.75" customHeight="1">
      <c r="I493" s="1021"/>
    </row>
    <row r="494" ht="15.75" customHeight="1">
      <c r="I494" s="1021"/>
    </row>
    <row r="495" ht="15.75" customHeight="1">
      <c r="I495" s="1021"/>
    </row>
    <row r="496" ht="15.75" customHeight="1">
      <c r="I496" s="1021"/>
    </row>
    <row r="497" ht="15.75" customHeight="1">
      <c r="I497" s="1021"/>
    </row>
    <row r="498" ht="15.75" customHeight="1">
      <c r="I498" s="1021"/>
    </row>
    <row r="499" ht="15.75" customHeight="1">
      <c r="I499" s="1021"/>
    </row>
    <row r="500" ht="15.75" customHeight="1">
      <c r="I500" s="1021"/>
    </row>
    <row r="501" ht="15.75" customHeight="1">
      <c r="I501" s="1021"/>
    </row>
    <row r="502" ht="15.75" customHeight="1">
      <c r="I502" s="1021"/>
    </row>
    <row r="503" ht="15.75" customHeight="1">
      <c r="I503" s="1021"/>
    </row>
    <row r="504" ht="15.75" customHeight="1">
      <c r="I504" s="1021"/>
    </row>
    <row r="505" ht="15.75" customHeight="1">
      <c r="I505" s="1021"/>
    </row>
    <row r="506" ht="15.75" customHeight="1">
      <c r="I506" s="1021"/>
    </row>
    <row r="507" ht="15.75" customHeight="1">
      <c r="I507" s="1021"/>
    </row>
    <row r="508" ht="15.75" customHeight="1">
      <c r="I508" s="1021"/>
    </row>
    <row r="509" ht="15.75" customHeight="1">
      <c r="I509" s="1021"/>
    </row>
    <row r="510" ht="15.75" customHeight="1">
      <c r="I510" s="1021"/>
    </row>
    <row r="511" ht="15.75" customHeight="1">
      <c r="I511" s="1021"/>
    </row>
    <row r="512" ht="15.75" customHeight="1">
      <c r="I512" s="1021"/>
    </row>
    <row r="513" ht="15.75" customHeight="1">
      <c r="I513" s="1021"/>
    </row>
    <row r="514" ht="15.75" customHeight="1">
      <c r="I514" s="1021"/>
    </row>
    <row r="515" ht="15.75" customHeight="1">
      <c r="I515" s="1021"/>
    </row>
    <row r="516" ht="15.75" customHeight="1">
      <c r="I516" s="1021"/>
    </row>
    <row r="517" ht="15.75" customHeight="1">
      <c r="I517" s="1021"/>
    </row>
    <row r="518" ht="15.75" customHeight="1">
      <c r="I518" s="1021"/>
    </row>
    <row r="519" ht="15.75" customHeight="1">
      <c r="I519" s="1021"/>
    </row>
    <row r="520" ht="15.75" customHeight="1">
      <c r="I520" s="1021"/>
    </row>
    <row r="521" ht="15.75" customHeight="1">
      <c r="I521" s="1021"/>
    </row>
    <row r="522" ht="15.75" customHeight="1">
      <c r="I522" s="1021"/>
    </row>
    <row r="523" ht="15.75" customHeight="1">
      <c r="I523" s="1021"/>
    </row>
    <row r="524" ht="15.75" customHeight="1">
      <c r="I524" s="1021"/>
    </row>
    <row r="525" ht="15.75" customHeight="1">
      <c r="I525" s="1021"/>
    </row>
    <row r="526" ht="15.75" customHeight="1">
      <c r="I526" s="1021"/>
    </row>
    <row r="527" ht="15.75" customHeight="1">
      <c r="I527" s="1021"/>
    </row>
    <row r="528" ht="15.75" customHeight="1">
      <c r="I528" s="1021"/>
    </row>
    <row r="529" ht="15.75" customHeight="1">
      <c r="I529" s="1021"/>
    </row>
    <row r="530" ht="15.75" customHeight="1">
      <c r="I530" s="1021"/>
    </row>
    <row r="531" ht="15.75" customHeight="1">
      <c r="I531" s="1021"/>
    </row>
    <row r="532" ht="15.75" customHeight="1">
      <c r="I532" s="1021"/>
    </row>
    <row r="533" ht="15.75" customHeight="1">
      <c r="I533" s="1021"/>
    </row>
    <row r="534" ht="15.75" customHeight="1">
      <c r="I534" s="1021"/>
    </row>
    <row r="535" ht="15.75" customHeight="1">
      <c r="I535" s="1021"/>
    </row>
    <row r="536" ht="15.75" customHeight="1">
      <c r="I536" s="1021"/>
    </row>
    <row r="537" ht="15.75" customHeight="1">
      <c r="I537" s="1021"/>
    </row>
    <row r="538" ht="15.75" customHeight="1">
      <c r="I538" s="1021"/>
    </row>
    <row r="539" ht="15.75" customHeight="1">
      <c r="I539" s="1021"/>
    </row>
    <row r="540" ht="15.75" customHeight="1">
      <c r="I540" s="1021"/>
    </row>
    <row r="541" ht="15.75" customHeight="1">
      <c r="I541" s="1021"/>
    </row>
    <row r="542" ht="15.75" customHeight="1">
      <c r="I542" s="1021"/>
    </row>
    <row r="543" ht="15.75" customHeight="1">
      <c r="I543" s="1021"/>
    </row>
    <row r="544" ht="15.75" customHeight="1">
      <c r="I544" s="1021"/>
    </row>
    <row r="545" ht="15.75" customHeight="1">
      <c r="I545" s="1021"/>
    </row>
    <row r="546" ht="15.75" customHeight="1">
      <c r="I546" s="1021"/>
    </row>
    <row r="547" ht="15.75" customHeight="1">
      <c r="I547" s="1021"/>
    </row>
    <row r="548" ht="15.75" customHeight="1">
      <c r="I548" s="1021"/>
    </row>
    <row r="549" ht="15.75" customHeight="1">
      <c r="I549" s="1021"/>
    </row>
    <row r="550" ht="15.75" customHeight="1">
      <c r="I550" s="1021"/>
    </row>
    <row r="551" ht="15.75" customHeight="1">
      <c r="I551" s="1021"/>
    </row>
    <row r="552" ht="15.75" customHeight="1">
      <c r="I552" s="1021"/>
    </row>
    <row r="553" ht="15.75" customHeight="1">
      <c r="I553" s="1021"/>
    </row>
    <row r="554" ht="15.75" customHeight="1">
      <c r="I554" s="1021"/>
    </row>
    <row r="555" ht="15.75" customHeight="1">
      <c r="I555" s="1021"/>
    </row>
    <row r="556" ht="15.75" customHeight="1">
      <c r="I556" s="1021"/>
    </row>
    <row r="557" ht="15.75" customHeight="1">
      <c r="I557" s="1021"/>
    </row>
    <row r="558" ht="15.75" customHeight="1">
      <c r="I558" s="1021"/>
    </row>
    <row r="559" ht="15.75" customHeight="1">
      <c r="I559" s="1021"/>
    </row>
    <row r="560" ht="15.75" customHeight="1">
      <c r="I560" s="1021"/>
    </row>
    <row r="561" ht="15.75" customHeight="1">
      <c r="I561" s="1021"/>
    </row>
    <row r="562" ht="15.75" customHeight="1">
      <c r="I562" s="1021"/>
    </row>
    <row r="563" ht="15.75" customHeight="1">
      <c r="I563" s="1021"/>
    </row>
    <row r="564" ht="15.75" customHeight="1">
      <c r="I564" s="1021"/>
    </row>
    <row r="565" ht="15.75" customHeight="1">
      <c r="I565" s="1021"/>
    </row>
    <row r="566" ht="15.75" customHeight="1">
      <c r="I566" s="1021"/>
    </row>
    <row r="567" ht="15.75" customHeight="1">
      <c r="I567" s="1021"/>
    </row>
    <row r="568" ht="15.75" customHeight="1">
      <c r="I568" s="1021"/>
    </row>
    <row r="569" ht="15.75" customHeight="1">
      <c r="I569" s="1021"/>
    </row>
    <row r="570" ht="15.75" customHeight="1">
      <c r="I570" s="1021"/>
    </row>
    <row r="571" ht="15.75" customHeight="1">
      <c r="I571" s="1021"/>
    </row>
    <row r="572" ht="15.75" customHeight="1">
      <c r="I572" s="1021"/>
    </row>
    <row r="573" ht="15.75" customHeight="1">
      <c r="I573" s="1021"/>
    </row>
    <row r="574" ht="15.75" customHeight="1">
      <c r="I574" s="1021"/>
    </row>
    <row r="575" ht="15.75" customHeight="1">
      <c r="I575" s="1021"/>
    </row>
    <row r="576" ht="15.75" customHeight="1">
      <c r="I576" s="1021"/>
    </row>
    <row r="577" ht="15.75" customHeight="1">
      <c r="I577" s="1021"/>
    </row>
    <row r="578" ht="15.75" customHeight="1">
      <c r="I578" s="1021"/>
    </row>
    <row r="579" ht="15.75" customHeight="1">
      <c r="I579" s="1021"/>
    </row>
    <row r="580" ht="15.75" customHeight="1">
      <c r="I580" s="1021"/>
    </row>
    <row r="581" ht="15.75" customHeight="1">
      <c r="I581" s="1021"/>
    </row>
    <row r="582" ht="15.75" customHeight="1">
      <c r="I582" s="1021"/>
    </row>
    <row r="583" ht="15.75" customHeight="1">
      <c r="I583" s="1021"/>
    </row>
    <row r="584" ht="15.75" customHeight="1">
      <c r="I584" s="1021"/>
    </row>
    <row r="585" ht="15.75" customHeight="1">
      <c r="I585" s="1021"/>
    </row>
    <row r="586" ht="15.75" customHeight="1">
      <c r="I586" s="1021"/>
    </row>
    <row r="587" ht="15.75" customHeight="1">
      <c r="I587" s="1021"/>
    </row>
    <row r="588" ht="15.75" customHeight="1">
      <c r="I588" s="1021"/>
    </row>
    <row r="589" ht="15.75" customHeight="1">
      <c r="I589" s="1021"/>
    </row>
    <row r="590" ht="15.75" customHeight="1">
      <c r="I590" s="1021"/>
    </row>
    <row r="591" ht="15.75" customHeight="1">
      <c r="I591" s="1021"/>
    </row>
    <row r="592" ht="15.75" customHeight="1">
      <c r="I592" s="1021"/>
    </row>
    <row r="593" ht="15.75" customHeight="1">
      <c r="I593" s="1021"/>
    </row>
    <row r="594" ht="15.75" customHeight="1">
      <c r="I594" s="1021"/>
    </row>
    <row r="595" ht="15.75" customHeight="1">
      <c r="I595" s="1021"/>
    </row>
    <row r="596" ht="15.75" customHeight="1">
      <c r="I596" s="1021"/>
    </row>
    <row r="597" ht="15.75" customHeight="1">
      <c r="I597" s="1021"/>
    </row>
    <row r="598" ht="15.75" customHeight="1">
      <c r="I598" s="1021"/>
    </row>
    <row r="599" ht="15.75" customHeight="1">
      <c r="I599" s="1021"/>
    </row>
    <row r="600" ht="15.75" customHeight="1">
      <c r="I600" s="1021"/>
    </row>
    <row r="601" ht="15.75" customHeight="1">
      <c r="I601" s="1021"/>
    </row>
    <row r="602" ht="15.75" customHeight="1">
      <c r="I602" s="1021"/>
    </row>
    <row r="603" ht="15.75" customHeight="1">
      <c r="I603" s="1021"/>
    </row>
    <row r="604" ht="15.75" customHeight="1">
      <c r="I604" s="1021"/>
    </row>
    <row r="605" ht="15.75" customHeight="1">
      <c r="I605" s="1021"/>
    </row>
    <row r="606" ht="15.75" customHeight="1">
      <c r="I606" s="1021"/>
    </row>
    <row r="607" ht="15.75" customHeight="1">
      <c r="I607" s="1021"/>
    </row>
    <row r="608" ht="15.75" customHeight="1">
      <c r="I608" s="1021"/>
    </row>
    <row r="609" ht="15.75" customHeight="1">
      <c r="I609" s="1021"/>
    </row>
    <row r="610" ht="15.75" customHeight="1">
      <c r="I610" s="1021"/>
    </row>
    <row r="611" ht="15.75" customHeight="1">
      <c r="I611" s="1021"/>
    </row>
    <row r="612" ht="15.75" customHeight="1">
      <c r="I612" s="1021"/>
    </row>
    <row r="613" ht="15.75" customHeight="1">
      <c r="I613" s="1021"/>
    </row>
    <row r="614" ht="15.75" customHeight="1">
      <c r="I614" s="1021"/>
    </row>
    <row r="615" ht="15.75" customHeight="1">
      <c r="I615" s="1021"/>
    </row>
    <row r="616" ht="15.75" customHeight="1">
      <c r="I616" s="1021"/>
    </row>
    <row r="617" ht="15.75" customHeight="1">
      <c r="I617" s="1021"/>
    </row>
    <row r="618" ht="15.75" customHeight="1">
      <c r="I618" s="1021"/>
    </row>
    <row r="619" ht="15.75" customHeight="1">
      <c r="I619" s="1021"/>
    </row>
    <row r="620" ht="15.75" customHeight="1">
      <c r="I620" s="1021"/>
    </row>
    <row r="621" ht="15.75" customHeight="1">
      <c r="I621" s="1021"/>
    </row>
    <row r="622" ht="15.75" customHeight="1">
      <c r="I622" s="1021"/>
    </row>
    <row r="623" ht="15.75" customHeight="1">
      <c r="I623" s="1021"/>
    </row>
    <row r="624" ht="15.75" customHeight="1">
      <c r="I624" s="1021"/>
    </row>
    <row r="625" ht="15.75" customHeight="1">
      <c r="I625" s="1021"/>
    </row>
    <row r="626" ht="15.75" customHeight="1">
      <c r="I626" s="1021"/>
    </row>
    <row r="627" ht="15.75" customHeight="1">
      <c r="I627" s="1021"/>
    </row>
    <row r="628" ht="15.75" customHeight="1">
      <c r="I628" s="1021"/>
    </row>
    <row r="629" ht="15.75" customHeight="1">
      <c r="I629" s="1021"/>
    </row>
    <row r="630" ht="15.75" customHeight="1">
      <c r="I630" s="1021"/>
    </row>
    <row r="631" ht="15.75" customHeight="1">
      <c r="I631" s="1021"/>
    </row>
    <row r="632" ht="15.75" customHeight="1">
      <c r="I632" s="1021"/>
    </row>
    <row r="633" ht="15.75" customHeight="1">
      <c r="I633" s="1021"/>
    </row>
    <row r="634" ht="15.75" customHeight="1">
      <c r="I634" s="1021"/>
    </row>
    <row r="635" ht="15.75" customHeight="1">
      <c r="I635" s="1021"/>
    </row>
    <row r="636" ht="15.75" customHeight="1">
      <c r="I636" s="1021"/>
    </row>
    <row r="637" ht="15.75" customHeight="1">
      <c r="I637" s="1021"/>
    </row>
    <row r="638" ht="15.75" customHeight="1">
      <c r="I638" s="1021"/>
    </row>
    <row r="639" ht="15.75" customHeight="1">
      <c r="I639" s="1021"/>
    </row>
    <row r="640" ht="15.75" customHeight="1">
      <c r="I640" s="1021"/>
    </row>
    <row r="641" ht="15.75" customHeight="1">
      <c r="I641" s="1021"/>
    </row>
    <row r="642" ht="15.75" customHeight="1">
      <c r="I642" s="1021"/>
    </row>
    <row r="643" ht="15.75" customHeight="1">
      <c r="I643" s="1021"/>
    </row>
    <row r="644" ht="15.75" customHeight="1">
      <c r="I644" s="1021"/>
    </row>
    <row r="645" ht="15.75" customHeight="1">
      <c r="I645" s="1021"/>
    </row>
    <row r="646" ht="15.75" customHeight="1">
      <c r="I646" s="1021"/>
    </row>
    <row r="647" ht="15.75" customHeight="1">
      <c r="I647" s="1021"/>
    </row>
    <row r="648" ht="15.75" customHeight="1">
      <c r="I648" s="1021"/>
    </row>
    <row r="649" ht="15.75" customHeight="1">
      <c r="I649" s="1021"/>
    </row>
    <row r="650" ht="15.75" customHeight="1">
      <c r="I650" s="1021"/>
    </row>
    <row r="651" ht="15.75" customHeight="1">
      <c r="I651" s="1021"/>
    </row>
    <row r="652" ht="15.75" customHeight="1">
      <c r="I652" s="1021"/>
    </row>
    <row r="653" ht="15.75" customHeight="1">
      <c r="I653" s="1021"/>
    </row>
    <row r="654" ht="15.75" customHeight="1">
      <c r="I654" s="1021"/>
    </row>
    <row r="655" ht="15.75" customHeight="1">
      <c r="I655" s="1021"/>
    </row>
    <row r="656" ht="15.75" customHeight="1">
      <c r="I656" s="1021"/>
    </row>
    <row r="657" ht="15.75" customHeight="1">
      <c r="I657" s="1021"/>
    </row>
    <row r="658" ht="15.75" customHeight="1">
      <c r="I658" s="1021"/>
    </row>
    <row r="659" ht="15.75" customHeight="1">
      <c r="I659" s="1021"/>
    </row>
    <row r="660" ht="15.75" customHeight="1">
      <c r="I660" s="1021"/>
    </row>
    <row r="661" ht="15.75" customHeight="1">
      <c r="I661" s="1021"/>
    </row>
    <row r="662" ht="15.75" customHeight="1">
      <c r="I662" s="1021"/>
    </row>
    <row r="663" ht="15.75" customHeight="1">
      <c r="I663" s="1021"/>
    </row>
    <row r="664" ht="15.75" customHeight="1">
      <c r="I664" s="1021"/>
    </row>
    <row r="665" ht="15.75" customHeight="1">
      <c r="I665" s="1021"/>
    </row>
    <row r="666" ht="15.75" customHeight="1">
      <c r="I666" s="1021"/>
    </row>
    <row r="667" ht="15.75" customHeight="1">
      <c r="I667" s="1021"/>
    </row>
    <row r="668" ht="15.75" customHeight="1">
      <c r="I668" s="1021"/>
    </row>
    <row r="669" ht="15.75" customHeight="1">
      <c r="I669" s="1021"/>
    </row>
    <row r="670" ht="15.75" customHeight="1">
      <c r="I670" s="1021"/>
    </row>
    <row r="671" ht="15.75" customHeight="1">
      <c r="I671" s="1021"/>
    </row>
    <row r="672" ht="15.75" customHeight="1">
      <c r="I672" s="1021"/>
    </row>
    <row r="673" ht="15.75" customHeight="1">
      <c r="I673" s="1021"/>
    </row>
    <row r="674" ht="15.75" customHeight="1">
      <c r="I674" s="1021"/>
    </row>
    <row r="675" ht="15.75" customHeight="1">
      <c r="I675" s="1021"/>
    </row>
    <row r="676" ht="15.75" customHeight="1">
      <c r="I676" s="1021"/>
    </row>
    <row r="677" ht="15.75" customHeight="1">
      <c r="I677" s="1021"/>
    </row>
    <row r="678" ht="15.75" customHeight="1">
      <c r="I678" s="1021"/>
    </row>
    <row r="679" ht="15.75" customHeight="1">
      <c r="I679" s="1021"/>
    </row>
    <row r="680" ht="15.75" customHeight="1">
      <c r="I680" s="1021"/>
    </row>
    <row r="681" ht="15.75" customHeight="1">
      <c r="I681" s="1021"/>
    </row>
    <row r="682" ht="15.75" customHeight="1">
      <c r="I682" s="1021"/>
    </row>
    <row r="683" ht="15.75" customHeight="1">
      <c r="I683" s="1021"/>
    </row>
    <row r="684" ht="15.75" customHeight="1">
      <c r="I684" s="1021"/>
    </row>
    <row r="685" ht="15.75" customHeight="1">
      <c r="I685" s="1021"/>
    </row>
    <row r="686" ht="15.75" customHeight="1">
      <c r="I686" s="1021"/>
    </row>
    <row r="687" ht="15.75" customHeight="1">
      <c r="I687" s="1021"/>
    </row>
    <row r="688" ht="15.75" customHeight="1">
      <c r="I688" s="1021"/>
    </row>
    <row r="689" ht="15.75" customHeight="1">
      <c r="I689" s="1021"/>
    </row>
    <row r="690" ht="15.75" customHeight="1">
      <c r="I690" s="1021"/>
    </row>
    <row r="691" ht="15.75" customHeight="1">
      <c r="I691" s="1021"/>
    </row>
    <row r="692" ht="15.75" customHeight="1">
      <c r="I692" s="1021"/>
    </row>
    <row r="693" ht="15.75" customHeight="1">
      <c r="I693" s="1021"/>
    </row>
    <row r="694" ht="15.75" customHeight="1">
      <c r="I694" s="1021"/>
    </row>
    <row r="695" ht="15.75" customHeight="1">
      <c r="I695" s="1021"/>
    </row>
    <row r="696" ht="15.75" customHeight="1">
      <c r="I696" s="1021"/>
    </row>
    <row r="697" ht="15.75" customHeight="1">
      <c r="I697" s="1021"/>
    </row>
    <row r="698" ht="15.75" customHeight="1">
      <c r="I698" s="1021"/>
    </row>
    <row r="699" ht="15.75" customHeight="1">
      <c r="I699" s="1021"/>
    </row>
    <row r="700" ht="15.75" customHeight="1">
      <c r="I700" s="1021"/>
    </row>
    <row r="701" ht="15.75" customHeight="1">
      <c r="I701" s="1021"/>
    </row>
    <row r="702" ht="15.75" customHeight="1">
      <c r="I702" s="1021"/>
    </row>
    <row r="703" ht="15.75" customHeight="1">
      <c r="I703" s="1021"/>
    </row>
    <row r="704" ht="15.75" customHeight="1">
      <c r="I704" s="1021"/>
    </row>
    <row r="705" ht="15.75" customHeight="1">
      <c r="I705" s="1021"/>
    </row>
    <row r="706" ht="15.75" customHeight="1">
      <c r="I706" s="1021"/>
    </row>
    <row r="707" ht="15.75" customHeight="1">
      <c r="I707" s="1021"/>
    </row>
    <row r="708" ht="15.75" customHeight="1">
      <c r="I708" s="1021"/>
    </row>
    <row r="709" ht="15.75" customHeight="1">
      <c r="I709" s="1021"/>
    </row>
    <row r="710" ht="15.75" customHeight="1">
      <c r="I710" s="1021"/>
    </row>
    <row r="711" ht="15.75" customHeight="1">
      <c r="I711" s="1021"/>
    </row>
    <row r="712" ht="15.75" customHeight="1">
      <c r="I712" s="1021"/>
    </row>
    <row r="713" ht="15.75" customHeight="1">
      <c r="I713" s="1021"/>
    </row>
    <row r="714" ht="15.75" customHeight="1">
      <c r="I714" s="1021"/>
    </row>
    <row r="715" ht="15.75" customHeight="1">
      <c r="I715" s="1021"/>
    </row>
    <row r="716" ht="15.75" customHeight="1">
      <c r="I716" s="1021"/>
    </row>
    <row r="717" ht="15.75" customHeight="1">
      <c r="I717" s="1021"/>
    </row>
    <row r="718" ht="15.75" customHeight="1">
      <c r="I718" s="1021"/>
    </row>
    <row r="719" ht="15.75" customHeight="1">
      <c r="I719" s="1021"/>
    </row>
    <row r="720" ht="15.75" customHeight="1">
      <c r="I720" s="1021"/>
    </row>
    <row r="721" ht="15.75" customHeight="1">
      <c r="I721" s="1021"/>
    </row>
    <row r="722" ht="15.75" customHeight="1">
      <c r="I722" s="1021"/>
    </row>
    <row r="723" ht="15.75" customHeight="1">
      <c r="I723" s="1021"/>
    </row>
    <row r="724" ht="15.75" customHeight="1">
      <c r="I724" s="1021"/>
    </row>
    <row r="725" ht="15.75" customHeight="1">
      <c r="I725" s="1021"/>
    </row>
    <row r="726" ht="15.75" customHeight="1">
      <c r="I726" s="1021"/>
    </row>
    <row r="727" ht="15.75" customHeight="1">
      <c r="I727" s="1021"/>
    </row>
    <row r="728" ht="15.75" customHeight="1">
      <c r="I728" s="1021"/>
    </row>
    <row r="729" ht="15.75" customHeight="1">
      <c r="I729" s="1021"/>
    </row>
    <row r="730" ht="15.75" customHeight="1">
      <c r="I730" s="1021"/>
    </row>
    <row r="731" ht="15.75" customHeight="1">
      <c r="I731" s="1021"/>
    </row>
    <row r="732" ht="15.75" customHeight="1">
      <c r="I732" s="1021"/>
    </row>
    <row r="733" ht="15.75" customHeight="1">
      <c r="I733" s="1021"/>
    </row>
    <row r="734" ht="15.75" customHeight="1">
      <c r="I734" s="1021"/>
    </row>
    <row r="735" ht="15.75" customHeight="1">
      <c r="I735" s="1021"/>
    </row>
    <row r="736" ht="15.75" customHeight="1">
      <c r="I736" s="1021"/>
    </row>
    <row r="737" ht="15.75" customHeight="1">
      <c r="I737" s="1021"/>
    </row>
    <row r="738" ht="15.75" customHeight="1">
      <c r="I738" s="1021"/>
    </row>
    <row r="739" ht="15.75" customHeight="1">
      <c r="I739" s="1021"/>
    </row>
    <row r="740" ht="15.75" customHeight="1">
      <c r="I740" s="1021"/>
    </row>
    <row r="741" ht="15.75" customHeight="1">
      <c r="I741" s="1021"/>
    </row>
    <row r="742" ht="15.75" customHeight="1">
      <c r="I742" s="1021"/>
    </row>
    <row r="743" ht="15.75" customHeight="1">
      <c r="I743" s="1021"/>
    </row>
    <row r="744" ht="15.75" customHeight="1">
      <c r="I744" s="1021"/>
    </row>
    <row r="745" ht="15.75" customHeight="1">
      <c r="I745" s="1021"/>
    </row>
    <row r="746" ht="15.75" customHeight="1">
      <c r="I746" s="1021"/>
    </row>
    <row r="747" ht="15.75" customHeight="1">
      <c r="I747" s="1021"/>
    </row>
    <row r="748" ht="15.75" customHeight="1">
      <c r="I748" s="1021"/>
    </row>
    <row r="749" ht="15.75" customHeight="1">
      <c r="I749" s="1021"/>
    </row>
    <row r="750" ht="15.75" customHeight="1">
      <c r="I750" s="1021"/>
    </row>
    <row r="751" ht="15.75" customHeight="1">
      <c r="I751" s="1021"/>
    </row>
    <row r="752" ht="15.75" customHeight="1">
      <c r="I752" s="1021"/>
    </row>
    <row r="753" ht="15.75" customHeight="1">
      <c r="I753" s="1021"/>
    </row>
    <row r="754" ht="15.75" customHeight="1">
      <c r="I754" s="1021"/>
    </row>
    <row r="755" ht="15.75" customHeight="1">
      <c r="I755" s="1021"/>
    </row>
    <row r="756" ht="15.75" customHeight="1">
      <c r="I756" s="1021"/>
    </row>
    <row r="757" ht="15.75" customHeight="1">
      <c r="I757" s="1021"/>
    </row>
    <row r="758" ht="15.75" customHeight="1">
      <c r="I758" s="1021"/>
    </row>
    <row r="759" ht="15.75" customHeight="1">
      <c r="I759" s="1021"/>
    </row>
    <row r="760" ht="15.75" customHeight="1">
      <c r="I760" s="1021"/>
    </row>
    <row r="761" ht="15.75" customHeight="1">
      <c r="I761" s="1021"/>
    </row>
    <row r="762" ht="15.75" customHeight="1">
      <c r="I762" s="1021"/>
    </row>
    <row r="763" ht="15.75" customHeight="1">
      <c r="I763" s="1021"/>
    </row>
    <row r="764" ht="15.75" customHeight="1">
      <c r="I764" s="1021"/>
    </row>
    <row r="765" ht="15.75" customHeight="1">
      <c r="I765" s="1021"/>
    </row>
    <row r="766" ht="15.75" customHeight="1">
      <c r="I766" s="1021"/>
    </row>
    <row r="767" ht="15.75" customHeight="1">
      <c r="I767" s="1021"/>
    </row>
    <row r="768" ht="15.75" customHeight="1">
      <c r="I768" s="1021"/>
    </row>
    <row r="769" ht="15.75" customHeight="1">
      <c r="I769" s="1021"/>
    </row>
    <row r="770" ht="15.75" customHeight="1">
      <c r="I770" s="1021"/>
    </row>
    <row r="771" ht="15.75" customHeight="1">
      <c r="I771" s="1021"/>
    </row>
    <row r="772" ht="15.75" customHeight="1">
      <c r="I772" s="1021"/>
    </row>
    <row r="773" ht="15.75" customHeight="1">
      <c r="I773" s="1021"/>
    </row>
    <row r="774" ht="15.75" customHeight="1">
      <c r="I774" s="1021"/>
    </row>
    <row r="775" ht="15.75" customHeight="1">
      <c r="I775" s="1021"/>
    </row>
    <row r="776" ht="15.75" customHeight="1">
      <c r="I776" s="1021"/>
    </row>
    <row r="777" ht="15.75" customHeight="1">
      <c r="I777" s="1021"/>
    </row>
    <row r="778" ht="15.75" customHeight="1">
      <c r="I778" s="1021"/>
    </row>
    <row r="779" ht="15.75" customHeight="1">
      <c r="I779" s="1021"/>
    </row>
    <row r="780" ht="15.75" customHeight="1">
      <c r="I780" s="1021"/>
    </row>
    <row r="781" ht="15.75" customHeight="1">
      <c r="I781" s="1021"/>
    </row>
    <row r="782" ht="15.75" customHeight="1">
      <c r="I782" s="1021"/>
    </row>
    <row r="783" ht="15.75" customHeight="1">
      <c r="I783" s="1021"/>
    </row>
    <row r="784" ht="15.75" customHeight="1">
      <c r="I784" s="1021"/>
    </row>
    <row r="785" ht="15.75" customHeight="1">
      <c r="I785" s="1021"/>
    </row>
    <row r="786" ht="15.75" customHeight="1">
      <c r="I786" s="1021"/>
    </row>
    <row r="787" ht="15.75" customHeight="1">
      <c r="I787" s="1021"/>
    </row>
    <row r="788" ht="15.75" customHeight="1">
      <c r="I788" s="1021"/>
    </row>
    <row r="789" ht="15.75" customHeight="1">
      <c r="I789" s="1021"/>
    </row>
    <row r="790" ht="15.75" customHeight="1">
      <c r="I790" s="1021"/>
    </row>
    <row r="791" ht="15.75" customHeight="1">
      <c r="I791" s="1021"/>
    </row>
    <row r="792" ht="15.75" customHeight="1">
      <c r="I792" s="1021"/>
    </row>
    <row r="793" ht="15.75" customHeight="1">
      <c r="I793" s="1021"/>
    </row>
    <row r="794" ht="15.75" customHeight="1">
      <c r="I794" s="1021"/>
    </row>
    <row r="795" ht="15.75" customHeight="1">
      <c r="I795" s="1021"/>
    </row>
    <row r="796" ht="15.75" customHeight="1">
      <c r="I796" s="1021"/>
    </row>
    <row r="797" ht="15.75" customHeight="1">
      <c r="I797" s="1021"/>
    </row>
    <row r="798" ht="15.75" customHeight="1">
      <c r="I798" s="1021"/>
    </row>
    <row r="799" ht="15.75" customHeight="1">
      <c r="I799" s="1021"/>
    </row>
    <row r="800" ht="15.75" customHeight="1">
      <c r="I800" s="1021"/>
    </row>
    <row r="801" ht="15.75" customHeight="1">
      <c r="I801" s="1021"/>
    </row>
    <row r="802" ht="15.75" customHeight="1">
      <c r="I802" s="1021"/>
    </row>
    <row r="803" ht="15.75" customHeight="1">
      <c r="I803" s="1021"/>
    </row>
    <row r="804" ht="15.75" customHeight="1">
      <c r="I804" s="1021"/>
    </row>
    <row r="805" ht="15.75" customHeight="1">
      <c r="I805" s="1021"/>
    </row>
    <row r="806" ht="15.75" customHeight="1">
      <c r="I806" s="1021"/>
    </row>
    <row r="807" ht="15.75" customHeight="1">
      <c r="I807" s="1021"/>
    </row>
    <row r="808" ht="15.75" customHeight="1">
      <c r="I808" s="1021"/>
    </row>
    <row r="809" ht="15.75" customHeight="1">
      <c r="I809" s="1021"/>
    </row>
    <row r="810" ht="15.75" customHeight="1">
      <c r="I810" s="1021"/>
    </row>
    <row r="811" ht="15.75" customHeight="1">
      <c r="I811" s="1021"/>
    </row>
    <row r="812" ht="15.75" customHeight="1">
      <c r="I812" s="1021"/>
    </row>
    <row r="813" ht="15.75" customHeight="1">
      <c r="I813" s="1021"/>
    </row>
    <row r="814" ht="15.75" customHeight="1">
      <c r="I814" s="1021"/>
    </row>
    <row r="815" ht="15.75" customHeight="1">
      <c r="I815" s="1021"/>
    </row>
    <row r="816" ht="15.75" customHeight="1">
      <c r="I816" s="1021"/>
    </row>
    <row r="817" ht="15.75" customHeight="1">
      <c r="I817" s="1021"/>
    </row>
    <row r="818" ht="15.75" customHeight="1">
      <c r="I818" s="1021"/>
    </row>
    <row r="819" ht="15.75" customHeight="1">
      <c r="I819" s="1021"/>
    </row>
    <row r="820" ht="15.75" customHeight="1">
      <c r="I820" s="1021"/>
    </row>
    <row r="821" ht="15.75" customHeight="1">
      <c r="I821" s="1021"/>
    </row>
    <row r="822" ht="15.75" customHeight="1">
      <c r="I822" s="1021"/>
    </row>
    <row r="823" ht="15.75" customHeight="1">
      <c r="I823" s="1021"/>
    </row>
    <row r="824" ht="15.75" customHeight="1">
      <c r="I824" s="1021"/>
    </row>
    <row r="825" ht="15.75" customHeight="1">
      <c r="I825" s="1021"/>
    </row>
    <row r="826" ht="15.75" customHeight="1">
      <c r="I826" s="1021"/>
    </row>
    <row r="827" ht="15.75" customHeight="1">
      <c r="I827" s="1021"/>
    </row>
    <row r="828" ht="15.75" customHeight="1">
      <c r="I828" s="1021"/>
    </row>
    <row r="829" ht="15.75" customHeight="1">
      <c r="I829" s="1021"/>
    </row>
    <row r="830" ht="15.75" customHeight="1">
      <c r="I830" s="1021"/>
    </row>
    <row r="831" ht="15.75" customHeight="1">
      <c r="I831" s="1021"/>
    </row>
    <row r="832" ht="15.75" customHeight="1">
      <c r="I832" s="1021"/>
    </row>
    <row r="833" ht="15.75" customHeight="1">
      <c r="I833" s="1021"/>
    </row>
    <row r="834" ht="15.75" customHeight="1">
      <c r="I834" s="1021"/>
    </row>
    <row r="835" ht="15.75" customHeight="1">
      <c r="I835" s="1021"/>
    </row>
    <row r="836" ht="15.75" customHeight="1">
      <c r="I836" s="1021"/>
    </row>
    <row r="837" ht="15.75" customHeight="1">
      <c r="I837" s="1021"/>
    </row>
    <row r="838" ht="15.75" customHeight="1">
      <c r="I838" s="1021"/>
    </row>
    <row r="839" ht="15.75" customHeight="1">
      <c r="I839" s="1021"/>
    </row>
    <row r="840" ht="15.75" customHeight="1">
      <c r="I840" s="1021"/>
    </row>
    <row r="841" ht="15.75" customHeight="1">
      <c r="I841" s="1021"/>
    </row>
    <row r="842" ht="15.75" customHeight="1">
      <c r="I842" s="1021"/>
    </row>
    <row r="843" ht="15.75" customHeight="1">
      <c r="I843" s="1021"/>
    </row>
    <row r="844" ht="15.75" customHeight="1">
      <c r="I844" s="1021"/>
    </row>
    <row r="845" ht="15.75" customHeight="1">
      <c r="I845" s="1021"/>
    </row>
    <row r="846" ht="15.75" customHeight="1">
      <c r="I846" s="1021"/>
    </row>
    <row r="847" ht="15.75" customHeight="1">
      <c r="I847" s="1021"/>
    </row>
    <row r="848" ht="15.75" customHeight="1">
      <c r="I848" s="1021"/>
    </row>
    <row r="849" ht="15.75" customHeight="1">
      <c r="I849" s="1021"/>
    </row>
    <row r="850" ht="15.75" customHeight="1">
      <c r="I850" s="1021"/>
    </row>
    <row r="851" ht="15.75" customHeight="1">
      <c r="I851" s="1021"/>
    </row>
    <row r="852" ht="15.75" customHeight="1">
      <c r="I852" s="1021"/>
    </row>
    <row r="853" ht="15.75" customHeight="1">
      <c r="I853" s="1021"/>
    </row>
    <row r="854" ht="15.75" customHeight="1">
      <c r="I854" s="1021"/>
    </row>
    <row r="855" ht="15.75" customHeight="1">
      <c r="I855" s="1021"/>
    </row>
    <row r="856" ht="15.75" customHeight="1">
      <c r="I856" s="1021"/>
    </row>
    <row r="857" ht="15.75" customHeight="1">
      <c r="I857" s="1021"/>
    </row>
    <row r="858" ht="15.75" customHeight="1">
      <c r="I858" s="1021"/>
    </row>
    <row r="859" ht="15.75" customHeight="1">
      <c r="I859" s="1021"/>
    </row>
    <row r="860" ht="15.75" customHeight="1">
      <c r="I860" s="1021"/>
    </row>
    <row r="861" ht="15.75" customHeight="1">
      <c r="I861" s="1021"/>
    </row>
    <row r="862" ht="15.75" customHeight="1">
      <c r="I862" s="1021"/>
    </row>
    <row r="863" ht="15.75" customHeight="1">
      <c r="I863" s="1021"/>
    </row>
    <row r="864" ht="15.75" customHeight="1">
      <c r="I864" s="1021"/>
    </row>
    <row r="865" ht="15.75" customHeight="1">
      <c r="I865" s="1021"/>
    </row>
    <row r="866" ht="15.75" customHeight="1">
      <c r="I866" s="1021"/>
    </row>
    <row r="867" ht="15.75" customHeight="1">
      <c r="I867" s="1021"/>
    </row>
    <row r="868" ht="15.75" customHeight="1">
      <c r="I868" s="1021"/>
    </row>
    <row r="869" ht="15.75" customHeight="1">
      <c r="I869" s="1021"/>
    </row>
    <row r="870" ht="15.75" customHeight="1">
      <c r="I870" s="1021"/>
    </row>
    <row r="871" ht="15.75" customHeight="1">
      <c r="I871" s="1021"/>
    </row>
    <row r="872" ht="15.75" customHeight="1">
      <c r="I872" s="1021"/>
    </row>
    <row r="873" ht="15.75" customHeight="1">
      <c r="I873" s="1021"/>
    </row>
    <row r="874" ht="15.75" customHeight="1">
      <c r="I874" s="1021"/>
    </row>
    <row r="875" ht="15.75" customHeight="1">
      <c r="I875" s="1021"/>
    </row>
    <row r="876" ht="15.75" customHeight="1">
      <c r="I876" s="1021"/>
    </row>
    <row r="877" ht="15.75" customHeight="1">
      <c r="I877" s="1021"/>
    </row>
    <row r="878" ht="15.75" customHeight="1">
      <c r="I878" s="1021"/>
    </row>
    <row r="879" ht="15.75" customHeight="1">
      <c r="I879" s="1021"/>
    </row>
    <row r="880" ht="15.75" customHeight="1">
      <c r="I880" s="1021"/>
    </row>
    <row r="881" ht="15.75" customHeight="1">
      <c r="I881" s="1021"/>
    </row>
    <row r="882" ht="15.75" customHeight="1">
      <c r="I882" s="1021"/>
    </row>
    <row r="883" ht="15.75" customHeight="1">
      <c r="I883" s="1021"/>
    </row>
    <row r="884" ht="15.75" customHeight="1">
      <c r="I884" s="1021"/>
    </row>
    <row r="885" ht="15.75" customHeight="1">
      <c r="I885" s="1021"/>
    </row>
    <row r="886" ht="15.75" customHeight="1">
      <c r="I886" s="1021"/>
    </row>
    <row r="887" ht="15.75" customHeight="1">
      <c r="I887" s="1021"/>
    </row>
    <row r="888" ht="15.75" customHeight="1">
      <c r="I888" s="1021"/>
    </row>
    <row r="889" ht="15.75" customHeight="1">
      <c r="I889" s="1021"/>
    </row>
    <row r="890" ht="15.75" customHeight="1">
      <c r="I890" s="1021"/>
    </row>
    <row r="891" ht="15.75" customHeight="1">
      <c r="I891" s="1021"/>
    </row>
    <row r="892" ht="15.75" customHeight="1">
      <c r="I892" s="1021"/>
    </row>
    <row r="893" ht="15.75" customHeight="1">
      <c r="I893" s="1021"/>
    </row>
    <row r="894" ht="15.75" customHeight="1">
      <c r="I894" s="1021"/>
    </row>
    <row r="895" ht="15.75" customHeight="1">
      <c r="I895" s="1021"/>
    </row>
    <row r="896" ht="15.75" customHeight="1">
      <c r="I896" s="1021"/>
    </row>
    <row r="897" ht="15.75" customHeight="1">
      <c r="I897" s="1021"/>
    </row>
    <row r="898" ht="15.75" customHeight="1">
      <c r="I898" s="1021"/>
    </row>
    <row r="899" ht="15.75" customHeight="1">
      <c r="I899" s="1021"/>
    </row>
    <row r="900" ht="15.75" customHeight="1">
      <c r="I900" s="1021"/>
    </row>
    <row r="901" ht="15.75" customHeight="1">
      <c r="I901" s="1021"/>
    </row>
    <row r="902" ht="15.75" customHeight="1">
      <c r="I902" s="1021"/>
    </row>
    <row r="903" ht="15.75" customHeight="1">
      <c r="I903" s="1021"/>
    </row>
    <row r="904" ht="15.75" customHeight="1">
      <c r="I904" s="1021"/>
    </row>
  </sheetData>
  <mergeCells count="13">
    <mergeCell ref="C13:E13"/>
    <mergeCell ref="C14:E14"/>
    <mergeCell ref="C15:E15"/>
    <mergeCell ref="C16:E16"/>
    <mergeCell ref="C17:E17"/>
    <mergeCell ref="A18:D19"/>
    <mergeCell ref="H6:K6"/>
    <mergeCell ref="D7:H7"/>
    <mergeCell ref="F9:G9"/>
    <mergeCell ref="C10:E10"/>
    <mergeCell ref="F10:G10"/>
    <mergeCell ref="C11:E11"/>
    <mergeCell ref="C12:E12"/>
  </mergeCells>
  <printOptions horizontalCentered="1"/>
  <pageMargins bottom="0.22733229258064888" footer="0.0" header="0.0" left="0.09571886003395741" right="0.10768371753820209" top="0.2751917225976276"/>
  <pageSetup paperSize="11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3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57"/>
    <col customWidth="1" min="2" max="2" width="25.86"/>
    <col customWidth="1" min="3" max="3" width="67.86"/>
    <col customWidth="1" min="4" max="5" width="5.57"/>
    <col customWidth="1" min="6" max="6" width="23.0"/>
    <col customWidth="1" min="7" max="9" width="6.71"/>
  </cols>
  <sheetData>
    <row r="1">
      <c r="A1" s="1060"/>
      <c r="B1" s="1061" t="s">
        <v>2737</v>
      </c>
      <c r="C1" s="1060"/>
      <c r="D1" s="1060"/>
      <c r="E1" s="1060"/>
      <c r="F1" s="1060"/>
      <c r="G1" s="1062" t="s">
        <v>11019</v>
      </c>
      <c r="H1" s="1062" t="s">
        <v>11020</v>
      </c>
      <c r="I1" s="1062" t="s">
        <v>9811</v>
      </c>
      <c r="J1" s="1061"/>
      <c r="K1" s="1061" t="s">
        <v>11021</v>
      </c>
      <c r="L1" s="1061" t="s">
        <v>11022</v>
      </c>
      <c r="M1" s="1061" t="s">
        <v>11023</v>
      </c>
      <c r="N1" s="1060"/>
      <c r="O1" s="1063"/>
      <c r="P1" s="1061" t="s">
        <v>11024</v>
      </c>
      <c r="Q1" s="1061" t="s">
        <v>10982</v>
      </c>
      <c r="R1" s="1064"/>
      <c r="S1" s="1064"/>
      <c r="T1" s="1064"/>
      <c r="U1" s="1064"/>
      <c r="V1" s="1064"/>
      <c r="W1" s="1064"/>
      <c r="X1" s="1064"/>
      <c r="Y1" s="1064"/>
      <c r="Z1" s="1064"/>
      <c r="AA1" s="1064"/>
    </row>
    <row r="2" hidden="1">
      <c r="A2" s="1065" t="s">
        <v>110</v>
      </c>
      <c r="B2" s="1065" t="s">
        <v>3858</v>
      </c>
      <c r="C2" s="1065" t="s">
        <v>111</v>
      </c>
      <c r="D2" s="1065" t="s">
        <v>62</v>
      </c>
      <c r="E2" s="1065" t="s">
        <v>112</v>
      </c>
      <c r="F2" s="1065" t="s">
        <v>100</v>
      </c>
      <c r="G2" s="1066">
        <v>5.0</v>
      </c>
      <c r="H2" s="1066">
        <v>5.0</v>
      </c>
      <c r="I2" s="1066">
        <v>0.0</v>
      </c>
      <c r="J2" s="548" t="s">
        <v>11025</v>
      </c>
      <c r="K2" s="548"/>
      <c r="L2" s="548"/>
      <c r="M2" s="1065"/>
      <c r="O2" s="1067" t="str">
        <f t="shared" ref="O2:O191" si="1">IFERROR(VLOOKUP(A2,BGI,14,FALSE),"")</f>
        <v/>
      </c>
      <c r="Q2" s="688">
        <f t="shared" ref="Q2:Q190" si="2">P2*K2</f>
        <v>0</v>
      </c>
    </row>
    <row r="3" hidden="1">
      <c r="A3" s="1065" t="s">
        <v>428</v>
      </c>
      <c r="B3" s="1065" t="s">
        <v>10475</v>
      </c>
      <c r="C3" s="1065" t="s">
        <v>429</v>
      </c>
      <c r="D3" s="1065" t="s">
        <v>60</v>
      </c>
      <c r="E3" s="1065" t="s">
        <v>123</v>
      </c>
      <c r="F3" s="1065" t="s">
        <v>137</v>
      </c>
      <c r="G3" s="1066">
        <v>2.0</v>
      </c>
      <c r="H3" s="1066">
        <v>2.0</v>
      </c>
      <c r="I3" s="1066">
        <v>0.0</v>
      </c>
      <c r="J3" s="548" t="s">
        <v>1623</v>
      </c>
      <c r="K3" s="548">
        <v>1.0</v>
      </c>
      <c r="L3" s="548"/>
      <c r="M3" s="548">
        <v>3.0</v>
      </c>
      <c r="O3" s="1067" t="str">
        <f t="shared" si="1"/>
        <v/>
      </c>
      <c r="P3" s="1067">
        <f t="shared" ref="P3:P190" si="3">O3*70%</f>
        <v>0</v>
      </c>
      <c r="Q3" s="1067">
        <f t="shared" si="2"/>
        <v>0</v>
      </c>
    </row>
    <row r="4" hidden="1">
      <c r="A4" s="1065" t="s">
        <v>748</v>
      </c>
      <c r="B4" s="1065" t="s">
        <v>11026</v>
      </c>
      <c r="C4" s="1065" t="s">
        <v>749</v>
      </c>
      <c r="D4" s="1065" t="s">
        <v>60</v>
      </c>
      <c r="E4" s="1065" t="s">
        <v>16</v>
      </c>
      <c r="F4" s="1065" t="s">
        <v>314</v>
      </c>
      <c r="G4" s="1066">
        <v>1.0</v>
      </c>
      <c r="H4" s="1066">
        <v>1.0</v>
      </c>
      <c r="I4" s="1066">
        <v>0.0</v>
      </c>
      <c r="J4" s="1065"/>
      <c r="K4" s="1065"/>
      <c r="L4" s="1065"/>
      <c r="M4" s="1065"/>
      <c r="O4" s="1067" t="str">
        <f t="shared" si="1"/>
        <v/>
      </c>
      <c r="P4" s="1067">
        <f t="shared" si="3"/>
        <v>0</v>
      </c>
      <c r="Q4" s="1067">
        <f t="shared" si="2"/>
        <v>0</v>
      </c>
    </row>
    <row r="5" hidden="1">
      <c r="A5" s="1065" t="s">
        <v>833</v>
      </c>
      <c r="B5" s="1065" t="s">
        <v>11027</v>
      </c>
      <c r="C5" s="1065" t="s">
        <v>832</v>
      </c>
      <c r="D5" s="1065" t="s">
        <v>62</v>
      </c>
      <c r="E5" s="1065" t="s">
        <v>123</v>
      </c>
      <c r="F5" s="1065" t="s">
        <v>83</v>
      </c>
      <c r="G5" s="1066">
        <v>1.0</v>
      </c>
      <c r="H5" s="1066">
        <v>1.0</v>
      </c>
      <c r="I5" s="1066">
        <v>0.0</v>
      </c>
      <c r="J5" s="1065"/>
      <c r="K5" s="1065"/>
      <c r="L5" s="1065"/>
      <c r="M5" s="1065"/>
      <c r="O5" s="1067" t="str">
        <f t="shared" si="1"/>
        <v/>
      </c>
      <c r="P5" s="1067">
        <f t="shared" si="3"/>
        <v>0</v>
      </c>
      <c r="Q5" s="1067">
        <f t="shared" si="2"/>
        <v>0</v>
      </c>
    </row>
    <row r="6" hidden="1">
      <c r="A6" s="1065" t="s">
        <v>1029</v>
      </c>
      <c r="B6" s="1065" t="s">
        <v>11028</v>
      </c>
      <c r="C6" s="1065" t="s">
        <v>1030</v>
      </c>
      <c r="D6" s="1065" t="s">
        <v>60</v>
      </c>
      <c r="E6" s="1065" t="s">
        <v>89</v>
      </c>
      <c r="F6" s="1065" t="s">
        <v>137</v>
      </c>
      <c r="G6" s="1066">
        <v>2.0</v>
      </c>
      <c r="H6" s="1066">
        <v>2.0</v>
      </c>
      <c r="I6" s="1066">
        <v>0.0</v>
      </c>
      <c r="J6" s="548" t="s">
        <v>1700</v>
      </c>
      <c r="K6" s="548"/>
      <c r="L6" s="548"/>
      <c r="M6" s="1065"/>
      <c r="O6" s="1067" t="str">
        <f t="shared" si="1"/>
        <v/>
      </c>
      <c r="P6" s="1067">
        <f t="shared" si="3"/>
        <v>0</v>
      </c>
      <c r="Q6" s="1067">
        <f t="shared" si="2"/>
        <v>0</v>
      </c>
    </row>
    <row r="7" hidden="1">
      <c r="A7" s="1065" t="s">
        <v>1334</v>
      </c>
      <c r="B7" s="1065" t="s">
        <v>11029</v>
      </c>
      <c r="C7" s="1065" t="s">
        <v>1335</v>
      </c>
      <c r="D7" s="1065" t="s">
        <v>60</v>
      </c>
      <c r="E7" s="1065" t="s">
        <v>16</v>
      </c>
      <c r="F7" s="1065" t="s">
        <v>124</v>
      </c>
      <c r="G7" s="1066">
        <v>1.0</v>
      </c>
      <c r="H7" s="1066">
        <v>1.0</v>
      </c>
      <c r="I7" s="1066">
        <v>0.0</v>
      </c>
      <c r="J7" s="1065"/>
      <c r="K7" s="1065"/>
      <c r="L7" s="1065"/>
      <c r="M7" s="1065"/>
      <c r="O7" s="1067" t="str">
        <f t="shared" si="1"/>
        <v/>
      </c>
      <c r="P7" s="1067">
        <f t="shared" si="3"/>
        <v>0</v>
      </c>
      <c r="Q7" s="1067">
        <f t="shared" si="2"/>
        <v>0</v>
      </c>
    </row>
    <row r="8" hidden="1">
      <c r="A8" s="1065" t="s">
        <v>190</v>
      </c>
      <c r="B8" s="1065" t="s">
        <v>5808</v>
      </c>
      <c r="C8" s="1065" t="s">
        <v>191</v>
      </c>
      <c r="D8" s="1065" t="s">
        <v>60</v>
      </c>
      <c r="E8" s="1065" t="s">
        <v>16</v>
      </c>
      <c r="F8" s="1065" t="s">
        <v>90</v>
      </c>
      <c r="G8" s="1066">
        <v>1.0</v>
      </c>
      <c r="H8" s="1066">
        <v>1.0</v>
      </c>
      <c r="I8" s="1066">
        <v>0.0</v>
      </c>
      <c r="J8" s="1065"/>
      <c r="K8" s="1065"/>
      <c r="L8" s="1065"/>
      <c r="M8" s="1065"/>
      <c r="N8" s="1065"/>
      <c r="O8" s="1067" t="str">
        <f t="shared" si="1"/>
        <v/>
      </c>
      <c r="P8" s="1067">
        <f t="shared" si="3"/>
        <v>0</v>
      </c>
      <c r="Q8" s="1067">
        <f t="shared" si="2"/>
        <v>0</v>
      </c>
    </row>
    <row r="9" hidden="1">
      <c r="A9" s="1065" t="s">
        <v>244</v>
      </c>
      <c r="B9" s="1065" t="s">
        <v>11030</v>
      </c>
      <c r="C9" s="1065" t="s">
        <v>245</v>
      </c>
      <c r="D9" s="1065" t="s">
        <v>60</v>
      </c>
      <c r="E9" s="548" t="s">
        <v>16</v>
      </c>
      <c r="F9" s="1065" t="s">
        <v>137</v>
      </c>
      <c r="G9" s="1066">
        <v>1.0</v>
      </c>
      <c r="H9" s="1066">
        <v>1.0</v>
      </c>
      <c r="I9" s="1066">
        <v>0.0</v>
      </c>
      <c r="J9" s="1065"/>
      <c r="K9" s="1065"/>
      <c r="L9" s="1065"/>
      <c r="M9" s="1065"/>
      <c r="N9" s="1065"/>
      <c r="O9" s="1067" t="str">
        <f t="shared" si="1"/>
        <v/>
      </c>
      <c r="P9" s="1067">
        <f t="shared" si="3"/>
        <v>0</v>
      </c>
      <c r="Q9" s="1067">
        <f t="shared" si="2"/>
        <v>0</v>
      </c>
    </row>
    <row r="10" hidden="1">
      <c r="A10" s="1065" t="s">
        <v>283</v>
      </c>
      <c r="B10" s="1065" t="s">
        <v>11031</v>
      </c>
      <c r="C10" s="1065" t="s">
        <v>284</v>
      </c>
      <c r="D10" s="1065" t="s">
        <v>62</v>
      </c>
      <c r="E10" s="1065" t="s">
        <v>16</v>
      </c>
      <c r="F10" s="1065" t="s">
        <v>83</v>
      </c>
      <c r="G10" s="1066">
        <v>2.0</v>
      </c>
      <c r="H10" s="1066">
        <v>2.0</v>
      </c>
      <c r="I10" s="1066">
        <v>0.0</v>
      </c>
      <c r="J10" s="548" t="s">
        <v>11032</v>
      </c>
      <c r="K10" s="548">
        <v>1.0</v>
      </c>
      <c r="L10" s="548"/>
      <c r="M10" s="548">
        <v>3.0</v>
      </c>
      <c r="N10" s="1065"/>
      <c r="O10" s="1067" t="str">
        <f t="shared" si="1"/>
        <v/>
      </c>
      <c r="P10" s="1067">
        <f t="shared" si="3"/>
        <v>0</v>
      </c>
      <c r="Q10" s="1067">
        <f t="shared" si="2"/>
        <v>0</v>
      </c>
    </row>
    <row r="11" hidden="1">
      <c r="A11" s="1065" t="s">
        <v>329</v>
      </c>
      <c r="B11" s="1065" t="s">
        <v>11033</v>
      </c>
      <c r="C11" s="1065" t="s">
        <v>330</v>
      </c>
      <c r="D11" s="1065" t="s">
        <v>60</v>
      </c>
      <c r="E11" s="1065" t="s">
        <v>16</v>
      </c>
      <c r="F11" s="1065" t="s">
        <v>137</v>
      </c>
      <c r="G11" s="1066">
        <v>1.0</v>
      </c>
      <c r="H11" s="1066">
        <v>1.0</v>
      </c>
      <c r="I11" s="1066">
        <v>0.0</v>
      </c>
      <c r="J11" s="1065"/>
      <c r="K11" s="1065"/>
      <c r="L11" s="1065"/>
      <c r="M11" s="1065"/>
      <c r="N11" s="1065"/>
      <c r="O11" s="1067" t="str">
        <f t="shared" si="1"/>
        <v/>
      </c>
      <c r="P11" s="1067">
        <f t="shared" si="3"/>
        <v>0</v>
      </c>
      <c r="Q11" s="1067">
        <f t="shared" si="2"/>
        <v>0</v>
      </c>
    </row>
    <row r="12" hidden="1">
      <c r="A12" s="1065" t="s">
        <v>1396</v>
      </c>
      <c r="B12" s="1065" t="s">
        <v>5166</v>
      </c>
      <c r="C12" s="1065" t="s">
        <v>1397</v>
      </c>
      <c r="D12" s="1065" t="s">
        <v>60</v>
      </c>
      <c r="E12" s="1065" t="s">
        <v>16</v>
      </c>
      <c r="F12" s="1065" t="s">
        <v>109</v>
      </c>
      <c r="G12" s="1066">
        <v>1.0</v>
      </c>
      <c r="H12" s="1066">
        <v>1.0</v>
      </c>
      <c r="I12" s="1066">
        <v>0.0</v>
      </c>
      <c r="J12" s="1065"/>
      <c r="K12" s="1065"/>
      <c r="L12" s="1065"/>
      <c r="M12" s="1065"/>
      <c r="N12" s="1065"/>
      <c r="O12" s="1067" t="str">
        <f t="shared" si="1"/>
        <v/>
      </c>
      <c r="P12" s="1067">
        <f t="shared" si="3"/>
        <v>0</v>
      </c>
      <c r="Q12" s="1067">
        <f t="shared" si="2"/>
        <v>0</v>
      </c>
    </row>
    <row r="13" hidden="1">
      <c r="A13" s="1065" t="s">
        <v>2494</v>
      </c>
      <c r="B13" s="1065" t="s">
        <v>2848</v>
      </c>
      <c r="C13" s="1065" t="s">
        <v>2495</v>
      </c>
      <c r="D13" s="1065" t="s">
        <v>62</v>
      </c>
      <c r="E13" s="1065" t="s">
        <v>16</v>
      </c>
      <c r="F13" s="1065" t="s">
        <v>109</v>
      </c>
      <c r="G13" s="1066">
        <v>2.0</v>
      </c>
      <c r="H13" s="1066">
        <v>2.0</v>
      </c>
      <c r="I13" s="1066">
        <v>0.0</v>
      </c>
      <c r="J13" s="548" t="s">
        <v>11034</v>
      </c>
      <c r="K13" s="548">
        <v>1.0</v>
      </c>
      <c r="L13" s="548"/>
      <c r="M13" s="548">
        <v>1.0</v>
      </c>
      <c r="N13" s="1065"/>
      <c r="O13" s="1067" t="str">
        <f t="shared" si="1"/>
        <v/>
      </c>
      <c r="P13" s="1067">
        <f t="shared" si="3"/>
        <v>0</v>
      </c>
      <c r="Q13" s="1067">
        <f t="shared" si="2"/>
        <v>0</v>
      </c>
    </row>
    <row r="14" hidden="1">
      <c r="A14" s="1065" t="s">
        <v>1401</v>
      </c>
      <c r="B14" s="1065" t="s">
        <v>11035</v>
      </c>
      <c r="C14" s="1065" t="s">
        <v>1402</v>
      </c>
      <c r="D14" s="1065" t="s">
        <v>62</v>
      </c>
      <c r="E14" s="1065" t="s">
        <v>16</v>
      </c>
      <c r="F14" s="1065" t="s">
        <v>1403</v>
      </c>
      <c r="G14" s="1066">
        <v>2.0</v>
      </c>
      <c r="H14" s="1066">
        <v>2.0</v>
      </c>
      <c r="I14" s="1066">
        <v>0.0</v>
      </c>
      <c r="J14" s="548" t="s">
        <v>11034</v>
      </c>
      <c r="K14" s="548">
        <v>1.0</v>
      </c>
      <c r="L14" s="548"/>
      <c r="M14" s="548">
        <v>1.0</v>
      </c>
      <c r="N14" s="1065"/>
      <c r="O14" s="1067" t="str">
        <f t="shared" si="1"/>
        <v/>
      </c>
      <c r="P14" s="1067">
        <f t="shared" si="3"/>
        <v>0</v>
      </c>
      <c r="Q14" s="1067">
        <f t="shared" si="2"/>
        <v>0</v>
      </c>
    </row>
    <row r="15" hidden="1">
      <c r="A15" s="1065" t="s">
        <v>393</v>
      </c>
      <c r="B15" s="1065" t="s">
        <v>5940</v>
      </c>
      <c r="C15" s="1065" t="s">
        <v>392</v>
      </c>
      <c r="D15" s="1065" t="s">
        <v>62</v>
      </c>
      <c r="E15" s="1065" t="s">
        <v>16</v>
      </c>
      <c r="F15" s="1065" t="s">
        <v>83</v>
      </c>
      <c r="G15" s="1066">
        <v>1.0</v>
      </c>
      <c r="H15" s="1066">
        <v>1.0</v>
      </c>
      <c r="I15" s="1066">
        <v>0.0</v>
      </c>
      <c r="J15" s="548" t="s">
        <v>11036</v>
      </c>
      <c r="K15" s="548"/>
      <c r="L15" s="548"/>
      <c r="M15" s="1065"/>
      <c r="N15" s="1065"/>
      <c r="O15" s="1067" t="str">
        <f t="shared" si="1"/>
        <v/>
      </c>
      <c r="P15" s="1067">
        <f t="shared" si="3"/>
        <v>0</v>
      </c>
      <c r="Q15" s="1067">
        <f t="shared" si="2"/>
        <v>0</v>
      </c>
    </row>
    <row r="16" hidden="1">
      <c r="A16" s="1065" t="s">
        <v>467</v>
      </c>
      <c r="B16" s="1065" t="s">
        <v>3021</v>
      </c>
      <c r="C16" s="1065" t="s">
        <v>466</v>
      </c>
      <c r="D16" s="1065" t="s">
        <v>62</v>
      </c>
      <c r="E16" s="1065" t="s">
        <v>16</v>
      </c>
      <c r="F16" s="1065" t="s">
        <v>83</v>
      </c>
      <c r="G16" s="1066">
        <v>5.0</v>
      </c>
      <c r="H16" s="1066">
        <v>5.0</v>
      </c>
      <c r="I16" s="1066">
        <v>0.0</v>
      </c>
      <c r="J16" s="548" t="s">
        <v>1468</v>
      </c>
      <c r="K16" s="548">
        <v>1.0</v>
      </c>
      <c r="L16" s="548"/>
      <c r="M16" s="548">
        <v>1.0</v>
      </c>
      <c r="N16" s="1065"/>
      <c r="O16" s="1067" t="str">
        <f t="shared" si="1"/>
        <v/>
      </c>
      <c r="P16" s="1067">
        <f t="shared" si="3"/>
        <v>0</v>
      </c>
      <c r="Q16" s="1067">
        <f t="shared" si="2"/>
        <v>0</v>
      </c>
    </row>
    <row r="17">
      <c r="A17" s="548" t="s">
        <v>470</v>
      </c>
      <c r="B17" s="1065" t="s">
        <v>4383</v>
      </c>
      <c r="C17" s="1065" t="s">
        <v>471</v>
      </c>
      <c r="D17" s="1065" t="s">
        <v>60</v>
      </c>
      <c r="E17" s="1065" t="s">
        <v>16</v>
      </c>
      <c r="F17" s="1065" t="s">
        <v>137</v>
      </c>
      <c r="G17" s="1066">
        <v>1.0</v>
      </c>
      <c r="H17" s="1066">
        <v>1.0</v>
      </c>
      <c r="I17" s="1066">
        <v>0.0</v>
      </c>
      <c r="J17" s="1065"/>
      <c r="K17" s="548">
        <v>1.0</v>
      </c>
      <c r="L17" s="548"/>
      <c r="M17" s="548">
        <v>2.0</v>
      </c>
      <c r="N17" s="1065"/>
      <c r="O17" s="1067" t="str">
        <f t="shared" si="1"/>
        <v/>
      </c>
      <c r="P17" s="1067">
        <f t="shared" si="3"/>
        <v>0</v>
      </c>
      <c r="Q17" s="1067">
        <f t="shared" si="2"/>
        <v>0</v>
      </c>
    </row>
    <row r="18" hidden="1">
      <c r="A18" s="1065" t="s">
        <v>476</v>
      </c>
      <c r="B18" s="1065" t="s">
        <v>3686</v>
      </c>
      <c r="C18" s="1065" t="s">
        <v>475</v>
      </c>
      <c r="D18" s="1065" t="s">
        <v>62</v>
      </c>
      <c r="E18" s="1065" t="s">
        <v>16</v>
      </c>
      <c r="F18" s="1065" t="s">
        <v>228</v>
      </c>
      <c r="G18" s="1066">
        <v>2.0</v>
      </c>
      <c r="H18" s="1066">
        <v>2.0</v>
      </c>
      <c r="I18" s="1066">
        <v>0.0</v>
      </c>
      <c r="J18" s="548" t="s">
        <v>11032</v>
      </c>
      <c r="K18" s="548">
        <v>1.0</v>
      </c>
      <c r="L18" s="548"/>
      <c r="M18" s="548">
        <v>1.0</v>
      </c>
      <c r="N18" s="1065"/>
      <c r="O18" s="1067" t="str">
        <f t="shared" si="1"/>
        <v/>
      </c>
      <c r="P18" s="1067">
        <f t="shared" si="3"/>
        <v>0</v>
      </c>
      <c r="Q18" s="1067">
        <f t="shared" si="2"/>
        <v>0</v>
      </c>
    </row>
    <row r="19" hidden="1">
      <c r="A19" s="1065" t="s">
        <v>490</v>
      </c>
      <c r="B19" s="1065" t="s">
        <v>5216</v>
      </c>
      <c r="C19" s="1065" t="s">
        <v>489</v>
      </c>
      <c r="D19" s="1065" t="s">
        <v>62</v>
      </c>
      <c r="E19" s="1065" t="s">
        <v>16</v>
      </c>
      <c r="F19" s="1065" t="s">
        <v>83</v>
      </c>
      <c r="G19" s="1066">
        <v>2.0</v>
      </c>
      <c r="H19" s="1066">
        <v>2.0</v>
      </c>
      <c r="I19" s="1066">
        <v>0.0</v>
      </c>
      <c r="J19" s="548" t="s">
        <v>11032</v>
      </c>
      <c r="K19" s="548">
        <v>1.0</v>
      </c>
      <c r="L19" s="548"/>
      <c r="M19" s="548">
        <v>3.0</v>
      </c>
      <c r="N19" s="1065"/>
      <c r="O19" s="1067" t="str">
        <f t="shared" si="1"/>
        <v/>
      </c>
      <c r="P19" s="1067">
        <f t="shared" si="3"/>
        <v>0</v>
      </c>
      <c r="Q19" s="1067">
        <f t="shared" si="2"/>
        <v>0</v>
      </c>
    </row>
    <row r="20" hidden="1">
      <c r="A20" s="1065" t="s">
        <v>519</v>
      </c>
      <c r="B20" s="1065" t="s">
        <v>11037</v>
      </c>
      <c r="C20" s="1065" t="s">
        <v>520</v>
      </c>
      <c r="D20" s="1065" t="s">
        <v>62</v>
      </c>
      <c r="E20" s="1065" t="s">
        <v>16</v>
      </c>
      <c r="F20" s="1065" t="s">
        <v>228</v>
      </c>
      <c r="G20" s="1066">
        <v>1.0</v>
      </c>
      <c r="H20" s="1066">
        <v>1.0</v>
      </c>
      <c r="I20" s="1066">
        <v>0.0</v>
      </c>
      <c r="J20" s="1065"/>
      <c r="K20" s="1065"/>
      <c r="L20" s="1065"/>
      <c r="M20" s="1065"/>
      <c r="N20" s="1065"/>
      <c r="O20" s="1067" t="str">
        <f t="shared" si="1"/>
        <v/>
      </c>
      <c r="P20" s="1067">
        <f t="shared" si="3"/>
        <v>0</v>
      </c>
      <c r="Q20" s="1067">
        <f t="shared" si="2"/>
        <v>0</v>
      </c>
    </row>
    <row r="21" hidden="1">
      <c r="A21" s="1065" t="s">
        <v>1445</v>
      </c>
      <c r="B21" s="1065" t="s">
        <v>11038</v>
      </c>
      <c r="C21" s="1065" t="s">
        <v>1446</v>
      </c>
      <c r="D21" s="1065" t="s">
        <v>62</v>
      </c>
      <c r="E21" s="1065" t="s">
        <v>16</v>
      </c>
      <c r="F21" s="1065" t="s">
        <v>83</v>
      </c>
      <c r="G21" s="1066">
        <v>1.0</v>
      </c>
      <c r="H21" s="1066">
        <v>1.0</v>
      </c>
      <c r="I21" s="1066">
        <v>0.0</v>
      </c>
      <c r="J21" s="1065"/>
      <c r="K21" s="1065"/>
      <c r="L21" s="1065"/>
      <c r="M21" s="1065"/>
      <c r="N21" s="1065"/>
      <c r="O21" s="1067" t="str">
        <f t="shared" si="1"/>
        <v/>
      </c>
      <c r="P21" s="1067">
        <f t="shared" si="3"/>
        <v>0</v>
      </c>
      <c r="Q21" s="1067">
        <f t="shared" si="2"/>
        <v>0</v>
      </c>
    </row>
    <row r="22" hidden="1">
      <c r="A22" s="1065" t="s">
        <v>542</v>
      </c>
      <c r="B22" s="1068" t="s">
        <v>7734</v>
      </c>
      <c r="C22" s="1065" t="s">
        <v>543</v>
      </c>
      <c r="D22" s="1065" t="s">
        <v>62</v>
      </c>
      <c r="E22" s="1065" t="s">
        <v>16</v>
      </c>
      <c r="F22" s="1065" t="s">
        <v>228</v>
      </c>
      <c r="G22" s="1066">
        <v>1.0</v>
      </c>
      <c r="H22" s="1066">
        <v>1.0</v>
      </c>
      <c r="I22" s="1066">
        <v>0.0</v>
      </c>
      <c r="J22" s="1065"/>
      <c r="K22" s="1065"/>
      <c r="L22" s="1065"/>
      <c r="M22" s="1065"/>
      <c r="N22" s="1065"/>
      <c r="O22" s="1067" t="str">
        <f t="shared" si="1"/>
        <v/>
      </c>
      <c r="P22" s="1067">
        <f t="shared" si="3"/>
        <v>0</v>
      </c>
      <c r="Q22" s="1067">
        <f t="shared" si="2"/>
        <v>0</v>
      </c>
    </row>
    <row r="23" hidden="1">
      <c r="A23" s="1065" t="s">
        <v>572</v>
      </c>
      <c r="B23" s="1065" t="s">
        <v>3722</v>
      </c>
      <c r="C23" s="1065" t="s">
        <v>573</v>
      </c>
      <c r="D23" s="1065" t="s">
        <v>60</v>
      </c>
      <c r="E23" s="1065" t="s">
        <v>16</v>
      </c>
      <c r="F23" s="1065" t="s">
        <v>137</v>
      </c>
      <c r="G23" s="1066">
        <v>1.0</v>
      </c>
      <c r="H23" s="1066">
        <v>1.0</v>
      </c>
      <c r="I23" s="1066">
        <v>0.0</v>
      </c>
      <c r="J23" s="1065"/>
      <c r="K23" s="1065"/>
      <c r="L23" s="1065"/>
      <c r="M23" s="1065"/>
      <c r="N23" s="1065"/>
      <c r="O23" s="1067" t="str">
        <f t="shared" si="1"/>
        <v/>
      </c>
      <c r="P23" s="1067">
        <f t="shared" si="3"/>
        <v>0</v>
      </c>
      <c r="Q23" s="1067">
        <f t="shared" si="2"/>
        <v>0</v>
      </c>
    </row>
    <row r="24" hidden="1">
      <c r="A24" s="1065" t="s">
        <v>1487</v>
      </c>
      <c r="B24" s="1065" t="s">
        <v>11039</v>
      </c>
      <c r="C24" s="1065" t="s">
        <v>1488</v>
      </c>
      <c r="D24" s="1065" t="s">
        <v>60</v>
      </c>
      <c r="E24" s="1065" t="s">
        <v>16</v>
      </c>
      <c r="F24" s="548" t="s">
        <v>109</v>
      </c>
      <c r="G24" s="1066">
        <v>1.0</v>
      </c>
      <c r="H24" s="1066">
        <v>1.0</v>
      </c>
      <c r="I24" s="1066">
        <v>0.0</v>
      </c>
      <c r="J24" s="548" t="s">
        <v>11040</v>
      </c>
      <c r="K24" s="548"/>
      <c r="L24" s="548"/>
      <c r="M24" s="1065"/>
      <c r="N24" s="1065"/>
      <c r="O24" s="1067" t="str">
        <f t="shared" si="1"/>
        <v/>
      </c>
      <c r="P24" s="1067">
        <f t="shared" si="3"/>
        <v>0</v>
      </c>
      <c r="Q24" s="1067">
        <f t="shared" si="2"/>
        <v>0</v>
      </c>
    </row>
    <row r="25" hidden="1">
      <c r="A25" s="1065" t="s">
        <v>628</v>
      </c>
      <c r="B25" s="1065" t="s">
        <v>11041</v>
      </c>
      <c r="C25" s="1065" t="s">
        <v>629</v>
      </c>
      <c r="D25" s="1065" t="s">
        <v>60</v>
      </c>
      <c r="E25" s="1065" t="s">
        <v>16</v>
      </c>
      <c r="F25" s="1065" t="s">
        <v>137</v>
      </c>
      <c r="G25" s="1066">
        <v>1.0</v>
      </c>
      <c r="H25" s="1066">
        <v>1.0</v>
      </c>
      <c r="I25" s="1066">
        <v>0.0</v>
      </c>
      <c r="J25" s="1065"/>
      <c r="K25" s="1065"/>
      <c r="L25" s="1065"/>
      <c r="M25" s="1065"/>
      <c r="N25" s="1065"/>
      <c r="O25" s="1067" t="str">
        <f t="shared" si="1"/>
        <v/>
      </c>
      <c r="P25" s="1067">
        <f t="shared" si="3"/>
        <v>0</v>
      </c>
      <c r="Q25" s="1067">
        <f t="shared" si="2"/>
        <v>0</v>
      </c>
    </row>
    <row r="26" hidden="1">
      <c r="A26" s="1065" t="s">
        <v>1448</v>
      </c>
      <c r="B26" s="1065" t="s">
        <v>4192</v>
      </c>
      <c r="C26" s="1065" t="s">
        <v>1449</v>
      </c>
      <c r="D26" s="1065" t="s">
        <v>60</v>
      </c>
      <c r="E26" s="1065" t="s">
        <v>16</v>
      </c>
      <c r="F26" s="1065" t="s">
        <v>137</v>
      </c>
      <c r="G26" s="1066">
        <v>1.0</v>
      </c>
      <c r="H26" s="1066">
        <v>1.0</v>
      </c>
      <c r="I26" s="1066">
        <v>0.0</v>
      </c>
      <c r="J26" s="548" t="s">
        <v>11042</v>
      </c>
      <c r="K26" s="548">
        <v>1.0</v>
      </c>
      <c r="L26" s="548"/>
      <c r="M26" s="548">
        <v>1.0</v>
      </c>
      <c r="N26" s="1065"/>
      <c r="O26" s="1067" t="str">
        <f t="shared" si="1"/>
        <v/>
      </c>
      <c r="P26" s="1067">
        <f t="shared" si="3"/>
        <v>0</v>
      </c>
      <c r="Q26" s="1067">
        <f t="shared" si="2"/>
        <v>0</v>
      </c>
    </row>
    <row r="27" hidden="1">
      <c r="A27" s="1065" t="s">
        <v>639</v>
      </c>
      <c r="B27" s="1065" t="s">
        <v>11043</v>
      </c>
      <c r="C27" s="1065" t="s">
        <v>640</v>
      </c>
      <c r="D27" s="1065" t="s">
        <v>60</v>
      </c>
      <c r="E27" s="1065" t="s">
        <v>16</v>
      </c>
      <c r="F27" s="1065" t="s">
        <v>137</v>
      </c>
      <c r="G27" s="1066">
        <v>1.0</v>
      </c>
      <c r="H27" s="1066">
        <v>1.0</v>
      </c>
      <c r="I27" s="1066">
        <v>0.0</v>
      </c>
      <c r="J27" s="1065"/>
      <c r="K27" s="1065"/>
      <c r="L27" s="1065"/>
      <c r="M27" s="1065"/>
      <c r="N27" s="1065"/>
      <c r="O27" s="1067" t="str">
        <f t="shared" si="1"/>
        <v/>
      </c>
      <c r="P27" s="1067">
        <f t="shared" si="3"/>
        <v>0</v>
      </c>
      <c r="Q27" s="1067">
        <f t="shared" si="2"/>
        <v>0</v>
      </c>
    </row>
    <row r="28" hidden="1">
      <c r="A28" s="1065" t="s">
        <v>648</v>
      </c>
      <c r="B28" s="1065" t="s">
        <v>7899</v>
      </c>
      <c r="C28" s="1065" t="s">
        <v>649</v>
      </c>
      <c r="D28" s="1065" t="s">
        <v>62</v>
      </c>
      <c r="E28" s="1065" t="s">
        <v>16</v>
      </c>
      <c r="F28" s="1065" t="s">
        <v>228</v>
      </c>
      <c r="G28" s="1066">
        <v>1.0</v>
      </c>
      <c r="H28" s="1066">
        <v>1.0</v>
      </c>
      <c r="I28" s="1066">
        <v>0.0</v>
      </c>
      <c r="J28" s="1065"/>
      <c r="K28" s="1065"/>
      <c r="L28" s="1065"/>
      <c r="M28" s="1065"/>
      <c r="N28" s="1065"/>
      <c r="O28" s="1067" t="str">
        <f t="shared" si="1"/>
        <v/>
      </c>
      <c r="P28" s="1067">
        <f t="shared" si="3"/>
        <v>0</v>
      </c>
      <c r="Q28" s="1067">
        <f t="shared" si="2"/>
        <v>0</v>
      </c>
    </row>
    <row r="29" hidden="1">
      <c r="A29" s="1065" t="s">
        <v>667</v>
      </c>
      <c r="B29" s="1065" t="s">
        <v>5080</v>
      </c>
      <c r="C29" s="1065" t="s">
        <v>666</v>
      </c>
      <c r="D29" s="1065" t="s">
        <v>60</v>
      </c>
      <c r="E29" s="1065" t="s">
        <v>16</v>
      </c>
      <c r="F29" s="1065" t="s">
        <v>137</v>
      </c>
      <c r="G29" s="1066">
        <v>1.0</v>
      </c>
      <c r="H29" s="1066">
        <v>1.0</v>
      </c>
      <c r="I29" s="1066">
        <v>0.0</v>
      </c>
      <c r="J29" s="1065"/>
      <c r="K29" s="1065"/>
      <c r="L29" s="1065"/>
      <c r="M29" s="1065"/>
      <c r="N29" s="1065"/>
      <c r="O29" s="1067" t="str">
        <f t="shared" si="1"/>
        <v/>
      </c>
      <c r="P29" s="1067">
        <f t="shared" si="3"/>
        <v>0</v>
      </c>
      <c r="Q29" s="1067">
        <f t="shared" si="2"/>
        <v>0</v>
      </c>
    </row>
    <row r="30" hidden="1">
      <c r="A30" s="1065" t="s">
        <v>699</v>
      </c>
      <c r="B30" s="1065" t="s">
        <v>9678</v>
      </c>
      <c r="C30" s="1065" t="s">
        <v>700</v>
      </c>
      <c r="D30" s="1065" t="s">
        <v>62</v>
      </c>
      <c r="E30" s="1065" t="s">
        <v>16</v>
      </c>
      <c r="F30" s="1065" t="s">
        <v>83</v>
      </c>
      <c r="G30" s="1066">
        <v>2.0</v>
      </c>
      <c r="H30" s="1066">
        <v>2.0</v>
      </c>
      <c r="I30" s="1066">
        <v>0.0</v>
      </c>
      <c r="J30" s="548" t="s">
        <v>11034</v>
      </c>
      <c r="K30" s="548"/>
      <c r="L30" s="548"/>
      <c r="M30" s="1065"/>
      <c r="N30" s="1065"/>
      <c r="O30" s="1067" t="str">
        <f t="shared" si="1"/>
        <v/>
      </c>
      <c r="P30" s="1067">
        <f t="shared" si="3"/>
        <v>0</v>
      </c>
      <c r="Q30" s="1067">
        <f t="shared" si="2"/>
        <v>0</v>
      </c>
    </row>
    <row r="31" hidden="1">
      <c r="A31" s="1065" t="s">
        <v>737</v>
      </c>
      <c r="B31" s="1065" t="s">
        <v>4609</v>
      </c>
      <c r="C31" s="1065" t="s">
        <v>738</v>
      </c>
      <c r="D31" s="1065" t="s">
        <v>62</v>
      </c>
      <c r="E31" s="1065" t="s">
        <v>16</v>
      </c>
      <c r="F31" s="1065" t="s">
        <v>450</v>
      </c>
      <c r="G31" s="1066">
        <v>2.0</v>
      </c>
      <c r="H31" s="1066">
        <v>2.0</v>
      </c>
      <c r="I31" s="1066">
        <v>0.0</v>
      </c>
      <c r="J31" s="548" t="s">
        <v>11044</v>
      </c>
      <c r="K31" s="548"/>
      <c r="L31" s="548"/>
      <c r="M31" s="1065"/>
      <c r="N31" s="1065"/>
      <c r="O31" s="1067" t="str">
        <f t="shared" si="1"/>
        <v/>
      </c>
      <c r="P31" s="1067">
        <f t="shared" si="3"/>
        <v>0</v>
      </c>
      <c r="Q31" s="1067">
        <f t="shared" si="2"/>
        <v>0</v>
      </c>
    </row>
    <row r="32" hidden="1">
      <c r="A32" s="1065" t="s">
        <v>746</v>
      </c>
      <c r="B32" s="1065" t="s">
        <v>11045</v>
      </c>
      <c r="C32" s="1065" t="s">
        <v>749</v>
      </c>
      <c r="D32" s="1065" t="s">
        <v>60</v>
      </c>
      <c r="E32" s="1065" t="s">
        <v>123</v>
      </c>
      <c r="F32" s="1065" t="s">
        <v>1539</v>
      </c>
      <c r="G32" s="1066">
        <v>1.0</v>
      </c>
      <c r="H32" s="1066">
        <v>1.0</v>
      </c>
      <c r="I32" s="1066">
        <v>0.0</v>
      </c>
      <c r="J32" s="1065"/>
      <c r="K32" s="1065"/>
      <c r="L32" s="1065"/>
      <c r="M32" s="1065"/>
      <c r="N32" s="1065"/>
      <c r="O32" s="1067" t="str">
        <f t="shared" si="1"/>
        <v/>
      </c>
      <c r="P32" s="1067">
        <f t="shared" si="3"/>
        <v>0</v>
      </c>
      <c r="Q32" s="1067">
        <f t="shared" si="2"/>
        <v>0</v>
      </c>
    </row>
    <row r="33" hidden="1">
      <c r="A33" s="1065" t="s">
        <v>771</v>
      </c>
      <c r="B33" s="1065" t="s">
        <v>11046</v>
      </c>
      <c r="C33" s="1065" t="s">
        <v>772</v>
      </c>
      <c r="D33" s="1065" t="s">
        <v>60</v>
      </c>
      <c r="E33" s="1065" t="s">
        <v>16</v>
      </c>
      <c r="F33" s="1065" t="s">
        <v>196</v>
      </c>
      <c r="G33" s="1066">
        <v>1.0</v>
      </c>
      <c r="H33" s="1066">
        <v>1.0</v>
      </c>
      <c r="I33" s="1066">
        <v>0.0</v>
      </c>
      <c r="J33" s="1065"/>
      <c r="K33" s="1065"/>
      <c r="L33" s="1065"/>
      <c r="M33" s="1065"/>
      <c r="N33" s="1065"/>
      <c r="O33" s="1067" t="str">
        <f t="shared" si="1"/>
        <v/>
      </c>
      <c r="P33" s="1067">
        <f t="shared" si="3"/>
        <v>0</v>
      </c>
      <c r="Q33" s="1067">
        <f t="shared" si="2"/>
        <v>0</v>
      </c>
    </row>
    <row r="34" hidden="1">
      <c r="A34" s="1065" t="s">
        <v>1556</v>
      </c>
      <c r="B34" s="1065" t="s">
        <v>11047</v>
      </c>
      <c r="C34" s="1065" t="s">
        <v>1557</v>
      </c>
      <c r="D34" s="1065" t="s">
        <v>60</v>
      </c>
      <c r="E34" s="1065" t="s">
        <v>16</v>
      </c>
      <c r="F34" s="1065" t="s">
        <v>1558</v>
      </c>
      <c r="G34" s="1066">
        <v>1.0</v>
      </c>
      <c r="H34" s="1066">
        <v>1.0</v>
      </c>
      <c r="I34" s="1066">
        <v>0.0</v>
      </c>
      <c r="J34" s="1065"/>
      <c r="K34" s="1065"/>
      <c r="L34" s="1065"/>
      <c r="M34" s="1065"/>
      <c r="N34" s="1065"/>
      <c r="O34" s="1067" t="str">
        <f t="shared" si="1"/>
        <v/>
      </c>
      <c r="P34" s="1067">
        <f t="shared" si="3"/>
        <v>0</v>
      </c>
      <c r="Q34" s="1067">
        <f t="shared" si="2"/>
        <v>0</v>
      </c>
    </row>
    <row r="35" hidden="1">
      <c r="A35" s="1065" t="s">
        <v>779</v>
      </c>
      <c r="B35" s="1065" t="s">
        <v>8693</v>
      </c>
      <c r="C35" s="1065" t="s">
        <v>1560</v>
      </c>
      <c r="D35" s="1065" t="s">
        <v>60</v>
      </c>
      <c r="E35" s="1065" t="s">
        <v>16</v>
      </c>
      <c r="F35" s="1065" t="s">
        <v>314</v>
      </c>
      <c r="G35" s="1066">
        <v>1.0</v>
      </c>
      <c r="H35" s="1066">
        <v>1.0</v>
      </c>
      <c r="I35" s="1066">
        <v>0.0</v>
      </c>
      <c r="J35" s="1065"/>
      <c r="K35" s="1065"/>
      <c r="L35" s="1065"/>
      <c r="M35" s="1065"/>
      <c r="N35" s="1065"/>
      <c r="O35" s="1067" t="str">
        <f t="shared" si="1"/>
        <v/>
      </c>
      <c r="P35" s="1067">
        <f t="shared" si="3"/>
        <v>0</v>
      </c>
      <c r="Q35" s="1067">
        <f t="shared" si="2"/>
        <v>0</v>
      </c>
    </row>
    <row r="36" hidden="1">
      <c r="A36" s="1065" t="s">
        <v>803</v>
      </c>
      <c r="B36" s="1065" t="s">
        <v>5294</v>
      </c>
      <c r="C36" s="1065" t="s">
        <v>804</v>
      </c>
      <c r="D36" s="1065" t="s">
        <v>60</v>
      </c>
      <c r="E36" s="1065" t="s">
        <v>16</v>
      </c>
      <c r="F36" s="1065" t="s">
        <v>196</v>
      </c>
      <c r="G36" s="1066">
        <v>1.0</v>
      </c>
      <c r="H36" s="1066">
        <v>1.0</v>
      </c>
      <c r="I36" s="1066">
        <v>0.0</v>
      </c>
      <c r="J36" s="1065"/>
      <c r="K36" s="1065"/>
      <c r="L36" s="1065"/>
      <c r="M36" s="1065"/>
      <c r="N36" s="1065"/>
      <c r="O36" s="1067" t="str">
        <f t="shared" si="1"/>
        <v/>
      </c>
      <c r="P36" s="1067">
        <f t="shared" si="3"/>
        <v>0</v>
      </c>
      <c r="Q36" s="1067">
        <f t="shared" si="2"/>
        <v>0</v>
      </c>
    </row>
    <row r="37" hidden="1">
      <c r="A37" s="1065" t="s">
        <v>1426</v>
      </c>
      <c r="B37" s="1065" t="s">
        <v>3391</v>
      </c>
      <c r="C37" s="1065" t="s">
        <v>1427</v>
      </c>
      <c r="D37" s="1065" t="s">
        <v>60</v>
      </c>
      <c r="E37" s="1065" t="s">
        <v>16</v>
      </c>
      <c r="F37" s="1065" t="s">
        <v>1428</v>
      </c>
      <c r="G37" s="1066">
        <v>1.0</v>
      </c>
      <c r="H37" s="1066">
        <v>1.0</v>
      </c>
      <c r="I37" s="1066">
        <v>0.0</v>
      </c>
      <c r="J37" s="1065"/>
      <c r="K37" s="1065"/>
      <c r="L37" s="1065"/>
      <c r="M37" s="1065"/>
      <c r="N37" s="1065"/>
      <c r="O37" s="1067" t="str">
        <f t="shared" si="1"/>
        <v/>
      </c>
      <c r="P37" s="1067">
        <f t="shared" si="3"/>
        <v>0</v>
      </c>
      <c r="Q37" s="1067">
        <f t="shared" si="2"/>
        <v>0</v>
      </c>
    </row>
    <row r="38" hidden="1">
      <c r="A38" s="1065" t="s">
        <v>1612</v>
      </c>
      <c r="B38" s="1065" t="s">
        <v>9762</v>
      </c>
      <c r="C38" s="1065" t="s">
        <v>1613</v>
      </c>
      <c r="D38" s="1065" t="s">
        <v>60</v>
      </c>
      <c r="E38" s="1065" t="s">
        <v>16</v>
      </c>
      <c r="F38" s="1065" t="s">
        <v>137</v>
      </c>
      <c r="G38" s="1066">
        <v>1.0</v>
      </c>
      <c r="H38" s="1066">
        <v>1.0</v>
      </c>
      <c r="I38" s="1066">
        <v>0.0</v>
      </c>
      <c r="J38" s="1065"/>
      <c r="K38" s="1065"/>
      <c r="L38" s="1065"/>
      <c r="M38" s="1065"/>
      <c r="N38" s="1065"/>
      <c r="O38" s="1067" t="str">
        <f t="shared" si="1"/>
        <v/>
      </c>
      <c r="P38" s="1067">
        <f t="shared" si="3"/>
        <v>0</v>
      </c>
      <c r="Q38" s="1067">
        <f t="shared" si="2"/>
        <v>0</v>
      </c>
    </row>
    <row r="39" hidden="1">
      <c r="A39" s="1065" t="s">
        <v>887</v>
      </c>
      <c r="B39" s="1065" t="s">
        <v>6698</v>
      </c>
      <c r="C39" s="1065" t="s">
        <v>886</v>
      </c>
      <c r="D39" s="1065" t="s">
        <v>62</v>
      </c>
      <c r="E39" s="1065" t="s">
        <v>16</v>
      </c>
      <c r="F39" s="1065" t="s">
        <v>228</v>
      </c>
      <c r="G39" s="1066">
        <v>2.0</v>
      </c>
      <c r="H39" s="1066">
        <v>2.0</v>
      </c>
      <c r="I39" s="1066">
        <v>0.0</v>
      </c>
      <c r="J39" s="548" t="s">
        <v>11048</v>
      </c>
      <c r="K39" s="548">
        <v>1.0</v>
      </c>
      <c r="L39" s="548"/>
      <c r="M39" s="548">
        <v>1.0</v>
      </c>
      <c r="N39" s="1065"/>
      <c r="O39" s="1067" t="str">
        <f t="shared" si="1"/>
        <v/>
      </c>
      <c r="P39" s="1067">
        <f t="shared" si="3"/>
        <v>0</v>
      </c>
      <c r="Q39" s="1067">
        <f t="shared" si="2"/>
        <v>0</v>
      </c>
    </row>
    <row r="40" hidden="1">
      <c r="A40" s="1065" t="s">
        <v>2545</v>
      </c>
      <c r="B40" s="1065" t="s">
        <v>4322</v>
      </c>
      <c r="C40" s="1065" t="s">
        <v>2546</v>
      </c>
      <c r="D40" s="1065" t="s">
        <v>62</v>
      </c>
      <c r="E40" s="1065" t="s">
        <v>16</v>
      </c>
      <c r="F40" s="1065" t="s">
        <v>83</v>
      </c>
      <c r="G40" s="1066">
        <v>2.0</v>
      </c>
      <c r="H40" s="1066">
        <v>2.0</v>
      </c>
      <c r="I40" s="1066">
        <v>0.0</v>
      </c>
      <c r="J40" s="548" t="s">
        <v>11049</v>
      </c>
      <c r="K40" s="548">
        <v>2.0</v>
      </c>
      <c r="L40" s="548"/>
      <c r="M40" s="548">
        <v>1.0</v>
      </c>
      <c r="N40" s="1065"/>
      <c r="O40" s="1067" t="str">
        <f t="shared" si="1"/>
        <v/>
      </c>
      <c r="P40" s="1067">
        <f t="shared" si="3"/>
        <v>0</v>
      </c>
      <c r="Q40" s="1067">
        <f t="shared" si="2"/>
        <v>0</v>
      </c>
    </row>
    <row r="41" hidden="1">
      <c r="A41" s="1065" t="s">
        <v>967</v>
      </c>
      <c r="B41" s="1065" t="s">
        <v>3770</v>
      </c>
      <c r="C41" s="1065" t="s">
        <v>966</v>
      </c>
      <c r="D41" s="1065" t="s">
        <v>62</v>
      </c>
      <c r="E41" s="1065" t="s">
        <v>16</v>
      </c>
      <c r="F41" s="1065" t="s">
        <v>83</v>
      </c>
      <c r="G41" s="1066">
        <v>1.0</v>
      </c>
      <c r="H41" s="1066">
        <v>1.0</v>
      </c>
      <c r="I41" s="1066">
        <v>0.0</v>
      </c>
      <c r="J41" s="1065"/>
      <c r="K41" s="1065"/>
      <c r="L41" s="1065"/>
      <c r="M41" s="1065"/>
      <c r="N41" s="1065"/>
      <c r="O41" s="1067" t="str">
        <f t="shared" si="1"/>
        <v/>
      </c>
      <c r="P41" s="1067">
        <f t="shared" si="3"/>
        <v>0</v>
      </c>
      <c r="Q41" s="1067">
        <f t="shared" si="2"/>
        <v>0</v>
      </c>
    </row>
    <row r="42" hidden="1">
      <c r="A42" s="1065" t="s">
        <v>1977</v>
      </c>
      <c r="B42" s="1065" t="s">
        <v>11050</v>
      </c>
      <c r="C42" s="1065" t="s">
        <v>1653</v>
      </c>
      <c r="D42" s="1065" t="s">
        <v>60</v>
      </c>
      <c r="E42" s="1065" t="s">
        <v>16</v>
      </c>
      <c r="F42" s="1065"/>
      <c r="G42" s="1066">
        <v>1.0</v>
      </c>
      <c r="H42" s="1066">
        <v>1.0</v>
      </c>
      <c r="I42" s="1066">
        <v>0.0</v>
      </c>
      <c r="J42" s="1065"/>
      <c r="K42" s="1065"/>
      <c r="L42" s="1065"/>
      <c r="M42" s="1065"/>
      <c r="N42" s="1065"/>
      <c r="O42" s="1067" t="str">
        <f t="shared" si="1"/>
        <v/>
      </c>
      <c r="P42" s="1067">
        <f t="shared" si="3"/>
        <v>0</v>
      </c>
      <c r="Q42" s="1067">
        <f t="shared" si="2"/>
        <v>0</v>
      </c>
    </row>
    <row r="43" hidden="1">
      <c r="A43" s="1065" t="s">
        <v>984</v>
      </c>
      <c r="B43" s="1065" t="s">
        <v>5979</v>
      </c>
      <c r="C43" s="1065" t="s">
        <v>985</v>
      </c>
      <c r="D43" s="1065" t="s">
        <v>60</v>
      </c>
      <c r="E43" s="1065" t="s">
        <v>16</v>
      </c>
      <c r="F43" s="1065" t="s">
        <v>109</v>
      </c>
      <c r="G43" s="1066">
        <v>1.0</v>
      </c>
      <c r="H43" s="1066">
        <v>1.0</v>
      </c>
      <c r="I43" s="1066">
        <v>0.0</v>
      </c>
      <c r="J43" s="548"/>
      <c r="K43" s="548">
        <v>1.0</v>
      </c>
      <c r="L43" s="548"/>
      <c r="M43" s="548">
        <v>3.0</v>
      </c>
      <c r="N43" s="1065"/>
      <c r="O43" s="1067" t="str">
        <f t="shared" si="1"/>
        <v/>
      </c>
      <c r="P43" s="1067">
        <f t="shared" si="3"/>
        <v>0</v>
      </c>
      <c r="Q43" s="1067">
        <f t="shared" si="2"/>
        <v>0</v>
      </c>
    </row>
    <row r="44" hidden="1">
      <c r="A44" s="1065" t="s">
        <v>1689</v>
      </c>
      <c r="B44" s="1065" t="s">
        <v>5066</v>
      </c>
      <c r="C44" s="1065" t="s">
        <v>1688</v>
      </c>
      <c r="D44" s="1065" t="s">
        <v>62</v>
      </c>
      <c r="E44" s="1065" t="s">
        <v>16</v>
      </c>
      <c r="F44" s="1065" t="s">
        <v>83</v>
      </c>
      <c r="G44" s="1066">
        <v>1.0</v>
      </c>
      <c r="H44" s="1066">
        <v>1.0</v>
      </c>
      <c r="I44" s="1066">
        <v>0.0</v>
      </c>
      <c r="J44" s="1065"/>
      <c r="K44" s="548"/>
      <c r="L44" s="548"/>
      <c r="M44" s="1065"/>
      <c r="N44" s="1065"/>
      <c r="O44" s="1067" t="str">
        <f t="shared" si="1"/>
        <v/>
      </c>
      <c r="P44" s="1067">
        <f t="shared" si="3"/>
        <v>0</v>
      </c>
      <c r="Q44" s="1067">
        <f t="shared" si="2"/>
        <v>0</v>
      </c>
    </row>
    <row r="45" hidden="1">
      <c r="A45" s="1065" t="s">
        <v>1730</v>
      </c>
      <c r="B45" s="1065" t="s">
        <v>7480</v>
      </c>
      <c r="C45" s="1065" t="s">
        <v>1731</v>
      </c>
      <c r="D45" s="1065" t="s">
        <v>60</v>
      </c>
      <c r="E45" s="1065" t="s">
        <v>16</v>
      </c>
      <c r="F45" s="1065" t="s">
        <v>109</v>
      </c>
      <c r="G45" s="1066">
        <v>4.0</v>
      </c>
      <c r="H45" s="1066">
        <v>4.0</v>
      </c>
      <c r="I45" s="1066">
        <v>0.0</v>
      </c>
      <c r="J45" s="548" t="s">
        <v>11051</v>
      </c>
      <c r="K45" s="548">
        <v>1.0</v>
      </c>
      <c r="L45" s="548"/>
      <c r="M45" s="548">
        <v>3.0</v>
      </c>
      <c r="N45" s="1065"/>
      <c r="O45" s="1067" t="str">
        <f t="shared" si="1"/>
        <v/>
      </c>
      <c r="P45" s="1067">
        <f t="shared" si="3"/>
        <v>0</v>
      </c>
      <c r="Q45" s="1067">
        <f t="shared" si="2"/>
        <v>0</v>
      </c>
    </row>
    <row r="46" hidden="1">
      <c r="A46" s="1065" t="s">
        <v>1735</v>
      </c>
      <c r="B46" s="1065" t="s">
        <v>5680</v>
      </c>
      <c r="C46" s="1065" t="s">
        <v>1736</v>
      </c>
      <c r="D46" s="1065" t="s">
        <v>62</v>
      </c>
      <c r="E46" s="1065" t="s">
        <v>16</v>
      </c>
      <c r="F46" s="1065" t="s">
        <v>83</v>
      </c>
      <c r="G46" s="1066">
        <v>2.0</v>
      </c>
      <c r="H46" s="1066">
        <v>2.0</v>
      </c>
      <c r="I46" s="1066">
        <v>0.0</v>
      </c>
      <c r="J46" s="548" t="s">
        <v>11049</v>
      </c>
      <c r="K46" s="548"/>
      <c r="L46" s="548"/>
      <c r="M46" s="1065"/>
      <c r="N46" s="1065"/>
      <c r="O46" s="1067" t="str">
        <f t="shared" si="1"/>
        <v/>
      </c>
      <c r="P46" s="1067">
        <f t="shared" si="3"/>
        <v>0</v>
      </c>
      <c r="Q46" s="1067">
        <f t="shared" si="2"/>
        <v>0</v>
      </c>
    </row>
    <row r="47" hidden="1">
      <c r="A47" s="1065" t="s">
        <v>1055</v>
      </c>
      <c r="B47" s="1065" t="s">
        <v>11052</v>
      </c>
      <c r="C47" s="1065" t="s">
        <v>1054</v>
      </c>
      <c r="D47" s="1065" t="s">
        <v>209</v>
      </c>
      <c r="E47" s="1065" t="s">
        <v>16</v>
      </c>
      <c r="F47" s="1065" t="s">
        <v>241</v>
      </c>
      <c r="G47" s="1066">
        <v>1.0</v>
      </c>
      <c r="H47" s="1066">
        <v>1.0</v>
      </c>
      <c r="I47" s="1066">
        <v>0.0</v>
      </c>
      <c r="J47" s="1065"/>
      <c r="K47" s="1065"/>
      <c r="L47" s="1065"/>
      <c r="M47" s="1065"/>
      <c r="N47" s="1065"/>
      <c r="O47" s="1067" t="str">
        <f t="shared" si="1"/>
        <v/>
      </c>
      <c r="P47" s="1067">
        <f t="shared" si="3"/>
        <v>0</v>
      </c>
      <c r="Q47" s="1067">
        <f t="shared" si="2"/>
        <v>0</v>
      </c>
    </row>
    <row r="48" hidden="1">
      <c r="A48" s="1065" t="s">
        <v>1080</v>
      </c>
      <c r="B48" s="1065" t="s">
        <v>9532</v>
      </c>
      <c r="C48" s="1065" t="s">
        <v>1079</v>
      </c>
      <c r="D48" s="1065" t="s">
        <v>62</v>
      </c>
      <c r="E48" s="1065" t="s">
        <v>16</v>
      </c>
      <c r="F48" s="1065" t="s">
        <v>1081</v>
      </c>
      <c r="G48" s="1066">
        <v>1.0</v>
      </c>
      <c r="H48" s="1066">
        <v>1.0</v>
      </c>
      <c r="I48" s="1066">
        <v>0.0</v>
      </c>
      <c r="J48" s="1065"/>
      <c r="K48" s="1065"/>
      <c r="L48" s="1065"/>
      <c r="M48" s="1065"/>
      <c r="N48" s="1065"/>
      <c r="O48" s="1067" t="str">
        <f t="shared" si="1"/>
        <v/>
      </c>
      <c r="P48" s="1067">
        <f t="shared" si="3"/>
        <v>0</v>
      </c>
      <c r="Q48" s="1067">
        <f t="shared" si="2"/>
        <v>0</v>
      </c>
    </row>
    <row r="49" hidden="1">
      <c r="A49" s="1065" t="s">
        <v>1098</v>
      </c>
      <c r="B49" s="1065" t="s">
        <v>4544</v>
      </c>
      <c r="C49" s="1065" t="s">
        <v>81</v>
      </c>
      <c r="D49" s="1065" t="s">
        <v>62</v>
      </c>
      <c r="E49" s="1065" t="s">
        <v>16</v>
      </c>
      <c r="F49" s="1065" t="s">
        <v>109</v>
      </c>
      <c r="G49" s="1066">
        <v>20.0</v>
      </c>
      <c r="H49" s="1066">
        <v>20.0</v>
      </c>
      <c r="I49" s="1066">
        <v>0.0</v>
      </c>
      <c r="J49" s="548" t="s">
        <v>1359</v>
      </c>
      <c r="K49" s="548">
        <v>3.0</v>
      </c>
      <c r="L49" s="548"/>
      <c r="M49" s="548">
        <v>1.0</v>
      </c>
      <c r="N49" s="1065"/>
      <c r="O49" s="1067" t="str">
        <f t="shared" si="1"/>
        <v/>
      </c>
      <c r="P49" s="1067">
        <f t="shared" si="3"/>
        <v>0</v>
      </c>
      <c r="Q49" s="1067">
        <f t="shared" si="2"/>
        <v>0</v>
      </c>
    </row>
    <row r="50" hidden="1">
      <c r="A50" s="1065" t="s">
        <v>1112</v>
      </c>
      <c r="B50" s="1065" t="s">
        <v>3671</v>
      </c>
      <c r="C50" s="1065" t="s">
        <v>1113</v>
      </c>
      <c r="D50" s="1065" t="s">
        <v>60</v>
      </c>
      <c r="E50" s="1065" t="s">
        <v>16</v>
      </c>
      <c r="F50" s="1065" t="s">
        <v>137</v>
      </c>
      <c r="G50" s="1066">
        <v>2.0</v>
      </c>
      <c r="H50" s="1066">
        <v>2.0</v>
      </c>
      <c r="I50" s="1066">
        <v>0.0</v>
      </c>
      <c r="J50" s="548" t="s">
        <v>1761</v>
      </c>
      <c r="K50" s="548">
        <v>1.0</v>
      </c>
      <c r="L50" s="548"/>
      <c r="M50" s="548">
        <v>3.0</v>
      </c>
      <c r="N50" s="1065"/>
      <c r="O50" s="1067" t="str">
        <f t="shared" si="1"/>
        <v/>
      </c>
      <c r="P50" s="1067">
        <f t="shared" si="3"/>
        <v>0</v>
      </c>
      <c r="Q50" s="1067">
        <f t="shared" si="2"/>
        <v>0</v>
      </c>
    </row>
    <row r="51" hidden="1">
      <c r="A51" s="1065" t="s">
        <v>1778</v>
      </c>
      <c r="B51" s="1065" t="s">
        <v>11053</v>
      </c>
      <c r="C51" s="1065" t="s">
        <v>1128</v>
      </c>
      <c r="D51" s="1065" t="s">
        <v>60</v>
      </c>
      <c r="E51" s="1065" t="s">
        <v>16</v>
      </c>
      <c r="F51" s="1065" t="s">
        <v>109</v>
      </c>
      <c r="G51" s="1066">
        <v>1.0</v>
      </c>
      <c r="H51" s="1066">
        <v>1.0</v>
      </c>
      <c r="I51" s="1066">
        <v>0.0</v>
      </c>
      <c r="J51" s="1065"/>
      <c r="K51" s="1065"/>
      <c r="L51" s="1065"/>
      <c r="M51" s="1065"/>
      <c r="N51" s="1065"/>
      <c r="O51" s="1067" t="str">
        <f t="shared" si="1"/>
        <v/>
      </c>
      <c r="P51" s="1067">
        <f t="shared" si="3"/>
        <v>0</v>
      </c>
      <c r="Q51" s="1067">
        <f t="shared" si="2"/>
        <v>0</v>
      </c>
    </row>
    <row r="52" hidden="1">
      <c r="A52" s="1065" t="s">
        <v>1135</v>
      </c>
      <c r="B52" s="1065" t="s">
        <v>3138</v>
      </c>
      <c r="C52" s="1065" t="s">
        <v>1136</v>
      </c>
      <c r="D52" s="1065" t="s">
        <v>62</v>
      </c>
      <c r="E52" s="1065" t="s">
        <v>16</v>
      </c>
      <c r="F52" s="1065" t="s">
        <v>83</v>
      </c>
      <c r="G52" s="1066">
        <v>6.0</v>
      </c>
      <c r="H52" s="1066">
        <v>6.0</v>
      </c>
      <c r="I52" s="1066">
        <v>0.0</v>
      </c>
      <c r="J52" s="548" t="s">
        <v>11044</v>
      </c>
      <c r="K52" s="548">
        <v>1.0</v>
      </c>
      <c r="L52" s="548"/>
      <c r="M52" s="548">
        <v>1.0</v>
      </c>
      <c r="N52" s="1065"/>
      <c r="O52" s="1067" t="str">
        <f t="shared" si="1"/>
        <v/>
      </c>
      <c r="P52" s="1067">
        <f t="shared" si="3"/>
        <v>0</v>
      </c>
      <c r="Q52" s="1067">
        <f t="shared" si="2"/>
        <v>0</v>
      </c>
    </row>
    <row r="53" hidden="1">
      <c r="A53" s="1065" t="s">
        <v>1144</v>
      </c>
      <c r="B53" s="1065" t="s">
        <v>4381</v>
      </c>
      <c r="C53" s="1065" t="s">
        <v>1143</v>
      </c>
      <c r="D53" s="1065" t="s">
        <v>62</v>
      </c>
      <c r="E53" s="1065" t="s">
        <v>16</v>
      </c>
      <c r="F53" s="1065" t="s">
        <v>228</v>
      </c>
      <c r="G53" s="1066">
        <v>1.0</v>
      </c>
      <c r="H53" s="1066">
        <v>1.0</v>
      </c>
      <c r="I53" s="1066">
        <v>0.0</v>
      </c>
      <c r="J53" s="548" t="s">
        <v>1759</v>
      </c>
      <c r="K53" s="548">
        <v>1.0</v>
      </c>
      <c r="L53" s="548"/>
      <c r="M53" s="548">
        <v>1.0</v>
      </c>
      <c r="N53" s="1065"/>
      <c r="O53" s="1067" t="str">
        <f t="shared" si="1"/>
        <v/>
      </c>
      <c r="P53" s="1067">
        <f t="shared" si="3"/>
        <v>0</v>
      </c>
      <c r="Q53" s="1067">
        <f t="shared" si="2"/>
        <v>0</v>
      </c>
    </row>
    <row r="54" hidden="1">
      <c r="A54" s="1065" t="s">
        <v>1806</v>
      </c>
      <c r="B54" s="1065" t="s">
        <v>11054</v>
      </c>
      <c r="C54" s="1065" t="s">
        <v>1807</v>
      </c>
      <c r="D54" s="1065" t="s">
        <v>62</v>
      </c>
      <c r="E54" s="1065" t="s">
        <v>16</v>
      </c>
      <c r="F54" s="1065" t="s">
        <v>228</v>
      </c>
      <c r="G54" s="1066">
        <v>2.0</v>
      </c>
      <c r="H54" s="1066">
        <v>2.0</v>
      </c>
      <c r="I54" s="1066">
        <v>0.0</v>
      </c>
      <c r="J54" s="548" t="s">
        <v>1800</v>
      </c>
      <c r="K54" s="548">
        <v>1.0</v>
      </c>
      <c r="L54" s="548"/>
      <c r="M54" s="548">
        <v>1.0</v>
      </c>
      <c r="N54" s="1065"/>
      <c r="O54" s="1067" t="str">
        <f t="shared" si="1"/>
        <v/>
      </c>
      <c r="P54" s="1067">
        <f t="shared" si="3"/>
        <v>0</v>
      </c>
      <c r="Q54" s="1067">
        <f t="shared" si="2"/>
        <v>0</v>
      </c>
    </row>
    <row r="55" hidden="1">
      <c r="A55" s="1065" t="s">
        <v>1811</v>
      </c>
      <c r="B55" s="1065" t="s">
        <v>11055</v>
      </c>
      <c r="C55" s="1065" t="s">
        <v>1161</v>
      </c>
      <c r="D55" s="1065" t="s">
        <v>396</v>
      </c>
      <c r="E55" s="1065" t="s">
        <v>16</v>
      </c>
      <c r="F55" s="1065"/>
      <c r="G55" s="1066">
        <v>1.0</v>
      </c>
      <c r="H55" s="1066">
        <v>1.0</v>
      </c>
      <c r="I55" s="1066">
        <v>0.0</v>
      </c>
      <c r="J55" s="1065"/>
      <c r="K55" s="1065"/>
      <c r="L55" s="1065"/>
      <c r="M55" s="1065"/>
      <c r="N55" s="1065"/>
      <c r="O55" s="1067" t="str">
        <f t="shared" si="1"/>
        <v/>
      </c>
      <c r="P55" s="1067">
        <f t="shared" si="3"/>
        <v>0</v>
      </c>
      <c r="Q55" s="1067">
        <f t="shared" si="2"/>
        <v>0</v>
      </c>
    </row>
    <row r="56" hidden="1">
      <c r="A56" s="1065" t="s">
        <v>1164</v>
      </c>
      <c r="B56" s="1065" t="s">
        <v>7162</v>
      </c>
      <c r="C56" s="1065" t="s">
        <v>1165</v>
      </c>
      <c r="D56" s="1065" t="s">
        <v>60</v>
      </c>
      <c r="E56" s="1065" t="s">
        <v>16</v>
      </c>
      <c r="F56" s="1065" t="s">
        <v>137</v>
      </c>
      <c r="G56" s="1066">
        <v>1.0</v>
      </c>
      <c r="H56" s="1066">
        <v>1.0</v>
      </c>
      <c r="I56" s="1066">
        <v>0.0</v>
      </c>
      <c r="J56" s="548" t="s">
        <v>1884</v>
      </c>
      <c r="K56" s="548"/>
      <c r="L56" s="548"/>
      <c r="M56" s="1065"/>
      <c r="N56" s="1065"/>
      <c r="O56" s="1067" t="str">
        <f t="shared" si="1"/>
        <v/>
      </c>
      <c r="P56" s="1067">
        <f t="shared" si="3"/>
        <v>0</v>
      </c>
      <c r="Q56" s="1067">
        <f t="shared" si="2"/>
        <v>0</v>
      </c>
    </row>
    <row r="57" hidden="1">
      <c r="A57" s="1065" t="s">
        <v>1814</v>
      </c>
      <c r="B57" s="1065" t="s">
        <v>5548</v>
      </c>
      <c r="C57" s="1065" t="s">
        <v>1172</v>
      </c>
      <c r="D57" s="1065" t="s">
        <v>62</v>
      </c>
      <c r="E57" s="1065" t="s">
        <v>16</v>
      </c>
      <c r="F57" s="1065" t="s">
        <v>228</v>
      </c>
      <c r="G57" s="1066">
        <v>2.0</v>
      </c>
      <c r="H57" s="1066">
        <v>2.0</v>
      </c>
      <c r="I57" s="1066">
        <v>0.0</v>
      </c>
      <c r="J57" s="548" t="s">
        <v>113</v>
      </c>
      <c r="K57" s="548"/>
      <c r="L57" s="548"/>
      <c r="M57" s="1065"/>
      <c r="N57" s="1065"/>
      <c r="O57" s="1067" t="str">
        <f t="shared" si="1"/>
        <v/>
      </c>
      <c r="P57" s="1067">
        <f t="shared" si="3"/>
        <v>0</v>
      </c>
      <c r="Q57" s="1067">
        <f t="shared" si="2"/>
        <v>0</v>
      </c>
    </row>
    <row r="58" hidden="1">
      <c r="A58" s="1065" t="s">
        <v>1211</v>
      </c>
      <c r="B58" s="1065" t="s">
        <v>4257</v>
      </c>
      <c r="C58" s="1065" t="s">
        <v>1212</v>
      </c>
      <c r="D58" s="1065" t="s">
        <v>60</v>
      </c>
      <c r="E58" s="1065" t="s">
        <v>16</v>
      </c>
      <c r="F58" s="1065" t="s">
        <v>314</v>
      </c>
      <c r="G58" s="1066">
        <v>1.0</v>
      </c>
      <c r="H58" s="1066">
        <v>1.0</v>
      </c>
      <c r="I58" s="1066">
        <v>0.0</v>
      </c>
      <c r="J58" s="1065"/>
      <c r="K58" s="1065"/>
      <c r="L58" s="1065"/>
      <c r="M58" s="1065"/>
      <c r="N58" s="1065"/>
      <c r="O58" s="1067" t="str">
        <f t="shared" si="1"/>
        <v/>
      </c>
      <c r="P58" s="1067">
        <f t="shared" si="3"/>
        <v>0</v>
      </c>
      <c r="Q58" s="1067">
        <f t="shared" si="2"/>
        <v>0</v>
      </c>
    </row>
    <row r="59" hidden="1">
      <c r="A59" s="1065" t="s">
        <v>1217</v>
      </c>
      <c r="B59" s="1065" t="s">
        <v>3343</v>
      </c>
      <c r="C59" s="1065" t="s">
        <v>1218</v>
      </c>
      <c r="D59" s="1065" t="s">
        <v>60</v>
      </c>
      <c r="E59" s="1065" t="s">
        <v>16</v>
      </c>
      <c r="F59" s="1065" t="s">
        <v>137</v>
      </c>
      <c r="G59" s="1066">
        <v>2.0</v>
      </c>
      <c r="H59" s="1066">
        <v>2.0</v>
      </c>
      <c r="I59" s="1066">
        <v>0.0</v>
      </c>
      <c r="J59" s="548" t="s">
        <v>1761</v>
      </c>
      <c r="K59" s="548"/>
      <c r="L59" s="548"/>
      <c r="M59" s="1065"/>
      <c r="N59" s="1065"/>
      <c r="O59" s="1067" t="str">
        <f t="shared" si="1"/>
        <v/>
      </c>
      <c r="P59" s="1067">
        <f t="shared" si="3"/>
        <v>0</v>
      </c>
      <c r="Q59" s="1067">
        <f t="shared" si="2"/>
        <v>0</v>
      </c>
    </row>
    <row r="60" hidden="1">
      <c r="A60" s="1065" t="s">
        <v>1219</v>
      </c>
      <c r="B60" s="1065" t="s">
        <v>11056</v>
      </c>
      <c r="C60" s="1065" t="s">
        <v>1218</v>
      </c>
      <c r="D60" s="1065" t="s">
        <v>62</v>
      </c>
      <c r="E60" s="1065" t="s">
        <v>16</v>
      </c>
      <c r="F60" s="1065" t="s">
        <v>83</v>
      </c>
      <c r="G60" s="1066">
        <v>1.0</v>
      </c>
      <c r="H60" s="1066">
        <v>1.0</v>
      </c>
      <c r="I60" s="1066">
        <v>0.0</v>
      </c>
      <c r="J60" s="1065"/>
      <c r="K60" s="1065"/>
      <c r="L60" s="1065"/>
      <c r="M60" s="1065"/>
      <c r="N60" s="1065"/>
      <c r="O60" s="1067" t="str">
        <f t="shared" si="1"/>
        <v/>
      </c>
      <c r="P60" s="1067">
        <f t="shared" si="3"/>
        <v>0</v>
      </c>
      <c r="Q60" s="1067">
        <f t="shared" si="2"/>
        <v>0</v>
      </c>
    </row>
    <row r="61" hidden="1">
      <c r="A61" s="1065" t="s">
        <v>1262</v>
      </c>
      <c r="B61" s="1065" t="s">
        <v>9578</v>
      </c>
      <c r="C61" s="1065" t="s">
        <v>1263</v>
      </c>
      <c r="D61" s="1065" t="s">
        <v>62</v>
      </c>
      <c r="E61" s="1065" t="s">
        <v>16</v>
      </c>
      <c r="F61" s="1065" t="s">
        <v>83</v>
      </c>
      <c r="G61" s="1066">
        <v>1.0</v>
      </c>
      <c r="H61" s="1066">
        <v>1.0</v>
      </c>
      <c r="I61" s="1066">
        <v>0.0</v>
      </c>
      <c r="J61" s="1065"/>
      <c r="K61" s="1065"/>
      <c r="L61" s="1065"/>
      <c r="M61" s="1065"/>
      <c r="N61" s="1065"/>
      <c r="O61" s="1067" t="str">
        <f t="shared" si="1"/>
        <v/>
      </c>
      <c r="P61" s="1067">
        <f t="shared" si="3"/>
        <v>0</v>
      </c>
      <c r="Q61" s="1067">
        <f t="shared" si="2"/>
        <v>0</v>
      </c>
    </row>
    <row r="62" hidden="1">
      <c r="A62" s="1065" t="s">
        <v>1275</v>
      </c>
      <c r="B62" s="1065" t="s">
        <v>4342</v>
      </c>
      <c r="C62" s="1065" t="s">
        <v>1276</v>
      </c>
      <c r="D62" s="1065" t="s">
        <v>62</v>
      </c>
      <c r="E62" s="1065" t="s">
        <v>16</v>
      </c>
      <c r="F62" s="1065" t="s">
        <v>228</v>
      </c>
      <c r="G62" s="1066">
        <v>1.0</v>
      </c>
      <c r="H62" s="1066">
        <v>1.0</v>
      </c>
      <c r="I62" s="1066">
        <v>0.0</v>
      </c>
      <c r="J62" s="1065"/>
      <c r="K62" s="1065"/>
      <c r="L62" s="1065"/>
      <c r="M62" s="1065"/>
      <c r="N62" s="1065"/>
      <c r="O62" s="1067" t="str">
        <f t="shared" si="1"/>
        <v/>
      </c>
      <c r="P62" s="1067">
        <f t="shared" si="3"/>
        <v>0</v>
      </c>
      <c r="Q62" s="1067">
        <f t="shared" si="2"/>
        <v>0</v>
      </c>
    </row>
    <row r="63" hidden="1">
      <c r="A63" s="1065" t="s">
        <v>1852</v>
      </c>
      <c r="B63" s="1065" t="s">
        <v>11057</v>
      </c>
      <c r="C63" s="1065" t="s">
        <v>1853</v>
      </c>
      <c r="D63" s="1065" t="s">
        <v>62</v>
      </c>
      <c r="E63" s="1065" t="s">
        <v>16</v>
      </c>
      <c r="F63" s="1065" t="s">
        <v>83</v>
      </c>
      <c r="G63" s="1066">
        <v>2.0</v>
      </c>
      <c r="H63" s="1066">
        <v>2.0</v>
      </c>
      <c r="I63" s="1066">
        <v>0.0</v>
      </c>
      <c r="J63" s="548" t="s">
        <v>1468</v>
      </c>
      <c r="K63" s="548"/>
      <c r="L63" s="548"/>
      <c r="M63" s="1065"/>
      <c r="N63" s="1065"/>
      <c r="O63" s="1067" t="str">
        <f t="shared" si="1"/>
        <v/>
      </c>
      <c r="P63" s="1067">
        <f t="shared" si="3"/>
        <v>0</v>
      </c>
      <c r="Q63" s="1067">
        <f t="shared" si="2"/>
        <v>0</v>
      </c>
    </row>
    <row r="64" hidden="1">
      <c r="A64" s="1065" t="s">
        <v>1854</v>
      </c>
      <c r="B64" s="1065" t="s">
        <v>6936</v>
      </c>
      <c r="C64" s="1065" t="s">
        <v>1855</v>
      </c>
      <c r="D64" s="1065" t="s">
        <v>62</v>
      </c>
      <c r="E64" s="1065" t="s">
        <v>16</v>
      </c>
      <c r="F64" s="1065" t="s">
        <v>83</v>
      </c>
      <c r="G64" s="1066">
        <v>2.0</v>
      </c>
      <c r="H64" s="1066">
        <v>2.0</v>
      </c>
      <c r="I64" s="1066">
        <v>0.0</v>
      </c>
      <c r="J64" s="548" t="s">
        <v>1468</v>
      </c>
      <c r="K64" s="548"/>
      <c r="L64" s="548"/>
      <c r="M64" s="1065"/>
      <c r="N64" s="1065"/>
      <c r="O64" s="1067" t="str">
        <f t="shared" si="1"/>
        <v/>
      </c>
      <c r="P64" s="1067">
        <f t="shared" si="3"/>
        <v>0</v>
      </c>
      <c r="Q64" s="1067">
        <f t="shared" si="2"/>
        <v>0</v>
      </c>
    </row>
    <row r="65" hidden="1">
      <c r="A65" s="1065" t="s">
        <v>1898</v>
      </c>
      <c r="B65" s="1065" t="s">
        <v>2756</v>
      </c>
      <c r="C65" s="1065" t="s">
        <v>1899</v>
      </c>
      <c r="D65" s="1065" t="s">
        <v>60</v>
      </c>
      <c r="E65" s="1065" t="s">
        <v>16</v>
      </c>
      <c r="F65" s="548" t="s">
        <v>1870</v>
      </c>
      <c r="G65" s="1066">
        <v>1.0</v>
      </c>
      <c r="H65" s="1066">
        <v>1.0</v>
      </c>
      <c r="I65" s="1066">
        <v>0.0</v>
      </c>
      <c r="J65" s="1065"/>
      <c r="K65" s="1065"/>
      <c r="L65" s="1065"/>
      <c r="M65" s="1065"/>
      <c r="N65" s="1065"/>
      <c r="O65" s="1067" t="str">
        <f t="shared" si="1"/>
        <v/>
      </c>
      <c r="P65" s="1067">
        <f t="shared" si="3"/>
        <v>0</v>
      </c>
      <c r="Q65" s="1067">
        <f t="shared" si="2"/>
        <v>0</v>
      </c>
    </row>
    <row r="66" hidden="1">
      <c r="A66" s="548" t="s">
        <v>1713</v>
      </c>
      <c r="B66" s="1065" t="s">
        <v>3494</v>
      </c>
      <c r="C66" s="1065" t="s">
        <v>1714</v>
      </c>
      <c r="D66" s="1065" t="s">
        <v>62</v>
      </c>
      <c r="E66" s="1065" t="s">
        <v>16</v>
      </c>
      <c r="F66" s="548" t="s">
        <v>109</v>
      </c>
      <c r="G66" s="1066">
        <v>2.0</v>
      </c>
      <c r="H66" s="1066">
        <v>2.0</v>
      </c>
      <c r="I66" s="1066">
        <v>0.0</v>
      </c>
      <c r="J66" s="548" t="s">
        <v>11058</v>
      </c>
      <c r="K66" s="548"/>
      <c r="L66" s="548"/>
      <c r="M66" s="1065"/>
      <c r="N66" s="1065"/>
      <c r="O66" s="1067" t="str">
        <f t="shared" si="1"/>
        <v/>
      </c>
      <c r="P66" s="1067">
        <f t="shared" si="3"/>
        <v>0</v>
      </c>
      <c r="Q66" s="1067">
        <f t="shared" si="2"/>
        <v>0</v>
      </c>
    </row>
    <row r="67" hidden="1">
      <c r="A67" s="1065" t="s">
        <v>1318</v>
      </c>
      <c r="B67" s="1065" t="s">
        <v>6569</v>
      </c>
      <c r="C67" s="1065" t="s">
        <v>1319</v>
      </c>
      <c r="D67" s="1065" t="s">
        <v>60</v>
      </c>
      <c r="E67" s="1065" t="s">
        <v>16</v>
      </c>
      <c r="F67" s="1065"/>
      <c r="G67" s="1066">
        <v>3.0</v>
      </c>
      <c r="H67" s="1066">
        <v>3.0</v>
      </c>
      <c r="I67" s="1066">
        <v>0.0</v>
      </c>
      <c r="J67" s="548" t="s">
        <v>11059</v>
      </c>
      <c r="K67" s="548"/>
      <c r="L67" s="548"/>
      <c r="M67" s="1065"/>
      <c r="N67" s="1065"/>
      <c r="O67" s="1067" t="str">
        <f t="shared" si="1"/>
        <v/>
      </c>
      <c r="P67" s="1067">
        <f t="shared" si="3"/>
        <v>0</v>
      </c>
      <c r="Q67" s="1067">
        <f t="shared" si="2"/>
        <v>0</v>
      </c>
    </row>
    <row r="68" hidden="1">
      <c r="A68" s="1065" t="s">
        <v>135</v>
      </c>
      <c r="B68" s="1065" t="s">
        <v>11060</v>
      </c>
      <c r="C68" s="1065" t="s">
        <v>136</v>
      </c>
      <c r="D68" s="1065" t="s">
        <v>60</v>
      </c>
      <c r="E68" s="1065" t="s">
        <v>1633</v>
      </c>
      <c r="F68" s="1065" t="s">
        <v>137</v>
      </c>
      <c r="G68" s="1066">
        <v>10.0</v>
      </c>
      <c r="H68" s="1066">
        <v>10.0</v>
      </c>
      <c r="I68" s="1066">
        <v>0.0</v>
      </c>
      <c r="J68" s="548" t="s">
        <v>11061</v>
      </c>
      <c r="K68" s="548"/>
      <c r="L68" s="548"/>
      <c r="M68" s="1065"/>
      <c r="N68" s="1065"/>
      <c r="O68" s="1067" t="str">
        <f t="shared" si="1"/>
        <v/>
      </c>
      <c r="P68" s="1067">
        <f t="shared" si="3"/>
        <v>0</v>
      </c>
      <c r="Q68" s="1067">
        <f t="shared" si="2"/>
        <v>0</v>
      </c>
    </row>
    <row r="69" hidden="1">
      <c r="A69" s="1065" t="s">
        <v>1894</v>
      </c>
      <c r="B69" s="1065" t="s">
        <v>5134</v>
      </c>
      <c r="C69" s="1065" t="s">
        <v>148</v>
      </c>
      <c r="D69" s="1065" t="s">
        <v>60</v>
      </c>
      <c r="E69" s="1065" t="s">
        <v>1633</v>
      </c>
      <c r="F69" s="1065" t="s">
        <v>1779</v>
      </c>
      <c r="G69" s="1066">
        <v>5.0</v>
      </c>
      <c r="H69" s="1066">
        <v>5.0</v>
      </c>
      <c r="I69" s="1066">
        <v>0.0</v>
      </c>
      <c r="J69" s="548" t="s">
        <v>11061</v>
      </c>
      <c r="K69" s="548"/>
      <c r="L69" s="548"/>
      <c r="M69" s="1065"/>
      <c r="N69" s="1065"/>
      <c r="O69" s="1067" t="str">
        <f t="shared" si="1"/>
        <v/>
      </c>
      <c r="P69" s="1067">
        <f t="shared" si="3"/>
        <v>0</v>
      </c>
      <c r="Q69" s="1067">
        <f t="shared" si="2"/>
        <v>0</v>
      </c>
    </row>
    <row r="70" hidden="1">
      <c r="A70" s="1065" t="s">
        <v>214</v>
      </c>
      <c r="B70" s="1065" t="s">
        <v>2978</v>
      </c>
      <c r="C70" s="1065" t="s">
        <v>215</v>
      </c>
      <c r="D70" s="1065" t="s">
        <v>60</v>
      </c>
      <c r="E70" s="1065" t="s">
        <v>1633</v>
      </c>
      <c r="F70" s="1065" t="s">
        <v>137</v>
      </c>
      <c r="G70" s="1066">
        <v>1.0</v>
      </c>
      <c r="H70" s="1066">
        <v>1.0</v>
      </c>
      <c r="I70" s="1066">
        <v>0.0</v>
      </c>
      <c r="J70" s="1065"/>
      <c r="K70" s="1065"/>
      <c r="L70" s="1065"/>
      <c r="M70" s="1065"/>
      <c r="N70" s="1065"/>
      <c r="O70" s="1067" t="str">
        <f t="shared" si="1"/>
        <v/>
      </c>
      <c r="P70" s="1067">
        <f t="shared" si="3"/>
        <v>0</v>
      </c>
      <c r="Q70" s="1067">
        <f t="shared" si="2"/>
        <v>0</v>
      </c>
    </row>
    <row r="71" hidden="1">
      <c r="A71" s="1065" t="s">
        <v>223</v>
      </c>
      <c r="B71" s="1065" t="s">
        <v>11062</v>
      </c>
      <c r="C71" s="1065" t="s">
        <v>1900</v>
      </c>
      <c r="D71" s="1065" t="s">
        <v>60</v>
      </c>
      <c r="E71" s="1065" t="s">
        <v>1633</v>
      </c>
      <c r="F71" s="1065" t="s">
        <v>109</v>
      </c>
      <c r="G71" s="1066">
        <v>5.0</v>
      </c>
      <c r="H71" s="1066">
        <v>5.0</v>
      </c>
      <c r="I71" s="1066">
        <v>0.0</v>
      </c>
      <c r="J71" s="548" t="s">
        <v>11063</v>
      </c>
      <c r="K71" s="548"/>
      <c r="L71" s="548"/>
      <c r="M71" s="1065"/>
      <c r="N71" s="1065"/>
      <c r="O71" s="1067" t="str">
        <f t="shared" si="1"/>
        <v/>
      </c>
      <c r="P71" s="1067">
        <f t="shared" si="3"/>
        <v>0</v>
      </c>
      <c r="Q71" s="1067">
        <f t="shared" si="2"/>
        <v>0</v>
      </c>
    </row>
    <row r="72" hidden="1">
      <c r="A72" s="1065" t="s">
        <v>267</v>
      </c>
      <c r="B72" s="1065" t="s">
        <v>11064</v>
      </c>
      <c r="C72" s="1065" t="s">
        <v>268</v>
      </c>
      <c r="D72" s="1065" t="s">
        <v>60</v>
      </c>
      <c r="E72" s="1065" t="s">
        <v>1633</v>
      </c>
      <c r="F72" s="1065" t="s">
        <v>137</v>
      </c>
      <c r="G72" s="1066">
        <v>5.0</v>
      </c>
      <c r="H72" s="1066">
        <v>5.0</v>
      </c>
      <c r="I72" s="1066">
        <v>0.0</v>
      </c>
      <c r="J72" s="548" t="s">
        <v>11063</v>
      </c>
      <c r="K72" s="548"/>
      <c r="L72" s="548"/>
      <c r="M72" s="1065"/>
      <c r="N72" s="1065"/>
      <c r="O72" s="1067" t="str">
        <f t="shared" si="1"/>
        <v/>
      </c>
      <c r="P72" s="1067">
        <f t="shared" si="3"/>
        <v>0</v>
      </c>
      <c r="Q72" s="1067">
        <f t="shared" si="2"/>
        <v>0</v>
      </c>
    </row>
    <row r="73" hidden="1">
      <c r="A73" s="1065" t="s">
        <v>281</v>
      </c>
      <c r="B73" s="1065" t="s">
        <v>2869</v>
      </c>
      <c r="C73" s="1065" t="s">
        <v>282</v>
      </c>
      <c r="D73" s="1065" t="s">
        <v>60</v>
      </c>
      <c r="E73" s="1065" t="s">
        <v>1633</v>
      </c>
      <c r="F73" s="1065" t="s">
        <v>109</v>
      </c>
      <c r="G73" s="1066">
        <v>48.0</v>
      </c>
      <c r="H73" s="1066">
        <v>48.0</v>
      </c>
      <c r="I73" s="1066">
        <v>0.0</v>
      </c>
      <c r="J73" s="548" t="s">
        <v>11065</v>
      </c>
      <c r="K73" s="548"/>
      <c r="L73" s="548"/>
      <c r="M73" s="1065"/>
      <c r="N73" s="548"/>
      <c r="O73" s="1067" t="str">
        <f t="shared" si="1"/>
        <v/>
      </c>
      <c r="P73" s="1067">
        <f t="shared" si="3"/>
        <v>0</v>
      </c>
      <c r="Q73" s="1067">
        <f t="shared" si="2"/>
        <v>0</v>
      </c>
    </row>
    <row r="74" hidden="1">
      <c r="A74" s="1065" t="s">
        <v>1377</v>
      </c>
      <c r="B74" s="1065" t="s">
        <v>11066</v>
      </c>
      <c r="C74" s="1065" t="s">
        <v>284</v>
      </c>
      <c r="D74" s="1065" t="s">
        <v>60</v>
      </c>
      <c r="E74" s="1065" t="s">
        <v>1633</v>
      </c>
      <c r="F74" s="1065" t="s">
        <v>137</v>
      </c>
      <c r="G74" s="1066">
        <v>1.0</v>
      </c>
      <c r="H74" s="1066">
        <v>1.0</v>
      </c>
      <c r="I74" s="1066">
        <v>0.0</v>
      </c>
      <c r="J74" s="1065"/>
      <c r="K74" s="1065"/>
      <c r="L74" s="1065"/>
      <c r="M74" s="1065"/>
      <c r="N74" s="1065"/>
      <c r="O74" s="1067" t="str">
        <f t="shared" si="1"/>
        <v/>
      </c>
      <c r="P74" s="1067">
        <f t="shared" si="3"/>
        <v>0</v>
      </c>
      <c r="Q74" s="1067">
        <f t="shared" si="2"/>
        <v>0</v>
      </c>
    </row>
    <row r="75" hidden="1">
      <c r="A75" s="1065" t="s">
        <v>1905</v>
      </c>
      <c r="B75" s="1065" t="s">
        <v>5114</v>
      </c>
      <c r="C75" s="1065" t="s">
        <v>1379</v>
      </c>
      <c r="D75" s="1065" t="s">
        <v>60</v>
      </c>
      <c r="E75" s="1065" t="s">
        <v>1633</v>
      </c>
      <c r="F75" s="1065" t="s">
        <v>137</v>
      </c>
      <c r="G75" s="1066">
        <v>5.0</v>
      </c>
      <c r="H75" s="1066">
        <v>5.0</v>
      </c>
      <c r="I75" s="1066">
        <v>0.0</v>
      </c>
      <c r="J75" s="548" t="s">
        <v>11067</v>
      </c>
      <c r="K75" s="548"/>
      <c r="L75" s="548"/>
      <c r="M75" s="1065"/>
      <c r="N75" s="1065"/>
      <c r="O75" s="1067" t="str">
        <f t="shared" si="1"/>
        <v/>
      </c>
      <c r="P75" s="1067">
        <f t="shared" si="3"/>
        <v>0</v>
      </c>
      <c r="Q75" s="1067">
        <f t="shared" si="2"/>
        <v>0</v>
      </c>
    </row>
    <row r="76" hidden="1">
      <c r="A76" s="1065" t="s">
        <v>1918</v>
      </c>
      <c r="B76" s="1065" t="s">
        <v>2893</v>
      </c>
      <c r="C76" s="1065" t="s">
        <v>1381</v>
      </c>
      <c r="D76" s="1065" t="s">
        <v>60</v>
      </c>
      <c r="E76" s="1065" t="s">
        <v>1633</v>
      </c>
      <c r="F76" s="1065" t="s">
        <v>109</v>
      </c>
      <c r="G76" s="1066">
        <v>5.0</v>
      </c>
      <c r="H76" s="1066">
        <v>5.0</v>
      </c>
      <c r="I76" s="1066">
        <v>0.0</v>
      </c>
      <c r="J76" s="548" t="s">
        <v>11068</v>
      </c>
      <c r="K76" s="548"/>
      <c r="L76" s="548"/>
      <c r="M76" s="1065"/>
      <c r="N76" s="1065"/>
      <c r="O76" s="1067" t="str">
        <f t="shared" si="1"/>
        <v/>
      </c>
      <c r="P76" s="1067">
        <f t="shared" si="3"/>
        <v>0</v>
      </c>
      <c r="Q76" s="1067">
        <f t="shared" si="2"/>
        <v>0</v>
      </c>
    </row>
    <row r="77" hidden="1">
      <c r="A77" s="1065" t="s">
        <v>305</v>
      </c>
      <c r="B77" s="1065" t="s">
        <v>3348</v>
      </c>
      <c r="C77" s="1065" t="s">
        <v>306</v>
      </c>
      <c r="D77" s="1065" t="s">
        <v>60</v>
      </c>
      <c r="E77" s="1065" t="s">
        <v>1633</v>
      </c>
      <c r="F77" s="1065" t="s">
        <v>137</v>
      </c>
      <c r="G77" s="1066">
        <v>10.0</v>
      </c>
      <c r="H77" s="1066">
        <v>10.0</v>
      </c>
      <c r="I77" s="1066">
        <v>0.0</v>
      </c>
      <c r="J77" s="548" t="s">
        <v>1376</v>
      </c>
      <c r="K77" s="548"/>
      <c r="L77" s="548"/>
      <c r="M77" s="1065"/>
      <c r="N77" s="1065"/>
      <c r="O77" s="1067" t="str">
        <f t="shared" si="1"/>
        <v/>
      </c>
      <c r="P77" s="1067">
        <f t="shared" si="3"/>
        <v>0</v>
      </c>
      <c r="Q77" s="1067">
        <f t="shared" si="2"/>
        <v>0</v>
      </c>
    </row>
    <row r="78" hidden="1">
      <c r="A78" s="1065" t="s">
        <v>1386</v>
      </c>
      <c r="B78" s="1065" t="s">
        <v>11069</v>
      </c>
      <c r="C78" s="1065" t="s">
        <v>326</v>
      </c>
      <c r="D78" s="1065" t="s">
        <v>60</v>
      </c>
      <c r="E78" s="1065" t="s">
        <v>1633</v>
      </c>
      <c r="F78" s="1065" t="s">
        <v>137</v>
      </c>
      <c r="G78" s="1066">
        <v>5.0</v>
      </c>
      <c r="H78" s="1066">
        <v>5.0</v>
      </c>
      <c r="I78" s="1066">
        <v>0.0</v>
      </c>
      <c r="J78" s="548" t="s">
        <v>1639</v>
      </c>
      <c r="K78" s="548"/>
      <c r="L78" s="548"/>
      <c r="M78" s="1065"/>
      <c r="N78" s="1065"/>
      <c r="O78" s="1067" t="str">
        <f t="shared" si="1"/>
        <v/>
      </c>
      <c r="P78" s="1067">
        <f t="shared" si="3"/>
        <v>0</v>
      </c>
      <c r="Q78" s="1067">
        <f t="shared" si="2"/>
        <v>0</v>
      </c>
    </row>
    <row r="79" hidden="1">
      <c r="A79" s="1065" t="s">
        <v>1396</v>
      </c>
      <c r="B79" s="1065" t="s">
        <v>11070</v>
      </c>
      <c r="C79" s="1065" t="s">
        <v>1397</v>
      </c>
      <c r="D79" s="1065" t="s">
        <v>60</v>
      </c>
      <c r="E79" s="1065" t="s">
        <v>1633</v>
      </c>
      <c r="F79" s="1065"/>
      <c r="G79" s="1066">
        <v>10.0</v>
      </c>
      <c r="H79" s="1066">
        <v>10.0</v>
      </c>
      <c r="I79" s="1066">
        <v>0.0</v>
      </c>
      <c r="J79" s="548" t="s">
        <v>430</v>
      </c>
      <c r="K79" s="548"/>
      <c r="L79" s="548"/>
      <c r="M79" s="1065"/>
      <c r="N79" s="548" t="s">
        <v>1908</v>
      </c>
      <c r="O79" s="1067" t="str">
        <f t="shared" si="1"/>
        <v/>
      </c>
      <c r="P79" s="1067">
        <f t="shared" si="3"/>
        <v>0</v>
      </c>
      <c r="Q79" s="1067">
        <f t="shared" si="2"/>
        <v>0</v>
      </c>
    </row>
    <row r="80" hidden="1">
      <c r="A80" s="1065" t="s">
        <v>391</v>
      </c>
      <c r="B80" s="1065" t="s">
        <v>11071</v>
      </c>
      <c r="C80" s="1065" t="s">
        <v>392</v>
      </c>
      <c r="D80" s="1065" t="s">
        <v>60</v>
      </c>
      <c r="E80" s="1065" t="s">
        <v>1633</v>
      </c>
      <c r="F80" s="1065" t="s">
        <v>1891</v>
      </c>
      <c r="G80" s="1066">
        <v>5.0</v>
      </c>
      <c r="H80" s="1066">
        <v>5.0</v>
      </c>
      <c r="I80" s="1066">
        <v>0.0</v>
      </c>
      <c r="J80" s="548" t="s">
        <v>11072</v>
      </c>
      <c r="K80" s="548"/>
      <c r="L80" s="548"/>
      <c r="M80" s="1065"/>
      <c r="N80" s="1065"/>
      <c r="O80" s="1067" t="str">
        <f t="shared" si="1"/>
        <v/>
      </c>
      <c r="P80" s="1067">
        <f t="shared" si="3"/>
        <v>0</v>
      </c>
      <c r="Q80" s="1067">
        <f t="shared" si="2"/>
        <v>0</v>
      </c>
    </row>
    <row r="81" hidden="1">
      <c r="A81" s="1065" t="s">
        <v>470</v>
      </c>
      <c r="B81" s="1065" t="s">
        <v>3483</v>
      </c>
      <c r="C81" s="1065" t="s">
        <v>471</v>
      </c>
      <c r="D81" s="1065" t="s">
        <v>60</v>
      </c>
      <c r="E81" s="1065" t="s">
        <v>1633</v>
      </c>
      <c r="F81" s="1065" t="s">
        <v>1634</v>
      </c>
      <c r="G81" s="1066">
        <v>10.0</v>
      </c>
      <c r="H81" s="1066">
        <v>10.0</v>
      </c>
      <c r="I81" s="1066">
        <v>0.0</v>
      </c>
      <c r="J81" s="548" t="s">
        <v>1342</v>
      </c>
      <c r="K81" s="548"/>
      <c r="L81" s="548"/>
      <c r="M81" s="1065"/>
      <c r="N81" s="548" t="s">
        <v>1644</v>
      </c>
      <c r="O81" s="1067" t="str">
        <f t="shared" si="1"/>
        <v/>
      </c>
      <c r="P81" s="1067">
        <f t="shared" si="3"/>
        <v>0</v>
      </c>
      <c r="Q81" s="1067">
        <f t="shared" si="2"/>
        <v>0</v>
      </c>
    </row>
    <row r="82" hidden="1">
      <c r="A82" s="1065" t="s">
        <v>474</v>
      </c>
      <c r="B82" s="1065" t="s">
        <v>3643</v>
      </c>
      <c r="C82" s="1065" t="s">
        <v>475</v>
      </c>
      <c r="D82" s="1065" t="s">
        <v>60</v>
      </c>
      <c r="E82" s="1065" t="s">
        <v>1633</v>
      </c>
      <c r="F82" s="1065" t="s">
        <v>109</v>
      </c>
      <c r="G82" s="1066">
        <v>10.0</v>
      </c>
      <c r="H82" s="1066">
        <v>10.0</v>
      </c>
      <c r="I82" s="1066">
        <v>0.0</v>
      </c>
      <c r="J82" s="548" t="s">
        <v>1695</v>
      </c>
      <c r="K82" s="548">
        <v>1.0</v>
      </c>
      <c r="L82" s="548"/>
      <c r="M82" s="548">
        <v>1.0</v>
      </c>
      <c r="N82" s="548" t="s">
        <v>1744</v>
      </c>
      <c r="O82" s="1067" t="str">
        <f t="shared" si="1"/>
        <v/>
      </c>
      <c r="P82" s="1067">
        <f t="shared" si="3"/>
        <v>0</v>
      </c>
      <c r="Q82" s="1067">
        <f t="shared" si="2"/>
        <v>0</v>
      </c>
    </row>
    <row r="83" hidden="1">
      <c r="A83" s="1065" t="s">
        <v>488</v>
      </c>
      <c r="B83" s="1065" t="s">
        <v>5539</v>
      </c>
      <c r="C83" s="1065" t="s">
        <v>489</v>
      </c>
      <c r="D83" s="1065" t="s">
        <v>60</v>
      </c>
      <c r="E83" s="1065" t="s">
        <v>1633</v>
      </c>
      <c r="F83" s="1065" t="s">
        <v>137</v>
      </c>
      <c r="G83" s="1066">
        <v>10.0</v>
      </c>
      <c r="H83" s="1066">
        <v>10.0</v>
      </c>
      <c r="I83" s="1066">
        <v>0.0</v>
      </c>
      <c r="J83" s="548" t="s">
        <v>698</v>
      </c>
      <c r="K83" s="548">
        <v>1.0</v>
      </c>
      <c r="L83" s="548"/>
      <c r="M83" s="548">
        <v>1.0</v>
      </c>
      <c r="N83" s="1065"/>
      <c r="O83" s="1067" t="str">
        <f t="shared" si="1"/>
        <v/>
      </c>
      <c r="P83" s="1067">
        <f t="shared" si="3"/>
        <v>0</v>
      </c>
      <c r="Q83" s="1067">
        <f t="shared" si="2"/>
        <v>0</v>
      </c>
    </row>
    <row r="84" hidden="1">
      <c r="A84" s="1065" t="s">
        <v>1919</v>
      </c>
      <c r="B84" s="1065" t="s">
        <v>11073</v>
      </c>
      <c r="C84" s="1065" t="s">
        <v>1441</v>
      </c>
      <c r="D84" s="1065" t="s">
        <v>60</v>
      </c>
      <c r="E84" s="1065" t="s">
        <v>1633</v>
      </c>
      <c r="F84" s="1065" t="s">
        <v>109</v>
      </c>
      <c r="G84" s="1066">
        <v>1.0</v>
      </c>
      <c r="H84" s="1066">
        <v>1.0</v>
      </c>
      <c r="I84" s="1066">
        <v>0.0</v>
      </c>
      <c r="J84" s="548" t="s">
        <v>11074</v>
      </c>
      <c r="K84" s="548"/>
      <c r="L84" s="548"/>
      <c r="M84" s="1065"/>
      <c r="N84" s="1065"/>
      <c r="O84" s="1067" t="str">
        <f t="shared" si="1"/>
        <v/>
      </c>
      <c r="P84" s="1067">
        <f t="shared" si="3"/>
        <v>0</v>
      </c>
      <c r="Q84" s="1067">
        <f t="shared" si="2"/>
        <v>0</v>
      </c>
    </row>
    <row r="85" hidden="1">
      <c r="A85" s="1065" t="s">
        <v>1921</v>
      </c>
      <c r="B85" s="1065" t="s">
        <v>11075</v>
      </c>
      <c r="C85" s="1065" t="s">
        <v>1922</v>
      </c>
      <c r="D85" s="1065" t="s">
        <v>60</v>
      </c>
      <c r="E85" s="1065" t="s">
        <v>1633</v>
      </c>
      <c r="F85" s="1065" t="s">
        <v>109</v>
      </c>
      <c r="G85" s="1066">
        <v>1.0</v>
      </c>
      <c r="H85" s="1066">
        <v>1.0</v>
      </c>
      <c r="I85" s="1066">
        <v>0.0</v>
      </c>
      <c r="J85" s="1065"/>
      <c r="K85" s="1065"/>
      <c r="L85" s="1065"/>
      <c r="M85" s="1065"/>
      <c r="N85" s="1065"/>
      <c r="O85" s="1067" t="str">
        <f t="shared" si="1"/>
        <v/>
      </c>
      <c r="P85" s="1067">
        <f t="shared" si="3"/>
        <v>0</v>
      </c>
      <c r="Q85" s="1067">
        <f t="shared" si="2"/>
        <v>0</v>
      </c>
    </row>
    <row r="86" hidden="1">
      <c r="A86" s="1065" t="s">
        <v>1927</v>
      </c>
      <c r="B86" s="1065" t="s">
        <v>11076</v>
      </c>
      <c r="C86" s="1065" t="s">
        <v>1928</v>
      </c>
      <c r="D86" s="1065" t="s">
        <v>60</v>
      </c>
      <c r="E86" s="1065" t="s">
        <v>1633</v>
      </c>
      <c r="F86" s="1065" t="s">
        <v>1912</v>
      </c>
      <c r="G86" s="1066">
        <v>5.0</v>
      </c>
      <c r="H86" s="1066">
        <v>5.0</v>
      </c>
      <c r="I86" s="1066">
        <v>0.0</v>
      </c>
      <c r="J86" s="548" t="s">
        <v>11077</v>
      </c>
      <c r="K86" s="548"/>
      <c r="L86" s="548"/>
      <c r="M86" s="1065"/>
      <c r="N86" s="1065"/>
      <c r="O86" s="1067" t="str">
        <f t="shared" si="1"/>
        <v/>
      </c>
      <c r="P86" s="1067">
        <f t="shared" si="3"/>
        <v>0</v>
      </c>
      <c r="Q86" s="1067">
        <f t="shared" si="2"/>
        <v>0</v>
      </c>
    </row>
    <row r="87" hidden="1">
      <c r="A87" s="1065" t="s">
        <v>1929</v>
      </c>
      <c r="B87" s="1065" t="s">
        <v>11078</v>
      </c>
      <c r="C87" s="1065" t="s">
        <v>1930</v>
      </c>
      <c r="D87" s="1065" t="s">
        <v>60</v>
      </c>
      <c r="E87" s="1065" t="s">
        <v>1633</v>
      </c>
      <c r="F87" s="1065"/>
      <c r="G87" s="1066">
        <v>5.0</v>
      </c>
      <c r="H87" s="1066">
        <v>5.0</v>
      </c>
      <c r="I87" s="1066">
        <v>0.0</v>
      </c>
      <c r="J87" s="548" t="s">
        <v>11077</v>
      </c>
      <c r="K87" s="548"/>
      <c r="L87" s="548"/>
      <c r="M87" s="1065"/>
      <c r="N87" s="548" t="s">
        <v>1931</v>
      </c>
      <c r="O87" s="1067" t="str">
        <f t="shared" si="1"/>
        <v/>
      </c>
      <c r="P87" s="1067">
        <f t="shared" si="3"/>
        <v>0</v>
      </c>
      <c r="Q87" s="1067">
        <f t="shared" si="2"/>
        <v>0</v>
      </c>
    </row>
    <row r="88" hidden="1">
      <c r="A88" s="1065" t="s">
        <v>592</v>
      </c>
      <c r="B88" s="1065" t="s">
        <v>11079</v>
      </c>
      <c r="C88" s="1065" t="s">
        <v>593</v>
      </c>
      <c r="D88" s="1065" t="s">
        <v>60</v>
      </c>
      <c r="E88" s="1065" t="s">
        <v>1633</v>
      </c>
      <c r="F88" s="1065" t="s">
        <v>1634</v>
      </c>
      <c r="G88" s="1066">
        <v>5.0</v>
      </c>
      <c r="H88" s="1066">
        <v>5.0</v>
      </c>
      <c r="I88" s="1066">
        <v>0.0</v>
      </c>
      <c r="J88" s="548" t="s">
        <v>11080</v>
      </c>
      <c r="K88" s="548"/>
      <c r="L88" s="548"/>
      <c r="M88" s="1065"/>
      <c r="N88" s="1065"/>
      <c r="O88" s="1067" t="str">
        <f t="shared" si="1"/>
        <v/>
      </c>
      <c r="P88" s="1067">
        <f t="shared" si="3"/>
        <v>0</v>
      </c>
      <c r="Q88" s="1067">
        <f t="shared" si="2"/>
        <v>0</v>
      </c>
    </row>
    <row r="89" hidden="1">
      <c r="A89" s="1065" t="s">
        <v>1932</v>
      </c>
      <c r="B89" s="1065" t="s">
        <v>11081</v>
      </c>
      <c r="C89" s="1065" t="s">
        <v>616</v>
      </c>
      <c r="D89" s="1065" t="s">
        <v>60</v>
      </c>
      <c r="E89" s="1065" t="s">
        <v>1633</v>
      </c>
      <c r="F89" s="1065" t="s">
        <v>1358</v>
      </c>
      <c r="G89" s="1066">
        <v>5.0</v>
      </c>
      <c r="H89" s="1066">
        <v>5.0</v>
      </c>
      <c r="I89" s="1066">
        <v>0.0</v>
      </c>
      <c r="J89" s="548" t="s">
        <v>11080</v>
      </c>
      <c r="K89" s="548"/>
      <c r="L89" s="548"/>
      <c r="M89" s="1065"/>
      <c r="N89" s="548" t="s">
        <v>1933</v>
      </c>
      <c r="O89" s="1067" t="str">
        <f t="shared" si="1"/>
        <v/>
      </c>
      <c r="P89" s="1067">
        <f t="shared" si="3"/>
        <v>0</v>
      </c>
      <c r="Q89" s="1067">
        <f t="shared" si="2"/>
        <v>0</v>
      </c>
    </row>
    <row r="90" hidden="1">
      <c r="A90" s="1065" t="s">
        <v>620</v>
      </c>
      <c r="B90" s="1065" t="s">
        <v>11082</v>
      </c>
      <c r="C90" s="1065" t="s">
        <v>621</v>
      </c>
      <c r="D90" s="1065" t="s">
        <v>60</v>
      </c>
      <c r="E90" s="1065" t="s">
        <v>1633</v>
      </c>
      <c r="F90" s="1065" t="s">
        <v>137</v>
      </c>
      <c r="G90" s="1066">
        <v>3.0</v>
      </c>
      <c r="H90" s="1066">
        <v>3.0</v>
      </c>
      <c r="I90" s="1066">
        <v>0.0</v>
      </c>
      <c r="J90" s="548" t="s">
        <v>11080</v>
      </c>
      <c r="K90" s="548"/>
      <c r="L90" s="548"/>
      <c r="M90" s="1065"/>
      <c r="N90" s="1065"/>
      <c r="O90" s="1067" t="str">
        <f t="shared" si="1"/>
        <v/>
      </c>
      <c r="P90" s="1067">
        <f t="shared" si="3"/>
        <v>0</v>
      </c>
      <c r="Q90" s="1067">
        <f t="shared" si="2"/>
        <v>0</v>
      </c>
    </row>
    <row r="91" hidden="1">
      <c r="A91" s="1065" t="s">
        <v>1503</v>
      </c>
      <c r="B91" s="1065" t="s">
        <v>9159</v>
      </c>
      <c r="C91" s="1065" t="s">
        <v>1504</v>
      </c>
      <c r="D91" s="1065" t="s">
        <v>60</v>
      </c>
      <c r="E91" s="1065" t="s">
        <v>1633</v>
      </c>
      <c r="F91" s="1065" t="s">
        <v>1634</v>
      </c>
      <c r="G91" s="1066">
        <v>3.0</v>
      </c>
      <c r="H91" s="1066">
        <v>3.0</v>
      </c>
      <c r="I91" s="1066">
        <v>0.0</v>
      </c>
      <c r="J91" s="548" t="s">
        <v>11080</v>
      </c>
      <c r="K91" s="548"/>
      <c r="L91" s="548"/>
      <c r="M91" s="1065"/>
      <c r="N91" s="1065"/>
      <c r="O91" s="1067" t="str">
        <f t="shared" si="1"/>
        <v/>
      </c>
      <c r="P91" s="1067">
        <f t="shared" si="3"/>
        <v>0</v>
      </c>
      <c r="Q91" s="1067">
        <f t="shared" si="2"/>
        <v>0</v>
      </c>
    </row>
    <row r="92" hidden="1">
      <c r="A92" s="1065" t="s">
        <v>696</v>
      </c>
      <c r="B92" s="1065" t="s">
        <v>3996</v>
      </c>
      <c r="C92" s="1065" t="s">
        <v>697</v>
      </c>
      <c r="D92" s="1065" t="s">
        <v>60</v>
      </c>
      <c r="E92" s="1065" t="s">
        <v>1633</v>
      </c>
      <c r="F92" s="1065" t="s">
        <v>137</v>
      </c>
      <c r="G92" s="1066">
        <v>5.0</v>
      </c>
      <c r="H92" s="1066">
        <v>5.0</v>
      </c>
      <c r="I92" s="1066">
        <v>0.0</v>
      </c>
      <c r="J92" s="548" t="s">
        <v>11083</v>
      </c>
      <c r="K92" s="548"/>
      <c r="L92" s="548"/>
      <c r="M92" s="1065"/>
      <c r="N92" s="1065"/>
      <c r="O92" s="1067" t="str">
        <f t="shared" si="1"/>
        <v/>
      </c>
      <c r="P92" s="1067">
        <f t="shared" si="3"/>
        <v>0</v>
      </c>
      <c r="Q92" s="1067">
        <f t="shared" si="2"/>
        <v>0</v>
      </c>
    </row>
    <row r="93" hidden="1">
      <c r="A93" s="1065" t="s">
        <v>1945</v>
      </c>
      <c r="B93" s="1065" t="s">
        <v>11084</v>
      </c>
      <c r="C93" s="1065" t="s">
        <v>11085</v>
      </c>
      <c r="D93" s="1065" t="s">
        <v>60</v>
      </c>
      <c r="E93" s="1065" t="s">
        <v>1633</v>
      </c>
      <c r="F93" s="1065"/>
      <c r="G93" s="1066">
        <v>5.0</v>
      </c>
      <c r="H93" s="1066">
        <v>5.0</v>
      </c>
      <c r="I93" s="1066">
        <v>0.0</v>
      </c>
      <c r="J93" s="548" t="s">
        <v>11086</v>
      </c>
      <c r="K93" s="548"/>
      <c r="L93" s="548"/>
      <c r="M93" s="1065"/>
      <c r="N93" s="548" t="s">
        <v>1947</v>
      </c>
      <c r="O93" s="1067" t="str">
        <f t="shared" si="1"/>
        <v/>
      </c>
      <c r="P93" s="1067">
        <f t="shared" si="3"/>
        <v>0</v>
      </c>
      <c r="Q93" s="1067">
        <f t="shared" si="2"/>
        <v>0</v>
      </c>
    </row>
    <row r="94" hidden="1">
      <c r="A94" s="548" t="s">
        <v>1948</v>
      </c>
      <c r="B94" s="1065" t="s">
        <v>11087</v>
      </c>
      <c r="C94" s="548" t="s">
        <v>1949</v>
      </c>
      <c r="D94" s="1065" t="s">
        <v>60</v>
      </c>
      <c r="E94" s="1065" t="s">
        <v>1633</v>
      </c>
      <c r="F94" s="1065" t="s">
        <v>1941</v>
      </c>
      <c r="G94" s="1066">
        <v>3.0</v>
      </c>
      <c r="H94" s="1066">
        <v>3.0</v>
      </c>
      <c r="I94" s="1066">
        <v>0.0</v>
      </c>
      <c r="J94" s="548" t="s">
        <v>11086</v>
      </c>
      <c r="K94" s="548"/>
      <c r="L94" s="548"/>
      <c r="M94" s="1065"/>
      <c r="N94" s="1065"/>
      <c r="O94" s="1067" t="str">
        <f t="shared" si="1"/>
        <v/>
      </c>
      <c r="P94" s="1067">
        <f t="shared" si="3"/>
        <v>0</v>
      </c>
      <c r="Q94" s="1067">
        <f t="shared" si="2"/>
        <v>0</v>
      </c>
    </row>
    <row r="95" hidden="1">
      <c r="A95" s="1065" t="s">
        <v>1960</v>
      </c>
      <c r="B95" s="1065" t="s">
        <v>11088</v>
      </c>
      <c r="C95" s="1065" t="s">
        <v>1961</v>
      </c>
      <c r="D95" s="1065" t="s">
        <v>60</v>
      </c>
      <c r="E95" s="1065" t="s">
        <v>1633</v>
      </c>
      <c r="F95" s="1065" t="s">
        <v>1938</v>
      </c>
      <c r="G95" s="1066">
        <v>5.0</v>
      </c>
      <c r="H95" s="1066">
        <v>5.0</v>
      </c>
      <c r="I95" s="1066">
        <v>0.0</v>
      </c>
      <c r="J95" s="548" t="s">
        <v>11089</v>
      </c>
      <c r="K95" s="548"/>
      <c r="L95" s="548"/>
      <c r="M95" s="1065"/>
      <c r="N95" s="1065"/>
      <c r="O95" s="1067" t="str">
        <f t="shared" si="1"/>
        <v/>
      </c>
      <c r="P95" s="1067">
        <f t="shared" si="3"/>
        <v>0</v>
      </c>
      <c r="Q95" s="1067">
        <f t="shared" si="2"/>
        <v>0</v>
      </c>
    </row>
    <row r="96" hidden="1">
      <c r="A96" s="1065" t="s">
        <v>847</v>
      </c>
      <c r="B96" s="1065" t="s">
        <v>10626</v>
      </c>
      <c r="C96" s="1065" t="s">
        <v>848</v>
      </c>
      <c r="D96" s="1065" t="s">
        <v>60</v>
      </c>
      <c r="E96" s="1065" t="s">
        <v>1633</v>
      </c>
      <c r="F96" s="1065" t="s">
        <v>1891</v>
      </c>
      <c r="G96" s="1066">
        <v>3.0</v>
      </c>
      <c r="H96" s="1066">
        <v>3.0</v>
      </c>
      <c r="I96" s="1066">
        <v>0.0</v>
      </c>
      <c r="J96" s="548" t="s">
        <v>11089</v>
      </c>
      <c r="K96" s="548"/>
      <c r="L96" s="548"/>
      <c r="M96" s="1065"/>
      <c r="N96" s="1065"/>
      <c r="O96" s="1067" t="str">
        <f t="shared" si="1"/>
        <v/>
      </c>
      <c r="P96" s="1067">
        <f t="shared" si="3"/>
        <v>0</v>
      </c>
      <c r="Q96" s="1067">
        <f t="shared" si="2"/>
        <v>0</v>
      </c>
    </row>
    <row r="97" hidden="1">
      <c r="A97" s="1065" t="s">
        <v>876</v>
      </c>
      <c r="B97" s="1065" t="s">
        <v>6494</v>
      </c>
      <c r="C97" s="1065" t="s">
        <v>877</v>
      </c>
      <c r="D97" s="1065" t="s">
        <v>60</v>
      </c>
      <c r="E97" s="1065" t="s">
        <v>1633</v>
      </c>
      <c r="F97" s="1065" t="s">
        <v>109</v>
      </c>
      <c r="G97" s="1066">
        <v>5.0</v>
      </c>
      <c r="H97" s="1066">
        <v>5.0</v>
      </c>
      <c r="I97" s="1066">
        <v>0.0</v>
      </c>
      <c r="J97" s="548" t="s">
        <v>11089</v>
      </c>
      <c r="K97" s="548"/>
      <c r="L97" s="548"/>
      <c r="M97" s="1065"/>
      <c r="N97" s="1065"/>
      <c r="O97" s="1067" t="str">
        <f t="shared" si="1"/>
        <v/>
      </c>
      <c r="P97" s="1067">
        <f t="shared" si="3"/>
        <v>0</v>
      </c>
      <c r="Q97" s="1067">
        <f t="shared" si="2"/>
        <v>0</v>
      </c>
    </row>
    <row r="98" hidden="1">
      <c r="A98" s="1065" t="s">
        <v>888</v>
      </c>
      <c r="B98" s="1065" t="s">
        <v>11090</v>
      </c>
      <c r="C98" s="1065" t="s">
        <v>889</v>
      </c>
      <c r="D98" s="1065" t="s">
        <v>60</v>
      </c>
      <c r="E98" s="1065" t="s">
        <v>1633</v>
      </c>
      <c r="F98" s="1065" t="s">
        <v>137</v>
      </c>
      <c r="G98" s="1066">
        <v>10.0</v>
      </c>
      <c r="H98" s="1066">
        <v>10.0</v>
      </c>
      <c r="I98" s="1066">
        <v>0.0</v>
      </c>
      <c r="J98" s="548" t="s">
        <v>11091</v>
      </c>
      <c r="K98" s="548"/>
      <c r="L98" s="548"/>
      <c r="M98" s="1065"/>
      <c r="N98" s="1065"/>
      <c r="O98" s="1067" t="str">
        <f t="shared" si="1"/>
        <v/>
      </c>
      <c r="P98" s="1067">
        <f t="shared" si="3"/>
        <v>0</v>
      </c>
      <c r="Q98" s="1067">
        <f t="shared" si="2"/>
        <v>0</v>
      </c>
    </row>
    <row r="99" hidden="1">
      <c r="A99" s="1065" t="s">
        <v>891</v>
      </c>
      <c r="B99" s="1065" t="s">
        <v>3197</v>
      </c>
      <c r="C99" s="1065" t="s">
        <v>892</v>
      </c>
      <c r="D99" s="1065" t="s">
        <v>60</v>
      </c>
      <c r="E99" s="1065" t="s">
        <v>1633</v>
      </c>
      <c r="F99" s="1065" t="s">
        <v>137</v>
      </c>
      <c r="G99" s="1066">
        <v>10.0</v>
      </c>
      <c r="H99" s="1066">
        <v>10.0</v>
      </c>
      <c r="I99" s="1066">
        <v>0.0</v>
      </c>
      <c r="J99" s="548" t="s">
        <v>11092</v>
      </c>
      <c r="K99" s="548"/>
      <c r="L99" s="548"/>
      <c r="M99" s="1065"/>
      <c r="N99" s="1065"/>
      <c r="O99" s="1067" t="str">
        <f t="shared" si="1"/>
        <v/>
      </c>
      <c r="P99" s="1067">
        <f t="shared" si="3"/>
        <v>0</v>
      </c>
      <c r="Q99" s="1067">
        <f t="shared" si="2"/>
        <v>0</v>
      </c>
    </row>
    <row r="100" hidden="1">
      <c r="A100" s="1065" t="s">
        <v>1970</v>
      </c>
      <c r="B100" s="1065" t="s">
        <v>11093</v>
      </c>
      <c r="C100" s="1065" t="s">
        <v>925</v>
      </c>
      <c r="D100" s="1065" t="s">
        <v>60</v>
      </c>
      <c r="E100" s="1065" t="s">
        <v>1633</v>
      </c>
      <c r="F100" s="1065"/>
      <c r="G100" s="1066">
        <v>2.0</v>
      </c>
      <c r="H100" s="1066">
        <v>2.0</v>
      </c>
      <c r="I100" s="1066">
        <v>0.0</v>
      </c>
      <c r="J100" s="1065"/>
      <c r="K100" s="1065"/>
      <c r="L100" s="1065"/>
      <c r="M100" s="1065"/>
      <c r="N100" s="1065"/>
      <c r="O100" s="1067" t="str">
        <f t="shared" si="1"/>
        <v/>
      </c>
      <c r="P100" s="1067">
        <f t="shared" si="3"/>
        <v>0</v>
      </c>
      <c r="Q100" s="1067">
        <f t="shared" si="2"/>
        <v>0</v>
      </c>
    </row>
    <row r="101" hidden="1">
      <c r="A101" s="1065" t="s">
        <v>929</v>
      </c>
      <c r="B101" s="1065" t="s">
        <v>11094</v>
      </c>
      <c r="C101" s="1065" t="s">
        <v>930</v>
      </c>
      <c r="D101" s="1065" t="s">
        <v>60</v>
      </c>
      <c r="E101" s="1065" t="s">
        <v>1633</v>
      </c>
      <c r="F101" s="1065"/>
      <c r="G101" s="1066">
        <v>5.0</v>
      </c>
      <c r="H101" s="1066">
        <v>5.0</v>
      </c>
      <c r="I101" s="1066">
        <v>0.0</v>
      </c>
      <c r="J101" s="548" t="s">
        <v>11095</v>
      </c>
      <c r="K101" s="548"/>
      <c r="L101" s="548"/>
      <c r="M101" s="1065"/>
      <c r="N101" s="1065"/>
      <c r="O101" s="1067" t="str">
        <f t="shared" si="1"/>
        <v/>
      </c>
      <c r="P101" s="1067">
        <f t="shared" si="3"/>
        <v>0</v>
      </c>
      <c r="Q101" s="1067">
        <f t="shared" si="2"/>
        <v>0</v>
      </c>
    </row>
    <row r="102" hidden="1">
      <c r="A102" s="1065" t="s">
        <v>941</v>
      </c>
      <c r="B102" s="1065" t="s">
        <v>2948</v>
      </c>
      <c r="C102" s="1065" t="s">
        <v>942</v>
      </c>
      <c r="D102" s="1065" t="s">
        <v>60</v>
      </c>
      <c r="E102" s="1065" t="s">
        <v>1633</v>
      </c>
      <c r="F102" s="1065" t="s">
        <v>137</v>
      </c>
      <c r="G102" s="1066">
        <v>3.0</v>
      </c>
      <c r="H102" s="1066">
        <v>3.0</v>
      </c>
      <c r="I102" s="1066">
        <v>0.0</v>
      </c>
      <c r="J102" s="548" t="s">
        <v>11096</v>
      </c>
      <c r="L102" s="548" t="s">
        <v>11097</v>
      </c>
      <c r="M102" s="1065"/>
      <c r="N102" s="1065"/>
      <c r="O102" s="1067" t="str">
        <f t="shared" si="1"/>
        <v/>
      </c>
      <c r="P102" s="1067">
        <f t="shared" si="3"/>
        <v>0</v>
      </c>
      <c r="Q102" s="1067">
        <f t="shared" si="2"/>
        <v>0</v>
      </c>
    </row>
    <row r="103" hidden="1">
      <c r="A103" s="1065" t="s">
        <v>965</v>
      </c>
      <c r="B103" s="1065" t="s">
        <v>3790</v>
      </c>
      <c r="C103" s="1065" t="s">
        <v>966</v>
      </c>
      <c r="D103" s="1065" t="s">
        <v>60</v>
      </c>
      <c r="E103" s="1065" t="s">
        <v>1633</v>
      </c>
      <c r="F103" s="1065" t="s">
        <v>109</v>
      </c>
      <c r="G103" s="1066">
        <v>5.0</v>
      </c>
      <c r="H103" s="1066">
        <v>5.0</v>
      </c>
      <c r="I103" s="1066">
        <v>0.0</v>
      </c>
      <c r="J103" s="548" t="s">
        <v>11098</v>
      </c>
      <c r="L103" s="548"/>
      <c r="M103" s="1065"/>
      <c r="N103" s="548" t="s">
        <v>1973</v>
      </c>
      <c r="O103" s="1067" t="str">
        <f t="shared" si="1"/>
        <v/>
      </c>
      <c r="P103" s="1067">
        <f t="shared" si="3"/>
        <v>0</v>
      </c>
      <c r="Q103" s="1067">
        <f t="shared" si="2"/>
        <v>0</v>
      </c>
    </row>
    <row r="104" hidden="1">
      <c r="A104" s="1065" t="s">
        <v>1974</v>
      </c>
      <c r="B104" s="1065" t="s">
        <v>3975</v>
      </c>
      <c r="C104" s="1065" t="s">
        <v>1975</v>
      </c>
      <c r="D104" s="1065" t="s">
        <v>60</v>
      </c>
      <c r="E104" s="1065" t="s">
        <v>1633</v>
      </c>
      <c r="F104" s="1065"/>
      <c r="G104" s="1066">
        <v>5.0</v>
      </c>
      <c r="H104" s="1066">
        <v>5.0</v>
      </c>
      <c r="I104" s="1066">
        <v>0.0</v>
      </c>
      <c r="J104" s="548" t="s">
        <v>11095</v>
      </c>
      <c r="L104" s="548"/>
      <c r="M104" s="1065"/>
      <c r="N104" s="548" t="s">
        <v>1976</v>
      </c>
      <c r="O104" s="1067" t="str">
        <f t="shared" si="1"/>
        <v/>
      </c>
      <c r="P104" s="1067">
        <f t="shared" si="3"/>
        <v>0</v>
      </c>
      <c r="Q104" s="1067">
        <f t="shared" si="2"/>
        <v>0</v>
      </c>
    </row>
    <row r="105" hidden="1">
      <c r="A105" s="1065" t="s">
        <v>984</v>
      </c>
      <c r="B105" s="1065" t="s">
        <v>3324</v>
      </c>
      <c r="C105" s="1065" t="s">
        <v>985</v>
      </c>
      <c r="D105" s="1065" t="s">
        <v>60</v>
      </c>
      <c r="E105" s="1065" t="s">
        <v>1633</v>
      </c>
      <c r="F105" s="1065" t="s">
        <v>109</v>
      </c>
      <c r="G105" s="1066">
        <v>5.0</v>
      </c>
      <c r="H105" s="1066">
        <v>5.0</v>
      </c>
      <c r="I105" s="1066">
        <v>0.0</v>
      </c>
      <c r="J105" s="548" t="s">
        <v>11098</v>
      </c>
      <c r="L105" s="548"/>
      <c r="M105" s="1065"/>
      <c r="N105" s="548" t="s">
        <v>1978</v>
      </c>
      <c r="O105" s="1067" t="str">
        <f t="shared" si="1"/>
        <v/>
      </c>
      <c r="P105" s="1067">
        <f t="shared" si="3"/>
        <v>0</v>
      </c>
      <c r="Q105" s="1067">
        <f t="shared" si="2"/>
        <v>0</v>
      </c>
    </row>
    <row r="106" hidden="1">
      <c r="A106" s="1065" t="s">
        <v>992</v>
      </c>
      <c r="B106" s="1065" t="s">
        <v>11099</v>
      </c>
      <c r="C106" s="1065" t="s">
        <v>993</v>
      </c>
      <c r="D106" s="1065" t="s">
        <v>60</v>
      </c>
      <c r="E106" s="1065" t="s">
        <v>1633</v>
      </c>
      <c r="F106" s="1065" t="s">
        <v>1634</v>
      </c>
      <c r="G106" s="1066">
        <v>5.0</v>
      </c>
      <c r="H106" s="1066">
        <v>5.0</v>
      </c>
      <c r="I106" s="1066">
        <v>0.0</v>
      </c>
      <c r="J106" s="548" t="s">
        <v>11096</v>
      </c>
      <c r="L106" s="548"/>
      <c r="M106" s="1065"/>
      <c r="N106" s="548"/>
      <c r="O106" s="1067" t="str">
        <f t="shared" si="1"/>
        <v/>
      </c>
      <c r="P106" s="1067">
        <f t="shared" si="3"/>
        <v>0</v>
      </c>
      <c r="Q106" s="1067">
        <f t="shared" si="2"/>
        <v>0</v>
      </c>
    </row>
    <row r="107" hidden="1">
      <c r="A107" s="1065" t="s">
        <v>1706</v>
      </c>
      <c r="B107" s="1065" t="s">
        <v>7663</v>
      </c>
      <c r="C107" s="1065" t="s">
        <v>1707</v>
      </c>
      <c r="D107" s="1065" t="s">
        <v>60</v>
      </c>
      <c r="E107" s="1065" t="s">
        <v>1633</v>
      </c>
      <c r="F107" s="1065"/>
      <c r="G107" s="1066">
        <v>10.0</v>
      </c>
      <c r="H107" s="1066">
        <v>10.0</v>
      </c>
      <c r="I107" s="1066">
        <v>0.0</v>
      </c>
      <c r="J107" s="548" t="s">
        <v>11100</v>
      </c>
      <c r="K107" s="548">
        <v>1.0</v>
      </c>
      <c r="L107" s="548"/>
      <c r="M107" s="548">
        <v>1.0</v>
      </c>
      <c r="N107" s="1065"/>
      <c r="O107" s="1067" t="str">
        <f t="shared" si="1"/>
        <v/>
      </c>
      <c r="P107" s="1067">
        <f t="shared" si="3"/>
        <v>0</v>
      </c>
      <c r="Q107" s="1067">
        <f t="shared" si="2"/>
        <v>0</v>
      </c>
    </row>
    <row r="108" hidden="1">
      <c r="A108" s="1065" t="s">
        <v>1708</v>
      </c>
      <c r="B108" s="1065" t="s">
        <v>3930</v>
      </c>
      <c r="C108" s="548" t="s">
        <v>1709</v>
      </c>
      <c r="D108" s="1065" t="s">
        <v>60</v>
      </c>
      <c r="E108" s="1065" t="s">
        <v>1633</v>
      </c>
      <c r="F108" s="1065"/>
      <c r="G108" s="1066">
        <v>10.0</v>
      </c>
      <c r="H108" s="1066">
        <v>10.0</v>
      </c>
      <c r="I108" s="1066">
        <v>0.0</v>
      </c>
      <c r="J108" s="548" t="s">
        <v>11101</v>
      </c>
      <c r="K108" s="548">
        <v>2.0</v>
      </c>
      <c r="L108" s="548"/>
      <c r="M108" s="548">
        <v>1.0</v>
      </c>
      <c r="N108" s="1065"/>
      <c r="O108" s="1067" t="str">
        <f t="shared" si="1"/>
        <v/>
      </c>
      <c r="P108" s="1067">
        <f t="shared" si="3"/>
        <v>0</v>
      </c>
      <c r="Q108" s="1067">
        <f t="shared" si="2"/>
        <v>0</v>
      </c>
    </row>
    <row r="109" hidden="1">
      <c r="A109" s="1065" t="s">
        <v>1994</v>
      </c>
      <c r="B109" s="1065" t="s">
        <v>11102</v>
      </c>
      <c r="C109" s="1065" t="s">
        <v>1995</v>
      </c>
      <c r="D109" s="1065" t="s">
        <v>60</v>
      </c>
      <c r="E109" s="1065" t="s">
        <v>1633</v>
      </c>
      <c r="F109" s="1065"/>
      <c r="G109" s="1066">
        <v>1.0</v>
      </c>
      <c r="H109" s="1066">
        <v>1.0</v>
      </c>
      <c r="I109" s="1066">
        <v>0.0</v>
      </c>
      <c r="J109" s="1065"/>
      <c r="K109" s="1065"/>
      <c r="L109" s="1065"/>
      <c r="M109" s="1065"/>
      <c r="N109" s="1065"/>
      <c r="O109" s="1067" t="str">
        <f t="shared" si="1"/>
        <v/>
      </c>
      <c r="P109" s="1067">
        <f t="shared" si="3"/>
        <v>0</v>
      </c>
      <c r="Q109" s="1067">
        <f t="shared" si="2"/>
        <v>0</v>
      </c>
    </row>
    <row r="110" hidden="1">
      <c r="A110" s="548" t="s">
        <v>1996</v>
      </c>
      <c r="B110" s="1065" t="s">
        <v>6431</v>
      </c>
      <c r="C110" s="1065" t="s">
        <v>1997</v>
      </c>
      <c r="D110" s="1065" t="s">
        <v>60</v>
      </c>
      <c r="E110" s="1065" t="s">
        <v>1633</v>
      </c>
      <c r="F110" s="1065"/>
      <c r="G110" s="1066">
        <v>3.0</v>
      </c>
      <c r="H110" s="1066">
        <v>3.0</v>
      </c>
      <c r="I110" s="1066">
        <v>0.0</v>
      </c>
      <c r="J110" s="548" t="s">
        <v>11103</v>
      </c>
      <c r="L110" s="548"/>
      <c r="M110" s="1065"/>
      <c r="N110" s="1065"/>
      <c r="O110" s="1067" t="str">
        <f t="shared" si="1"/>
        <v/>
      </c>
      <c r="P110" s="1067">
        <f t="shared" si="3"/>
        <v>0</v>
      </c>
      <c r="Q110" s="1067">
        <f t="shared" si="2"/>
        <v>0</v>
      </c>
    </row>
    <row r="111" hidden="1">
      <c r="A111" s="1065" t="s">
        <v>1027</v>
      </c>
      <c r="B111" s="1065" t="s">
        <v>11104</v>
      </c>
      <c r="C111" s="1065" t="s">
        <v>1028</v>
      </c>
      <c r="D111" s="1065" t="s">
        <v>60</v>
      </c>
      <c r="E111" s="1065" t="s">
        <v>1633</v>
      </c>
      <c r="F111" s="1065" t="s">
        <v>109</v>
      </c>
      <c r="G111" s="1066">
        <v>5.0</v>
      </c>
      <c r="H111" s="1066">
        <v>5.0</v>
      </c>
      <c r="I111" s="1066">
        <v>0.0</v>
      </c>
      <c r="J111" s="548" t="s">
        <v>11051</v>
      </c>
      <c r="L111" s="548"/>
      <c r="M111" s="1065"/>
      <c r="N111" s="1065"/>
      <c r="O111" s="1067" t="str">
        <f t="shared" si="1"/>
        <v/>
      </c>
      <c r="P111" s="1067">
        <f t="shared" si="3"/>
        <v>0</v>
      </c>
      <c r="Q111" s="1067">
        <f t="shared" si="2"/>
        <v>0</v>
      </c>
    </row>
    <row r="112" hidden="1">
      <c r="A112" s="548" t="s">
        <v>1986</v>
      </c>
      <c r="B112" s="1065" t="s">
        <v>3795</v>
      </c>
      <c r="C112" s="1065" t="s">
        <v>1987</v>
      </c>
      <c r="D112" s="548" t="s">
        <v>60</v>
      </c>
      <c r="E112" s="548" t="s">
        <v>1633</v>
      </c>
      <c r="F112" s="548" t="s">
        <v>109</v>
      </c>
      <c r="G112" s="1066">
        <v>5.0</v>
      </c>
      <c r="H112" s="1066">
        <v>5.0</v>
      </c>
      <c r="I112" s="1066">
        <v>0.0</v>
      </c>
      <c r="J112" s="548" t="s">
        <v>1616</v>
      </c>
      <c r="L112" s="548"/>
      <c r="M112" s="1065"/>
      <c r="N112" s="548" t="s">
        <v>1988</v>
      </c>
      <c r="O112" s="1067" t="str">
        <f t="shared" si="1"/>
        <v/>
      </c>
      <c r="P112" s="1067">
        <f t="shared" si="3"/>
        <v>0</v>
      </c>
      <c r="Q112" s="1067">
        <f t="shared" si="2"/>
        <v>0</v>
      </c>
    </row>
    <row r="113" hidden="1">
      <c r="A113" s="1065" t="s">
        <v>2007</v>
      </c>
      <c r="B113" s="1065" t="s">
        <v>9087</v>
      </c>
      <c r="C113" s="1065" t="s">
        <v>81</v>
      </c>
      <c r="D113" s="1065" t="s">
        <v>1410</v>
      </c>
      <c r="E113" s="1065" t="s">
        <v>1633</v>
      </c>
      <c r="F113" s="1065"/>
      <c r="G113" s="1066">
        <v>5.0</v>
      </c>
      <c r="H113" s="1066">
        <v>5.0</v>
      </c>
      <c r="I113" s="1066">
        <v>0.0</v>
      </c>
      <c r="J113" s="548" t="s">
        <v>11105</v>
      </c>
      <c r="L113" s="548"/>
      <c r="M113" s="1065"/>
      <c r="N113" s="1065"/>
      <c r="O113" s="1067" t="str">
        <f t="shared" si="1"/>
        <v/>
      </c>
      <c r="P113" s="1067">
        <f t="shared" si="3"/>
        <v>0</v>
      </c>
      <c r="Q113" s="1067">
        <f t="shared" si="2"/>
        <v>0</v>
      </c>
    </row>
    <row r="114" hidden="1">
      <c r="A114" s="1065" t="s">
        <v>2008</v>
      </c>
      <c r="B114" s="1065" t="s">
        <v>10861</v>
      </c>
      <c r="C114" s="1065" t="s">
        <v>81</v>
      </c>
      <c r="D114" s="1065" t="s">
        <v>116</v>
      </c>
      <c r="E114" s="1065" t="s">
        <v>1633</v>
      </c>
      <c r="F114" s="1065"/>
      <c r="G114" s="1066">
        <v>5.0</v>
      </c>
      <c r="H114" s="1066">
        <v>5.0</v>
      </c>
      <c r="I114" s="1066">
        <v>0.0</v>
      </c>
      <c r="J114" s="548" t="s">
        <v>11105</v>
      </c>
      <c r="L114" s="548"/>
      <c r="M114" s="1065"/>
      <c r="N114" s="1065"/>
      <c r="O114" s="1067" t="str">
        <f t="shared" si="1"/>
        <v/>
      </c>
      <c r="P114" s="1067">
        <f t="shared" si="3"/>
        <v>0</v>
      </c>
      <c r="Q114" s="1067">
        <f t="shared" si="2"/>
        <v>0</v>
      </c>
    </row>
    <row r="115" hidden="1">
      <c r="A115" s="1065" t="s">
        <v>1772</v>
      </c>
      <c r="B115" s="1065" t="s">
        <v>11106</v>
      </c>
      <c r="C115" s="1065" t="s">
        <v>1123</v>
      </c>
      <c r="D115" s="1065" t="s">
        <v>60</v>
      </c>
      <c r="E115" s="1065" t="s">
        <v>1633</v>
      </c>
      <c r="F115" s="1065" t="s">
        <v>1912</v>
      </c>
      <c r="G115" s="1066">
        <v>5.0</v>
      </c>
      <c r="H115" s="1066">
        <v>5.0</v>
      </c>
      <c r="I115" s="1066">
        <v>0.0</v>
      </c>
      <c r="J115" s="548" t="s">
        <v>11107</v>
      </c>
      <c r="L115" s="548"/>
      <c r="M115" s="1065"/>
      <c r="N115" s="1065"/>
      <c r="O115" s="1067" t="str">
        <f t="shared" si="1"/>
        <v/>
      </c>
      <c r="P115" s="1067">
        <f t="shared" si="3"/>
        <v>0</v>
      </c>
      <c r="Q115" s="1067">
        <f t="shared" si="2"/>
        <v>0</v>
      </c>
    </row>
    <row r="116">
      <c r="A116" s="1065" t="s">
        <v>1131</v>
      </c>
      <c r="B116" s="1065" t="s">
        <v>2029</v>
      </c>
      <c r="C116" s="1065" t="s">
        <v>1132</v>
      </c>
      <c r="D116" s="1065" t="s">
        <v>60</v>
      </c>
      <c r="E116" s="1065" t="s">
        <v>1633</v>
      </c>
      <c r="F116" s="1065" t="s">
        <v>1779</v>
      </c>
      <c r="G116" s="1066">
        <v>10.0</v>
      </c>
      <c r="H116" s="1066">
        <v>10.0</v>
      </c>
      <c r="I116" s="1066">
        <v>0.0</v>
      </c>
      <c r="J116" s="548" t="s">
        <v>1398</v>
      </c>
      <c r="K116" s="548">
        <v>1.0</v>
      </c>
      <c r="L116" s="548"/>
      <c r="M116" s="548">
        <v>1.0</v>
      </c>
      <c r="N116" s="548" t="s">
        <v>2030</v>
      </c>
      <c r="O116" s="1067" t="str">
        <f t="shared" si="1"/>
        <v/>
      </c>
      <c r="P116" s="1067">
        <f t="shared" si="3"/>
        <v>0</v>
      </c>
      <c r="Q116" s="1067">
        <f t="shared" si="2"/>
        <v>0</v>
      </c>
    </row>
    <row r="117">
      <c r="A117" s="1065" t="s">
        <v>1142</v>
      </c>
      <c r="B117" s="1065" t="s">
        <v>2865</v>
      </c>
      <c r="C117" s="1065" t="s">
        <v>1143</v>
      </c>
      <c r="D117" s="1065" t="s">
        <v>60</v>
      </c>
      <c r="E117" s="1065" t="s">
        <v>1633</v>
      </c>
      <c r="F117" s="1065" t="s">
        <v>1779</v>
      </c>
      <c r="G117" s="1066">
        <v>1.0</v>
      </c>
      <c r="H117" s="1066">
        <v>1.0</v>
      </c>
      <c r="I117" s="1066">
        <v>0.0</v>
      </c>
      <c r="J117" s="1065"/>
      <c r="K117" s="548">
        <v>1.0</v>
      </c>
      <c r="L117" s="548"/>
      <c r="M117" s="548">
        <v>2.0</v>
      </c>
      <c r="N117" s="1065"/>
      <c r="O117" s="1067" t="str">
        <f t="shared" si="1"/>
        <v/>
      </c>
      <c r="P117" s="1067">
        <f t="shared" si="3"/>
        <v>0</v>
      </c>
      <c r="Q117" s="1067">
        <f t="shared" si="2"/>
        <v>0</v>
      </c>
    </row>
    <row r="118" hidden="1">
      <c r="A118" s="1065" t="s">
        <v>1160</v>
      </c>
      <c r="B118" s="1065" t="s">
        <v>6271</v>
      </c>
      <c r="C118" s="548" t="s">
        <v>1161</v>
      </c>
      <c r="D118" s="1065" t="s">
        <v>60</v>
      </c>
      <c r="E118" s="1065" t="s">
        <v>1633</v>
      </c>
      <c r="F118" s="1065" t="s">
        <v>137</v>
      </c>
      <c r="G118" s="1066">
        <v>10.0</v>
      </c>
      <c r="H118" s="1066">
        <v>10.0</v>
      </c>
      <c r="I118" s="1066">
        <v>0.0</v>
      </c>
      <c r="J118" s="548" t="s">
        <v>1398</v>
      </c>
      <c r="K118" s="548">
        <v>1.0</v>
      </c>
      <c r="L118" s="548"/>
      <c r="M118" s="548">
        <v>3.0</v>
      </c>
      <c r="N118" s="1065"/>
      <c r="O118" s="1067" t="str">
        <f t="shared" si="1"/>
        <v/>
      </c>
      <c r="P118" s="1067">
        <f t="shared" si="3"/>
        <v>0</v>
      </c>
      <c r="Q118" s="1067">
        <f t="shared" si="2"/>
        <v>0</v>
      </c>
    </row>
    <row r="119" hidden="1">
      <c r="A119" s="1065" t="s">
        <v>2031</v>
      </c>
      <c r="B119" s="1065" t="s">
        <v>8715</v>
      </c>
      <c r="C119" s="548" t="s">
        <v>2032</v>
      </c>
      <c r="D119" s="1065" t="s">
        <v>60</v>
      </c>
      <c r="E119" s="1065" t="s">
        <v>1633</v>
      </c>
      <c r="F119" s="1065"/>
      <c r="G119" s="1066">
        <v>5.0</v>
      </c>
      <c r="H119" s="1066">
        <v>5.0</v>
      </c>
      <c r="I119" s="1066">
        <v>0.0</v>
      </c>
      <c r="J119" s="548" t="s">
        <v>11107</v>
      </c>
      <c r="L119" s="548"/>
      <c r="M119" s="1065"/>
      <c r="N119" s="1065"/>
      <c r="O119" s="1067" t="str">
        <f t="shared" si="1"/>
        <v/>
      </c>
      <c r="P119" s="1067">
        <f t="shared" si="3"/>
        <v>0</v>
      </c>
      <c r="Q119" s="1067">
        <f t="shared" si="2"/>
        <v>0</v>
      </c>
    </row>
    <row r="120" hidden="1">
      <c r="A120" s="1065" t="s">
        <v>1833</v>
      </c>
      <c r="B120" s="1065" t="s">
        <v>3238</v>
      </c>
      <c r="C120" s="1065" t="s">
        <v>1834</v>
      </c>
      <c r="D120" s="1065" t="s">
        <v>60</v>
      </c>
      <c r="E120" s="1065" t="s">
        <v>1633</v>
      </c>
      <c r="F120" s="1065"/>
      <c r="G120" s="1066">
        <v>5.0</v>
      </c>
      <c r="H120" s="1066">
        <v>5.0</v>
      </c>
      <c r="I120" s="1066">
        <v>0.0</v>
      </c>
      <c r="J120" s="548" t="s">
        <v>11107</v>
      </c>
      <c r="K120" s="548">
        <v>1.0</v>
      </c>
      <c r="L120" s="548"/>
      <c r="M120" s="548">
        <v>1.0</v>
      </c>
      <c r="N120" s="1065"/>
      <c r="O120" s="1067" t="str">
        <f t="shared" si="1"/>
        <v/>
      </c>
      <c r="P120" s="1067">
        <f t="shared" si="3"/>
        <v>0</v>
      </c>
      <c r="Q120" s="1067">
        <f t="shared" si="2"/>
        <v>0</v>
      </c>
    </row>
    <row r="121" hidden="1">
      <c r="A121" s="1065" t="s">
        <v>1839</v>
      </c>
      <c r="B121" s="1065" t="s">
        <v>11108</v>
      </c>
      <c r="C121" s="1065" t="s">
        <v>1840</v>
      </c>
      <c r="D121" s="1065" t="s">
        <v>60</v>
      </c>
      <c r="E121" s="1065" t="s">
        <v>1633</v>
      </c>
      <c r="F121" s="1065" t="s">
        <v>109</v>
      </c>
      <c r="G121" s="1066">
        <v>5.0</v>
      </c>
      <c r="H121" s="1066">
        <v>5.0</v>
      </c>
      <c r="I121" s="1066">
        <v>0.0</v>
      </c>
      <c r="J121" s="548" t="s">
        <v>11107</v>
      </c>
      <c r="K121" s="548">
        <v>1.0</v>
      </c>
      <c r="L121" s="548"/>
      <c r="M121" s="548">
        <v>1.0</v>
      </c>
      <c r="N121" s="1065"/>
      <c r="O121" s="1067" t="str">
        <f t="shared" si="1"/>
        <v/>
      </c>
      <c r="P121" s="1067">
        <f t="shared" si="3"/>
        <v>0</v>
      </c>
      <c r="Q121" s="1067">
        <f t="shared" si="2"/>
        <v>0</v>
      </c>
    </row>
    <row r="122" hidden="1">
      <c r="A122" s="1065" t="s">
        <v>1815</v>
      </c>
      <c r="B122" s="1065" t="s">
        <v>11109</v>
      </c>
      <c r="C122" s="1065" t="s">
        <v>1816</v>
      </c>
      <c r="D122" s="1065" t="s">
        <v>60</v>
      </c>
      <c r="E122" s="1065" t="s">
        <v>1633</v>
      </c>
      <c r="F122" s="1065"/>
      <c r="G122" s="1066">
        <v>5.0</v>
      </c>
      <c r="H122" s="1066">
        <v>5.0</v>
      </c>
      <c r="I122" s="1066">
        <v>0.0</v>
      </c>
      <c r="J122" s="548" t="s">
        <v>11110</v>
      </c>
      <c r="L122" s="548"/>
      <c r="M122" s="1065"/>
      <c r="N122" s="1065"/>
      <c r="O122" s="1067" t="str">
        <f t="shared" si="1"/>
        <v/>
      </c>
      <c r="P122" s="1067">
        <f t="shared" si="3"/>
        <v>0</v>
      </c>
      <c r="Q122" s="1067">
        <f t="shared" si="2"/>
        <v>0</v>
      </c>
    </row>
    <row r="123" hidden="1">
      <c r="A123" s="1065" t="s">
        <v>2035</v>
      </c>
      <c r="B123" s="1065" t="s">
        <v>4644</v>
      </c>
      <c r="C123" s="1065" t="s">
        <v>115</v>
      </c>
      <c r="D123" s="1065" t="s">
        <v>60</v>
      </c>
      <c r="E123" s="1065" t="s">
        <v>1633</v>
      </c>
      <c r="F123" s="1065" t="s">
        <v>137</v>
      </c>
      <c r="G123" s="1066">
        <v>5.0</v>
      </c>
      <c r="H123" s="1066">
        <v>5.0</v>
      </c>
      <c r="I123" s="1066">
        <v>0.0</v>
      </c>
      <c r="J123" s="548" t="s">
        <v>1757</v>
      </c>
      <c r="L123" s="548"/>
      <c r="M123" s="1065"/>
      <c r="N123" s="1065"/>
      <c r="O123" s="1067" t="str">
        <f t="shared" si="1"/>
        <v/>
      </c>
      <c r="P123" s="1067">
        <f t="shared" si="3"/>
        <v>0</v>
      </c>
      <c r="Q123" s="1067">
        <f t="shared" si="2"/>
        <v>0</v>
      </c>
    </row>
    <row r="124" hidden="1">
      <c r="A124" s="1065" t="s">
        <v>1830</v>
      </c>
      <c r="B124" s="1065" t="s">
        <v>3225</v>
      </c>
      <c r="C124" s="1065" t="s">
        <v>1831</v>
      </c>
      <c r="D124" s="1065" t="s">
        <v>60</v>
      </c>
      <c r="E124" s="1065" t="s">
        <v>1633</v>
      </c>
      <c r="F124" s="1065" t="s">
        <v>109</v>
      </c>
      <c r="G124" s="1066">
        <v>11.0</v>
      </c>
      <c r="H124" s="1066">
        <v>11.0</v>
      </c>
      <c r="I124" s="1066">
        <v>0.0</v>
      </c>
      <c r="J124" s="548" t="s">
        <v>355</v>
      </c>
      <c r="L124" s="548" t="s">
        <v>11097</v>
      </c>
      <c r="M124" s="1065"/>
      <c r="N124" s="1065"/>
      <c r="O124" s="1067" t="str">
        <f t="shared" si="1"/>
        <v/>
      </c>
      <c r="P124" s="1067">
        <f t="shared" si="3"/>
        <v>0</v>
      </c>
      <c r="Q124" s="1067">
        <f t="shared" si="2"/>
        <v>0</v>
      </c>
    </row>
    <row r="125" hidden="1">
      <c r="A125" s="1065" t="s">
        <v>1255</v>
      </c>
      <c r="B125" s="1065" t="s">
        <v>11111</v>
      </c>
      <c r="C125" s="1065" t="s">
        <v>1256</v>
      </c>
      <c r="D125" s="1065" t="s">
        <v>60</v>
      </c>
      <c r="E125" s="1065" t="s">
        <v>1633</v>
      </c>
      <c r="F125" s="1065" t="s">
        <v>109</v>
      </c>
      <c r="G125" s="1066">
        <v>5.0</v>
      </c>
      <c r="H125" s="1066">
        <v>5.0</v>
      </c>
      <c r="I125" s="1066">
        <v>0.0</v>
      </c>
      <c r="J125" s="548" t="s">
        <v>11107</v>
      </c>
      <c r="L125" s="548"/>
      <c r="M125" s="1065"/>
      <c r="N125" s="548" t="s">
        <v>2036</v>
      </c>
      <c r="O125" s="1067" t="str">
        <f t="shared" si="1"/>
        <v/>
      </c>
      <c r="P125" s="1067">
        <f t="shared" si="3"/>
        <v>0</v>
      </c>
      <c r="Q125" s="1067">
        <f t="shared" si="2"/>
        <v>0</v>
      </c>
    </row>
    <row r="126" hidden="1">
      <c r="A126" s="1065" t="s">
        <v>1836</v>
      </c>
      <c r="B126" s="1065" t="s">
        <v>2816</v>
      </c>
      <c r="C126" s="1065" t="s">
        <v>1263</v>
      </c>
      <c r="D126" s="1065" t="s">
        <v>60</v>
      </c>
      <c r="E126" s="1065" t="s">
        <v>1633</v>
      </c>
      <c r="F126" s="1065" t="s">
        <v>137</v>
      </c>
      <c r="G126" s="1066">
        <v>10.0</v>
      </c>
      <c r="H126" s="1066">
        <v>10.0</v>
      </c>
      <c r="I126" s="1066">
        <v>0.0</v>
      </c>
      <c r="J126" s="548" t="s">
        <v>1648</v>
      </c>
      <c r="K126" s="548">
        <v>1.0</v>
      </c>
      <c r="L126" s="548"/>
      <c r="M126" s="548">
        <v>1.0</v>
      </c>
      <c r="N126" s="1065"/>
      <c r="O126" s="1067" t="str">
        <f t="shared" si="1"/>
        <v/>
      </c>
      <c r="P126" s="1067">
        <f t="shared" si="3"/>
        <v>0</v>
      </c>
      <c r="Q126" s="1067">
        <f t="shared" si="2"/>
        <v>0</v>
      </c>
    </row>
    <row r="127" hidden="1">
      <c r="A127" s="1065" t="s">
        <v>1266</v>
      </c>
      <c r="B127" s="1065" t="s">
        <v>5300</v>
      </c>
      <c r="C127" s="1065" t="s">
        <v>1267</v>
      </c>
      <c r="D127" s="1065" t="s">
        <v>60</v>
      </c>
      <c r="E127" s="1065" t="s">
        <v>1633</v>
      </c>
      <c r="F127" s="1065" t="s">
        <v>137</v>
      </c>
      <c r="G127" s="1066">
        <v>10.0</v>
      </c>
      <c r="H127" s="1066">
        <v>10.0</v>
      </c>
      <c r="I127" s="1066">
        <v>0.0</v>
      </c>
      <c r="J127" s="548" t="s">
        <v>1648</v>
      </c>
      <c r="K127" s="548">
        <v>1.0</v>
      </c>
      <c r="L127" s="548"/>
      <c r="M127" s="548">
        <v>1.0</v>
      </c>
      <c r="N127" s="1065"/>
      <c r="O127" s="1067" t="str">
        <f t="shared" si="1"/>
        <v/>
      </c>
      <c r="P127" s="1067">
        <f t="shared" si="3"/>
        <v>0</v>
      </c>
      <c r="Q127" s="1067">
        <f t="shared" si="2"/>
        <v>0</v>
      </c>
    </row>
    <row r="128" hidden="1">
      <c r="A128" s="1065" t="s">
        <v>1280</v>
      </c>
      <c r="B128" s="1065" t="s">
        <v>5313</v>
      </c>
      <c r="C128" s="1065" t="s">
        <v>1281</v>
      </c>
      <c r="D128" s="1065" t="s">
        <v>60</v>
      </c>
      <c r="E128" s="1065" t="s">
        <v>1633</v>
      </c>
      <c r="F128" s="1065" t="s">
        <v>137</v>
      </c>
      <c r="G128" s="1066">
        <v>10.0</v>
      </c>
      <c r="H128" s="1066">
        <v>10.0</v>
      </c>
      <c r="I128" s="1066">
        <v>0.0</v>
      </c>
      <c r="J128" s="548" t="s">
        <v>430</v>
      </c>
      <c r="K128" s="548">
        <v>1.0</v>
      </c>
      <c r="L128" s="548"/>
      <c r="M128" s="548">
        <v>1.0</v>
      </c>
      <c r="N128" s="1065"/>
      <c r="O128" s="1067" t="str">
        <f t="shared" si="1"/>
        <v/>
      </c>
      <c r="P128" s="1067">
        <f t="shared" si="3"/>
        <v>0</v>
      </c>
      <c r="Q128" s="1067">
        <f t="shared" si="2"/>
        <v>0</v>
      </c>
    </row>
    <row r="129" hidden="1">
      <c r="A129" s="1065" t="s">
        <v>1306</v>
      </c>
      <c r="B129" s="1065" t="s">
        <v>4317</v>
      </c>
      <c r="C129" s="1065" t="s">
        <v>1307</v>
      </c>
      <c r="D129" s="1065" t="s">
        <v>60</v>
      </c>
      <c r="E129" s="1065" t="s">
        <v>1633</v>
      </c>
      <c r="F129" s="1065" t="s">
        <v>1912</v>
      </c>
      <c r="G129" s="1066">
        <v>6.0</v>
      </c>
      <c r="H129" s="1066">
        <v>6.0</v>
      </c>
      <c r="I129" s="1066">
        <v>0.0</v>
      </c>
      <c r="J129" s="548" t="s">
        <v>11112</v>
      </c>
      <c r="L129" s="548"/>
      <c r="M129" s="1065"/>
      <c r="N129" s="1065"/>
      <c r="O129" s="1067" t="str">
        <f t="shared" si="1"/>
        <v/>
      </c>
      <c r="P129" s="1067">
        <f t="shared" si="3"/>
        <v>0</v>
      </c>
      <c r="Q129" s="1067">
        <f t="shared" si="2"/>
        <v>0</v>
      </c>
    </row>
    <row r="130" hidden="1">
      <c r="A130" s="1065" t="s">
        <v>1308</v>
      </c>
      <c r="B130" s="1065" t="s">
        <v>3584</v>
      </c>
      <c r="C130" s="1065" t="s">
        <v>1309</v>
      </c>
      <c r="D130" s="1065" t="s">
        <v>60</v>
      </c>
      <c r="E130" s="1065" t="s">
        <v>1633</v>
      </c>
      <c r="F130" s="1065"/>
      <c r="G130" s="1066">
        <v>2.0</v>
      </c>
      <c r="H130" s="1066">
        <v>2.0</v>
      </c>
      <c r="I130" s="1066">
        <v>0.0</v>
      </c>
      <c r="J130" s="1065"/>
      <c r="L130" s="548" t="s">
        <v>11097</v>
      </c>
      <c r="M130" s="1065"/>
      <c r="N130" s="1065"/>
      <c r="O130" s="1067" t="str">
        <f t="shared" si="1"/>
        <v/>
      </c>
      <c r="P130" s="1067">
        <f t="shared" si="3"/>
        <v>0</v>
      </c>
      <c r="Q130" s="1067">
        <f t="shared" si="2"/>
        <v>0</v>
      </c>
    </row>
    <row r="131" hidden="1">
      <c r="A131" s="1065" t="s">
        <v>1314</v>
      </c>
      <c r="B131" s="1065" t="s">
        <v>3029</v>
      </c>
      <c r="C131" s="1065" t="s">
        <v>1315</v>
      </c>
      <c r="D131" s="1065" t="s">
        <v>60</v>
      </c>
      <c r="E131" s="1065" t="s">
        <v>1633</v>
      </c>
      <c r="F131" s="1065"/>
      <c r="G131" s="1066">
        <v>2.0</v>
      </c>
      <c r="H131" s="1066">
        <v>2.0</v>
      </c>
      <c r="I131" s="1066">
        <v>0.0</v>
      </c>
      <c r="J131" s="548" t="s">
        <v>11113</v>
      </c>
      <c r="L131" s="548" t="s">
        <v>11097</v>
      </c>
      <c r="M131" s="1065"/>
      <c r="N131" s="1065"/>
      <c r="O131" s="1067" t="str">
        <f t="shared" si="1"/>
        <v/>
      </c>
      <c r="P131" s="1067">
        <f t="shared" si="3"/>
        <v>0</v>
      </c>
      <c r="Q131" s="1067">
        <f t="shared" si="2"/>
        <v>0</v>
      </c>
    </row>
    <row r="132">
      <c r="A132" s="1065" t="s">
        <v>1322</v>
      </c>
      <c r="B132" s="1065" t="s">
        <v>11114</v>
      </c>
      <c r="C132" s="1065" t="s">
        <v>1323</v>
      </c>
      <c r="D132" s="1065" t="s">
        <v>60</v>
      </c>
      <c r="E132" s="1065" t="s">
        <v>1633</v>
      </c>
      <c r="F132" s="1065"/>
      <c r="G132" s="1066">
        <v>5.0</v>
      </c>
      <c r="H132" s="1066">
        <v>5.0</v>
      </c>
      <c r="I132" s="1066">
        <v>0.0</v>
      </c>
      <c r="J132" s="548" t="s">
        <v>11115</v>
      </c>
      <c r="K132" s="548">
        <v>1.0</v>
      </c>
      <c r="L132" s="548"/>
      <c r="M132" s="548">
        <v>2.0</v>
      </c>
      <c r="N132" s="1065"/>
      <c r="O132" s="1067" t="str">
        <f t="shared" si="1"/>
        <v/>
      </c>
      <c r="P132" s="1067">
        <f t="shared" si="3"/>
        <v>0</v>
      </c>
      <c r="Q132" s="1067">
        <f t="shared" si="2"/>
        <v>0</v>
      </c>
    </row>
    <row r="133" hidden="1">
      <c r="A133" s="1065" t="s">
        <v>365</v>
      </c>
      <c r="B133" s="1065" t="s">
        <v>3354</v>
      </c>
      <c r="C133" s="1065" t="s">
        <v>366</v>
      </c>
      <c r="D133" s="1065" t="s">
        <v>60</v>
      </c>
      <c r="E133" s="548" t="s">
        <v>101</v>
      </c>
      <c r="F133" s="548" t="s">
        <v>100</v>
      </c>
      <c r="G133" s="1066">
        <v>10.0</v>
      </c>
      <c r="H133" s="1066">
        <v>10.0</v>
      </c>
      <c r="I133" s="1066">
        <v>0.0</v>
      </c>
      <c r="J133" s="548" t="s">
        <v>1695</v>
      </c>
      <c r="K133" s="548"/>
      <c r="L133" s="548"/>
      <c r="M133" s="1065"/>
      <c r="N133" s="1065"/>
      <c r="O133" s="1067" t="str">
        <f t="shared" si="1"/>
        <v/>
      </c>
      <c r="P133" s="1067">
        <f t="shared" si="3"/>
        <v>0</v>
      </c>
      <c r="Q133" s="1067">
        <f t="shared" si="2"/>
        <v>0</v>
      </c>
    </row>
    <row r="134" hidden="1">
      <c r="A134" s="548" t="s">
        <v>2084</v>
      </c>
      <c r="B134" s="1065" t="s">
        <v>11116</v>
      </c>
      <c r="C134" s="1065" t="s">
        <v>2083</v>
      </c>
      <c r="D134" s="548" t="s">
        <v>62</v>
      </c>
      <c r="E134" s="548" t="s">
        <v>93</v>
      </c>
      <c r="G134" s="1066">
        <v>1.0</v>
      </c>
      <c r="H134" s="1066">
        <v>1.0</v>
      </c>
      <c r="I134" s="1066">
        <v>0.0</v>
      </c>
      <c r="M134" s="688"/>
      <c r="O134" s="1067" t="str">
        <f t="shared" si="1"/>
        <v/>
      </c>
      <c r="P134" s="1067">
        <f t="shared" si="3"/>
        <v>0</v>
      </c>
      <c r="Q134" s="1067">
        <f t="shared" si="2"/>
        <v>0</v>
      </c>
    </row>
    <row r="135" hidden="1">
      <c r="A135" s="548" t="s">
        <v>2101</v>
      </c>
      <c r="B135" s="1065" t="s">
        <v>11117</v>
      </c>
      <c r="C135" s="548" t="s">
        <v>2102</v>
      </c>
      <c r="D135" s="548" t="s">
        <v>62</v>
      </c>
      <c r="E135" s="548" t="s">
        <v>93</v>
      </c>
      <c r="F135" s="548"/>
      <c r="G135" s="1066">
        <v>2.0</v>
      </c>
      <c r="H135" s="1066">
        <v>2.0</v>
      </c>
      <c r="I135" s="1066">
        <v>0.0</v>
      </c>
      <c r="J135" s="548" t="s">
        <v>11049</v>
      </c>
      <c r="K135" s="548"/>
      <c r="L135" s="548"/>
      <c r="M135" s="688"/>
      <c r="O135" s="1067" t="str">
        <f t="shared" si="1"/>
        <v/>
      </c>
      <c r="P135" s="1067">
        <f t="shared" si="3"/>
        <v>0</v>
      </c>
      <c r="Q135" s="1067">
        <f t="shared" si="2"/>
        <v>0</v>
      </c>
    </row>
    <row r="136" hidden="1">
      <c r="A136" s="548" t="s">
        <v>2103</v>
      </c>
      <c r="B136" s="1065" t="s">
        <v>11118</v>
      </c>
      <c r="C136" s="1065" t="s">
        <v>1997</v>
      </c>
      <c r="D136" s="1065" t="s">
        <v>60</v>
      </c>
      <c r="E136" s="1065" t="s">
        <v>1633</v>
      </c>
      <c r="F136" s="548" t="s">
        <v>1938</v>
      </c>
      <c r="G136" s="1066">
        <v>2.0</v>
      </c>
      <c r="H136" s="1066">
        <v>2.0</v>
      </c>
      <c r="I136" s="1066">
        <v>0.0</v>
      </c>
      <c r="J136" s="548" t="s">
        <v>11103</v>
      </c>
      <c r="K136" s="548"/>
      <c r="L136" s="548"/>
      <c r="M136" s="688"/>
      <c r="O136" s="1067" t="str">
        <f t="shared" si="1"/>
        <v/>
      </c>
      <c r="P136" s="1067">
        <f t="shared" si="3"/>
        <v>0</v>
      </c>
      <c r="Q136" s="1067">
        <f t="shared" si="2"/>
        <v>0</v>
      </c>
    </row>
    <row r="137" hidden="1">
      <c r="A137" s="548" t="s">
        <v>1164</v>
      </c>
      <c r="B137" s="1065" t="s">
        <v>11119</v>
      </c>
      <c r="C137" s="1065" t="s">
        <v>1165</v>
      </c>
      <c r="D137" s="548" t="s">
        <v>60</v>
      </c>
      <c r="E137" s="548" t="s">
        <v>2086</v>
      </c>
      <c r="F137" s="548" t="s">
        <v>2104</v>
      </c>
      <c r="G137" s="1066">
        <v>8.0</v>
      </c>
      <c r="H137" s="1066">
        <v>8.0</v>
      </c>
      <c r="I137" s="1066">
        <v>0.0</v>
      </c>
      <c r="J137" s="548" t="s">
        <v>1760</v>
      </c>
      <c r="K137" s="548"/>
      <c r="L137" s="548"/>
      <c r="M137" s="688"/>
      <c r="O137" s="1067" t="str">
        <f t="shared" si="1"/>
        <v/>
      </c>
      <c r="P137" s="1067">
        <f t="shared" si="3"/>
        <v>0</v>
      </c>
      <c r="Q137" s="1067">
        <f t="shared" si="2"/>
        <v>0</v>
      </c>
    </row>
    <row r="138" hidden="1">
      <c r="A138" s="548" t="s">
        <v>807</v>
      </c>
      <c r="B138" s="1065" t="s">
        <v>11120</v>
      </c>
      <c r="C138" s="548" t="s">
        <v>2109</v>
      </c>
      <c r="D138" s="548" t="s">
        <v>60</v>
      </c>
      <c r="E138" s="548" t="s">
        <v>1429</v>
      </c>
      <c r="F138" s="548" t="s">
        <v>2110</v>
      </c>
      <c r="G138" s="1066">
        <v>1.0</v>
      </c>
      <c r="H138" s="1066">
        <v>1.0</v>
      </c>
      <c r="I138" s="1066">
        <v>0.0</v>
      </c>
      <c r="J138" s="548" t="s">
        <v>11121</v>
      </c>
      <c r="K138" s="548"/>
      <c r="L138" s="548"/>
      <c r="M138" s="688"/>
      <c r="O138" s="1067" t="str">
        <f t="shared" si="1"/>
        <v/>
      </c>
      <c r="P138" s="1067">
        <f t="shared" si="3"/>
        <v>0</v>
      </c>
      <c r="Q138" s="1067">
        <f t="shared" si="2"/>
        <v>0</v>
      </c>
    </row>
    <row r="139" hidden="1">
      <c r="A139" s="548" t="s">
        <v>929</v>
      </c>
      <c r="B139" s="1065" t="s">
        <v>11122</v>
      </c>
      <c r="C139" s="548" t="s">
        <v>930</v>
      </c>
      <c r="D139" s="548" t="s">
        <v>60</v>
      </c>
      <c r="E139" s="548" t="s">
        <v>1429</v>
      </c>
      <c r="F139" s="548" t="s">
        <v>137</v>
      </c>
      <c r="G139" s="1066">
        <v>1.0</v>
      </c>
      <c r="H139" s="1066">
        <v>1.0</v>
      </c>
      <c r="I139" s="1066">
        <v>0.0</v>
      </c>
      <c r="J139" s="548" t="s">
        <v>11096</v>
      </c>
      <c r="K139" s="548"/>
      <c r="L139" s="548"/>
      <c r="M139" s="688"/>
      <c r="O139" s="1067" t="str">
        <f t="shared" si="1"/>
        <v/>
      </c>
      <c r="P139" s="1067">
        <f t="shared" si="3"/>
        <v>0</v>
      </c>
      <c r="Q139" s="1067">
        <f t="shared" si="2"/>
        <v>0</v>
      </c>
    </row>
    <row r="140" hidden="1">
      <c r="A140" s="548" t="s">
        <v>1282</v>
      </c>
      <c r="B140" s="1065" t="s">
        <v>11123</v>
      </c>
      <c r="C140" s="548" t="s">
        <v>1281</v>
      </c>
      <c r="D140" s="548" t="s">
        <v>62</v>
      </c>
      <c r="E140" s="548" t="s">
        <v>1429</v>
      </c>
      <c r="F140" s="548" t="s">
        <v>1442</v>
      </c>
      <c r="G140" s="1066">
        <v>1.0</v>
      </c>
      <c r="H140" s="1066">
        <v>1.0</v>
      </c>
      <c r="I140" s="1066">
        <v>0.0</v>
      </c>
      <c r="J140" s="548" t="s">
        <v>1759</v>
      </c>
      <c r="K140" s="548"/>
      <c r="L140" s="548"/>
      <c r="M140" s="688"/>
      <c r="O140" s="1067" t="str">
        <f t="shared" si="1"/>
        <v/>
      </c>
      <c r="P140" s="1067">
        <f t="shared" si="3"/>
        <v>0</v>
      </c>
      <c r="Q140" s="1067">
        <f t="shared" si="2"/>
        <v>0</v>
      </c>
    </row>
    <row r="141" hidden="1">
      <c r="A141" s="548" t="s">
        <v>986</v>
      </c>
      <c r="B141" s="1065" t="s">
        <v>11124</v>
      </c>
      <c r="C141" s="548" t="s">
        <v>985</v>
      </c>
      <c r="D141" s="548" t="s">
        <v>62</v>
      </c>
      <c r="E141" s="548" t="s">
        <v>1429</v>
      </c>
      <c r="F141" s="548" t="s">
        <v>1437</v>
      </c>
      <c r="G141" s="1066">
        <v>3.0</v>
      </c>
      <c r="H141" s="1066">
        <v>3.0</v>
      </c>
      <c r="I141" s="1066">
        <v>0.0</v>
      </c>
      <c r="J141" s="548" t="s">
        <v>11036</v>
      </c>
      <c r="K141" s="548"/>
      <c r="L141" s="548"/>
      <c r="M141" s="688"/>
      <c r="N141" s="548" t="s">
        <v>2125</v>
      </c>
      <c r="O141" s="1067" t="str">
        <f t="shared" si="1"/>
        <v/>
      </c>
      <c r="P141" s="1067">
        <f t="shared" si="3"/>
        <v>0</v>
      </c>
      <c r="Q141" s="1067">
        <f t="shared" si="2"/>
        <v>0</v>
      </c>
    </row>
    <row r="142" hidden="1">
      <c r="A142" s="548" t="s">
        <v>1171</v>
      </c>
      <c r="B142" s="1065" t="s">
        <v>11125</v>
      </c>
      <c r="C142" s="548" t="s">
        <v>1172</v>
      </c>
      <c r="D142" s="548" t="s">
        <v>60</v>
      </c>
      <c r="E142" s="548" t="s">
        <v>89</v>
      </c>
      <c r="F142" s="548" t="s">
        <v>2131</v>
      </c>
      <c r="G142" s="1066">
        <v>4.0</v>
      </c>
      <c r="H142" s="1066">
        <v>4.0</v>
      </c>
      <c r="I142" s="1066">
        <v>0.0</v>
      </c>
      <c r="J142" s="548" t="s">
        <v>1760</v>
      </c>
      <c r="K142" s="548"/>
      <c r="L142" s="548"/>
      <c r="M142" s="688"/>
      <c r="O142" s="1067" t="str">
        <f t="shared" si="1"/>
        <v/>
      </c>
      <c r="P142" s="1067">
        <f t="shared" si="3"/>
        <v>0</v>
      </c>
      <c r="Q142" s="1067">
        <f t="shared" si="2"/>
        <v>0</v>
      </c>
    </row>
    <row r="143" hidden="1">
      <c r="A143" s="548" t="s">
        <v>2134</v>
      </c>
      <c r="B143" s="1065" t="s">
        <v>11126</v>
      </c>
      <c r="C143" s="548" t="s">
        <v>2135</v>
      </c>
      <c r="D143" s="548" t="s">
        <v>62</v>
      </c>
      <c r="E143" s="548" t="s">
        <v>101</v>
      </c>
      <c r="F143" s="548" t="s">
        <v>109</v>
      </c>
      <c r="G143" s="1066">
        <v>2.0</v>
      </c>
      <c r="H143" s="1066">
        <v>2.0</v>
      </c>
      <c r="I143" s="1066">
        <v>0.0</v>
      </c>
      <c r="J143" s="548" t="s">
        <v>11044</v>
      </c>
      <c r="K143" s="548"/>
      <c r="L143" s="548"/>
      <c r="M143" s="688"/>
      <c r="O143" s="1067" t="str">
        <f t="shared" si="1"/>
        <v/>
      </c>
      <c r="P143" s="1067">
        <f t="shared" si="3"/>
        <v>0</v>
      </c>
      <c r="Q143" s="1067">
        <f t="shared" si="2"/>
        <v>0</v>
      </c>
    </row>
    <row r="144" hidden="1">
      <c r="A144" s="548" t="s">
        <v>2037</v>
      </c>
      <c r="B144" s="1065" t="s">
        <v>2837</v>
      </c>
      <c r="C144" s="548" t="s">
        <v>2038</v>
      </c>
      <c r="D144" s="548" t="s">
        <v>60</v>
      </c>
      <c r="E144" s="548" t="s">
        <v>16</v>
      </c>
      <c r="F144" s="548" t="s">
        <v>90</v>
      </c>
      <c r="G144" s="1066">
        <v>3.0</v>
      </c>
      <c r="H144" s="1066">
        <v>3.0</v>
      </c>
      <c r="I144" s="1066">
        <v>0.0</v>
      </c>
      <c r="M144" s="688"/>
      <c r="O144" s="1067" t="str">
        <f t="shared" si="1"/>
        <v/>
      </c>
      <c r="P144" s="1067">
        <f t="shared" si="3"/>
        <v>0</v>
      </c>
      <c r="Q144" s="1067">
        <f t="shared" si="2"/>
        <v>0</v>
      </c>
    </row>
    <row r="145" hidden="1">
      <c r="A145" s="548" t="s">
        <v>2140</v>
      </c>
      <c r="B145" s="1065" t="s">
        <v>11127</v>
      </c>
      <c r="C145" s="1065" t="s">
        <v>471</v>
      </c>
      <c r="D145" s="548" t="s">
        <v>106</v>
      </c>
      <c r="E145" s="548" t="s">
        <v>89</v>
      </c>
      <c r="G145" s="1066">
        <v>1.0</v>
      </c>
      <c r="H145" s="1066">
        <v>1.0</v>
      </c>
      <c r="I145" s="1066">
        <v>0.0</v>
      </c>
      <c r="J145" s="548" t="s">
        <v>11128</v>
      </c>
      <c r="K145" s="548"/>
      <c r="L145" s="548"/>
      <c r="M145" s="688"/>
      <c r="O145" s="1067" t="str">
        <f t="shared" si="1"/>
        <v/>
      </c>
      <c r="P145" s="1067">
        <f t="shared" si="3"/>
        <v>0</v>
      </c>
      <c r="Q145" s="1067">
        <f t="shared" si="2"/>
        <v>0</v>
      </c>
    </row>
    <row r="146" hidden="1">
      <c r="A146" s="1065" t="s">
        <v>2150</v>
      </c>
      <c r="B146" s="1065" t="s">
        <v>11129</v>
      </c>
      <c r="C146" s="1065" t="s">
        <v>897</v>
      </c>
      <c r="D146" s="1065" t="s">
        <v>106</v>
      </c>
      <c r="E146" s="1065" t="s">
        <v>93</v>
      </c>
      <c r="G146" s="1066">
        <v>1.0</v>
      </c>
      <c r="H146" s="1066">
        <v>1.0</v>
      </c>
      <c r="I146" s="1066">
        <v>0.0</v>
      </c>
      <c r="J146" s="548" t="s">
        <v>11130</v>
      </c>
      <c r="K146" s="548"/>
      <c r="L146" s="548"/>
      <c r="M146" s="688"/>
      <c r="O146" s="1067" t="str">
        <f t="shared" si="1"/>
        <v/>
      </c>
      <c r="P146" s="1067">
        <f t="shared" si="3"/>
        <v>0</v>
      </c>
      <c r="Q146" s="1067">
        <f t="shared" si="2"/>
        <v>0</v>
      </c>
    </row>
    <row r="147" hidden="1">
      <c r="A147" s="548" t="s">
        <v>435</v>
      </c>
      <c r="B147" s="1065" t="s">
        <v>11131</v>
      </c>
      <c r="C147" s="548" t="s">
        <v>434</v>
      </c>
      <c r="D147" s="688" t="s">
        <v>92</v>
      </c>
      <c r="E147" s="548" t="s">
        <v>93</v>
      </c>
      <c r="G147" s="1066">
        <v>1.0</v>
      </c>
      <c r="H147" s="1066">
        <v>1.0</v>
      </c>
      <c r="I147" s="1066">
        <v>0.0</v>
      </c>
      <c r="J147" s="548" t="s">
        <v>11132</v>
      </c>
      <c r="K147" s="548"/>
      <c r="L147" s="548"/>
      <c r="M147" s="688"/>
      <c r="O147" s="1067" t="str">
        <f t="shared" si="1"/>
        <v/>
      </c>
      <c r="P147" s="1067">
        <f t="shared" si="3"/>
        <v>0</v>
      </c>
      <c r="Q147" s="1067">
        <f t="shared" si="2"/>
        <v>0</v>
      </c>
    </row>
    <row r="148" hidden="1">
      <c r="A148" s="548" t="s">
        <v>2203</v>
      </c>
      <c r="B148" s="1065" t="s">
        <v>11133</v>
      </c>
      <c r="C148" s="548" t="s">
        <v>2204</v>
      </c>
      <c r="D148" s="548" t="s">
        <v>62</v>
      </c>
      <c r="E148" s="548" t="s">
        <v>101</v>
      </c>
      <c r="G148" s="1066">
        <v>1.0</v>
      </c>
      <c r="H148" s="1066">
        <v>1.0</v>
      </c>
      <c r="I148" s="1066">
        <v>0.0</v>
      </c>
      <c r="J148" s="548"/>
      <c r="K148" s="548"/>
      <c r="L148" s="548"/>
      <c r="M148" s="688"/>
      <c r="O148" s="1067" t="str">
        <f t="shared" si="1"/>
        <v/>
      </c>
      <c r="P148" s="1067">
        <f t="shared" si="3"/>
        <v>0</v>
      </c>
      <c r="Q148" s="1067">
        <f t="shared" si="2"/>
        <v>0</v>
      </c>
    </row>
    <row r="149" hidden="1">
      <c r="A149" s="548" t="s">
        <v>2209</v>
      </c>
      <c r="B149" s="1065" t="s">
        <v>10367</v>
      </c>
      <c r="C149" s="548" t="s">
        <v>2005</v>
      </c>
      <c r="D149" s="688" t="s">
        <v>2322</v>
      </c>
      <c r="E149" s="548" t="s">
        <v>93</v>
      </c>
      <c r="G149" s="1066">
        <v>1.0</v>
      </c>
      <c r="H149" s="1066">
        <v>1.0</v>
      </c>
      <c r="I149" s="1066">
        <v>0.0</v>
      </c>
      <c r="J149" s="548" t="s">
        <v>11134</v>
      </c>
      <c r="K149" s="548"/>
      <c r="L149" s="548"/>
      <c r="M149" s="688"/>
      <c r="O149" s="1067" t="str">
        <f t="shared" si="1"/>
        <v/>
      </c>
      <c r="P149" s="1067">
        <f t="shared" si="3"/>
        <v>0</v>
      </c>
      <c r="Q149" s="1067">
        <f t="shared" si="2"/>
        <v>0</v>
      </c>
    </row>
    <row r="150" hidden="1">
      <c r="A150" s="548" t="s">
        <v>84</v>
      </c>
      <c r="B150" s="1065" t="s">
        <v>11135</v>
      </c>
      <c r="C150" s="548" t="s">
        <v>85</v>
      </c>
      <c r="D150" s="688" t="s">
        <v>86</v>
      </c>
      <c r="E150" s="548" t="s">
        <v>93</v>
      </c>
      <c r="G150" s="1066">
        <v>1.0</v>
      </c>
      <c r="H150" s="1066">
        <v>1.0</v>
      </c>
      <c r="I150" s="1066">
        <v>0.0</v>
      </c>
      <c r="J150" s="548" t="s">
        <v>11132</v>
      </c>
      <c r="K150" s="548"/>
      <c r="L150" s="548"/>
      <c r="M150" s="688"/>
      <c r="O150" s="1067" t="str">
        <f t="shared" si="1"/>
        <v/>
      </c>
      <c r="P150" s="1067">
        <f t="shared" si="3"/>
        <v>0</v>
      </c>
      <c r="Q150" s="1067">
        <f t="shared" si="2"/>
        <v>0</v>
      </c>
    </row>
    <row r="151" hidden="1">
      <c r="A151" s="548" t="s">
        <v>2240</v>
      </c>
      <c r="B151" s="1065" t="s">
        <v>7281</v>
      </c>
      <c r="C151" s="548" t="s">
        <v>2241</v>
      </c>
      <c r="D151" s="548" t="s">
        <v>62</v>
      </c>
      <c r="E151" s="548" t="s">
        <v>93</v>
      </c>
      <c r="F151" s="548" t="s">
        <v>109</v>
      </c>
      <c r="G151" s="1066">
        <v>5.0</v>
      </c>
      <c r="H151" s="1066">
        <v>5.0</v>
      </c>
      <c r="I151" s="1066">
        <v>0.0</v>
      </c>
      <c r="J151" s="548" t="s">
        <v>11136</v>
      </c>
      <c r="K151" s="548"/>
      <c r="L151" s="548"/>
      <c r="M151" s="688"/>
      <c r="O151" s="1067" t="str">
        <f t="shared" si="1"/>
        <v/>
      </c>
      <c r="P151" s="1067">
        <f t="shared" si="3"/>
        <v>0</v>
      </c>
      <c r="Q151" s="1067">
        <f t="shared" si="2"/>
        <v>0</v>
      </c>
    </row>
    <row r="152" hidden="1">
      <c r="A152" s="548" t="s">
        <v>2248</v>
      </c>
      <c r="B152" s="1065" t="s">
        <v>11137</v>
      </c>
      <c r="C152" s="548" t="s">
        <v>2249</v>
      </c>
      <c r="D152" s="688" t="s">
        <v>62</v>
      </c>
      <c r="E152" s="548" t="s">
        <v>93</v>
      </c>
      <c r="G152" s="1066">
        <v>1.0</v>
      </c>
      <c r="H152" s="1066">
        <v>1.0</v>
      </c>
      <c r="I152" s="1066">
        <v>0.0</v>
      </c>
      <c r="J152" s="548" t="s">
        <v>11138</v>
      </c>
      <c r="K152" s="548"/>
      <c r="L152" s="548"/>
      <c r="M152" s="688"/>
      <c r="O152" s="1067" t="str">
        <f t="shared" si="1"/>
        <v/>
      </c>
      <c r="P152" s="1067">
        <f t="shared" si="3"/>
        <v>0</v>
      </c>
      <c r="Q152" s="1067">
        <f t="shared" si="2"/>
        <v>0</v>
      </c>
    </row>
    <row r="153" hidden="1">
      <c r="A153" s="548" t="s">
        <v>2259</v>
      </c>
      <c r="B153" s="1065" t="s">
        <v>11139</v>
      </c>
      <c r="C153" s="548" t="s">
        <v>1267</v>
      </c>
      <c r="D153" s="688" t="s">
        <v>106</v>
      </c>
      <c r="E153" s="548" t="s">
        <v>93</v>
      </c>
      <c r="G153" s="1066">
        <v>1.0</v>
      </c>
      <c r="H153" s="1066">
        <v>1.0</v>
      </c>
      <c r="I153" s="1066">
        <v>0.0</v>
      </c>
      <c r="J153" s="548" t="s">
        <v>11140</v>
      </c>
      <c r="K153" s="548"/>
      <c r="L153" s="548"/>
      <c r="M153" s="688"/>
      <c r="O153" s="1067" t="str">
        <f t="shared" si="1"/>
        <v/>
      </c>
      <c r="P153" s="1067">
        <f t="shared" si="3"/>
        <v>0</v>
      </c>
      <c r="Q153" s="1067">
        <f t="shared" si="2"/>
        <v>0</v>
      </c>
    </row>
    <row r="154" hidden="1">
      <c r="A154" s="548" t="s">
        <v>2260</v>
      </c>
      <c r="B154" s="1065" t="s">
        <v>11141</v>
      </c>
      <c r="C154" s="548" t="s">
        <v>2261</v>
      </c>
      <c r="D154" s="688" t="s">
        <v>104</v>
      </c>
      <c r="E154" s="548" t="s">
        <v>93</v>
      </c>
      <c r="G154" s="1066">
        <v>2.0</v>
      </c>
      <c r="H154" s="1066">
        <v>2.0</v>
      </c>
      <c r="I154" s="1066">
        <v>0.0</v>
      </c>
      <c r="J154" s="548" t="s">
        <v>11140</v>
      </c>
      <c r="K154" s="548"/>
      <c r="L154" s="548"/>
      <c r="M154" s="688"/>
      <c r="O154" s="1067" t="str">
        <f t="shared" si="1"/>
        <v/>
      </c>
      <c r="P154" s="1067">
        <f t="shared" si="3"/>
        <v>0</v>
      </c>
      <c r="Q154" s="1067">
        <f t="shared" si="2"/>
        <v>0</v>
      </c>
    </row>
    <row r="155" hidden="1">
      <c r="A155" s="548" t="s">
        <v>2262</v>
      </c>
      <c r="B155" s="1065" t="s">
        <v>11142</v>
      </c>
      <c r="C155" s="548" t="s">
        <v>2261</v>
      </c>
      <c r="D155" s="548" t="s">
        <v>106</v>
      </c>
      <c r="E155" s="548" t="s">
        <v>93</v>
      </c>
      <c r="G155" s="1066">
        <v>1.0</v>
      </c>
      <c r="H155" s="1066">
        <v>1.0</v>
      </c>
      <c r="I155" s="1066">
        <v>0.0</v>
      </c>
      <c r="J155" s="548"/>
      <c r="K155" s="548"/>
      <c r="L155" s="548"/>
      <c r="M155" s="688"/>
      <c r="O155" s="1067" t="str">
        <f t="shared" si="1"/>
        <v/>
      </c>
      <c r="P155" s="1067">
        <f t="shared" si="3"/>
        <v>0</v>
      </c>
      <c r="Q155" s="1067">
        <f t="shared" si="2"/>
        <v>0</v>
      </c>
    </row>
    <row r="156" hidden="1">
      <c r="A156" s="1065" t="s">
        <v>608</v>
      </c>
      <c r="B156" s="1065" t="s">
        <v>11143</v>
      </c>
      <c r="C156" s="1065" t="s">
        <v>609</v>
      </c>
      <c r="D156" s="1065" t="s">
        <v>60</v>
      </c>
      <c r="E156" s="548" t="s">
        <v>89</v>
      </c>
      <c r="F156" s="1065" t="s">
        <v>137</v>
      </c>
      <c r="G156" s="1066">
        <v>2.0</v>
      </c>
      <c r="H156" s="1066">
        <v>2.0</v>
      </c>
      <c r="I156" s="1066">
        <v>0.0</v>
      </c>
      <c r="J156" s="548" t="s">
        <v>11112</v>
      </c>
      <c r="K156" s="548"/>
      <c r="L156" s="548"/>
      <c r="M156" s="688"/>
      <c r="O156" s="1067" t="str">
        <f t="shared" si="1"/>
        <v/>
      </c>
      <c r="P156" s="1067">
        <f t="shared" si="3"/>
        <v>0</v>
      </c>
      <c r="Q156" s="1067">
        <f t="shared" si="2"/>
        <v>0</v>
      </c>
    </row>
    <row r="157" hidden="1">
      <c r="A157" s="548" t="s">
        <v>2313</v>
      </c>
      <c r="B157" s="1065" t="s">
        <v>11144</v>
      </c>
      <c r="C157" s="548" t="s">
        <v>2314</v>
      </c>
      <c r="D157" s="688" t="s">
        <v>60</v>
      </c>
      <c r="E157" s="548" t="s">
        <v>1633</v>
      </c>
      <c r="F157" s="548" t="s">
        <v>1912</v>
      </c>
      <c r="G157" s="1066">
        <v>3.0</v>
      </c>
      <c r="H157" s="1066">
        <v>3.0</v>
      </c>
      <c r="I157" s="1066">
        <v>0.0</v>
      </c>
      <c r="J157" s="548" t="s">
        <v>11086</v>
      </c>
      <c r="K157" s="548"/>
      <c r="L157" s="548"/>
      <c r="M157" s="688"/>
      <c r="O157" s="1067" t="str">
        <f t="shared" si="1"/>
        <v/>
      </c>
      <c r="P157" s="1067">
        <f t="shared" si="3"/>
        <v>0</v>
      </c>
      <c r="Q157" s="1067">
        <f t="shared" si="2"/>
        <v>0</v>
      </c>
    </row>
    <row r="158" hidden="1">
      <c r="A158" s="548" t="s">
        <v>260</v>
      </c>
      <c r="B158" s="1065" t="s">
        <v>8723</v>
      </c>
      <c r="C158" s="548" t="s">
        <v>261</v>
      </c>
      <c r="D158" s="688" t="s">
        <v>60</v>
      </c>
      <c r="E158" s="548" t="s">
        <v>16</v>
      </c>
      <c r="F158" s="548" t="s">
        <v>137</v>
      </c>
      <c r="G158" s="1066">
        <v>1.0</v>
      </c>
      <c r="H158" s="1066">
        <v>1.0</v>
      </c>
      <c r="I158" s="1066">
        <v>0.0</v>
      </c>
      <c r="M158" s="688"/>
      <c r="O158" s="1067" t="str">
        <f t="shared" si="1"/>
        <v/>
      </c>
      <c r="P158" s="1067">
        <f t="shared" si="3"/>
        <v>0</v>
      </c>
      <c r="Q158" s="1067">
        <f t="shared" si="2"/>
        <v>0</v>
      </c>
    </row>
    <row r="159" hidden="1">
      <c r="A159" s="548" t="s">
        <v>2315</v>
      </c>
      <c r="B159" s="1065" t="s">
        <v>11145</v>
      </c>
      <c r="C159" s="548" t="s">
        <v>2316</v>
      </c>
      <c r="D159" s="688" t="s">
        <v>104</v>
      </c>
      <c r="E159" s="548" t="s">
        <v>93</v>
      </c>
      <c r="G159" s="1066">
        <v>1.0</v>
      </c>
      <c r="H159" s="1066">
        <v>1.0</v>
      </c>
      <c r="I159" s="1066">
        <v>0.0</v>
      </c>
      <c r="M159" s="688"/>
      <c r="O159" s="1067" t="str">
        <f t="shared" si="1"/>
        <v/>
      </c>
      <c r="P159" s="1067">
        <f t="shared" si="3"/>
        <v>0</v>
      </c>
      <c r="Q159" s="1067">
        <f t="shared" si="2"/>
        <v>0</v>
      </c>
    </row>
    <row r="160" hidden="1">
      <c r="A160" s="548" t="s">
        <v>2341</v>
      </c>
      <c r="B160" s="1065" t="s">
        <v>4214</v>
      </c>
      <c r="C160" s="548" t="s">
        <v>11146</v>
      </c>
      <c r="D160" s="548" t="s">
        <v>60</v>
      </c>
      <c r="E160" s="548" t="s">
        <v>16</v>
      </c>
      <c r="F160" s="548" t="s">
        <v>90</v>
      </c>
      <c r="G160" s="1066">
        <v>1.0</v>
      </c>
      <c r="H160" s="1066">
        <v>1.0</v>
      </c>
      <c r="I160" s="1066">
        <v>0.0</v>
      </c>
      <c r="M160" s="688"/>
      <c r="O160" s="1067" t="str">
        <f t="shared" si="1"/>
        <v/>
      </c>
      <c r="P160" s="1067">
        <f t="shared" si="3"/>
        <v>0</v>
      </c>
      <c r="Q160" s="1067">
        <f t="shared" si="2"/>
        <v>0</v>
      </c>
    </row>
    <row r="161" hidden="1">
      <c r="A161" s="548" t="s">
        <v>2041</v>
      </c>
      <c r="B161" s="1065" t="s">
        <v>11147</v>
      </c>
      <c r="C161" s="548" t="s">
        <v>2348</v>
      </c>
      <c r="D161" s="548" t="s">
        <v>106</v>
      </c>
      <c r="E161" s="548" t="s">
        <v>93</v>
      </c>
      <c r="G161" s="1066">
        <v>1.0</v>
      </c>
      <c r="H161" s="1066">
        <v>1.0</v>
      </c>
      <c r="I161" s="1066">
        <v>0.0</v>
      </c>
      <c r="M161" s="688"/>
      <c r="O161" s="1067" t="str">
        <f t="shared" si="1"/>
        <v/>
      </c>
      <c r="P161" s="1067">
        <f t="shared" si="3"/>
        <v>0</v>
      </c>
      <c r="Q161" s="1067">
        <f t="shared" si="2"/>
        <v>0</v>
      </c>
    </row>
    <row r="162" hidden="1">
      <c r="A162" s="548" t="s">
        <v>2355</v>
      </c>
      <c r="B162" s="1065" t="s">
        <v>11148</v>
      </c>
      <c r="C162" s="548" t="s">
        <v>1731</v>
      </c>
      <c r="D162" s="548" t="s">
        <v>106</v>
      </c>
      <c r="E162" s="548" t="s">
        <v>101</v>
      </c>
      <c r="G162" s="1066">
        <v>1.0</v>
      </c>
      <c r="H162" s="1066">
        <v>1.0</v>
      </c>
      <c r="I162" s="1066">
        <v>0.0</v>
      </c>
      <c r="M162" s="688"/>
      <c r="O162" s="1067" t="str">
        <f t="shared" si="1"/>
        <v/>
      </c>
      <c r="P162" s="1067">
        <f t="shared" si="3"/>
        <v>0</v>
      </c>
      <c r="Q162" s="1067">
        <f t="shared" si="2"/>
        <v>0</v>
      </c>
    </row>
    <row r="163" hidden="1">
      <c r="A163" s="548" t="s">
        <v>2356</v>
      </c>
      <c r="B163" s="1065" t="s">
        <v>11149</v>
      </c>
      <c r="C163" s="548" t="s">
        <v>2357</v>
      </c>
      <c r="D163" s="548" t="s">
        <v>62</v>
      </c>
      <c r="E163" s="548" t="s">
        <v>93</v>
      </c>
      <c r="G163" s="1066">
        <v>1.0</v>
      </c>
      <c r="H163" s="1066">
        <v>1.0</v>
      </c>
      <c r="I163" s="1066">
        <v>0.0</v>
      </c>
      <c r="M163" s="688"/>
      <c r="O163" s="1067" t="str">
        <f t="shared" si="1"/>
        <v/>
      </c>
      <c r="P163" s="1067">
        <f t="shared" si="3"/>
        <v>0</v>
      </c>
      <c r="Q163" s="1067">
        <f t="shared" si="2"/>
        <v>0</v>
      </c>
    </row>
    <row r="164" hidden="1">
      <c r="A164" s="548" t="s">
        <v>2358</v>
      </c>
      <c r="B164" s="1065" t="s">
        <v>11150</v>
      </c>
      <c r="C164" s="548" t="s">
        <v>2359</v>
      </c>
      <c r="D164" s="548" t="s">
        <v>60</v>
      </c>
      <c r="E164" s="548" t="s">
        <v>1633</v>
      </c>
      <c r="F164" s="548" t="s">
        <v>109</v>
      </c>
      <c r="G164" s="1066">
        <v>1.0</v>
      </c>
      <c r="H164" s="1066">
        <v>1.0</v>
      </c>
      <c r="I164" s="1066">
        <v>0.0</v>
      </c>
      <c r="M164" s="688"/>
      <c r="O164" s="1067" t="str">
        <f t="shared" si="1"/>
        <v/>
      </c>
      <c r="P164" s="1067">
        <f t="shared" si="3"/>
        <v>0</v>
      </c>
      <c r="Q164" s="1067">
        <f t="shared" si="2"/>
        <v>0</v>
      </c>
    </row>
    <row r="165" hidden="1">
      <c r="A165" s="548" t="s">
        <v>2360</v>
      </c>
      <c r="B165" s="1065" t="s">
        <v>5819</v>
      </c>
      <c r="C165" s="548" t="s">
        <v>2363</v>
      </c>
      <c r="D165" s="548" t="s">
        <v>60</v>
      </c>
      <c r="E165" s="548" t="s">
        <v>16</v>
      </c>
      <c r="F165" s="548" t="s">
        <v>90</v>
      </c>
      <c r="G165" s="1066">
        <v>1.0</v>
      </c>
      <c r="H165" s="1066">
        <v>1.0</v>
      </c>
      <c r="I165" s="1066">
        <v>0.0</v>
      </c>
      <c r="J165" s="548" t="s">
        <v>11096</v>
      </c>
      <c r="K165" s="548"/>
      <c r="L165" s="548"/>
      <c r="M165" s="688"/>
      <c r="O165" s="1067" t="str">
        <f t="shared" si="1"/>
        <v/>
      </c>
      <c r="P165" s="1067">
        <f t="shared" si="3"/>
        <v>0</v>
      </c>
      <c r="Q165" s="1067">
        <f t="shared" si="2"/>
        <v>0</v>
      </c>
    </row>
    <row r="166" hidden="1">
      <c r="A166" s="548" t="s">
        <v>1556</v>
      </c>
      <c r="B166" s="1065" t="s">
        <v>11047</v>
      </c>
      <c r="C166" s="548" t="s">
        <v>2365</v>
      </c>
      <c r="D166" s="548" t="s">
        <v>60</v>
      </c>
      <c r="E166" s="548" t="s">
        <v>16</v>
      </c>
      <c r="F166" s="548" t="s">
        <v>1558</v>
      </c>
      <c r="G166" s="1066">
        <v>1.0</v>
      </c>
      <c r="H166" s="1066">
        <v>1.0</v>
      </c>
      <c r="I166" s="1066">
        <v>0.0</v>
      </c>
      <c r="M166" s="688"/>
      <c r="O166" s="1067" t="str">
        <f t="shared" si="1"/>
        <v/>
      </c>
      <c r="P166" s="1067">
        <f t="shared" si="3"/>
        <v>0</v>
      </c>
      <c r="Q166" s="1067">
        <f t="shared" si="2"/>
        <v>0</v>
      </c>
    </row>
    <row r="167" hidden="1">
      <c r="A167" s="548" t="s">
        <v>1814</v>
      </c>
      <c r="B167" s="1065" t="s">
        <v>6129</v>
      </c>
      <c r="C167" s="548" t="s">
        <v>2368</v>
      </c>
      <c r="D167" s="548" t="s">
        <v>62</v>
      </c>
      <c r="E167" s="548" t="s">
        <v>101</v>
      </c>
      <c r="F167" s="548" t="s">
        <v>119</v>
      </c>
      <c r="G167" s="1066">
        <v>1.0</v>
      </c>
      <c r="H167" s="1066">
        <v>1.0</v>
      </c>
      <c r="I167" s="1066">
        <v>0.0</v>
      </c>
      <c r="J167" s="548" t="s">
        <v>113</v>
      </c>
      <c r="K167" s="548"/>
      <c r="L167" s="548"/>
      <c r="M167" s="688"/>
      <c r="O167" s="1067" t="str">
        <f t="shared" si="1"/>
        <v/>
      </c>
      <c r="P167" s="1067">
        <f t="shared" si="3"/>
        <v>0</v>
      </c>
      <c r="Q167" s="1067">
        <f t="shared" si="2"/>
        <v>0</v>
      </c>
    </row>
    <row r="168" hidden="1">
      <c r="A168" s="548" t="s">
        <v>1729</v>
      </c>
      <c r="B168" s="1065" t="s">
        <v>11151</v>
      </c>
      <c r="C168" s="548" t="s">
        <v>2372</v>
      </c>
      <c r="D168" s="548" t="s">
        <v>62</v>
      </c>
      <c r="E168" s="548" t="s">
        <v>2373</v>
      </c>
      <c r="F168" s="548" t="s">
        <v>109</v>
      </c>
      <c r="G168" s="1066">
        <v>1.0</v>
      </c>
      <c r="H168" s="1066">
        <v>1.0</v>
      </c>
      <c r="I168" s="1066">
        <v>0.0</v>
      </c>
      <c r="J168" s="548" t="s">
        <v>11152</v>
      </c>
      <c r="K168" s="548"/>
      <c r="L168" s="548"/>
      <c r="M168" s="688"/>
      <c r="O168" s="1067" t="str">
        <f t="shared" si="1"/>
        <v/>
      </c>
      <c r="P168" s="1067">
        <f t="shared" si="3"/>
        <v>0</v>
      </c>
      <c r="Q168" s="1067">
        <f t="shared" si="2"/>
        <v>0</v>
      </c>
    </row>
    <row r="169" hidden="1">
      <c r="A169" s="548" t="s">
        <v>2386</v>
      </c>
      <c r="B169" s="1065" t="s">
        <v>11153</v>
      </c>
      <c r="C169" s="548" t="s">
        <v>1924</v>
      </c>
      <c r="D169" s="548" t="s">
        <v>106</v>
      </c>
      <c r="E169" s="548" t="s">
        <v>2086</v>
      </c>
      <c r="G169" s="1066">
        <v>1.0</v>
      </c>
      <c r="H169" s="1066">
        <v>1.0</v>
      </c>
      <c r="I169" s="1066">
        <v>0.0</v>
      </c>
      <c r="M169" s="688"/>
      <c r="O169" s="1067" t="str">
        <f t="shared" si="1"/>
        <v/>
      </c>
      <c r="P169" s="1067">
        <f t="shared" si="3"/>
        <v>0</v>
      </c>
      <c r="Q169" s="1067">
        <f t="shared" si="2"/>
        <v>0</v>
      </c>
    </row>
    <row r="170" hidden="1">
      <c r="A170" s="548" t="s">
        <v>2392</v>
      </c>
      <c r="B170" s="1065" t="s">
        <v>11154</v>
      </c>
      <c r="C170" s="548" t="s">
        <v>111</v>
      </c>
      <c r="D170" s="548" t="s">
        <v>116</v>
      </c>
      <c r="E170" s="548" t="s">
        <v>101</v>
      </c>
      <c r="F170" s="548" t="s">
        <v>109</v>
      </c>
      <c r="G170" s="1066">
        <v>1.0</v>
      </c>
      <c r="H170" s="1066">
        <v>1.0</v>
      </c>
      <c r="I170" s="1066">
        <v>0.0</v>
      </c>
      <c r="M170" s="688"/>
      <c r="O170" s="1067" t="str">
        <f t="shared" si="1"/>
        <v/>
      </c>
      <c r="P170" s="1067">
        <f t="shared" si="3"/>
        <v>0</v>
      </c>
      <c r="Q170" s="1067">
        <f t="shared" si="2"/>
        <v>0</v>
      </c>
    </row>
    <row r="171" hidden="1">
      <c r="A171" s="548" t="s">
        <v>2303</v>
      </c>
      <c r="B171" s="1065" t="s">
        <v>4287</v>
      </c>
      <c r="C171" s="548" t="s">
        <v>2304</v>
      </c>
      <c r="D171" s="548" t="s">
        <v>60</v>
      </c>
      <c r="E171" s="548" t="s">
        <v>16</v>
      </c>
      <c r="F171" s="548" t="s">
        <v>314</v>
      </c>
      <c r="G171" s="1066">
        <v>1.0</v>
      </c>
      <c r="H171" s="1066">
        <v>1.0</v>
      </c>
      <c r="I171" s="1066">
        <v>0.0</v>
      </c>
      <c r="M171" s="688"/>
      <c r="O171" s="1067" t="str">
        <f t="shared" si="1"/>
        <v/>
      </c>
      <c r="P171" s="1067">
        <f t="shared" si="3"/>
        <v>0</v>
      </c>
      <c r="Q171" s="1067">
        <f t="shared" si="2"/>
        <v>0</v>
      </c>
    </row>
    <row r="172" hidden="1">
      <c r="A172" s="548" t="s">
        <v>2302</v>
      </c>
      <c r="B172" s="1065" t="s">
        <v>11155</v>
      </c>
      <c r="C172" s="548" t="s">
        <v>2214</v>
      </c>
      <c r="D172" s="548" t="s">
        <v>116</v>
      </c>
      <c r="E172" s="548" t="s">
        <v>101</v>
      </c>
      <c r="F172" s="548" t="s">
        <v>109</v>
      </c>
      <c r="G172" s="1066">
        <v>1.0</v>
      </c>
      <c r="H172" s="1066">
        <v>1.0</v>
      </c>
      <c r="I172" s="1066">
        <v>0.0</v>
      </c>
      <c r="M172" s="688"/>
      <c r="O172" s="1067" t="str">
        <f t="shared" si="1"/>
        <v/>
      </c>
      <c r="P172" s="1067">
        <f t="shared" si="3"/>
        <v>0</v>
      </c>
      <c r="Q172" s="1067">
        <f t="shared" si="2"/>
        <v>0</v>
      </c>
    </row>
    <row r="173" hidden="1">
      <c r="A173" s="548" t="s">
        <v>2397</v>
      </c>
      <c r="B173" s="1065" t="s">
        <v>7553</v>
      </c>
      <c r="C173" s="548" t="s">
        <v>2398</v>
      </c>
      <c r="D173" s="548" t="s">
        <v>86</v>
      </c>
      <c r="E173" s="548" t="s">
        <v>93</v>
      </c>
      <c r="G173" s="1066">
        <v>1.0</v>
      </c>
      <c r="H173" s="1066">
        <v>1.0</v>
      </c>
      <c r="I173" s="1066">
        <v>0.0</v>
      </c>
      <c r="M173" s="688"/>
      <c r="O173" s="1067" t="str">
        <f t="shared" si="1"/>
        <v/>
      </c>
      <c r="P173" s="1067">
        <f t="shared" si="3"/>
        <v>0</v>
      </c>
      <c r="Q173" s="1067">
        <f t="shared" si="2"/>
        <v>0</v>
      </c>
    </row>
    <row r="174" hidden="1">
      <c r="A174" s="548" t="s">
        <v>2407</v>
      </c>
      <c r="B174" s="1065" t="s">
        <v>4745</v>
      </c>
      <c r="C174" s="548" t="s">
        <v>2215</v>
      </c>
      <c r="D174" s="548" t="s">
        <v>106</v>
      </c>
      <c r="E174" s="548" t="s">
        <v>101</v>
      </c>
      <c r="G174" s="1066">
        <v>1.0</v>
      </c>
      <c r="H174" s="1066">
        <v>1.0</v>
      </c>
      <c r="I174" s="1066">
        <v>0.0</v>
      </c>
      <c r="M174" s="688"/>
      <c r="O174" s="1067" t="str">
        <f t="shared" si="1"/>
        <v/>
      </c>
      <c r="P174" s="1067">
        <f t="shared" si="3"/>
        <v>0</v>
      </c>
      <c r="Q174" s="1067">
        <f t="shared" si="2"/>
        <v>0</v>
      </c>
    </row>
    <row r="175" hidden="1">
      <c r="A175" s="548" t="s">
        <v>1131</v>
      </c>
      <c r="B175" s="1065" t="s">
        <v>10757</v>
      </c>
      <c r="C175" s="548" t="s">
        <v>2404</v>
      </c>
      <c r="D175" s="548" t="s">
        <v>60</v>
      </c>
      <c r="E175" s="548" t="s">
        <v>101</v>
      </c>
      <c r="F175" s="548" t="s">
        <v>2403</v>
      </c>
      <c r="G175" s="1066">
        <v>1.0</v>
      </c>
      <c r="H175" s="1066">
        <v>1.0</v>
      </c>
      <c r="I175" s="1066">
        <v>0.0</v>
      </c>
      <c r="M175" s="688"/>
      <c r="O175" s="1067" t="str">
        <f t="shared" si="1"/>
        <v/>
      </c>
      <c r="P175" s="1067">
        <f t="shared" si="3"/>
        <v>0</v>
      </c>
      <c r="Q175" s="1067">
        <f t="shared" si="2"/>
        <v>0</v>
      </c>
    </row>
    <row r="176" hidden="1">
      <c r="A176" s="548" t="s">
        <v>1631</v>
      </c>
      <c r="B176" s="1065" t="s">
        <v>4473</v>
      </c>
      <c r="C176" s="548" t="s">
        <v>2331</v>
      </c>
      <c r="D176" s="548" t="s">
        <v>60</v>
      </c>
      <c r="E176" s="548" t="s">
        <v>101</v>
      </c>
      <c r="F176" s="548" t="s">
        <v>745</v>
      </c>
      <c r="G176" s="1066">
        <v>1.0</v>
      </c>
      <c r="H176" s="1066">
        <v>1.0</v>
      </c>
      <c r="I176" s="1066">
        <v>0.0</v>
      </c>
      <c r="M176" s="688"/>
      <c r="O176" s="1067" t="str">
        <f t="shared" si="1"/>
        <v/>
      </c>
      <c r="P176" s="1067">
        <f t="shared" si="3"/>
        <v>0</v>
      </c>
      <c r="Q176" s="1067">
        <f t="shared" si="2"/>
        <v>0</v>
      </c>
    </row>
    <row r="177" hidden="1">
      <c r="A177" s="548" t="s">
        <v>281</v>
      </c>
      <c r="B177" s="1065" t="s">
        <v>11156</v>
      </c>
      <c r="C177" s="548" t="s">
        <v>282</v>
      </c>
      <c r="D177" s="548" t="s">
        <v>60</v>
      </c>
      <c r="E177" s="548" t="s">
        <v>101</v>
      </c>
      <c r="F177" s="548" t="s">
        <v>109</v>
      </c>
      <c r="G177" s="1066">
        <v>1.0</v>
      </c>
      <c r="H177" s="1066">
        <v>1.0</v>
      </c>
      <c r="I177" s="1066">
        <v>0.0</v>
      </c>
      <c r="M177" s="688"/>
      <c r="O177" s="1067" t="str">
        <f t="shared" si="1"/>
        <v/>
      </c>
      <c r="P177" s="1067">
        <f t="shared" si="3"/>
        <v>0</v>
      </c>
      <c r="Q177" s="1067">
        <f t="shared" si="2"/>
        <v>0</v>
      </c>
    </row>
    <row r="178" hidden="1">
      <c r="A178" s="548" t="s">
        <v>2412</v>
      </c>
      <c r="B178" s="1065" t="s">
        <v>11157</v>
      </c>
      <c r="C178" s="548" t="s">
        <v>2413</v>
      </c>
      <c r="D178" s="548" t="s">
        <v>60</v>
      </c>
      <c r="E178" s="548" t="s">
        <v>1633</v>
      </c>
      <c r="F178" s="548" t="s">
        <v>137</v>
      </c>
      <c r="G178" s="1066">
        <v>1.0</v>
      </c>
      <c r="H178" s="1066">
        <v>1.0</v>
      </c>
      <c r="I178" s="1066">
        <v>0.0</v>
      </c>
      <c r="M178" s="688"/>
      <c r="O178" s="1067" t="str">
        <f t="shared" si="1"/>
        <v/>
      </c>
      <c r="P178" s="1067">
        <f t="shared" si="3"/>
        <v>0</v>
      </c>
      <c r="Q178" s="1067">
        <f t="shared" si="2"/>
        <v>0</v>
      </c>
    </row>
    <row r="179" hidden="1">
      <c r="A179" s="548" t="s">
        <v>2414</v>
      </c>
      <c r="B179" s="1065" t="s">
        <v>3515</v>
      </c>
      <c r="C179" s="548" t="s">
        <v>2415</v>
      </c>
      <c r="D179" s="548" t="s">
        <v>62</v>
      </c>
      <c r="E179" s="548" t="s">
        <v>101</v>
      </c>
      <c r="F179" s="548" t="s">
        <v>83</v>
      </c>
      <c r="G179" s="1066">
        <v>1.0</v>
      </c>
      <c r="H179" s="1066">
        <v>1.0</v>
      </c>
      <c r="I179" s="1066">
        <v>0.0</v>
      </c>
      <c r="M179" s="688"/>
      <c r="O179" s="1067" t="str">
        <f t="shared" si="1"/>
        <v/>
      </c>
      <c r="P179" s="1067">
        <f t="shared" si="3"/>
        <v>0</v>
      </c>
      <c r="Q179" s="1067">
        <f t="shared" si="2"/>
        <v>0</v>
      </c>
    </row>
    <row r="180" hidden="1">
      <c r="A180" s="548" t="s">
        <v>1167</v>
      </c>
      <c r="B180" s="1065" t="s">
        <v>5326</v>
      </c>
      <c r="C180" s="548" t="s">
        <v>2368</v>
      </c>
      <c r="D180" s="548" t="s">
        <v>62</v>
      </c>
      <c r="E180" s="548" t="s">
        <v>101</v>
      </c>
      <c r="F180" s="548" t="s">
        <v>100</v>
      </c>
      <c r="G180" s="1066">
        <v>1.0</v>
      </c>
      <c r="H180" s="1066">
        <v>1.0</v>
      </c>
      <c r="I180" s="1066">
        <v>0.0</v>
      </c>
      <c r="M180" s="688"/>
      <c r="O180" s="1067" t="str">
        <f t="shared" si="1"/>
        <v/>
      </c>
      <c r="P180" s="1067">
        <f t="shared" si="3"/>
        <v>0</v>
      </c>
      <c r="Q180" s="1067">
        <f t="shared" si="2"/>
        <v>0</v>
      </c>
    </row>
    <row r="181" hidden="1">
      <c r="A181" s="548" t="s">
        <v>482</v>
      </c>
      <c r="B181" s="1065" t="s">
        <v>5562</v>
      </c>
      <c r="C181" s="548" t="s">
        <v>2417</v>
      </c>
      <c r="D181" s="548" t="s">
        <v>60</v>
      </c>
      <c r="E181" s="548" t="s">
        <v>101</v>
      </c>
      <c r="F181" s="548" t="s">
        <v>1358</v>
      </c>
      <c r="G181" s="1066">
        <v>1.0</v>
      </c>
      <c r="H181" s="1066">
        <v>1.0</v>
      </c>
      <c r="I181" s="1066">
        <v>0.0</v>
      </c>
      <c r="M181" s="688"/>
      <c r="O181" s="1067" t="str">
        <f t="shared" si="1"/>
        <v/>
      </c>
      <c r="P181" s="1067">
        <f t="shared" si="3"/>
        <v>0</v>
      </c>
      <c r="Q181" s="1067">
        <f t="shared" si="2"/>
        <v>0</v>
      </c>
    </row>
    <row r="182" hidden="1">
      <c r="A182" s="548" t="s">
        <v>881</v>
      </c>
      <c r="B182" s="1065" t="s">
        <v>11158</v>
      </c>
      <c r="C182" s="548" t="s">
        <v>2420</v>
      </c>
      <c r="D182" s="548" t="s">
        <v>62</v>
      </c>
      <c r="E182" s="548" t="s">
        <v>1429</v>
      </c>
      <c r="F182" s="548" t="s">
        <v>1437</v>
      </c>
      <c r="G182" s="1066">
        <v>1.0</v>
      </c>
      <c r="H182" s="1066">
        <v>1.0</v>
      </c>
      <c r="I182" s="1066">
        <v>0.0</v>
      </c>
      <c r="M182" s="688"/>
      <c r="O182" s="1067" t="str">
        <f t="shared" si="1"/>
        <v/>
      </c>
      <c r="P182" s="1067">
        <f t="shared" si="3"/>
        <v>0</v>
      </c>
      <c r="Q182" s="1067">
        <f t="shared" si="2"/>
        <v>0</v>
      </c>
    </row>
    <row r="183" hidden="1">
      <c r="A183" s="548" t="s">
        <v>1164</v>
      </c>
      <c r="B183" s="1065" t="s">
        <v>4439</v>
      </c>
      <c r="C183" s="548" t="s">
        <v>2368</v>
      </c>
      <c r="D183" s="548" t="s">
        <v>60</v>
      </c>
      <c r="E183" s="548" t="s">
        <v>101</v>
      </c>
      <c r="F183" s="548" t="s">
        <v>1358</v>
      </c>
      <c r="G183" s="1066">
        <v>1.0</v>
      </c>
      <c r="H183" s="1066">
        <v>1.0</v>
      </c>
      <c r="I183" s="1066">
        <v>0.0</v>
      </c>
      <c r="M183" s="688"/>
      <c r="O183" s="1067" t="str">
        <f t="shared" si="1"/>
        <v/>
      </c>
      <c r="P183" s="1067">
        <f t="shared" si="3"/>
        <v>0</v>
      </c>
      <c r="Q183" s="1067">
        <f t="shared" si="2"/>
        <v>0</v>
      </c>
    </row>
    <row r="184" hidden="1">
      <c r="A184" s="548" t="s">
        <v>2426</v>
      </c>
      <c r="B184" s="1065" t="s">
        <v>5188</v>
      </c>
      <c r="C184" s="548" t="s">
        <v>1709</v>
      </c>
      <c r="D184" s="548" t="s">
        <v>1410</v>
      </c>
      <c r="E184" s="548" t="s">
        <v>101</v>
      </c>
      <c r="F184" s="548" t="s">
        <v>109</v>
      </c>
      <c r="G184" s="1066">
        <v>1.0</v>
      </c>
      <c r="H184" s="1066">
        <v>1.0</v>
      </c>
      <c r="I184" s="1066">
        <v>0.0</v>
      </c>
      <c r="M184" s="688"/>
      <c r="O184" s="1067" t="str">
        <f t="shared" si="1"/>
        <v/>
      </c>
      <c r="P184" s="1067">
        <f t="shared" si="3"/>
        <v>0</v>
      </c>
      <c r="Q184" s="1067">
        <f t="shared" si="2"/>
        <v>0</v>
      </c>
    </row>
    <row r="185" hidden="1">
      <c r="A185" s="548" t="s">
        <v>2431</v>
      </c>
      <c r="B185" s="1065" t="s">
        <v>11159</v>
      </c>
      <c r="C185" s="548" t="s">
        <v>2432</v>
      </c>
      <c r="D185" s="548" t="s">
        <v>1410</v>
      </c>
      <c r="E185" s="548" t="s">
        <v>93</v>
      </c>
      <c r="F185" s="548" t="s">
        <v>2433</v>
      </c>
      <c r="G185" s="1066">
        <v>1.0</v>
      </c>
      <c r="H185" s="1066">
        <v>1.0</v>
      </c>
      <c r="I185" s="1066">
        <v>0.0</v>
      </c>
      <c r="M185" s="688"/>
      <c r="O185" s="1067" t="str">
        <f t="shared" si="1"/>
        <v/>
      </c>
      <c r="P185" s="1067">
        <f t="shared" si="3"/>
        <v>0</v>
      </c>
      <c r="Q185" s="1067">
        <f t="shared" si="2"/>
        <v>0</v>
      </c>
    </row>
    <row r="186" hidden="1">
      <c r="A186" s="548" t="s">
        <v>2434</v>
      </c>
      <c r="B186" s="1065" t="s">
        <v>11160</v>
      </c>
      <c r="C186" s="548" t="s">
        <v>2432</v>
      </c>
      <c r="D186" s="548" t="s">
        <v>116</v>
      </c>
      <c r="E186" s="548" t="s">
        <v>93</v>
      </c>
      <c r="F186" s="548" t="s">
        <v>2433</v>
      </c>
      <c r="G186" s="1066">
        <v>0.0</v>
      </c>
      <c r="H186" s="1066">
        <v>0.0</v>
      </c>
      <c r="I186" s="1066">
        <v>0.0</v>
      </c>
      <c r="M186" s="688"/>
      <c r="O186" s="1067" t="str">
        <f t="shared" si="1"/>
        <v/>
      </c>
      <c r="P186" s="1067">
        <f t="shared" si="3"/>
        <v>0</v>
      </c>
      <c r="Q186" s="1067">
        <f t="shared" si="2"/>
        <v>0</v>
      </c>
    </row>
    <row r="187" hidden="1">
      <c r="B187" s="548" t="s">
        <v>3017</v>
      </c>
      <c r="D187" s="548" t="s">
        <v>62</v>
      </c>
      <c r="E187" s="548" t="s">
        <v>16</v>
      </c>
      <c r="G187" s="1069"/>
      <c r="H187" s="1069"/>
      <c r="I187" s="1069"/>
      <c r="K187" s="548">
        <v>1.0</v>
      </c>
      <c r="L187" s="548"/>
      <c r="M187" s="548">
        <v>1.0</v>
      </c>
      <c r="O187" s="1067" t="str">
        <f t="shared" si="1"/>
        <v/>
      </c>
      <c r="P187" s="1067">
        <f t="shared" si="3"/>
        <v>0</v>
      </c>
      <c r="Q187" s="1067">
        <f t="shared" si="2"/>
        <v>0</v>
      </c>
    </row>
    <row r="188" hidden="1">
      <c r="B188" s="1070" t="s">
        <v>2476</v>
      </c>
      <c r="D188" s="548" t="s">
        <v>60</v>
      </c>
      <c r="E188" s="548" t="s">
        <v>16</v>
      </c>
      <c r="G188" s="1069"/>
      <c r="H188" s="1069"/>
      <c r="I188" s="1069"/>
      <c r="K188" s="548">
        <v>1.0</v>
      </c>
      <c r="L188" s="548"/>
      <c r="M188" s="548">
        <v>3.0</v>
      </c>
      <c r="O188" s="1067" t="str">
        <f t="shared" si="1"/>
        <v/>
      </c>
      <c r="P188" s="1067">
        <f t="shared" si="3"/>
        <v>0</v>
      </c>
      <c r="Q188" s="1067">
        <f t="shared" si="2"/>
        <v>0</v>
      </c>
    </row>
    <row r="189" hidden="1">
      <c r="B189" s="548" t="s">
        <v>11161</v>
      </c>
      <c r="D189" s="548" t="s">
        <v>62</v>
      </c>
      <c r="E189" s="548" t="s">
        <v>16</v>
      </c>
      <c r="G189" s="1069"/>
      <c r="H189" s="1069"/>
      <c r="I189" s="1069"/>
      <c r="K189" s="548">
        <v>1.0</v>
      </c>
      <c r="L189" s="548"/>
      <c r="M189" s="548">
        <v>1.0</v>
      </c>
      <c r="O189" s="1067" t="str">
        <f t="shared" si="1"/>
        <v/>
      </c>
      <c r="P189" s="1067">
        <f t="shared" si="3"/>
        <v>0</v>
      </c>
      <c r="Q189" s="1067">
        <f t="shared" si="2"/>
        <v>0</v>
      </c>
      <c r="R189" s="1067">
        <f>Sum(Q13:Q190)</f>
        <v>0</v>
      </c>
    </row>
    <row r="190" hidden="1">
      <c r="B190" s="548" t="s">
        <v>4085</v>
      </c>
      <c r="D190" s="548" t="s">
        <v>62</v>
      </c>
      <c r="E190" s="548" t="s">
        <v>16</v>
      </c>
      <c r="G190" s="1069"/>
      <c r="H190" s="1069"/>
      <c r="I190" s="1069"/>
      <c r="K190" s="548">
        <v>1.0</v>
      </c>
      <c r="L190" s="548"/>
      <c r="M190" s="548">
        <v>1.0</v>
      </c>
      <c r="O190" s="1067" t="str">
        <f t="shared" si="1"/>
        <v/>
      </c>
      <c r="P190" s="1067">
        <f t="shared" si="3"/>
        <v>0</v>
      </c>
      <c r="Q190" s="1067">
        <f t="shared" si="2"/>
        <v>0</v>
      </c>
    </row>
    <row r="191" hidden="1">
      <c r="G191" s="1069"/>
      <c r="H191" s="1069"/>
      <c r="I191" s="1069"/>
      <c r="O191" s="1067" t="str">
        <f t="shared" si="1"/>
        <v/>
      </c>
    </row>
    <row r="192" hidden="1">
      <c r="G192" s="1069"/>
      <c r="H192" s="1069"/>
      <c r="I192" s="1069"/>
      <c r="O192" s="1067"/>
    </row>
    <row r="193" hidden="1">
      <c r="G193" s="1069"/>
      <c r="H193" s="1069"/>
      <c r="I193" s="1069"/>
      <c r="O193" s="1067"/>
    </row>
    <row r="194" hidden="1">
      <c r="G194" s="1069"/>
      <c r="H194" s="1069"/>
      <c r="I194" s="1069"/>
      <c r="O194" s="1067"/>
    </row>
    <row r="195" hidden="1">
      <c r="G195" s="1069"/>
      <c r="H195" s="1069"/>
      <c r="I195" s="1069"/>
      <c r="O195" s="1067"/>
    </row>
    <row r="196" hidden="1">
      <c r="G196" s="1069"/>
      <c r="H196" s="1069"/>
      <c r="I196" s="1069"/>
      <c r="O196" s="1067"/>
    </row>
    <row r="197" hidden="1">
      <c r="G197" s="1069"/>
      <c r="H197" s="1069"/>
      <c r="I197" s="1069"/>
      <c r="O197" s="1067"/>
    </row>
    <row r="198" hidden="1">
      <c r="G198" s="1069"/>
      <c r="H198" s="1069"/>
      <c r="I198" s="1069"/>
      <c r="O198" s="1067"/>
    </row>
    <row r="199" hidden="1">
      <c r="G199" s="1069"/>
      <c r="H199" s="1069"/>
      <c r="I199" s="1069"/>
      <c r="O199" s="1067"/>
    </row>
    <row r="200" hidden="1">
      <c r="G200" s="1069"/>
      <c r="H200" s="1069"/>
      <c r="I200" s="1069"/>
      <c r="O200" s="1067"/>
    </row>
    <row r="201" hidden="1">
      <c r="G201" s="1069"/>
      <c r="H201" s="1069"/>
      <c r="I201" s="1069"/>
      <c r="O201" s="1067"/>
    </row>
    <row r="202" hidden="1">
      <c r="G202" s="1069"/>
      <c r="H202" s="1069"/>
      <c r="I202" s="1069"/>
      <c r="O202" s="1067"/>
    </row>
    <row r="203" hidden="1">
      <c r="G203" s="1069"/>
      <c r="H203" s="1069"/>
      <c r="I203" s="1069"/>
      <c r="O203" s="1067"/>
    </row>
    <row r="204" hidden="1">
      <c r="G204" s="1069"/>
      <c r="H204" s="1069"/>
      <c r="I204" s="1069"/>
      <c r="O204" s="1067"/>
    </row>
    <row r="205" hidden="1">
      <c r="G205" s="1069"/>
      <c r="H205" s="1069"/>
      <c r="I205" s="1069"/>
      <c r="O205" s="1067"/>
    </row>
    <row r="206" hidden="1">
      <c r="G206" s="1069"/>
      <c r="H206" s="1069"/>
      <c r="I206" s="1069"/>
      <c r="O206" s="1067"/>
    </row>
    <row r="207" hidden="1">
      <c r="G207" s="1069"/>
      <c r="H207" s="1069"/>
      <c r="I207" s="1069"/>
      <c r="O207" s="1067"/>
    </row>
    <row r="208" hidden="1">
      <c r="G208" s="1069"/>
      <c r="H208" s="1069"/>
      <c r="I208" s="1069"/>
      <c r="O208" s="1067"/>
    </row>
    <row r="209" hidden="1">
      <c r="G209" s="1069"/>
      <c r="H209" s="1069"/>
      <c r="I209" s="1069"/>
      <c r="O209" s="1067"/>
    </row>
    <row r="210" hidden="1">
      <c r="G210" s="1069"/>
      <c r="H210" s="1069"/>
      <c r="I210" s="1069"/>
      <c r="O210" s="1067"/>
    </row>
    <row r="211" hidden="1">
      <c r="G211" s="1069"/>
      <c r="H211" s="1069"/>
      <c r="I211" s="1069"/>
      <c r="O211" s="1067"/>
    </row>
    <row r="212" hidden="1">
      <c r="G212" s="1069"/>
      <c r="H212" s="1069"/>
      <c r="I212" s="1069"/>
      <c r="O212" s="1067"/>
    </row>
    <row r="213" hidden="1">
      <c r="G213" s="1069"/>
      <c r="H213" s="1069"/>
      <c r="I213" s="1069"/>
      <c r="O213" s="1067"/>
    </row>
    <row r="214" hidden="1">
      <c r="G214" s="1069"/>
      <c r="H214" s="1069"/>
      <c r="I214" s="1069"/>
      <c r="O214" s="1067"/>
    </row>
    <row r="215" hidden="1">
      <c r="G215" s="1069"/>
      <c r="H215" s="1069"/>
      <c r="I215" s="1069"/>
      <c r="O215" s="1067"/>
    </row>
    <row r="216" hidden="1">
      <c r="G216" s="1069"/>
      <c r="H216" s="1069"/>
      <c r="I216" s="1069"/>
      <c r="O216" s="1067"/>
    </row>
    <row r="217" hidden="1">
      <c r="G217" s="1069"/>
      <c r="H217" s="1069"/>
      <c r="I217" s="1069"/>
      <c r="O217" s="1067"/>
    </row>
    <row r="218" hidden="1">
      <c r="G218" s="1069"/>
      <c r="H218" s="1069"/>
      <c r="I218" s="1069"/>
      <c r="O218" s="1067"/>
    </row>
    <row r="219" hidden="1">
      <c r="G219" s="1069"/>
      <c r="H219" s="1069"/>
      <c r="I219" s="1069"/>
      <c r="O219" s="1067"/>
    </row>
    <row r="220" hidden="1">
      <c r="G220" s="1069"/>
      <c r="H220" s="1069"/>
      <c r="I220" s="1069"/>
      <c r="O220" s="1067"/>
    </row>
    <row r="221" hidden="1">
      <c r="G221" s="1069"/>
      <c r="H221" s="1069"/>
      <c r="I221" s="1069"/>
      <c r="O221" s="1067"/>
    </row>
    <row r="222" hidden="1">
      <c r="G222" s="1069"/>
      <c r="H222" s="1069"/>
      <c r="I222" s="1069"/>
      <c r="O222" s="1067"/>
    </row>
    <row r="223" hidden="1">
      <c r="G223" s="1069"/>
      <c r="H223" s="1069"/>
      <c r="I223" s="1069"/>
      <c r="O223" s="1067"/>
    </row>
    <row r="224" hidden="1">
      <c r="G224" s="1069"/>
      <c r="H224" s="1069"/>
      <c r="I224" s="1069"/>
      <c r="O224" s="1067"/>
    </row>
    <row r="225" hidden="1">
      <c r="G225" s="1069"/>
      <c r="H225" s="1069"/>
      <c r="I225" s="1069"/>
      <c r="O225" s="1067"/>
    </row>
    <row r="226" hidden="1">
      <c r="G226" s="1069"/>
      <c r="H226" s="1069"/>
      <c r="I226" s="1069"/>
      <c r="O226" s="1067"/>
    </row>
    <row r="227" hidden="1">
      <c r="G227" s="1069"/>
      <c r="H227" s="1069"/>
      <c r="I227" s="1069"/>
      <c r="O227" s="1067"/>
    </row>
    <row r="228" hidden="1">
      <c r="G228" s="1069"/>
      <c r="H228" s="1069"/>
      <c r="I228" s="1069"/>
      <c r="O228" s="1067"/>
    </row>
    <row r="229" hidden="1">
      <c r="G229" s="1069"/>
      <c r="H229" s="1069"/>
      <c r="I229" s="1069"/>
      <c r="O229" s="1067"/>
    </row>
    <row r="230" hidden="1">
      <c r="G230" s="1069"/>
      <c r="H230" s="1069"/>
      <c r="I230" s="1069"/>
      <c r="O230" s="1067"/>
    </row>
    <row r="231" hidden="1">
      <c r="G231" s="1069"/>
      <c r="H231" s="1069"/>
      <c r="I231" s="1069"/>
      <c r="O231" s="1067"/>
    </row>
    <row r="232" hidden="1">
      <c r="G232" s="1069"/>
      <c r="H232" s="1069"/>
      <c r="I232" s="1069"/>
      <c r="O232" s="1067"/>
    </row>
    <row r="233" hidden="1">
      <c r="G233" s="1069"/>
      <c r="H233" s="1069"/>
      <c r="I233" s="1069"/>
      <c r="O233" s="1067"/>
    </row>
    <row r="234" hidden="1">
      <c r="G234" s="1069"/>
      <c r="H234" s="1069"/>
      <c r="I234" s="1069"/>
      <c r="O234" s="1067"/>
    </row>
    <row r="235" hidden="1">
      <c r="G235" s="1069"/>
      <c r="H235" s="1069"/>
      <c r="I235" s="1069"/>
      <c r="O235" s="1067"/>
    </row>
    <row r="236" hidden="1">
      <c r="G236" s="1069"/>
      <c r="H236" s="1069"/>
      <c r="I236" s="1069"/>
      <c r="O236" s="1067"/>
    </row>
    <row r="237" hidden="1">
      <c r="G237" s="1069"/>
      <c r="H237" s="1069"/>
      <c r="I237" s="1069"/>
      <c r="O237" s="1067"/>
    </row>
    <row r="238" hidden="1">
      <c r="G238" s="1069"/>
      <c r="H238" s="1069"/>
      <c r="I238" s="1069"/>
      <c r="O238" s="1067"/>
    </row>
    <row r="239" hidden="1">
      <c r="G239" s="1069"/>
      <c r="H239" s="1069"/>
      <c r="I239" s="1069"/>
      <c r="O239" s="1067"/>
    </row>
    <row r="240" hidden="1">
      <c r="G240" s="1069"/>
      <c r="H240" s="1069"/>
      <c r="I240" s="1069"/>
      <c r="O240" s="1067"/>
    </row>
    <row r="241" hidden="1">
      <c r="G241" s="1069"/>
      <c r="H241" s="1069"/>
      <c r="I241" s="1069"/>
      <c r="O241" s="1067"/>
    </row>
    <row r="242" hidden="1">
      <c r="G242" s="1069"/>
      <c r="H242" s="1069"/>
      <c r="I242" s="1069"/>
      <c r="O242" s="1067"/>
    </row>
    <row r="243" hidden="1">
      <c r="G243" s="1069"/>
      <c r="H243" s="1069"/>
      <c r="I243" s="1069"/>
      <c r="O243" s="1067"/>
    </row>
    <row r="244" hidden="1">
      <c r="G244" s="1069"/>
      <c r="H244" s="1069"/>
      <c r="I244" s="1069"/>
      <c r="O244" s="1067"/>
    </row>
    <row r="245" hidden="1">
      <c r="G245" s="1069"/>
      <c r="H245" s="1069"/>
      <c r="I245" s="1069"/>
      <c r="O245" s="1067"/>
    </row>
    <row r="246" hidden="1">
      <c r="G246" s="1069"/>
      <c r="H246" s="1069"/>
      <c r="I246" s="1069"/>
      <c r="O246" s="1067"/>
    </row>
    <row r="247" hidden="1">
      <c r="G247" s="1069"/>
      <c r="H247" s="1069"/>
      <c r="I247" s="1069"/>
      <c r="O247" s="1067"/>
    </row>
    <row r="248" hidden="1">
      <c r="G248" s="1069"/>
      <c r="H248" s="1069"/>
      <c r="I248" s="1069"/>
      <c r="O248" s="1067"/>
    </row>
    <row r="249" hidden="1">
      <c r="G249" s="1069"/>
      <c r="H249" s="1069"/>
      <c r="I249" s="1069"/>
      <c r="O249" s="1067"/>
    </row>
    <row r="250" hidden="1">
      <c r="G250" s="1069"/>
      <c r="H250" s="1069"/>
      <c r="I250" s="1069"/>
      <c r="O250" s="1067"/>
    </row>
    <row r="251" hidden="1">
      <c r="G251" s="1069"/>
      <c r="H251" s="1069"/>
      <c r="I251" s="1069"/>
      <c r="O251" s="1067"/>
    </row>
    <row r="252" hidden="1">
      <c r="G252" s="1069"/>
      <c r="H252" s="1069"/>
      <c r="I252" s="1069"/>
      <c r="O252" s="1067"/>
    </row>
    <row r="253" hidden="1">
      <c r="G253" s="1069"/>
      <c r="H253" s="1069"/>
      <c r="I253" s="1069"/>
      <c r="O253" s="1067"/>
    </row>
    <row r="254" hidden="1">
      <c r="G254" s="1069"/>
      <c r="H254" s="1069"/>
      <c r="I254" s="1069"/>
      <c r="O254" s="1067"/>
    </row>
    <row r="255" hidden="1">
      <c r="G255" s="1069"/>
      <c r="H255" s="1069"/>
      <c r="I255" s="1069"/>
      <c r="O255" s="1067"/>
    </row>
    <row r="256" hidden="1">
      <c r="G256" s="1069"/>
      <c r="H256" s="1069"/>
      <c r="I256" s="1069"/>
      <c r="O256" s="1067"/>
    </row>
    <row r="257" hidden="1">
      <c r="G257" s="1069"/>
      <c r="H257" s="1069"/>
      <c r="I257" s="1069"/>
      <c r="O257" s="1067"/>
    </row>
    <row r="258" hidden="1">
      <c r="G258" s="1069"/>
      <c r="H258" s="1069"/>
      <c r="I258" s="1069"/>
      <c r="O258" s="1067"/>
    </row>
    <row r="259" hidden="1">
      <c r="G259" s="1069"/>
      <c r="H259" s="1069"/>
      <c r="I259" s="1069"/>
      <c r="O259" s="1067"/>
    </row>
    <row r="260" hidden="1">
      <c r="G260" s="1069"/>
      <c r="H260" s="1069"/>
      <c r="I260" s="1069"/>
      <c r="O260" s="1067"/>
    </row>
    <row r="261" hidden="1">
      <c r="G261" s="1069"/>
      <c r="H261" s="1069"/>
      <c r="I261" s="1069"/>
      <c r="O261" s="1067"/>
    </row>
    <row r="262" hidden="1">
      <c r="G262" s="1069"/>
      <c r="H262" s="1069"/>
      <c r="I262" s="1069"/>
      <c r="O262" s="1067"/>
    </row>
    <row r="263" hidden="1">
      <c r="G263" s="1069"/>
      <c r="H263" s="1069"/>
      <c r="I263" s="1069"/>
      <c r="O263" s="1067"/>
    </row>
    <row r="264" hidden="1">
      <c r="G264" s="1069"/>
      <c r="H264" s="1069"/>
      <c r="I264" s="1069"/>
      <c r="O264" s="1067"/>
    </row>
    <row r="265" hidden="1">
      <c r="G265" s="1069"/>
      <c r="H265" s="1069"/>
      <c r="I265" s="1069"/>
      <c r="O265" s="1067"/>
    </row>
    <row r="266" hidden="1">
      <c r="G266" s="1069"/>
      <c r="H266" s="1069"/>
      <c r="I266" s="1069"/>
      <c r="O266" s="1067"/>
    </row>
    <row r="267" hidden="1">
      <c r="G267" s="1069"/>
      <c r="H267" s="1069"/>
      <c r="I267" s="1069"/>
      <c r="O267" s="1067"/>
    </row>
    <row r="268" hidden="1">
      <c r="G268" s="1069"/>
      <c r="H268" s="1069"/>
      <c r="I268" s="1069"/>
      <c r="O268" s="1067"/>
    </row>
    <row r="269" hidden="1">
      <c r="G269" s="1069"/>
      <c r="H269" s="1069"/>
      <c r="I269" s="1069"/>
      <c r="O269" s="1067"/>
    </row>
    <row r="270" hidden="1">
      <c r="G270" s="1069"/>
      <c r="H270" s="1069"/>
      <c r="I270" s="1069"/>
      <c r="O270" s="1067"/>
    </row>
    <row r="271" hidden="1">
      <c r="G271" s="1069"/>
      <c r="H271" s="1069"/>
      <c r="I271" s="1069"/>
      <c r="O271" s="1067"/>
    </row>
    <row r="272" hidden="1">
      <c r="G272" s="1069"/>
      <c r="H272" s="1069"/>
      <c r="I272" s="1069"/>
      <c r="O272" s="1067"/>
    </row>
    <row r="273" hidden="1">
      <c r="G273" s="1069"/>
      <c r="H273" s="1069"/>
      <c r="I273" s="1069"/>
      <c r="O273" s="1067"/>
    </row>
    <row r="274" hidden="1">
      <c r="G274" s="1069"/>
      <c r="H274" s="1069"/>
      <c r="I274" s="1069"/>
      <c r="O274" s="1067"/>
    </row>
    <row r="275" hidden="1">
      <c r="G275" s="1069"/>
      <c r="H275" s="1069"/>
      <c r="I275" s="1069"/>
      <c r="O275" s="1067"/>
    </row>
    <row r="276" hidden="1">
      <c r="G276" s="1069"/>
      <c r="H276" s="1069"/>
      <c r="I276" s="1069"/>
      <c r="O276" s="1067"/>
    </row>
    <row r="277" hidden="1">
      <c r="G277" s="1069"/>
      <c r="H277" s="1069"/>
      <c r="I277" s="1069"/>
      <c r="O277" s="1067"/>
    </row>
    <row r="278" hidden="1">
      <c r="G278" s="1069"/>
      <c r="H278" s="1069"/>
      <c r="I278" s="1069"/>
      <c r="O278" s="1067"/>
    </row>
    <row r="279" hidden="1">
      <c r="G279" s="1069"/>
      <c r="H279" s="1069"/>
      <c r="I279" s="1069"/>
      <c r="O279" s="1067"/>
    </row>
    <row r="280" hidden="1">
      <c r="G280" s="1069"/>
      <c r="H280" s="1069"/>
      <c r="I280" s="1069"/>
      <c r="O280" s="1067"/>
    </row>
    <row r="281" hidden="1">
      <c r="G281" s="1069"/>
      <c r="H281" s="1069"/>
      <c r="I281" s="1069"/>
      <c r="O281" s="1067"/>
    </row>
    <row r="282" hidden="1">
      <c r="G282" s="1069"/>
      <c r="H282" s="1069"/>
      <c r="I282" s="1069"/>
      <c r="O282" s="1067"/>
    </row>
    <row r="283" hidden="1">
      <c r="G283" s="1069"/>
      <c r="H283" s="1069"/>
      <c r="I283" s="1069"/>
      <c r="O283" s="1067"/>
    </row>
    <row r="284" hidden="1">
      <c r="G284" s="1069"/>
      <c r="H284" s="1069"/>
      <c r="I284" s="1069"/>
      <c r="O284" s="1067"/>
    </row>
    <row r="285" hidden="1">
      <c r="G285" s="1069"/>
      <c r="H285" s="1069"/>
      <c r="I285" s="1069"/>
      <c r="O285" s="1067"/>
    </row>
    <row r="286" hidden="1">
      <c r="G286" s="1069"/>
      <c r="H286" s="1069"/>
      <c r="I286" s="1069"/>
      <c r="O286" s="1067"/>
    </row>
    <row r="287" hidden="1">
      <c r="G287" s="1069"/>
      <c r="H287" s="1069"/>
      <c r="I287" s="1069"/>
      <c r="O287" s="1067"/>
    </row>
    <row r="288" hidden="1">
      <c r="G288" s="1069"/>
      <c r="H288" s="1069"/>
      <c r="I288" s="1069"/>
      <c r="O288" s="1067"/>
    </row>
    <row r="289" hidden="1">
      <c r="G289" s="1069"/>
      <c r="H289" s="1069"/>
      <c r="I289" s="1069"/>
      <c r="O289" s="1067"/>
    </row>
    <row r="290" hidden="1">
      <c r="G290" s="1069"/>
      <c r="H290" s="1069"/>
      <c r="I290" s="1069"/>
      <c r="O290" s="1067"/>
    </row>
    <row r="291" hidden="1">
      <c r="G291" s="1069"/>
      <c r="H291" s="1069"/>
      <c r="I291" s="1069"/>
      <c r="O291" s="1067"/>
    </row>
    <row r="292" hidden="1">
      <c r="G292" s="1069"/>
      <c r="H292" s="1069"/>
      <c r="I292" s="1069"/>
      <c r="O292" s="1067"/>
    </row>
    <row r="293" hidden="1">
      <c r="G293" s="1069"/>
      <c r="H293" s="1069"/>
      <c r="I293" s="1069"/>
      <c r="O293" s="1067"/>
    </row>
    <row r="294" hidden="1">
      <c r="G294" s="1069"/>
      <c r="H294" s="1069"/>
      <c r="I294" s="1069"/>
      <c r="O294" s="1067"/>
    </row>
    <row r="295" hidden="1">
      <c r="G295" s="1069"/>
      <c r="H295" s="1069"/>
      <c r="I295" s="1069"/>
      <c r="O295" s="1067"/>
    </row>
    <row r="296" hidden="1">
      <c r="G296" s="1069"/>
      <c r="H296" s="1069"/>
      <c r="I296" s="1069"/>
      <c r="O296" s="1067"/>
    </row>
    <row r="297" hidden="1">
      <c r="G297" s="1069"/>
      <c r="H297" s="1069"/>
      <c r="I297" s="1069"/>
      <c r="O297" s="1067"/>
    </row>
    <row r="298" hidden="1">
      <c r="G298" s="1069"/>
      <c r="H298" s="1069"/>
      <c r="I298" s="1069"/>
      <c r="O298" s="1067"/>
    </row>
    <row r="299" hidden="1">
      <c r="G299" s="1069"/>
      <c r="H299" s="1069"/>
      <c r="I299" s="1069"/>
      <c r="O299" s="1067"/>
    </row>
    <row r="300" hidden="1">
      <c r="G300" s="1069"/>
      <c r="H300" s="1069"/>
      <c r="I300" s="1069"/>
      <c r="O300" s="1067"/>
    </row>
    <row r="301" hidden="1">
      <c r="G301" s="1069"/>
      <c r="H301" s="1069"/>
      <c r="I301" s="1069"/>
      <c r="O301" s="1067"/>
    </row>
    <row r="302" hidden="1">
      <c r="G302" s="1069"/>
      <c r="H302" s="1069"/>
      <c r="I302" s="1069"/>
      <c r="O302" s="1067"/>
    </row>
    <row r="303" hidden="1">
      <c r="G303" s="1069"/>
      <c r="H303" s="1069"/>
      <c r="I303" s="1069"/>
      <c r="O303" s="1067"/>
    </row>
    <row r="304" hidden="1">
      <c r="G304" s="1069"/>
      <c r="H304" s="1069"/>
      <c r="I304" s="1069"/>
      <c r="O304" s="1067"/>
    </row>
    <row r="305" hidden="1">
      <c r="G305" s="1069"/>
      <c r="H305" s="1069"/>
      <c r="I305" s="1069"/>
      <c r="O305" s="1067"/>
    </row>
    <row r="306" hidden="1">
      <c r="G306" s="1069"/>
      <c r="H306" s="1069"/>
      <c r="I306" s="1069"/>
      <c r="O306" s="1067"/>
    </row>
    <row r="307" hidden="1">
      <c r="G307" s="1069"/>
      <c r="H307" s="1069"/>
      <c r="I307" s="1069"/>
      <c r="O307" s="1067"/>
    </row>
    <row r="308" hidden="1">
      <c r="G308" s="1069"/>
      <c r="H308" s="1069"/>
      <c r="I308" s="1069"/>
      <c r="O308" s="1067"/>
    </row>
    <row r="309" hidden="1">
      <c r="G309" s="1069"/>
      <c r="H309" s="1069"/>
      <c r="I309" s="1069"/>
      <c r="O309" s="1067"/>
    </row>
    <row r="310" hidden="1">
      <c r="G310" s="1069"/>
      <c r="H310" s="1069"/>
      <c r="I310" s="1069"/>
      <c r="O310" s="1067"/>
    </row>
    <row r="311" hidden="1">
      <c r="G311" s="1069"/>
      <c r="H311" s="1069"/>
      <c r="I311" s="1069"/>
      <c r="O311" s="1067"/>
    </row>
    <row r="312" hidden="1">
      <c r="G312" s="1069"/>
      <c r="H312" s="1069"/>
      <c r="I312" s="1069"/>
      <c r="O312" s="1067"/>
    </row>
    <row r="313" hidden="1">
      <c r="G313" s="1069"/>
      <c r="H313" s="1069"/>
      <c r="I313" s="1069"/>
      <c r="O313" s="1067"/>
    </row>
    <row r="314" hidden="1">
      <c r="G314" s="1069"/>
      <c r="H314" s="1069"/>
      <c r="I314" s="1069"/>
      <c r="O314" s="1067"/>
    </row>
    <row r="315" hidden="1">
      <c r="G315" s="1069"/>
      <c r="H315" s="1069"/>
      <c r="I315" s="1069"/>
      <c r="O315" s="1067"/>
    </row>
    <row r="316" hidden="1">
      <c r="G316" s="1069"/>
      <c r="H316" s="1069"/>
      <c r="I316" s="1069"/>
      <c r="O316" s="1067"/>
    </row>
    <row r="317" hidden="1">
      <c r="G317" s="1069"/>
      <c r="H317" s="1069"/>
      <c r="I317" s="1069"/>
      <c r="O317" s="1067"/>
    </row>
    <row r="318" hidden="1">
      <c r="G318" s="1069"/>
      <c r="H318" s="1069"/>
      <c r="I318" s="1069"/>
      <c r="O318" s="1067"/>
    </row>
    <row r="319" hidden="1">
      <c r="G319" s="1069"/>
      <c r="H319" s="1069"/>
      <c r="I319" s="1069"/>
      <c r="O319" s="1067"/>
    </row>
    <row r="320" hidden="1">
      <c r="G320" s="1069"/>
      <c r="H320" s="1069"/>
      <c r="I320" s="1069"/>
      <c r="O320" s="1067"/>
    </row>
    <row r="321" hidden="1">
      <c r="G321" s="1069"/>
      <c r="H321" s="1069"/>
      <c r="I321" s="1069"/>
      <c r="O321" s="1067"/>
    </row>
    <row r="322" hidden="1">
      <c r="G322" s="1069"/>
      <c r="H322" s="1069"/>
      <c r="I322" s="1069"/>
      <c r="O322" s="1067"/>
    </row>
    <row r="323" hidden="1">
      <c r="G323" s="1069"/>
      <c r="H323" s="1069"/>
      <c r="I323" s="1069"/>
      <c r="O323" s="1067"/>
    </row>
    <row r="324" hidden="1">
      <c r="G324" s="1069"/>
      <c r="H324" s="1069"/>
      <c r="I324" s="1069"/>
      <c r="O324" s="1067"/>
    </row>
    <row r="325" hidden="1">
      <c r="G325" s="1069"/>
      <c r="H325" s="1069"/>
      <c r="I325" s="1069"/>
      <c r="O325" s="1067"/>
    </row>
    <row r="326" hidden="1">
      <c r="G326" s="1069"/>
      <c r="H326" s="1069"/>
      <c r="I326" s="1069"/>
      <c r="O326" s="1067"/>
    </row>
    <row r="327" hidden="1">
      <c r="G327" s="1069"/>
      <c r="H327" s="1069"/>
      <c r="I327" s="1069"/>
      <c r="O327" s="1067"/>
    </row>
    <row r="328" hidden="1">
      <c r="G328" s="1069"/>
      <c r="H328" s="1069"/>
      <c r="I328" s="1069"/>
      <c r="O328" s="1067"/>
    </row>
    <row r="329" hidden="1">
      <c r="G329" s="1069"/>
      <c r="H329" s="1069"/>
      <c r="I329" s="1069"/>
      <c r="O329" s="1067"/>
    </row>
    <row r="330" hidden="1">
      <c r="G330" s="1069"/>
      <c r="H330" s="1069"/>
      <c r="I330" s="1069"/>
      <c r="O330" s="1067"/>
    </row>
    <row r="331" hidden="1">
      <c r="G331" s="1069"/>
      <c r="H331" s="1069"/>
      <c r="I331" s="1069"/>
      <c r="O331" s="1067"/>
    </row>
    <row r="332" hidden="1">
      <c r="G332" s="1069"/>
      <c r="H332" s="1069"/>
      <c r="I332" s="1069"/>
      <c r="O332" s="1067"/>
    </row>
    <row r="333" hidden="1">
      <c r="G333" s="1069"/>
      <c r="H333" s="1069"/>
      <c r="I333" s="1069"/>
      <c r="O333" s="1067"/>
    </row>
    <row r="334" hidden="1">
      <c r="G334" s="1069"/>
      <c r="H334" s="1069"/>
      <c r="I334" s="1069"/>
      <c r="O334" s="1067"/>
    </row>
    <row r="335" hidden="1">
      <c r="G335" s="1069"/>
      <c r="H335" s="1069"/>
      <c r="I335" s="1069"/>
      <c r="O335" s="1067"/>
    </row>
    <row r="336" hidden="1">
      <c r="G336" s="1069"/>
      <c r="H336" s="1069"/>
      <c r="I336" s="1069"/>
      <c r="O336" s="1067"/>
    </row>
    <row r="337" hidden="1">
      <c r="G337" s="1069"/>
      <c r="H337" s="1069"/>
      <c r="I337" s="1069"/>
      <c r="O337" s="1067"/>
    </row>
    <row r="338" hidden="1">
      <c r="G338" s="1069"/>
      <c r="H338" s="1069"/>
      <c r="I338" s="1069"/>
      <c r="O338" s="1067"/>
    </row>
    <row r="339" hidden="1">
      <c r="G339" s="1069"/>
      <c r="H339" s="1069"/>
      <c r="I339" s="1069"/>
      <c r="O339" s="1067"/>
    </row>
    <row r="340" hidden="1">
      <c r="G340" s="1069"/>
      <c r="H340" s="1069"/>
      <c r="I340" s="1069"/>
      <c r="O340" s="1067"/>
    </row>
    <row r="341" hidden="1">
      <c r="G341" s="1069"/>
      <c r="H341" s="1069"/>
      <c r="I341" s="1069"/>
      <c r="O341" s="1067"/>
    </row>
    <row r="342" hidden="1">
      <c r="G342" s="1069"/>
      <c r="H342" s="1069"/>
      <c r="I342" s="1069"/>
      <c r="O342" s="1067"/>
    </row>
    <row r="343" hidden="1">
      <c r="G343" s="1069"/>
      <c r="H343" s="1069"/>
      <c r="I343" s="1069"/>
      <c r="O343" s="1067"/>
    </row>
    <row r="344" hidden="1">
      <c r="G344" s="1069"/>
      <c r="H344" s="1069"/>
      <c r="I344" s="1069"/>
      <c r="O344" s="1067"/>
    </row>
    <row r="345" hidden="1">
      <c r="G345" s="1069"/>
      <c r="H345" s="1069"/>
      <c r="I345" s="1069"/>
      <c r="O345" s="1067"/>
    </row>
    <row r="346" hidden="1">
      <c r="G346" s="1069"/>
      <c r="H346" s="1069"/>
      <c r="I346" s="1069"/>
      <c r="O346" s="1067"/>
    </row>
    <row r="347" hidden="1">
      <c r="G347" s="1069"/>
      <c r="H347" s="1069"/>
      <c r="I347" s="1069"/>
      <c r="O347" s="1067"/>
    </row>
    <row r="348" hidden="1">
      <c r="G348" s="1069"/>
      <c r="H348" s="1069"/>
      <c r="I348" s="1069"/>
      <c r="O348" s="1067"/>
    </row>
    <row r="349" hidden="1">
      <c r="G349" s="1069"/>
      <c r="H349" s="1069"/>
      <c r="I349" s="1069"/>
      <c r="O349" s="1067"/>
    </row>
    <row r="350" hidden="1">
      <c r="G350" s="1069"/>
      <c r="H350" s="1069"/>
      <c r="I350" s="1069"/>
      <c r="O350" s="1067"/>
    </row>
    <row r="351" hidden="1">
      <c r="G351" s="1069"/>
      <c r="H351" s="1069"/>
      <c r="I351" s="1069"/>
      <c r="O351" s="1067"/>
    </row>
    <row r="352" hidden="1">
      <c r="G352" s="1069"/>
      <c r="H352" s="1069"/>
      <c r="I352" s="1069"/>
      <c r="O352" s="1067"/>
    </row>
    <row r="353" hidden="1">
      <c r="G353" s="1069"/>
      <c r="H353" s="1069"/>
      <c r="I353" s="1069"/>
      <c r="O353" s="1067"/>
    </row>
    <row r="354" hidden="1">
      <c r="G354" s="1069"/>
      <c r="H354" s="1069"/>
      <c r="I354" s="1069"/>
      <c r="O354" s="1067"/>
    </row>
    <row r="355" hidden="1">
      <c r="G355" s="1069"/>
      <c r="H355" s="1069"/>
      <c r="I355" s="1069"/>
      <c r="O355" s="1067"/>
    </row>
    <row r="356" hidden="1">
      <c r="G356" s="1069"/>
      <c r="H356" s="1069"/>
      <c r="I356" s="1069"/>
      <c r="O356" s="1067"/>
    </row>
    <row r="357" hidden="1">
      <c r="G357" s="1069"/>
      <c r="H357" s="1069"/>
      <c r="I357" s="1069"/>
      <c r="O357" s="1067"/>
    </row>
    <row r="358" hidden="1">
      <c r="G358" s="1069"/>
      <c r="H358" s="1069"/>
      <c r="I358" s="1069"/>
      <c r="O358" s="1067"/>
    </row>
    <row r="359" hidden="1">
      <c r="G359" s="1069"/>
      <c r="H359" s="1069"/>
      <c r="I359" s="1069"/>
      <c r="O359" s="1067"/>
    </row>
    <row r="360" hidden="1">
      <c r="G360" s="1069"/>
      <c r="H360" s="1069"/>
      <c r="I360" s="1069"/>
      <c r="O360" s="1067"/>
    </row>
    <row r="361" hidden="1">
      <c r="G361" s="1069"/>
      <c r="H361" s="1069"/>
      <c r="I361" s="1069"/>
      <c r="O361" s="1067"/>
    </row>
    <row r="362" hidden="1">
      <c r="G362" s="1069"/>
      <c r="H362" s="1069"/>
      <c r="I362" s="1069"/>
      <c r="O362" s="1067"/>
    </row>
    <row r="363" hidden="1">
      <c r="G363" s="1069"/>
      <c r="H363" s="1069"/>
      <c r="I363" s="1069"/>
      <c r="O363" s="1067"/>
    </row>
    <row r="364" hidden="1">
      <c r="G364" s="1069"/>
      <c r="H364" s="1069"/>
      <c r="I364" s="1069"/>
      <c r="O364" s="1067"/>
    </row>
    <row r="365" hidden="1">
      <c r="G365" s="1069"/>
      <c r="H365" s="1069"/>
      <c r="I365" s="1069"/>
      <c r="O365" s="1067"/>
    </row>
    <row r="366" hidden="1">
      <c r="G366" s="1069"/>
      <c r="H366" s="1069"/>
      <c r="I366" s="1069"/>
      <c r="O366" s="1067"/>
    </row>
    <row r="367" hidden="1">
      <c r="G367" s="1069"/>
      <c r="H367" s="1069"/>
      <c r="I367" s="1069"/>
      <c r="O367" s="1067"/>
    </row>
    <row r="368" hidden="1">
      <c r="G368" s="1069"/>
      <c r="H368" s="1069"/>
      <c r="I368" s="1069"/>
      <c r="O368" s="1067"/>
    </row>
    <row r="369" hidden="1">
      <c r="G369" s="1069"/>
      <c r="H369" s="1069"/>
      <c r="I369" s="1069"/>
      <c r="O369" s="1067"/>
    </row>
    <row r="370" hidden="1">
      <c r="G370" s="1069"/>
      <c r="H370" s="1069"/>
      <c r="I370" s="1069"/>
      <c r="O370" s="1067"/>
    </row>
    <row r="371" hidden="1">
      <c r="G371" s="1069"/>
      <c r="H371" s="1069"/>
      <c r="I371" s="1069"/>
      <c r="O371" s="1067"/>
    </row>
    <row r="372" hidden="1">
      <c r="G372" s="1069"/>
      <c r="H372" s="1069"/>
      <c r="I372" s="1069"/>
      <c r="O372" s="1067"/>
    </row>
    <row r="373" hidden="1">
      <c r="G373" s="1069"/>
      <c r="H373" s="1069"/>
      <c r="I373" s="1069"/>
      <c r="O373" s="1067"/>
    </row>
    <row r="374" hidden="1">
      <c r="G374" s="1069"/>
      <c r="H374" s="1069"/>
      <c r="I374" s="1069"/>
      <c r="O374" s="1067"/>
    </row>
    <row r="375" hidden="1">
      <c r="G375" s="1069"/>
      <c r="H375" s="1069"/>
      <c r="I375" s="1069"/>
      <c r="O375" s="1067"/>
    </row>
    <row r="376" hidden="1">
      <c r="G376" s="1069"/>
      <c r="H376" s="1069"/>
      <c r="I376" s="1069"/>
      <c r="O376" s="1067"/>
    </row>
    <row r="377" hidden="1">
      <c r="G377" s="1069"/>
      <c r="H377" s="1069"/>
      <c r="I377" s="1069"/>
      <c r="O377" s="1067"/>
    </row>
    <row r="378" hidden="1">
      <c r="G378" s="1069"/>
      <c r="H378" s="1069"/>
      <c r="I378" s="1069"/>
      <c r="O378" s="1067"/>
    </row>
    <row r="379" hidden="1">
      <c r="G379" s="1069"/>
      <c r="H379" s="1069"/>
      <c r="I379" s="1069"/>
      <c r="O379" s="1067"/>
    </row>
    <row r="380" hidden="1">
      <c r="G380" s="1069"/>
      <c r="H380" s="1069"/>
      <c r="I380" s="1069"/>
      <c r="O380" s="1067"/>
    </row>
    <row r="381" hidden="1">
      <c r="G381" s="1069"/>
      <c r="H381" s="1069"/>
      <c r="I381" s="1069"/>
      <c r="O381" s="1067"/>
    </row>
    <row r="382" hidden="1">
      <c r="G382" s="1069"/>
      <c r="H382" s="1069"/>
      <c r="I382" s="1069"/>
      <c r="O382" s="1067"/>
    </row>
    <row r="383" hidden="1">
      <c r="G383" s="1069"/>
      <c r="H383" s="1069"/>
      <c r="I383" s="1069"/>
      <c r="O383" s="1067"/>
    </row>
    <row r="384" hidden="1">
      <c r="G384" s="1069"/>
      <c r="H384" s="1069"/>
      <c r="I384" s="1069"/>
      <c r="O384" s="1067"/>
    </row>
    <row r="385" hidden="1">
      <c r="G385" s="1069"/>
      <c r="H385" s="1069"/>
      <c r="I385" s="1069"/>
      <c r="O385" s="1067"/>
    </row>
    <row r="386" hidden="1">
      <c r="G386" s="1069"/>
      <c r="H386" s="1069"/>
      <c r="I386" s="1069"/>
      <c r="O386" s="1067"/>
    </row>
    <row r="387" hidden="1">
      <c r="G387" s="1069"/>
      <c r="H387" s="1069"/>
      <c r="I387" s="1069"/>
      <c r="O387" s="1067"/>
    </row>
    <row r="388" hidden="1">
      <c r="G388" s="1069"/>
      <c r="H388" s="1069"/>
      <c r="I388" s="1069"/>
      <c r="O388" s="1067"/>
    </row>
    <row r="389" hidden="1">
      <c r="G389" s="1069"/>
      <c r="H389" s="1069"/>
      <c r="I389" s="1069"/>
      <c r="O389" s="1067"/>
    </row>
    <row r="390" hidden="1">
      <c r="G390" s="1069"/>
      <c r="H390" s="1069"/>
      <c r="I390" s="1069"/>
      <c r="O390" s="1067"/>
    </row>
    <row r="391" hidden="1">
      <c r="G391" s="1069"/>
      <c r="H391" s="1069"/>
      <c r="I391" s="1069"/>
      <c r="O391" s="1067"/>
    </row>
    <row r="392" hidden="1">
      <c r="G392" s="1069"/>
      <c r="H392" s="1069"/>
      <c r="I392" s="1069"/>
      <c r="O392" s="1067"/>
    </row>
    <row r="393" hidden="1">
      <c r="G393" s="1069"/>
      <c r="H393" s="1069"/>
      <c r="I393" s="1069"/>
      <c r="O393" s="1067"/>
    </row>
    <row r="394" hidden="1">
      <c r="G394" s="1069"/>
      <c r="H394" s="1069"/>
      <c r="I394" s="1069"/>
      <c r="O394" s="1067"/>
    </row>
    <row r="395" hidden="1">
      <c r="G395" s="1069"/>
      <c r="H395" s="1069"/>
      <c r="I395" s="1069"/>
      <c r="O395" s="1067"/>
    </row>
    <row r="396" hidden="1">
      <c r="G396" s="1069"/>
      <c r="H396" s="1069"/>
      <c r="I396" s="1069"/>
      <c r="O396" s="1067"/>
    </row>
    <row r="397" hidden="1">
      <c r="G397" s="1069"/>
      <c r="H397" s="1069"/>
      <c r="I397" s="1069"/>
      <c r="O397" s="1067"/>
    </row>
    <row r="398" hidden="1">
      <c r="G398" s="1069"/>
      <c r="H398" s="1069"/>
      <c r="I398" s="1069"/>
      <c r="O398" s="1067"/>
    </row>
    <row r="399" hidden="1">
      <c r="G399" s="1069"/>
      <c r="H399" s="1069"/>
      <c r="I399" s="1069"/>
      <c r="O399" s="1067"/>
    </row>
    <row r="400" hidden="1">
      <c r="G400" s="1069"/>
      <c r="H400" s="1069"/>
      <c r="I400" s="1069"/>
      <c r="O400" s="1067"/>
    </row>
    <row r="401" hidden="1">
      <c r="G401" s="1069"/>
      <c r="H401" s="1069"/>
      <c r="I401" s="1069"/>
      <c r="O401" s="1067"/>
    </row>
    <row r="402" hidden="1">
      <c r="G402" s="1069"/>
      <c r="H402" s="1069"/>
      <c r="I402" s="1069"/>
      <c r="O402" s="1067"/>
    </row>
    <row r="403" hidden="1">
      <c r="G403" s="1069"/>
      <c r="H403" s="1069"/>
      <c r="I403" s="1069"/>
      <c r="O403" s="1067"/>
    </row>
    <row r="404" hidden="1">
      <c r="G404" s="1069"/>
      <c r="H404" s="1069"/>
      <c r="I404" s="1069"/>
      <c r="O404" s="1067"/>
    </row>
    <row r="405" hidden="1">
      <c r="G405" s="1069"/>
      <c r="H405" s="1069"/>
      <c r="I405" s="1069"/>
      <c r="O405" s="1067"/>
    </row>
    <row r="406" hidden="1">
      <c r="G406" s="1069"/>
      <c r="H406" s="1069"/>
      <c r="I406" s="1069"/>
      <c r="O406" s="1067"/>
    </row>
    <row r="407" hidden="1">
      <c r="G407" s="1069"/>
      <c r="H407" s="1069"/>
      <c r="I407" s="1069"/>
      <c r="O407" s="1067"/>
    </row>
    <row r="408" hidden="1">
      <c r="G408" s="1069"/>
      <c r="H408" s="1069"/>
      <c r="I408" s="1069"/>
      <c r="O408" s="1067"/>
    </row>
    <row r="409" hidden="1">
      <c r="G409" s="1069"/>
      <c r="H409" s="1069"/>
      <c r="I409" s="1069"/>
      <c r="O409" s="1067"/>
    </row>
    <row r="410" hidden="1">
      <c r="G410" s="1069"/>
      <c r="H410" s="1069"/>
      <c r="I410" s="1069"/>
      <c r="O410" s="1067"/>
    </row>
    <row r="411" hidden="1">
      <c r="G411" s="1069"/>
      <c r="H411" s="1069"/>
      <c r="I411" s="1069"/>
      <c r="O411" s="1067"/>
    </row>
    <row r="412" hidden="1">
      <c r="G412" s="1069"/>
      <c r="H412" s="1069"/>
      <c r="I412" s="1069"/>
      <c r="O412" s="1067"/>
    </row>
    <row r="413" hidden="1">
      <c r="G413" s="1069"/>
      <c r="H413" s="1069"/>
      <c r="I413" s="1069"/>
      <c r="O413" s="1067"/>
    </row>
    <row r="414" hidden="1">
      <c r="G414" s="1069"/>
      <c r="H414" s="1069"/>
      <c r="I414" s="1069"/>
      <c r="O414" s="1067"/>
    </row>
    <row r="415" hidden="1">
      <c r="G415" s="1069"/>
      <c r="H415" s="1069"/>
      <c r="I415" s="1069"/>
      <c r="O415" s="1067"/>
    </row>
    <row r="416" hidden="1">
      <c r="G416" s="1069"/>
      <c r="H416" s="1069"/>
      <c r="I416" s="1069"/>
      <c r="O416" s="1067"/>
    </row>
    <row r="417" hidden="1">
      <c r="G417" s="1069"/>
      <c r="H417" s="1069"/>
      <c r="I417" s="1069"/>
      <c r="O417" s="1067"/>
    </row>
    <row r="418" hidden="1">
      <c r="G418" s="1069"/>
      <c r="H418" s="1069"/>
      <c r="I418" s="1069"/>
      <c r="O418" s="1067"/>
    </row>
    <row r="419" hidden="1">
      <c r="G419" s="1069"/>
      <c r="H419" s="1069"/>
      <c r="I419" s="1069"/>
      <c r="O419" s="1067"/>
    </row>
    <row r="420" hidden="1">
      <c r="G420" s="1069"/>
      <c r="H420" s="1069"/>
      <c r="I420" s="1069"/>
      <c r="O420" s="1067"/>
    </row>
    <row r="421" hidden="1">
      <c r="G421" s="1069"/>
      <c r="H421" s="1069"/>
      <c r="I421" s="1069"/>
      <c r="O421" s="1067"/>
    </row>
    <row r="422" hidden="1">
      <c r="G422" s="1069"/>
      <c r="H422" s="1069"/>
      <c r="I422" s="1069"/>
      <c r="O422" s="1067"/>
    </row>
    <row r="423" hidden="1">
      <c r="G423" s="1069"/>
      <c r="H423" s="1069"/>
      <c r="I423" s="1069"/>
      <c r="O423" s="1067"/>
    </row>
    <row r="424" hidden="1">
      <c r="G424" s="1069"/>
      <c r="H424" s="1069"/>
      <c r="I424" s="1069"/>
      <c r="O424" s="1067"/>
    </row>
    <row r="425" hidden="1">
      <c r="G425" s="1069"/>
      <c r="H425" s="1069"/>
      <c r="I425" s="1069"/>
      <c r="O425" s="1067"/>
    </row>
    <row r="426" hidden="1">
      <c r="G426" s="1069"/>
      <c r="H426" s="1069"/>
      <c r="I426" s="1069"/>
      <c r="O426" s="1067"/>
    </row>
    <row r="427" hidden="1">
      <c r="G427" s="1069"/>
      <c r="H427" s="1069"/>
      <c r="I427" s="1069"/>
      <c r="O427" s="1067"/>
    </row>
    <row r="428" hidden="1">
      <c r="G428" s="1069"/>
      <c r="H428" s="1069"/>
      <c r="I428" s="1069"/>
      <c r="O428" s="1067"/>
    </row>
    <row r="429" hidden="1">
      <c r="G429" s="1069"/>
      <c r="H429" s="1069"/>
      <c r="I429" s="1069"/>
      <c r="O429" s="1067"/>
    </row>
    <row r="430" hidden="1">
      <c r="G430" s="1069"/>
      <c r="H430" s="1069"/>
      <c r="I430" s="1069"/>
      <c r="O430" s="1067"/>
    </row>
    <row r="431" hidden="1">
      <c r="G431" s="1069"/>
      <c r="H431" s="1069"/>
      <c r="I431" s="1069"/>
      <c r="O431" s="1067"/>
    </row>
    <row r="432" hidden="1">
      <c r="G432" s="1069"/>
      <c r="H432" s="1069"/>
      <c r="I432" s="1069"/>
      <c r="O432" s="1067"/>
    </row>
    <row r="433" hidden="1">
      <c r="G433" s="1069"/>
      <c r="H433" s="1069"/>
      <c r="I433" s="1069"/>
      <c r="O433" s="1067"/>
    </row>
    <row r="434" hidden="1">
      <c r="G434" s="1069"/>
      <c r="H434" s="1069"/>
      <c r="I434" s="1069"/>
      <c r="O434" s="1067"/>
    </row>
    <row r="435" hidden="1">
      <c r="G435" s="1069"/>
      <c r="H435" s="1069"/>
      <c r="I435" s="1069"/>
      <c r="O435" s="1067"/>
    </row>
    <row r="436" hidden="1">
      <c r="G436" s="1069"/>
      <c r="H436" s="1069"/>
      <c r="I436" s="1069"/>
      <c r="O436" s="1067"/>
    </row>
    <row r="437" hidden="1">
      <c r="G437" s="1069"/>
      <c r="H437" s="1069"/>
      <c r="I437" s="1069"/>
      <c r="O437" s="1067"/>
    </row>
    <row r="438" hidden="1">
      <c r="G438" s="1069"/>
      <c r="H438" s="1069"/>
      <c r="I438" s="1069"/>
      <c r="O438" s="1067"/>
    </row>
    <row r="439" hidden="1">
      <c r="G439" s="1069"/>
      <c r="H439" s="1069"/>
      <c r="I439" s="1069"/>
      <c r="O439" s="1067"/>
    </row>
    <row r="440" hidden="1">
      <c r="G440" s="1069"/>
      <c r="H440" s="1069"/>
      <c r="I440" s="1069"/>
      <c r="O440" s="1067"/>
    </row>
    <row r="441" hidden="1">
      <c r="G441" s="1069"/>
      <c r="H441" s="1069"/>
      <c r="I441" s="1069"/>
      <c r="O441" s="1067"/>
    </row>
    <row r="442" hidden="1">
      <c r="G442" s="1069"/>
      <c r="H442" s="1069"/>
      <c r="I442" s="1069"/>
      <c r="O442" s="1067"/>
    </row>
    <row r="443" hidden="1">
      <c r="G443" s="1069"/>
      <c r="H443" s="1069"/>
      <c r="I443" s="1069"/>
      <c r="O443" s="1067"/>
    </row>
    <row r="444" hidden="1">
      <c r="G444" s="1069"/>
      <c r="H444" s="1069"/>
      <c r="I444" s="1069"/>
      <c r="O444" s="1067"/>
    </row>
    <row r="445" hidden="1">
      <c r="G445" s="1069"/>
      <c r="H445" s="1069"/>
      <c r="I445" s="1069"/>
      <c r="O445" s="1067"/>
    </row>
    <row r="446" hidden="1">
      <c r="G446" s="1069"/>
      <c r="H446" s="1069"/>
      <c r="I446" s="1069"/>
      <c r="O446" s="1067"/>
    </row>
    <row r="447" hidden="1">
      <c r="G447" s="1069"/>
      <c r="H447" s="1069"/>
      <c r="I447" s="1069"/>
      <c r="O447" s="1067"/>
    </row>
    <row r="448" hidden="1">
      <c r="G448" s="1069"/>
      <c r="H448" s="1069"/>
      <c r="I448" s="1069"/>
      <c r="O448" s="1067"/>
    </row>
    <row r="449" hidden="1">
      <c r="G449" s="1069"/>
      <c r="H449" s="1069"/>
      <c r="I449" s="1069"/>
      <c r="O449" s="1067"/>
    </row>
    <row r="450" hidden="1">
      <c r="G450" s="1069"/>
      <c r="H450" s="1069"/>
      <c r="I450" s="1069"/>
      <c r="O450" s="1067"/>
    </row>
    <row r="451" hidden="1">
      <c r="G451" s="1069"/>
      <c r="H451" s="1069"/>
      <c r="I451" s="1069"/>
      <c r="O451" s="1067"/>
    </row>
    <row r="452" hidden="1">
      <c r="G452" s="1069"/>
      <c r="H452" s="1069"/>
      <c r="I452" s="1069"/>
      <c r="O452" s="1067"/>
    </row>
    <row r="453" hidden="1">
      <c r="G453" s="1069"/>
      <c r="H453" s="1069"/>
      <c r="I453" s="1069"/>
      <c r="O453" s="1067"/>
    </row>
    <row r="454" hidden="1">
      <c r="G454" s="1069"/>
      <c r="H454" s="1069"/>
      <c r="I454" s="1069"/>
      <c r="O454" s="1067"/>
    </row>
    <row r="455" hidden="1">
      <c r="G455" s="1069"/>
      <c r="H455" s="1069"/>
      <c r="I455" s="1069"/>
      <c r="O455" s="1067"/>
    </row>
    <row r="456" hidden="1">
      <c r="G456" s="1069"/>
      <c r="H456" s="1069"/>
      <c r="I456" s="1069"/>
      <c r="O456" s="1067"/>
    </row>
    <row r="457" hidden="1">
      <c r="G457" s="1069"/>
      <c r="H457" s="1069"/>
      <c r="I457" s="1069"/>
      <c r="O457" s="1067"/>
    </row>
    <row r="458" hidden="1">
      <c r="G458" s="1069"/>
      <c r="H458" s="1069"/>
      <c r="I458" s="1069"/>
      <c r="O458" s="1067"/>
    </row>
    <row r="459" hidden="1">
      <c r="G459" s="1069"/>
      <c r="H459" s="1069"/>
      <c r="I459" s="1069"/>
      <c r="O459" s="1067"/>
    </row>
    <row r="460" hidden="1">
      <c r="G460" s="1069"/>
      <c r="H460" s="1069"/>
      <c r="I460" s="1069"/>
      <c r="O460" s="1067"/>
    </row>
    <row r="461" hidden="1">
      <c r="G461" s="1069"/>
      <c r="H461" s="1069"/>
      <c r="I461" s="1069"/>
      <c r="O461" s="1067"/>
    </row>
    <row r="462" hidden="1">
      <c r="G462" s="1069"/>
      <c r="H462" s="1069"/>
      <c r="I462" s="1069"/>
      <c r="O462" s="1067"/>
    </row>
    <row r="463" hidden="1">
      <c r="G463" s="1069"/>
      <c r="H463" s="1069"/>
      <c r="I463" s="1069"/>
      <c r="O463" s="1067"/>
    </row>
    <row r="464" hidden="1">
      <c r="G464" s="1069"/>
      <c r="H464" s="1069"/>
      <c r="I464" s="1069"/>
      <c r="O464" s="1067"/>
    </row>
    <row r="465" hidden="1">
      <c r="G465" s="1069"/>
      <c r="H465" s="1069"/>
      <c r="I465" s="1069"/>
      <c r="O465" s="1067"/>
    </row>
    <row r="466" hidden="1">
      <c r="G466" s="1069"/>
      <c r="H466" s="1069"/>
      <c r="I466" s="1069"/>
      <c r="O466" s="1067"/>
    </row>
    <row r="467" hidden="1">
      <c r="G467" s="1069"/>
      <c r="H467" s="1069"/>
      <c r="I467" s="1069"/>
      <c r="O467" s="1067"/>
    </row>
    <row r="468" hidden="1">
      <c r="G468" s="1069"/>
      <c r="H468" s="1069"/>
      <c r="I468" s="1069"/>
      <c r="O468" s="1067"/>
    </row>
    <row r="469" hidden="1">
      <c r="G469" s="1069"/>
      <c r="H469" s="1069"/>
      <c r="I469" s="1069"/>
      <c r="O469" s="1067"/>
    </row>
    <row r="470" hidden="1">
      <c r="G470" s="1069"/>
      <c r="H470" s="1069"/>
      <c r="I470" s="1069"/>
      <c r="O470" s="1067"/>
    </row>
    <row r="471" hidden="1">
      <c r="G471" s="1069"/>
      <c r="H471" s="1069"/>
      <c r="I471" s="1069"/>
      <c r="O471" s="1067"/>
    </row>
    <row r="472" hidden="1">
      <c r="G472" s="1069"/>
      <c r="H472" s="1069"/>
      <c r="I472" s="1069"/>
      <c r="O472" s="1067"/>
    </row>
    <row r="473" hidden="1">
      <c r="G473" s="1069"/>
      <c r="H473" s="1069"/>
      <c r="I473" s="1069"/>
      <c r="O473" s="1067"/>
    </row>
    <row r="474" hidden="1">
      <c r="G474" s="1069"/>
      <c r="H474" s="1069"/>
      <c r="I474" s="1069"/>
      <c r="O474" s="1067"/>
    </row>
    <row r="475" hidden="1">
      <c r="G475" s="1069"/>
      <c r="H475" s="1069"/>
      <c r="I475" s="1069"/>
      <c r="O475" s="1067"/>
    </row>
    <row r="476" hidden="1">
      <c r="G476" s="1069"/>
      <c r="H476" s="1069"/>
      <c r="I476" s="1069"/>
      <c r="O476" s="1067"/>
    </row>
    <row r="477" hidden="1">
      <c r="G477" s="1069"/>
      <c r="H477" s="1069"/>
      <c r="I477" s="1069"/>
      <c r="O477" s="1067"/>
    </row>
    <row r="478" hidden="1">
      <c r="G478" s="1069"/>
      <c r="H478" s="1069"/>
      <c r="I478" s="1069"/>
      <c r="O478" s="1067"/>
    </row>
    <row r="479" hidden="1">
      <c r="G479" s="1069"/>
      <c r="H479" s="1069"/>
      <c r="I479" s="1069"/>
      <c r="O479" s="1067"/>
    </row>
    <row r="480" hidden="1">
      <c r="G480" s="1069"/>
      <c r="H480" s="1069"/>
      <c r="I480" s="1069"/>
      <c r="O480" s="1067"/>
    </row>
    <row r="481" hidden="1">
      <c r="G481" s="1069"/>
      <c r="H481" s="1069"/>
      <c r="I481" s="1069"/>
      <c r="O481" s="1067"/>
    </row>
    <row r="482" hidden="1">
      <c r="G482" s="1069"/>
      <c r="H482" s="1069"/>
      <c r="I482" s="1069"/>
      <c r="O482" s="1067"/>
    </row>
    <row r="483" hidden="1">
      <c r="G483" s="1069"/>
      <c r="H483" s="1069"/>
      <c r="I483" s="1069"/>
      <c r="O483" s="1067"/>
    </row>
    <row r="484" hidden="1">
      <c r="G484" s="1069"/>
      <c r="H484" s="1069"/>
      <c r="I484" s="1069"/>
      <c r="O484" s="1067"/>
    </row>
    <row r="485" hidden="1">
      <c r="G485" s="1069"/>
      <c r="H485" s="1069"/>
      <c r="I485" s="1069"/>
      <c r="O485" s="1067"/>
    </row>
    <row r="486" hidden="1">
      <c r="G486" s="1069"/>
      <c r="H486" s="1069"/>
      <c r="I486" s="1069"/>
      <c r="O486" s="1067"/>
    </row>
    <row r="487" hidden="1">
      <c r="G487" s="1069"/>
      <c r="H487" s="1069"/>
      <c r="I487" s="1069"/>
      <c r="O487" s="1067"/>
    </row>
    <row r="488" hidden="1">
      <c r="G488" s="1069"/>
      <c r="H488" s="1069"/>
      <c r="I488" s="1069"/>
      <c r="O488" s="1067"/>
    </row>
    <row r="489" hidden="1">
      <c r="G489" s="1069"/>
      <c r="H489" s="1069"/>
      <c r="I489" s="1069"/>
      <c r="O489" s="1067"/>
    </row>
    <row r="490" hidden="1">
      <c r="G490" s="1069"/>
      <c r="H490" s="1069"/>
      <c r="I490" s="1069"/>
      <c r="O490" s="1067"/>
    </row>
    <row r="491" hidden="1">
      <c r="G491" s="1069"/>
      <c r="H491" s="1069"/>
      <c r="I491" s="1069"/>
      <c r="O491" s="1067"/>
    </row>
    <row r="492" hidden="1">
      <c r="G492" s="1069"/>
      <c r="H492" s="1069"/>
      <c r="I492" s="1069"/>
      <c r="O492" s="1067"/>
    </row>
    <row r="493" hidden="1">
      <c r="G493" s="1069"/>
      <c r="H493" s="1069"/>
      <c r="I493" s="1069"/>
      <c r="O493" s="1067"/>
    </row>
    <row r="494" hidden="1">
      <c r="G494" s="1069"/>
      <c r="H494" s="1069"/>
      <c r="I494" s="1069"/>
      <c r="O494" s="1067"/>
    </row>
    <row r="495" hidden="1">
      <c r="G495" s="1069"/>
      <c r="H495" s="1069"/>
      <c r="I495" s="1069"/>
      <c r="O495" s="1067"/>
    </row>
    <row r="496" hidden="1">
      <c r="G496" s="1069"/>
      <c r="H496" s="1069"/>
      <c r="I496" s="1069"/>
      <c r="O496" s="1067"/>
    </row>
    <row r="497" hidden="1">
      <c r="G497" s="1069"/>
      <c r="H497" s="1069"/>
      <c r="I497" s="1069"/>
      <c r="O497" s="1067"/>
    </row>
    <row r="498" hidden="1">
      <c r="G498" s="1069"/>
      <c r="H498" s="1069"/>
      <c r="I498" s="1069"/>
      <c r="O498" s="1067"/>
    </row>
    <row r="499" hidden="1">
      <c r="G499" s="1069"/>
      <c r="H499" s="1069"/>
      <c r="I499" s="1069"/>
      <c r="O499" s="1067"/>
    </row>
    <row r="500" hidden="1">
      <c r="G500" s="1069"/>
      <c r="H500" s="1069"/>
      <c r="I500" s="1069"/>
      <c r="O500" s="1067"/>
    </row>
    <row r="501" hidden="1">
      <c r="G501" s="1069"/>
      <c r="H501" s="1069"/>
      <c r="I501" s="1069"/>
      <c r="O501" s="1067"/>
    </row>
    <row r="502" hidden="1">
      <c r="G502" s="1069"/>
      <c r="H502" s="1069"/>
      <c r="I502" s="1069"/>
      <c r="O502" s="1067"/>
    </row>
    <row r="503" hidden="1">
      <c r="G503" s="1069"/>
      <c r="H503" s="1069"/>
      <c r="I503" s="1069"/>
      <c r="O503" s="1067"/>
    </row>
    <row r="504" hidden="1">
      <c r="G504" s="1069"/>
      <c r="H504" s="1069"/>
      <c r="I504" s="1069"/>
      <c r="O504" s="1067"/>
    </row>
    <row r="505" hidden="1">
      <c r="G505" s="1069"/>
      <c r="H505" s="1069"/>
      <c r="I505" s="1069"/>
      <c r="O505" s="1067"/>
    </row>
    <row r="506" hidden="1">
      <c r="G506" s="1069"/>
      <c r="H506" s="1069"/>
      <c r="I506" s="1069"/>
      <c r="O506" s="1067"/>
    </row>
    <row r="507" hidden="1">
      <c r="G507" s="1069"/>
      <c r="H507" s="1069"/>
      <c r="I507" s="1069"/>
      <c r="O507" s="1067"/>
    </row>
    <row r="508" hidden="1">
      <c r="G508" s="1069"/>
      <c r="H508" s="1069"/>
      <c r="I508" s="1069"/>
      <c r="O508" s="1067"/>
    </row>
    <row r="509" hidden="1">
      <c r="G509" s="1069"/>
      <c r="H509" s="1069"/>
      <c r="I509" s="1069"/>
      <c r="O509" s="1067"/>
    </row>
    <row r="510" hidden="1">
      <c r="G510" s="1069"/>
      <c r="H510" s="1069"/>
      <c r="I510" s="1069"/>
      <c r="O510" s="1067"/>
    </row>
    <row r="511" hidden="1">
      <c r="G511" s="1069"/>
      <c r="H511" s="1069"/>
      <c r="I511" s="1069"/>
      <c r="O511" s="1067"/>
    </row>
    <row r="512" hidden="1">
      <c r="G512" s="1069"/>
      <c r="H512" s="1069"/>
      <c r="I512" s="1069"/>
      <c r="O512" s="1067"/>
    </row>
    <row r="513" hidden="1">
      <c r="G513" s="1069"/>
      <c r="H513" s="1069"/>
      <c r="I513" s="1069"/>
      <c r="O513" s="1067"/>
    </row>
    <row r="514" hidden="1">
      <c r="G514" s="1069"/>
      <c r="H514" s="1069"/>
      <c r="I514" s="1069"/>
      <c r="O514" s="1067"/>
    </row>
    <row r="515" hidden="1">
      <c r="G515" s="1069"/>
      <c r="H515" s="1069"/>
      <c r="I515" s="1069"/>
      <c r="O515" s="1067"/>
    </row>
    <row r="516" hidden="1">
      <c r="G516" s="1069"/>
      <c r="H516" s="1069"/>
      <c r="I516" s="1069"/>
      <c r="O516" s="1067"/>
    </row>
    <row r="517" hidden="1">
      <c r="G517" s="1069"/>
      <c r="H517" s="1069"/>
      <c r="I517" s="1069"/>
      <c r="O517" s="1067"/>
    </row>
    <row r="518" hidden="1">
      <c r="G518" s="1069"/>
      <c r="H518" s="1069"/>
      <c r="I518" s="1069"/>
      <c r="O518" s="1067"/>
    </row>
    <row r="519" hidden="1">
      <c r="G519" s="1069"/>
      <c r="H519" s="1069"/>
      <c r="I519" s="1069"/>
      <c r="O519" s="1067"/>
    </row>
    <row r="520" hidden="1">
      <c r="G520" s="1069"/>
      <c r="H520" s="1069"/>
      <c r="I520" s="1069"/>
      <c r="O520" s="1067"/>
    </row>
    <row r="521" hidden="1">
      <c r="G521" s="1069"/>
      <c r="H521" s="1069"/>
      <c r="I521" s="1069"/>
      <c r="O521" s="1067"/>
    </row>
    <row r="522" hidden="1">
      <c r="G522" s="1069"/>
      <c r="H522" s="1069"/>
      <c r="I522" s="1069"/>
      <c r="O522" s="1067"/>
    </row>
    <row r="523" hidden="1">
      <c r="G523" s="1069"/>
      <c r="H523" s="1069"/>
      <c r="I523" s="1069"/>
      <c r="O523" s="1067"/>
    </row>
    <row r="524" hidden="1">
      <c r="G524" s="1069"/>
      <c r="H524" s="1069"/>
      <c r="I524" s="1069"/>
      <c r="O524" s="1067"/>
    </row>
    <row r="525" hidden="1">
      <c r="G525" s="1069"/>
      <c r="H525" s="1069"/>
      <c r="I525" s="1069"/>
      <c r="O525" s="1067"/>
    </row>
    <row r="526" hidden="1">
      <c r="G526" s="1069"/>
      <c r="H526" s="1069"/>
      <c r="I526" s="1069"/>
      <c r="O526" s="1067"/>
    </row>
    <row r="527" hidden="1">
      <c r="G527" s="1069"/>
      <c r="H527" s="1069"/>
      <c r="I527" s="1069"/>
      <c r="O527" s="1067"/>
    </row>
    <row r="528" hidden="1">
      <c r="G528" s="1069"/>
      <c r="H528" s="1069"/>
      <c r="I528" s="1069"/>
      <c r="O528" s="1067"/>
    </row>
    <row r="529" hidden="1">
      <c r="G529" s="1069"/>
      <c r="H529" s="1069"/>
      <c r="I529" s="1069"/>
      <c r="O529" s="1067"/>
    </row>
    <row r="530" hidden="1">
      <c r="G530" s="1069"/>
      <c r="H530" s="1069"/>
      <c r="I530" s="1069"/>
      <c r="O530" s="1067"/>
    </row>
    <row r="531" hidden="1">
      <c r="G531" s="1069"/>
      <c r="H531" s="1069"/>
      <c r="I531" s="1069"/>
      <c r="O531" s="1067"/>
    </row>
    <row r="532" hidden="1">
      <c r="G532" s="1069"/>
      <c r="H532" s="1069"/>
      <c r="I532" s="1069"/>
      <c r="O532" s="1067"/>
    </row>
    <row r="533" hidden="1">
      <c r="G533" s="1069"/>
      <c r="H533" s="1069"/>
      <c r="I533" s="1069"/>
      <c r="O533" s="1067"/>
    </row>
    <row r="534" hidden="1">
      <c r="G534" s="1069"/>
      <c r="H534" s="1069"/>
      <c r="I534" s="1069"/>
      <c r="O534" s="1067"/>
    </row>
    <row r="535" hidden="1">
      <c r="G535" s="1069"/>
      <c r="H535" s="1069"/>
      <c r="I535" s="1069"/>
      <c r="O535" s="1067"/>
    </row>
    <row r="536" hidden="1">
      <c r="G536" s="1069"/>
      <c r="H536" s="1069"/>
      <c r="I536" s="1069"/>
      <c r="O536" s="1067"/>
    </row>
    <row r="537" hidden="1">
      <c r="G537" s="1069"/>
      <c r="H537" s="1069"/>
      <c r="I537" s="1069"/>
      <c r="O537" s="1067"/>
    </row>
    <row r="538" hidden="1">
      <c r="G538" s="1069"/>
      <c r="H538" s="1069"/>
      <c r="I538" s="1069"/>
      <c r="O538" s="1067"/>
    </row>
    <row r="539" hidden="1">
      <c r="G539" s="1069"/>
      <c r="H539" s="1069"/>
      <c r="I539" s="1069"/>
      <c r="O539" s="1067"/>
    </row>
    <row r="540" hidden="1">
      <c r="G540" s="1069"/>
      <c r="H540" s="1069"/>
      <c r="I540" s="1069"/>
      <c r="O540" s="1067"/>
    </row>
    <row r="541" hidden="1">
      <c r="G541" s="1069"/>
      <c r="H541" s="1069"/>
      <c r="I541" s="1069"/>
      <c r="O541" s="1067"/>
    </row>
    <row r="542" hidden="1">
      <c r="G542" s="1069"/>
      <c r="H542" s="1069"/>
      <c r="I542" s="1069"/>
      <c r="O542" s="1067"/>
    </row>
    <row r="543" hidden="1">
      <c r="G543" s="1069"/>
      <c r="H543" s="1069"/>
      <c r="I543" s="1069"/>
      <c r="O543" s="1067"/>
    </row>
    <row r="544" hidden="1">
      <c r="G544" s="1069"/>
      <c r="H544" s="1069"/>
      <c r="I544" s="1069"/>
      <c r="O544" s="1067"/>
    </row>
    <row r="545" hidden="1">
      <c r="G545" s="1069"/>
      <c r="H545" s="1069"/>
      <c r="I545" s="1069"/>
      <c r="O545" s="1067"/>
    </row>
    <row r="546" hidden="1">
      <c r="G546" s="1069"/>
      <c r="H546" s="1069"/>
      <c r="I546" s="1069"/>
      <c r="O546" s="1067"/>
    </row>
    <row r="547" hidden="1">
      <c r="G547" s="1069"/>
      <c r="H547" s="1069"/>
      <c r="I547" s="1069"/>
      <c r="O547" s="1067"/>
    </row>
    <row r="548" hidden="1">
      <c r="G548" s="1069"/>
      <c r="H548" s="1069"/>
      <c r="I548" s="1069"/>
      <c r="O548" s="1067"/>
    </row>
    <row r="549" hidden="1">
      <c r="G549" s="1069"/>
      <c r="H549" s="1069"/>
      <c r="I549" s="1069"/>
      <c r="O549" s="1067"/>
    </row>
    <row r="550" hidden="1">
      <c r="G550" s="1069"/>
      <c r="H550" s="1069"/>
      <c r="I550" s="1069"/>
      <c r="O550" s="1067"/>
    </row>
    <row r="551" hidden="1">
      <c r="G551" s="1069"/>
      <c r="H551" s="1069"/>
      <c r="I551" s="1069"/>
      <c r="O551" s="1067"/>
    </row>
    <row r="552" hidden="1">
      <c r="G552" s="1069"/>
      <c r="H552" s="1069"/>
      <c r="I552" s="1069"/>
      <c r="O552" s="1067"/>
    </row>
    <row r="553" hidden="1">
      <c r="G553" s="1069"/>
      <c r="H553" s="1069"/>
      <c r="I553" s="1069"/>
      <c r="O553" s="1067"/>
    </row>
    <row r="554" hidden="1">
      <c r="G554" s="1069"/>
      <c r="H554" s="1069"/>
      <c r="I554" s="1069"/>
      <c r="O554" s="1067"/>
    </row>
    <row r="555" hidden="1">
      <c r="G555" s="1069"/>
      <c r="H555" s="1069"/>
      <c r="I555" s="1069"/>
      <c r="O555" s="1067"/>
    </row>
    <row r="556" hidden="1">
      <c r="G556" s="1069"/>
      <c r="H556" s="1069"/>
      <c r="I556" s="1069"/>
      <c r="O556" s="1067"/>
    </row>
    <row r="557" hidden="1">
      <c r="G557" s="1069"/>
      <c r="H557" s="1069"/>
      <c r="I557" s="1069"/>
      <c r="O557" s="1067"/>
    </row>
    <row r="558" hidden="1">
      <c r="G558" s="1069"/>
      <c r="H558" s="1069"/>
      <c r="I558" s="1069"/>
      <c r="O558" s="1067"/>
    </row>
    <row r="559" hidden="1">
      <c r="G559" s="1069"/>
      <c r="H559" s="1069"/>
      <c r="I559" s="1069"/>
      <c r="O559" s="1067"/>
    </row>
    <row r="560" hidden="1">
      <c r="G560" s="1069"/>
      <c r="H560" s="1069"/>
      <c r="I560" s="1069"/>
      <c r="O560" s="1067"/>
    </row>
    <row r="561" hidden="1">
      <c r="G561" s="1069"/>
      <c r="H561" s="1069"/>
      <c r="I561" s="1069"/>
      <c r="O561" s="1067"/>
    </row>
    <row r="562" hidden="1">
      <c r="G562" s="1069"/>
      <c r="H562" s="1069"/>
      <c r="I562" s="1069"/>
      <c r="O562" s="1067"/>
    </row>
    <row r="563" hidden="1">
      <c r="G563" s="1069"/>
      <c r="H563" s="1069"/>
      <c r="I563" s="1069"/>
      <c r="O563" s="1067"/>
    </row>
    <row r="564" hidden="1">
      <c r="G564" s="1069"/>
      <c r="H564" s="1069"/>
      <c r="I564" s="1069"/>
      <c r="O564" s="1067"/>
    </row>
    <row r="565" hidden="1">
      <c r="G565" s="1069"/>
      <c r="H565" s="1069"/>
      <c r="I565" s="1069"/>
      <c r="O565" s="1067"/>
    </row>
    <row r="566" hidden="1">
      <c r="G566" s="1069"/>
      <c r="H566" s="1069"/>
      <c r="I566" s="1069"/>
      <c r="O566" s="1067"/>
    </row>
    <row r="567" hidden="1">
      <c r="G567" s="1069"/>
      <c r="H567" s="1069"/>
      <c r="I567" s="1069"/>
      <c r="O567" s="1067"/>
    </row>
    <row r="568" hidden="1">
      <c r="G568" s="1069"/>
      <c r="H568" s="1069"/>
      <c r="I568" s="1069"/>
      <c r="O568" s="1067"/>
    </row>
    <row r="569" hidden="1">
      <c r="G569" s="1069"/>
      <c r="H569" s="1069"/>
      <c r="I569" s="1069"/>
      <c r="O569" s="1067"/>
    </row>
    <row r="570" hidden="1">
      <c r="G570" s="1069"/>
      <c r="H570" s="1069"/>
      <c r="I570" s="1069"/>
      <c r="O570" s="1067"/>
    </row>
    <row r="571" hidden="1">
      <c r="G571" s="1069"/>
      <c r="H571" s="1069"/>
      <c r="I571" s="1069"/>
      <c r="O571" s="1067"/>
    </row>
    <row r="572" hidden="1">
      <c r="G572" s="1069"/>
      <c r="H572" s="1069"/>
      <c r="I572" s="1069"/>
      <c r="O572" s="1067"/>
    </row>
    <row r="573" hidden="1">
      <c r="G573" s="1069"/>
      <c r="H573" s="1069"/>
      <c r="I573" s="1069"/>
      <c r="O573" s="1067"/>
    </row>
    <row r="574" hidden="1">
      <c r="G574" s="1069"/>
      <c r="H574" s="1069"/>
      <c r="I574" s="1069"/>
      <c r="O574" s="1067"/>
    </row>
    <row r="575" hidden="1">
      <c r="G575" s="1069"/>
      <c r="H575" s="1069"/>
      <c r="I575" s="1069"/>
      <c r="O575" s="1067"/>
    </row>
    <row r="576" hidden="1">
      <c r="G576" s="1069"/>
      <c r="H576" s="1069"/>
      <c r="I576" s="1069"/>
      <c r="O576" s="1067"/>
    </row>
    <row r="577" hidden="1">
      <c r="G577" s="1069"/>
      <c r="H577" s="1069"/>
      <c r="I577" s="1069"/>
      <c r="O577" s="1067"/>
    </row>
    <row r="578" hidden="1">
      <c r="G578" s="1069"/>
      <c r="H578" s="1069"/>
      <c r="I578" s="1069"/>
      <c r="O578" s="1067"/>
    </row>
    <row r="579" hidden="1">
      <c r="G579" s="1069"/>
      <c r="H579" s="1069"/>
      <c r="I579" s="1069"/>
      <c r="O579" s="1067"/>
    </row>
    <row r="580" hidden="1">
      <c r="G580" s="1069"/>
      <c r="H580" s="1069"/>
      <c r="I580" s="1069"/>
      <c r="O580" s="1067"/>
    </row>
    <row r="581" hidden="1">
      <c r="G581" s="1069"/>
      <c r="H581" s="1069"/>
      <c r="I581" s="1069"/>
      <c r="O581" s="1067"/>
    </row>
    <row r="582" hidden="1">
      <c r="G582" s="1069"/>
      <c r="H582" s="1069"/>
      <c r="I582" s="1069"/>
      <c r="O582" s="1067"/>
    </row>
    <row r="583" hidden="1">
      <c r="G583" s="1069"/>
      <c r="H583" s="1069"/>
      <c r="I583" s="1069"/>
      <c r="O583" s="1067"/>
    </row>
    <row r="584" hidden="1">
      <c r="G584" s="1069"/>
      <c r="H584" s="1069"/>
      <c r="I584" s="1069"/>
      <c r="O584" s="1067"/>
    </row>
    <row r="585" hidden="1">
      <c r="G585" s="1069"/>
      <c r="H585" s="1069"/>
      <c r="I585" s="1069"/>
      <c r="O585" s="1067"/>
    </row>
    <row r="586" hidden="1">
      <c r="G586" s="1069"/>
      <c r="H586" s="1069"/>
      <c r="I586" s="1069"/>
      <c r="O586" s="1067"/>
    </row>
    <row r="587" hidden="1">
      <c r="G587" s="1069"/>
      <c r="H587" s="1069"/>
      <c r="I587" s="1069"/>
      <c r="O587" s="1067"/>
    </row>
    <row r="588" hidden="1">
      <c r="G588" s="1069"/>
      <c r="H588" s="1069"/>
      <c r="I588" s="1069"/>
      <c r="O588" s="1067"/>
    </row>
    <row r="589" hidden="1">
      <c r="G589" s="1069"/>
      <c r="H589" s="1069"/>
      <c r="I589" s="1069"/>
      <c r="O589" s="1067"/>
    </row>
    <row r="590" hidden="1">
      <c r="G590" s="1069"/>
      <c r="H590" s="1069"/>
      <c r="I590" s="1069"/>
      <c r="O590" s="1067"/>
    </row>
    <row r="591" hidden="1">
      <c r="G591" s="1069"/>
      <c r="H591" s="1069"/>
      <c r="I591" s="1069"/>
      <c r="O591" s="1067"/>
    </row>
    <row r="592" hidden="1">
      <c r="G592" s="1069"/>
      <c r="H592" s="1069"/>
      <c r="I592" s="1069"/>
      <c r="O592" s="1067"/>
    </row>
    <row r="593" hidden="1">
      <c r="G593" s="1069"/>
      <c r="H593" s="1069"/>
      <c r="I593" s="1069"/>
      <c r="O593" s="1067"/>
    </row>
    <row r="594" hidden="1">
      <c r="G594" s="1069"/>
      <c r="H594" s="1069"/>
      <c r="I594" s="1069"/>
      <c r="O594" s="1067"/>
    </row>
    <row r="595" hidden="1">
      <c r="G595" s="1069"/>
      <c r="H595" s="1069"/>
      <c r="I595" s="1069"/>
      <c r="O595" s="1067"/>
    </row>
    <row r="596" hidden="1">
      <c r="G596" s="1069"/>
      <c r="H596" s="1069"/>
      <c r="I596" s="1069"/>
      <c r="O596" s="1067"/>
    </row>
    <row r="597" hidden="1">
      <c r="G597" s="1069"/>
      <c r="H597" s="1069"/>
      <c r="I597" s="1069"/>
      <c r="O597" s="1067"/>
    </row>
    <row r="598" hidden="1">
      <c r="G598" s="1069"/>
      <c r="H598" s="1069"/>
      <c r="I598" s="1069"/>
      <c r="O598" s="1067"/>
    </row>
    <row r="599" hidden="1">
      <c r="G599" s="1069"/>
      <c r="H599" s="1069"/>
      <c r="I599" s="1069"/>
      <c r="O599" s="1067"/>
    </row>
    <row r="600" hidden="1">
      <c r="G600" s="1069"/>
      <c r="H600" s="1069"/>
      <c r="I600" s="1069"/>
      <c r="O600" s="1067"/>
    </row>
    <row r="601" hidden="1">
      <c r="G601" s="1069"/>
      <c r="H601" s="1069"/>
      <c r="I601" s="1069"/>
      <c r="O601" s="1067"/>
    </row>
    <row r="602" hidden="1">
      <c r="G602" s="1069"/>
      <c r="H602" s="1069"/>
      <c r="I602" s="1069"/>
      <c r="O602" s="1067"/>
    </row>
    <row r="603" hidden="1">
      <c r="G603" s="1069"/>
      <c r="H603" s="1069"/>
      <c r="I603" s="1069"/>
      <c r="O603" s="1067"/>
    </row>
    <row r="604" hidden="1">
      <c r="G604" s="1069"/>
      <c r="H604" s="1069"/>
      <c r="I604" s="1069"/>
      <c r="O604" s="1067"/>
    </row>
    <row r="605" hidden="1">
      <c r="G605" s="1069"/>
      <c r="H605" s="1069"/>
      <c r="I605" s="1069"/>
      <c r="O605" s="1067"/>
    </row>
    <row r="606" hidden="1">
      <c r="G606" s="1069"/>
      <c r="H606" s="1069"/>
      <c r="I606" s="1069"/>
      <c r="O606" s="1067"/>
    </row>
    <row r="607" hidden="1">
      <c r="G607" s="1069"/>
      <c r="H607" s="1069"/>
      <c r="I607" s="1069"/>
      <c r="O607" s="1067"/>
    </row>
    <row r="608" hidden="1">
      <c r="G608" s="1069"/>
      <c r="H608" s="1069"/>
      <c r="I608" s="1069"/>
      <c r="O608" s="1067"/>
    </row>
    <row r="609" hidden="1">
      <c r="G609" s="1069"/>
      <c r="H609" s="1069"/>
      <c r="I609" s="1069"/>
      <c r="O609" s="1067"/>
    </row>
    <row r="610" hidden="1">
      <c r="G610" s="1069"/>
      <c r="H610" s="1069"/>
      <c r="I610" s="1069"/>
      <c r="O610" s="1067"/>
    </row>
    <row r="611" hidden="1">
      <c r="G611" s="1069"/>
      <c r="H611" s="1069"/>
      <c r="I611" s="1069"/>
      <c r="O611" s="1067"/>
    </row>
    <row r="612" hidden="1">
      <c r="G612" s="1069"/>
      <c r="H612" s="1069"/>
      <c r="I612" s="1069"/>
      <c r="O612" s="1067"/>
    </row>
    <row r="613" hidden="1">
      <c r="G613" s="1069"/>
      <c r="H613" s="1069"/>
      <c r="I613" s="1069"/>
      <c r="O613" s="1067"/>
    </row>
    <row r="614" hidden="1">
      <c r="G614" s="1069"/>
      <c r="H614" s="1069"/>
      <c r="I614" s="1069"/>
      <c r="O614" s="1067"/>
    </row>
    <row r="615" hidden="1">
      <c r="G615" s="1069"/>
      <c r="H615" s="1069"/>
      <c r="I615" s="1069"/>
      <c r="O615" s="1067"/>
    </row>
    <row r="616" hidden="1">
      <c r="G616" s="1069"/>
      <c r="H616" s="1069"/>
      <c r="I616" s="1069"/>
      <c r="O616" s="1067"/>
    </row>
    <row r="617" hidden="1">
      <c r="G617" s="1069"/>
      <c r="H617" s="1069"/>
      <c r="I617" s="1069"/>
      <c r="O617" s="1067"/>
    </row>
    <row r="618" hidden="1">
      <c r="G618" s="1069"/>
      <c r="H618" s="1069"/>
      <c r="I618" s="1069"/>
      <c r="O618" s="1067"/>
    </row>
    <row r="619" hidden="1">
      <c r="G619" s="1069"/>
      <c r="H619" s="1069"/>
      <c r="I619" s="1069"/>
      <c r="O619" s="1067"/>
    </row>
    <row r="620" hidden="1">
      <c r="G620" s="1069"/>
      <c r="H620" s="1069"/>
      <c r="I620" s="1069"/>
      <c r="O620" s="1067"/>
    </row>
    <row r="621" hidden="1">
      <c r="G621" s="1069"/>
      <c r="H621" s="1069"/>
      <c r="I621" s="1069"/>
      <c r="O621" s="1067"/>
    </row>
    <row r="622" hidden="1">
      <c r="G622" s="1069"/>
      <c r="H622" s="1069"/>
      <c r="I622" s="1069"/>
      <c r="O622" s="1067"/>
    </row>
    <row r="623" hidden="1">
      <c r="G623" s="1069"/>
      <c r="H623" s="1069"/>
      <c r="I623" s="1069"/>
      <c r="O623" s="1067"/>
    </row>
    <row r="624" hidden="1">
      <c r="G624" s="1069"/>
      <c r="H624" s="1069"/>
      <c r="I624" s="1069"/>
      <c r="O624" s="1067"/>
    </row>
    <row r="625" hidden="1">
      <c r="G625" s="1069"/>
      <c r="H625" s="1069"/>
      <c r="I625" s="1069"/>
      <c r="O625" s="1067"/>
    </row>
    <row r="626" hidden="1">
      <c r="G626" s="1069"/>
      <c r="H626" s="1069"/>
      <c r="I626" s="1069"/>
      <c r="O626" s="1067"/>
    </row>
    <row r="627" hidden="1">
      <c r="G627" s="1069"/>
      <c r="H627" s="1069"/>
      <c r="I627" s="1069"/>
      <c r="O627" s="1067"/>
    </row>
    <row r="628" hidden="1">
      <c r="G628" s="1069"/>
      <c r="H628" s="1069"/>
      <c r="I628" s="1069"/>
      <c r="O628" s="1067"/>
    </row>
    <row r="629" hidden="1">
      <c r="G629" s="1069"/>
      <c r="H629" s="1069"/>
      <c r="I629" s="1069"/>
      <c r="O629" s="1067"/>
    </row>
    <row r="630" hidden="1">
      <c r="G630" s="1069"/>
      <c r="H630" s="1069"/>
      <c r="I630" s="1069"/>
      <c r="O630" s="1067"/>
    </row>
    <row r="631" hidden="1">
      <c r="G631" s="1069"/>
      <c r="H631" s="1069"/>
      <c r="I631" s="1069"/>
      <c r="O631" s="1067"/>
    </row>
    <row r="632" hidden="1">
      <c r="G632" s="1069"/>
      <c r="H632" s="1069"/>
      <c r="I632" s="1069"/>
      <c r="O632" s="1067"/>
    </row>
    <row r="633" hidden="1">
      <c r="G633" s="1069"/>
      <c r="H633" s="1069"/>
      <c r="I633" s="1069"/>
      <c r="O633" s="1067"/>
    </row>
    <row r="634" hidden="1">
      <c r="G634" s="1069"/>
      <c r="H634" s="1069"/>
      <c r="I634" s="1069"/>
      <c r="O634" s="1067"/>
    </row>
    <row r="635" hidden="1">
      <c r="G635" s="1069"/>
      <c r="H635" s="1069"/>
      <c r="I635" s="1069"/>
      <c r="O635" s="1067"/>
    </row>
    <row r="636" hidden="1">
      <c r="G636" s="1069"/>
      <c r="H636" s="1069"/>
      <c r="I636" s="1069"/>
      <c r="O636" s="1067"/>
    </row>
    <row r="637" hidden="1">
      <c r="G637" s="1069"/>
      <c r="H637" s="1069"/>
      <c r="I637" s="1069"/>
      <c r="O637" s="1067"/>
    </row>
    <row r="638" hidden="1">
      <c r="G638" s="1069"/>
      <c r="H638" s="1069"/>
      <c r="I638" s="1069"/>
      <c r="O638" s="1067"/>
    </row>
    <row r="639" hidden="1">
      <c r="G639" s="1069"/>
      <c r="H639" s="1069"/>
      <c r="I639" s="1069"/>
      <c r="O639" s="1067"/>
    </row>
    <row r="640" hidden="1">
      <c r="G640" s="1069"/>
      <c r="H640" s="1069"/>
      <c r="I640" s="1069"/>
      <c r="O640" s="1067"/>
    </row>
    <row r="641" hidden="1">
      <c r="G641" s="1069"/>
      <c r="H641" s="1069"/>
      <c r="I641" s="1069"/>
      <c r="O641" s="1067"/>
    </row>
    <row r="642" hidden="1">
      <c r="G642" s="1069"/>
      <c r="H642" s="1069"/>
      <c r="I642" s="1069"/>
      <c r="O642" s="1067"/>
    </row>
    <row r="643" hidden="1">
      <c r="G643" s="1069"/>
      <c r="H643" s="1069"/>
      <c r="I643" s="1069"/>
      <c r="O643" s="1067"/>
    </row>
    <row r="644" hidden="1">
      <c r="G644" s="1069"/>
      <c r="H644" s="1069"/>
      <c r="I644" s="1069"/>
      <c r="O644" s="1067"/>
    </row>
    <row r="645" hidden="1">
      <c r="G645" s="1069"/>
      <c r="H645" s="1069"/>
      <c r="I645" s="1069"/>
      <c r="O645" s="1067"/>
    </row>
    <row r="646" hidden="1">
      <c r="G646" s="1069"/>
      <c r="H646" s="1069"/>
      <c r="I646" s="1069"/>
      <c r="O646" s="1067"/>
    </row>
    <row r="647" hidden="1">
      <c r="G647" s="1069"/>
      <c r="H647" s="1069"/>
      <c r="I647" s="1069"/>
      <c r="O647" s="1067"/>
    </row>
    <row r="648" hidden="1">
      <c r="G648" s="1069"/>
      <c r="H648" s="1069"/>
      <c r="I648" s="1069"/>
      <c r="O648" s="1067"/>
    </row>
    <row r="649" hidden="1">
      <c r="G649" s="1069"/>
      <c r="H649" s="1069"/>
      <c r="I649" s="1069"/>
      <c r="O649" s="1067"/>
    </row>
    <row r="650" hidden="1">
      <c r="G650" s="1069"/>
      <c r="H650" s="1069"/>
      <c r="I650" s="1069"/>
      <c r="O650" s="1067"/>
    </row>
    <row r="651" hidden="1">
      <c r="G651" s="1069"/>
      <c r="H651" s="1069"/>
      <c r="I651" s="1069"/>
      <c r="O651" s="1067"/>
    </row>
    <row r="652" hidden="1">
      <c r="G652" s="1069"/>
      <c r="H652" s="1069"/>
      <c r="I652" s="1069"/>
      <c r="O652" s="1067"/>
    </row>
    <row r="653" hidden="1">
      <c r="G653" s="1069"/>
      <c r="H653" s="1069"/>
      <c r="I653" s="1069"/>
      <c r="O653" s="1067"/>
    </row>
    <row r="654" hidden="1">
      <c r="G654" s="1069"/>
      <c r="H654" s="1069"/>
      <c r="I654" s="1069"/>
      <c r="O654" s="1067"/>
    </row>
    <row r="655" hidden="1">
      <c r="G655" s="1069"/>
      <c r="H655" s="1069"/>
      <c r="I655" s="1069"/>
      <c r="O655" s="1067"/>
    </row>
    <row r="656" hidden="1">
      <c r="G656" s="1069"/>
      <c r="H656" s="1069"/>
      <c r="I656" s="1069"/>
      <c r="O656" s="1067"/>
    </row>
    <row r="657" hidden="1">
      <c r="G657" s="1069"/>
      <c r="H657" s="1069"/>
      <c r="I657" s="1069"/>
      <c r="O657" s="1067"/>
    </row>
    <row r="658" hidden="1">
      <c r="G658" s="1069"/>
      <c r="H658" s="1069"/>
      <c r="I658" s="1069"/>
      <c r="O658" s="1067"/>
    </row>
    <row r="659" hidden="1">
      <c r="G659" s="1069"/>
      <c r="H659" s="1069"/>
      <c r="I659" s="1069"/>
      <c r="O659" s="1067"/>
    </row>
    <row r="660" hidden="1">
      <c r="G660" s="1069"/>
      <c r="H660" s="1069"/>
      <c r="I660" s="1069"/>
      <c r="O660" s="1067"/>
    </row>
    <row r="661" hidden="1">
      <c r="G661" s="1069"/>
      <c r="H661" s="1069"/>
      <c r="I661" s="1069"/>
      <c r="O661" s="1067"/>
    </row>
    <row r="662" hidden="1">
      <c r="G662" s="1069"/>
      <c r="H662" s="1069"/>
      <c r="I662" s="1069"/>
      <c r="O662" s="1067"/>
    </row>
    <row r="663" hidden="1">
      <c r="G663" s="1069"/>
      <c r="H663" s="1069"/>
      <c r="I663" s="1069"/>
      <c r="O663" s="1067"/>
    </row>
    <row r="664" hidden="1">
      <c r="G664" s="1069"/>
      <c r="H664" s="1069"/>
      <c r="I664" s="1069"/>
      <c r="O664" s="1067"/>
    </row>
    <row r="665" hidden="1">
      <c r="G665" s="1069"/>
      <c r="H665" s="1069"/>
      <c r="I665" s="1069"/>
      <c r="O665" s="1067"/>
    </row>
    <row r="666" hidden="1">
      <c r="G666" s="1069"/>
      <c r="H666" s="1069"/>
      <c r="I666" s="1069"/>
      <c r="O666" s="1067"/>
    </row>
    <row r="667" hidden="1">
      <c r="G667" s="1069"/>
      <c r="H667" s="1069"/>
      <c r="I667" s="1069"/>
      <c r="O667" s="1067"/>
    </row>
    <row r="668" hidden="1">
      <c r="G668" s="1069"/>
      <c r="H668" s="1069"/>
      <c r="I668" s="1069"/>
      <c r="O668" s="1067"/>
    </row>
    <row r="669" hidden="1">
      <c r="G669" s="1069"/>
      <c r="H669" s="1069"/>
      <c r="I669" s="1069"/>
      <c r="O669" s="1067"/>
    </row>
    <row r="670" hidden="1">
      <c r="G670" s="1069"/>
      <c r="H670" s="1069"/>
      <c r="I670" s="1069"/>
      <c r="O670" s="1067"/>
    </row>
    <row r="671" hidden="1">
      <c r="G671" s="1069"/>
      <c r="H671" s="1069"/>
      <c r="I671" s="1069"/>
      <c r="O671" s="1067"/>
    </row>
    <row r="672" hidden="1">
      <c r="G672" s="1069"/>
      <c r="H672" s="1069"/>
      <c r="I672" s="1069"/>
      <c r="O672" s="1067"/>
    </row>
    <row r="673" hidden="1">
      <c r="G673" s="1069"/>
      <c r="H673" s="1069"/>
      <c r="I673" s="1069"/>
      <c r="O673" s="1067"/>
    </row>
    <row r="674" hidden="1">
      <c r="G674" s="1069"/>
      <c r="H674" s="1069"/>
      <c r="I674" s="1069"/>
      <c r="O674" s="1067"/>
    </row>
    <row r="675" hidden="1">
      <c r="G675" s="1069"/>
      <c r="H675" s="1069"/>
      <c r="I675" s="1069"/>
      <c r="O675" s="1067"/>
    </row>
    <row r="676" hidden="1">
      <c r="G676" s="1069"/>
      <c r="H676" s="1069"/>
      <c r="I676" s="1069"/>
      <c r="O676" s="1067"/>
    </row>
    <row r="677" hidden="1">
      <c r="G677" s="1069"/>
      <c r="H677" s="1069"/>
      <c r="I677" s="1069"/>
      <c r="O677" s="1067"/>
    </row>
    <row r="678" hidden="1">
      <c r="G678" s="1069"/>
      <c r="H678" s="1069"/>
      <c r="I678" s="1069"/>
      <c r="O678" s="1067"/>
    </row>
    <row r="679" hidden="1">
      <c r="G679" s="1069"/>
      <c r="H679" s="1069"/>
      <c r="I679" s="1069"/>
      <c r="O679" s="1067"/>
    </row>
    <row r="680" hidden="1">
      <c r="G680" s="1069"/>
      <c r="H680" s="1069"/>
      <c r="I680" s="1069"/>
      <c r="O680" s="1067"/>
    </row>
    <row r="681" hidden="1">
      <c r="G681" s="1069"/>
      <c r="H681" s="1069"/>
      <c r="I681" s="1069"/>
      <c r="O681" s="1067"/>
    </row>
    <row r="682" hidden="1">
      <c r="G682" s="1069"/>
      <c r="H682" s="1069"/>
      <c r="I682" s="1069"/>
      <c r="O682" s="1067"/>
    </row>
    <row r="683" hidden="1">
      <c r="G683" s="1069"/>
      <c r="H683" s="1069"/>
      <c r="I683" s="1069"/>
      <c r="O683" s="1067"/>
    </row>
    <row r="684" hidden="1">
      <c r="G684" s="1069"/>
      <c r="H684" s="1069"/>
      <c r="I684" s="1069"/>
      <c r="O684" s="1067"/>
    </row>
    <row r="685" hidden="1">
      <c r="G685" s="1069"/>
      <c r="H685" s="1069"/>
      <c r="I685" s="1069"/>
      <c r="O685" s="1067"/>
    </row>
    <row r="686" hidden="1">
      <c r="G686" s="1069"/>
      <c r="H686" s="1069"/>
      <c r="I686" s="1069"/>
      <c r="O686" s="1067"/>
    </row>
    <row r="687" hidden="1">
      <c r="G687" s="1069"/>
      <c r="H687" s="1069"/>
      <c r="I687" s="1069"/>
      <c r="O687" s="1067"/>
    </row>
    <row r="688" hidden="1">
      <c r="G688" s="1069"/>
      <c r="H688" s="1069"/>
      <c r="I688" s="1069"/>
      <c r="O688" s="1067"/>
    </row>
    <row r="689" hidden="1">
      <c r="G689" s="1069"/>
      <c r="H689" s="1069"/>
      <c r="I689" s="1069"/>
      <c r="O689" s="1067"/>
    </row>
    <row r="690" hidden="1">
      <c r="G690" s="1069"/>
      <c r="H690" s="1069"/>
      <c r="I690" s="1069"/>
      <c r="O690" s="1067"/>
    </row>
    <row r="691" hidden="1">
      <c r="G691" s="1069"/>
      <c r="H691" s="1069"/>
      <c r="I691" s="1069"/>
      <c r="O691" s="1067"/>
    </row>
    <row r="692" hidden="1">
      <c r="G692" s="1069"/>
      <c r="H692" s="1069"/>
      <c r="I692" s="1069"/>
      <c r="O692" s="1067"/>
    </row>
    <row r="693" hidden="1">
      <c r="G693" s="1069"/>
      <c r="H693" s="1069"/>
      <c r="I693" s="1069"/>
      <c r="O693" s="1067"/>
    </row>
    <row r="694" hidden="1">
      <c r="G694" s="1069"/>
      <c r="H694" s="1069"/>
      <c r="I694" s="1069"/>
      <c r="O694" s="1067"/>
    </row>
    <row r="695" hidden="1">
      <c r="G695" s="1069"/>
      <c r="H695" s="1069"/>
      <c r="I695" s="1069"/>
      <c r="O695" s="1067"/>
    </row>
    <row r="696" hidden="1">
      <c r="G696" s="1069"/>
      <c r="H696" s="1069"/>
      <c r="I696" s="1069"/>
      <c r="O696" s="1067"/>
    </row>
    <row r="697" hidden="1">
      <c r="G697" s="1069"/>
      <c r="H697" s="1069"/>
      <c r="I697" s="1069"/>
      <c r="O697" s="1067"/>
    </row>
    <row r="698" hidden="1">
      <c r="G698" s="1069"/>
      <c r="H698" s="1069"/>
      <c r="I698" s="1069"/>
      <c r="O698" s="1067"/>
    </row>
    <row r="699" hidden="1">
      <c r="G699" s="1069"/>
      <c r="H699" s="1069"/>
      <c r="I699" s="1069"/>
      <c r="O699" s="1067"/>
    </row>
    <row r="700" hidden="1">
      <c r="G700" s="1069"/>
      <c r="H700" s="1069"/>
      <c r="I700" s="1069"/>
      <c r="O700" s="1067"/>
    </row>
    <row r="701" hidden="1">
      <c r="G701" s="1069"/>
      <c r="H701" s="1069"/>
      <c r="I701" s="1069"/>
      <c r="O701" s="1067"/>
    </row>
    <row r="702" hidden="1">
      <c r="G702" s="1069"/>
      <c r="H702" s="1069"/>
      <c r="I702" s="1069"/>
      <c r="O702" s="1067"/>
    </row>
    <row r="703" hidden="1">
      <c r="G703" s="1069"/>
      <c r="H703" s="1069"/>
      <c r="I703" s="1069"/>
      <c r="O703" s="1067"/>
    </row>
    <row r="704" hidden="1">
      <c r="G704" s="1069"/>
      <c r="H704" s="1069"/>
      <c r="I704" s="1069"/>
      <c r="O704" s="1067"/>
    </row>
    <row r="705" hidden="1">
      <c r="G705" s="1069"/>
      <c r="H705" s="1069"/>
      <c r="I705" s="1069"/>
      <c r="O705" s="1067"/>
    </row>
    <row r="706" hidden="1">
      <c r="G706" s="1069"/>
      <c r="H706" s="1069"/>
      <c r="I706" s="1069"/>
      <c r="O706" s="1067"/>
    </row>
    <row r="707" hidden="1">
      <c r="G707" s="1069"/>
      <c r="H707" s="1069"/>
      <c r="I707" s="1069"/>
      <c r="O707" s="1067"/>
    </row>
    <row r="708" hidden="1">
      <c r="G708" s="1069"/>
      <c r="H708" s="1069"/>
      <c r="I708" s="1069"/>
      <c r="O708" s="1067"/>
    </row>
    <row r="709" hidden="1">
      <c r="G709" s="1069"/>
      <c r="H709" s="1069"/>
      <c r="I709" s="1069"/>
      <c r="O709" s="1067"/>
    </row>
    <row r="710" hidden="1">
      <c r="G710" s="1069"/>
      <c r="H710" s="1069"/>
      <c r="I710" s="1069"/>
      <c r="O710" s="1067"/>
    </row>
    <row r="711" hidden="1">
      <c r="G711" s="1069"/>
      <c r="H711" s="1069"/>
      <c r="I711" s="1069"/>
      <c r="O711" s="1067"/>
    </row>
    <row r="712" hidden="1">
      <c r="G712" s="1069"/>
      <c r="H712" s="1069"/>
      <c r="I712" s="1069"/>
      <c r="O712" s="1067"/>
    </row>
    <row r="713" hidden="1">
      <c r="G713" s="1069"/>
      <c r="H713" s="1069"/>
      <c r="I713" s="1069"/>
      <c r="O713" s="1067"/>
    </row>
    <row r="714" hidden="1">
      <c r="G714" s="1069"/>
      <c r="H714" s="1069"/>
      <c r="I714" s="1069"/>
      <c r="O714" s="1067"/>
    </row>
    <row r="715" hidden="1">
      <c r="G715" s="1069"/>
      <c r="H715" s="1069"/>
      <c r="I715" s="1069"/>
      <c r="O715" s="1067"/>
    </row>
    <row r="716" hidden="1">
      <c r="G716" s="1069"/>
      <c r="H716" s="1069"/>
      <c r="I716" s="1069"/>
      <c r="O716" s="1067"/>
    </row>
    <row r="717" hidden="1">
      <c r="G717" s="1069"/>
      <c r="H717" s="1069"/>
      <c r="I717" s="1069"/>
      <c r="O717" s="1067"/>
    </row>
    <row r="718" hidden="1">
      <c r="G718" s="1069"/>
      <c r="H718" s="1069"/>
      <c r="I718" s="1069"/>
      <c r="O718" s="1067"/>
    </row>
    <row r="719" hidden="1">
      <c r="G719" s="1069"/>
      <c r="H719" s="1069"/>
      <c r="I719" s="1069"/>
      <c r="O719" s="1067"/>
    </row>
    <row r="720" hidden="1">
      <c r="G720" s="1069"/>
      <c r="H720" s="1069"/>
      <c r="I720" s="1069"/>
      <c r="O720" s="1067"/>
    </row>
    <row r="721" hidden="1">
      <c r="G721" s="1069"/>
      <c r="H721" s="1069"/>
      <c r="I721" s="1069"/>
      <c r="O721" s="1067"/>
    </row>
    <row r="722" hidden="1">
      <c r="G722" s="1069"/>
      <c r="H722" s="1069"/>
      <c r="I722" s="1069"/>
      <c r="O722" s="1067"/>
    </row>
    <row r="723" hidden="1">
      <c r="G723" s="1069"/>
      <c r="H723" s="1069"/>
      <c r="I723" s="1069"/>
      <c r="O723" s="1067"/>
    </row>
    <row r="724" hidden="1">
      <c r="G724" s="1069"/>
      <c r="H724" s="1069"/>
      <c r="I724" s="1069"/>
      <c r="O724" s="1067"/>
    </row>
    <row r="725" hidden="1">
      <c r="G725" s="1069"/>
      <c r="H725" s="1069"/>
      <c r="I725" s="1069"/>
      <c r="O725" s="1067"/>
    </row>
    <row r="726" hidden="1">
      <c r="G726" s="1069"/>
      <c r="H726" s="1069"/>
      <c r="I726" s="1069"/>
      <c r="O726" s="1067"/>
    </row>
    <row r="727" hidden="1">
      <c r="G727" s="1069"/>
      <c r="H727" s="1069"/>
      <c r="I727" s="1069"/>
      <c r="O727" s="1067"/>
    </row>
    <row r="728" hidden="1">
      <c r="G728" s="1069"/>
      <c r="H728" s="1069"/>
      <c r="I728" s="1069"/>
      <c r="O728" s="1067"/>
    </row>
    <row r="729" hidden="1">
      <c r="G729" s="1069"/>
      <c r="H729" s="1069"/>
      <c r="I729" s="1069"/>
      <c r="O729" s="1067"/>
    </row>
    <row r="730" hidden="1">
      <c r="G730" s="1069"/>
      <c r="H730" s="1069"/>
      <c r="I730" s="1069"/>
      <c r="O730" s="1067"/>
    </row>
    <row r="731" hidden="1">
      <c r="G731" s="1069"/>
      <c r="H731" s="1069"/>
      <c r="I731" s="1069"/>
      <c r="O731" s="1067"/>
    </row>
    <row r="732" hidden="1">
      <c r="G732" s="1069"/>
      <c r="H732" s="1069"/>
      <c r="I732" s="1069"/>
      <c r="O732" s="1067"/>
    </row>
    <row r="733" hidden="1">
      <c r="G733" s="1069"/>
      <c r="H733" s="1069"/>
      <c r="I733" s="1069"/>
      <c r="O733" s="1067"/>
    </row>
    <row r="734" hidden="1">
      <c r="G734" s="1069"/>
      <c r="H734" s="1069"/>
      <c r="I734" s="1069"/>
      <c r="O734" s="1067"/>
    </row>
    <row r="735" hidden="1">
      <c r="G735" s="1069"/>
      <c r="H735" s="1069"/>
      <c r="I735" s="1069"/>
      <c r="O735" s="1067"/>
    </row>
    <row r="736" hidden="1">
      <c r="G736" s="1069"/>
      <c r="H736" s="1069"/>
      <c r="I736" s="1069"/>
      <c r="O736" s="1067"/>
    </row>
    <row r="737" hidden="1">
      <c r="G737" s="1069"/>
      <c r="H737" s="1069"/>
      <c r="I737" s="1069"/>
      <c r="O737" s="1067"/>
    </row>
    <row r="738" hidden="1">
      <c r="G738" s="1069"/>
      <c r="H738" s="1069"/>
      <c r="I738" s="1069"/>
      <c r="O738" s="1067"/>
    </row>
    <row r="739" hidden="1">
      <c r="G739" s="1069"/>
      <c r="H739" s="1069"/>
      <c r="I739" s="1069"/>
      <c r="O739" s="1067"/>
    </row>
    <row r="740" hidden="1">
      <c r="G740" s="1069"/>
      <c r="H740" s="1069"/>
      <c r="I740" s="1069"/>
      <c r="O740" s="1067"/>
    </row>
    <row r="741" hidden="1">
      <c r="G741" s="1069"/>
      <c r="H741" s="1069"/>
      <c r="I741" s="1069"/>
      <c r="O741" s="1067"/>
    </row>
    <row r="742" hidden="1">
      <c r="G742" s="1069"/>
      <c r="H742" s="1069"/>
      <c r="I742" s="1069"/>
      <c r="O742" s="1067"/>
    </row>
    <row r="743" hidden="1">
      <c r="G743" s="1069"/>
      <c r="H743" s="1069"/>
      <c r="I743" s="1069"/>
      <c r="O743" s="1067"/>
    </row>
    <row r="744" hidden="1">
      <c r="G744" s="1069"/>
      <c r="H744" s="1069"/>
      <c r="I744" s="1069"/>
      <c r="O744" s="1067"/>
    </row>
    <row r="745" hidden="1">
      <c r="G745" s="1069"/>
      <c r="H745" s="1069"/>
      <c r="I745" s="1069"/>
      <c r="O745" s="1067"/>
    </row>
    <row r="746" hidden="1">
      <c r="G746" s="1069"/>
      <c r="H746" s="1069"/>
      <c r="I746" s="1069"/>
      <c r="O746" s="1067"/>
    </row>
    <row r="747" hidden="1">
      <c r="G747" s="1069"/>
      <c r="H747" s="1069"/>
      <c r="I747" s="1069"/>
      <c r="O747" s="1067"/>
    </row>
    <row r="748" hidden="1">
      <c r="G748" s="1069"/>
      <c r="H748" s="1069"/>
      <c r="I748" s="1069"/>
      <c r="O748" s="1067"/>
    </row>
    <row r="749" hidden="1">
      <c r="G749" s="1069"/>
      <c r="H749" s="1069"/>
      <c r="I749" s="1069"/>
      <c r="O749" s="1067"/>
    </row>
    <row r="750" hidden="1">
      <c r="G750" s="1069"/>
      <c r="H750" s="1069"/>
      <c r="I750" s="1069"/>
      <c r="O750" s="1067"/>
    </row>
    <row r="751" hidden="1">
      <c r="G751" s="1069"/>
      <c r="H751" s="1069"/>
      <c r="I751" s="1069"/>
      <c r="O751" s="1067"/>
    </row>
    <row r="752" hidden="1">
      <c r="G752" s="1069"/>
      <c r="H752" s="1069"/>
      <c r="I752" s="1069"/>
      <c r="O752" s="1067"/>
    </row>
    <row r="753" hidden="1">
      <c r="G753" s="1069"/>
      <c r="H753" s="1069"/>
      <c r="I753" s="1069"/>
      <c r="O753" s="1067"/>
    </row>
    <row r="754" hidden="1">
      <c r="G754" s="1069"/>
      <c r="H754" s="1069"/>
      <c r="I754" s="1069"/>
      <c r="O754" s="1067"/>
    </row>
    <row r="755" hidden="1">
      <c r="G755" s="1069"/>
      <c r="H755" s="1069"/>
      <c r="I755" s="1069"/>
      <c r="O755" s="1067"/>
    </row>
    <row r="756" hidden="1">
      <c r="G756" s="1069"/>
      <c r="H756" s="1069"/>
      <c r="I756" s="1069"/>
      <c r="O756" s="1067"/>
    </row>
    <row r="757" hidden="1">
      <c r="G757" s="1069"/>
      <c r="H757" s="1069"/>
      <c r="I757" s="1069"/>
      <c r="O757" s="1067"/>
    </row>
    <row r="758" hidden="1">
      <c r="G758" s="1069"/>
      <c r="H758" s="1069"/>
      <c r="I758" s="1069"/>
      <c r="O758" s="1067"/>
    </row>
    <row r="759" hidden="1">
      <c r="G759" s="1069"/>
      <c r="H759" s="1069"/>
      <c r="I759" s="1069"/>
      <c r="O759" s="1067"/>
    </row>
    <row r="760" hidden="1">
      <c r="G760" s="1069"/>
      <c r="H760" s="1069"/>
      <c r="I760" s="1069"/>
      <c r="O760" s="1067"/>
    </row>
    <row r="761" hidden="1">
      <c r="G761" s="1069"/>
      <c r="H761" s="1069"/>
      <c r="I761" s="1069"/>
      <c r="O761" s="1067"/>
    </row>
    <row r="762" hidden="1">
      <c r="G762" s="1069"/>
      <c r="H762" s="1069"/>
      <c r="I762" s="1069"/>
      <c r="O762" s="1067"/>
    </row>
    <row r="763" hidden="1">
      <c r="G763" s="1069"/>
      <c r="H763" s="1069"/>
      <c r="I763" s="1069"/>
      <c r="O763" s="1067"/>
    </row>
    <row r="764" hidden="1">
      <c r="G764" s="1069"/>
      <c r="H764" s="1069"/>
      <c r="I764" s="1069"/>
      <c r="O764" s="1067"/>
    </row>
    <row r="765" hidden="1">
      <c r="G765" s="1069"/>
      <c r="H765" s="1069"/>
      <c r="I765" s="1069"/>
      <c r="O765" s="1067"/>
    </row>
    <row r="766" hidden="1">
      <c r="G766" s="1069"/>
      <c r="H766" s="1069"/>
      <c r="I766" s="1069"/>
      <c r="O766" s="1067"/>
    </row>
    <row r="767" hidden="1">
      <c r="G767" s="1069"/>
      <c r="H767" s="1069"/>
      <c r="I767" s="1069"/>
      <c r="O767" s="1067"/>
    </row>
    <row r="768" hidden="1">
      <c r="G768" s="1069"/>
      <c r="H768" s="1069"/>
      <c r="I768" s="1069"/>
      <c r="O768" s="1067"/>
    </row>
    <row r="769" hidden="1">
      <c r="G769" s="1069"/>
      <c r="H769" s="1069"/>
      <c r="I769" s="1069"/>
      <c r="O769" s="1067"/>
    </row>
    <row r="770" hidden="1">
      <c r="G770" s="1069"/>
      <c r="H770" s="1069"/>
      <c r="I770" s="1069"/>
      <c r="O770" s="1067"/>
    </row>
    <row r="771" hidden="1">
      <c r="G771" s="1069"/>
      <c r="H771" s="1069"/>
      <c r="I771" s="1069"/>
      <c r="O771" s="1067"/>
    </row>
    <row r="772" hidden="1">
      <c r="G772" s="1069"/>
      <c r="H772" s="1069"/>
      <c r="I772" s="1069"/>
      <c r="O772" s="1067"/>
    </row>
    <row r="773" hidden="1">
      <c r="G773" s="1069"/>
      <c r="H773" s="1069"/>
      <c r="I773" s="1069"/>
      <c r="O773" s="1067"/>
    </row>
    <row r="774" hidden="1">
      <c r="G774" s="1069"/>
      <c r="H774" s="1069"/>
      <c r="I774" s="1069"/>
      <c r="O774" s="1067"/>
    </row>
    <row r="775" hidden="1">
      <c r="G775" s="1069"/>
      <c r="H775" s="1069"/>
      <c r="I775" s="1069"/>
      <c r="O775" s="1067"/>
    </row>
    <row r="776" hidden="1">
      <c r="G776" s="1069"/>
      <c r="H776" s="1069"/>
      <c r="I776" s="1069"/>
      <c r="O776" s="1067"/>
    </row>
    <row r="777" hidden="1">
      <c r="G777" s="1069"/>
      <c r="H777" s="1069"/>
      <c r="I777" s="1069"/>
      <c r="O777" s="1067"/>
    </row>
    <row r="778" hidden="1">
      <c r="G778" s="1069"/>
      <c r="H778" s="1069"/>
      <c r="I778" s="1069"/>
      <c r="O778" s="1067"/>
    </row>
    <row r="779" hidden="1">
      <c r="G779" s="1069"/>
      <c r="H779" s="1069"/>
      <c r="I779" s="1069"/>
      <c r="O779" s="1067"/>
    </row>
    <row r="780" hidden="1">
      <c r="G780" s="1069"/>
      <c r="H780" s="1069"/>
      <c r="I780" s="1069"/>
      <c r="O780" s="1067"/>
    </row>
    <row r="781" hidden="1">
      <c r="G781" s="1069"/>
      <c r="H781" s="1069"/>
      <c r="I781" s="1069"/>
      <c r="O781" s="1067"/>
    </row>
    <row r="782" hidden="1">
      <c r="G782" s="1069"/>
      <c r="H782" s="1069"/>
      <c r="I782" s="1069"/>
      <c r="O782" s="1067"/>
    </row>
    <row r="783" hidden="1">
      <c r="G783" s="1069"/>
      <c r="H783" s="1069"/>
      <c r="I783" s="1069"/>
      <c r="O783" s="1067"/>
    </row>
    <row r="784" hidden="1">
      <c r="G784" s="1069"/>
      <c r="H784" s="1069"/>
      <c r="I784" s="1069"/>
      <c r="O784" s="1067"/>
    </row>
    <row r="785" hidden="1">
      <c r="G785" s="1069"/>
      <c r="H785" s="1069"/>
      <c r="I785" s="1069"/>
      <c r="O785" s="1067"/>
    </row>
    <row r="786" hidden="1">
      <c r="G786" s="1069"/>
      <c r="H786" s="1069"/>
      <c r="I786" s="1069"/>
      <c r="O786" s="1067"/>
    </row>
    <row r="787" hidden="1">
      <c r="G787" s="1069"/>
      <c r="H787" s="1069"/>
      <c r="I787" s="1069"/>
      <c r="O787" s="1067"/>
    </row>
    <row r="788" hidden="1">
      <c r="G788" s="1069"/>
      <c r="H788" s="1069"/>
      <c r="I788" s="1069"/>
      <c r="O788" s="1067"/>
    </row>
    <row r="789" hidden="1">
      <c r="G789" s="1069"/>
      <c r="H789" s="1069"/>
      <c r="I789" s="1069"/>
      <c r="O789" s="1067"/>
    </row>
    <row r="790" hidden="1">
      <c r="G790" s="1069"/>
      <c r="H790" s="1069"/>
      <c r="I790" s="1069"/>
      <c r="O790" s="1067"/>
    </row>
    <row r="791" hidden="1">
      <c r="G791" s="1069"/>
      <c r="H791" s="1069"/>
      <c r="I791" s="1069"/>
      <c r="O791" s="1067"/>
    </row>
    <row r="792" hidden="1">
      <c r="G792" s="1069"/>
      <c r="H792" s="1069"/>
      <c r="I792" s="1069"/>
      <c r="O792" s="1067"/>
    </row>
    <row r="793" hidden="1">
      <c r="G793" s="1069"/>
      <c r="H793" s="1069"/>
      <c r="I793" s="1069"/>
      <c r="O793" s="1067"/>
    </row>
    <row r="794" hidden="1">
      <c r="G794" s="1069"/>
      <c r="H794" s="1069"/>
      <c r="I794" s="1069"/>
      <c r="O794" s="1067"/>
    </row>
    <row r="795" hidden="1">
      <c r="G795" s="1069"/>
      <c r="H795" s="1069"/>
      <c r="I795" s="1069"/>
      <c r="O795" s="1067"/>
    </row>
    <row r="796" hidden="1">
      <c r="G796" s="1069"/>
      <c r="H796" s="1069"/>
      <c r="I796" s="1069"/>
      <c r="O796" s="1067"/>
    </row>
    <row r="797" hidden="1">
      <c r="G797" s="1069"/>
      <c r="H797" s="1069"/>
      <c r="I797" s="1069"/>
      <c r="O797" s="1067"/>
    </row>
    <row r="798" hidden="1">
      <c r="G798" s="1069"/>
      <c r="H798" s="1069"/>
      <c r="I798" s="1069"/>
      <c r="O798" s="1067"/>
    </row>
    <row r="799" hidden="1">
      <c r="G799" s="1069"/>
      <c r="H799" s="1069"/>
      <c r="I799" s="1069"/>
      <c r="O799" s="1067"/>
    </row>
    <row r="800" hidden="1">
      <c r="G800" s="1069"/>
      <c r="H800" s="1069"/>
      <c r="I800" s="1069"/>
      <c r="O800" s="1067"/>
    </row>
    <row r="801" hidden="1">
      <c r="G801" s="1069"/>
      <c r="H801" s="1069"/>
      <c r="I801" s="1069"/>
      <c r="O801" s="1067"/>
    </row>
    <row r="802" hidden="1">
      <c r="G802" s="1069"/>
      <c r="H802" s="1069"/>
      <c r="I802" s="1069"/>
      <c r="O802" s="1067"/>
    </row>
    <row r="803" hidden="1">
      <c r="G803" s="1069"/>
      <c r="H803" s="1069"/>
      <c r="I803" s="1069"/>
      <c r="O803" s="1067"/>
    </row>
    <row r="804" hidden="1">
      <c r="G804" s="1069"/>
      <c r="H804" s="1069"/>
      <c r="I804" s="1069"/>
      <c r="O804" s="1067"/>
    </row>
    <row r="805" hidden="1">
      <c r="G805" s="1069"/>
      <c r="H805" s="1069"/>
      <c r="I805" s="1069"/>
      <c r="O805" s="1067"/>
    </row>
    <row r="806" hidden="1">
      <c r="G806" s="1069"/>
      <c r="H806" s="1069"/>
      <c r="I806" s="1069"/>
      <c r="O806" s="1067"/>
    </row>
    <row r="807" hidden="1">
      <c r="G807" s="1069"/>
      <c r="H807" s="1069"/>
      <c r="I807" s="1069"/>
      <c r="O807" s="1067"/>
    </row>
    <row r="808" hidden="1">
      <c r="G808" s="1069"/>
      <c r="H808" s="1069"/>
      <c r="I808" s="1069"/>
      <c r="O808" s="1067"/>
    </row>
    <row r="809" hidden="1">
      <c r="G809" s="1069"/>
      <c r="H809" s="1069"/>
      <c r="I809" s="1069"/>
      <c r="O809" s="1067"/>
    </row>
    <row r="810" hidden="1">
      <c r="G810" s="1069"/>
      <c r="H810" s="1069"/>
      <c r="I810" s="1069"/>
      <c r="O810" s="1067"/>
    </row>
    <row r="811" hidden="1">
      <c r="G811" s="1069"/>
      <c r="H811" s="1069"/>
      <c r="I811" s="1069"/>
      <c r="O811" s="1067"/>
    </row>
    <row r="812" hidden="1">
      <c r="G812" s="1069"/>
      <c r="H812" s="1069"/>
      <c r="I812" s="1069"/>
      <c r="O812" s="1067"/>
    </row>
    <row r="813" hidden="1">
      <c r="G813" s="1069"/>
      <c r="H813" s="1069"/>
      <c r="I813" s="1069"/>
      <c r="O813" s="1067"/>
    </row>
    <row r="814" hidden="1">
      <c r="G814" s="1069"/>
      <c r="H814" s="1069"/>
      <c r="I814" s="1069"/>
      <c r="O814" s="1067"/>
    </row>
    <row r="815" hidden="1">
      <c r="G815" s="1069"/>
      <c r="H815" s="1069"/>
      <c r="I815" s="1069"/>
      <c r="O815" s="1067"/>
    </row>
    <row r="816" hidden="1">
      <c r="G816" s="1069"/>
      <c r="H816" s="1069"/>
      <c r="I816" s="1069"/>
      <c r="O816" s="1067"/>
    </row>
    <row r="817" hidden="1">
      <c r="G817" s="1069"/>
      <c r="H817" s="1069"/>
      <c r="I817" s="1069"/>
      <c r="O817" s="1067"/>
    </row>
    <row r="818" hidden="1">
      <c r="G818" s="1069"/>
      <c r="H818" s="1069"/>
      <c r="I818" s="1069"/>
      <c r="O818" s="1067"/>
    </row>
    <row r="819" hidden="1">
      <c r="G819" s="1069"/>
      <c r="H819" s="1069"/>
      <c r="I819" s="1069"/>
      <c r="O819" s="1067"/>
    </row>
    <row r="820" hidden="1">
      <c r="G820" s="1069"/>
      <c r="H820" s="1069"/>
      <c r="I820" s="1069"/>
      <c r="O820" s="1067"/>
    </row>
    <row r="821" hidden="1">
      <c r="G821" s="1069"/>
      <c r="H821" s="1069"/>
      <c r="I821" s="1069"/>
      <c r="O821" s="1067"/>
    </row>
    <row r="822" hidden="1">
      <c r="G822" s="1069"/>
      <c r="H822" s="1069"/>
      <c r="I822" s="1069"/>
      <c r="O822" s="1067"/>
    </row>
    <row r="823" hidden="1">
      <c r="G823" s="1069"/>
      <c r="H823" s="1069"/>
      <c r="I823" s="1069"/>
      <c r="O823" s="1067"/>
    </row>
    <row r="824" hidden="1">
      <c r="G824" s="1069"/>
      <c r="H824" s="1069"/>
      <c r="I824" s="1069"/>
      <c r="O824" s="1067"/>
    </row>
    <row r="825" hidden="1">
      <c r="G825" s="1069"/>
      <c r="H825" s="1069"/>
      <c r="I825" s="1069"/>
      <c r="O825" s="1067"/>
    </row>
    <row r="826" hidden="1">
      <c r="G826" s="1069"/>
      <c r="H826" s="1069"/>
      <c r="I826" s="1069"/>
      <c r="O826" s="1067"/>
    </row>
    <row r="827" hidden="1">
      <c r="G827" s="1069"/>
      <c r="H827" s="1069"/>
      <c r="I827" s="1069"/>
      <c r="O827" s="1067"/>
    </row>
    <row r="828" hidden="1">
      <c r="G828" s="1069"/>
      <c r="H828" s="1069"/>
      <c r="I828" s="1069"/>
      <c r="O828" s="1067"/>
    </row>
    <row r="829" hidden="1">
      <c r="G829" s="1069"/>
      <c r="H829" s="1069"/>
      <c r="I829" s="1069"/>
      <c r="O829" s="1067"/>
    </row>
    <row r="830" hidden="1">
      <c r="G830" s="1069"/>
      <c r="H830" s="1069"/>
      <c r="I830" s="1069"/>
      <c r="O830" s="1067"/>
    </row>
    <row r="831" hidden="1">
      <c r="G831" s="1069"/>
      <c r="H831" s="1069"/>
      <c r="I831" s="1069"/>
      <c r="O831" s="1067"/>
    </row>
    <row r="832" hidden="1">
      <c r="G832" s="1069"/>
      <c r="H832" s="1069"/>
      <c r="I832" s="1069"/>
      <c r="O832" s="1067"/>
    </row>
    <row r="833" hidden="1">
      <c r="G833" s="1069"/>
      <c r="H833" s="1069"/>
      <c r="I833" s="1069"/>
      <c r="O833" s="1067"/>
    </row>
    <row r="834" hidden="1">
      <c r="G834" s="1069"/>
      <c r="H834" s="1069"/>
      <c r="I834" s="1069"/>
      <c r="O834" s="1067"/>
    </row>
    <row r="835" hidden="1">
      <c r="G835" s="1069"/>
      <c r="H835" s="1069"/>
      <c r="I835" s="1069"/>
      <c r="O835" s="1067"/>
    </row>
    <row r="836" hidden="1">
      <c r="G836" s="1069"/>
      <c r="H836" s="1069"/>
      <c r="I836" s="1069"/>
      <c r="O836" s="1067"/>
    </row>
    <row r="837" hidden="1">
      <c r="G837" s="1069"/>
      <c r="H837" s="1069"/>
      <c r="I837" s="1069"/>
      <c r="O837" s="1067"/>
    </row>
    <row r="838" hidden="1">
      <c r="G838" s="1069"/>
      <c r="H838" s="1069"/>
      <c r="I838" s="1069"/>
      <c r="O838" s="1067"/>
    </row>
    <row r="839" hidden="1">
      <c r="G839" s="1069"/>
      <c r="H839" s="1069"/>
      <c r="I839" s="1069"/>
      <c r="O839" s="1067"/>
    </row>
    <row r="840" hidden="1">
      <c r="G840" s="1069"/>
      <c r="H840" s="1069"/>
      <c r="I840" s="1069"/>
      <c r="O840" s="1067"/>
    </row>
    <row r="841" hidden="1">
      <c r="G841" s="1069"/>
      <c r="H841" s="1069"/>
      <c r="I841" s="1069"/>
      <c r="O841" s="1067"/>
    </row>
    <row r="842" hidden="1">
      <c r="G842" s="1069"/>
      <c r="H842" s="1069"/>
      <c r="I842" s="1069"/>
      <c r="O842" s="1067"/>
    </row>
    <row r="843" hidden="1">
      <c r="G843" s="1069"/>
      <c r="H843" s="1069"/>
      <c r="I843" s="1069"/>
      <c r="O843" s="1067"/>
    </row>
    <row r="844" hidden="1">
      <c r="G844" s="1069"/>
      <c r="H844" s="1069"/>
      <c r="I844" s="1069"/>
      <c r="O844" s="1067"/>
    </row>
    <row r="845" hidden="1">
      <c r="G845" s="1069"/>
      <c r="H845" s="1069"/>
      <c r="I845" s="1069"/>
      <c r="O845" s="1067"/>
    </row>
    <row r="846" hidden="1">
      <c r="G846" s="1069"/>
      <c r="H846" s="1069"/>
      <c r="I846" s="1069"/>
      <c r="O846" s="1067"/>
    </row>
    <row r="847" hidden="1">
      <c r="G847" s="1069"/>
      <c r="H847" s="1069"/>
      <c r="I847" s="1069"/>
      <c r="O847" s="1067"/>
    </row>
    <row r="848" hidden="1">
      <c r="G848" s="1069"/>
      <c r="H848" s="1069"/>
      <c r="I848" s="1069"/>
      <c r="O848" s="1067"/>
    </row>
    <row r="849" hidden="1">
      <c r="G849" s="1069"/>
      <c r="H849" s="1069"/>
      <c r="I849" s="1069"/>
      <c r="O849" s="1067"/>
    </row>
    <row r="850" hidden="1">
      <c r="G850" s="1069"/>
      <c r="H850" s="1069"/>
      <c r="I850" s="1069"/>
      <c r="O850" s="1067"/>
    </row>
    <row r="851" hidden="1">
      <c r="G851" s="1069"/>
      <c r="H851" s="1069"/>
      <c r="I851" s="1069"/>
      <c r="O851" s="1067"/>
    </row>
    <row r="852" hidden="1">
      <c r="G852" s="1069"/>
      <c r="H852" s="1069"/>
      <c r="I852" s="1069"/>
      <c r="O852" s="1067"/>
    </row>
    <row r="853" hidden="1">
      <c r="G853" s="1069"/>
      <c r="H853" s="1069"/>
      <c r="I853" s="1069"/>
      <c r="O853" s="1067"/>
    </row>
    <row r="854" hidden="1">
      <c r="G854" s="1069"/>
      <c r="H854" s="1069"/>
      <c r="I854" s="1069"/>
      <c r="O854" s="1067"/>
    </row>
    <row r="855" hidden="1">
      <c r="G855" s="1069"/>
      <c r="H855" s="1069"/>
      <c r="I855" s="1069"/>
      <c r="O855" s="1067"/>
    </row>
    <row r="856" hidden="1">
      <c r="G856" s="1069"/>
      <c r="H856" s="1069"/>
      <c r="I856" s="1069"/>
      <c r="O856" s="1067"/>
    </row>
    <row r="857" hidden="1">
      <c r="G857" s="1069"/>
      <c r="H857" s="1069"/>
      <c r="I857" s="1069"/>
      <c r="O857" s="1067"/>
    </row>
    <row r="858" hidden="1">
      <c r="G858" s="1069"/>
      <c r="H858" s="1069"/>
      <c r="I858" s="1069"/>
      <c r="O858" s="1067"/>
    </row>
    <row r="859" hidden="1">
      <c r="G859" s="1069"/>
      <c r="H859" s="1069"/>
      <c r="I859" s="1069"/>
      <c r="O859" s="1067"/>
    </row>
    <row r="860" hidden="1">
      <c r="G860" s="1069"/>
      <c r="H860" s="1069"/>
      <c r="I860" s="1069"/>
      <c r="O860" s="1067"/>
    </row>
    <row r="861" hidden="1">
      <c r="G861" s="1069"/>
      <c r="H861" s="1069"/>
      <c r="I861" s="1069"/>
      <c r="O861" s="1067"/>
    </row>
    <row r="862" hidden="1">
      <c r="G862" s="1069"/>
      <c r="H862" s="1069"/>
      <c r="I862" s="1069"/>
      <c r="O862" s="1067"/>
    </row>
    <row r="863" hidden="1">
      <c r="G863" s="1069"/>
      <c r="H863" s="1069"/>
      <c r="I863" s="1069"/>
      <c r="O863" s="1067"/>
    </row>
    <row r="864" hidden="1">
      <c r="G864" s="1069"/>
      <c r="H864" s="1069"/>
      <c r="I864" s="1069"/>
      <c r="O864" s="1067"/>
    </row>
    <row r="865" hidden="1">
      <c r="G865" s="1069"/>
      <c r="H865" s="1069"/>
      <c r="I865" s="1069"/>
      <c r="O865" s="1067"/>
    </row>
    <row r="866" hidden="1">
      <c r="G866" s="1069"/>
      <c r="H866" s="1069"/>
      <c r="I866" s="1069"/>
      <c r="O866" s="1067"/>
    </row>
    <row r="867" hidden="1">
      <c r="G867" s="1069"/>
      <c r="H867" s="1069"/>
      <c r="I867" s="1069"/>
      <c r="O867" s="1067"/>
    </row>
    <row r="868" hidden="1">
      <c r="G868" s="1069"/>
      <c r="H868" s="1069"/>
      <c r="I868" s="1069"/>
      <c r="O868" s="1067"/>
    </row>
    <row r="869" hidden="1">
      <c r="G869" s="1069"/>
      <c r="H869" s="1069"/>
      <c r="I869" s="1069"/>
      <c r="O869" s="1067"/>
    </row>
    <row r="870" hidden="1">
      <c r="G870" s="1069"/>
      <c r="H870" s="1069"/>
      <c r="I870" s="1069"/>
      <c r="O870" s="1067"/>
    </row>
    <row r="871" hidden="1">
      <c r="G871" s="1069"/>
      <c r="H871" s="1069"/>
      <c r="I871" s="1069"/>
      <c r="O871" s="1067"/>
    </row>
    <row r="872" hidden="1">
      <c r="G872" s="1069"/>
      <c r="H872" s="1069"/>
      <c r="I872" s="1069"/>
      <c r="O872" s="1067"/>
    </row>
    <row r="873" hidden="1">
      <c r="G873" s="1069"/>
      <c r="H873" s="1069"/>
      <c r="I873" s="1069"/>
      <c r="O873" s="1067"/>
    </row>
    <row r="874" hidden="1">
      <c r="G874" s="1069"/>
      <c r="H874" s="1069"/>
      <c r="I874" s="1069"/>
      <c r="O874" s="1067"/>
    </row>
    <row r="875" hidden="1">
      <c r="G875" s="1069"/>
      <c r="H875" s="1069"/>
      <c r="I875" s="1069"/>
      <c r="O875" s="1067"/>
    </row>
    <row r="876" hidden="1">
      <c r="G876" s="1069"/>
      <c r="H876" s="1069"/>
      <c r="I876" s="1069"/>
      <c r="O876" s="1067"/>
    </row>
    <row r="877" hidden="1">
      <c r="G877" s="1069"/>
      <c r="H877" s="1069"/>
      <c r="I877" s="1069"/>
      <c r="O877" s="1067"/>
    </row>
    <row r="878" hidden="1">
      <c r="G878" s="1069"/>
      <c r="H878" s="1069"/>
      <c r="I878" s="1069"/>
      <c r="O878" s="1067"/>
    </row>
    <row r="879" hidden="1">
      <c r="G879" s="1069"/>
      <c r="H879" s="1069"/>
      <c r="I879" s="1069"/>
      <c r="O879" s="1067"/>
    </row>
    <row r="880" hidden="1">
      <c r="G880" s="1069"/>
      <c r="H880" s="1069"/>
      <c r="I880" s="1069"/>
      <c r="O880" s="1067"/>
    </row>
    <row r="881" hidden="1">
      <c r="G881" s="1069"/>
      <c r="H881" s="1069"/>
      <c r="I881" s="1069"/>
      <c r="O881" s="1067"/>
    </row>
    <row r="882" hidden="1">
      <c r="G882" s="1069"/>
      <c r="H882" s="1069"/>
      <c r="I882" s="1069"/>
      <c r="O882" s="1067"/>
    </row>
    <row r="883" hidden="1">
      <c r="G883" s="1069"/>
      <c r="H883" s="1069"/>
      <c r="I883" s="1069"/>
      <c r="O883" s="1067"/>
    </row>
    <row r="884" hidden="1">
      <c r="G884" s="1069"/>
      <c r="H884" s="1069"/>
      <c r="I884" s="1069"/>
      <c r="O884" s="1067"/>
    </row>
    <row r="885" hidden="1">
      <c r="G885" s="1069"/>
      <c r="H885" s="1069"/>
      <c r="I885" s="1069"/>
      <c r="O885" s="1067"/>
    </row>
    <row r="886" hidden="1">
      <c r="G886" s="1069"/>
      <c r="H886" s="1069"/>
      <c r="I886" s="1069"/>
      <c r="O886" s="1067"/>
    </row>
    <row r="887" hidden="1">
      <c r="G887" s="1069"/>
      <c r="H887" s="1069"/>
      <c r="I887" s="1069"/>
      <c r="O887" s="1067"/>
    </row>
    <row r="888" hidden="1">
      <c r="G888" s="1069"/>
      <c r="H888" s="1069"/>
      <c r="I888" s="1069"/>
      <c r="O888" s="1067"/>
    </row>
    <row r="889" hidden="1">
      <c r="G889" s="1069"/>
      <c r="H889" s="1069"/>
      <c r="I889" s="1069"/>
      <c r="O889" s="1067"/>
    </row>
    <row r="890" hidden="1">
      <c r="G890" s="1069"/>
      <c r="H890" s="1069"/>
      <c r="I890" s="1069"/>
      <c r="O890" s="1067"/>
    </row>
    <row r="891" hidden="1">
      <c r="G891" s="1069"/>
      <c r="H891" s="1069"/>
      <c r="I891" s="1069"/>
      <c r="O891" s="1067"/>
    </row>
    <row r="892" hidden="1">
      <c r="G892" s="1069"/>
      <c r="H892" s="1069"/>
      <c r="I892" s="1069"/>
      <c r="O892" s="1067"/>
    </row>
    <row r="893" hidden="1">
      <c r="G893" s="1069"/>
      <c r="H893" s="1069"/>
      <c r="I893" s="1069"/>
      <c r="O893" s="1067"/>
    </row>
    <row r="894" hidden="1">
      <c r="G894" s="1069"/>
      <c r="H894" s="1069"/>
      <c r="I894" s="1069"/>
      <c r="O894" s="1067"/>
    </row>
    <row r="895" hidden="1">
      <c r="G895" s="1069"/>
      <c r="H895" s="1069"/>
      <c r="I895" s="1069"/>
      <c r="O895" s="1067"/>
    </row>
    <row r="896" hidden="1">
      <c r="G896" s="1069"/>
      <c r="H896" s="1069"/>
      <c r="I896" s="1069"/>
      <c r="O896" s="1067"/>
    </row>
    <row r="897" hidden="1">
      <c r="G897" s="1069"/>
      <c r="H897" s="1069"/>
      <c r="I897" s="1069"/>
      <c r="O897" s="1067"/>
    </row>
    <row r="898" hidden="1">
      <c r="G898" s="1069"/>
      <c r="H898" s="1069"/>
      <c r="I898" s="1069"/>
      <c r="O898" s="1067"/>
    </row>
    <row r="899" hidden="1">
      <c r="G899" s="1069"/>
      <c r="H899" s="1069"/>
      <c r="I899" s="1069"/>
      <c r="O899" s="1067"/>
    </row>
    <row r="900" hidden="1">
      <c r="G900" s="1069"/>
      <c r="H900" s="1069"/>
      <c r="I900" s="1069"/>
      <c r="O900" s="1067"/>
    </row>
    <row r="901" hidden="1">
      <c r="G901" s="1069"/>
      <c r="H901" s="1069"/>
      <c r="I901" s="1069"/>
      <c r="O901" s="1067"/>
    </row>
    <row r="902" hidden="1">
      <c r="G902" s="1069"/>
      <c r="H902" s="1069"/>
      <c r="I902" s="1069"/>
      <c r="O902" s="1067"/>
    </row>
    <row r="903" hidden="1">
      <c r="G903" s="1069"/>
      <c r="H903" s="1069"/>
      <c r="I903" s="1069"/>
      <c r="O903" s="1067"/>
    </row>
    <row r="904" hidden="1">
      <c r="G904" s="1069"/>
      <c r="H904" s="1069"/>
      <c r="I904" s="1069"/>
      <c r="O904" s="1067"/>
    </row>
    <row r="905" hidden="1">
      <c r="G905" s="1069"/>
      <c r="H905" s="1069"/>
      <c r="I905" s="1069"/>
      <c r="O905" s="1067"/>
    </row>
    <row r="906" hidden="1">
      <c r="G906" s="1069"/>
      <c r="H906" s="1069"/>
      <c r="I906" s="1069"/>
      <c r="O906" s="1067"/>
    </row>
    <row r="907" hidden="1">
      <c r="G907" s="1069"/>
      <c r="H907" s="1069"/>
      <c r="I907" s="1069"/>
      <c r="O907" s="1067"/>
    </row>
    <row r="908" hidden="1">
      <c r="G908" s="1069"/>
      <c r="H908" s="1069"/>
      <c r="I908" s="1069"/>
      <c r="O908" s="1067"/>
    </row>
    <row r="909" hidden="1">
      <c r="G909" s="1069"/>
      <c r="H909" s="1069"/>
      <c r="I909" s="1069"/>
      <c r="O909" s="1067"/>
    </row>
    <row r="910" hidden="1">
      <c r="G910" s="1069"/>
      <c r="H910" s="1069"/>
      <c r="I910" s="1069"/>
      <c r="O910" s="1067"/>
    </row>
    <row r="911" hidden="1">
      <c r="G911" s="1069"/>
      <c r="H911" s="1069"/>
      <c r="I911" s="1069"/>
      <c r="O911" s="1067"/>
    </row>
    <row r="912" hidden="1">
      <c r="G912" s="1069"/>
      <c r="H912" s="1069"/>
      <c r="I912" s="1069"/>
      <c r="O912" s="1067"/>
    </row>
    <row r="913" hidden="1">
      <c r="G913" s="1069"/>
      <c r="H913" s="1069"/>
      <c r="I913" s="1069"/>
      <c r="O913" s="1067"/>
    </row>
    <row r="914" hidden="1">
      <c r="G914" s="1069"/>
      <c r="H914" s="1069"/>
      <c r="I914" s="1069"/>
      <c r="O914" s="1067"/>
    </row>
    <row r="915" hidden="1">
      <c r="G915" s="1069"/>
      <c r="H915" s="1069"/>
      <c r="I915" s="1069"/>
      <c r="O915" s="1067"/>
    </row>
    <row r="916" hidden="1">
      <c r="G916" s="1069"/>
      <c r="H916" s="1069"/>
      <c r="I916" s="1069"/>
      <c r="O916" s="1067"/>
    </row>
    <row r="917" hidden="1">
      <c r="G917" s="1069"/>
      <c r="H917" s="1069"/>
      <c r="I917" s="1069"/>
      <c r="O917" s="1067"/>
    </row>
    <row r="918" hidden="1">
      <c r="G918" s="1069"/>
      <c r="H918" s="1069"/>
      <c r="I918" s="1069"/>
      <c r="O918" s="1067"/>
    </row>
    <row r="919" hidden="1">
      <c r="G919" s="1069"/>
      <c r="H919" s="1069"/>
      <c r="I919" s="1069"/>
      <c r="O919" s="1067"/>
    </row>
    <row r="920" hidden="1">
      <c r="G920" s="1069"/>
      <c r="H920" s="1069"/>
      <c r="I920" s="1069"/>
      <c r="O920" s="1067"/>
    </row>
    <row r="921" hidden="1">
      <c r="G921" s="1069"/>
      <c r="H921" s="1069"/>
      <c r="I921" s="1069"/>
      <c r="O921" s="1067"/>
    </row>
    <row r="922" hidden="1">
      <c r="G922" s="1069"/>
      <c r="H922" s="1069"/>
      <c r="I922" s="1069"/>
      <c r="O922" s="1067"/>
    </row>
    <row r="923" hidden="1">
      <c r="G923" s="1069"/>
      <c r="H923" s="1069"/>
      <c r="I923" s="1069"/>
      <c r="O923" s="1067"/>
    </row>
    <row r="924" hidden="1">
      <c r="G924" s="1069"/>
      <c r="H924" s="1069"/>
      <c r="I924" s="1069"/>
      <c r="O924" s="1067"/>
    </row>
    <row r="925" hidden="1">
      <c r="G925" s="1069"/>
      <c r="H925" s="1069"/>
      <c r="I925" s="1069"/>
      <c r="O925" s="1067"/>
    </row>
    <row r="926" hidden="1">
      <c r="G926" s="1069"/>
      <c r="H926" s="1069"/>
      <c r="I926" s="1069"/>
      <c r="O926" s="1067"/>
    </row>
    <row r="927" hidden="1">
      <c r="G927" s="1069"/>
      <c r="H927" s="1069"/>
      <c r="I927" s="1069"/>
      <c r="O927" s="1067"/>
    </row>
    <row r="928" hidden="1">
      <c r="G928" s="1069"/>
      <c r="H928" s="1069"/>
      <c r="I928" s="1069"/>
      <c r="O928" s="1067"/>
    </row>
    <row r="929" hidden="1">
      <c r="G929" s="1069"/>
      <c r="H929" s="1069"/>
      <c r="I929" s="1069"/>
      <c r="O929" s="1067"/>
    </row>
    <row r="930" hidden="1">
      <c r="G930" s="1069"/>
      <c r="H930" s="1069"/>
      <c r="I930" s="1069"/>
      <c r="O930" s="1067"/>
    </row>
    <row r="931" hidden="1">
      <c r="G931" s="1069"/>
      <c r="H931" s="1069"/>
      <c r="I931" s="1069"/>
      <c r="O931" s="1067"/>
    </row>
    <row r="932" hidden="1">
      <c r="G932" s="1069"/>
      <c r="H932" s="1069"/>
      <c r="I932" s="1069"/>
      <c r="O932" s="1067"/>
    </row>
    <row r="933" hidden="1">
      <c r="G933" s="1069"/>
      <c r="H933" s="1069"/>
      <c r="I933" s="1069"/>
      <c r="O933" s="1067"/>
    </row>
    <row r="934" hidden="1">
      <c r="G934" s="1069"/>
      <c r="H934" s="1069"/>
      <c r="I934" s="1069"/>
      <c r="O934" s="1067"/>
    </row>
    <row r="935" hidden="1">
      <c r="G935" s="1069"/>
      <c r="H935" s="1069"/>
      <c r="I935" s="1069"/>
      <c r="O935" s="1067"/>
    </row>
    <row r="936" hidden="1">
      <c r="G936" s="1069"/>
      <c r="H936" s="1069"/>
      <c r="I936" s="1069"/>
      <c r="O936" s="1067"/>
    </row>
    <row r="937" hidden="1">
      <c r="G937" s="1069"/>
      <c r="H937" s="1069"/>
      <c r="I937" s="1069"/>
      <c r="O937" s="1067"/>
    </row>
    <row r="938" hidden="1">
      <c r="G938" s="1069"/>
      <c r="H938" s="1069"/>
      <c r="I938" s="1069"/>
      <c r="O938" s="1067"/>
    </row>
    <row r="939" hidden="1">
      <c r="G939" s="1069"/>
      <c r="H939" s="1069"/>
      <c r="I939" s="1069"/>
      <c r="O939" s="1067"/>
    </row>
    <row r="940" hidden="1">
      <c r="G940" s="1069"/>
      <c r="H940" s="1069"/>
      <c r="I940" s="1069"/>
      <c r="O940" s="1067"/>
    </row>
    <row r="941" hidden="1">
      <c r="G941" s="1069"/>
      <c r="H941" s="1069"/>
      <c r="I941" s="1069"/>
      <c r="O941" s="1067"/>
    </row>
    <row r="942" hidden="1">
      <c r="G942" s="1069"/>
      <c r="H942" s="1069"/>
      <c r="I942" s="1069"/>
      <c r="O942" s="1067"/>
    </row>
    <row r="943" hidden="1">
      <c r="G943" s="1069"/>
      <c r="H943" s="1069"/>
      <c r="I943" s="1069"/>
      <c r="O943" s="1067"/>
    </row>
    <row r="944" hidden="1">
      <c r="G944" s="1069"/>
      <c r="H944" s="1069"/>
      <c r="I944" s="1069"/>
      <c r="O944" s="1067"/>
    </row>
    <row r="945" hidden="1">
      <c r="G945" s="1069"/>
      <c r="H945" s="1069"/>
      <c r="I945" s="1069"/>
      <c r="O945" s="1067"/>
    </row>
    <row r="946" hidden="1">
      <c r="G946" s="1069"/>
      <c r="H946" s="1069"/>
      <c r="I946" s="1069"/>
      <c r="O946" s="1067"/>
    </row>
    <row r="947" hidden="1">
      <c r="G947" s="1069"/>
      <c r="H947" s="1069"/>
      <c r="I947" s="1069"/>
      <c r="O947" s="1067"/>
    </row>
    <row r="948" hidden="1">
      <c r="G948" s="1069"/>
      <c r="H948" s="1069"/>
      <c r="I948" s="1069"/>
      <c r="O948" s="1067"/>
    </row>
    <row r="949" hidden="1">
      <c r="G949" s="1069"/>
      <c r="H949" s="1069"/>
      <c r="I949" s="1069"/>
      <c r="O949" s="1067"/>
    </row>
    <row r="950" hidden="1">
      <c r="G950" s="1069"/>
      <c r="H950" s="1069"/>
      <c r="I950" s="1069"/>
      <c r="O950" s="1067"/>
    </row>
    <row r="951" hidden="1">
      <c r="G951" s="1069"/>
      <c r="H951" s="1069"/>
      <c r="I951" s="1069"/>
      <c r="O951" s="1067"/>
    </row>
    <row r="952" hidden="1">
      <c r="G952" s="1069"/>
      <c r="H952" s="1069"/>
      <c r="I952" s="1069"/>
      <c r="O952" s="1067"/>
    </row>
    <row r="953" hidden="1">
      <c r="G953" s="1069"/>
      <c r="H953" s="1069"/>
      <c r="I953" s="1069"/>
      <c r="O953" s="1067"/>
    </row>
    <row r="954" hidden="1">
      <c r="G954" s="1069"/>
      <c r="H954" s="1069"/>
      <c r="I954" s="1069"/>
      <c r="O954" s="1067"/>
    </row>
    <row r="955" hidden="1">
      <c r="G955" s="1069"/>
      <c r="H955" s="1069"/>
      <c r="I955" s="1069"/>
      <c r="O955" s="1067"/>
    </row>
    <row r="956" hidden="1">
      <c r="G956" s="1069"/>
      <c r="H956" s="1069"/>
      <c r="I956" s="1069"/>
      <c r="O956" s="1067"/>
    </row>
    <row r="957" hidden="1">
      <c r="G957" s="1069"/>
      <c r="H957" s="1069"/>
      <c r="I957" s="1069"/>
      <c r="O957" s="1067"/>
    </row>
    <row r="958" hidden="1">
      <c r="G958" s="1069"/>
      <c r="H958" s="1069"/>
      <c r="I958" s="1069"/>
      <c r="O958" s="1067"/>
    </row>
    <row r="959" hidden="1">
      <c r="G959" s="1069"/>
      <c r="H959" s="1069"/>
      <c r="I959" s="1069"/>
      <c r="O959" s="1067"/>
    </row>
    <row r="960" hidden="1">
      <c r="G960" s="1069"/>
      <c r="H960" s="1069"/>
      <c r="I960" s="1069"/>
      <c r="O960" s="1067"/>
    </row>
    <row r="961" hidden="1">
      <c r="G961" s="1069"/>
      <c r="H961" s="1069"/>
      <c r="I961" s="1069"/>
      <c r="O961" s="1067"/>
    </row>
    <row r="962" hidden="1">
      <c r="G962" s="1069"/>
      <c r="H962" s="1069"/>
      <c r="I962" s="1069"/>
      <c r="O962" s="1067"/>
    </row>
    <row r="963" hidden="1">
      <c r="G963" s="1069"/>
      <c r="H963" s="1069"/>
      <c r="I963" s="1069"/>
      <c r="O963" s="1067"/>
    </row>
    <row r="964" hidden="1">
      <c r="G964" s="1069"/>
      <c r="H964" s="1069"/>
      <c r="I964" s="1069"/>
      <c r="O964" s="1067"/>
    </row>
    <row r="965" hidden="1">
      <c r="G965" s="1069"/>
      <c r="H965" s="1069"/>
      <c r="I965" s="1069"/>
      <c r="O965" s="1067"/>
    </row>
    <row r="966" hidden="1">
      <c r="G966" s="1069"/>
      <c r="H966" s="1069"/>
      <c r="I966" s="1069"/>
      <c r="O966" s="1067"/>
    </row>
    <row r="967" hidden="1">
      <c r="G967" s="1069"/>
      <c r="H967" s="1069"/>
      <c r="I967" s="1069"/>
      <c r="O967" s="1067"/>
    </row>
    <row r="968" hidden="1">
      <c r="G968" s="1069"/>
      <c r="H968" s="1069"/>
      <c r="I968" s="1069"/>
      <c r="O968" s="1067"/>
    </row>
    <row r="969" hidden="1">
      <c r="G969" s="1069"/>
      <c r="H969" s="1069"/>
      <c r="I969" s="1069"/>
      <c r="O969" s="1067"/>
    </row>
    <row r="970" hidden="1">
      <c r="G970" s="1069"/>
      <c r="H970" s="1069"/>
      <c r="I970" s="1069"/>
      <c r="O970" s="1067"/>
    </row>
    <row r="971" hidden="1">
      <c r="G971" s="1069"/>
      <c r="H971" s="1069"/>
      <c r="I971" s="1069"/>
      <c r="O971" s="1067"/>
    </row>
    <row r="972" hidden="1">
      <c r="G972" s="1069"/>
      <c r="H972" s="1069"/>
      <c r="I972" s="1069"/>
      <c r="O972" s="1067"/>
    </row>
    <row r="973" hidden="1">
      <c r="G973" s="1069"/>
      <c r="H973" s="1069"/>
      <c r="I973" s="1069"/>
      <c r="O973" s="1067"/>
    </row>
    <row r="974" hidden="1">
      <c r="G974" s="1069"/>
      <c r="H974" s="1069"/>
      <c r="I974" s="1069"/>
      <c r="O974" s="1067"/>
    </row>
    <row r="975" hidden="1">
      <c r="G975" s="1069"/>
      <c r="H975" s="1069"/>
      <c r="I975" s="1069"/>
      <c r="O975" s="1067"/>
    </row>
    <row r="976" hidden="1">
      <c r="G976" s="1069"/>
      <c r="H976" s="1069"/>
      <c r="I976" s="1069"/>
      <c r="O976" s="1067"/>
    </row>
    <row r="977" hidden="1">
      <c r="G977" s="1069"/>
      <c r="H977" s="1069"/>
      <c r="I977" s="1069"/>
      <c r="O977" s="1067"/>
    </row>
    <row r="978" hidden="1">
      <c r="G978" s="1069"/>
      <c r="H978" s="1069"/>
      <c r="I978" s="1069"/>
      <c r="O978" s="1067"/>
    </row>
    <row r="979" hidden="1">
      <c r="G979" s="1069"/>
      <c r="H979" s="1069"/>
      <c r="I979" s="1069"/>
      <c r="O979" s="1067"/>
    </row>
    <row r="980" hidden="1">
      <c r="G980" s="1069"/>
      <c r="H980" s="1069"/>
      <c r="I980" s="1069"/>
      <c r="O980" s="1067"/>
    </row>
    <row r="981" hidden="1">
      <c r="G981" s="1069"/>
      <c r="H981" s="1069"/>
      <c r="I981" s="1069"/>
      <c r="O981" s="1067"/>
    </row>
    <row r="982" hidden="1">
      <c r="G982" s="1069"/>
      <c r="H982" s="1069"/>
      <c r="I982" s="1069"/>
      <c r="O982" s="1067"/>
    </row>
    <row r="983" hidden="1">
      <c r="G983" s="1069"/>
      <c r="H983" s="1069"/>
      <c r="I983" s="1069"/>
      <c r="O983" s="1067"/>
    </row>
    <row r="984" hidden="1">
      <c r="G984" s="1069"/>
      <c r="H984" s="1069"/>
      <c r="I984" s="1069"/>
      <c r="O984" s="1067"/>
    </row>
    <row r="985" hidden="1">
      <c r="G985" s="1069"/>
      <c r="H985" s="1069"/>
      <c r="I985" s="1069"/>
      <c r="O985" s="1067"/>
    </row>
    <row r="986" hidden="1">
      <c r="G986" s="1069"/>
      <c r="H986" s="1069"/>
      <c r="I986" s="1069"/>
      <c r="O986" s="1067"/>
    </row>
    <row r="987" hidden="1">
      <c r="G987" s="1069"/>
      <c r="H987" s="1069"/>
      <c r="I987" s="1069"/>
      <c r="O987" s="1067"/>
    </row>
    <row r="988" hidden="1">
      <c r="G988" s="1069"/>
      <c r="H988" s="1069"/>
      <c r="I988" s="1069"/>
      <c r="O988" s="1067"/>
    </row>
    <row r="989" hidden="1">
      <c r="G989" s="1069"/>
      <c r="H989" s="1069"/>
      <c r="I989" s="1069"/>
      <c r="O989" s="1067"/>
    </row>
    <row r="990" hidden="1">
      <c r="G990" s="1069"/>
      <c r="H990" s="1069"/>
      <c r="I990" s="1069"/>
      <c r="O990" s="1067"/>
    </row>
    <row r="991" hidden="1">
      <c r="G991" s="1069"/>
      <c r="H991" s="1069"/>
      <c r="I991" s="1069"/>
      <c r="O991" s="1067"/>
    </row>
    <row r="992" hidden="1">
      <c r="G992" s="1069"/>
      <c r="H992" s="1069"/>
      <c r="I992" s="1069"/>
      <c r="O992" s="1067"/>
    </row>
    <row r="993" hidden="1">
      <c r="G993" s="1069"/>
      <c r="H993" s="1069"/>
      <c r="I993" s="1069"/>
      <c r="O993" s="1067"/>
    </row>
    <row r="994" hidden="1">
      <c r="G994" s="1069"/>
      <c r="H994" s="1069"/>
      <c r="I994" s="1069"/>
      <c r="O994" s="1067"/>
    </row>
    <row r="995" hidden="1">
      <c r="G995" s="1069"/>
      <c r="H995" s="1069"/>
      <c r="I995" s="1069"/>
      <c r="O995" s="1067"/>
    </row>
    <row r="996" hidden="1">
      <c r="G996" s="1069"/>
      <c r="H996" s="1069"/>
      <c r="I996" s="1069"/>
      <c r="O996" s="1067"/>
    </row>
    <row r="997" hidden="1">
      <c r="G997" s="1069"/>
      <c r="H997" s="1069"/>
      <c r="I997" s="1069"/>
      <c r="O997" s="1067"/>
    </row>
    <row r="998" hidden="1">
      <c r="G998" s="1069"/>
      <c r="H998" s="1069"/>
      <c r="I998" s="1069"/>
      <c r="O998" s="1067"/>
    </row>
    <row r="999" hidden="1">
      <c r="G999" s="1069"/>
      <c r="H999" s="1069"/>
      <c r="I999" s="1069"/>
      <c r="O999" s="1067"/>
    </row>
  </sheetData>
  <autoFilter ref="$A$1:$AA$999">
    <filterColumn colId="12">
      <filters>
        <filter val="2"/>
      </filters>
    </filterColumn>
  </autoFilter>
  <dataValidations>
    <dataValidation type="list" allowBlank="1" showErrorMessage="1" sqref="M3:M190">
      <formula1>"1,2,3"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3.0"/>
    <col customWidth="1" min="3" max="3" width="8.71"/>
    <col customWidth="1" min="4" max="4" width="11.43"/>
    <col customWidth="1" min="5" max="5" width="8.71"/>
    <col customWidth="1" min="6" max="6" width="6.71"/>
    <col customWidth="1" min="7" max="7" width="7.71"/>
    <col customWidth="1" min="8" max="8" width="3.57"/>
    <col customWidth="1" min="9" max="9" width="3.43"/>
    <col customWidth="1" min="10" max="10" width="6.43"/>
    <col customWidth="1" min="11" max="11" width="7.71"/>
    <col customWidth="1" min="12" max="12" width="13.86"/>
  </cols>
  <sheetData>
    <row r="1" ht="13.5" customHeight="1">
      <c r="A1" s="590" t="s">
        <v>9772</v>
      </c>
      <c r="B1" s="591"/>
      <c r="C1" s="592"/>
      <c r="D1" s="592"/>
      <c r="E1" s="592"/>
      <c r="F1" s="593"/>
      <c r="G1" s="592"/>
      <c r="H1" s="592"/>
      <c r="I1" s="592"/>
      <c r="J1" s="594" t="s">
        <v>9773</v>
      </c>
      <c r="L1" s="834">
        <v>45895.0</v>
      </c>
    </row>
    <row r="2" ht="13.5" customHeight="1">
      <c r="A2" s="596" t="s">
        <v>9774</v>
      </c>
      <c r="B2" s="597"/>
      <c r="C2" s="598"/>
      <c r="D2" s="598"/>
      <c r="E2" s="598"/>
      <c r="F2" s="592"/>
      <c r="G2" s="592"/>
      <c r="H2" s="592"/>
      <c r="I2" s="592"/>
      <c r="J2" s="594" t="s">
        <v>9775</v>
      </c>
      <c r="L2" s="676"/>
    </row>
    <row r="3" ht="13.5" customHeight="1">
      <c r="A3" s="599" t="s">
        <v>9776</v>
      </c>
      <c r="B3" s="600"/>
      <c r="C3" s="592"/>
      <c r="D3" s="601"/>
      <c r="E3" s="601"/>
      <c r="F3" s="601"/>
      <c r="G3" s="601"/>
      <c r="H3" s="601"/>
      <c r="I3" s="601"/>
      <c r="J3" s="606" t="s">
        <v>9863</v>
      </c>
      <c r="K3" s="109"/>
      <c r="L3" s="109"/>
    </row>
    <row r="4" ht="13.5" customHeight="1">
      <c r="A4" s="604"/>
      <c r="B4" s="604"/>
      <c r="C4" s="592"/>
      <c r="D4" s="601"/>
      <c r="E4" s="601"/>
      <c r="F4" s="601"/>
      <c r="G4" s="601"/>
      <c r="H4" s="601"/>
      <c r="I4" s="601"/>
      <c r="J4" s="711" t="s">
        <v>11162</v>
      </c>
      <c r="K4" s="109"/>
      <c r="L4" s="109"/>
    </row>
    <row r="5" ht="13.5" customHeight="1">
      <c r="A5" s="604"/>
      <c r="B5" s="604"/>
      <c r="C5" s="592"/>
      <c r="D5" s="601"/>
      <c r="E5" s="601"/>
      <c r="F5" s="601"/>
      <c r="G5" s="601"/>
      <c r="H5" s="601"/>
      <c r="I5" s="601"/>
      <c r="J5" s="607"/>
      <c r="K5" s="109"/>
      <c r="L5" s="1071"/>
    </row>
    <row r="6" ht="13.5" customHeight="1">
      <c r="A6" s="604"/>
      <c r="B6" s="604"/>
      <c r="C6" s="592"/>
      <c r="D6" s="601"/>
      <c r="E6" s="601"/>
      <c r="F6" s="601"/>
      <c r="G6" s="601"/>
      <c r="H6" s="601"/>
      <c r="I6" s="601"/>
      <c r="J6" s="607"/>
      <c r="K6" s="109"/>
      <c r="L6" s="1072"/>
    </row>
    <row r="7" ht="13.5" customHeight="1">
      <c r="A7" s="604"/>
      <c r="B7" s="604"/>
      <c r="C7" s="592"/>
      <c r="D7" s="608" t="s">
        <v>9777</v>
      </c>
      <c r="G7" s="601"/>
      <c r="H7" s="601"/>
      <c r="I7" s="601"/>
      <c r="J7" s="609"/>
      <c r="K7" s="609"/>
      <c r="L7" s="678" t="s">
        <v>1973</v>
      </c>
    </row>
    <row r="8" ht="13.5" customHeight="1">
      <c r="A8" s="17"/>
      <c r="B8" s="600"/>
      <c r="C8" s="17"/>
      <c r="D8" s="611"/>
      <c r="E8" s="611"/>
      <c r="F8" s="611"/>
      <c r="G8" s="17"/>
      <c r="H8" s="17"/>
      <c r="I8" s="17"/>
      <c r="J8" s="612"/>
      <c r="K8" s="612"/>
    </row>
    <row r="9" ht="13.5" customHeight="1">
      <c r="A9" s="934" t="s">
        <v>2727</v>
      </c>
      <c r="B9" s="614" t="s">
        <v>11163</v>
      </c>
      <c r="C9" s="17"/>
      <c r="D9" s="615"/>
      <c r="E9" s="17"/>
      <c r="F9" s="17"/>
      <c r="G9" s="17"/>
      <c r="H9" s="616"/>
      <c r="I9" s="617"/>
      <c r="J9" s="616" t="s">
        <v>9778</v>
      </c>
      <c r="K9" s="617"/>
      <c r="L9" s="154" t="s">
        <v>5154</v>
      </c>
    </row>
    <row r="10" ht="13.5" customHeight="1">
      <c r="A10" s="938" t="s">
        <v>9779</v>
      </c>
      <c r="B10" s="937" t="s">
        <v>0</v>
      </c>
      <c r="C10" s="938" t="s">
        <v>9780</v>
      </c>
      <c r="D10" s="122"/>
      <c r="E10" s="122"/>
      <c r="F10" s="122"/>
      <c r="G10" s="122"/>
      <c r="H10" s="963" t="s">
        <v>9781</v>
      </c>
      <c r="I10" s="621"/>
      <c r="J10" s="938" t="s">
        <v>9782</v>
      </c>
      <c r="K10" s="122"/>
      <c r="L10" s="938" t="s">
        <v>2740</v>
      </c>
    </row>
    <row r="11" ht="13.5" customHeight="1">
      <c r="A11" s="623">
        <v>1.0</v>
      </c>
      <c r="B11" s="64" t="s">
        <v>3354</v>
      </c>
      <c r="C11" s="229" t="str">
        <f>IFERROR(VLOOKUP(B11,Stock,3,FALSE),"")</f>
        <v>Honda Brio 10- / Mobilio 11- (Honda)</v>
      </c>
      <c r="H11" s="624">
        <v>3.0</v>
      </c>
      <c r="I11" s="624" t="s">
        <v>2729</v>
      </c>
      <c r="J11" s="419">
        <v>1633333.33</v>
      </c>
      <c r="L11" s="625">
        <f t="shared" ref="L11:L18" si="1">H11*J11</f>
        <v>4899999.99</v>
      </c>
    </row>
    <row r="12" ht="13.5" customHeight="1">
      <c r="A12" s="626"/>
      <c r="B12" s="64"/>
      <c r="C12" s="229" t="str">
        <f>IFERROR(VLOOKUP(B12,Stock,3,FALSE),"")</f>
        <v/>
      </c>
      <c r="H12" s="444"/>
      <c r="I12" s="444"/>
      <c r="J12" s="419"/>
      <c r="L12" s="625">
        <f t="shared" si="1"/>
        <v>0</v>
      </c>
    </row>
    <row r="13" ht="13.5" customHeight="1">
      <c r="A13" s="623"/>
      <c r="B13" s="64"/>
      <c r="C13" s="229" t="str">
        <f>IFERROR(VLOOKUP(B13,Stock,3,FALSE),"")</f>
        <v/>
      </c>
      <c r="H13" s="444"/>
      <c r="I13" s="444"/>
      <c r="J13" s="419"/>
      <c r="L13" s="625">
        <f t="shared" si="1"/>
        <v>0</v>
      </c>
    </row>
    <row r="14" ht="13.5" customHeight="1">
      <c r="A14" s="626"/>
      <c r="B14" s="966"/>
      <c r="C14" s="229" t="str">
        <f>IFERROR(VLOOKUP(B14,Stock,3,FALSE),"")</f>
        <v/>
      </c>
      <c r="H14" s="444"/>
      <c r="I14" s="444"/>
      <c r="J14" s="627"/>
      <c r="L14" s="625">
        <f t="shared" si="1"/>
        <v>0</v>
      </c>
    </row>
    <row r="15" ht="13.5" customHeight="1">
      <c r="A15" s="626"/>
      <c r="B15" s="966"/>
      <c r="C15" s="229" t="str">
        <f>IFERROR(VLOOKUP(B15,Stock,3,FALSE),"")</f>
        <v/>
      </c>
      <c r="H15" s="444"/>
      <c r="I15" s="444"/>
      <c r="J15" s="965"/>
      <c r="L15" s="625">
        <f t="shared" si="1"/>
        <v>0</v>
      </c>
    </row>
    <row r="16" ht="13.5" customHeight="1">
      <c r="A16" s="444"/>
      <c r="B16" s="966"/>
      <c r="C16" s="229" t="str">
        <f>IFERROR(VLOOKUP(B16,Stock,3,FALSE),"")</f>
        <v/>
      </c>
      <c r="H16" s="444"/>
      <c r="I16" s="444"/>
      <c r="J16" s="965"/>
      <c r="L16" s="625">
        <f t="shared" si="1"/>
        <v>0</v>
      </c>
    </row>
    <row r="17" ht="13.5" customHeight="1">
      <c r="A17" s="444"/>
      <c r="B17" s="443"/>
      <c r="C17" s="229" t="str">
        <f>IFERROR(VLOOKUP(B17,Stock,3,FALSE),"")</f>
        <v/>
      </c>
      <c r="H17" s="444"/>
      <c r="I17" s="444"/>
      <c r="J17" s="965"/>
      <c r="L17" s="625">
        <f t="shared" si="1"/>
        <v>0</v>
      </c>
    </row>
    <row r="18" ht="13.5" customHeight="1">
      <c r="A18" s="713"/>
      <c r="B18" s="630" t="s">
        <v>11164</v>
      </c>
      <c r="C18" s="617"/>
      <c r="D18" s="617"/>
      <c r="E18" s="617"/>
      <c r="F18" s="617"/>
      <c r="G18" s="617"/>
      <c r="H18" s="616"/>
      <c r="I18" s="616"/>
      <c r="J18" s="631"/>
      <c r="K18" s="617"/>
      <c r="L18" s="625">
        <f t="shared" si="1"/>
        <v>0</v>
      </c>
    </row>
    <row r="19" ht="13.5" customHeight="1">
      <c r="A19" s="1073"/>
      <c r="B19" s="621"/>
      <c r="C19" s="621"/>
      <c r="D19" s="621"/>
      <c r="E19" s="633"/>
      <c r="F19" s="633"/>
      <c r="G19" s="633"/>
      <c r="H19" s="1015"/>
      <c r="I19" s="676"/>
      <c r="J19" s="636"/>
      <c r="K19" s="637" t="s">
        <v>9786</v>
      </c>
      <c r="L19" s="1074">
        <f>SUM(L11:L18)</f>
        <v>4899999.99</v>
      </c>
    </row>
    <row r="20" ht="13.5" customHeight="1">
      <c r="A20" s="639"/>
      <c r="D20" s="640" t="s">
        <v>10877</v>
      </c>
      <c r="E20" s="641"/>
      <c r="F20" s="1075" t="s">
        <v>11165</v>
      </c>
      <c r="J20" s="643"/>
      <c r="K20" s="201" t="s">
        <v>11166</v>
      </c>
      <c r="L20" s="1076">
        <v>0.0</v>
      </c>
    </row>
    <row r="21" ht="13.5" customHeight="1">
      <c r="A21" s="592"/>
      <c r="B21" s="628"/>
      <c r="C21" s="628"/>
      <c r="D21" s="628"/>
      <c r="E21" s="1077" t="s">
        <v>1973</v>
      </c>
      <c r="J21" s="646"/>
      <c r="K21" s="647" t="s">
        <v>9790</v>
      </c>
      <c r="L21" s="1078">
        <f>L19-L20</f>
        <v>4899999.99</v>
      </c>
    </row>
    <row r="22" ht="13.5" customHeight="1">
      <c r="A22" s="592"/>
      <c r="B22" s="604"/>
      <c r="C22" s="955" t="s">
        <v>5057</v>
      </c>
      <c r="D22" s="649"/>
      <c r="E22" s="641"/>
      <c r="J22" s="650"/>
      <c r="K22" s="637"/>
      <c r="L22" s="651"/>
    </row>
    <row r="23" ht="13.5" customHeight="1">
      <c r="A23" s="592"/>
      <c r="B23" s="604"/>
      <c r="C23" s="604"/>
      <c r="D23" s="604"/>
      <c r="E23" s="604"/>
      <c r="J23" s="653"/>
      <c r="K23" s="653" t="s">
        <v>9791</v>
      </c>
      <c r="L23" s="653"/>
    </row>
    <row r="24" ht="13.5" customHeight="1">
      <c r="A24" s="654" t="s">
        <v>9792</v>
      </c>
      <c r="B24" s="591"/>
      <c r="C24" s="591"/>
      <c r="D24" s="649" t="s">
        <v>10878</v>
      </c>
      <c r="E24" s="604"/>
      <c r="F24" s="707"/>
      <c r="G24" s="707"/>
      <c r="H24" s="707"/>
      <c r="I24" s="707"/>
      <c r="J24" s="655"/>
      <c r="K24" s="1079" t="s">
        <v>11167</v>
      </c>
    </row>
    <row r="25" ht="15.75" customHeight="1">
      <c r="G25" s="548" t="s">
        <v>1973</v>
      </c>
      <c r="K25" s="1080"/>
    </row>
    <row r="26" ht="15.75" customHeight="1">
      <c r="J26" s="548" t="s">
        <v>9733</v>
      </c>
    </row>
    <row r="27" ht="15.75" customHeight="1">
      <c r="F27" s="548" t="s">
        <v>1973</v>
      </c>
      <c r="J27" s="548"/>
    </row>
    <row r="28" ht="15.75" customHeight="1">
      <c r="D28" s="548" t="s">
        <v>1973</v>
      </c>
    </row>
    <row r="29" ht="15.75" customHeight="1"/>
    <row r="30" ht="13.5" customHeight="1">
      <c r="A30" s="590" t="str">
        <f t="shared" ref="A30:A32" si="2">A1</f>
        <v>SENTRA AUTOGLASS TANGERANG</v>
      </c>
      <c r="B30" s="591"/>
      <c r="C30" s="592"/>
      <c r="D30" s="592"/>
      <c r="E30" s="1081"/>
      <c r="F30" s="593"/>
      <c r="G30" s="592"/>
      <c r="H30" s="592"/>
      <c r="I30" s="592"/>
      <c r="J30" s="594" t="s">
        <v>9773</v>
      </c>
      <c r="L30" s="834">
        <f>L1</f>
        <v>45895</v>
      </c>
    </row>
    <row r="31" ht="13.5" customHeight="1">
      <c r="A31" s="596" t="str">
        <f t="shared" si="2"/>
        <v>Ruko Permata Niaga II No. 17, Taman Royal I, Tanah Tinggi, Kota Tangerang 15119</v>
      </c>
      <c r="B31" s="597"/>
      <c r="C31" s="598"/>
      <c r="D31" s="598"/>
      <c r="E31" s="598"/>
      <c r="F31" s="592"/>
      <c r="G31" s="592"/>
      <c r="H31" s="592"/>
      <c r="I31" s="592"/>
      <c r="J31" s="594" t="s">
        <v>9775</v>
      </c>
      <c r="L31" s="676"/>
    </row>
    <row r="32" ht="13.5" customHeight="1">
      <c r="A32" s="599" t="str">
        <f t="shared" si="2"/>
        <v>(+62) 81288009878 |  (+62) 81281161200</v>
      </c>
      <c r="B32" s="600"/>
      <c r="C32" s="592"/>
      <c r="D32" s="601"/>
      <c r="E32" s="601"/>
      <c r="F32" s="601"/>
      <c r="G32" s="601"/>
      <c r="H32" s="601"/>
      <c r="I32" s="601"/>
      <c r="J32" s="606" t="str">
        <f t="shared" ref="J32:J35" si="3">J3</f>
        <v>Tharina</v>
      </c>
      <c r="K32" s="109"/>
      <c r="L32" s="109"/>
    </row>
    <row r="33" ht="13.5" customHeight="1">
      <c r="A33" s="604"/>
      <c r="B33" s="604"/>
      <c r="C33" s="592"/>
      <c r="D33" s="601"/>
      <c r="E33" s="601"/>
      <c r="F33" s="601"/>
      <c r="G33" s="601"/>
      <c r="H33" s="601"/>
      <c r="I33" s="601"/>
      <c r="J33" s="548" t="str">
        <f t="shared" si="3"/>
        <v>+62 857-1705-0327</v>
      </c>
      <c r="K33" s="109"/>
      <c r="L33" s="109"/>
    </row>
    <row r="34" ht="13.5" customHeight="1">
      <c r="A34" s="604"/>
      <c r="B34" s="604"/>
      <c r="C34" s="592"/>
      <c r="D34" s="601"/>
      <c r="E34" s="601"/>
      <c r="F34" s="601"/>
      <c r="G34" s="601"/>
      <c r="H34" s="601"/>
      <c r="I34" s="601"/>
      <c r="J34" s="1071" t="str">
        <f t="shared" si="3"/>
        <v/>
      </c>
    </row>
    <row r="35" ht="13.5" customHeight="1">
      <c r="A35" s="604"/>
      <c r="B35" s="604"/>
      <c r="C35" s="592"/>
      <c r="D35" s="601"/>
      <c r="E35" s="601"/>
      <c r="F35" s="601"/>
      <c r="G35" s="601"/>
      <c r="H35" s="601"/>
      <c r="I35" s="601"/>
      <c r="J35" s="607" t="str">
        <f t="shared" si="3"/>
        <v/>
      </c>
      <c r="K35" s="1072"/>
      <c r="L35" s="1072"/>
    </row>
    <row r="36" ht="13.5" customHeight="1">
      <c r="A36" s="604"/>
      <c r="B36" s="604"/>
      <c r="C36" s="592"/>
      <c r="D36" s="608" t="s">
        <v>9777</v>
      </c>
      <c r="G36" s="601"/>
      <c r="H36" s="601"/>
      <c r="I36" s="601"/>
      <c r="J36" s="609"/>
      <c r="K36" s="609"/>
      <c r="L36" s="609"/>
    </row>
    <row r="37" ht="13.5" customHeight="1">
      <c r="A37" s="17"/>
      <c r="B37" s="600"/>
      <c r="C37" s="17"/>
      <c r="D37" s="611"/>
      <c r="E37" s="611"/>
      <c r="F37" s="611"/>
      <c r="G37" s="17"/>
      <c r="H37" s="17"/>
      <c r="I37" s="17"/>
      <c r="J37" s="612"/>
      <c r="K37" s="612"/>
    </row>
    <row r="38" ht="13.5" customHeight="1">
      <c r="A38" s="934" t="s">
        <v>2727</v>
      </c>
      <c r="B38" s="614" t="str">
        <f>B9</f>
        <v>H250120</v>
      </c>
      <c r="C38" s="17"/>
      <c r="D38" s="615"/>
      <c r="E38" s="17"/>
      <c r="F38" s="17"/>
      <c r="G38" s="17"/>
      <c r="H38" s="628"/>
      <c r="J38" s="628" t="s">
        <v>9778</v>
      </c>
      <c r="L38" s="645" t="str">
        <f>L9</f>
        <v>-</v>
      </c>
    </row>
    <row r="39" ht="13.5" customHeight="1">
      <c r="A39" s="938" t="s">
        <v>9779</v>
      </c>
      <c r="B39" s="937" t="s">
        <v>0</v>
      </c>
      <c r="C39" s="938" t="s">
        <v>9780</v>
      </c>
      <c r="D39" s="122"/>
      <c r="E39" s="122"/>
      <c r="F39" s="122"/>
      <c r="G39" s="122"/>
      <c r="H39" s="938" t="s">
        <v>9781</v>
      </c>
      <c r="I39" s="122"/>
      <c r="J39" s="938" t="s">
        <v>9782</v>
      </c>
      <c r="K39" s="122"/>
      <c r="L39" s="938" t="s">
        <v>2740</v>
      </c>
    </row>
    <row r="40" ht="13.5" customHeight="1">
      <c r="A40" s="623">
        <v>1.0</v>
      </c>
      <c r="B40" s="596" t="str">
        <f>B11</f>
        <v>LFW-BRIOAGC</v>
      </c>
      <c r="C40" s="1082" t="str">
        <f>IFERROR(VLOOKUP(B40,Stock,3,FALSE),"")</f>
        <v>Honda Brio 10- / Mobilio 11- (Honda)</v>
      </c>
      <c r="H40" s="624">
        <f t="shared" ref="H40:H45" si="5">H11</f>
        <v>3</v>
      </c>
      <c r="I40" s="624" t="s">
        <v>2729</v>
      </c>
      <c r="J40" s="683">
        <f>J11</f>
        <v>1633333.33</v>
      </c>
      <c r="K40" s="621"/>
      <c r="L40" s="625">
        <f t="shared" ref="L40:L46" si="7">H40*J40</f>
        <v>4899999.99</v>
      </c>
    </row>
    <row r="41" ht="13.5" customHeight="1">
      <c r="A41" s="626" t="str">
        <f t="shared" ref="A41:B41" si="4">A12</f>
        <v/>
      </c>
      <c r="B41" s="45" t="str">
        <f t="shared" si="4"/>
        <v/>
      </c>
      <c r="C41" s="1082" t="str">
        <f>IFERROR(VLOOKUP(B41,Stock,3,FALSE),"")</f>
        <v/>
      </c>
      <c r="H41" s="1083" t="str">
        <f t="shared" si="5"/>
        <v/>
      </c>
      <c r="I41" s="444" t="str">
        <f t="shared" ref="I41:J41" si="6">I12</f>
        <v/>
      </c>
      <c r="J41" s="627" t="str">
        <f t="shared" si="6"/>
        <v/>
      </c>
      <c r="L41" s="625">
        <f t="shared" si="7"/>
        <v>0</v>
      </c>
    </row>
    <row r="42" ht="13.5" customHeight="1">
      <c r="A42" s="623" t="str">
        <f t="shared" ref="A42:B42" si="8">A13</f>
        <v/>
      </c>
      <c r="B42" s="45" t="str">
        <f t="shared" si="8"/>
        <v/>
      </c>
      <c r="C42" s="1082" t="str">
        <f>IFERROR(VLOOKUP(B42,Stock,3,FALSE),"")</f>
        <v/>
      </c>
      <c r="H42" s="444" t="str">
        <f t="shared" si="5"/>
        <v/>
      </c>
      <c r="I42" s="444" t="str">
        <f t="shared" ref="I42:J42" si="9">I13</f>
        <v/>
      </c>
      <c r="J42" s="627" t="str">
        <f t="shared" si="9"/>
        <v/>
      </c>
      <c r="L42" s="625">
        <f t="shared" si="7"/>
        <v>0</v>
      </c>
    </row>
    <row r="43" ht="13.5" customHeight="1">
      <c r="A43" s="626" t="str">
        <f t="shared" ref="A43:B43" si="10">A14</f>
        <v/>
      </c>
      <c r="B43" s="64" t="str">
        <f t="shared" si="10"/>
        <v/>
      </c>
      <c r="C43" s="1082" t="str">
        <f>IFERROR(VLOOKUP(B43,Stock,3,FALSE),"")</f>
        <v/>
      </c>
      <c r="H43" s="444" t="str">
        <f t="shared" si="5"/>
        <v/>
      </c>
      <c r="I43" s="444" t="str">
        <f t="shared" ref="I43:J43" si="11">I14</f>
        <v/>
      </c>
      <c r="J43" s="627" t="str">
        <f t="shared" si="11"/>
        <v/>
      </c>
      <c r="L43" s="625">
        <f t="shared" si="7"/>
        <v>0</v>
      </c>
    </row>
    <row r="44" ht="13.5" customHeight="1">
      <c r="A44" s="626" t="str">
        <f t="shared" ref="A44:A45" si="13">A15</f>
        <v/>
      </c>
      <c r="B44" s="45"/>
      <c r="C44" s="1082" t="str">
        <f>IFERROR(VLOOKUP(B44,Stock,3,FALSE),"")</f>
        <v/>
      </c>
      <c r="H44" s="444" t="str">
        <f t="shared" si="5"/>
        <v/>
      </c>
      <c r="I44" s="444" t="str">
        <f t="shared" ref="I44:J44" si="12">I15</f>
        <v/>
      </c>
      <c r="J44" s="965" t="str">
        <f t="shared" si="12"/>
        <v/>
      </c>
      <c r="L44" s="625">
        <f t="shared" si="7"/>
        <v>0</v>
      </c>
    </row>
    <row r="45" ht="13.5" customHeight="1">
      <c r="A45" s="444" t="str">
        <f t="shared" si="13"/>
        <v/>
      </c>
      <c r="B45" s="443" t="str">
        <f>B16</f>
        <v/>
      </c>
      <c r="C45" s="45" t="str">
        <f>IFERROR(VLOOKUP(B45,Stock,3,FALSE),"")</f>
        <v/>
      </c>
      <c r="H45" s="444" t="str">
        <f t="shared" si="5"/>
        <v/>
      </c>
      <c r="I45" s="444" t="str">
        <f t="shared" ref="I45:J45" si="14">I16</f>
        <v/>
      </c>
      <c r="J45" s="965" t="str">
        <f t="shared" si="14"/>
        <v/>
      </c>
      <c r="L45" s="625">
        <f t="shared" si="7"/>
        <v>0</v>
      </c>
    </row>
    <row r="46" ht="13.5" customHeight="1">
      <c r="A46" s="444"/>
      <c r="B46" s="443"/>
      <c r="C46" s="45"/>
      <c r="H46" s="444"/>
      <c r="I46" s="444"/>
      <c r="J46" s="965"/>
      <c r="L46" s="625">
        <f t="shared" si="7"/>
        <v>0</v>
      </c>
    </row>
    <row r="47" ht="13.5" customHeight="1">
      <c r="A47" s="713" t="str">
        <f t="shared" ref="A47:B47" si="15">A18</f>
        <v/>
      </c>
      <c r="B47" s="630" t="str">
        <f t="shared" si="15"/>
        <v>BCA 6041794388 an Alvin Wijaya                                        </v>
      </c>
      <c r="C47" s="617"/>
      <c r="D47" s="617"/>
      <c r="E47" s="617"/>
      <c r="F47" s="617"/>
      <c r="G47" s="617"/>
      <c r="H47" s="616"/>
      <c r="I47" s="616" t="str">
        <f t="shared" ref="I47:J47" si="16">I18</f>
        <v/>
      </c>
      <c r="J47" s="631" t="str">
        <f t="shared" si="16"/>
        <v/>
      </c>
      <c r="K47" s="617"/>
      <c r="L47" s="625">
        <f t="shared" ref="L47:L48" si="17">L18</f>
        <v>0</v>
      </c>
    </row>
    <row r="48" ht="13.5" customHeight="1">
      <c r="A48" s="1073"/>
      <c r="B48" s="621"/>
      <c r="C48" s="621"/>
      <c r="D48" s="621"/>
      <c r="E48" s="633"/>
      <c r="F48" s="633"/>
      <c r="G48" s="633"/>
      <c r="H48" s="1015"/>
      <c r="I48" s="676"/>
      <c r="J48" s="636"/>
      <c r="K48" s="637" t="s">
        <v>9786</v>
      </c>
      <c r="L48" s="1084">
        <f t="shared" si="17"/>
        <v>4899999.99</v>
      </c>
    </row>
    <row r="49" ht="13.5" customHeight="1">
      <c r="A49" s="639"/>
      <c r="D49" s="640" t="s">
        <v>10877</v>
      </c>
      <c r="E49" s="641"/>
      <c r="F49" s="1075" t="s">
        <v>11165</v>
      </c>
      <c r="J49" s="643"/>
      <c r="K49" s="637" t="str">
        <f t="shared" ref="K49:L49" si="18">K20</f>
        <v>DEPOSIT</v>
      </c>
      <c r="L49" s="1076">
        <f t="shared" si="18"/>
        <v>0</v>
      </c>
    </row>
    <row r="50" ht="13.5" customHeight="1">
      <c r="A50" s="592"/>
      <c r="B50" s="628"/>
      <c r="C50" s="628"/>
      <c r="D50" s="628"/>
      <c r="E50" s="1077" t="s">
        <v>1973</v>
      </c>
      <c r="J50" s="646"/>
      <c r="K50" s="647" t="s">
        <v>9790</v>
      </c>
      <c r="L50" s="1078">
        <f>L21</f>
        <v>4899999.99</v>
      </c>
    </row>
    <row r="51" ht="13.5" customHeight="1">
      <c r="A51" s="592"/>
      <c r="B51" s="604"/>
      <c r="C51" s="604"/>
      <c r="D51" s="649"/>
      <c r="E51" s="641"/>
      <c r="J51" s="650"/>
      <c r="K51" s="637"/>
      <c r="L51" s="651"/>
    </row>
    <row r="52" ht="13.5" customHeight="1">
      <c r="A52" s="592"/>
      <c r="B52" s="604"/>
      <c r="C52" s="604"/>
      <c r="D52" s="604"/>
      <c r="E52" s="604"/>
      <c r="J52" s="653"/>
      <c r="K52" s="653" t="s">
        <v>9791</v>
      </c>
      <c r="L52" s="653"/>
    </row>
    <row r="53" ht="13.5" customHeight="1">
      <c r="A53" s="654" t="s">
        <v>9792</v>
      </c>
      <c r="B53" s="591"/>
      <c r="C53" s="591"/>
      <c r="D53" s="649" t="s">
        <v>10878</v>
      </c>
      <c r="E53" s="604"/>
      <c r="F53" s="707"/>
      <c r="G53" s="707"/>
      <c r="H53" s="707"/>
      <c r="I53" s="707"/>
      <c r="J53" s="655"/>
      <c r="K53" s="656" t="str">
        <f t="shared" ref="K53:K54" si="19">K24</f>
        <v>LUNAS</v>
      </c>
    </row>
    <row r="54" ht="15.75" customHeight="1">
      <c r="K54" s="1085" t="str">
        <f t="shared" si="19"/>
        <v/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</sheetData>
  <mergeCells count="53">
    <mergeCell ref="C40:G40"/>
    <mergeCell ref="J40:K40"/>
    <mergeCell ref="C41:G41"/>
    <mergeCell ref="J41:K41"/>
    <mergeCell ref="C42:G42"/>
    <mergeCell ref="J42:K42"/>
    <mergeCell ref="J43:K43"/>
    <mergeCell ref="C43:G43"/>
    <mergeCell ref="C44:G44"/>
    <mergeCell ref="J44:K44"/>
    <mergeCell ref="C45:G45"/>
    <mergeCell ref="J45:K45"/>
    <mergeCell ref="C46:G46"/>
    <mergeCell ref="B47:G47"/>
    <mergeCell ref="D7:F7"/>
    <mergeCell ref="H9:I9"/>
    <mergeCell ref="J9:K9"/>
    <mergeCell ref="C10:G10"/>
    <mergeCell ref="H10:I10"/>
    <mergeCell ref="J10:K10"/>
    <mergeCell ref="J11:K11"/>
    <mergeCell ref="J14:K14"/>
    <mergeCell ref="J15:K15"/>
    <mergeCell ref="J34:L34"/>
    <mergeCell ref="C11:G11"/>
    <mergeCell ref="C12:G12"/>
    <mergeCell ref="J12:K12"/>
    <mergeCell ref="C13:G13"/>
    <mergeCell ref="J13:K13"/>
    <mergeCell ref="C14:G14"/>
    <mergeCell ref="C15:G15"/>
    <mergeCell ref="C16:G16"/>
    <mergeCell ref="J16:K16"/>
    <mergeCell ref="C17:G17"/>
    <mergeCell ref="J17:K17"/>
    <mergeCell ref="B18:G18"/>
    <mergeCell ref="J18:K18"/>
    <mergeCell ref="A19:D19"/>
    <mergeCell ref="H39:I39"/>
    <mergeCell ref="J39:K39"/>
    <mergeCell ref="A20:C20"/>
    <mergeCell ref="F20:I23"/>
    <mergeCell ref="K24:L24"/>
    <mergeCell ref="D36:F36"/>
    <mergeCell ref="H38:I38"/>
    <mergeCell ref="J38:K38"/>
    <mergeCell ref="C39:G39"/>
    <mergeCell ref="J46:K46"/>
    <mergeCell ref="J47:K47"/>
    <mergeCell ref="A48:D48"/>
    <mergeCell ref="A49:C49"/>
    <mergeCell ref="F49:I52"/>
    <mergeCell ref="K53:L53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2.86"/>
    <col customWidth="1" min="3" max="3" width="8.71"/>
    <col customWidth="1" min="4" max="4" width="11.43"/>
    <col customWidth="1" min="5" max="5" width="8.71"/>
    <col customWidth="1" min="6" max="6" width="6.71"/>
    <col customWidth="1" min="7" max="7" width="7.57"/>
    <col customWidth="1" min="8" max="8" width="3.57"/>
    <col customWidth="1" min="9" max="9" width="3.43"/>
    <col customWidth="1" min="10" max="10" width="7.29"/>
    <col customWidth="1" min="11" max="11" width="7.0"/>
    <col customWidth="1" min="12" max="12" width="12.0"/>
  </cols>
  <sheetData>
    <row r="1" ht="13.5" customHeight="1">
      <c r="A1" s="590" t="s">
        <v>11168</v>
      </c>
      <c r="B1" s="591"/>
      <c r="C1" s="592"/>
      <c r="D1" s="592"/>
      <c r="E1" s="592"/>
      <c r="F1" s="593"/>
      <c r="G1" s="592"/>
      <c r="H1" s="592"/>
      <c r="I1" s="592"/>
      <c r="J1" s="594" t="s">
        <v>9773</v>
      </c>
      <c r="L1" s="834">
        <v>45661.0</v>
      </c>
    </row>
    <row r="2" ht="13.5" customHeight="1">
      <c r="A2" s="596" t="s">
        <v>11169</v>
      </c>
      <c r="B2" s="597"/>
      <c r="C2" s="598"/>
      <c r="D2" s="598"/>
      <c r="E2" s="598"/>
      <c r="F2" s="592"/>
      <c r="G2" s="592"/>
      <c r="H2" s="592"/>
      <c r="I2" s="592"/>
      <c r="J2" s="594" t="s">
        <v>9775</v>
      </c>
      <c r="L2" s="676"/>
    </row>
    <row r="3" ht="13.5" customHeight="1">
      <c r="A3" s="599" t="s">
        <v>11170</v>
      </c>
      <c r="B3" s="600"/>
      <c r="C3" s="592"/>
      <c r="D3" s="601"/>
      <c r="E3" s="601"/>
      <c r="F3" s="601"/>
      <c r="G3" s="601"/>
      <c r="H3" s="601"/>
      <c r="I3" s="601"/>
      <c r="J3" s="697" t="s">
        <v>11171</v>
      </c>
      <c r="K3" s="1086"/>
      <c r="L3" s="1086"/>
    </row>
    <row r="4" ht="13.5" customHeight="1">
      <c r="A4" s="604"/>
      <c r="B4" s="604"/>
      <c r="C4" s="592"/>
      <c r="D4" s="601"/>
      <c r="E4" s="601"/>
      <c r="F4" s="601"/>
      <c r="G4" s="601"/>
      <c r="H4" s="601"/>
      <c r="I4" s="601"/>
      <c r="J4" s="694" t="s">
        <v>11172</v>
      </c>
      <c r="K4" s="109"/>
      <c r="L4" s="109"/>
    </row>
    <row r="5" ht="13.5" customHeight="1">
      <c r="A5" s="604"/>
      <c r="B5" s="604"/>
      <c r="C5" s="592"/>
      <c r="D5" s="601"/>
      <c r="E5" s="601"/>
      <c r="F5" s="601"/>
      <c r="G5" s="601"/>
      <c r="H5" s="601"/>
      <c r="I5" s="601"/>
      <c r="J5" s="548" t="s">
        <v>11173</v>
      </c>
      <c r="K5" s="1071"/>
      <c r="L5" s="1071"/>
    </row>
    <row r="6" ht="13.5" customHeight="1">
      <c r="A6" s="604"/>
      <c r="B6" s="604"/>
      <c r="C6" s="592"/>
      <c r="D6" s="601"/>
      <c r="E6" s="601"/>
      <c r="F6" s="601"/>
      <c r="G6" s="601"/>
      <c r="H6" s="601"/>
      <c r="I6" s="601"/>
      <c r="J6" s="607"/>
      <c r="K6" s="1072"/>
      <c r="L6" s="1072"/>
    </row>
    <row r="7" ht="13.5" customHeight="1">
      <c r="A7" s="604"/>
      <c r="B7" s="604"/>
      <c r="C7" s="592"/>
      <c r="D7" s="608" t="s">
        <v>9777</v>
      </c>
      <c r="G7" s="601"/>
      <c r="H7" s="601"/>
      <c r="I7" s="601"/>
      <c r="J7" s="609"/>
      <c r="K7" s="609"/>
      <c r="L7" s="609"/>
    </row>
    <row r="8" ht="13.5" customHeight="1">
      <c r="A8" s="17"/>
      <c r="B8" s="600"/>
      <c r="C8" s="17"/>
      <c r="D8" s="611"/>
      <c r="E8" s="611"/>
      <c r="F8" s="611"/>
      <c r="G8" s="17"/>
      <c r="H8" s="17"/>
      <c r="I8" s="17"/>
      <c r="J8" s="612"/>
      <c r="K8" s="612"/>
    </row>
    <row r="9" ht="13.5" customHeight="1">
      <c r="A9" s="934" t="s">
        <v>2727</v>
      </c>
      <c r="B9" s="614" t="s">
        <v>11174</v>
      </c>
      <c r="C9" s="17"/>
      <c r="D9" s="615"/>
      <c r="E9" s="17"/>
      <c r="F9" s="17"/>
      <c r="G9" s="17"/>
      <c r="H9" s="616"/>
      <c r="I9" s="617"/>
      <c r="J9" s="616" t="s">
        <v>9778</v>
      </c>
      <c r="K9" s="617"/>
      <c r="L9" s="154" t="s">
        <v>11175</v>
      </c>
    </row>
    <row r="10" ht="13.5" customHeight="1">
      <c r="A10" s="938" t="s">
        <v>9779</v>
      </c>
      <c r="B10" s="1087" t="s">
        <v>0</v>
      </c>
      <c r="C10" s="938" t="s">
        <v>9780</v>
      </c>
      <c r="D10" s="122"/>
      <c r="E10" s="122"/>
      <c r="F10" s="122"/>
      <c r="G10" s="122"/>
      <c r="H10" s="963" t="s">
        <v>9781</v>
      </c>
      <c r="I10" s="621"/>
      <c r="J10" s="963" t="s">
        <v>9782</v>
      </c>
      <c r="K10" s="621"/>
      <c r="L10" s="938" t="s">
        <v>2740</v>
      </c>
    </row>
    <row r="11" ht="13.5" customHeight="1">
      <c r="A11" s="629">
        <v>1.0</v>
      </c>
      <c r="B11" s="596" t="s">
        <v>2924</v>
      </c>
      <c r="C11" s="229" t="str">
        <f>IFERROR(VLOOKUP(B11,Stock,3,FALSE),"")</f>
        <v>Suzuki Ertiga 12-18 1st Gen MPV</v>
      </c>
      <c r="H11" s="624">
        <v>1.0</v>
      </c>
      <c r="I11" s="624" t="s">
        <v>2729</v>
      </c>
      <c r="J11" s="683">
        <v>1360000.0</v>
      </c>
      <c r="K11" s="621"/>
      <c r="L11" s="625">
        <f t="shared" ref="L11:L17" si="1">H11*J11</f>
        <v>1360000</v>
      </c>
    </row>
    <row r="12" ht="13.5" customHeight="1">
      <c r="A12" s="1088">
        <v>2.0</v>
      </c>
      <c r="B12" s="45" t="s">
        <v>7011</v>
      </c>
      <c r="C12" s="229" t="str">
        <f>IFERROR(VLOOKUP(B12,Stock,3,FALSE),"")</f>
        <v>Automotive Film Standard - Black 40%				</v>
      </c>
      <c r="H12" s="1083">
        <v>1.0</v>
      </c>
      <c r="I12" s="444" t="s">
        <v>109</v>
      </c>
      <c r="J12" s="627">
        <v>350000.0</v>
      </c>
      <c r="L12" s="625">
        <f t="shared" si="1"/>
        <v>350000</v>
      </c>
    </row>
    <row r="13" ht="13.5" customHeight="1">
      <c r="A13" s="623"/>
      <c r="B13" s="64"/>
      <c r="C13" s="229" t="str">
        <f>IFERROR(VLOOKUP(B13,Stock,3,FALSE),"")</f>
        <v/>
      </c>
      <c r="H13" s="444"/>
      <c r="I13" s="444"/>
      <c r="J13" s="627"/>
      <c r="L13" s="625">
        <f t="shared" si="1"/>
        <v>0</v>
      </c>
    </row>
    <row r="14" ht="13.5" customHeight="1">
      <c r="A14" s="444"/>
      <c r="B14" s="64"/>
      <c r="C14" s="229" t="str">
        <f>IFERROR(VLOOKUP(B14,Stock,3,FALSE),"")</f>
        <v/>
      </c>
      <c r="H14" s="444"/>
      <c r="I14" s="444"/>
      <c r="J14" s="627"/>
      <c r="L14" s="625">
        <f t="shared" si="1"/>
        <v>0</v>
      </c>
    </row>
    <row r="15" ht="13.5" customHeight="1">
      <c r="A15" s="444"/>
      <c r="B15" s="443"/>
      <c r="C15" s="229" t="str">
        <f>IFERROR(VLOOKUP(B15,Stock,3,FALSE),"")</f>
        <v/>
      </c>
      <c r="H15" s="444"/>
      <c r="I15" s="444"/>
      <c r="J15" s="965"/>
      <c r="L15" s="625">
        <f t="shared" si="1"/>
        <v>0</v>
      </c>
    </row>
    <row r="16" ht="13.5" customHeight="1">
      <c r="A16" s="444"/>
      <c r="B16" s="64"/>
      <c r="C16" s="229"/>
      <c r="H16" s="444"/>
      <c r="I16" s="444"/>
      <c r="J16" s="965"/>
      <c r="L16" s="625">
        <f t="shared" si="1"/>
        <v>0</v>
      </c>
    </row>
    <row r="17" ht="13.5" customHeight="1">
      <c r="A17" s="713"/>
      <c r="B17" s="630" t="s">
        <v>11176</v>
      </c>
      <c r="C17" s="617"/>
      <c r="D17" s="617"/>
      <c r="E17" s="617"/>
      <c r="F17" s="617"/>
      <c r="G17" s="617"/>
      <c r="H17" s="616"/>
      <c r="I17" s="616"/>
      <c r="J17" s="631"/>
      <c r="K17" s="617"/>
      <c r="L17" s="625">
        <f t="shared" si="1"/>
        <v>0</v>
      </c>
    </row>
    <row r="18" ht="13.5" customHeight="1">
      <c r="A18" s="1073"/>
      <c r="B18" s="621"/>
      <c r="C18" s="621"/>
      <c r="D18" s="621"/>
      <c r="E18" s="633"/>
      <c r="F18" s="633"/>
      <c r="G18" s="633"/>
      <c r="H18" s="1015"/>
      <c r="I18" s="676"/>
      <c r="J18" s="636"/>
      <c r="K18" s="637" t="s">
        <v>9786</v>
      </c>
      <c r="L18" s="1084">
        <f>SUM(L11:L17)</f>
        <v>1710000</v>
      </c>
    </row>
    <row r="19" ht="13.5" customHeight="1">
      <c r="A19" s="639"/>
      <c r="D19" s="640" t="s">
        <v>10877</v>
      </c>
      <c r="E19" s="641"/>
      <c r="F19" s="1075" t="s">
        <v>11165</v>
      </c>
      <c r="J19" s="643"/>
      <c r="K19" s="637" t="s">
        <v>9789</v>
      </c>
      <c r="L19" s="1076"/>
    </row>
    <row r="20" ht="13.5" customHeight="1">
      <c r="A20" s="592"/>
      <c r="B20" s="628"/>
      <c r="C20" s="628"/>
      <c r="D20" s="628"/>
      <c r="E20" s="1077" t="s">
        <v>1973</v>
      </c>
      <c r="J20" s="646"/>
      <c r="K20" s="647" t="s">
        <v>9790</v>
      </c>
      <c r="L20" s="1078">
        <f>L18-L19</f>
        <v>1710000</v>
      </c>
    </row>
    <row r="21" ht="13.5" customHeight="1">
      <c r="A21" s="592"/>
      <c r="B21" s="604"/>
      <c r="C21" s="604"/>
      <c r="D21" s="649"/>
      <c r="E21" s="641"/>
      <c r="J21" s="650"/>
      <c r="K21" s="637"/>
      <c r="L21" s="651"/>
    </row>
    <row r="22" ht="13.5" customHeight="1">
      <c r="A22" s="592"/>
      <c r="B22" s="604"/>
      <c r="C22" s="604"/>
      <c r="D22" s="604"/>
      <c r="E22" s="604"/>
      <c r="J22" s="653"/>
      <c r="K22" s="653" t="s">
        <v>9791</v>
      </c>
      <c r="L22" s="653"/>
    </row>
    <row r="23" ht="13.5" customHeight="1">
      <c r="A23" s="654" t="s">
        <v>9792</v>
      </c>
      <c r="B23" s="591"/>
      <c r="C23" s="591"/>
      <c r="D23" s="649" t="s">
        <v>10878</v>
      </c>
      <c r="E23" s="604"/>
      <c r="F23" s="707"/>
      <c r="G23" s="707"/>
      <c r="H23" s="707"/>
      <c r="I23" s="707"/>
      <c r="J23" s="655"/>
      <c r="K23" s="1079"/>
    </row>
    <row r="24" ht="15.75" customHeight="1">
      <c r="G24" s="548" t="s">
        <v>1973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3.5" customHeight="1">
      <c r="A31" s="590" t="s">
        <v>11168</v>
      </c>
      <c r="B31" s="591"/>
      <c r="C31" s="592"/>
      <c r="D31" s="592"/>
      <c r="E31" s="592"/>
      <c r="F31" s="593"/>
      <c r="G31" s="592"/>
      <c r="H31" s="592"/>
      <c r="I31" s="592"/>
      <c r="J31" s="594" t="s">
        <v>9773</v>
      </c>
      <c r="L31" s="834">
        <f>L1</f>
        <v>45661</v>
      </c>
    </row>
    <row r="32" ht="13.5" customHeight="1">
      <c r="A32" s="596" t="s">
        <v>11169</v>
      </c>
      <c r="B32" s="597"/>
      <c r="C32" s="598"/>
      <c r="D32" s="598"/>
      <c r="E32" s="598"/>
      <c r="F32" s="592"/>
      <c r="G32" s="592"/>
      <c r="H32" s="592"/>
      <c r="I32" s="592"/>
      <c r="J32" s="594" t="s">
        <v>9775</v>
      </c>
      <c r="L32" s="676"/>
    </row>
    <row r="33" ht="13.5" customHeight="1">
      <c r="A33" s="599" t="s">
        <v>11170</v>
      </c>
      <c r="B33" s="600"/>
      <c r="C33" s="592"/>
      <c r="D33" s="601"/>
      <c r="E33" s="601"/>
      <c r="F33" s="601"/>
      <c r="G33" s="601"/>
      <c r="H33" s="601"/>
      <c r="I33" s="601"/>
      <c r="J33" s="606" t="str">
        <f t="shared" ref="J33:J35" si="2">J3</f>
        <v>P. Yazid</v>
      </c>
      <c r="K33" s="109"/>
      <c r="L33" s="109"/>
    </row>
    <row r="34" ht="13.5" customHeight="1">
      <c r="A34" s="604"/>
      <c r="B34" s="604"/>
      <c r="C34" s="592"/>
      <c r="D34" s="601"/>
      <c r="E34" s="601"/>
      <c r="F34" s="601"/>
      <c r="G34" s="601"/>
      <c r="H34" s="601"/>
      <c r="I34" s="601"/>
      <c r="J34" s="548" t="str">
        <f t="shared" si="2"/>
        <v>+62 823-3491-8186</v>
      </c>
      <c r="K34" s="109"/>
      <c r="L34" s="109"/>
    </row>
    <row r="35" ht="13.5" customHeight="1">
      <c r="A35" s="604"/>
      <c r="B35" s="604"/>
      <c r="C35" s="592"/>
      <c r="D35" s="601"/>
      <c r="E35" s="601"/>
      <c r="F35" s="601"/>
      <c r="G35" s="601"/>
      <c r="H35" s="601"/>
      <c r="I35" s="601"/>
      <c r="J35" s="1071" t="str">
        <f t="shared" si="2"/>
        <v>Madura</v>
      </c>
    </row>
    <row r="36" ht="13.5" customHeight="1">
      <c r="A36" s="604"/>
      <c r="B36" s="604"/>
      <c r="C36" s="592"/>
      <c r="D36" s="601"/>
      <c r="E36" s="601"/>
      <c r="F36" s="601"/>
      <c r="G36" s="601"/>
      <c r="H36" s="601"/>
      <c r="I36" s="601"/>
      <c r="J36" s="607"/>
      <c r="K36" s="1072"/>
      <c r="L36" s="1072"/>
    </row>
    <row r="37" ht="13.5" customHeight="1">
      <c r="A37" s="604"/>
      <c r="B37" s="604"/>
      <c r="C37" s="592"/>
      <c r="D37" s="608" t="s">
        <v>9777</v>
      </c>
      <c r="G37" s="601"/>
      <c r="H37" s="601"/>
      <c r="I37" s="601"/>
      <c r="J37" s="609"/>
      <c r="K37" s="609"/>
      <c r="L37" s="609"/>
    </row>
    <row r="38" ht="13.5" customHeight="1">
      <c r="A38" s="17"/>
      <c r="B38" s="600"/>
      <c r="C38" s="17"/>
      <c r="D38" s="611"/>
      <c r="E38" s="611"/>
      <c r="F38" s="611"/>
      <c r="G38" s="17"/>
      <c r="H38" s="17"/>
      <c r="I38" s="17"/>
      <c r="J38" s="612"/>
      <c r="K38" s="612"/>
    </row>
    <row r="39" ht="13.5" customHeight="1">
      <c r="A39" s="934" t="s">
        <v>2727</v>
      </c>
      <c r="B39" s="614" t="str">
        <f>B9</f>
        <v>A250013</v>
      </c>
      <c r="C39" s="17"/>
      <c r="D39" s="615"/>
      <c r="E39" s="17"/>
      <c r="F39" s="17"/>
      <c r="G39" s="17"/>
      <c r="H39" s="628"/>
      <c r="J39" s="628" t="s">
        <v>9778</v>
      </c>
      <c r="L39" s="645" t="str">
        <f>L9</f>
        <v>W 1310 CL</v>
      </c>
    </row>
    <row r="40" ht="13.5" customHeight="1">
      <c r="A40" s="938" t="s">
        <v>9779</v>
      </c>
      <c r="B40" s="937" t="s">
        <v>0</v>
      </c>
      <c r="C40" s="938" t="s">
        <v>9780</v>
      </c>
      <c r="D40" s="122"/>
      <c r="E40" s="122"/>
      <c r="F40" s="122"/>
      <c r="G40" s="122"/>
      <c r="H40" s="938" t="s">
        <v>9781</v>
      </c>
      <c r="I40" s="122"/>
      <c r="J40" s="938" t="s">
        <v>9782</v>
      </c>
      <c r="K40" s="122"/>
      <c r="L40" s="938" t="s">
        <v>2740</v>
      </c>
    </row>
    <row r="41" ht="13.5" customHeight="1">
      <c r="A41" s="629">
        <v>1.0</v>
      </c>
      <c r="B41" s="45" t="str">
        <f t="shared" ref="B41:C41" si="3">B11</f>
        <v>LFW-ERTIGA12MU</v>
      </c>
      <c r="C41" s="45" t="str">
        <f t="shared" si="3"/>
        <v>Suzuki Ertiga 12-18 1st Gen MPV</v>
      </c>
      <c r="H41" s="444">
        <f t="shared" ref="H41:J41" si="4">H11</f>
        <v>1</v>
      </c>
      <c r="I41" s="444" t="str">
        <f t="shared" si="4"/>
        <v>PC</v>
      </c>
      <c r="J41" s="627">
        <f t="shared" si="4"/>
        <v>1360000</v>
      </c>
      <c r="L41" s="696">
        <f>H41*J41</f>
        <v>1360000</v>
      </c>
    </row>
    <row r="42" ht="13.5" customHeight="1">
      <c r="A42" s="1088">
        <f t="shared" ref="A42:B42" si="5">A12</f>
        <v>2</v>
      </c>
      <c r="B42" s="45" t="str">
        <f t="shared" si="5"/>
        <v>FILM-40STD</v>
      </c>
      <c r="C42" s="45" t="str">
        <f>IFERROR(VLOOKUP(B42,Stock,3,FALSE),"")</f>
        <v>Automotive Film Standard - Black 40%				</v>
      </c>
      <c r="H42" s="444">
        <f t="shared" ref="H42:J42" si="6">H12</f>
        <v>1</v>
      </c>
      <c r="I42" s="444" t="str">
        <f t="shared" si="6"/>
        <v>X</v>
      </c>
      <c r="J42" s="627">
        <f t="shared" si="6"/>
        <v>350000</v>
      </c>
      <c r="L42" s="696">
        <f t="shared" ref="L42:L50" si="9">L12</f>
        <v>350000</v>
      </c>
    </row>
    <row r="43" ht="13.5" customHeight="1">
      <c r="A43" s="629" t="str">
        <f t="shared" ref="A43:B43" si="7">A13</f>
        <v/>
      </c>
      <c r="B43" s="45" t="str">
        <f t="shared" si="7"/>
        <v/>
      </c>
      <c r="C43" s="45" t="str">
        <f>IFERROR(VLOOKUP(B43,Stock,3,FALSE),"")</f>
        <v/>
      </c>
      <c r="H43" s="444" t="str">
        <f t="shared" ref="H43:J43" si="8">H13</f>
        <v/>
      </c>
      <c r="I43" s="444" t="str">
        <f t="shared" si="8"/>
        <v/>
      </c>
      <c r="J43" s="627" t="str">
        <f t="shared" si="8"/>
        <v/>
      </c>
      <c r="L43" s="625">
        <f t="shared" si="9"/>
        <v>0</v>
      </c>
    </row>
    <row r="44" ht="13.5" customHeight="1">
      <c r="A44" s="444" t="str">
        <f t="shared" ref="A44:B44" si="10">A14</f>
        <v/>
      </c>
      <c r="B44" s="45" t="str">
        <f t="shared" si="10"/>
        <v/>
      </c>
      <c r="C44" s="45" t="str">
        <f>IFERROR(VLOOKUP(B44,Stock,3,FALSE),"")</f>
        <v/>
      </c>
      <c r="H44" s="444" t="str">
        <f t="shared" ref="H44:J44" si="11">H14</f>
        <v/>
      </c>
      <c r="I44" s="444" t="str">
        <f t="shared" si="11"/>
        <v/>
      </c>
      <c r="J44" s="627" t="str">
        <f t="shared" si="11"/>
        <v/>
      </c>
      <c r="L44" s="625">
        <f t="shared" si="9"/>
        <v>0</v>
      </c>
    </row>
    <row r="45" ht="13.5" customHeight="1">
      <c r="A45" s="444" t="str">
        <f t="shared" ref="A45:B45" si="12">A15</f>
        <v/>
      </c>
      <c r="B45" s="443" t="str">
        <f t="shared" si="12"/>
        <v/>
      </c>
      <c r="C45" s="45" t="str">
        <f>IFERROR(VLOOKUP(B45,Stock,3,FALSE),"")</f>
        <v/>
      </c>
      <c r="H45" s="444" t="str">
        <f t="shared" ref="H45:J45" si="13">H15</f>
        <v/>
      </c>
      <c r="I45" s="444" t="str">
        <f t="shared" si="13"/>
        <v/>
      </c>
      <c r="J45" s="965" t="str">
        <f t="shared" si="13"/>
        <v/>
      </c>
      <c r="L45" s="625">
        <f t="shared" si="9"/>
        <v>0</v>
      </c>
    </row>
    <row r="46" ht="13.5" customHeight="1">
      <c r="A46" s="444" t="str">
        <f t="shared" ref="A46:B46" si="14">A16</f>
        <v/>
      </c>
      <c r="B46" s="443" t="str">
        <f t="shared" si="14"/>
        <v/>
      </c>
      <c r="C46" s="45" t="str">
        <f>IFERROR(VLOOKUP(B46,Stock,3,FALSE),"")</f>
        <v/>
      </c>
      <c r="H46" s="444" t="str">
        <f t="shared" ref="H46:J46" si="15">H16</f>
        <v/>
      </c>
      <c r="I46" s="444" t="str">
        <f t="shared" si="15"/>
        <v/>
      </c>
      <c r="J46" s="965" t="str">
        <f t="shared" si="15"/>
        <v/>
      </c>
      <c r="L46" s="625">
        <f t="shared" si="9"/>
        <v>0</v>
      </c>
    </row>
    <row r="47" ht="13.5" customHeight="1">
      <c r="A47" s="713" t="str">
        <f t="shared" ref="A47:B47" si="16">A17</f>
        <v/>
      </c>
      <c r="B47" s="630" t="str">
        <f t="shared" si="16"/>
        <v>BCA 6041794388 an Alvin Wijaya</v>
      </c>
      <c r="C47" s="617"/>
      <c r="D47" s="617"/>
      <c r="E47" s="617"/>
      <c r="F47" s="617"/>
      <c r="G47" s="617"/>
      <c r="H47" s="616" t="str">
        <f t="shared" ref="H47:J47" si="17">H17</f>
        <v/>
      </c>
      <c r="I47" s="616" t="str">
        <f t="shared" si="17"/>
        <v/>
      </c>
      <c r="J47" s="631" t="str">
        <f t="shared" si="17"/>
        <v/>
      </c>
      <c r="K47" s="617"/>
      <c r="L47" s="625">
        <f t="shared" si="9"/>
        <v>0</v>
      </c>
    </row>
    <row r="48" ht="13.5" customHeight="1">
      <c r="A48" s="1073"/>
      <c r="B48" s="621"/>
      <c r="C48" s="621"/>
      <c r="D48" s="621"/>
      <c r="E48" s="633"/>
      <c r="F48" s="633"/>
      <c r="G48" s="633"/>
      <c r="H48" s="1015"/>
      <c r="I48" s="676"/>
      <c r="J48" s="636"/>
      <c r="K48" s="637" t="s">
        <v>9786</v>
      </c>
      <c r="L48" s="1084">
        <f t="shared" si="9"/>
        <v>1710000</v>
      </c>
    </row>
    <row r="49" ht="13.5" customHeight="1">
      <c r="A49" s="639"/>
      <c r="D49" s="640" t="s">
        <v>10877</v>
      </c>
      <c r="E49" s="641"/>
      <c r="F49" s="1075" t="s">
        <v>11165</v>
      </c>
      <c r="J49" s="643"/>
      <c r="K49" s="637" t="s">
        <v>9789</v>
      </c>
      <c r="L49" s="1076" t="str">
        <f t="shared" si="9"/>
        <v/>
      </c>
    </row>
    <row r="50" ht="13.5" customHeight="1">
      <c r="A50" s="592"/>
      <c r="B50" s="628"/>
      <c r="C50" s="628"/>
      <c r="D50" s="628"/>
      <c r="E50" s="1077" t="s">
        <v>1973</v>
      </c>
      <c r="J50" s="646"/>
      <c r="K50" s="647" t="s">
        <v>9790</v>
      </c>
      <c r="L50" s="1078">
        <f t="shared" si="9"/>
        <v>1710000</v>
      </c>
    </row>
    <row r="51" ht="13.5" customHeight="1">
      <c r="A51" s="592"/>
      <c r="B51" s="604"/>
      <c r="C51" s="604"/>
      <c r="D51" s="649"/>
      <c r="E51" s="641"/>
      <c r="J51" s="650"/>
      <c r="K51" s="637"/>
      <c r="L51" s="651"/>
    </row>
    <row r="52" ht="13.5" customHeight="1">
      <c r="A52" s="592"/>
      <c r="B52" s="604"/>
      <c r="C52" s="604"/>
      <c r="D52" s="604"/>
      <c r="E52" s="604"/>
      <c r="J52" s="653"/>
      <c r="K52" s="653" t="s">
        <v>9791</v>
      </c>
      <c r="L52" s="653"/>
    </row>
    <row r="53" ht="13.5" customHeight="1">
      <c r="A53" s="654" t="s">
        <v>9792</v>
      </c>
      <c r="B53" s="591"/>
      <c r="C53" s="591"/>
      <c r="D53" s="649" t="s">
        <v>10878</v>
      </c>
      <c r="E53" s="604"/>
      <c r="F53" s="707"/>
      <c r="G53" s="707"/>
      <c r="H53" s="707"/>
      <c r="I53" s="707"/>
      <c r="J53" s="655"/>
      <c r="K53" s="1089" t="str">
        <f>K23</f>
        <v/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</sheetData>
  <mergeCells count="49">
    <mergeCell ref="D7:F7"/>
    <mergeCell ref="H9:I9"/>
    <mergeCell ref="J9:K9"/>
    <mergeCell ref="C10:G10"/>
    <mergeCell ref="H10:I10"/>
    <mergeCell ref="J10:K10"/>
    <mergeCell ref="J11:K11"/>
    <mergeCell ref="C16:G16"/>
    <mergeCell ref="J16:K16"/>
    <mergeCell ref="B17:G17"/>
    <mergeCell ref="J17:K17"/>
    <mergeCell ref="A18:D18"/>
    <mergeCell ref="A19:C19"/>
    <mergeCell ref="F19:I22"/>
    <mergeCell ref="K23:L23"/>
    <mergeCell ref="C11:G11"/>
    <mergeCell ref="C12:G12"/>
    <mergeCell ref="J12:K12"/>
    <mergeCell ref="C13:G13"/>
    <mergeCell ref="J13:K13"/>
    <mergeCell ref="C14:G14"/>
    <mergeCell ref="C15:G15"/>
    <mergeCell ref="H40:I40"/>
    <mergeCell ref="J40:K40"/>
    <mergeCell ref="J14:K14"/>
    <mergeCell ref="J15:K15"/>
    <mergeCell ref="J35:L35"/>
    <mergeCell ref="D37:F37"/>
    <mergeCell ref="H39:I39"/>
    <mergeCell ref="J39:K39"/>
    <mergeCell ref="C40:G40"/>
    <mergeCell ref="C41:G41"/>
    <mergeCell ref="J41:K41"/>
    <mergeCell ref="C42:G42"/>
    <mergeCell ref="J42:K42"/>
    <mergeCell ref="C43:G43"/>
    <mergeCell ref="J43:K43"/>
    <mergeCell ref="J44:K44"/>
    <mergeCell ref="A48:D48"/>
    <mergeCell ref="A49:C49"/>
    <mergeCell ref="F49:I52"/>
    <mergeCell ref="K53:L53"/>
    <mergeCell ref="C44:G44"/>
    <mergeCell ref="C45:G45"/>
    <mergeCell ref="J45:K45"/>
    <mergeCell ref="C46:G46"/>
    <mergeCell ref="J46:K46"/>
    <mergeCell ref="B47:G47"/>
    <mergeCell ref="J47:K47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23.71"/>
    <col customWidth="1" min="3" max="3" width="8.71"/>
    <col customWidth="1" min="4" max="4" width="11.43"/>
    <col customWidth="1" min="5" max="5" width="8.71"/>
    <col customWidth="1" min="6" max="6" width="6.71"/>
    <col customWidth="1" min="7" max="7" width="7.57"/>
    <col customWidth="1" min="8" max="8" width="3.57"/>
    <col customWidth="1" min="9" max="9" width="3.43"/>
    <col customWidth="1" min="10" max="10" width="6.43"/>
    <col customWidth="1" min="11" max="11" width="9.29"/>
    <col customWidth="1" min="12" max="12" width="12.71"/>
    <col customWidth="1" min="13" max="20" width="8.71"/>
  </cols>
  <sheetData>
    <row r="1" ht="13.5" customHeight="1">
      <c r="A1" s="590" t="s">
        <v>9772</v>
      </c>
      <c r="B1" s="591"/>
      <c r="C1" s="592"/>
      <c r="D1" s="592"/>
      <c r="E1" s="592"/>
      <c r="F1" s="592"/>
      <c r="G1" s="592"/>
      <c r="H1" s="592"/>
      <c r="I1" s="821" t="s">
        <v>9773</v>
      </c>
      <c r="L1" s="1090">
        <v>46008.0</v>
      </c>
    </row>
    <row r="2" ht="13.5" customHeight="1">
      <c r="A2" s="596" t="s">
        <v>10872</v>
      </c>
      <c r="B2" s="597"/>
      <c r="C2" s="598"/>
      <c r="D2" s="598"/>
      <c r="E2" s="598"/>
      <c r="F2" s="592"/>
      <c r="G2" s="592"/>
      <c r="H2" s="592"/>
      <c r="I2" s="821" t="s">
        <v>9775</v>
      </c>
    </row>
    <row r="3" ht="13.5" customHeight="1">
      <c r="A3" s="599" t="s">
        <v>10873</v>
      </c>
      <c r="B3" s="600"/>
      <c r="C3" s="592"/>
      <c r="D3" s="601"/>
      <c r="E3" s="601"/>
      <c r="F3" s="601"/>
      <c r="G3" s="601"/>
      <c r="H3" s="601"/>
      <c r="I3" s="109" t="s">
        <v>11177</v>
      </c>
      <c r="K3" s="676"/>
      <c r="L3" s="109"/>
    </row>
    <row r="4" ht="13.5" customHeight="1">
      <c r="A4" s="604"/>
      <c r="B4" s="604"/>
      <c r="C4" s="592"/>
      <c r="D4" s="601"/>
      <c r="E4" s="601"/>
      <c r="F4" s="601"/>
      <c r="G4" s="601"/>
      <c r="H4" s="601"/>
      <c r="I4" s="1091" t="s">
        <v>11178</v>
      </c>
      <c r="L4" s="603"/>
    </row>
    <row r="5" ht="13.5" customHeight="1">
      <c r="A5" s="604"/>
      <c r="B5" s="604"/>
      <c r="C5" s="592"/>
      <c r="D5" s="601"/>
      <c r="E5" s="601"/>
      <c r="F5" s="601"/>
      <c r="G5" s="601"/>
      <c r="H5" s="601"/>
      <c r="I5" s="603" t="s">
        <v>4175</v>
      </c>
    </row>
    <row r="6" ht="13.5" customHeight="1">
      <c r="A6" s="604"/>
      <c r="B6" s="604"/>
      <c r="C6" s="592"/>
      <c r="D6" s="601"/>
      <c r="E6" s="601"/>
      <c r="F6" s="601"/>
      <c r="G6" s="601"/>
      <c r="H6" s="601"/>
    </row>
    <row r="7" ht="13.5" customHeight="1">
      <c r="A7" s="604"/>
      <c r="B7" s="604"/>
      <c r="C7" s="592"/>
      <c r="D7" s="608" t="s">
        <v>10874</v>
      </c>
      <c r="G7" s="601"/>
      <c r="H7" s="601"/>
      <c r="I7" s="601"/>
      <c r="J7" s="612"/>
      <c r="K7" s="612"/>
      <c r="L7" s="612"/>
    </row>
    <row r="8" ht="13.5" customHeight="1">
      <c r="A8" s="17"/>
      <c r="B8" s="600"/>
      <c r="C8" s="17"/>
      <c r="D8" s="611"/>
      <c r="E8" s="611"/>
      <c r="F8" s="611"/>
      <c r="G8" s="17"/>
      <c r="H8" s="17"/>
      <c r="I8" s="17"/>
      <c r="J8" s="612"/>
      <c r="K8" s="612"/>
      <c r="L8" s="612"/>
    </row>
    <row r="9" ht="13.5" customHeight="1">
      <c r="A9" s="934" t="s">
        <v>9794</v>
      </c>
      <c r="B9" s="935" t="s">
        <v>6896</v>
      </c>
      <c r="C9" s="17"/>
      <c r="D9" s="615"/>
      <c r="E9" s="17"/>
      <c r="F9" s="17"/>
      <c r="G9" s="17"/>
      <c r="H9" s="616"/>
      <c r="I9" s="617"/>
      <c r="J9" s="616"/>
      <c r="K9" s="617"/>
      <c r="L9" s="616"/>
    </row>
    <row r="10" ht="13.5" customHeight="1">
      <c r="A10" s="938" t="s">
        <v>9779</v>
      </c>
      <c r="B10" s="937" t="s">
        <v>0</v>
      </c>
      <c r="C10" s="938" t="s">
        <v>9780</v>
      </c>
      <c r="D10" s="122"/>
      <c r="E10" s="122"/>
      <c r="F10" s="122"/>
      <c r="G10" s="122"/>
      <c r="H10" s="938" t="s">
        <v>9819</v>
      </c>
      <c r="I10" s="122"/>
      <c r="J10" s="122"/>
      <c r="K10" s="122"/>
      <c r="L10" s="938" t="s">
        <v>10875</v>
      </c>
    </row>
    <row r="11" ht="13.5" customHeight="1">
      <c r="A11" s="1092">
        <v>1.0</v>
      </c>
      <c r="B11" s="45" t="s">
        <v>6078</v>
      </c>
      <c r="C11" s="940" t="str">
        <f>IFERROR(VLOOKUP(B11,Stock,3,FALSE),"")</f>
        <v>Toyota Calya / Sigra 16-</v>
      </c>
      <c r="L11" s="1093">
        <v>5.0</v>
      </c>
    </row>
    <row r="12" ht="13.5" customHeight="1">
      <c r="A12" s="629">
        <v>2.0</v>
      </c>
      <c r="B12" s="45" t="s">
        <v>6079</v>
      </c>
      <c r="C12" s="940" t="str">
        <f>IFERROR(VLOOKUP(B12,Stock,3,FALSE),"")</f>
        <v>Toyota Calya / Sigra 16-</v>
      </c>
      <c r="L12" s="1093">
        <v>5.0</v>
      </c>
    </row>
    <row r="13" ht="13.5" customHeight="1">
      <c r="A13" s="623">
        <v>3.0</v>
      </c>
      <c r="B13" s="548" t="s">
        <v>4262</v>
      </c>
      <c r="C13" s="940" t="str">
        <f>IFERROR(VLOOKUP(B13,Stock,3,FALSE),"")</f>
        <v>Toyota Avanza / Xenia 11-15 2nd Gen / 15-21 3rd Gen</v>
      </c>
      <c r="L13" s="1093">
        <v>5.0</v>
      </c>
    </row>
    <row r="14" ht="13.5" customHeight="1">
      <c r="A14" s="1092">
        <v>4.0</v>
      </c>
      <c r="B14" s="64" t="s">
        <v>6897</v>
      </c>
      <c r="C14" s="940" t="str">
        <f>IFERROR(VLOOKUP(B14,Stock,3,FALSE),"")</f>
        <v>Toyota Avanza / Xenia 11-15 2nd Gen / 15-21 3rd Gen</v>
      </c>
      <c r="L14" s="1093">
        <v>5.0</v>
      </c>
    </row>
    <row r="15" ht="13.5" customHeight="1">
      <c r="A15" s="444"/>
      <c r="B15" s="64"/>
      <c r="C15" s="940" t="str">
        <f>IFERROR(VLOOKUP(B15,Stock,3,FALSE),"")</f>
        <v/>
      </c>
      <c r="L15" s="1093"/>
    </row>
    <row r="16" ht="13.5" customHeight="1">
      <c r="A16" s="533"/>
      <c r="B16" s="1094"/>
      <c r="C16" s="948" t="str">
        <f>IFERROR(VLOOKUP(B16,Stock,3,FALSE),"")</f>
        <v/>
      </c>
      <c r="D16" s="617"/>
      <c r="E16" s="617"/>
      <c r="F16" s="617"/>
      <c r="G16" s="617"/>
      <c r="H16" s="617"/>
      <c r="I16" s="617"/>
      <c r="J16" s="617"/>
      <c r="K16" s="617"/>
      <c r="L16" s="1095"/>
    </row>
    <row r="17" ht="13.5" customHeight="1">
      <c r="A17" s="951"/>
      <c r="B17" s="443"/>
      <c r="C17" s="951"/>
      <c r="D17" s="951"/>
      <c r="E17" s="951"/>
      <c r="F17" s="951"/>
      <c r="G17" s="951"/>
      <c r="H17" s="952"/>
      <c r="I17" s="676"/>
      <c r="J17" s="636"/>
      <c r="K17" s="201" t="s">
        <v>10876</v>
      </c>
      <c r="L17" s="1096">
        <f>SUM(L10:L16)</f>
        <v>20</v>
      </c>
    </row>
    <row r="18" ht="13.5" customHeight="1">
      <c r="A18" s="676"/>
      <c r="B18" s="628"/>
      <c r="C18" s="676"/>
      <c r="D18" s="628"/>
      <c r="E18" s="628" t="s">
        <v>10877</v>
      </c>
      <c r="F18" s="609"/>
      <c r="G18" s="953"/>
      <c r="H18" s="953"/>
      <c r="I18" s="953"/>
      <c r="J18" s="1097"/>
      <c r="K18" s="621"/>
      <c r="L18" s="1098"/>
    </row>
    <row r="19" ht="13.5" customHeight="1">
      <c r="A19" s="592"/>
      <c r="B19" s="628"/>
      <c r="C19" s="628"/>
      <c r="D19" s="628"/>
      <c r="E19" s="628"/>
      <c r="F19" s="953"/>
      <c r="G19" s="953"/>
      <c r="H19" s="953"/>
      <c r="I19" s="953"/>
      <c r="J19" s="1099"/>
      <c r="L19" s="1100"/>
    </row>
    <row r="20" ht="13.5" customHeight="1">
      <c r="A20" s="592"/>
      <c r="B20" s="604"/>
      <c r="C20" s="604"/>
      <c r="D20" s="649"/>
      <c r="E20" s="649"/>
      <c r="F20" s="953"/>
      <c r="G20" s="953"/>
      <c r="H20" s="953"/>
      <c r="I20" s="953"/>
      <c r="J20" s="1101"/>
      <c r="K20" s="617"/>
      <c r="L20" s="138"/>
    </row>
    <row r="21" ht="13.5" customHeight="1">
      <c r="A21" s="592"/>
      <c r="B21" s="604"/>
      <c r="C21" s="604"/>
      <c r="D21" s="604"/>
      <c r="E21" s="955" t="s">
        <v>1973</v>
      </c>
      <c r="G21" s="953"/>
      <c r="H21" s="953"/>
      <c r="I21" s="953"/>
      <c r="J21" s="650"/>
      <c r="K21" s="653"/>
      <c r="L21" s="956"/>
    </row>
    <row r="22" ht="13.5" customHeight="1">
      <c r="A22" s="592"/>
      <c r="B22" s="957" t="s">
        <v>9792</v>
      </c>
      <c r="E22" s="604" t="s">
        <v>10878</v>
      </c>
      <c r="G22" s="707"/>
      <c r="H22" s="707"/>
      <c r="I22" s="707"/>
      <c r="J22" s="650"/>
      <c r="K22" s="653"/>
      <c r="L22" s="958"/>
    </row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>
      <c r="A30" s="590" t="s">
        <v>9772</v>
      </c>
      <c r="B30" s="591"/>
      <c r="C30" s="592"/>
      <c r="D30" s="592"/>
      <c r="E30" s="592"/>
      <c r="F30" s="592"/>
      <c r="G30" s="592"/>
      <c r="H30" s="592"/>
      <c r="I30" s="821" t="s">
        <v>9773</v>
      </c>
      <c r="L30" s="1090">
        <f>L1</f>
        <v>46008</v>
      </c>
    </row>
    <row r="31" ht="13.5" customHeight="1">
      <c r="A31" s="596" t="s">
        <v>10872</v>
      </c>
      <c r="B31" s="597"/>
      <c r="C31" s="598"/>
      <c r="D31" s="598"/>
      <c r="E31" s="598"/>
      <c r="F31" s="592"/>
      <c r="G31" s="592"/>
      <c r="H31" s="592"/>
      <c r="I31" s="821" t="s">
        <v>9775</v>
      </c>
    </row>
    <row r="32" ht="13.5" customHeight="1">
      <c r="A32" s="599" t="s">
        <v>10873</v>
      </c>
      <c r="B32" s="600"/>
      <c r="C32" s="592"/>
      <c r="D32" s="601"/>
      <c r="E32" s="601"/>
      <c r="F32" s="601"/>
      <c r="G32" s="601"/>
      <c r="H32" s="601"/>
      <c r="I32" s="109" t="str">
        <f t="shared" ref="I32:I34" si="1">I3</f>
        <v>SENTRA</v>
      </c>
      <c r="K32" s="676"/>
      <c r="L32" s="109"/>
    </row>
    <row r="33" ht="13.5" customHeight="1">
      <c r="A33" s="604"/>
      <c r="B33" s="604"/>
      <c r="C33" s="592"/>
      <c r="D33" s="601"/>
      <c r="E33" s="601"/>
      <c r="F33" s="601"/>
      <c r="G33" s="601"/>
      <c r="H33" s="601"/>
      <c r="I33" s="1086" t="str">
        <f t="shared" si="1"/>
        <v>+62 812-8800-9878		</v>
      </c>
      <c r="L33" s="603"/>
    </row>
    <row r="34" ht="13.5" customHeight="1">
      <c r="A34" s="604"/>
      <c r="B34" s="604"/>
      <c r="C34" s="592"/>
      <c r="D34" s="601"/>
      <c r="E34" s="601"/>
      <c r="F34" s="601"/>
      <c r="G34" s="601"/>
      <c r="H34" s="601"/>
      <c r="I34" s="603" t="str">
        <f t="shared" si="1"/>
        <v>Bekasi</v>
      </c>
    </row>
    <row r="35" ht="13.5" customHeight="1">
      <c r="A35" s="604"/>
      <c r="B35" s="604"/>
      <c r="C35" s="592"/>
      <c r="D35" s="601"/>
      <c r="E35" s="601"/>
      <c r="F35" s="601"/>
      <c r="G35" s="601"/>
      <c r="H35" s="601"/>
    </row>
    <row r="36" ht="13.5" customHeight="1">
      <c r="A36" s="604"/>
      <c r="B36" s="604"/>
      <c r="C36" s="592"/>
      <c r="D36" s="608" t="s">
        <v>10874</v>
      </c>
      <c r="G36" s="601"/>
      <c r="H36" s="601"/>
      <c r="I36" s="601"/>
      <c r="J36" s="612"/>
      <c r="K36" s="612"/>
      <c r="L36" s="612"/>
    </row>
    <row r="37" ht="13.5" customHeight="1">
      <c r="A37" s="17"/>
      <c r="B37" s="600"/>
      <c r="C37" s="17"/>
      <c r="D37" s="611"/>
      <c r="E37" s="611"/>
      <c r="F37" s="611"/>
      <c r="G37" s="17"/>
      <c r="H37" s="17"/>
      <c r="I37" s="17"/>
      <c r="J37" s="612"/>
      <c r="K37" s="612"/>
      <c r="L37" s="612"/>
    </row>
    <row r="38" ht="13.5" customHeight="1">
      <c r="A38" s="934" t="s">
        <v>9794</v>
      </c>
      <c r="B38" s="935" t="str">
        <f>B9</f>
        <v>SJTGRL250010</v>
      </c>
      <c r="C38" s="17"/>
      <c r="D38" s="615"/>
      <c r="E38" s="17"/>
      <c r="F38" s="17"/>
      <c r="G38" s="17"/>
      <c r="H38" s="616"/>
      <c r="I38" s="617"/>
      <c r="J38" s="616"/>
      <c r="K38" s="617"/>
      <c r="L38" s="616"/>
    </row>
    <row r="39" ht="13.5" customHeight="1">
      <c r="A39" s="938" t="s">
        <v>9779</v>
      </c>
      <c r="B39" s="937" t="s">
        <v>0</v>
      </c>
      <c r="C39" s="938" t="s">
        <v>9780</v>
      </c>
      <c r="D39" s="122"/>
      <c r="E39" s="122"/>
      <c r="F39" s="122"/>
      <c r="G39" s="122"/>
      <c r="H39" s="938" t="s">
        <v>9819</v>
      </c>
      <c r="I39" s="122"/>
      <c r="J39" s="122"/>
      <c r="K39" s="122"/>
      <c r="L39" s="938" t="s">
        <v>10875</v>
      </c>
    </row>
    <row r="40" ht="13.5" customHeight="1">
      <c r="A40" s="1092">
        <f t="shared" ref="A40:B40" si="2">A11</f>
        <v>1</v>
      </c>
      <c r="B40" s="195" t="str">
        <f t="shared" si="2"/>
        <v>SWL-SIGRA16MU</v>
      </c>
      <c r="C40" s="940" t="str">
        <f>IFERROR(VLOOKUP(B40,Stock,3,FALSE),"")</f>
        <v>Toyota Calya / Sigra 16-</v>
      </c>
      <c r="L40" s="1093">
        <f t="shared" ref="L40:L43" si="4">L11</f>
        <v>5</v>
      </c>
    </row>
    <row r="41" ht="13.5" customHeight="1">
      <c r="A41" s="629">
        <f t="shared" ref="A41:B41" si="3">A12</f>
        <v>2</v>
      </c>
      <c r="B41" s="148" t="str">
        <f t="shared" si="3"/>
        <v>SWR-SIGRA16MU</v>
      </c>
      <c r="C41" s="940" t="str">
        <f>IFERROR(VLOOKUP(B41,Stock,3,FALSE),"")</f>
        <v>Toyota Calya / Sigra 16-</v>
      </c>
      <c r="L41" s="1093">
        <f t="shared" si="4"/>
        <v>5</v>
      </c>
    </row>
    <row r="42" ht="13.5" customHeight="1">
      <c r="A42" s="623">
        <f t="shared" ref="A42:B42" si="5">A13</f>
        <v>3</v>
      </c>
      <c r="B42" s="148" t="str">
        <f t="shared" si="5"/>
        <v>SWL-AVANZA11MU</v>
      </c>
      <c r="C42" s="940" t="str">
        <f>IFERROR(VLOOKUP(B42,Stock,3,FALSE),"")</f>
        <v>Toyota Avanza / Xenia 11-15 2nd Gen / 15-21 3rd Gen</v>
      </c>
      <c r="L42" s="1093">
        <f t="shared" si="4"/>
        <v>5</v>
      </c>
    </row>
    <row r="43" ht="13.5" customHeight="1">
      <c r="A43" s="623">
        <f>A14</f>
        <v>4</v>
      </c>
      <c r="B43" s="64" t="s">
        <v>6897</v>
      </c>
      <c r="C43" s="940" t="str">
        <f>IFERROR(VLOOKUP(B43,Stock,3,FALSE),"")</f>
        <v>Toyota Avanza / Xenia 11-15 2nd Gen / 15-21 3rd Gen</v>
      </c>
      <c r="L43" s="1093">
        <f t="shared" si="4"/>
        <v>5</v>
      </c>
    </row>
    <row r="44" ht="13.5" customHeight="1">
      <c r="A44" s="444"/>
      <c r="B44" s="64"/>
      <c r="C44" s="940" t="str">
        <f>IFERROR(VLOOKUP(B44,Stock,3,FALSE),"")</f>
        <v/>
      </c>
      <c r="L44" s="1093"/>
    </row>
    <row r="45" ht="13.5" customHeight="1">
      <c r="A45" s="533"/>
      <c r="B45" s="1094"/>
      <c r="C45" s="948" t="str">
        <f>IFERROR(VLOOKUP(B45,Stock,3,FALSE),"")</f>
        <v/>
      </c>
      <c r="D45" s="617"/>
      <c r="E45" s="617"/>
      <c r="F45" s="617"/>
      <c r="G45" s="617"/>
      <c r="H45" s="617"/>
      <c r="I45" s="617"/>
      <c r="J45" s="617"/>
      <c r="K45" s="617"/>
      <c r="L45" s="1095"/>
    </row>
    <row r="46" ht="13.5" customHeight="1">
      <c r="A46" s="951"/>
      <c r="B46" s="443"/>
      <c r="C46" s="951"/>
      <c r="D46" s="951"/>
      <c r="E46" s="951"/>
      <c r="F46" s="951"/>
      <c r="G46" s="951"/>
      <c r="H46" s="952"/>
      <c r="I46" s="676"/>
      <c r="J46" s="636"/>
      <c r="K46" s="201" t="s">
        <v>10876</v>
      </c>
      <c r="L46" s="1096">
        <f>SUM(L39:L45)</f>
        <v>20</v>
      </c>
    </row>
    <row r="47" ht="13.5" customHeight="1">
      <c r="A47" s="676"/>
      <c r="B47" s="444"/>
      <c r="C47" s="676"/>
      <c r="D47" s="628"/>
      <c r="E47" s="628" t="s">
        <v>10877</v>
      </c>
      <c r="F47" s="609"/>
      <c r="G47" s="953"/>
      <c r="H47" s="953"/>
      <c r="I47" s="953"/>
      <c r="J47" s="1102" t="str">
        <f>J18</f>
        <v/>
      </c>
      <c r="K47" s="621"/>
      <c r="L47" s="1098"/>
    </row>
    <row r="48" ht="13.5" customHeight="1">
      <c r="A48" s="592"/>
      <c r="B48" s="628"/>
      <c r="C48" s="628"/>
      <c r="D48" s="628"/>
      <c r="E48" s="628"/>
      <c r="F48" s="953"/>
      <c r="G48" s="953"/>
      <c r="H48" s="953"/>
      <c r="I48" s="953"/>
      <c r="J48" s="1099"/>
      <c r="L48" s="1100"/>
    </row>
    <row r="49" ht="13.5" customHeight="1">
      <c r="A49" s="592"/>
      <c r="B49" s="604"/>
      <c r="C49" s="604"/>
      <c r="D49" s="649"/>
      <c r="E49" s="649"/>
      <c r="F49" s="953"/>
      <c r="G49" s="953"/>
      <c r="H49" s="953"/>
      <c r="I49" s="953"/>
      <c r="J49" s="1101"/>
      <c r="K49" s="617"/>
      <c r="L49" s="138"/>
    </row>
    <row r="50" ht="13.5" customHeight="1">
      <c r="A50" s="592"/>
      <c r="B50" s="604"/>
      <c r="C50" s="604"/>
      <c r="D50" s="604"/>
      <c r="E50" s="955" t="s">
        <v>1973</v>
      </c>
      <c r="G50" s="953"/>
      <c r="H50" s="953"/>
      <c r="I50" s="953"/>
      <c r="J50" s="650"/>
      <c r="K50" s="653"/>
      <c r="L50" s="956"/>
    </row>
    <row r="51" ht="13.5" customHeight="1">
      <c r="A51" s="592"/>
      <c r="B51" s="957" t="s">
        <v>9792</v>
      </c>
      <c r="E51" s="604" t="s">
        <v>10878</v>
      </c>
      <c r="G51" s="707"/>
      <c r="H51" s="707"/>
      <c r="I51" s="707"/>
      <c r="J51" s="650"/>
      <c r="K51" s="653"/>
      <c r="L51" s="958"/>
    </row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34">
    <mergeCell ref="I1:K1"/>
    <mergeCell ref="I2:L2"/>
    <mergeCell ref="I4:K4"/>
    <mergeCell ref="I5:L5"/>
    <mergeCell ref="D7:F7"/>
    <mergeCell ref="H9:I9"/>
    <mergeCell ref="J9:K9"/>
    <mergeCell ref="C10:G10"/>
    <mergeCell ref="H10:K10"/>
    <mergeCell ref="C11:K11"/>
    <mergeCell ref="C12:K12"/>
    <mergeCell ref="C13:K13"/>
    <mergeCell ref="C14:K14"/>
    <mergeCell ref="C15:K15"/>
    <mergeCell ref="C16:K16"/>
    <mergeCell ref="J18:L20"/>
    <mergeCell ref="B22:D22"/>
    <mergeCell ref="I30:K30"/>
    <mergeCell ref="I31:L31"/>
    <mergeCell ref="I33:K33"/>
    <mergeCell ref="I34:L34"/>
    <mergeCell ref="C42:K42"/>
    <mergeCell ref="C43:K43"/>
    <mergeCell ref="C44:K44"/>
    <mergeCell ref="C45:K45"/>
    <mergeCell ref="J47:L49"/>
    <mergeCell ref="B51:D51"/>
    <mergeCell ref="D36:F36"/>
    <mergeCell ref="H38:I38"/>
    <mergeCell ref="J38:K38"/>
    <mergeCell ref="C39:G39"/>
    <mergeCell ref="H39:K39"/>
    <mergeCell ref="C40:K40"/>
    <mergeCell ref="C41:K41"/>
  </mergeCells>
  <printOptions horizontalCentered="1" verticalCentered="1"/>
  <pageMargins bottom="0.0" footer="0.0" header="0.0" left="0.0" right="0.0" top="0.0"/>
  <pageSetup fitToWidth="0"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3.29"/>
    <col customWidth="1" min="3" max="3" width="8.71"/>
    <col customWidth="1" min="4" max="4" width="11.43"/>
    <col customWidth="1" min="5" max="5" width="8.71"/>
    <col customWidth="1" min="6" max="6" width="6.71"/>
    <col customWidth="1" min="7" max="7" width="7.57"/>
    <col customWidth="1" min="8" max="8" width="3.57"/>
    <col customWidth="1" min="9" max="9" width="3.43"/>
    <col customWidth="1" min="10" max="10" width="7.29"/>
    <col customWidth="1" min="11" max="11" width="7.0"/>
    <col customWidth="1" min="12" max="12" width="12.0"/>
  </cols>
  <sheetData>
    <row r="1" ht="13.5" customHeight="1">
      <c r="A1" s="590" t="s">
        <v>11179</v>
      </c>
      <c r="B1" s="591"/>
      <c r="C1" s="592"/>
      <c r="D1" s="592"/>
      <c r="E1" s="592"/>
      <c r="F1" s="593"/>
      <c r="G1" s="592"/>
      <c r="H1" s="592"/>
      <c r="I1" s="592"/>
      <c r="J1" s="594" t="s">
        <v>9773</v>
      </c>
      <c r="L1" s="834">
        <v>45809.0</v>
      </c>
    </row>
    <row r="2" ht="13.5" customHeight="1">
      <c r="A2" s="548" t="s">
        <v>11180</v>
      </c>
      <c r="B2" s="597"/>
      <c r="C2" s="598"/>
      <c r="D2" s="598"/>
      <c r="E2" s="598"/>
      <c r="F2" s="592"/>
      <c r="G2" s="592"/>
      <c r="H2" s="592"/>
      <c r="I2" s="592"/>
      <c r="J2" s="594" t="s">
        <v>9775</v>
      </c>
      <c r="L2" s="676"/>
    </row>
    <row r="3" ht="13.5" customHeight="1">
      <c r="A3" s="599" t="s">
        <v>11181</v>
      </c>
      <c r="B3" s="600"/>
      <c r="C3" s="592"/>
      <c r="D3" s="601"/>
      <c r="E3" s="601"/>
      <c r="F3" s="601"/>
      <c r="G3" s="601"/>
      <c r="H3" s="601"/>
      <c r="I3" s="601"/>
      <c r="J3" s="606" t="s">
        <v>11182</v>
      </c>
      <c r="K3" s="109"/>
      <c r="L3" s="109"/>
    </row>
    <row r="4" ht="13.5" customHeight="1">
      <c r="A4" s="604"/>
      <c r="B4" s="604"/>
      <c r="C4" s="592"/>
      <c r="D4" s="601"/>
      <c r="E4" s="601"/>
      <c r="F4" s="601"/>
      <c r="G4" s="601"/>
      <c r="H4" s="601"/>
      <c r="I4" s="601"/>
      <c r="J4" s="697" t="s">
        <v>11183</v>
      </c>
      <c r="K4" s="109"/>
      <c r="L4" s="109"/>
    </row>
    <row r="5" ht="13.5" customHeight="1">
      <c r="A5" s="604"/>
      <c r="B5" s="604"/>
      <c r="C5" s="592"/>
      <c r="D5" s="601"/>
      <c r="E5" s="601"/>
      <c r="F5" s="601"/>
      <c r="G5" s="601"/>
      <c r="H5" s="601"/>
      <c r="I5" s="601"/>
      <c r="J5" s="607" t="s">
        <v>4175</v>
      </c>
      <c r="K5" s="109"/>
      <c r="L5" s="1071"/>
    </row>
    <row r="6" ht="13.5" customHeight="1">
      <c r="A6" s="604"/>
      <c r="B6" s="604"/>
      <c r="C6" s="592"/>
      <c r="D6" s="601"/>
      <c r="E6" s="601"/>
      <c r="F6" s="601"/>
      <c r="G6" s="601"/>
      <c r="H6" s="601"/>
      <c r="I6" s="601"/>
      <c r="J6" s="607"/>
      <c r="K6" s="109"/>
      <c r="L6" s="1072"/>
    </row>
    <row r="7" ht="13.5" customHeight="1">
      <c r="A7" s="604"/>
      <c r="B7" s="604"/>
      <c r="C7" s="592"/>
      <c r="D7" s="608" t="s">
        <v>9777</v>
      </c>
      <c r="G7" s="601"/>
      <c r="H7" s="601"/>
      <c r="I7" s="601"/>
      <c r="J7" s="609"/>
      <c r="K7" s="609"/>
      <c r="L7" s="609"/>
    </row>
    <row r="8" ht="13.5" customHeight="1">
      <c r="A8" s="17"/>
      <c r="B8" s="600"/>
      <c r="C8" s="17"/>
      <c r="D8" s="611"/>
      <c r="E8" s="611"/>
      <c r="F8" s="611"/>
      <c r="G8" s="17"/>
      <c r="H8" s="17"/>
      <c r="I8" s="17"/>
      <c r="J8" s="612"/>
      <c r="K8" s="612"/>
    </row>
    <row r="9" ht="13.5" customHeight="1">
      <c r="A9" s="934" t="s">
        <v>2727</v>
      </c>
      <c r="B9" s="614" t="s">
        <v>3417</v>
      </c>
      <c r="C9" s="17"/>
      <c r="D9" s="615"/>
      <c r="E9" s="17"/>
      <c r="F9" s="17"/>
      <c r="G9" s="17"/>
      <c r="H9" s="616"/>
      <c r="I9" s="617"/>
      <c r="J9" s="616" t="s">
        <v>9778</v>
      </c>
      <c r="K9" s="617"/>
      <c r="L9" s="154"/>
    </row>
    <row r="10" ht="13.5" customHeight="1">
      <c r="A10" s="938" t="s">
        <v>9779</v>
      </c>
      <c r="B10" s="937" t="s">
        <v>0</v>
      </c>
      <c r="C10" s="938" t="s">
        <v>9780</v>
      </c>
      <c r="D10" s="122"/>
      <c r="E10" s="122"/>
      <c r="F10" s="122"/>
      <c r="G10" s="122"/>
      <c r="H10" s="963" t="s">
        <v>9781</v>
      </c>
      <c r="I10" s="621"/>
      <c r="J10" s="963" t="s">
        <v>9782</v>
      </c>
      <c r="K10" s="621"/>
      <c r="L10" s="938" t="s">
        <v>2740</v>
      </c>
    </row>
    <row r="11" ht="13.5" customHeight="1">
      <c r="A11" s="623">
        <v>1.0</v>
      </c>
      <c r="B11" s="596" t="s">
        <v>11184</v>
      </c>
      <c r="C11" s="1103" t="s">
        <v>1987</v>
      </c>
      <c r="D11" s="229"/>
      <c r="E11" s="229"/>
      <c r="F11" s="229"/>
      <c r="G11" s="229"/>
      <c r="H11" s="624">
        <v>1.0</v>
      </c>
      <c r="I11" s="624" t="s">
        <v>2729</v>
      </c>
      <c r="J11" s="683">
        <v>925000.0</v>
      </c>
      <c r="K11" s="621"/>
      <c r="L11" s="625">
        <f t="shared" ref="L11:L18" si="1">H11*J11</f>
        <v>925000</v>
      </c>
    </row>
    <row r="12" ht="13.5" customHeight="1">
      <c r="A12" s="626">
        <v>2.0</v>
      </c>
      <c r="B12" s="45" t="s">
        <v>2962</v>
      </c>
      <c r="C12" s="229" t="str">
        <f>IFERROR(VLOOKUP(B12,Stock,3,FALSE),"")</f>
        <v>Lembur</v>
      </c>
      <c r="H12" s="1083">
        <v>1.0</v>
      </c>
      <c r="I12" s="444" t="s">
        <v>109</v>
      </c>
      <c r="J12" s="627">
        <v>100000.0</v>
      </c>
      <c r="L12" s="625">
        <f t="shared" si="1"/>
        <v>100000</v>
      </c>
    </row>
    <row r="13" ht="13.5" customHeight="1">
      <c r="A13" s="623"/>
      <c r="B13" s="64"/>
      <c r="C13" s="229" t="str">
        <f>IFERROR(VLOOKUP(B13,Stock,3,FALSE),"")</f>
        <v/>
      </c>
      <c r="H13" s="444"/>
      <c r="I13" s="444"/>
      <c r="J13" s="627"/>
      <c r="L13" s="625">
        <f t="shared" si="1"/>
        <v>0</v>
      </c>
    </row>
    <row r="14" ht="13.5" customHeight="1">
      <c r="A14" s="626"/>
      <c r="B14" s="64"/>
      <c r="C14" s="229" t="str">
        <f>IFERROR(VLOOKUP(B14,Stock,3,FALSE),"")</f>
        <v/>
      </c>
      <c r="H14" s="444"/>
      <c r="I14" s="444"/>
      <c r="J14" s="627"/>
      <c r="L14" s="625">
        <f t="shared" si="1"/>
        <v>0</v>
      </c>
    </row>
    <row r="15" ht="13.5" customHeight="1">
      <c r="A15" s="626"/>
      <c r="B15" s="966"/>
      <c r="C15" s="229" t="str">
        <f>IFERROR(VLOOKUP(B15,Stock,3,FALSE),"")</f>
        <v/>
      </c>
      <c r="H15" s="444"/>
      <c r="I15" s="444"/>
      <c r="J15" s="965"/>
      <c r="L15" s="625">
        <f t="shared" si="1"/>
        <v>0</v>
      </c>
    </row>
    <row r="16" ht="13.5" customHeight="1">
      <c r="A16" s="444"/>
      <c r="B16" s="443"/>
      <c r="C16" s="229" t="str">
        <f>IFERROR(VLOOKUP(B16,Stock,3,FALSE),"")</f>
        <v/>
      </c>
      <c r="H16" s="444"/>
      <c r="I16" s="444"/>
      <c r="J16" s="965"/>
      <c r="L16" s="625">
        <f t="shared" si="1"/>
        <v>0</v>
      </c>
    </row>
    <row r="17" ht="13.5" customHeight="1">
      <c r="A17" s="444"/>
      <c r="B17" s="443"/>
      <c r="C17" s="229"/>
      <c r="D17" s="229"/>
      <c r="E17" s="229"/>
      <c r="F17" s="229"/>
      <c r="G17" s="229"/>
      <c r="H17" s="444"/>
      <c r="I17" s="444"/>
      <c r="J17" s="965"/>
      <c r="L17" s="625">
        <f t="shared" si="1"/>
        <v>0</v>
      </c>
    </row>
    <row r="18" ht="13.5" customHeight="1">
      <c r="A18" s="713"/>
      <c r="B18" s="1104" t="s">
        <v>11164</v>
      </c>
      <c r="C18" s="617"/>
      <c r="D18" s="617"/>
      <c r="E18" s="617"/>
      <c r="F18" s="617"/>
      <c r="G18" s="617"/>
      <c r="H18" s="616"/>
      <c r="I18" s="616"/>
      <c r="J18" s="631"/>
      <c r="K18" s="617"/>
      <c r="L18" s="625">
        <f t="shared" si="1"/>
        <v>0</v>
      </c>
    </row>
    <row r="19" ht="13.5" customHeight="1">
      <c r="A19" s="1073"/>
      <c r="B19" s="621"/>
      <c r="C19" s="621"/>
      <c r="D19" s="621"/>
      <c r="E19" s="633"/>
      <c r="F19" s="633"/>
      <c r="G19" s="633"/>
      <c r="H19" s="1015"/>
      <c r="I19" s="676"/>
      <c r="J19" s="636"/>
      <c r="K19" s="637" t="s">
        <v>9786</v>
      </c>
      <c r="L19" s="1084">
        <f>SUM(L11:L18)</f>
        <v>1025000</v>
      </c>
    </row>
    <row r="20" ht="13.5" customHeight="1">
      <c r="A20" s="639"/>
      <c r="D20" s="640" t="s">
        <v>10877</v>
      </c>
      <c r="E20" s="641"/>
      <c r="F20" s="1075" t="s">
        <v>11165</v>
      </c>
      <c r="J20" s="643"/>
      <c r="K20" s="201" t="s">
        <v>11166</v>
      </c>
      <c r="L20" s="1076"/>
    </row>
    <row r="21" ht="13.5" customHeight="1">
      <c r="A21" s="592"/>
      <c r="B21" s="628"/>
      <c r="C21" s="628"/>
      <c r="D21" s="628"/>
      <c r="E21" s="1077" t="s">
        <v>1973</v>
      </c>
      <c r="J21" s="646"/>
      <c r="K21" s="647" t="s">
        <v>9790</v>
      </c>
      <c r="L21" s="1078">
        <f>L19-L20</f>
        <v>1025000</v>
      </c>
    </row>
    <row r="22" ht="13.5" customHeight="1">
      <c r="A22" s="592"/>
      <c r="B22" s="604"/>
      <c r="C22" s="604"/>
      <c r="D22" s="649"/>
      <c r="E22" s="641"/>
      <c r="J22" s="650"/>
      <c r="K22" s="637"/>
      <c r="L22" s="651"/>
    </row>
    <row r="23" ht="13.5" customHeight="1">
      <c r="A23" s="592"/>
      <c r="B23" s="604"/>
      <c r="C23" s="604"/>
      <c r="D23" s="604"/>
      <c r="E23" s="604"/>
      <c r="J23" s="653"/>
      <c r="K23" s="653" t="s">
        <v>9791</v>
      </c>
      <c r="L23" s="653"/>
    </row>
    <row r="24" ht="13.5" customHeight="1">
      <c r="A24" s="654" t="s">
        <v>9792</v>
      </c>
      <c r="B24" s="591"/>
      <c r="C24" s="591"/>
      <c r="D24" s="649" t="s">
        <v>10878</v>
      </c>
      <c r="E24" s="604"/>
      <c r="F24" s="707"/>
      <c r="G24" s="707"/>
      <c r="H24" s="707"/>
      <c r="I24" s="707"/>
      <c r="J24" s="655"/>
      <c r="K24" s="1079"/>
    </row>
    <row r="25" ht="15.75" customHeight="1">
      <c r="G25" s="548" t="s">
        <v>1973</v>
      </c>
      <c r="K25" s="177"/>
    </row>
    <row r="26" ht="15.75" customHeight="1"/>
    <row r="27" ht="15.75" customHeight="1"/>
    <row r="28" ht="15.75" customHeight="1"/>
    <row r="29" ht="13.5" customHeight="1">
      <c r="A29" s="590"/>
      <c r="B29" s="591"/>
      <c r="C29" s="592"/>
      <c r="D29" s="592"/>
      <c r="E29" s="1081"/>
      <c r="F29" s="592"/>
      <c r="G29" s="592"/>
      <c r="H29" s="592"/>
      <c r="I29" s="592"/>
      <c r="J29" s="594"/>
      <c r="L29" s="834"/>
    </row>
    <row r="30" ht="13.5" customHeight="1">
      <c r="A30" s="45"/>
      <c r="B30" s="600"/>
      <c r="C30" s="592"/>
      <c r="D30" s="592"/>
      <c r="E30" s="592"/>
      <c r="F30" s="592"/>
      <c r="G30" s="592"/>
      <c r="H30" s="592"/>
      <c r="I30" s="592"/>
      <c r="J30" s="594"/>
      <c r="L30" s="676"/>
    </row>
    <row r="31" ht="13.5" customHeight="1">
      <c r="A31" s="599"/>
      <c r="B31" s="600"/>
      <c r="C31" s="592"/>
      <c r="D31" s="601"/>
      <c r="E31" s="601"/>
      <c r="F31" s="601"/>
      <c r="G31" s="601"/>
      <c r="H31" s="601"/>
      <c r="I31" s="601"/>
      <c r="J31" s="606"/>
      <c r="K31" s="109"/>
      <c r="L31" s="109"/>
    </row>
    <row r="32" ht="13.5" customHeight="1">
      <c r="A32" s="604"/>
      <c r="B32" s="604"/>
      <c r="C32" s="592"/>
      <c r="D32" s="601"/>
      <c r="E32" s="601"/>
      <c r="F32" s="601"/>
      <c r="G32" s="601"/>
      <c r="H32" s="601"/>
      <c r="I32" s="601"/>
      <c r="K32" s="109"/>
      <c r="L32" s="109"/>
    </row>
    <row r="33" ht="13.5" customHeight="1">
      <c r="A33" s="604"/>
      <c r="B33" s="604"/>
      <c r="C33" s="592"/>
      <c r="D33" s="601"/>
      <c r="E33" s="601"/>
      <c r="F33" s="601"/>
      <c r="G33" s="601"/>
      <c r="H33" s="601"/>
      <c r="I33" s="601"/>
      <c r="J33" s="1071"/>
    </row>
    <row r="34" ht="13.5" customHeight="1">
      <c r="A34" s="604"/>
      <c r="B34" s="604"/>
      <c r="C34" s="592"/>
      <c r="D34" s="601"/>
      <c r="E34" s="601"/>
      <c r="F34" s="601"/>
      <c r="G34" s="601"/>
      <c r="H34" s="601"/>
      <c r="I34" s="601"/>
      <c r="J34" s="607"/>
      <c r="K34" s="1072"/>
      <c r="L34" s="1072"/>
    </row>
    <row r="35" ht="13.5" customHeight="1">
      <c r="A35" s="604"/>
      <c r="B35" s="604"/>
      <c r="C35" s="592"/>
      <c r="D35" s="608"/>
      <c r="G35" s="601"/>
      <c r="H35" s="601"/>
      <c r="I35" s="601"/>
      <c r="J35" s="609"/>
      <c r="K35" s="609"/>
      <c r="L35" s="609"/>
    </row>
    <row r="36" ht="13.5" customHeight="1">
      <c r="A36" s="17"/>
      <c r="B36" s="600"/>
      <c r="C36" s="17"/>
      <c r="D36" s="611"/>
      <c r="E36" s="611"/>
      <c r="F36" s="611"/>
      <c r="G36" s="17"/>
      <c r="H36" s="17"/>
      <c r="I36" s="17"/>
      <c r="J36" s="612"/>
      <c r="K36" s="612"/>
    </row>
    <row r="37" ht="13.5" customHeight="1">
      <c r="A37" s="1105"/>
      <c r="B37" s="614"/>
      <c r="C37" s="17"/>
      <c r="D37" s="615"/>
      <c r="E37" s="17"/>
      <c r="F37" s="17"/>
      <c r="G37" s="17"/>
      <c r="H37" s="628"/>
      <c r="J37" s="628"/>
      <c r="L37" s="645"/>
    </row>
    <row r="38" ht="13.5" customHeight="1">
      <c r="A38" s="628"/>
      <c r="B38" s="1106"/>
      <c r="C38" s="628"/>
      <c r="H38" s="628"/>
      <c r="J38" s="628"/>
      <c r="L38" s="628"/>
    </row>
    <row r="39" ht="13.5" customHeight="1">
      <c r="A39" s="623"/>
      <c r="B39" s="45"/>
      <c r="C39" s="229"/>
      <c r="H39" s="444"/>
      <c r="I39" s="444"/>
      <c r="J39" s="627"/>
      <c r="L39" s="625"/>
    </row>
    <row r="40" ht="13.5" customHeight="1">
      <c r="A40" s="626"/>
      <c r="B40" s="45"/>
      <c r="C40" s="1082"/>
      <c r="H40" s="1083"/>
      <c r="I40" s="444"/>
      <c r="J40" s="627"/>
      <c r="L40" s="625"/>
    </row>
    <row r="41" ht="13.5" customHeight="1">
      <c r="A41" s="623"/>
      <c r="B41" s="45"/>
      <c r="C41" s="1082"/>
      <c r="H41" s="444"/>
      <c r="I41" s="444"/>
      <c r="J41" s="627"/>
      <c r="L41" s="625"/>
    </row>
    <row r="42" ht="13.5" customHeight="1">
      <c r="A42" s="626"/>
      <c r="B42" s="64"/>
      <c r="C42" s="1082"/>
      <c r="H42" s="444"/>
      <c r="I42" s="444"/>
      <c r="J42" s="627"/>
      <c r="L42" s="625"/>
    </row>
    <row r="43" ht="13.5" customHeight="1">
      <c r="A43" s="626"/>
      <c r="B43" s="45"/>
      <c r="C43" s="1082"/>
      <c r="H43" s="444"/>
      <c r="I43" s="444"/>
      <c r="J43" s="965"/>
      <c r="L43" s="625"/>
    </row>
    <row r="44" ht="13.5" customHeight="1">
      <c r="A44" s="444"/>
      <c r="B44" s="443"/>
      <c r="C44" s="45"/>
      <c r="H44" s="444"/>
      <c r="I44" s="444"/>
      <c r="J44" s="965"/>
      <c r="L44" s="625"/>
    </row>
    <row r="45" ht="13.5" customHeight="1">
      <c r="A45" s="444"/>
      <c r="B45" s="443"/>
      <c r="C45" s="45"/>
      <c r="D45" s="45"/>
      <c r="E45" s="45"/>
      <c r="F45" s="45"/>
      <c r="G45" s="45"/>
      <c r="H45" s="444"/>
      <c r="I45" s="444"/>
      <c r="J45" s="965"/>
      <c r="K45" s="965"/>
      <c r="L45" s="625"/>
    </row>
    <row r="46" ht="13.5" customHeight="1">
      <c r="A46" s="713"/>
      <c r="B46" s="443"/>
      <c r="H46" s="628"/>
      <c r="I46" s="628"/>
      <c r="J46" s="967"/>
      <c r="L46" s="625"/>
    </row>
    <row r="47" ht="13.5" customHeight="1">
      <c r="A47" s="1107"/>
      <c r="E47" s="951"/>
      <c r="F47" s="951"/>
      <c r="G47" s="951"/>
      <c r="H47" s="1015"/>
      <c r="I47" s="676"/>
      <c r="J47" s="636"/>
      <c r="K47" s="637"/>
      <c r="L47" s="1108"/>
    </row>
    <row r="48" ht="13.5" customHeight="1">
      <c r="A48" s="639"/>
      <c r="D48" s="640"/>
      <c r="E48" s="641"/>
      <c r="F48" s="1075"/>
      <c r="J48" s="643"/>
      <c r="K48" s="637"/>
      <c r="L48" s="1109"/>
    </row>
    <row r="49" ht="13.5" customHeight="1">
      <c r="A49" s="592"/>
      <c r="B49" s="628"/>
      <c r="C49" s="628"/>
      <c r="D49" s="628"/>
      <c r="E49" s="1077"/>
      <c r="J49" s="646"/>
      <c r="K49" s="647"/>
      <c r="L49" s="1110"/>
    </row>
    <row r="50" ht="13.5" customHeight="1">
      <c r="A50" s="592"/>
      <c r="B50" s="604"/>
      <c r="C50" s="604"/>
      <c r="D50" s="649"/>
      <c r="E50" s="641"/>
      <c r="J50" s="650"/>
      <c r="K50" s="637"/>
      <c r="L50" s="651"/>
    </row>
    <row r="51" ht="13.5" customHeight="1">
      <c r="A51" s="592"/>
      <c r="B51" s="604"/>
      <c r="C51" s="604"/>
      <c r="D51" s="604"/>
      <c r="E51" s="604"/>
      <c r="J51" s="653"/>
      <c r="K51" s="653"/>
      <c r="L51" s="653"/>
    </row>
    <row r="52" ht="13.5" customHeight="1">
      <c r="A52" s="591"/>
      <c r="B52" s="591"/>
      <c r="C52" s="591"/>
      <c r="D52" s="649"/>
      <c r="E52" s="604"/>
      <c r="F52" s="707"/>
      <c r="G52" s="707"/>
      <c r="H52" s="707"/>
      <c r="I52" s="707"/>
      <c r="J52" s="655"/>
      <c r="K52" s="656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</sheetData>
  <mergeCells count="49">
    <mergeCell ref="C39:G39"/>
    <mergeCell ref="J39:K39"/>
    <mergeCell ref="C40:G40"/>
    <mergeCell ref="J40:K40"/>
    <mergeCell ref="C41:G41"/>
    <mergeCell ref="J41:K41"/>
    <mergeCell ref="J42:K42"/>
    <mergeCell ref="C42:G42"/>
    <mergeCell ref="C43:G43"/>
    <mergeCell ref="J43:K43"/>
    <mergeCell ref="C44:G44"/>
    <mergeCell ref="J44:K44"/>
    <mergeCell ref="B46:G46"/>
    <mergeCell ref="J46:K46"/>
    <mergeCell ref="J11:K11"/>
    <mergeCell ref="J12:K12"/>
    <mergeCell ref="D7:F7"/>
    <mergeCell ref="H9:I9"/>
    <mergeCell ref="J9:K9"/>
    <mergeCell ref="C10:G10"/>
    <mergeCell ref="H10:I10"/>
    <mergeCell ref="J10:K10"/>
    <mergeCell ref="C12:G12"/>
    <mergeCell ref="B18:G18"/>
    <mergeCell ref="J18:K18"/>
    <mergeCell ref="A19:D19"/>
    <mergeCell ref="A20:C20"/>
    <mergeCell ref="F20:I23"/>
    <mergeCell ref="K24:L24"/>
    <mergeCell ref="C13:G13"/>
    <mergeCell ref="J13:K13"/>
    <mergeCell ref="C14:G14"/>
    <mergeCell ref="J14:K14"/>
    <mergeCell ref="C15:G15"/>
    <mergeCell ref="J15:K15"/>
    <mergeCell ref="C16:G16"/>
    <mergeCell ref="H38:I38"/>
    <mergeCell ref="J38:K38"/>
    <mergeCell ref="J16:K16"/>
    <mergeCell ref="J17:K17"/>
    <mergeCell ref="J33:L33"/>
    <mergeCell ref="D35:F35"/>
    <mergeCell ref="H37:I37"/>
    <mergeCell ref="J37:K37"/>
    <mergeCell ref="C38:G38"/>
    <mergeCell ref="A47:D47"/>
    <mergeCell ref="A48:C48"/>
    <mergeCell ref="F48:I51"/>
    <mergeCell ref="K52:L52"/>
  </mergeCells>
  <printOptions horizontalCentered="1"/>
  <pageMargins bottom="0.75" footer="0.0" header="0.0" left="0.25" right="0.25" top="0.75"/>
  <pageSetup fitToHeight="0"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9.57"/>
    <col customWidth="1" min="3" max="3" width="8.71"/>
    <col customWidth="1" min="4" max="4" width="11.43"/>
    <col customWidth="1" min="5" max="5" width="8.71"/>
    <col customWidth="1" min="6" max="6" width="6.71"/>
    <col customWidth="1" min="7" max="7" width="7.57"/>
    <col customWidth="1" min="8" max="8" width="3.57"/>
    <col customWidth="1" min="9" max="9" width="3.43"/>
    <col customWidth="1" min="10" max="11" width="6.43"/>
    <col customWidth="1" min="12" max="12" width="12.0"/>
    <col customWidth="1" min="13" max="20" width="8.71"/>
  </cols>
  <sheetData>
    <row r="1" ht="13.5" customHeight="1">
      <c r="A1" s="601"/>
      <c r="B1" s="591"/>
      <c r="C1" s="592"/>
      <c r="D1" s="592"/>
      <c r="E1" s="592"/>
      <c r="F1" s="592"/>
      <c r="G1" s="592"/>
      <c r="H1" s="592"/>
      <c r="I1" s="592"/>
      <c r="J1" s="594" t="s">
        <v>9773</v>
      </c>
      <c r="L1" s="595">
        <v>46052.0</v>
      </c>
    </row>
    <row r="2" ht="13.5" customHeight="1">
      <c r="A2" s="17"/>
      <c r="B2" s="600"/>
      <c r="C2" s="592"/>
      <c r="D2" s="592"/>
      <c r="E2" s="592"/>
      <c r="F2" s="592"/>
      <c r="G2" s="592"/>
      <c r="H2" s="592"/>
      <c r="I2" s="592"/>
      <c r="J2" s="594" t="s">
        <v>9775</v>
      </c>
      <c r="L2" s="676"/>
    </row>
    <row r="3" ht="13.5" customHeight="1">
      <c r="A3" s="600"/>
      <c r="B3" s="600"/>
      <c r="C3" s="592"/>
      <c r="D3" s="601"/>
      <c r="E3" s="601"/>
      <c r="F3" s="601"/>
      <c r="G3" s="601"/>
      <c r="H3" s="601"/>
      <c r="I3" s="601"/>
      <c r="J3" s="1086"/>
    </row>
    <row r="4" ht="13.5" customHeight="1">
      <c r="A4" s="604"/>
      <c r="B4" s="604"/>
      <c r="C4" s="592"/>
      <c r="D4" s="601"/>
      <c r="E4" s="601"/>
      <c r="F4" s="601"/>
      <c r="G4" s="601"/>
      <c r="H4" s="601"/>
      <c r="I4" s="601"/>
      <c r="J4" s="677"/>
      <c r="K4" s="1086"/>
      <c r="L4" s="1086"/>
    </row>
    <row r="5" ht="13.5" customHeight="1">
      <c r="A5" s="604"/>
      <c r="B5" s="604"/>
      <c r="C5" s="592"/>
      <c r="D5" s="601"/>
      <c r="E5" s="601"/>
      <c r="F5" s="601"/>
      <c r="G5" s="601"/>
      <c r="H5" s="601"/>
      <c r="I5" s="601"/>
      <c r="J5" s="1111"/>
      <c r="K5" s="960"/>
      <c r="L5" s="960"/>
    </row>
    <row r="6" ht="13.5" customHeight="1">
      <c r="A6" s="604"/>
      <c r="B6" s="604"/>
      <c r="C6" s="592"/>
      <c r="D6" s="601"/>
      <c r="E6" s="601"/>
      <c r="F6" s="601"/>
      <c r="G6" s="601"/>
      <c r="H6" s="601"/>
      <c r="I6" s="601"/>
      <c r="J6" s="606"/>
    </row>
    <row r="7" ht="13.5" customHeight="1">
      <c r="A7" s="604"/>
      <c r="B7" s="604"/>
      <c r="C7" s="592"/>
      <c r="D7" s="608" t="s">
        <v>10874</v>
      </c>
      <c r="G7" s="601"/>
      <c r="H7" s="601"/>
      <c r="I7" s="601"/>
      <c r="J7" s="612"/>
      <c r="K7" s="612"/>
      <c r="L7" s="612"/>
    </row>
    <row r="8" ht="13.5" customHeight="1">
      <c r="A8" s="17"/>
      <c r="B8" s="600"/>
      <c r="C8" s="17"/>
      <c r="D8" s="611"/>
      <c r="E8" s="611"/>
      <c r="F8" s="611"/>
      <c r="G8" s="17"/>
      <c r="H8" s="17"/>
      <c r="I8" s="17"/>
      <c r="J8" s="612"/>
      <c r="K8" s="612"/>
      <c r="L8" s="612"/>
    </row>
    <row r="9" ht="13.5" customHeight="1">
      <c r="A9" s="934" t="s">
        <v>11185</v>
      </c>
      <c r="B9" s="935" t="s">
        <v>7586</v>
      </c>
      <c r="C9" s="17"/>
      <c r="D9" s="615"/>
      <c r="E9" s="17"/>
      <c r="F9" s="17"/>
      <c r="G9" s="17"/>
      <c r="H9" s="616"/>
      <c r="I9" s="617"/>
      <c r="J9" s="616"/>
      <c r="K9" s="617"/>
      <c r="L9" s="616"/>
    </row>
    <row r="10" ht="13.5" customHeight="1">
      <c r="A10" s="938" t="s">
        <v>9779</v>
      </c>
      <c r="B10" s="937" t="s">
        <v>0</v>
      </c>
      <c r="C10" s="938" t="s">
        <v>9780</v>
      </c>
      <c r="D10" s="122"/>
      <c r="E10" s="122"/>
      <c r="F10" s="122"/>
      <c r="G10" s="122"/>
      <c r="H10" s="122"/>
      <c r="I10" s="122"/>
      <c r="J10" s="122"/>
      <c r="K10" s="122"/>
      <c r="L10" s="938" t="s">
        <v>10875</v>
      </c>
    </row>
    <row r="11" ht="13.5" customHeight="1">
      <c r="A11" s="1092"/>
      <c r="B11" s="45"/>
      <c r="C11" s="1112" t="str">
        <f>IFERROR(VLOOKUP(B11,Stock,3,FALSE),"")</f>
        <v/>
      </c>
      <c r="D11" s="621"/>
      <c r="E11" s="621"/>
      <c r="F11" s="621"/>
      <c r="G11" s="621"/>
      <c r="H11" s="621"/>
      <c r="I11" s="621"/>
      <c r="J11" s="621"/>
      <c r="K11" s="621"/>
      <c r="L11" s="627"/>
    </row>
    <row r="12" ht="13.5" customHeight="1">
      <c r="A12" s="629"/>
      <c r="B12" s="45"/>
      <c r="C12" s="940" t="str">
        <f>IFERROR(VLOOKUP(B12,Stock,3,FALSE),"")</f>
        <v/>
      </c>
      <c r="L12" s="696"/>
      <c r="N12" s="17"/>
      <c r="P12" s="544"/>
      <c r="Q12" s="544"/>
      <c r="R12" s="544"/>
      <c r="S12" s="544"/>
      <c r="T12" s="544"/>
    </row>
    <row r="13" ht="13.5" customHeight="1">
      <c r="A13" s="628"/>
      <c r="B13" s="17"/>
      <c r="C13" s="940" t="str">
        <f>IFERROR(VLOOKUP(B13,Stock,3,FALSE),"")</f>
        <v/>
      </c>
      <c r="L13" s="625"/>
    </row>
    <row r="14" ht="13.5" customHeight="1">
      <c r="A14" s="628"/>
      <c r="B14" s="1113"/>
      <c r="C14" s="940" t="str">
        <f>IFERROR(VLOOKUP(B14,Stock,3,FALSE),"")</f>
        <v/>
      </c>
      <c r="L14" s="625"/>
    </row>
    <row r="15" ht="13.5" customHeight="1">
      <c r="A15" s="628"/>
      <c r="B15" s="637"/>
      <c r="C15" s="940" t="str">
        <f>IFERROR(VLOOKUP(B15,Stock,3,FALSE),"")</f>
        <v/>
      </c>
      <c r="L15" s="625"/>
    </row>
    <row r="16" ht="13.5" customHeight="1">
      <c r="A16" s="702"/>
      <c r="B16" s="17"/>
      <c r="C16" s="940" t="str">
        <f>IFERROR(VLOOKUP(B16,Stock,3,FALSE),"")</f>
        <v/>
      </c>
      <c r="L16" s="625"/>
    </row>
    <row r="17" ht="13.5" customHeight="1">
      <c r="A17" s="702"/>
      <c r="B17" s="17"/>
      <c r="C17" s="940" t="str">
        <f>IFERROR(VLOOKUP(B17,Stock,3,FALSE),"")</f>
        <v/>
      </c>
      <c r="L17" s="625"/>
    </row>
    <row r="18" ht="13.5" customHeight="1">
      <c r="A18" s="702"/>
      <c r="B18" s="17"/>
      <c r="C18" s="940" t="str">
        <f>IFERROR(VLOOKUP(B18,Stock,3,FALSE),"")</f>
        <v/>
      </c>
      <c r="L18" s="625"/>
    </row>
    <row r="19" ht="13.5" customHeight="1">
      <c r="A19" s="702"/>
      <c r="B19" s="17"/>
      <c r="C19" s="940" t="str">
        <f>IFERROR(VLOOKUP(B19,Stock,3,FALSE),"")</f>
        <v/>
      </c>
      <c r="L19" s="625"/>
    </row>
    <row r="20" ht="13.5" customHeight="1">
      <c r="A20" s="702"/>
      <c r="B20" s="17"/>
      <c r="C20" s="940" t="str">
        <f>IFERROR(VLOOKUP(B20,Stock,3,FALSE),"")</f>
        <v/>
      </c>
      <c r="L20" s="625"/>
    </row>
    <row r="21" ht="13.5" customHeight="1">
      <c r="A21" s="702"/>
      <c r="B21" s="17"/>
      <c r="C21" s="948" t="str">
        <f>IFERROR(VLOOKUP(B21,Stock,3,FALSE),"")</f>
        <v/>
      </c>
      <c r="D21" s="617"/>
      <c r="E21" s="617"/>
      <c r="F21" s="617"/>
      <c r="G21" s="617"/>
      <c r="H21" s="617"/>
      <c r="I21" s="617"/>
      <c r="J21" s="617"/>
      <c r="K21" s="617"/>
      <c r="L21" s="625"/>
    </row>
    <row r="22" ht="13.5" customHeight="1">
      <c r="A22" s="633"/>
      <c r="B22" s="633"/>
      <c r="C22" s="633"/>
      <c r="D22" s="633"/>
      <c r="E22" s="633"/>
      <c r="F22" s="633"/>
      <c r="G22" s="633"/>
      <c r="H22" s="969"/>
      <c r="I22" s="635"/>
      <c r="J22" s="636"/>
      <c r="K22" s="1114"/>
      <c r="L22" s="1115"/>
    </row>
    <row r="23" ht="13.5" customHeight="1">
      <c r="A23" s="676"/>
      <c r="B23" s="628"/>
      <c r="C23" s="676"/>
      <c r="D23" s="628"/>
      <c r="E23" s="628" t="s">
        <v>10877</v>
      </c>
      <c r="F23" s="953"/>
      <c r="G23" s="953"/>
      <c r="H23" s="953"/>
      <c r="I23" s="953"/>
      <c r="J23" s="1116" t="s">
        <v>11186</v>
      </c>
      <c r="K23" s="621"/>
      <c r="L23" s="1098"/>
    </row>
    <row r="24" ht="13.5" customHeight="1">
      <c r="A24" s="592"/>
      <c r="B24" s="628"/>
      <c r="C24" s="628"/>
      <c r="D24" s="628"/>
      <c r="E24" s="641"/>
      <c r="F24" s="953"/>
      <c r="G24" s="953"/>
      <c r="H24" s="953"/>
      <c r="I24" s="953"/>
      <c r="J24" s="1101"/>
      <c r="K24" s="617"/>
      <c r="L24" s="138"/>
    </row>
    <row r="25" ht="13.5" customHeight="1">
      <c r="A25" s="592"/>
      <c r="B25" s="604"/>
      <c r="C25" s="604"/>
      <c r="D25" s="649"/>
      <c r="E25" s="641"/>
      <c r="F25" s="953"/>
      <c r="G25" s="953"/>
      <c r="H25" s="953"/>
      <c r="I25" s="953"/>
      <c r="J25" s="650"/>
      <c r="K25" s="637"/>
      <c r="L25" s="651"/>
    </row>
    <row r="26" ht="13.5" customHeight="1">
      <c r="A26" s="592"/>
      <c r="B26" s="604"/>
      <c r="C26" s="604"/>
      <c r="D26" s="604"/>
      <c r="E26" s="641"/>
      <c r="F26" s="953"/>
      <c r="G26" s="953"/>
      <c r="H26" s="953"/>
      <c r="I26" s="953"/>
      <c r="J26" s="650"/>
      <c r="K26" s="653"/>
      <c r="L26" s="956"/>
    </row>
    <row r="27" ht="13.5" customHeight="1">
      <c r="A27" s="592"/>
      <c r="B27" s="604"/>
      <c r="C27" s="604"/>
      <c r="D27" s="604"/>
      <c r="E27" s="604" t="s">
        <v>10878</v>
      </c>
      <c r="F27" s="707"/>
      <c r="G27" s="707"/>
      <c r="H27" s="707"/>
      <c r="I27" s="707"/>
      <c r="J27" s="650"/>
      <c r="K27" s="653"/>
      <c r="L27" s="958"/>
    </row>
    <row r="28" ht="13.5" customHeight="1">
      <c r="B28" s="657"/>
      <c r="H28" s="658"/>
      <c r="I28" s="658"/>
      <c r="J28" s="650"/>
      <c r="K28" s="646"/>
      <c r="L28" s="646"/>
    </row>
    <row r="29" ht="13.5" customHeight="1">
      <c r="B29" s="657"/>
      <c r="L29" s="971"/>
    </row>
    <row r="30" ht="13.5" customHeight="1">
      <c r="B30" s="657"/>
      <c r="L30" s="972"/>
    </row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8">
    <mergeCell ref="J3:L3"/>
    <mergeCell ref="J6:L6"/>
    <mergeCell ref="D7:F7"/>
    <mergeCell ref="H9:I9"/>
    <mergeCell ref="J9:K9"/>
    <mergeCell ref="C10:K10"/>
    <mergeCell ref="C11:K11"/>
    <mergeCell ref="C19:K19"/>
    <mergeCell ref="C20:K20"/>
    <mergeCell ref="C21:K21"/>
    <mergeCell ref="J23:L24"/>
    <mergeCell ref="C12:K12"/>
    <mergeCell ref="C13:K13"/>
    <mergeCell ref="C14:K14"/>
    <mergeCell ref="C15:K15"/>
    <mergeCell ref="C16:K16"/>
    <mergeCell ref="C17:K17"/>
    <mergeCell ref="C18:K18"/>
  </mergeCells>
  <printOptions/>
  <pageMargins bottom="0.75" footer="0.0" header="0.0" left="0.7" right="0.7" top="0.75"/>
  <pageSetup paperSize="9" scale="85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1.0"/>
    <col customWidth="1" min="3" max="3" width="8.71"/>
    <col customWidth="1" min="4" max="4" width="11.43"/>
    <col customWidth="1" min="5" max="5" width="8.71"/>
    <col customWidth="1" min="6" max="6" width="6.71"/>
    <col customWidth="1" min="7" max="7" width="7.57"/>
    <col customWidth="1" min="8" max="8" width="3.57"/>
    <col customWidth="1" min="9" max="9" width="3.43"/>
    <col customWidth="1" min="10" max="10" width="6.43"/>
    <col customWidth="1" min="11" max="11" width="7.0"/>
    <col customWidth="1" min="12" max="12" width="12.0"/>
  </cols>
  <sheetData>
    <row r="1" ht="13.5" customHeight="1">
      <c r="A1" s="590" t="s">
        <v>11168</v>
      </c>
      <c r="B1" s="591"/>
      <c r="C1" s="592"/>
      <c r="D1" s="592"/>
      <c r="E1" s="592"/>
      <c r="F1" s="593"/>
      <c r="G1" s="592"/>
      <c r="H1" s="592"/>
      <c r="I1" s="592"/>
      <c r="J1" s="594" t="s">
        <v>9773</v>
      </c>
      <c r="L1" s="834">
        <v>45448.0</v>
      </c>
    </row>
    <row r="2" ht="13.5" customHeight="1">
      <c r="A2" s="596" t="s">
        <v>11169</v>
      </c>
      <c r="B2" s="597"/>
      <c r="C2" s="598"/>
      <c r="D2" s="598"/>
      <c r="E2" s="598"/>
      <c r="F2" s="592"/>
      <c r="G2" s="592"/>
      <c r="H2" s="592"/>
      <c r="I2" s="592"/>
      <c r="J2" s="594" t="s">
        <v>9775</v>
      </c>
      <c r="L2" s="676"/>
    </row>
    <row r="3" ht="13.5" customHeight="1">
      <c r="A3" s="599" t="s">
        <v>11170</v>
      </c>
      <c r="B3" s="600"/>
      <c r="C3" s="592"/>
      <c r="D3" s="601"/>
      <c r="E3" s="601"/>
      <c r="F3" s="601"/>
      <c r="G3" s="601"/>
      <c r="H3" s="601"/>
      <c r="I3" s="601"/>
      <c r="J3" s="606" t="s">
        <v>11187</v>
      </c>
      <c r="K3" s="109"/>
      <c r="L3" s="109"/>
    </row>
    <row r="4" ht="13.5" customHeight="1">
      <c r="A4" s="604"/>
      <c r="B4" s="604"/>
      <c r="C4" s="592"/>
      <c r="D4" s="601"/>
      <c r="E4" s="601"/>
      <c r="F4" s="601"/>
      <c r="G4" s="601"/>
      <c r="H4" s="601"/>
      <c r="I4" s="601"/>
      <c r="J4" s="694" t="s">
        <v>11188</v>
      </c>
      <c r="K4" s="109"/>
      <c r="L4" s="109"/>
    </row>
    <row r="5" ht="13.5" customHeight="1">
      <c r="A5" s="604"/>
      <c r="B5" s="604"/>
      <c r="C5" s="592"/>
      <c r="D5" s="601"/>
      <c r="E5" s="601"/>
      <c r="F5" s="601"/>
      <c r="G5" s="601"/>
      <c r="H5" s="601"/>
      <c r="I5" s="601"/>
      <c r="J5" s="1071" t="s">
        <v>4376</v>
      </c>
    </row>
    <row r="6" ht="13.5" customHeight="1">
      <c r="A6" s="604"/>
      <c r="B6" s="604"/>
      <c r="C6" s="592"/>
      <c r="D6" s="601"/>
      <c r="E6" s="601"/>
      <c r="F6" s="601"/>
      <c r="G6" s="601"/>
      <c r="H6" s="601"/>
      <c r="I6" s="601"/>
      <c r="J6" s="607"/>
      <c r="K6" s="1072"/>
      <c r="L6" s="1072"/>
    </row>
    <row r="7" ht="13.5" customHeight="1">
      <c r="A7" s="604"/>
      <c r="B7" s="604"/>
      <c r="C7" s="592"/>
      <c r="D7" s="701" t="s">
        <v>11189</v>
      </c>
      <c r="G7" s="601"/>
      <c r="H7" s="601"/>
      <c r="I7" s="601"/>
      <c r="J7" s="609"/>
      <c r="K7" s="609"/>
      <c r="L7" s="609"/>
    </row>
    <row r="8" ht="13.5" customHeight="1">
      <c r="A8" s="17"/>
      <c r="B8" s="600"/>
      <c r="C8" s="17"/>
      <c r="D8" s="611"/>
      <c r="E8" s="611"/>
      <c r="F8" s="611"/>
      <c r="G8" s="17"/>
      <c r="H8" s="17"/>
      <c r="I8" s="17"/>
      <c r="J8" s="612"/>
      <c r="K8" s="612"/>
    </row>
    <row r="9" ht="13.5" customHeight="1">
      <c r="A9" s="935" t="s">
        <v>11190</v>
      </c>
      <c r="B9" s="614" t="s">
        <v>11191</v>
      </c>
      <c r="C9" s="614" t="s">
        <v>11192</v>
      </c>
      <c r="D9" s="615"/>
      <c r="E9" s="17"/>
      <c r="F9" s="17"/>
      <c r="G9" s="17"/>
      <c r="H9" s="616"/>
      <c r="I9" s="617"/>
      <c r="J9" s="616" t="s">
        <v>9778</v>
      </c>
      <c r="K9" s="617"/>
      <c r="L9" s="645"/>
    </row>
    <row r="10" ht="13.5" customHeight="1">
      <c r="A10" s="938" t="s">
        <v>9779</v>
      </c>
      <c r="B10" s="1087" t="s">
        <v>0</v>
      </c>
      <c r="C10" s="963" t="s">
        <v>9780</v>
      </c>
      <c r="D10" s="621"/>
      <c r="E10" s="621"/>
      <c r="F10" s="621"/>
      <c r="G10" s="621"/>
      <c r="H10" s="963" t="s">
        <v>9781</v>
      </c>
      <c r="I10" s="621"/>
      <c r="J10" s="963" t="s">
        <v>9782</v>
      </c>
      <c r="K10" s="621"/>
      <c r="L10" s="938" t="s">
        <v>2740</v>
      </c>
    </row>
    <row r="11" ht="13.5" customHeight="1">
      <c r="A11" s="629">
        <v>1.0</v>
      </c>
      <c r="B11" s="1117" t="s">
        <v>11193</v>
      </c>
      <c r="C11" s="596" t="s">
        <v>11194</v>
      </c>
      <c r="D11" s="621"/>
      <c r="E11" s="621"/>
      <c r="F11" s="621"/>
      <c r="G11" s="621"/>
      <c r="H11" s="624">
        <v>1.0</v>
      </c>
      <c r="I11" s="624" t="s">
        <v>2729</v>
      </c>
      <c r="J11" s="683">
        <v>780600.0</v>
      </c>
      <c r="K11" s="621"/>
      <c r="L11" s="696">
        <f t="shared" ref="L11:L17" si="1">H11*J11</f>
        <v>780600</v>
      </c>
    </row>
    <row r="12" ht="13.5" customHeight="1">
      <c r="A12" s="1088"/>
      <c r="B12" s="1118"/>
      <c r="C12" s="45"/>
      <c r="H12" s="444"/>
      <c r="I12" s="444"/>
      <c r="J12" s="627"/>
      <c r="L12" s="625">
        <f t="shared" si="1"/>
        <v>0</v>
      </c>
    </row>
    <row r="13" ht="13.5" customHeight="1">
      <c r="A13" s="629"/>
      <c r="B13" s="201"/>
      <c r="C13" s="45"/>
      <c r="H13" s="444"/>
      <c r="I13" s="444"/>
      <c r="J13" s="627"/>
      <c r="L13" s="625">
        <f t="shared" si="1"/>
        <v>0</v>
      </c>
    </row>
    <row r="14" ht="13.5" customHeight="1">
      <c r="A14" s="444"/>
      <c r="B14" s="1119" t="s">
        <v>11195</v>
      </c>
      <c r="C14" s="45" t="s">
        <v>11196</v>
      </c>
      <c r="H14" s="444"/>
      <c r="I14" s="444"/>
      <c r="J14" s="627"/>
      <c r="L14" s="625">
        <f t="shared" si="1"/>
        <v>0</v>
      </c>
    </row>
    <row r="15" ht="13.5" customHeight="1">
      <c r="A15" s="444"/>
      <c r="B15" s="443"/>
      <c r="C15" s="684"/>
      <c r="H15" s="444"/>
      <c r="I15" s="444"/>
      <c r="J15" s="965"/>
      <c r="L15" s="625">
        <f t="shared" si="1"/>
        <v>0</v>
      </c>
    </row>
    <row r="16" ht="13.5" customHeight="1">
      <c r="A16" s="444"/>
      <c r="B16" s="443"/>
      <c r="C16" s="684"/>
      <c r="H16" s="444"/>
      <c r="I16" s="444"/>
      <c r="J16" s="965"/>
      <c r="L16" s="625">
        <f t="shared" si="1"/>
        <v>0</v>
      </c>
    </row>
    <row r="17" ht="13.5" customHeight="1">
      <c r="A17" s="713"/>
      <c r="B17" s="630"/>
      <c r="C17" s="630"/>
      <c r="D17" s="617"/>
      <c r="E17" s="617"/>
      <c r="F17" s="617"/>
      <c r="G17" s="617"/>
      <c r="H17" s="616"/>
      <c r="I17" s="616"/>
      <c r="J17" s="631"/>
      <c r="K17" s="617"/>
      <c r="L17" s="625">
        <f t="shared" si="1"/>
        <v>0</v>
      </c>
    </row>
    <row r="18" ht="13.5" customHeight="1">
      <c r="A18" s="1073"/>
      <c r="B18" s="621"/>
      <c r="C18" s="621"/>
      <c r="D18" s="621"/>
      <c r="E18" s="633"/>
      <c r="F18" s="633"/>
      <c r="G18" s="633"/>
      <c r="H18" s="1015"/>
      <c r="I18" s="676"/>
      <c r="J18" s="636"/>
      <c r="K18" s="637" t="s">
        <v>9786</v>
      </c>
      <c r="L18" s="1084">
        <f>SUM(L11:L17)</f>
        <v>780600</v>
      </c>
    </row>
    <row r="19" ht="13.5" customHeight="1">
      <c r="A19" s="639"/>
      <c r="D19" s="640" t="s">
        <v>10877</v>
      </c>
      <c r="E19" s="641"/>
      <c r="F19" s="1120" t="s">
        <v>11197</v>
      </c>
      <c r="J19" s="643"/>
      <c r="K19" s="637" t="s">
        <v>9789</v>
      </c>
      <c r="L19" s="1076">
        <v>0.0</v>
      </c>
    </row>
    <row r="20" ht="13.5" customHeight="1">
      <c r="A20" s="592"/>
      <c r="B20" s="628"/>
      <c r="C20" s="628"/>
      <c r="D20" s="628"/>
      <c r="E20" s="1077" t="s">
        <v>1973</v>
      </c>
      <c r="J20" s="646"/>
      <c r="K20" s="647" t="s">
        <v>9790</v>
      </c>
      <c r="L20" s="1078">
        <f>L18-L19</f>
        <v>780600</v>
      </c>
    </row>
    <row r="21" ht="13.5" customHeight="1">
      <c r="A21" s="592"/>
      <c r="B21" s="604"/>
      <c r="C21" s="604"/>
      <c r="D21" s="649"/>
      <c r="E21" s="641"/>
      <c r="J21" s="650"/>
      <c r="K21" s="637"/>
      <c r="L21" s="651"/>
    </row>
    <row r="22" ht="13.5" customHeight="1">
      <c r="A22" s="592"/>
      <c r="B22" s="604"/>
      <c r="C22" s="604"/>
      <c r="D22" s="604"/>
      <c r="E22" s="604"/>
      <c r="J22" s="653"/>
      <c r="K22" s="653" t="s">
        <v>9791</v>
      </c>
      <c r="L22" s="653"/>
    </row>
    <row r="23" ht="13.5" customHeight="1">
      <c r="A23" s="654" t="s">
        <v>9792</v>
      </c>
      <c r="B23" s="591"/>
      <c r="C23" s="591"/>
      <c r="D23" s="649" t="s">
        <v>10878</v>
      </c>
      <c r="E23" s="604"/>
      <c r="F23" s="707"/>
      <c r="G23" s="707"/>
      <c r="H23" s="707"/>
      <c r="I23" s="707"/>
      <c r="J23" s="655"/>
      <c r="K23" s="1121"/>
    </row>
    <row r="24" ht="13.5" customHeight="1"/>
    <row r="25" ht="13.5" customHeight="1"/>
    <row r="26" ht="13.5" customHeight="1"/>
    <row r="27" ht="15.75" customHeight="1">
      <c r="E27" s="548" t="s">
        <v>1973</v>
      </c>
    </row>
    <row r="28" ht="15.75" customHeight="1"/>
    <row r="29" ht="15.75" customHeight="1"/>
    <row r="30" ht="15.75" customHeight="1">
      <c r="H30" s="548" t="s">
        <v>11198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</sheetData>
  <mergeCells count="25">
    <mergeCell ref="J10:K10"/>
    <mergeCell ref="J11:K11"/>
    <mergeCell ref="J5:L5"/>
    <mergeCell ref="D7:F7"/>
    <mergeCell ref="H9:I9"/>
    <mergeCell ref="J9:K9"/>
    <mergeCell ref="C10:G10"/>
    <mergeCell ref="H10:I10"/>
    <mergeCell ref="C11:G11"/>
    <mergeCell ref="C12:G12"/>
    <mergeCell ref="J12:K12"/>
    <mergeCell ref="C13:G13"/>
    <mergeCell ref="J13:K13"/>
    <mergeCell ref="C14:G14"/>
    <mergeCell ref="J14:K14"/>
    <mergeCell ref="J15:K15"/>
    <mergeCell ref="F19:I22"/>
    <mergeCell ref="K23:L23"/>
    <mergeCell ref="C15:G15"/>
    <mergeCell ref="C16:G16"/>
    <mergeCell ref="J16:K16"/>
    <mergeCell ref="C17:G17"/>
    <mergeCell ref="J17:K17"/>
    <mergeCell ref="A18:D18"/>
    <mergeCell ref="A19:C19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21.57"/>
    <col customWidth="1" min="3" max="3" width="8.71"/>
    <col customWidth="1" min="4" max="4" width="11.43"/>
    <col customWidth="1" min="5" max="5" width="8.71"/>
    <col customWidth="1" min="6" max="6" width="6.71"/>
    <col customWidth="1" min="7" max="7" width="7.57"/>
    <col customWidth="1" min="8" max="8" width="3.57"/>
    <col customWidth="1" min="9" max="9" width="3.43"/>
    <col customWidth="1" min="10" max="11" width="6.43"/>
    <col customWidth="1" min="12" max="12" width="12.0"/>
    <col customWidth="1" min="13" max="20" width="8.71"/>
  </cols>
  <sheetData>
    <row r="1" ht="13.5" customHeight="1">
      <c r="A1" s="590" t="s">
        <v>11199</v>
      </c>
      <c r="B1" s="591"/>
      <c r="C1" s="592"/>
      <c r="D1" s="592"/>
      <c r="E1" s="592"/>
      <c r="F1" s="592"/>
      <c r="G1" s="592"/>
      <c r="H1" s="592"/>
      <c r="I1" s="821" t="s">
        <v>9773</v>
      </c>
      <c r="L1" s="1122" t="s">
        <v>11200</v>
      </c>
    </row>
    <row r="2" ht="13.5" customHeight="1">
      <c r="A2" s="596" t="s">
        <v>11169</v>
      </c>
      <c r="B2" s="597"/>
      <c r="C2" s="598"/>
      <c r="D2" s="598"/>
      <c r="E2" s="598"/>
      <c r="F2" s="592"/>
      <c r="G2" s="592"/>
      <c r="H2" s="592"/>
      <c r="I2" s="821" t="s">
        <v>9775</v>
      </c>
    </row>
    <row r="3" ht="13.5" customHeight="1">
      <c r="A3" s="599" t="s">
        <v>11170</v>
      </c>
      <c r="B3" s="600"/>
      <c r="C3" s="592"/>
      <c r="D3" s="601"/>
      <c r="E3" s="601"/>
      <c r="F3" s="601"/>
      <c r="G3" s="601"/>
      <c r="H3" s="601"/>
      <c r="I3" s="109" t="s">
        <v>11201</v>
      </c>
    </row>
    <row r="4" ht="13.5" customHeight="1">
      <c r="A4" s="604"/>
      <c r="B4" s="604"/>
      <c r="C4" s="592"/>
      <c r="D4" s="601"/>
      <c r="E4" s="601"/>
      <c r="F4" s="601"/>
      <c r="G4" s="601"/>
      <c r="H4" s="601"/>
      <c r="I4" s="603" t="s">
        <v>4376</v>
      </c>
    </row>
    <row r="5" ht="13.5" customHeight="1">
      <c r="A5" s="604"/>
      <c r="B5" s="604"/>
      <c r="C5" s="592"/>
      <c r="D5" s="601"/>
      <c r="E5" s="601"/>
      <c r="F5" s="601"/>
      <c r="G5" s="601"/>
      <c r="H5" s="601"/>
      <c r="I5" s="1086"/>
    </row>
    <row r="6" ht="13.5" customHeight="1">
      <c r="A6" s="604"/>
      <c r="B6" s="604"/>
      <c r="C6" s="592"/>
      <c r="D6" s="601"/>
      <c r="E6" s="601"/>
      <c r="F6" s="601"/>
      <c r="G6" s="601"/>
      <c r="H6" s="601"/>
      <c r="I6" s="601"/>
      <c r="J6" s="612"/>
      <c r="K6" s="612"/>
      <c r="L6" s="612"/>
    </row>
    <row r="7" ht="13.5" customHeight="1">
      <c r="A7" s="604"/>
      <c r="B7" s="604"/>
      <c r="C7" s="592"/>
      <c r="D7" s="701" t="s">
        <v>11202</v>
      </c>
      <c r="G7" s="601"/>
      <c r="H7" s="601"/>
      <c r="I7" s="601"/>
      <c r="J7" s="612"/>
      <c r="K7" s="612"/>
      <c r="L7" s="612"/>
    </row>
    <row r="8" ht="13.5" customHeight="1">
      <c r="A8" s="17"/>
      <c r="B8" s="600"/>
      <c r="C8" s="17"/>
      <c r="D8" s="611"/>
      <c r="E8" s="611"/>
      <c r="F8" s="611"/>
      <c r="G8" s="17"/>
      <c r="H8" s="17"/>
      <c r="I8" s="17"/>
      <c r="J8" s="612"/>
      <c r="K8" s="612"/>
      <c r="L8" s="612"/>
    </row>
    <row r="9" ht="13.5" customHeight="1">
      <c r="A9" s="934" t="s">
        <v>9794</v>
      </c>
      <c r="B9" s="935" t="s">
        <v>11203</v>
      </c>
      <c r="C9" s="17"/>
      <c r="D9" s="615"/>
      <c r="E9" s="17"/>
      <c r="F9" s="17"/>
      <c r="G9" s="17"/>
      <c r="H9" s="616"/>
      <c r="I9" s="617"/>
      <c r="J9" s="616"/>
      <c r="K9" s="617"/>
      <c r="L9" s="616"/>
    </row>
    <row r="10" ht="13.5" customHeight="1">
      <c r="A10" s="938" t="s">
        <v>9779</v>
      </c>
      <c r="B10" s="1087" t="s">
        <v>0</v>
      </c>
      <c r="C10" s="938" t="s">
        <v>9780</v>
      </c>
      <c r="D10" s="122"/>
      <c r="E10" s="122"/>
      <c r="F10" s="122"/>
      <c r="G10" s="122"/>
      <c r="H10" s="963" t="s">
        <v>9819</v>
      </c>
      <c r="I10" s="621"/>
      <c r="J10" s="621"/>
      <c r="K10" s="621"/>
      <c r="L10" s="938" t="s">
        <v>10875</v>
      </c>
    </row>
    <row r="11" ht="13.5" customHeight="1">
      <c r="A11" s="1092">
        <v>1.0</v>
      </c>
      <c r="B11" s="596" t="s">
        <v>2907</v>
      </c>
      <c r="C11" s="941" t="str">
        <f>IFERROR(VLOOKUP(B11,Stock,3,FALSE),"")</f>
        <v>Honda Odyssey 13- 5th Gen RC1/RC2</v>
      </c>
      <c r="H11" s="1123" t="s">
        <v>5154</v>
      </c>
      <c r="I11" s="621"/>
      <c r="J11" s="621"/>
      <c r="K11" s="621"/>
      <c r="L11" s="627">
        <v>1.0</v>
      </c>
    </row>
    <row r="12" ht="13.5" customHeight="1">
      <c r="A12" s="444"/>
      <c r="B12" s="45"/>
      <c r="C12" s="941" t="str">
        <f>IFERROR(VLOOKUP(B12,Stock,3,FALSE),"")</f>
        <v/>
      </c>
      <c r="H12" s="1124"/>
      <c r="L12" s="696"/>
      <c r="N12" s="17"/>
      <c r="P12" s="544"/>
      <c r="Q12" s="544"/>
      <c r="R12" s="544"/>
      <c r="S12" s="544"/>
      <c r="T12" s="544"/>
    </row>
    <row r="13" ht="13.5" customHeight="1">
      <c r="A13" s="444"/>
      <c r="B13" s="201"/>
      <c r="C13" s="941" t="str">
        <f>IFERROR(VLOOKUP(B13,Stock,3,FALSE),"")</f>
        <v/>
      </c>
      <c r="H13" s="1124"/>
      <c r="L13" s="696"/>
    </row>
    <row r="14" ht="13.5" customHeight="1">
      <c r="A14" s="444"/>
      <c r="B14" s="443"/>
      <c r="C14" s="941" t="str">
        <f>IFERROR(VLOOKUP(B14,Stock,3,FALSE),"")</f>
        <v/>
      </c>
      <c r="H14" s="1124"/>
      <c r="L14" s="696"/>
    </row>
    <row r="15" ht="13.5" customHeight="1">
      <c r="A15" s="444"/>
      <c r="B15" s="201"/>
      <c r="C15" s="941" t="str">
        <f>IFERROR(VLOOKUP(B15,Stock,3,FALSE),"")</f>
        <v/>
      </c>
      <c r="H15" s="1124"/>
      <c r="L15" s="696"/>
    </row>
    <row r="16" ht="13.5" customHeight="1">
      <c r="A16" s="679"/>
      <c r="B16" s="637"/>
      <c r="C16" s="1125"/>
      <c r="D16" s="1126"/>
      <c r="E16" s="1126"/>
      <c r="F16" s="1126"/>
      <c r="G16" s="1126"/>
      <c r="H16" s="1127"/>
      <c r="I16" s="617"/>
      <c r="J16" s="617"/>
      <c r="K16" s="617"/>
      <c r="L16" s="696"/>
    </row>
    <row r="17" ht="13.5" customHeight="1">
      <c r="A17" s="633"/>
      <c r="B17" s="633"/>
      <c r="C17" s="951"/>
      <c r="D17" s="633"/>
      <c r="E17" s="633"/>
      <c r="F17" s="633"/>
      <c r="G17" s="633"/>
      <c r="H17" s="952"/>
      <c r="I17" s="676"/>
      <c r="J17" s="636"/>
      <c r="K17" s="201" t="s">
        <v>11204</v>
      </c>
      <c r="L17" s="1128">
        <f>SUM(L11:L16)</f>
        <v>1</v>
      </c>
    </row>
    <row r="18" ht="13.5" customHeight="1">
      <c r="A18" s="676"/>
      <c r="B18" s="628"/>
      <c r="C18" s="676"/>
      <c r="D18" s="628"/>
      <c r="E18" s="628" t="s">
        <v>10877</v>
      </c>
      <c r="F18" s="609"/>
      <c r="G18" s="953"/>
      <c r="H18" s="953"/>
      <c r="I18" s="953"/>
      <c r="J18" s="1116" t="s">
        <v>11186</v>
      </c>
      <c r="K18" s="621"/>
      <c r="L18" s="1098"/>
    </row>
    <row r="19" ht="13.5" customHeight="1">
      <c r="A19" s="592"/>
      <c r="B19" s="628"/>
      <c r="C19" s="628"/>
      <c r="D19" s="628"/>
      <c r="E19" s="628"/>
      <c r="F19" s="953"/>
      <c r="G19" s="953"/>
      <c r="H19" s="953"/>
      <c r="I19" s="953"/>
      <c r="J19" s="1101"/>
      <c r="K19" s="617"/>
      <c r="L19" s="138"/>
    </row>
    <row r="20" ht="13.5" customHeight="1">
      <c r="A20" s="592"/>
      <c r="B20" s="604"/>
      <c r="C20" s="604"/>
      <c r="D20" s="649"/>
      <c r="E20" s="649"/>
      <c r="F20" s="953"/>
      <c r="G20" s="953"/>
      <c r="H20" s="953"/>
      <c r="I20" s="953"/>
      <c r="J20" s="650"/>
      <c r="K20" s="637"/>
      <c r="L20" s="651"/>
    </row>
    <row r="21" ht="13.5" customHeight="1">
      <c r="A21" s="592"/>
      <c r="B21" s="604"/>
      <c r="C21" s="604"/>
      <c r="D21" s="604"/>
      <c r="E21" s="604"/>
      <c r="G21" s="953"/>
      <c r="H21" s="953"/>
      <c r="I21" s="953"/>
      <c r="J21" s="650"/>
      <c r="K21" s="653"/>
      <c r="L21" s="956"/>
    </row>
    <row r="22" ht="13.5" customHeight="1">
      <c r="A22" s="592"/>
      <c r="B22" s="957" t="s">
        <v>9792</v>
      </c>
      <c r="E22" s="604" t="s">
        <v>10878</v>
      </c>
      <c r="G22" s="707"/>
      <c r="H22" s="707"/>
      <c r="I22" s="707"/>
      <c r="J22" s="650"/>
      <c r="K22" s="653"/>
      <c r="L22" s="958"/>
    </row>
    <row r="23" ht="13.5" customHeight="1">
      <c r="B23" s="657"/>
      <c r="H23" s="658"/>
      <c r="I23" s="658"/>
      <c r="J23" s="650"/>
      <c r="K23" s="646"/>
      <c r="L23" s="646"/>
    </row>
    <row r="24" ht="13.5" customHeight="1">
      <c r="B24" s="657"/>
      <c r="L24" s="971"/>
    </row>
    <row r="25" ht="13.5" customHeight="1">
      <c r="B25" s="657"/>
      <c r="L25" s="972"/>
    </row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I1:K1"/>
    <mergeCell ref="I2:L2"/>
    <mergeCell ref="I3:L3"/>
    <mergeCell ref="I4:L4"/>
    <mergeCell ref="I5:L5"/>
    <mergeCell ref="D7:F7"/>
    <mergeCell ref="J9:K9"/>
    <mergeCell ref="H9:I9"/>
    <mergeCell ref="C10:G10"/>
    <mergeCell ref="H10:K10"/>
    <mergeCell ref="C11:G11"/>
    <mergeCell ref="H11:K11"/>
    <mergeCell ref="C12:G12"/>
    <mergeCell ref="H12:K12"/>
    <mergeCell ref="C15:G15"/>
    <mergeCell ref="B22:D22"/>
    <mergeCell ref="C13:G13"/>
    <mergeCell ref="H13:K13"/>
    <mergeCell ref="C14:G14"/>
    <mergeCell ref="H14:K14"/>
    <mergeCell ref="H15:K15"/>
    <mergeCell ref="H16:K16"/>
    <mergeCell ref="J18:L19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43.86"/>
    <col customWidth="1" min="3" max="3" width="11.0"/>
    <col customWidth="1" min="4" max="4" width="9.71"/>
    <col customWidth="1" min="5" max="5" width="9.29"/>
    <col customWidth="1" min="6" max="6" width="8.86"/>
    <col customWidth="1" min="7" max="7" width="9.29"/>
    <col customWidth="1" min="10" max="10" width="16.71"/>
    <col customWidth="1" min="11" max="11" width="14.43"/>
    <col customWidth="1" min="12" max="12" width="13.14"/>
    <col customWidth="1" min="13" max="13" width="11.71"/>
  </cols>
  <sheetData>
    <row r="1">
      <c r="A1" s="1129" t="s">
        <v>11205</v>
      </c>
      <c r="B1" s="1130" t="s">
        <v>11206</v>
      </c>
      <c r="C1" s="1131">
        <v>45456.0</v>
      </c>
      <c r="D1" s="1132"/>
      <c r="E1" s="1133"/>
      <c r="F1" s="1133"/>
      <c r="G1" s="1133"/>
    </row>
    <row r="2">
      <c r="A2" s="1134" t="s">
        <v>11207</v>
      </c>
      <c r="B2" s="1134" t="s">
        <v>11208</v>
      </c>
      <c r="C2" s="1134" t="s">
        <v>11209</v>
      </c>
      <c r="D2" s="1133"/>
      <c r="E2" s="1133"/>
      <c r="F2" s="1133"/>
      <c r="G2" s="1133"/>
    </row>
    <row r="3">
      <c r="A3" s="1134" t="s">
        <v>11210</v>
      </c>
      <c r="B3" s="1134" t="s">
        <v>11211</v>
      </c>
      <c r="C3" s="1134" t="s">
        <v>11212</v>
      </c>
      <c r="D3" s="1133"/>
      <c r="E3" s="1133"/>
      <c r="F3" s="1133"/>
      <c r="G3" s="1133"/>
    </row>
    <row r="4">
      <c r="A4" s="1134" t="s">
        <v>11213</v>
      </c>
      <c r="B4" s="1134" t="s">
        <v>11214</v>
      </c>
      <c r="C4" s="1134" t="s">
        <v>11215</v>
      </c>
      <c r="D4" s="1133"/>
      <c r="E4" s="1133"/>
      <c r="F4" s="1133"/>
      <c r="G4" s="1133"/>
    </row>
    <row r="5">
      <c r="A5" s="1134" t="s">
        <v>11216</v>
      </c>
      <c r="B5" s="1134" t="s">
        <v>11217</v>
      </c>
      <c r="C5" s="1134" t="s">
        <v>11218</v>
      </c>
      <c r="D5" s="1133"/>
      <c r="E5" s="1133"/>
      <c r="F5" s="1133"/>
      <c r="G5" s="1133"/>
    </row>
    <row r="6">
      <c r="A6" s="1134" t="s">
        <v>11219</v>
      </c>
      <c r="B6" s="1134" t="s">
        <v>11220</v>
      </c>
      <c r="C6" s="1134" t="s">
        <v>11221</v>
      </c>
      <c r="D6" s="1133"/>
      <c r="E6" s="1133"/>
      <c r="F6" s="1133"/>
      <c r="G6" s="1133"/>
    </row>
    <row r="7">
      <c r="A7" s="1134" t="s">
        <v>11222</v>
      </c>
      <c r="B7" s="1134" t="s">
        <v>11223</v>
      </c>
      <c r="C7" s="1134" t="s">
        <v>11224</v>
      </c>
      <c r="D7" s="1133"/>
      <c r="E7" s="1133"/>
      <c r="F7" s="1133"/>
      <c r="G7" s="1133"/>
    </row>
    <row r="8">
      <c r="A8" s="1134" t="s">
        <v>11225</v>
      </c>
      <c r="B8" s="1134" t="s">
        <v>11226</v>
      </c>
      <c r="C8" s="1135" t="s">
        <v>11227</v>
      </c>
      <c r="D8" s="1133"/>
      <c r="E8" s="1133"/>
      <c r="F8" s="1133"/>
      <c r="G8" s="1133"/>
    </row>
    <row r="9">
      <c r="A9" s="1134" t="s">
        <v>11228</v>
      </c>
      <c r="B9" s="1134" t="s">
        <v>11229</v>
      </c>
      <c r="C9" s="1134" t="s">
        <v>11230</v>
      </c>
      <c r="D9" s="1133"/>
      <c r="E9" s="1133"/>
      <c r="F9" s="1133"/>
      <c r="G9" s="1133"/>
    </row>
    <row r="10">
      <c r="A10" s="1134" t="s">
        <v>11231</v>
      </c>
      <c r="B10" s="1134" t="s">
        <v>11232</v>
      </c>
      <c r="C10" s="1134" t="s">
        <v>11209</v>
      </c>
      <c r="D10" s="1133"/>
      <c r="E10" s="1133"/>
      <c r="F10" s="1133"/>
      <c r="G10" s="1133"/>
    </row>
    <row r="11">
      <c r="A11" s="1134" t="s">
        <v>11233</v>
      </c>
      <c r="B11" s="1134" t="s">
        <v>11234</v>
      </c>
      <c r="C11" s="1134" t="s">
        <v>11230</v>
      </c>
      <c r="D11" s="1133"/>
      <c r="E11" s="1133"/>
      <c r="F11" s="1133"/>
      <c r="G11" s="1133"/>
    </row>
    <row r="12">
      <c r="A12" s="1134" t="s">
        <v>11235</v>
      </c>
      <c r="B12" s="1134" t="s">
        <v>11236</v>
      </c>
      <c r="C12" s="1134" t="s">
        <v>11237</v>
      </c>
      <c r="D12" s="1133"/>
      <c r="E12" s="1133"/>
      <c r="F12" s="1133"/>
      <c r="G12" s="1133"/>
    </row>
    <row r="13">
      <c r="A13" s="1134" t="s">
        <v>11238</v>
      </c>
      <c r="B13" s="1134" t="s">
        <v>11239</v>
      </c>
      <c r="C13" s="1134" t="s">
        <v>11240</v>
      </c>
      <c r="D13" s="1133"/>
      <c r="E13" s="1133"/>
      <c r="F13" s="1133"/>
      <c r="G13" s="1133"/>
    </row>
    <row r="14">
      <c r="A14" s="1134" t="s">
        <v>11241</v>
      </c>
      <c r="B14" s="1134" t="s">
        <v>11242</v>
      </c>
      <c r="C14" s="1134" t="s">
        <v>11243</v>
      </c>
      <c r="D14" s="1133"/>
      <c r="E14" s="1133"/>
      <c r="F14" s="1133"/>
      <c r="G14" s="1133"/>
    </row>
    <row r="15">
      <c r="A15" s="1134" t="s">
        <v>11244</v>
      </c>
      <c r="B15" s="1134" t="s">
        <v>11245</v>
      </c>
      <c r="C15" s="1134" t="s">
        <v>11246</v>
      </c>
      <c r="D15" s="1133"/>
      <c r="E15" s="1133"/>
      <c r="F15" s="1133"/>
      <c r="G15" s="1133"/>
    </row>
    <row r="16">
      <c r="A16" s="1134" t="s">
        <v>11247</v>
      </c>
      <c r="B16" s="1134" t="s">
        <v>11248</v>
      </c>
      <c r="C16" s="1134" t="s">
        <v>11249</v>
      </c>
      <c r="D16" s="1133"/>
      <c r="E16" s="1133"/>
      <c r="F16" s="1133"/>
      <c r="G16" s="1133"/>
    </row>
    <row r="17">
      <c r="A17" s="1134" t="s">
        <v>11250</v>
      </c>
      <c r="B17" s="1134" t="s">
        <v>11251</v>
      </c>
      <c r="C17" s="1134" t="s">
        <v>11252</v>
      </c>
      <c r="D17" s="1133"/>
      <c r="E17" s="1133"/>
      <c r="F17" s="1133"/>
      <c r="G17" s="1133"/>
    </row>
    <row r="18">
      <c r="A18" s="1134" t="s">
        <v>11253</v>
      </c>
      <c r="B18" s="1134" t="s">
        <v>11254</v>
      </c>
      <c r="C18" s="1134" t="s">
        <v>11237</v>
      </c>
      <c r="D18" s="1133"/>
      <c r="E18" s="1133"/>
      <c r="F18" s="1133"/>
      <c r="G18" s="1133"/>
    </row>
    <row r="19">
      <c r="A19" s="1134" t="s">
        <v>11255</v>
      </c>
      <c r="B19" s="1134" t="s">
        <v>11256</v>
      </c>
      <c r="C19" s="1134" t="s">
        <v>11237</v>
      </c>
      <c r="D19" s="1133"/>
      <c r="E19" s="1133"/>
      <c r="F19" s="1133"/>
      <c r="G19" s="1133"/>
    </row>
    <row r="20">
      <c r="A20" s="1134" t="s">
        <v>11257</v>
      </c>
      <c r="B20" s="1134" t="s">
        <v>11258</v>
      </c>
      <c r="C20" s="1134" t="s">
        <v>11237</v>
      </c>
      <c r="D20" s="1133"/>
      <c r="E20" s="1133"/>
      <c r="F20" s="1133"/>
      <c r="G20" s="1133"/>
    </row>
    <row r="21">
      <c r="A21" s="1134" t="s">
        <v>11259</v>
      </c>
      <c r="B21" s="1134" t="s">
        <v>11260</v>
      </c>
      <c r="C21" s="1134" t="s">
        <v>11261</v>
      </c>
      <c r="D21" s="1133"/>
      <c r="E21" s="1133"/>
      <c r="F21" s="1133"/>
      <c r="G21" s="1133"/>
    </row>
    <row r="22">
      <c r="A22" s="1134" t="s">
        <v>11262</v>
      </c>
      <c r="B22" s="1134" t="s">
        <v>11263</v>
      </c>
      <c r="C22" s="1134" t="s">
        <v>11264</v>
      </c>
      <c r="D22" s="1133"/>
      <c r="E22" s="1133"/>
      <c r="F22" s="1133"/>
      <c r="G22" s="1133"/>
    </row>
    <row r="23">
      <c r="A23" s="1134" t="s">
        <v>11265</v>
      </c>
      <c r="B23" s="1134" t="s">
        <v>11266</v>
      </c>
      <c r="C23" s="1134" t="s">
        <v>11267</v>
      </c>
      <c r="D23" s="1133"/>
      <c r="E23" s="1133"/>
      <c r="F23" s="1133"/>
      <c r="G23" s="1133"/>
    </row>
    <row r="24">
      <c r="A24" s="1134" t="s">
        <v>11268</v>
      </c>
      <c r="B24" s="1134" t="s">
        <v>11269</v>
      </c>
      <c r="C24" s="1134" t="s">
        <v>11221</v>
      </c>
      <c r="D24" s="1133"/>
      <c r="E24" s="1133"/>
      <c r="F24" s="1133"/>
      <c r="G24" s="1133"/>
    </row>
    <row r="25">
      <c r="A25" s="1134" t="s">
        <v>11270</v>
      </c>
      <c r="B25" s="1134" t="s">
        <v>11271</v>
      </c>
      <c r="C25" s="1134" t="s">
        <v>11237</v>
      </c>
      <c r="D25" s="1133"/>
      <c r="E25" s="1133"/>
      <c r="F25" s="1133"/>
      <c r="G25" s="1133"/>
    </row>
    <row r="26">
      <c r="A26" s="1134" t="s">
        <v>11272</v>
      </c>
      <c r="B26" s="1134" t="s">
        <v>11273</v>
      </c>
      <c r="C26" s="1134" t="s">
        <v>11274</v>
      </c>
      <c r="D26" s="1133"/>
      <c r="E26" s="1133"/>
      <c r="F26" s="1133"/>
      <c r="G26" s="1133"/>
    </row>
    <row r="27">
      <c r="A27" s="1134" t="s">
        <v>11275</v>
      </c>
      <c r="B27" s="1134" t="s">
        <v>11276</v>
      </c>
      <c r="C27" s="1134" t="s">
        <v>11277</v>
      </c>
      <c r="D27" s="1133"/>
      <c r="E27" s="1133"/>
      <c r="F27" s="1133"/>
      <c r="G27" s="1133"/>
    </row>
    <row r="28">
      <c r="A28" s="1134" t="s">
        <v>11278</v>
      </c>
      <c r="B28" s="1134" t="s">
        <v>11279</v>
      </c>
      <c r="C28" s="1134" t="s">
        <v>11280</v>
      </c>
      <c r="D28" s="1133"/>
      <c r="E28" s="1133"/>
      <c r="F28" s="1133"/>
      <c r="G28" s="1133"/>
    </row>
    <row r="29">
      <c r="A29" s="1134" t="s">
        <v>11281</v>
      </c>
      <c r="B29" s="1134" t="s">
        <v>11282</v>
      </c>
      <c r="C29" s="1134" t="s">
        <v>11237</v>
      </c>
      <c r="D29" s="1133"/>
      <c r="E29" s="1133"/>
      <c r="F29" s="1133"/>
      <c r="G29" s="1133"/>
    </row>
    <row r="30">
      <c r="A30" s="1134" t="s">
        <v>11283</v>
      </c>
      <c r="B30" s="1134" t="s">
        <v>11284</v>
      </c>
      <c r="C30" s="1134" t="s">
        <v>11267</v>
      </c>
      <c r="D30" s="1133"/>
      <c r="E30" s="1133"/>
      <c r="F30" s="1133"/>
      <c r="G30" s="1133"/>
    </row>
    <row r="31">
      <c r="A31" s="1134" t="s">
        <v>11285</v>
      </c>
      <c r="B31" s="1134" t="s">
        <v>11286</v>
      </c>
      <c r="C31" s="1134" t="s">
        <v>11237</v>
      </c>
      <c r="D31" s="1133"/>
      <c r="E31" s="1133"/>
      <c r="F31" s="1133"/>
      <c r="G31" s="1133"/>
    </row>
    <row r="32">
      <c r="A32" s="1134" t="s">
        <v>11287</v>
      </c>
      <c r="B32" s="1134" t="s">
        <v>11288</v>
      </c>
      <c r="C32" s="1134" t="s">
        <v>11237</v>
      </c>
      <c r="D32" s="1133"/>
      <c r="E32" s="1133"/>
      <c r="F32" s="1133"/>
      <c r="G32" s="1133"/>
    </row>
    <row r="33">
      <c r="A33" s="1134" t="s">
        <v>11289</v>
      </c>
      <c r="B33" s="1134" t="s">
        <v>11290</v>
      </c>
      <c r="C33" s="1134" t="s">
        <v>11237</v>
      </c>
      <c r="D33" s="1133"/>
      <c r="E33" s="1133"/>
      <c r="F33" s="1133"/>
      <c r="G33" s="1133"/>
    </row>
    <row r="34">
      <c r="A34" s="1134" t="s">
        <v>11291</v>
      </c>
      <c r="B34" s="1134" t="s">
        <v>11292</v>
      </c>
      <c r="C34" s="1134" t="s">
        <v>11237</v>
      </c>
      <c r="D34" s="1133"/>
      <c r="E34" s="1133"/>
      <c r="F34" s="1133"/>
      <c r="G34" s="1133"/>
    </row>
    <row r="35">
      <c r="A35" s="1134" t="s">
        <v>11293</v>
      </c>
      <c r="B35" s="1134" t="s">
        <v>11294</v>
      </c>
      <c r="C35" s="1134" t="s">
        <v>11237</v>
      </c>
      <c r="D35" s="1133"/>
      <c r="E35" s="1133"/>
      <c r="F35" s="1133"/>
      <c r="G35" s="1133"/>
    </row>
    <row r="36">
      <c r="A36" s="1134" t="s">
        <v>11295</v>
      </c>
      <c r="B36" s="1134" t="s">
        <v>11296</v>
      </c>
      <c r="C36" s="1134" t="s">
        <v>11237</v>
      </c>
      <c r="D36" s="1133"/>
      <c r="E36" s="1133"/>
      <c r="F36" s="1133"/>
      <c r="G36" s="1133"/>
    </row>
    <row r="37">
      <c r="A37" s="1134" t="s">
        <v>11297</v>
      </c>
      <c r="B37" s="1134" t="s">
        <v>11298</v>
      </c>
      <c r="C37" s="1134" t="s">
        <v>11237</v>
      </c>
      <c r="D37" s="1133"/>
      <c r="E37" s="1133"/>
      <c r="F37" s="1133"/>
      <c r="G37" s="1133"/>
    </row>
    <row r="38">
      <c r="A38" s="1134" t="s">
        <v>11299</v>
      </c>
      <c r="B38" s="1134" t="s">
        <v>11300</v>
      </c>
      <c r="C38" s="1134" t="s">
        <v>11301</v>
      </c>
      <c r="D38" s="1133"/>
      <c r="E38" s="1133"/>
      <c r="F38" s="1133"/>
      <c r="G38" s="1133"/>
    </row>
    <row r="39">
      <c r="A39" s="1134" t="s">
        <v>11302</v>
      </c>
      <c r="B39" s="1134" t="s">
        <v>11303</v>
      </c>
      <c r="C39" s="1134" t="s">
        <v>11227</v>
      </c>
      <c r="D39" s="1133"/>
      <c r="E39" s="1133"/>
      <c r="F39" s="1133"/>
      <c r="G39" s="1133"/>
    </row>
    <row r="40">
      <c r="A40" s="1134" t="s">
        <v>11304</v>
      </c>
      <c r="B40" s="1134" t="s">
        <v>11305</v>
      </c>
      <c r="C40" s="1134" t="s">
        <v>11224</v>
      </c>
      <c r="D40" s="1133"/>
      <c r="E40" s="1133"/>
      <c r="F40" s="1133"/>
      <c r="G40" s="1133"/>
    </row>
    <row r="41">
      <c r="A41" s="1134" t="s">
        <v>11306</v>
      </c>
      <c r="B41" s="1134" t="s">
        <v>11307</v>
      </c>
      <c r="C41" s="1134" t="s">
        <v>11237</v>
      </c>
      <c r="D41" s="1133"/>
      <c r="E41" s="1133"/>
      <c r="F41" s="1133"/>
      <c r="G41" s="1133"/>
    </row>
    <row r="42">
      <c r="A42" s="1134" t="s">
        <v>11308</v>
      </c>
      <c r="B42" s="1134" t="s">
        <v>11309</v>
      </c>
      <c r="C42" s="1134" t="s">
        <v>11227</v>
      </c>
      <c r="D42" s="1133"/>
      <c r="E42" s="1133"/>
      <c r="F42" s="1133"/>
      <c r="G42" s="1133"/>
    </row>
    <row r="43">
      <c r="A43" s="1134" t="s">
        <v>11310</v>
      </c>
      <c r="B43" s="1134" t="s">
        <v>11311</v>
      </c>
      <c r="C43" s="1134" t="s">
        <v>11227</v>
      </c>
      <c r="D43" s="1133"/>
      <c r="E43" s="1133"/>
      <c r="F43" s="1133"/>
      <c r="G43" s="1133"/>
    </row>
    <row r="44">
      <c r="A44" s="1134" t="s">
        <v>11312</v>
      </c>
      <c r="B44" s="1134" t="s">
        <v>11313</v>
      </c>
      <c r="C44" s="1134" t="s">
        <v>11227</v>
      </c>
      <c r="D44" s="1133"/>
      <c r="E44" s="1133"/>
      <c r="F44" s="1133"/>
      <c r="G44" s="1133"/>
    </row>
    <row r="45">
      <c r="A45" s="1134">
        <v>44.0</v>
      </c>
      <c r="B45" s="1134" t="s">
        <v>11314</v>
      </c>
      <c r="C45" s="1134" t="s">
        <v>11315</v>
      </c>
      <c r="D45" s="1133"/>
      <c r="E45" s="1133"/>
      <c r="F45" s="1133"/>
      <c r="G45" s="1133"/>
    </row>
    <row r="46">
      <c r="A46" s="1134">
        <v>45.0</v>
      </c>
      <c r="B46" s="1134" t="s">
        <v>11316</v>
      </c>
      <c r="C46" s="1134" t="s">
        <v>11230</v>
      </c>
      <c r="D46" s="1133"/>
      <c r="E46" s="1133"/>
      <c r="F46" s="1133"/>
      <c r="G46" s="1133"/>
    </row>
    <row r="47">
      <c r="A47" s="1134">
        <v>46.0</v>
      </c>
      <c r="B47" s="1134" t="s">
        <v>11317</v>
      </c>
      <c r="C47" s="1134" t="s">
        <v>11237</v>
      </c>
      <c r="D47" s="1133"/>
      <c r="E47" s="1133"/>
      <c r="F47" s="1133"/>
      <c r="G47" s="1133"/>
    </row>
    <row r="48">
      <c r="A48" s="1134">
        <v>47.0</v>
      </c>
      <c r="B48" s="1134" t="s">
        <v>406</v>
      </c>
      <c r="C48" s="1134" t="s">
        <v>11318</v>
      </c>
      <c r="D48" s="1133"/>
      <c r="E48" s="1133"/>
      <c r="F48" s="1133"/>
      <c r="G48" s="1133"/>
    </row>
    <row r="49">
      <c r="A49" s="1134">
        <v>48.0</v>
      </c>
      <c r="B49" s="1134" t="s">
        <v>11319</v>
      </c>
      <c r="C49" s="1134" t="s">
        <v>11320</v>
      </c>
      <c r="D49" s="1133"/>
      <c r="E49" s="1133"/>
      <c r="F49" s="1133"/>
      <c r="G49" s="1133"/>
    </row>
    <row r="50">
      <c r="A50" s="1134">
        <v>49.0</v>
      </c>
      <c r="B50" s="1134" t="s">
        <v>11321</v>
      </c>
      <c r="C50" s="1134" t="s">
        <v>11322</v>
      </c>
      <c r="D50" s="1133"/>
      <c r="E50" s="1133"/>
      <c r="F50" s="1133"/>
      <c r="G50" s="1133"/>
    </row>
    <row r="51">
      <c r="A51" s="1134">
        <v>50.0</v>
      </c>
      <c r="B51" s="1134" t="s">
        <v>11323</v>
      </c>
      <c r="C51" s="1134" t="s">
        <v>11324</v>
      </c>
      <c r="D51" s="1133"/>
      <c r="E51" s="1133"/>
      <c r="F51" s="1133"/>
      <c r="G51" s="1133"/>
    </row>
    <row r="52">
      <c r="A52" s="1134">
        <v>51.0</v>
      </c>
      <c r="B52" s="1134" t="s">
        <v>11325</v>
      </c>
      <c r="C52" s="1134" t="s">
        <v>11237</v>
      </c>
      <c r="D52" s="1133"/>
      <c r="E52" s="1133"/>
      <c r="F52" s="1133"/>
      <c r="G52" s="1133"/>
    </row>
    <row r="53">
      <c r="A53" s="1134">
        <v>52.0</v>
      </c>
      <c r="B53" s="1134" t="s">
        <v>11326</v>
      </c>
      <c r="C53" s="1134" t="s">
        <v>11327</v>
      </c>
      <c r="D53" s="1133"/>
      <c r="E53" s="1133"/>
      <c r="F53" s="1133"/>
      <c r="G53" s="1133"/>
    </row>
    <row r="54">
      <c r="A54" s="1134">
        <v>53.0</v>
      </c>
      <c r="B54" s="1134" t="s">
        <v>11328</v>
      </c>
      <c r="C54" s="1134" t="s">
        <v>11329</v>
      </c>
      <c r="D54" s="1133"/>
      <c r="E54" s="1133"/>
      <c r="F54" s="1133"/>
      <c r="G54" s="1133"/>
    </row>
    <row r="55">
      <c r="A55" s="1083">
        <v>54.0</v>
      </c>
      <c r="B55" s="1134" t="s">
        <v>11330</v>
      </c>
      <c r="C55" s="1134" t="s">
        <v>11237</v>
      </c>
      <c r="D55" s="1133"/>
      <c r="E55" s="1133"/>
      <c r="F55" s="1133"/>
      <c r="G55" s="1133"/>
    </row>
    <row r="56">
      <c r="A56" s="1134">
        <v>55.0</v>
      </c>
      <c r="B56" s="1134" t="s">
        <v>11331</v>
      </c>
      <c r="C56" s="1134" t="s">
        <v>11237</v>
      </c>
      <c r="D56" s="1133"/>
      <c r="E56" s="1133"/>
      <c r="F56" s="1133"/>
      <c r="G56" s="1133"/>
    </row>
    <row r="57">
      <c r="A57" s="1134">
        <v>56.0</v>
      </c>
      <c r="B57" s="1134" t="s">
        <v>11332</v>
      </c>
      <c r="C57" s="1134" t="s">
        <v>11237</v>
      </c>
      <c r="D57" s="1133"/>
      <c r="E57" s="1133"/>
      <c r="F57" s="1133"/>
      <c r="G57" s="1133"/>
    </row>
    <row r="58">
      <c r="A58" s="1134"/>
      <c r="B58" s="1134"/>
      <c r="C58" s="1134"/>
      <c r="D58" s="1136"/>
      <c r="E58" s="1136"/>
      <c r="F58" s="1136"/>
      <c r="G58" s="1136"/>
    </row>
    <row r="59">
      <c r="A59" s="1134"/>
      <c r="B59" s="1134"/>
      <c r="C59" s="1134"/>
      <c r="D59" s="1136"/>
      <c r="E59" s="1136"/>
      <c r="F59" s="1136"/>
      <c r="G59" s="1136"/>
    </row>
    <row r="60">
      <c r="A60" s="1134"/>
      <c r="B60" s="1134"/>
      <c r="C60" s="1134"/>
      <c r="D60" s="1136"/>
      <c r="E60" s="1136"/>
      <c r="F60" s="1136"/>
      <c r="G60" s="1136"/>
    </row>
    <row r="61">
      <c r="A61" s="1134"/>
      <c r="B61" s="1134"/>
      <c r="C61" s="1134"/>
      <c r="D61" s="1136"/>
      <c r="E61" s="1136"/>
      <c r="F61" s="1136"/>
      <c r="G61" s="1136"/>
    </row>
    <row r="62">
      <c r="A62" s="1134"/>
      <c r="B62" s="1134"/>
      <c r="C62" s="1134"/>
      <c r="D62" s="1136"/>
      <c r="E62" s="1136"/>
      <c r="F62" s="1136"/>
      <c r="G62" s="1136"/>
    </row>
    <row r="63">
      <c r="A63" s="1134"/>
      <c r="B63" s="1134"/>
      <c r="C63" s="1134"/>
      <c r="D63" s="1136"/>
      <c r="E63" s="1136"/>
      <c r="F63" s="1136"/>
      <c r="G63" s="1136"/>
    </row>
    <row r="64">
      <c r="A64" s="1134"/>
      <c r="B64" s="1134"/>
      <c r="C64" s="1134"/>
      <c r="D64" s="1136"/>
      <c r="E64" s="1136"/>
      <c r="F64" s="1136"/>
      <c r="G64" s="1136"/>
    </row>
    <row r="65">
      <c r="A65" s="1134"/>
      <c r="B65" s="1134"/>
      <c r="C65" s="1134"/>
      <c r="D65" s="1136"/>
      <c r="E65" s="1136"/>
      <c r="F65" s="1136"/>
      <c r="G65" s="1136"/>
    </row>
    <row r="66">
      <c r="A66" s="1134"/>
      <c r="B66" s="1134"/>
      <c r="C66" s="1134"/>
      <c r="D66" s="1136"/>
      <c r="E66" s="1136"/>
      <c r="F66" s="1136"/>
      <c r="G66" s="1136"/>
    </row>
    <row r="67">
      <c r="A67" s="1134"/>
      <c r="B67" s="1134"/>
      <c r="C67" s="1134"/>
      <c r="D67" s="1136"/>
      <c r="E67" s="1136"/>
      <c r="F67" s="1136"/>
      <c r="G67" s="1136"/>
    </row>
    <row r="68">
      <c r="A68" s="1134"/>
      <c r="B68" s="1134" t="s">
        <v>1973</v>
      </c>
      <c r="C68" s="1134"/>
      <c r="D68" s="1136"/>
      <c r="E68" s="1136"/>
      <c r="F68" s="1136"/>
      <c r="G68" s="1136"/>
    </row>
    <row r="69">
      <c r="A69" s="1134"/>
      <c r="B69" s="1134"/>
      <c r="C69" s="1134"/>
      <c r="D69" s="1136"/>
      <c r="E69" s="1136"/>
      <c r="F69" s="1136"/>
      <c r="G69" s="1136"/>
    </row>
    <row r="70">
      <c r="A70" s="1134"/>
      <c r="B70" s="1134"/>
      <c r="C70" s="1134"/>
      <c r="D70" s="1136"/>
      <c r="E70" s="1136"/>
      <c r="F70" s="1136"/>
      <c r="G70" s="1136"/>
    </row>
    <row r="71">
      <c r="A71" s="1134"/>
      <c r="B71" s="1134"/>
      <c r="C71" s="1134"/>
      <c r="D71" s="1136"/>
      <c r="E71" s="1136"/>
      <c r="F71" s="1136"/>
      <c r="G71" s="1136"/>
    </row>
    <row r="72">
      <c r="A72" s="1134"/>
      <c r="B72" s="1134"/>
      <c r="C72" s="1134"/>
      <c r="D72" s="1136"/>
      <c r="E72" s="1136"/>
      <c r="F72" s="1136"/>
      <c r="G72" s="1136"/>
    </row>
    <row r="73">
      <c r="A73" s="1134"/>
      <c r="B73" s="1134"/>
      <c r="C73" s="1134"/>
      <c r="D73" s="1136"/>
      <c r="E73" s="1136"/>
      <c r="F73" s="1136"/>
      <c r="G73" s="1136"/>
    </row>
    <row r="74">
      <c r="A74" s="1134"/>
      <c r="B74" s="1134"/>
      <c r="C74" s="1134"/>
      <c r="D74" s="1136"/>
      <c r="E74" s="1136"/>
      <c r="F74" s="1136"/>
      <c r="G74" s="1136"/>
    </row>
    <row r="75">
      <c r="A75" s="1134"/>
      <c r="B75" s="1134"/>
      <c r="C75" s="1134"/>
      <c r="D75" s="1136"/>
      <c r="E75" s="1136"/>
      <c r="F75" s="1136"/>
      <c r="G75" s="1136"/>
    </row>
    <row r="76">
      <c r="A76" s="1134"/>
      <c r="B76" s="1134"/>
      <c r="C76" s="1134"/>
      <c r="D76" s="1136"/>
      <c r="E76" s="1136"/>
      <c r="F76" s="1136"/>
      <c r="G76" s="1136"/>
    </row>
    <row r="77">
      <c r="A77" s="1134"/>
      <c r="B77" s="1134"/>
      <c r="C77" s="1134"/>
      <c r="D77" s="1136"/>
      <c r="E77" s="1136"/>
      <c r="F77" s="1136"/>
      <c r="G77" s="1136"/>
    </row>
    <row r="78">
      <c r="A78" s="1134"/>
      <c r="B78" s="1134"/>
      <c r="C78" s="1134"/>
      <c r="D78" s="1136"/>
      <c r="E78" s="1136"/>
      <c r="F78" s="1136"/>
      <c r="G78" s="1136"/>
    </row>
    <row r="79">
      <c r="A79" s="1134"/>
      <c r="B79" s="1134"/>
      <c r="C79" s="1134"/>
      <c r="D79" s="1136"/>
      <c r="E79" s="1136"/>
      <c r="F79" s="1136"/>
      <c r="G79" s="1136"/>
    </row>
    <row r="80">
      <c r="A80" s="1134"/>
      <c r="B80" s="1134"/>
      <c r="C80" s="1134"/>
      <c r="D80" s="1136"/>
      <c r="E80" s="1136"/>
      <c r="F80" s="1136"/>
      <c r="G80" s="1136"/>
    </row>
    <row r="81">
      <c r="A81" s="1134"/>
      <c r="B81" s="1134"/>
      <c r="C81" s="1134"/>
      <c r="D81" s="1136"/>
      <c r="E81" s="1136"/>
      <c r="F81" s="1136"/>
      <c r="G81" s="1136"/>
    </row>
    <row r="82">
      <c r="A82" s="1134"/>
      <c r="B82" s="1134"/>
      <c r="C82" s="1134"/>
      <c r="D82" s="1136"/>
      <c r="E82" s="1136"/>
      <c r="F82" s="1136"/>
      <c r="G82" s="1136"/>
    </row>
    <row r="83">
      <c r="A83" s="1134"/>
      <c r="B83" s="1134"/>
      <c r="C83" s="1134"/>
      <c r="D83" s="1136"/>
      <c r="E83" s="1136"/>
      <c r="F83" s="1136"/>
      <c r="G83" s="1136"/>
    </row>
    <row r="84">
      <c r="A84" s="1083"/>
      <c r="B84" s="1083"/>
      <c r="C84" s="1083"/>
    </row>
    <row r="85">
      <c r="A85" s="1083"/>
      <c r="B85" s="1083"/>
      <c r="C85" s="1083"/>
    </row>
    <row r="86">
      <c r="A86" s="1083"/>
      <c r="B86" s="1083"/>
      <c r="C86" s="1083"/>
    </row>
    <row r="87">
      <c r="A87" s="1083"/>
      <c r="B87" s="1083"/>
      <c r="C87" s="1083"/>
    </row>
    <row r="88">
      <c r="A88" s="1083"/>
      <c r="B88" s="1083"/>
      <c r="C88" s="1083"/>
    </row>
    <row r="89">
      <c r="A89" s="1083"/>
      <c r="B89" s="1083"/>
      <c r="C89" s="1083"/>
    </row>
    <row r="90">
      <c r="A90" s="1083"/>
      <c r="B90" s="1083"/>
      <c r="C90" s="1083"/>
    </row>
    <row r="91">
      <c r="A91" s="1083"/>
      <c r="B91" s="1083"/>
      <c r="C91" s="1083"/>
    </row>
    <row r="92">
      <c r="A92" s="1083"/>
      <c r="B92" s="1083"/>
      <c r="C92" s="1083"/>
    </row>
    <row r="93">
      <c r="A93" s="1083"/>
      <c r="B93" s="1083"/>
      <c r="C93" s="1083"/>
    </row>
    <row r="94">
      <c r="A94" s="1083"/>
      <c r="B94" s="1083"/>
      <c r="C94" s="1083"/>
    </row>
    <row r="95">
      <c r="A95" s="1083"/>
      <c r="B95" s="1083"/>
      <c r="C95" s="1083"/>
    </row>
    <row r="96">
      <c r="A96" s="1083"/>
      <c r="B96" s="1083"/>
      <c r="C96" s="1083"/>
    </row>
    <row r="97">
      <c r="A97" s="1083"/>
      <c r="B97" s="1083"/>
      <c r="C97" s="1083"/>
    </row>
    <row r="98">
      <c r="A98" s="1083"/>
      <c r="B98" s="1083"/>
      <c r="C98" s="1083"/>
    </row>
    <row r="99">
      <c r="A99" s="1083"/>
      <c r="B99" s="1083"/>
      <c r="C99" s="1083"/>
    </row>
    <row r="100">
      <c r="A100" s="1083"/>
      <c r="B100" s="1083"/>
      <c r="C100" s="1083"/>
    </row>
    <row r="101">
      <c r="A101" s="1083"/>
      <c r="B101" s="1083"/>
      <c r="C101" s="1083"/>
    </row>
    <row r="102">
      <c r="A102" s="1083"/>
      <c r="B102" s="1083"/>
      <c r="C102" s="1083"/>
    </row>
    <row r="103">
      <c r="A103" s="1083"/>
      <c r="B103" s="1083"/>
      <c r="C103" s="1083"/>
    </row>
    <row r="104">
      <c r="A104" s="1083"/>
      <c r="B104" s="1083"/>
      <c r="C104" s="1083"/>
    </row>
    <row r="105">
      <c r="A105" s="1083"/>
      <c r="B105" s="1083"/>
      <c r="C105" s="1083"/>
    </row>
    <row r="106">
      <c r="A106" s="1083"/>
      <c r="B106" s="1083"/>
      <c r="C106" s="1083"/>
    </row>
    <row r="107">
      <c r="A107" s="1083"/>
      <c r="B107" s="1083"/>
      <c r="C107" s="1083"/>
    </row>
    <row r="108">
      <c r="A108" s="1083"/>
      <c r="B108" s="1083"/>
      <c r="C108" s="1083"/>
    </row>
    <row r="109">
      <c r="A109" s="1083"/>
      <c r="B109" s="1083"/>
      <c r="C109" s="1083"/>
    </row>
    <row r="110">
      <c r="A110" s="1083"/>
      <c r="B110" s="1083"/>
      <c r="C110" s="1083"/>
    </row>
    <row r="111">
      <c r="A111" s="1083"/>
      <c r="B111" s="1083"/>
      <c r="C111" s="1083"/>
    </row>
    <row r="112">
      <c r="A112" s="1083"/>
      <c r="B112" s="1083"/>
      <c r="C112" s="1083"/>
    </row>
    <row r="113">
      <c r="A113" s="1083"/>
      <c r="B113" s="1083"/>
      <c r="C113" s="1083"/>
    </row>
    <row r="114">
      <c r="A114" s="1083"/>
      <c r="B114" s="1083"/>
      <c r="C114" s="1083"/>
    </row>
    <row r="115">
      <c r="A115" s="1083"/>
      <c r="B115" s="1083"/>
      <c r="C115" s="1083"/>
    </row>
    <row r="116">
      <c r="A116" s="1083"/>
      <c r="B116" s="1083"/>
      <c r="C116" s="1083"/>
    </row>
    <row r="117">
      <c r="A117" s="1083"/>
      <c r="B117" s="1083"/>
      <c r="C117" s="1083"/>
    </row>
    <row r="118">
      <c r="A118" s="1083"/>
      <c r="B118" s="1083"/>
      <c r="C118" s="1083"/>
    </row>
    <row r="119">
      <c r="A119" s="1083"/>
      <c r="B119" s="1083"/>
      <c r="C119" s="1083"/>
    </row>
    <row r="120">
      <c r="A120" s="1083"/>
      <c r="B120" s="1083"/>
      <c r="C120" s="1083"/>
    </row>
    <row r="121">
      <c r="A121" s="1083"/>
      <c r="B121" s="1083"/>
      <c r="C121" s="1083"/>
    </row>
    <row r="122">
      <c r="A122" s="1083"/>
      <c r="B122" s="1083"/>
      <c r="C122" s="1083"/>
    </row>
    <row r="123">
      <c r="A123" s="1083"/>
      <c r="B123" s="1083"/>
      <c r="C123" s="1083"/>
    </row>
    <row r="124">
      <c r="A124" s="1083"/>
      <c r="B124" s="1083"/>
      <c r="C124" s="1083"/>
    </row>
    <row r="125">
      <c r="A125" s="1083"/>
      <c r="B125" s="1083"/>
      <c r="C125" s="1083"/>
    </row>
    <row r="126">
      <c r="A126" s="1083"/>
      <c r="B126" s="1083"/>
      <c r="C126" s="1083"/>
    </row>
    <row r="127">
      <c r="A127" s="1083"/>
      <c r="B127" s="1083"/>
      <c r="C127" s="1083"/>
    </row>
    <row r="128">
      <c r="A128" s="1083"/>
      <c r="B128" s="1083"/>
      <c r="C128" s="1083"/>
    </row>
    <row r="129">
      <c r="A129" s="1083"/>
      <c r="B129" s="1083"/>
      <c r="C129" s="1083"/>
    </row>
    <row r="130">
      <c r="A130" s="1083"/>
      <c r="B130" s="1083"/>
      <c r="C130" s="1083"/>
    </row>
    <row r="131">
      <c r="A131" s="1083"/>
      <c r="B131" s="1083"/>
      <c r="C131" s="1083"/>
    </row>
    <row r="132">
      <c r="A132" s="1083"/>
      <c r="B132" s="1083"/>
      <c r="C132" s="1083"/>
    </row>
    <row r="133">
      <c r="A133" s="1083"/>
      <c r="B133" s="1083"/>
      <c r="C133" s="1083"/>
    </row>
    <row r="134">
      <c r="A134" s="1083"/>
      <c r="B134" s="1083"/>
      <c r="C134" s="1083"/>
    </row>
    <row r="135">
      <c r="A135" s="1083"/>
      <c r="B135" s="1083"/>
      <c r="C135" s="1083"/>
    </row>
    <row r="136">
      <c r="A136" s="1083"/>
      <c r="B136" s="1083"/>
      <c r="C136" s="1083"/>
    </row>
    <row r="137">
      <c r="A137" s="1083"/>
      <c r="B137" s="1083"/>
      <c r="C137" s="1083"/>
    </row>
    <row r="138">
      <c r="A138" s="1083"/>
      <c r="B138" s="1083"/>
      <c r="C138" s="1083"/>
    </row>
    <row r="139">
      <c r="A139" s="1083"/>
      <c r="B139" s="1083"/>
      <c r="C139" s="1083"/>
    </row>
    <row r="140">
      <c r="A140" s="1083"/>
      <c r="B140" s="1083"/>
      <c r="C140" s="1083"/>
    </row>
    <row r="141">
      <c r="A141" s="1083"/>
      <c r="B141" s="1083"/>
      <c r="C141" s="1083"/>
    </row>
    <row r="142">
      <c r="A142" s="1083"/>
      <c r="B142" s="1083"/>
      <c r="C142" s="1083"/>
    </row>
    <row r="143">
      <c r="A143" s="1083"/>
      <c r="B143" s="1083"/>
      <c r="C143" s="1083"/>
    </row>
    <row r="144">
      <c r="A144" s="1083"/>
      <c r="B144" s="1083"/>
      <c r="C144" s="1083"/>
    </row>
    <row r="145">
      <c r="A145" s="1083"/>
      <c r="B145" s="1083"/>
      <c r="C145" s="1083"/>
    </row>
    <row r="146">
      <c r="A146" s="1083"/>
      <c r="B146" s="1083"/>
      <c r="C146" s="1083"/>
    </row>
    <row r="147">
      <c r="A147" s="1083"/>
      <c r="B147" s="1083"/>
      <c r="C147" s="1083"/>
    </row>
    <row r="148">
      <c r="A148" s="1083"/>
      <c r="B148" s="1083"/>
      <c r="C148" s="1083"/>
    </row>
    <row r="149">
      <c r="A149" s="1083"/>
      <c r="B149" s="1083"/>
      <c r="C149" s="1083"/>
    </row>
    <row r="150">
      <c r="A150" s="1083"/>
      <c r="B150" s="1083"/>
      <c r="C150" s="1083"/>
    </row>
    <row r="151">
      <c r="A151" s="1083"/>
      <c r="B151" s="1083"/>
      <c r="C151" s="1083"/>
    </row>
    <row r="152">
      <c r="A152" s="1083"/>
      <c r="B152" s="1083"/>
      <c r="C152" s="1083"/>
    </row>
    <row r="153">
      <c r="A153" s="1083"/>
      <c r="B153" s="1083"/>
      <c r="C153" s="1083"/>
    </row>
    <row r="154">
      <c r="A154" s="1083"/>
      <c r="B154" s="1083"/>
      <c r="C154" s="1083"/>
    </row>
    <row r="155">
      <c r="A155" s="1083"/>
      <c r="B155" s="1083"/>
      <c r="C155" s="1083"/>
    </row>
    <row r="156">
      <c r="A156" s="1083"/>
      <c r="B156" s="1083"/>
      <c r="C156" s="1083"/>
    </row>
    <row r="157">
      <c r="A157" s="1083"/>
      <c r="B157" s="1083"/>
      <c r="C157" s="1083"/>
    </row>
    <row r="158">
      <c r="A158" s="1083"/>
      <c r="B158" s="1083"/>
      <c r="C158" s="1083"/>
    </row>
    <row r="159">
      <c r="A159" s="1083"/>
      <c r="B159" s="1083"/>
      <c r="C159" s="1083"/>
    </row>
    <row r="160">
      <c r="A160" s="1083"/>
      <c r="B160" s="1083"/>
      <c r="C160" s="1083"/>
    </row>
    <row r="161">
      <c r="A161" s="1083"/>
      <c r="B161" s="1083"/>
      <c r="C161" s="1083"/>
    </row>
    <row r="162">
      <c r="A162" s="1083"/>
      <c r="B162" s="1083"/>
      <c r="C162" s="1083"/>
    </row>
    <row r="163">
      <c r="A163" s="1083"/>
      <c r="B163" s="1083"/>
      <c r="C163" s="1083"/>
    </row>
    <row r="164">
      <c r="A164" s="1083"/>
      <c r="B164" s="1083"/>
      <c r="C164" s="1083"/>
    </row>
    <row r="165">
      <c r="A165" s="1083"/>
      <c r="B165" s="1083"/>
      <c r="C165" s="1083"/>
    </row>
    <row r="166">
      <c r="A166" s="1083"/>
      <c r="B166" s="1083"/>
      <c r="C166" s="1083"/>
    </row>
    <row r="167">
      <c r="A167" s="1083"/>
      <c r="B167" s="1083"/>
      <c r="C167" s="1083"/>
    </row>
    <row r="168">
      <c r="A168" s="1083"/>
      <c r="B168" s="1083"/>
      <c r="C168" s="1083"/>
    </row>
    <row r="169">
      <c r="A169" s="1083"/>
      <c r="B169" s="1083"/>
      <c r="C169" s="1083"/>
    </row>
    <row r="170">
      <c r="A170" s="1083"/>
      <c r="B170" s="1083"/>
      <c r="C170" s="1083"/>
    </row>
    <row r="171">
      <c r="A171" s="1083"/>
      <c r="B171" s="1083"/>
      <c r="C171" s="1083"/>
    </row>
    <row r="172">
      <c r="A172" s="1083"/>
      <c r="B172" s="1083"/>
      <c r="C172" s="1083"/>
    </row>
    <row r="173">
      <c r="A173" s="1083"/>
      <c r="B173" s="1083"/>
      <c r="C173" s="1083"/>
    </row>
    <row r="174">
      <c r="A174" s="1083"/>
      <c r="B174" s="1083"/>
      <c r="C174" s="1083"/>
    </row>
    <row r="175">
      <c r="A175" s="1083"/>
      <c r="B175" s="1083"/>
      <c r="C175" s="1083"/>
    </row>
    <row r="176">
      <c r="A176" s="1083"/>
      <c r="B176" s="1083"/>
      <c r="C176" s="1083"/>
    </row>
    <row r="177">
      <c r="A177" s="1083"/>
      <c r="B177" s="1083"/>
      <c r="C177" s="1083"/>
    </row>
    <row r="178">
      <c r="A178" s="1083"/>
      <c r="B178" s="1083"/>
      <c r="C178" s="1083"/>
    </row>
    <row r="179">
      <c r="A179" s="1083"/>
      <c r="B179" s="1083"/>
      <c r="C179" s="1083"/>
    </row>
    <row r="180">
      <c r="A180" s="1083"/>
      <c r="B180" s="1083"/>
      <c r="C180" s="1083"/>
    </row>
    <row r="181">
      <c r="A181" s="1083"/>
      <c r="B181" s="1083"/>
      <c r="C181" s="1083"/>
    </row>
    <row r="182">
      <c r="A182" s="1083"/>
      <c r="B182" s="1083"/>
      <c r="C182" s="1083"/>
    </row>
    <row r="183">
      <c r="A183" s="1083"/>
      <c r="B183" s="1083"/>
      <c r="C183" s="1083"/>
    </row>
    <row r="184">
      <c r="A184" s="1083"/>
      <c r="B184" s="1083"/>
      <c r="C184" s="1083"/>
    </row>
    <row r="185">
      <c r="A185" s="1083"/>
      <c r="B185" s="1083"/>
      <c r="C185" s="1083"/>
    </row>
    <row r="186">
      <c r="A186" s="1083"/>
      <c r="B186" s="1083"/>
      <c r="C186" s="1083"/>
    </row>
    <row r="187">
      <c r="A187" s="1083"/>
      <c r="B187" s="1083"/>
      <c r="C187" s="1083"/>
    </row>
    <row r="188">
      <c r="A188" s="1083"/>
      <c r="B188" s="1083"/>
      <c r="C188" s="1083"/>
    </row>
    <row r="189">
      <c r="A189" s="1083"/>
      <c r="B189" s="1083"/>
      <c r="C189" s="1083"/>
    </row>
    <row r="190">
      <c r="A190" s="1083"/>
      <c r="B190" s="1083"/>
      <c r="C190" s="1083"/>
    </row>
    <row r="191">
      <c r="A191" s="1083"/>
      <c r="B191" s="1083"/>
      <c r="C191" s="1083"/>
    </row>
    <row r="192">
      <c r="A192" s="1083"/>
      <c r="B192" s="1083"/>
      <c r="C192" s="1083"/>
    </row>
    <row r="193">
      <c r="A193" s="1083"/>
      <c r="B193" s="1083"/>
      <c r="C193" s="1083"/>
    </row>
    <row r="194">
      <c r="A194" s="1083"/>
      <c r="B194" s="1083"/>
      <c r="C194" s="1083"/>
    </row>
    <row r="195">
      <c r="A195" s="1083"/>
      <c r="B195" s="1083"/>
      <c r="C195" s="1083"/>
    </row>
    <row r="196">
      <c r="A196" s="1083"/>
      <c r="B196" s="1083"/>
      <c r="C196" s="1083"/>
    </row>
    <row r="197">
      <c r="A197" s="1083"/>
      <c r="B197" s="1083"/>
      <c r="C197" s="1083"/>
    </row>
    <row r="198">
      <c r="A198" s="1083"/>
      <c r="B198" s="1083"/>
      <c r="C198" s="1083"/>
    </row>
    <row r="199">
      <c r="A199" s="1083"/>
      <c r="B199" s="1083"/>
      <c r="C199" s="1083"/>
    </row>
    <row r="200">
      <c r="A200" s="1083"/>
      <c r="B200" s="1083"/>
      <c r="C200" s="1083"/>
    </row>
    <row r="201">
      <c r="A201" s="1083"/>
      <c r="B201" s="1083"/>
      <c r="C201" s="1083"/>
    </row>
    <row r="202">
      <c r="A202" s="1083"/>
      <c r="B202" s="1083"/>
      <c r="C202" s="1083"/>
    </row>
    <row r="203">
      <c r="A203" s="1083"/>
      <c r="B203" s="1083"/>
      <c r="C203" s="1083"/>
    </row>
    <row r="204">
      <c r="A204" s="1083"/>
      <c r="B204" s="1083"/>
      <c r="C204" s="1083"/>
    </row>
    <row r="205">
      <c r="A205" s="1083"/>
      <c r="B205" s="1083"/>
      <c r="C205" s="1083"/>
    </row>
    <row r="206">
      <c r="A206" s="1083"/>
      <c r="B206" s="1083"/>
      <c r="C206" s="1083"/>
    </row>
    <row r="207">
      <c r="A207" s="1083"/>
      <c r="B207" s="1083"/>
      <c r="C207" s="1083"/>
    </row>
    <row r="208">
      <c r="A208" s="1083"/>
      <c r="B208" s="1083"/>
      <c r="C208" s="1083"/>
    </row>
    <row r="209">
      <c r="A209" s="1083"/>
      <c r="B209" s="1083"/>
      <c r="C209" s="1083"/>
    </row>
    <row r="210">
      <c r="A210" s="1083"/>
      <c r="B210" s="1083"/>
      <c r="C210" s="1083"/>
    </row>
    <row r="211">
      <c r="A211" s="1083"/>
      <c r="B211" s="1083"/>
      <c r="C211" s="1083"/>
    </row>
    <row r="212">
      <c r="A212" s="1083"/>
      <c r="B212" s="1083"/>
      <c r="C212" s="1083"/>
    </row>
    <row r="213">
      <c r="A213" s="1083"/>
      <c r="B213" s="1083"/>
      <c r="C213" s="1083"/>
    </row>
    <row r="214">
      <c r="A214" s="1083"/>
      <c r="B214" s="1083"/>
      <c r="C214" s="1083"/>
    </row>
    <row r="215">
      <c r="A215" s="1083"/>
      <c r="B215" s="1083"/>
      <c r="C215" s="1083"/>
    </row>
    <row r="216">
      <c r="A216" s="1083"/>
      <c r="B216" s="1083"/>
      <c r="C216" s="1083"/>
    </row>
    <row r="217">
      <c r="A217" s="1083"/>
      <c r="B217" s="1083"/>
      <c r="C217" s="1083"/>
    </row>
    <row r="218">
      <c r="A218" s="1083"/>
      <c r="B218" s="1083"/>
      <c r="C218" s="1083"/>
    </row>
    <row r="219">
      <c r="A219" s="1083"/>
      <c r="B219" s="1083"/>
      <c r="C219" s="1083"/>
    </row>
    <row r="220">
      <c r="A220" s="1083"/>
      <c r="B220" s="1083"/>
      <c r="C220" s="1083"/>
    </row>
    <row r="221">
      <c r="A221" s="1083"/>
      <c r="B221" s="1083"/>
      <c r="C221" s="1083"/>
    </row>
    <row r="222">
      <c r="A222" s="1083"/>
      <c r="B222" s="1083"/>
      <c r="C222" s="1083"/>
    </row>
    <row r="223">
      <c r="A223" s="1083"/>
      <c r="B223" s="1083"/>
      <c r="C223" s="1083"/>
    </row>
    <row r="224">
      <c r="A224" s="1083"/>
      <c r="B224" s="1083"/>
      <c r="C224" s="1083"/>
    </row>
    <row r="225">
      <c r="A225" s="1083"/>
      <c r="B225" s="1083"/>
      <c r="C225" s="1083"/>
    </row>
    <row r="226">
      <c r="A226" s="1083"/>
      <c r="B226" s="1083"/>
      <c r="C226" s="1083"/>
    </row>
    <row r="227">
      <c r="A227" s="1083"/>
      <c r="B227" s="1083"/>
      <c r="C227" s="1083"/>
    </row>
    <row r="228">
      <c r="A228" s="1083"/>
      <c r="B228" s="1083"/>
      <c r="C228" s="1083"/>
    </row>
    <row r="229">
      <c r="A229" s="1083"/>
      <c r="B229" s="1083"/>
      <c r="C229" s="1083"/>
    </row>
    <row r="230">
      <c r="A230" s="1083"/>
      <c r="B230" s="1083"/>
      <c r="C230" s="1083"/>
    </row>
    <row r="231">
      <c r="A231" s="1083"/>
      <c r="B231" s="1083"/>
      <c r="C231" s="1083"/>
    </row>
    <row r="232">
      <c r="A232" s="1083"/>
      <c r="B232" s="1083"/>
      <c r="C232" s="1083"/>
    </row>
    <row r="233">
      <c r="A233" s="1083"/>
      <c r="B233" s="1083"/>
      <c r="C233" s="1083"/>
    </row>
    <row r="234">
      <c r="A234" s="1083"/>
      <c r="B234" s="1083"/>
      <c r="C234" s="1083"/>
    </row>
    <row r="235">
      <c r="A235" s="1083"/>
      <c r="B235" s="1083"/>
      <c r="C235" s="1083"/>
    </row>
    <row r="236">
      <c r="A236" s="1083"/>
      <c r="B236" s="1083"/>
      <c r="C236" s="1083"/>
    </row>
    <row r="237">
      <c r="A237" s="1083"/>
      <c r="B237" s="1083"/>
      <c r="C237" s="1083"/>
    </row>
    <row r="238">
      <c r="A238" s="1083"/>
      <c r="B238" s="1083"/>
      <c r="C238" s="1083"/>
    </row>
    <row r="239">
      <c r="A239" s="1083"/>
      <c r="B239" s="1083"/>
      <c r="C239" s="1083"/>
    </row>
    <row r="240">
      <c r="A240" s="1083"/>
      <c r="B240" s="1083"/>
      <c r="C240" s="1083"/>
    </row>
    <row r="241">
      <c r="A241" s="1083"/>
      <c r="B241" s="1083"/>
      <c r="C241" s="1083"/>
    </row>
    <row r="242">
      <c r="A242" s="1083"/>
      <c r="B242" s="1083"/>
      <c r="C242" s="1083"/>
    </row>
    <row r="243">
      <c r="A243" s="1083"/>
      <c r="B243" s="1083"/>
      <c r="C243" s="1083"/>
    </row>
    <row r="244">
      <c r="A244" s="1083"/>
      <c r="B244" s="1083"/>
      <c r="C244" s="1083"/>
    </row>
    <row r="245">
      <c r="A245" s="1083"/>
      <c r="B245" s="1083"/>
      <c r="C245" s="1083"/>
    </row>
    <row r="246">
      <c r="A246" s="1083"/>
      <c r="B246" s="1083"/>
      <c r="C246" s="1083"/>
    </row>
    <row r="247">
      <c r="A247" s="1083"/>
      <c r="B247" s="1083"/>
      <c r="C247" s="1083"/>
    </row>
    <row r="248">
      <c r="A248" s="1083"/>
      <c r="B248" s="1083"/>
      <c r="C248" s="1083"/>
    </row>
    <row r="249">
      <c r="A249" s="1083"/>
      <c r="B249" s="1083"/>
      <c r="C249" s="1083"/>
    </row>
    <row r="250">
      <c r="A250" s="1083"/>
      <c r="B250" s="1083"/>
      <c r="C250" s="1083"/>
    </row>
    <row r="251">
      <c r="A251" s="1083"/>
      <c r="B251" s="1083"/>
      <c r="C251" s="1083"/>
    </row>
    <row r="252">
      <c r="A252" s="1083"/>
      <c r="B252" s="1083"/>
      <c r="C252" s="1083"/>
    </row>
    <row r="253">
      <c r="A253" s="1083"/>
      <c r="B253" s="1083"/>
      <c r="C253" s="1083"/>
    </row>
    <row r="254">
      <c r="A254" s="1083"/>
      <c r="B254" s="1083"/>
      <c r="C254" s="1083"/>
    </row>
    <row r="255">
      <c r="A255" s="1083"/>
      <c r="B255" s="1083"/>
      <c r="C255" s="1083"/>
    </row>
    <row r="256">
      <c r="A256" s="1083"/>
      <c r="B256" s="1083"/>
      <c r="C256" s="1083"/>
    </row>
    <row r="257">
      <c r="A257" s="1083"/>
      <c r="B257" s="1083"/>
      <c r="C257" s="1083"/>
    </row>
    <row r="258">
      <c r="A258" s="1083"/>
      <c r="B258" s="1083"/>
      <c r="C258" s="1083"/>
    </row>
    <row r="259">
      <c r="A259" s="1083"/>
      <c r="B259" s="1083"/>
      <c r="C259" s="1083"/>
    </row>
    <row r="260">
      <c r="A260" s="1083"/>
      <c r="B260" s="1083"/>
      <c r="C260" s="1083"/>
    </row>
    <row r="261">
      <c r="A261" s="1083"/>
      <c r="B261" s="1083"/>
      <c r="C261" s="1083"/>
    </row>
    <row r="262">
      <c r="A262" s="1083"/>
      <c r="B262" s="1083"/>
      <c r="C262" s="1083"/>
    </row>
    <row r="263">
      <c r="A263" s="1083"/>
      <c r="B263" s="1083"/>
      <c r="C263" s="1083"/>
    </row>
    <row r="264">
      <c r="A264" s="1083"/>
      <c r="B264" s="1083"/>
      <c r="C264" s="1083"/>
    </row>
    <row r="265">
      <c r="A265" s="1083"/>
      <c r="B265" s="1083"/>
      <c r="C265" s="1083"/>
    </row>
    <row r="266">
      <c r="A266" s="1083"/>
      <c r="B266" s="1083"/>
      <c r="C266" s="1083"/>
    </row>
    <row r="267">
      <c r="A267" s="1083"/>
      <c r="B267" s="1083"/>
      <c r="C267" s="1083"/>
    </row>
    <row r="268">
      <c r="A268" s="1083"/>
      <c r="B268" s="1083"/>
      <c r="C268" s="1083"/>
    </row>
    <row r="269">
      <c r="A269" s="1083"/>
      <c r="B269" s="1083"/>
      <c r="C269" s="1083"/>
    </row>
    <row r="270">
      <c r="A270" s="1083"/>
      <c r="B270" s="1083"/>
      <c r="C270" s="1083"/>
    </row>
    <row r="271">
      <c r="A271" s="1083"/>
      <c r="B271" s="1083"/>
      <c r="C271" s="1083"/>
    </row>
    <row r="272">
      <c r="A272" s="1083"/>
      <c r="B272" s="1083"/>
      <c r="C272" s="1083"/>
    </row>
    <row r="273">
      <c r="A273" s="1083"/>
      <c r="B273" s="1083"/>
      <c r="C273" s="1083"/>
    </row>
    <row r="274">
      <c r="A274" s="1083"/>
      <c r="B274" s="1083"/>
      <c r="C274" s="1083"/>
    </row>
    <row r="275">
      <c r="A275" s="1083"/>
      <c r="B275" s="1083"/>
      <c r="C275" s="1083"/>
    </row>
    <row r="276">
      <c r="A276" s="1083"/>
      <c r="B276" s="1083"/>
      <c r="C276" s="1083"/>
    </row>
    <row r="277">
      <c r="A277" s="1083"/>
      <c r="B277" s="1083"/>
      <c r="C277" s="1083"/>
    </row>
    <row r="278">
      <c r="A278" s="1083"/>
      <c r="B278" s="1083"/>
      <c r="C278" s="1083"/>
    </row>
    <row r="279">
      <c r="A279" s="1083"/>
      <c r="B279" s="1083"/>
      <c r="C279" s="1083"/>
    </row>
    <row r="280">
      <c r="A280" s="1083"/>
      <c r="B280" s="1083"/>
      <c r="C280" s="1083"/>
    </row>
    <row r="281">
      <c r="A281" s="1083"/>
      <c r="B281" s="1083"/>
      <c r="C281" s="1083"/>
    </row>
    <row r="282">
      <c r="A282" s="1083"/>
      <c r="B282" s="1083"/>
      <c r="C282" s="1083"/>
    </row>
    <row r="283">
      <c r="A283" s="1083"/>
      <c r="B283" s="1083"/>
      <c r="C283" s="1083"/>
    </row>
    <row r="284">
      <c r="A284" s="1083"/>
      <c r="B284" s="1083"/>
      <c r="C284" s="1083"/>
    </row>
    <row r="285">
      <c r="A285" s="1083"/>
      <c r="B285" s="1083"/>
      <c r="C285" s="1083"/>
    </row>
    <row r="286">
      <c r="A286" s="1083"/>
      <c r="B286" s="1083"/>
      <c r="C286" s="1083"/>
    </row>
    <row r="287">
      <c r="A287" s="1083"/>
      <c r="B287" s="1083"/>
      <c r="C287" s="1083"/>
    </row>
    <row r="288">
      <c r="A288" s="1083"/>
      <c r="B288" s="1083"/>
      <c r="C288" s="1083"/>
    </row>
    <row r="289">
      <c r="A289" s="1083"/>
      <c r="B289" s="1083"/>
      <c r="C289" s="1083"/>
    </row>
    <row r="290">
      <c r="A290" s="1083"/>
      <c r="B290" s="1083"/>
      <c r="C290" s="1083"/>
    </row>
    <row r="291">
      <c r="A291" s="1083"/>
      <c r="B291" s="1083"/>
      <c r="C291" s="1083"/>
    </row>
    <row r="292">
      <c r="A292" s="1083"/>
      <c r="B292" s="1083"/>
      <c r="C292" s="1083"/>
    </row>
    <row r="293">
      <c r="A293" s="1083"/>
      <c r="B293" s="1083"/>
      <c r="C293" s="1083"/>
    </row>
    <row r="294">
      <c r="A294" s="1083"/>
      <c r="B294" s="1083"/>
      <c r="C294" s="1083"/>
    </row>
    <row r="295">
      <c r="A295" s="1083"/>
      <c r="B295" s="1083"/>
      <c r="C295" s="1083"/>
    </row>
    <row r="296">
      <c r="A296" s="1083"/>
      <c r="B296" s="1083"/>
      <c r="C296" s="1083"/>
    </row>
    <row r="297">
      <c r="A297" s="1083"/>
      <c r="B297" s="1083"/>
      <c r="C297" s="1083"/>
    </row>
    <row r="298">
      <c r="A298" s="1083"/>
      <c r="B298" s="1083"/>
      <c r="C298" s="1083"/>
    </row>
    <row r="299">
      <c r="A299" s="1083"/>
      <c r="B299" s="1083"/>
      <c r="C299" s="1083"/>
    </row>
    <row r="300">
      <c r="A300" s="1083"/>
      <c r="B300" s="1083"/>
      <c r="C300" s="1083"/>
    </row>
    <row r="301">
      <c r="A301" s="1083"/>
      <c r="B301" s="1083"/>
      <c r="C301" s="1083"/>
    </row>
    <row r="302">
      <c r="A302" s="1083"/>
      <c r="B302" s="1083"/>
      <c r="C302" s="1083"/>
    </row>
    <row r="303">
      <c r="A303" s="1083"/>
      <c r="B303" s="1083"/>
      <c r="C303" s="1083"/>
    </row>
    <row r="304">
      <c r="A304" s="1083"/>
      <c r="B304" s="1083"/>
      <c r="C304" s="1083"/>
    </row>
    <row r="305">
      <c r="A305" s="1083"/>
      <c r="B305" s="1083"/>
      <c r="C305" s="1083"/>
    </row>
    <row r="306">
      <c r="A306" s="1083"/>
      <c r="B306" s="1083"/>
      <c r="C306" s="1083"/>
    </row>
    <row r="307">
      <c r="A307" s="1083"/>
      <c r="B307" s="1083"/>
      <c r="C307" s="1083"/>
    </row>
    <row r="308">
      <c r="A308" s="1083"/>
      <c r="B308" s="1083"/>
      <c r="C308" s="1083"/>
    </row>
    <row r="309">
      <c r="A309" s="1083"/>
      <c r="B309" s="1083"/>
      <c r="C309" s="1083"/>
    </row>
    <row r="310">
      <c r="A310" s="1083"/>
      <c r="B310" s="1083"/>
      <c r="C310" s="1083"/>
    </row>
    <row r="311">
      <c r="A311" s="1083"/>
      <c r="B311" s="1083"/>
      <c r="C311" s="1083"/>
    </row>
    <row r="312">
      <c r="A312" s="1083"/>
      <c r="B312" s="1083"/>
      <c r="C312" s="1083"/>
    </row>
    <row r="313">
      <c r="A313" s="1083"/>
      <c r="B313" s="1083"/>
      <c r="C313" s="1083"/>
    </row>
    <row r="314">
      <c r="A314" s="1083"/>
      <c r="B314" s="1083"/>
      <c r="C314" s="1083"/>
    </row>
    <row r="315">
      <c r="A315" s="1083"/>
      <c r="B315" s="1083"/>
      <c r="C315" s="1083"/>
    </row>
    <row r="316">
      <c r="A316" s="1083"/>
      <c r="B316" s="1083"/>
      <c r="C316" s="1083"/>
    </row>
    <row r="317">
      <c r="A317" s="1083"/>
      <c r="B317" s="1083"/>
      <c r="C317" s="1083"/>
    </row>
    <row r="318">
      <c r="A318" s="1083"/>
      <c r="B318" s="1083"/>
      <c r="C318" s="1083"/>
    </row>
    <row r="319">
      <c r="A319" s="1083"/>
      <c r="B319" s="1083"/>
      <c r="C319" s="1083"/>
    </row>
    <row r="320">
      <c r="A320" s="1083"/>
      <c r="B320" s="1083"/>
      <c r="C320" s="1083"/>
    </row>
    <row r="321">
      <c r="A321" s="1083"/>
      <c r="B321" s="1083"/>
      <c r="C321" s="1083"/>
    </row>
    <row r="322">
      <c r="A322" s="1083"/>
      <c r="B322" s="1083"/>
      <c r="C322" s="1083"/>
    </row>
    <row r="323">
      <c r="A323" s="1083"/>
      <c r="B323" s="1083"/>
      <c r="C323" s="1083"/>
    </row>
    <row r="324">
      <c r="A324" s="1083"/>
      <c r="B324" s="1083"/>
      <c r="C324" s="1083"/>
    </row>
    <row r="325">
      <c r="A325" s="1083"/>
      <c r="B325" s="1083"/>
      <c r="C325" s="1083"/>
    </row>
    <row r="326">
      <c r="A326" s="1083"/>
      <c r="B326" s="1083"/>
      <c r="C326" s="1083"/>
    </row>
    <row r="327">
      <c r="A327" s="1083"/>
      <c r="B327" s="1083"/>
      <c r="C327" s="1083"/>
    </row>
    <row r="328">
      <c r="A328" s="1083"/>
      <c r="B328" s="1083"/>
      <c r="C328" s="1083"/>
    </row>
    <row r="329">
      <c r="A329" s="1083"/>
      <c r="B329" s="1083"/>
      <c r="C329" s="1083"/>
    </row>
    <row r="330">
      <c r="A330" s="1083"/>
      <c r="B330" s="1083"/>
      <c r="C330" s="1083"/>
    </row>
    <row r="331">
      <c r="A331" s="1083"/>
      <c r="B331" s="1083"/>
      <c r="C331" s="1083"/>
    </row>
    <row r="332">
      <c r="A332" s="1083"/>
      <c r="B332" s="1083"/>
      <c r="C332" s="1083"/>
    </row>
    <row r="333">
      <c r="A333" s="1083"/>
      <c r="B333" s="1083"/>
      <c r="C333" s="1083"/>
    </row>
    <row r="334">
      <c r="A334" s="1083"/>
      <c r="B334" s="1083"/>
      <c r="C334" s="1083"/>
    </row>
    <row r="335">
      <c r="A335" s="1083"/>
      <c r="B335" s="1083"/>
      <c r="C335" s="1083"/>
    </row>
    <row r="336">
      <c r="A336" s="1083"/>
      <c r="B336" s="1083"/>
      <c r="C336" s="1083"/>
    </row>
    <row r="337">
      <c r="A337" s="1083"/>
      <c r="B337" s="1083"/>
      <c r="C337" s="1083"/>
    </row>
    <row r="338">
      <c r="A338" s="1083"/>
      <c r="B338" s="1083"/>
      <c r="C338" s="1083"/>
    </row>
    <row r="339">
      <c r="A339" s="1083"/>
      <c r="B339" s="1083"/>
      <c r="C339" s="1083"/>
    </row>
    <row r="340">
      <c r="A340" s="1083"/>
      <c r="B340" s="1083"/>
      <c r="C340" s="1083"/>
    </row>
    <row r="341">
      <c r="A341" s="1083"/>
      <c r="B341" s="1083"/>
      <c r="C341" s="1083"/>
    </row>
    <row r="342">
      <c r="A342" s="1083"/>
      <c r="B342" s="1083"/>
      <c r="C342" s="1083"/>
    </row>
    <row r="343">
      <c r="A343" s="1083"/>
      <c r="B343" s="1083"/>
      <c r="C343" s="1083"/>
    </row>
    <row r="344">
      <c r="A344" s="1083"/>
      <c r="B344" s="1083"/>
      <c r="C344" s="1083"/>
    </row>
    <row r="345">
      <c r="A345" s="1083"/>
      <c r="B345" s="1083"/>
      <c r="C345" s="1083"/>
    </row>
    <row r="346">
      <c r="A346" s="1083"/>
      <c r="B346" s="1083"/>
      <c r="C346" s="1083"/>
    </row>
    <row r="347">
      <c r="A347" s="1083"/>
      <c r="B347" s="1083"/>
      <c r="C347" s="1083"/>
    </row>
    <row r="348">
      <c r="A348" s="1083"/>
      <c r="B348" s="1083"/>
      <c r="C348" s="1083"/>
    </row>
    <row r="349">
      <c r="A349" s="1083"/>
      <c r="B349" s="1083"/>
      <c r="C349" s="1083"/>
    </row>
    <row r="350">
      <c r="A350" s="1083"/>
      <c r="B350" s="1083"/>
      <c r="C350" s="1083"/>
    </row>
    <row r="351">
      <c r="A351" s="1083"/>
      <c r="B351" s="1083"/>
      <c r="C351" s="1083"/>
    </row>
    <row r="352">
      <c r="A352" s="1083"/>
      <c r="B352" s="1083"/>
      <c r="C352" s="1083"/>
    </row>
    <row r="353">
      <c r="A353" s="1083"/>
      <c r="B353" s="1083"/>
      <c r="C353" s="1083"/>
    </row>
    <row r="354">
      <c r="A354" s="1083"/>
      <c r="B354" s="1083"/>
      <c r="C354" s="1083"/>
    </row>
    <row r="355">
      <c r="A355" s="1083"/>
      <c r="B355" s="1083"/>
      <c r="C355" s="1083"/>
    </row>
    <row r="356">
      <c r="A356" s="1083"/>
      <c r="B356" s="1083"/>
      <c r="C356" s="1083"/>
    </row>
    <row r="357">
      <c r="A357" s="1083"/>
      <c r="B357" s="1083"/>
      <c r="C357" s="1083"/>
    </row>
    <row r="358">
      <c r="A358" s="1083"/>
      <c r="B358" s="1083"/>
      <c r="C358" s="1083"/>
    </row>
    <row r="359">
      <c r="A359" s="1083"/>
      <c r="B359" s="1083"/>
      <c r="C359" s="1083"/>
    </row>
    <row r="360">
      <c r="A360" s="1083"/>
      <c r="B360" s="1083"/>
      <c r="C360" s="1083"/>
    </row>
    <row r="361">
      <c r="A361" s="1083"/>
      <c r="B361" s="1083"/>
      <c r="C361" s="1083"/>
    </row>
    <row r="362">
      <c r="A362" s="1083"/>
      <c r="B362" s="1083"/>
      <c r="C362" s="1083"/>
    </row>
    <row r="363">
      <c r="A363" s="1083"/>
      <c r="B363" s="1083"/>
      <c r="C363" s="1083"/>
    </row>
    <row r="364">
      <c r="A364" s="1083"/>
      <c r="B364" s="1083"/>
      <c r="C364" s="1083"/>
    </row>
    <row r="365">
      <c r="A365" s="1083"/>
      <c r="B365" s="1083"/>
      <c r="C365" s="1083"/>
    </row>
    <row r="366">
      <c r="A366" s="1083"/>
      <c r="B366" s="1083"/>
      <c r="C366" s="1083"/>
    </row>
    <row r="367">
      <c r="A367" s="1083"/>
      <c r="B367" s="1083"/>
      <c r="C367" s="1083"/>
    </row>
    <row r="368">
      <c r="A368" s="1083"/>
      <c r="B368" s="1083"/>
      <c r="C368" s="1083"/>
    </row>
    <row r="369">
      <c r="A369" s="1083"/>
      <c r="B369" s="1083"/>
      <c r="C369" s="1083"/>
    </row>
    <row r="370">
      <c r="A370" s="1083"/>
      <c r="B370" s="1083"/>
      <c r="C370" s="1083"/>
    </row>
    <row r="371">
      <c r="A371" s="1083"/>
      <c r="B371" s="1083"/>
      <c r="C371" s="1083"/>
    </row>
    <row r="372">
      <c r="A372" s="1083"/>
      <c r="B372" s="1083"/>
      <c r="C372" s="1083"/>
    </row>
    <row r="373">
      <c r="A373" s="1083"/>
      <c r="B373" s="1083"/>
      <c r="C373" s="1083"/>
    </row>
    <row r="374">
      <c r="A374" s="1083"/>
      <c r="B374" s="1083"/>
      <c r="C374" s="1083"/>
    </row>
    <row r="375">
      <c r="A375" s="1083"/>
      <c r="B375" s="1083"/>
      <c r="C375" s="1083"/>
    </row>
    <row r="376">
      <c r="A376" s="1083"/>
      <c r="B376" s="1083"/>
      <c r="C376" s="1083"/>
    </row>
    <row r="377">
      <c r="A377" s="1083"/>
      <c r="B377" s="1083"/>
      <c r="C377" s="1083"/>
    </row>
    <row r="378">
      <c r="A378" s="1083"/>
      <c r="B378" s="1083"/>
      <c r="C378" s="1083"/>
    </row>
    <row r="379">
      <c r="A379" s="1083"/>
      <c r="B379" s="1083"/>
      <c r="C379" s="1083"/>
    </row>
    <row r="380">
      <c r="A380" s="1083"/>
      <c r="B380" s="1083"/>
      <c r="C380" s="1083"/>
    </row>
    <row r="381">
      <c r="A381" s="1083"/>
      <c r="B381" s="1083"/>
      <c r="C381" s="1083"/>
    </row>
    <row r="382">
      <c r="A382" s="1083"/>
      <c r="B382" s="1083"/>
      <c r="C382" s="1083"/>
    </row>
    <row r="383">
      <c r="A383" s="1083"/>
      <c r="B383" s="1083"/>
      <c r="C383" s="1083"/>
    </row>
    <row r="384">
      <c r="A384" s="1083"/>
      <c r="B384" s="1083"/>
      <c r="C384" s="1083"/>
    </row>
    <row r="385">
      <c r="A385" s="1083"/>
      <c r="B385" s="1083"/>
      <c r="C385" s="1083"/>
    </row>
    <row r="386">
      <c r="A386" s="1083"/>
      <c r="B386" s="1083"/>
      <c r="C386" s="1083"/>
    </row>
    <row r="387">
      <c r="A387" s="1083"/>
      <c r="B387" s="1083"/>
      <c r="C387" s="1083"/>
    </row>
    <row r="388">
      <c r="A388" s="1083"/>
      <c r="B388" s="1083"/>
      <c r="C388" s="1083"/>
    </row>
    <row r="389">
      <c r="A389" s="1083"/>
      <c r="B389" s="1083"/>
      <c r="C389" s="1083"/>
    </row>
    <row r="390">
      <c r="A390" s="1083"/>
      <c r="B390" s="1083"/>
      <c r="C390" s="1083"/>
    </row>
    <row r="391">
      <c r="A391" s="1083"/>
      <c r="B391" s="1083"/>
      <c r="C391" s="1083"/>
    </row>
    <row r="392">
      <c r="A392" s="1083"/>
      <c r="B392" s="1083"/>
      <c r="C392" s="1083"/>
    </row>
    <row r="393">
      <c r="A393" s="1083"/>
      <c r="B393" s="1083"/>
      <c r="C393" s="1083"/>
    </row>
    <row r="394">
      <c r="A394" s="1083"/>
      <c r="B394" s="1083"/>
      <c r="C394" s="1083"/>
    </row>
    <row r="395">
      <c r="A395" s="1083"/>
      <c r="B395" s="1083"/>
      <c r="C395" s="1083"/>
    </row>
    <row r="396">
      <c r="A396" s="1083"/>
      <c r="B396" s="1083"/>
      <c r="C396" s="1083"/>
    </row>
    <row r="397">
      <c r="A397" s="1083"/>
      <c r="B397" s="1083"/>
      <c r="C397" s="1083"/>
    </row>
    <row r="398">
      <c r="A398" s="1083"/>
      <c r="B398" s="1083"/>
      <c r="C398" s="1083"/>
    </row>
    <row r="399">
      <c r="A399" s="1083"/>
      <c r="B399" s="1083"/>
      <c r="C399" s="1083"/>
    </row>
    <row r="400">
      <c r="A400" s="1083"/>
      <c r="B400" s="1083"/>
      <c r="C400" s="1083"/>
    </row>
    <row r="401">
      <c r="A401" s="1083"/>
      <c r="B401" s="1083"/>
      <c r="C401" s="1083"/>
    </row>
    <row r="402">
      <c r="A402" s="1083"/>
      <c r="B402" s="1083"/>
      <c r="C402" s="1083"/>
    </row>
    <row r="403">
      <c r="A403" s="1083"/>
      <c r="B403" s="1083"/>
      <c r="C403" s="1083"/>
    </row>
    <row r="404">
      <c r="A404" s="1083"/>
      <c r="B404" s="1083"/>
      <c r="C404" s="1083"/>
    </row>
    <row r="405">
      <c r="A405" s="1083"/>
      <c r="B405" s="1083"/>
      <c r="C405" s="1083"/>
    </row>
    <row r="406">
      <c r="A406" s="1083"/>
      <c r="B406" s="1083"/>
      <c r="C406" s="1083"/>
    </row>
    <row r="407">
      <c r="A407" s="1083"/>
      <c r="B407" s="1083"/>
      <c r="C407" s="1083"/>
    </row>
    <row r="408">
      <c r="A408" s="1083"/>
      <c r="B408" s="1083"/>
      <c r="C408" s="1083"/>
    </row>
    <row r="409">
      <c r="A409" s="1083"/>
      <c r="B409" s="1083"/>
      <c r="C409" s="1083"/>
    </row>
    <row r="410">
      <c r="A410" s="1083"/>
      <c r="B410" s="1083"/>
      <c r="C410" s="1083"/>
    </row>
    <row r="411">
      <c r="A411" s="1083"/>
      <c r="B411" s="1083"/>
      <c r="C411" s="1083"/>
    </row>
    <row r="412">
      <c r="A412" s="1083"/>
      <c r="B412" s="1083"/>
      <c r="C412" s="1083"/>
    </row>
    <row r="413">
      <c r="A413" s="1083"/>
      <c r="B413" s="1083"/>
      <c r="C413" s="1083"/>
    </row>
    <row r="414">
      <c r="A414" s="1083"/>
      <c r="B414" s="1083"/>
      <c r="C414" s="1083"/>
    </row>
    <row r="415">
      <c r="A415" s="1083"/>
      <c r="B415" s="1083"/>
      <c r="C415" s="1083"/>
    </row>
    <row r="416">
      <c r="A416" s="1083"/>
      <c r="B416" s="1083"/>
      <c r="C416" s="1083"/>
    </row>
    <row r="417">
      <c r="A417" s="1083"/>
      <c r="B417" s="1083"/>
      <c r="C417" s="1083"/>
    </row>
    <row r="418">
      <c r="A418" s="1083"/>
      <c r="B418" s="1083"/>
      <c r="C418" s="1083"/>
    </row>
    <row r="419">
      <c r="A419" s="1083"/>
      <c r="B419" s="1083"/>
      <c r="C419" s="1083"/>
    </row>
    <row r="420">
      <c r="A420" s="1083"/>
      <c r="B420" s="1083"/>
      <c r="C420" s="1083"/>
    </row>
    <row r="421">
      <c r="A421" s="1083"/>
      <c r="B421" s="1083"/>
      <c r="C421" s="1083"/>
    </row>
    <row r="422">
      <c r="A422" s="1083"/>
      <c r="B422" s="1083"/>
      <c r="C422" s="1083"/>
    </row>
    <row r="423">
      <c r="A423" s="1083"/>
      <c r="B423" s="1083"/>
      <c r="C423" s="1083"/>
    </row>
    <row r="424">
      <c r="A424" s="1083"/>
      <c r="B424" s="1083"/>
      <c r="C424" s="1083"/>
    </row>
    <row r="425">
      <c r="A425" s="1083"/>
      <c r="B425" s="1083"/>
      <c r="C425" s="1083"/>
    </row>
    <row r="426">
      <c r="A426" s="1083"/>
      <c r="B426" s="1083"/>
      <c r="C426" s="1083"/>
    </row>
    <row r="427">
      <c r="A427" s="1083"/>
      <c r="B427" s="1083"/>
      <c r="C427" s="1083"/>
    </row>
    <row r="428">
      <c r="A428" s="1083"/>
      <c r="B428" s="1083"/>
      <c r="C428" s="1083"/>
    </row>
    <row r="429">
      <c r="A429" s="1083"/>
      <c r="B429" s="1083"/>
      <c r="C429" s="1083"/>
    </row>
    <row r="430">
      <c r="A430" s="1083"/>
      <c r="B430" s="1083"/>
      <c r="C430" s="1083"/>
    </row>
    <row r="431">
      <c r="A431" s="1083"/>
      <c r="B431" s="1083"/>
      <c r="C431" s="1083"/>
    </row>
    <row r="432">
      <c r="A432" s="1083"/>
      <c r="B432" s="1083"/>
      <c r="C432" s="1083"/>
    </row>
    <row r="433">
      <c r="A433" s="1083"/>
      <c r="B433" s="1083"/>
      <c r="C433" s="1083"/>
    </row>
    <row r="434">
      <c r="A434" s="1083"/>
      <c r="B434" s="1083"/>
      <c r="C434" s="1083"/>
    </row>
    <row r="435">
      <c r="A435" s="1083"/>
      <c r="B435" s="1083"/>
      <c r="C435" s="1083"/>
    </row>
    <row r="436">
      <c r="A436" s="1083"/>
      <c r="B436" s="1083"/>
      <c r="C436" s="1083"/>
    </row>
    <row r="437">
      <c r="A437" s="1083"/>
      <c r="B437" s="1083"/>
      <c r="C437" s="1083"/>
    </row>
    <row r="438">
      <c r="A438" s="1083"/>
      <c r="B438" s="1083"/>
      <c r="C438" s="1083"/>
    </row>
    <row r="439">
      <c r="A439" s="1083"/>
      <c r="B439" s="1083"/>
      <c r="C439" s="1083"/>
    </row>
    <row r="440">
      <c r="A440" s="1083"/>
      <c r="B440" s="1083"/>
      <c r="C440" s="1083"/>
    </row>
    <row r="441">
      <c r="A441" s="1083"/>
      <c r="B441" s="1083"/>
      <c r="C441" s="1083"/>
    </row>
    <row r="442">
      <c r="A442" s="1083"/>
      <c r="B442" s="1083"/>
      <c r="C442" s="1083"/>
    </row>
    <row r="443">
      <c r="A443" s="1083"/>
      <c r="B443" s="1083"/>
      <c r="C443" s="1083"/>
    </row>
    <row r="444">
      <c r="A444" s="1083"/>
      <c r="B444" s="1083"/>
      <c r="C444" s="1083"/>
    </row>
    <row r="445">
      <c r="A445" s="1083"/>
      <c r="B445" s="1083"/>
      <c r="C445" s="1083"/>
    </row>
    <row r="446">
      <c r="A446" s="1083"/>
      <c r="B446" s="1083"/>
      <c r="C446" s="1083"/>
    </row>
    <row r="447">
      <c r="A447" s="1083"/>
      <c r="B447" s="1083"/>
      <c r="C447" s="1083"/>
    </row>
    <row r="448">
      <c r="A448" s="1083"/>
      <c r="B448" s="1083"/>
      <c r="C448" s="1083"/>
    </row>
    <row r="449">
      <c r="A449" s="1083"/>
      <c r="B449" s="1083"/>
      <c r="C449" s="1083"/>
    </row>
    <row r="450">
      <c r="A450" s="1083"/>
      <c r="B450" s="1083"/>
      <c r="C450" s="1083"/>
    </row>
    <row r="451">
      <c r="A451" s="1083"/>
      <c r="B451" s="1083"/>
      <c r="C451" s="1083"/>
    </row>
    <row r="452">
      <c r="A452" s="1083"/>
      <c r="B452" s="1083"/>
      <c r="C452" s="1083"/>
    </row>
    <row r="453">
      <c r="A453" s="1083"/>
      <c r="B453" s="1083"/>
      <c r="C453" s="1083"/>
    </row>
    <row r="454">
      <c r="A454" s="1083"/>
      <c r="B454" s="1083"/>
      <c r="C454" s="1083"/>
    </row>
    <row r="455">
      <c r="A455" s="1083"/>
      <c r="B455" s="1083"/>
      <c r="C455" s="1083"/>
    </row>
    <row r="456">
      <c r="A456" s="1083"/>
      <c r="B456" s="1083"/>
      <c r="C456" s="1083"/>
    </row>
    <row r="457">
      <c r="A457" s="1083"/>
      <c r="B457" s="1083"/>
      <c r="C457" s="1083"/>
    </row>
    <row r="458">
      <c r="A458" s="1083"/>
      <c r="B458" s="1083"/>
      <c r="C458" s="1083"/>
    </row>
    <row r="459">
      <c r="A459" s="1083"/>
      <c r="B459" s="1083"/>
      <c r="C459" s="1083"/>
    </row>
    <row r="460">
      <c r="A460" s="1083"/>
      <c r="B460" s="1083"/>
      <c r="C460" s="1083"/>
    </row>
    <row r="461">
      <c r="A461" s="1083"/>
      <c r="B461" s="1083"/>
      <c r="C461" s="1083"/>
    </row>
    <row r="462">
      <c r="A462" s="1083"/>
      <c r="B462" s="1083"/>
      <c r="C462" s="1083"/>
    </row>
    <row r="463">
      <c r="A463" s="1083"/>
      <c r="B463" s="1083"/>
      <c r="C463" s="1083"/>
    </row>
    <row r="464">
      <c r="A464" s="1083"/>
      <c r="B464" s="1083"/>
      <c r="C464" s="1083"/>
    </row>
    <row r="465">
      <c r="A465" s="1083"/>
      <c r="B465" s="1083"/>
      <c r="C465" s="1083"/>
    </row>
    <row r="466">
      <c r="A466" s="1083"/>
      <c r="B466" s="1083"/>
      <c r="C466" s="1083"/>
    </row>
    <row r="467">
      <c r="A467" s="1083"/>
      <c r="B467" s="1083"/>
      <c r="C467" s="1083"/>
    </row>
    <row r="468">
      <c r="A468" s="1083"/>
      <c r="B468" s="1083"/>
      <c r="C468" s="1083"/>
    </row>
    <row r="469">
      <c r="A469" s="1083"/>
      <c r="B469" s="1083"/>
      <c r="C469" s="1083"/>
    </row>
    <row r="470">
      <c r="A470" s="1083"/>
      <c r="B470" s="1083"/>
      <c r="C470" s="1083"/>
    </row>
    <row r="471">
      <c r="A471" s="1083"/>
      <c r="B471" s="1083"/>
      <c r="C471" s="1083"/>
    </row>
    <row r="472">
      <c r="A472" s="1083"/>
      <c r="B472" s="1083"/>
      <c r="C472" s="1083"/>
    </row>
    <row r="473">
      <c r="A473" s="1083"/>
      <c r="B473" s="1083"/>
      <c r="C473" s="1083"/>
    </row>
    <row r="474">
      <c r="A474" s="1083"/>
      <c r="B474" s="1083"/>
      <c r="C474" s="1083"/>
    </row>
    <row r="475">
      <c r="A475" s="1083"/>
      <c r="B475" s="1083"/>
      <c r="C475" s="1083"/>
    </row>
    <row r="476">
      <c r="A476" s="1083"/>
      <c r="B476" s="1083"/>
      <c r="C476" s="1083"/>
    </row>
    <row r="477">
      <c r="A477" s="1083"/>
      <c r="B477" s="1083"/>
      <c r="C477" s="1083"/>
    </row>
    <row r="478">
      <c r="A478" s="1083"/>
      <c r="B478" s="1083"/>
      <c r="C478" s="1083"/>
    </row>
    <row r="479">
      <c r="A479" s="1083"/>
      <c r="B479" s="1083"/>
      <c r="C479" s="1083"/>
    </row>
    <row r="480">
      <c r="A480" s="1083"/>
      <c r="B480" s="1083"/>
      <c r="C480" s="1083"/>
    </row>
    <row r="481">
      <c r="A481" s="1083"/>
      <c r="B481" s="1083"/>
      <c r="C481" s="1083"/>
    </row>
    <row r="482">
      <c r="A482" s="1083"/>
      <c r="B482" s="1083"/>
      <c r="C482" s="1083"/>
    </row>
    <row r="483">
      <c r="A483" s="1083"/>
      <c r="B483" s="1083"/>
      <c r="C483" s="1083"/>
    </row>
    <row r="484">
      <c r="A484" s="1083"/>
      <c r="B484" s="1083"/>
      <c r="C484" s="1083"/>
    </row>
    <row r="485">
      <c r="A485" s="1083"/>
      <c r="B485" s="1083"/>
      <c r="C485" s="1083"/>
    </row>
    <row r="486">
      <c r="A486" s="1083"/>
      <c r="B486" s="1083"/>
      <c r="C486" s="1083"/>
    </row>
    <row r="487">
      <c r="A487" s="1083"/>
      <c r="B487" s="1083"/>
      <c r="C487" s="1083"/>
    </row>
    <row r="488">
      <c r="A488" s="1083"/>
      <c r="B488" s="1083"/>
      <c r="C488" s="1083"/>
    </row>
    <row r="489">
      <c r="A489" s="1083"/>
      <c r="B489" s="1083"/>
      <c r="C489" s="1083"/>
    </row>
    <row r="490">
      <c r="A490" s="1083"/>
      <c r="B490" s="1083"/>
      <c r="C490" s="1083"/>
    </row>
    <row r="491">
      <c r="A491" s="1083"/>
      <c r="B491" s="1083"/>
      <c r="C491" s="1083"/>
    </row>
    <row r="492">
      <c r="A492" s="1083"/>
      <c r="B492" s="1083"/>
      <c r="C492" s="1083"/>
    </row>
    <row r="493">
      <c r="A493" s="1083"/>
      <c r="B493" s="1083"/>
      <c r="C493" s="1083"/>
    </row>
    <row r="494">
      <c r="A494" s="1083"/>
      <c r="B494" s="1083"/>
      <c r="C494" s="1083"/>
    </row>
    <row r="495">
      <c r="A495" s="1083"/>
      <c r="B495" s="1083"/>
      <c r="C495" s="1083"/>
    </row>
    <row r="496">
      <c r="A496" s="1083"/>
      <c r="B496" s="1083"/>
      <c r="C496" s="1083"/>
    </row>
    <row r="497">
      <c r="A497" s="1083"/>
      <c r="B497" s="1083"/>
      <c r="C497" s="1083"/>
    </row>
    <row r="498">
      <c r="A498" s="1083"/>
      <c r="B498" s="1083"/>
      <c r="C498" s="1083"/>
    </row>
    <row r="499">
      <c r="A499" s="1083"/>
      <c r="B499" s="1083"/>
      <c r="C499" s="1083"/>
    </row>
    <row r="500">
      <c r="A500" s="1083"/>
      <c r="B500" s="1083"/>
      <c r="C500" s="1083"/>
    </row>
    <row r="501">
      <c r="A501" s="1083"/>
      <c r="B501" s="1083"/>
      <c r="C501" s="1083"/>
    </row>
    <row r="502">
      <c r="A502" s="1083"/>
      <c r="B502" s="1083"/>
      <c r="C502" s="1083"/>
    </row>
    <row r="503">
      <c r="A503" s="1083"/>
      <c r="B503" s="1083"/>
      <c r="C503" s="1083"/>
    </row>
    <row r="504">
      <c r="A504" s="1083"/>
      <c r="B504" s="1083"/>
      <c r="C504" s="1083"/>
    </row>
    <row r="505">
      <c r="A505" s="1083"/>
      <c r="B505" s="1083"/>
      <c r="C505" s="1083"/>
    </row>
    <row r="506">
      <c r="A506" s="1083"/>
      <c r="B506" s="1083"/>
      <c r="C506" s="1083"/>
    </row>
    <row r="507">
      <c r="A507" s="1083"/>
      <c r="B507" s="1083"/>
      <c r="C507" s="1083"/>
    </row>
    <row r="508">
      <c r="A508" s="1083"/>
      <c r="B508" s="1083"/>
      <c r="C508" s="1083"/>
    </row>
    <row r="509">
      <c r="A509" s="1083"/>
      <c r="B509" s="1083"/>
      <c r="C509" s="1083"/>
    </row>
    <row r="510">
      <c r="A510" s="1083"/>
      <c r="B510" s="1083"/>
      <c r="C510" s="1083"/>
    </row>
    <row r="511">
      <c r="A511" s="1083"/>
      <c r="B511" s="1083"/>
      <c r="C511" s="1083"/>
    </row>
    <row r="512">
      <c r="A512" s="1083"/>
      <c r="B512" s="1083"/>
      <c r="C512" s="1083"/>
    </row>
    <row r="513">
      <c r="A513" s="1083"/>
      <c r="B513" s="1083"/>
      <c r="C513" s="1083"/>
    </row>
    <row r="514">
      <c r="A514" s="1083"/>
      <c r="B514" s="1083"/>
      <c r="C514" s="1083"/>
    </row>
    <row r="515">
      <c r="A515" s="1083"/>
      <c r="B515" s="1083"/>
      <c r="C515" s="1083"/>
    </row>
    <row r="516">
      <c r="A516" s="1083"/>
      <c r="B516" s="1083"/>
      <c r="C516" s="1083"/>
    </row>
    <row r="517">
      <c r="A517" s="1083"/>
      <c r="B517" s="1083"/>
      <c r="C517" s="1083"/>
    </row>
    <row r="518">
      <c r="A518" s="1083"/>
      <c r="B518" s="1083"/>
      <c r="C518" s="1083"/>
    </row>
    <row r="519">
      <c r="A519" s="1083"/>
      <c r="B519" s="1083"/>
      <c r="C519" s="1083"/>
    </row>
    <row r="520">
      <c r="A520" s="1083"/>
      <c r="B520" s="1083"/>
      <c r="C520" s="1083"/>
    </row>
    <row r="521">
      <c r="A521" s="1083"/>
      <c r="B521" s="1083"/>
      <c r="C521" s="1083"/>
    </row>
    <row r="522">
      <c r="A522" s="1083"/>
      <c r="B522" s="1083"/>
      <c r="C522" s="1083"/>
    </row>
    <row r="523">
      <c r="A523" s="1083"/>
      <c r="B523" s="1083"/>
      <c r="C523" s="1083"/>
    </row>
    <row r="524">
      <c r="A524" s="1083"/>
      <c r="B524" s="1083"/>
      <c r="C524" s="1083"/>
    </row>
    <row r="525">
      <c r="A525" s="1083"/>
      <c r="B525" s="1083"/>
      <c r="C525" s="1083"/>
    </row>
    <row r="526">
      <c r="A526" s="1083"/>
      <c r="B526" s="1083"/>
      <c r="C526" s="1083"/>
    </row>
    <row r="527">
      <c r="A527" s="1083"/>
      <c r="B527" s="1083"/>
      <c r="C527" s="1083"/>
    </row>
    <row r="528">
      <c r="A528" s="1083"/>
      <c r="B528" s="1083"/>
      <c r="C528" s="1083"/>
    </row>
    <row r="529">
      <c r="A529" s="1083"/>
      <c r="B529" s="1083"/>
      <c r="C529" s="1083"/>
    </row>
    <row r="530">
      <c r="A530" s="1083"/>
      <c r="B530" s="1083"/>
      <c r="C530" s="1083"/>
    </row>
    <row r="531">
      <c r="A531" s="1083"/>
      <c r="B531" s="1083"/>
      <c r="C531" s="1083"/>
    </row>
    <row r="532">
      <c r="A532" s="1083"/>
      <c r="B532" s="1083"/>
      <c r="C532" s="1083"/>
    </row>
    <row r="533">
      <c r="A533" s="1083"/>
      <c r="B533" s="1083"/>
      <c r="C533" s="1083"/>
    </row>
    <row r="534">
      <c r="A534" s="1083"/>
      <c r="B534" s="1083"/>
      <c r="C534" s="1083"/>
    </row>
    <row r="535">
      <c r="A535" s="1083"/>
      <c r="B535" s="1083"/>
      <c r="C535" s="1083"/>
    </row>
    <row r="536">
      <c r="A536" s="1083"/>
      <c r="B536" s="1083"/>
      <c r="C536" s="1083"/>
    </row>
    <row r="537">
      <c r="A537" s="1083"/>
      <c r="B537" s="1083"/>
      <c r="C537" s="1083"/>
    </row>
    <row r="538">
      <c r="A538" s="1083"/>
      <c r="B538" s="1083"/>
      <c r="C538" s="1083"/>
    </row>
    <row r="539">
      <c r="A539" s="1083"/>
      <c r="B539" s="1083"/>
      <c r="C539" s="1083"/>
    </row>
    <row r="540">
      <c r="A540" s="1083"/>
      <c r="B540" s="1083"/>
      <c r="C540" s="1083"/>
    </row>
    <row r="541">
      <c r="A541" s="1083"/>
      <c r="B541" s="1083"/>
      <c r="C541" s="1083"/>
    </row>
    <row r="542">
      <c r="A542" s="1083"/>
      <c r="B542" s="1083"/>
      <c r="C542" s="1083"/>
    </row>
    <row r="543">
      <c r="A543" s="1083"/>
      <c r="B543" s="1083"/>
      <c r="C543" s="1083"/>
    </row>
    <row r="544">
      <c r="A544" s="1083"/>
      <c r="B544" s="1083"/>
      <c r="C544" s="1083"/>
    </row>
    <row r="545">
      <c r="A545" s="1083"/>
      <c r="B545" s="1083"/>
      <c r="C545" s="1083"/>
    </row>
    <row r="546">
      <c r="A546" s="1083"/>
      <c r="B546" s="1083"/>
      <c r="C546" s="1083"/>
    </row>
    <row r="547">
      <c r="A547" s="1083"/>
      <c r="B547" s="1083"/>
      <c r="C547" s="1083"/>
    </row>
    <row r="548">
      <c r="A548" s="1083"/>
      <c r="B548" s="1083"/>
      <c r="C548" s="1083"/>
    </row>
    <row r="549">
      <c r="A549" s="1083"/>
      <c r="B549" s="1083"/>
      <c r="C549" s="1083"/>
    </row>
    <row r="550">
      <c r="A550" s="1083"/>
      <c r="B550" s="1083"/>
      <c r="C550" s="1083"/>
    </row>
    <row r="551">
      <c r="A551" s="1083"/>
      <c r="B551" s="1083"/>
      <c r="C551" s="1083"/>
    </row>
    <row r="552">
      <c r="A552" s="1083"/>
      <c r="B552" s="1083"/>
      <c r="C552" s="1083"/>
    </row>
    <row r="553">
      <c r="A553" s="1083"/>
      <c r="B553" s="1083"/>
      <c r="C553" s="1083"/>
    </row>
    <row r="554">
      <c r="A554" s="1083"/>
      <c r="B554" s="1083"/>
      <c r="C554" s="1083"/>
    </row>
    <row r="555">
      <c r="A555" s="1083"/>
      <c r="B555" s="1083"/>
      <c r="C555" s="1083"/>
    </row>
    <row r="556">
      <c r="A556" s="1083"/>
      <c r="B556" s="1083"/>
      <c r="C556" s="1083"/>
    </row>
    <row r="557">
      <c r="A557" s="1083"/>
      <c r="B557" s="1083"/>
      <c r="C557" s="1083"/>
    </row>
    <row r="558">
      <c r="A558" s="1083"/>
      <c r="B558" s="1083"/>
      <c r="C558" s="1083"/>
    </row>
    <row r="559">
      <c r="A559" s="1083"/>
      <c r="B559" s="1083"/>
      <c r="C559" s="1083"/>
    </row>
    <row r="560">
      <c r="A560" s="1083"/>
      <c r="B560" s="1083"/>
      <c r="C560" s="1083"/>
    </row>
    <row r="561">
      <c r="A561" s="1083"/>
      <c r="B561" s="1083"/>
      <c r="C561" s="1083"/>
    </row>
    <row r="562">
      <c r="A562" s="1083"/>
      <c r="B562" s="1083"/>
      <c r="C562" s="1083"/>
    </row>
    <row r="563">
      <c r="A563" s="1083"/>
      <c r="B563" s="1083"/>
      <c r="C563" s="1083"/>
    </row>
    <row r="564">
      <c r="A564" s="1083"/>
      <c r="B564" s="1083"/>
      <c r="C564" s="1083"/>
    </row>
    <row r="565">
      <c r="A565" s="1083"/>
      <c r="B565" s="1083"/>
      <c r="C565" s="1083"/>
    </row>
    <row r="566">
      <c r="A566" s="1083"/>
      <c r="B566" s="1083"/>
      <c r="C566" s="1083"/>
    </row>
    <row r="567">
      <c r="A567" s="1083"/>
      <c r="B567" s="1083"/>
      <c r="C567" s="1083"/>
    </row>
    <row r="568">
      <c r="A568" s="1083"/>
      <c r="B568" s="1083"/>
      <c r="C568" s="1083"/>
    </row>
    <row r="569">
      <c r="A569" s="1083"/>
      <c r="B569" s="1083"/>
      <c r="C569" s="1083"/>
    </row>
    <row r="570">
      <c r="A570" s="1083"/>
      <c r="B570" s="1083"/>
      <c r="C570" s="1083"/>
    </row>
    <row r="571">
      <c r="A571" s="1083"/>
      <c r="B571" s="1083"/>
      <c r="C571" s="1083"/>
    </row>
    <row r="572">
      <c r="A572" s="1083"/>
      <c r="B572" s="1083"/>
      <c r="C572" s="1083"/>
    </row>
    <row r="573">
      <c r="A573" s="1083"/>
      <c r="B573" s="1083"/>
      <c r="C573" s="1083"/>
    </row>
    <row r="574">
      <c r="A574" s="1083"/>
      <c r="B574" s="1083"/>
      <c r="C574" s="1083"/>
    </row>
    <row r="575">
      <c r="A575" s="1083"/>
      <c r="B575" s="1083"/>
      <c r="C575" s="1083"/>
    </row>
    <row r="576">
      <c r="A576" s="1083"/>
      <c r="B576" s="1083"/>
      <c r="C576" s="1083"/>
    </row>
    <row r="577">
      <c r="A577" s="1083"/>
      <c r="B577" s="1083"/>
      <c r="C577" s="1083"/>
    </row>
    <row r="578">
      <c r="A578" s="1083"/>
      <c r="B578" s="1083"/>
      <c r="C578" s="1083"/>
    </row>
    <row r="579">
      <c r="A579" s="1083"/>
      <c r="B579" s="1083"/>
      <c r="C579" s="1083"/>
    </row>
    <row r="580">
      <c r="A580" s="1083"/>
      <c r="B580" s="1083"/>
      <c r="C580" s="1083"/>
    </row>
    <row r="581">
      <c r="A581" s="1083"/>
      <c r="B581" s="1083"/>
      <c r="C581" s="1083"/>
    </row>
    <row r="582">
      <c r="A582" s="1083"/>
      <c r="B582" s="1083"/>
      <c r="C582" s="1083"/>
    </row>
    <row r="583">
      <c r="A583" s="1083"/>
      <c r="B583" s="1083"/>
      <c r="C583" s="1083"/>
    </row>
    <row r="584">
      <c r="A584" s="1083"/>
      <c r="B584" s="1083"/>
      <c r="C584" s="1083"/>
    </row>
    <row r="585">
      <c r="A585" s="1083"/>
      <c r="B585" s="1083"/>
      <c r="C585" s="1083"/>
    </row>
    <row r="586">
      <c r="A586" s="1083"/>
      <c r="B586" s="1083"/>
      <c r="C586" s="1083"/>
    </row>
    <row r="587">
      <c r="A587" s="1083"/>
      <c r="B587" s="1083"/>
      <c r="C587" s="1083"/>
    </row>
    <row r="588">
      <c r="A588" s="1083"/>
      <c r="B588" s="1083"/>
      <c r="C588" s="1083"/>
    </row>
    <row r="589">
      <c r="A589" s="1083"/>
      <c r="B589" s="1083"/>
      <c r="C589" s="1083"/>
    </row>
    <row r="590">
      <c r="A590" s="1083"/>
      <c r="B590" s="1083"/>
      <c r="C590" s="1083"/>
    </row>
    <row r="591">
      <c r="A591" s="1083"/>
      <c r="B591" s="1083"/>
      <c r="C591" s="1083"/>
    </row>
    <row r="592">
      <c r="A592" s="1083"/>
      <c r="B592" s="1083"/>
      <c r="C592" s="1083"/>
    </row>
    <row r="593">
      <c r="A593" s="1083"/>
      <c r="B593" s="1083"/>
      <c r="C593" s="1083"/>
    </row>
    <row r="594">
      <c r="A594" s="1083"/>
      <c r="B594" s="1083"/>
      <c r="C594" s="1083"/>
    </row>
    <row r="595">
      <c r="A595" s="1083"/>
      <c r="B595" s="1083"/>
      <c r="C595" s="1083"/>
    </row>
    <row r="596">
      <c r="A596" s="1083"/>
      <c r="B596" s="1083"/>
      <c r="C596" s="1083"/>
    </row>
    <row r="597">
      <c r="A597" s="1083"/>
      <c r="B597" s="1083"/>
      <c r="C597" s="1083"/>
    </row>
    <row r="598">
      <c r="A598" s="1083"/>
      <c r="B598" s="1083"/>
      <c r="C598" s="1083"/>
    </row>
    <row r="599">
      <c r="A599" s="1083"/>
      <c r="B599" s="1083"/>
      <c r="C599" s="1083"/>
    </row>
    <row r="600">
      <c r="A600" s="1083"/>
      <c r="B600" s="1083"/>
      <c r="C600" s="1083"/>
    </row>
    <row r="601">
      <c r="A601" s="1083"/>
      <c r="B601" s="1083"/>
      <c r="C601" s="1083"/>
    </row>
    <row r="602">
      <c r="A602" s="1083"/>
      <c r="B602" s="1083"/>
      <c r="C602" s="1083"/>
    </row>
    <row r="603">
      <c r="A603" s="1083"/>
      <c r="B603" s="1083"/>
      <c r="C603" s="1083"/>
    </row>
    <row r="604">
      <c r="A604" s="1083"/>
      <c r="B604" s="1083"/>
      <c r="C604" s="1083"/>
    </row>
    <row r="605">
      <c r="A605" s="1083"/>
      <c r="B605" s="1083"/>
      <c r="C605" s="1083"/>
    </row>
    <row r="606">
      <c r="A606" s="1083"/>
      <c r="B606" s="1083"/>
      <c r="C606" s="1083"/>
    </row>
    <row r="607">
      <c r="A607" s="1083"/>
      <c r="B607" s="1083"/>
      <c r="C607" s="1083"/>
    </row>
    <row r="608">
      <c r="A608" s="1083"/>
      <c r="B608" s="1083"/>
      <c r="C608" s="1083"/>
    </row>
    <row r="609">
      <c r="A609" s="1083"/>
      <c r="B609" s="1083"/>
      <c r="C609" s="1083"/>
    </row>
    <row r="610">
      <c r="A610" s="1083"/>
      <c r="B610" s="1083"/>
      <c r="C610" s="1083"/>
    </row>
    <row r="611">
      <c r="A611" s="1083"/>
      <c r="B611" s="1083"/>
      <c r="C611" s="1083"/>
    </row>
    <row r="612">
      <c r="A612" s="1083"/>
      <c r="B612" s="1083"/>
      <c r="C612" s="1083"/>
    </row>
    <row r="613">
      <c r="A613" s="1083"/>
      <c r="B613" s="1083"/>
      <c r="C613" s="1083"/>
    </row>
    <row r="614">
      <c r="A614" s="1083"/>
      <c r="B614" s="1083"/>
      <c r="C614" s="1083"/>
    </row>
    <row r="615">
      <c r="A615" s="1083"/>
      <c r="B615" s="1083"/>
      <c r="C615" s="1083"/>
    </row>
    <row r="616">
      <c r="A616" s="1083"/>
      <c r="B616" s="1083"/>
      <c r="C616" s="1083"/>
    </row>
    <row r="617">
      <c r="A617" s="1083"/>
      <c r="B617" s="1083"/>
      <c r="C617" s="1083"/>
    </row>
    <row r="618">
      <c r="A618" s="1083"/>
      <c r="B618" s="1083"/>
      <c r="C618" s="1083"/>
    </row>
    <row r="619">
      <c r="A619" s="1083"/>
      <c r="B619" s="1083"/>
      <c r="C619" s="1083"/>
    </row>
    <row r="620">
      <c r="A620" s="1083"/>
      <c r="B620" s="1083"/>
      <c r="C620" s="1083"/>
    </row>
    <row r="621">
      <c r="A621" s="1083"/>
      <c r="B621" s="1083"/>
      <c r="C621" s="1083"/>
    </row>
    <row r="622">
      <c r="A622" s="1083"/>
      <c r="B622" s="1083"/>
      <c r="C622" s="1083"/>
    </row>
    <row r="623">
      <c r="A623" s="1083"/>
      <c r="B623" s="1083"/>
      <c r="C623" s="1083"/>
    </row>
    <row r="624">
      <c r="A624" s="1083"/>
      <c r="B624" s="1083"/>
      <c r="C624" s="1083"/>
    </row>
    <row r="625">
      <c r="A625" s="1083"/>
      <c r="B625" s="1083"/>
      <c r="C625" s="1083"/>
    </row>
    <row r="626">
      <c r="A626" s="1083"/>
      <c r="B626" s="1083"/>
      <c r="C626" s="1083"/>
    </row>
    <row r="627">
      <c r="A627" s="1083"/>
      <c r="B627" s="1083"/>
      <c r="C627" s="1083"/>
    </row>
    <row r="628">
      <c r="A628" s="1083"/>
      <c r="B628" s="1083"/>
      <c r="C628" s="1083"/>
    </row>
    <row r="629">
      <c r="A629" s="1083"/>
      <c r="B629" s="1083"/>
      <c r="C629" s="1083"/>
    </row>
    <row r="630">
      <c r="A630" s="1083"/>
      <c r="B630" s="1083"/>
      <c r="C630" s="1083"/>
    </row>
    <row r="631">
      <c r="A631" s="1083"/>
      <c r="B631" s="1083"/>
      <c r="C631" s="1083"/>
    </row>
    <row r="632">
      <c r="A632" s="1083"/>
      <c r="B632" s="1083"/>
      <c r="C632" s="1083"/>
    </row>
    <row r="633">
      <c r="A633" s="1083"/>
      <c r="B633" s="1083"/>
      <c r="C633" s="1083"/>
    </row>
    <row r="634">
      <c r="A634" s="1083"/>
      <c r="B634" s="1083"/>
      <c r="C634" s="1083"/>
    </row>
    <row r="635">
      <c r="A635" s="1083"/>
      <c r="B635" s="1083"/>
      <c r="C635" s="1083"/>
    </row>
    <row r="636">
      <c r="A636" s="1083"/>
      <c r="B636" s="1083"/>
      <c r="C636" s="1083"/>
    </row>
    <row r="637">
      <c r="A637" s="1083"/>
      <c r="B637" s="1083"/>
      <c r="C637" s="1083"/>
    </row>
    <row r="638">
      <c r="A638" s="1083"/>
      <c r="B638" s="1083"/>
      <c r="C638" s="1083"/>
    </row>
    <row r="639">
      <c r="A639" s="1083"/>
      <c r="B639" s="1083"/>
      <c r="C639" s="1083"/>
    </row>
    <row r="640">
      <c r="A640" s="1083"/>
      <c r="B640" s="1083"/>
      <c r="C640" s="1083"/>
    </row>
    <row r="641">
      <c r="A641" s="1083"/>
      <c r="B641" s="1083"/>
      <c r="C641" s="1083"/>
    </row>
    <row r="642">
      <c r="A642" s="1083"/>
      <c r="B642" s="1083"/>
      <c r="C642" s="1083"/>
    </row>
    <row r="643">
      <c r="A643" s="1083"/>
      <c r="B643" s="1083"/>
      <c r="C643" s="1083"/>
    </row>
    <row r="644">
      <c r="A644" s="1083"/>
      <c r="B644" s="1083"/>
      <c r="C644" s="1083"/>
    </row>
    <row r="645">
      <c r="A645" s="1083"/>
      <c r="B645" s="1083"/>
      <c r="C645" s="1083"/>
    </row>
    <row r="646">
      <c r="A646" s="1083"/>
      <c r="B646" s="1083"/>
      <c r="C646" s="1083"/>
    </row>
    <row r="647">
      <c r="A647" s="1083"/>
      <c r="B647" s="1083"/>
      <c r="C647" s="1083"/>
    </row>
    <row r="648">
      <c r="A648" s="1083"/>
      <c r="B648" s="1083"/>
      <c r="C648" s="1083"/>
    </row>
    <row r="649">
      <c r="A649" s="1083"/>
      <c r="B649" s="1083"/>
      <c r="C649" s="1083"/>
    </row>
    <row r="650">
      <c r="A650" s="1083"/>
      <c r="B650" s="1083"/>
      <c r="C650" s="1083"/>
    </row>
    <row r="651">
      <c r="A651" s="1083"/>
      <c r="B651" s="1083"/>
      <c r="C651" s="1083"/>
    </row>
    <row r="652">
      <c r="A652" s="1083"/>
      <c r="B652" s="1083"/>
      <c r="C652" s="1083"/>
    </row>
    <row r="653">
      <c r="A653" s="1083"/>
      <c r="B653" s="1083"/>
      <c r="C653" s="1083"/>
    </row>
    <row r="654">
      <c r="A654" s="1083"/>
      <c r="B654" s="1083"/>
      <c r="C654" s="1083"/>
    </row>
    <row r="655">
      <c r="A655" s="1083"/>
      <c r="B655" s="1083"/>
      <c r="C655" s="1083"/>
    </row>
    <row r="656">
      <c r="A656" s="1083"/>
      <c r="B656" s="1083"/>
      <c r="C656" s="1083"/>
    </row>
    <row r="657">
      <c r="A657" s="1083"/>
      <c r="B657" s="1083"/>
      <c r="C657" s="1083"/>
    </row>
    <row r="658">
      <c r="A658" s="1083"/>
      <c r="B658" s="1083"/>
      <c r="C658" s="1083"/>
    </row>
    <row r="659">
      <c r="A659" s="1083"/>
      <c r="B659" s="1083"/>
      <c r="C659" s="1083"/>
    </row>
    <row r="660">
      <c r="A660" s="1083"/>
      <c r="B660" s="1083"/>
      <c r="C660" s="1083"/>
    </row>
    <row r="661">
      <c r="A661" s="1083"/>
      <c r="B661" s="1083"/>
      <c r="C661" s="1083"/>
    </row>
    <row r="662">
      <c r="A662" s="1083"/>
      <c r="B662" s="1083"/>
      <c r="C662" s="1083"/>
    </row>
    <row r="663">
      <c r="A663" s="1083"/>
      <c r="B663" s="1083"/>
      <c r="C663" s="1083"/>
    </row>
    <row r="664">
      <c r="A664" s="1083"/>
      <c r="B664" s="1083"/>
      <c r="C664" s="1083"/>
    </row>
    <row r="665">
      <c r="A665" s="1083"/>
      <c r="B665" s="1083"/>
      <c r="C665" s="1083"/>
    </row>
    <row r="666">
      <c r="A666" s="1083"/>
      <c r="B666" s="1083"/>
      <c r="C666" s="1083"/>
    </row>
    <row r="667">
      <c r="A667" s="1083"/>
      <c r="B667" s="1083"/>
      <c r="C667" s="1083"/>
    </row>
    <row r="668">
      <c r="A668" s="1083"/>
      <c r="B668" s="1083"/>
      <c r="C668" s="1083"/>
    </row>
    <row r="669">
      <c r="A669" s="1083"/>
      <c r="B669" s="1083"/>
      <c r="C669" s="1083"/>
    </row>
    <row r="670">
      <c r="A670" s="1083"/>
      <c r="B670" s="1083"/>
      <c r="C670" s="1083"/>
    </row>
    <row r="671">
      <c r="A671" s="1083"/>
      <c r="B671" s="1083"/>
      <c r="C671" s="1083"/>
    </row>
    <row r="672">
      <c r="A672" s="1083"/>
      <c r="B672" s="1083"/>
      <c r="C672" s="1083"/>
    </row>
    <row r="673">
      <c r="A673" s="1083"/>
      <c r="B673" s="1083"/>
      <c r="C673" s="1083"/>
    </row>
    <row r="674">
      <c r="A674" s="1083"/>
      <c r="B674" s="1083"/>
      <c r="C674" s="1083"/>
    </row>
    <row r="675">
      <c r="A675" s="1083"/>
      <c r="B675" s="1083"/>
      <c r="C675" s="1083"/>
    </row>
    <row r="676">
      <c r="A676" s="1083"/>
      <c r="B676" s="1083"/>
      <c r="C676" s="1083"/>
    </row>
    <row r="677">
      <c r="A677" s="1083"/>
      <c r="B677" s="1083"/>
      <c r="C677" s="1083"/>
    </row>
    <row r="678">
      <c r="A678" s="1083"/>
      <c r="B678" s="1083"/>
      <c r="C678" s="1083"/>
    </row>
    <row r="679">
      <c r="A679" s="1083"/>
      <c r="B679" s="1083"/>
      <c r="C679" s="1083"/>
    </row>
    <row r="680">
      <c r="A680" s="1083"/>
      <c r="B680" s="1083"/>
      <c r="C680" s="1083"/>
    </row>
    <row r="681">
      <c r="A681" s="1083"/>
      <c r="B681" s="1083"/>
      <c r="C681" s="1083"/>
    </row>
    <row r="682">
      <c r="A682" s="1083"/>
      <c r="B682" s="1083"/>
      <c r="C682" s="1083"/>
    </row>
    <row r="683">
      <c r="A683" s="1083"/>
      <c r="B683" s="1083"/>
      <c r="C683" s="1083"/>
    </row>
    <row r="684">
      <c r="A684" s="1083"/>
      <c r="B684" s="1083"/>
      <c r="C684" s="1083"/>
    </row>
    <row r="685">
      <c r="A685" s="1083"/>
      <c r="B685" s="1083"/>
      <c r="C685" s="1083"/>
    </row>
    <row r="686">
      <c r="A686" s="1083"/>
      <c r="B686" s="1083"/>
      <c r="C686" s="1083"/>
    </row>
    <row r="687">
      <c r="A687" s="1083"/>
      <c r="B687" s="1083"/>
      <c r="C687" s="1083"/>
    </row>
    <row r="688">
      <c r="A688" s="1083"/>
      <c r="B688" s="1083"/>
      <c r="C688" s="1083"/>
    </row>
    <row r="689">
      <c r="A689" s="1083"/>
      <c r="B689" s="1083"/>
      <c r="C689" s="1083"/>
    </row>
    <row r="690">
      <c r="A690" s="1083"/>
      <c r="B690" s="1083"/>
      <c r="C690" s="1083"/>
    </row>
    <row r="691">
      <c r="A691" s="1083"/>
      <c r="B691" s="1083"/>
      <c r="C691" s="1083"/>
    </row>
    <row r="692">
      <c r="A692" s="1083"/>
      <c r="B692" s="1083"/>
      <c r="C692" s="1083"/>
    </row>
    <row r="693">
      <c r="A693" s="1083"/>
      <c r="B693" s="1083"/>
      <c r="C693" s="1083"/>
    </row>
    <row r="694">
      <c r="A694" s="1083"/>
      <c r="B694" s="1083"/>
      <c r="C694" s="1083"/>
    </row>
    <row r="695">
      <c r="A695" s="1083"/>
      <c r="B695" s="1083"/>
      <c r="C695" s="1083"/>
    </row>
    <row r="696">
      <c r="A696" s="1083"/>
      <c r="B696" s="1083"/>
      <c r="C696" s="1083"/>
    </row>
    <row r="697">
      <c r="A697" s="1083"/>
      <c r="B697" s="1083"/>
      <c r="C697" s="1083"/>
    </row>
    <row r="698">
      <c r="A698" s="1083"/>
      <c r="B698" s="1083"/>
      <c r="C698" s="1083"/>
    </row>
    <row r="699">
      <c r="A699" s="1083"/>
      <c r="B699" s="1083"/>
      <c r="C699" s="1083"/>
    </row>
    <row r="700">
      <c r="A700" s="1083"/>
      <c r="B700" s="1083"/>
      <c r="C700" s="1083"/>
    </row>
    <row r="701">
      <c r="A701" s="1083"/>
      <c r="B701" s="1083"/>
      <c r="C701" s="1083"/>
    </row>
    <row r="702">
      <c r="A702" s="1083"/>
      <c r="B702" s="1083"/>
      <c r="C702" s="1083"/>
    </row>
    <row r="703">
      <c r="A703" s="1083"/>
      <c r="B703" s="1083"/>
      <c r="C703" s="1083"/>
    </row>
    <row r="704">
      <c r="A704" s="1083"/>
      <c r="B704" s="1083"/>
      <c r="C704" s="1083"/>
    </row>
    <row r="705">
      <c r="A705" s="1083"/>
      <c r="B705" s="1083"/>
      <c r="C705" s="1083"/>
    </row>
    <row r="706">
      <c r="A706" s="1083"/>
      <c r="B706" s="1083"/>
      <c r="C706" s="1083"/>
    </row>
    <row r="707">
      <c r="A707" s="1083"/>
      <c r="B707" s="1083"/>
      <c r="C707" s="1083"/>
    </row>
    <row r="708">
      <c r="A708" s="1083"/>
      <c r="B708" s="1083"/>
      <c r="C708" s="1083"/>
    </row>
    <row r="709">
      <c r="A709" s="1083"/>
      <c r="B709" s="1083"/>
      <c r="C709" s="1083"/>
    </row>
    <row r="710">
      <c r="A710" s="1083"/>
      <c r="B710" s="1083"/>
      <c r="C710" s="1083"/>
    </row>
    <row r="711">
      <c r="A711" s="1083"/>
      <c r="B711" s="1083"/>
      <c r="C711" s="1083"/>
    </row>
    <row r="712">
      <c r="A712" s="1083"/>
      <c r="B712" s="1083"/>
      <c r="C712" s="1083"/>
    </row>
    <row r="713">
      <c r="A713" s="1083"/>
      <c r="B713" s="1083"/>
      <c r="C713" s="1083"/>
    </row>
    <row r="714">
      <c r="A714" s="1083"/>
      <c r="B714" s="1083"/>
      <c r="C714" s="1083"/>
    </row>
    <row r="715">
      <c r="A715" s="1083"/>
      <c r="B715" s="1083"/>
      <c r="C715" s="1083"/>
    </row>
    <row r="716">
      <c r="A716" s="1083"/>
      <c r="B716" s="1083"/>
      <c r="C716" s="1083"/>
    </row>
    <row r="717">
      <c r="A717" s="1083"/>
      <c r="B717" s="1083"/>
      <c r="C717" s="1083"/>
    </row>
    <row r="718">
      <c r="A718" s="1083"/>
      <c r="B718" s="1083"/>
      <c r="C718" s="1083"/>
    </row>
    <row r="719">
      <c r="A719" s="1083"/>
      <c r="B719" s="1083"/>
      <c r="C719" s="1083"/>
    </row>
    <row r="720">
      <c r="A720" s="1083"/>
      <c r="B720" s="1083"/>
      <c r="C720" s="1083"/>
    </row>
    <row r="721">
      <c r="A721" s="1083"/>
      <c r="B721" s="1083"/>
      <c r="C721" s="1083"/>
    </row>
    <row r="722">
      <c r="A722" s="1083"/>
      <c r="B722" s="1083"/>
      <c r="C722" s="1083"/>
    </row>
    <row r="723">
      <c r="A723" s="1083"/>
      <c r="B723" s="1083"/>
      <c r="C723" s="1083"/>
    </row>
    <row r="724">
      <c r="A724" s="1083"/>
      <c r="B724" s="1083"/>
      <c r="C724" s="1083"/>
    </row>
    <row r="725">
      <c r="A725" s="1083"/>
      <c r="B725" s="1083"/>
      <c r="C725" s="1083"/>
    </row>
    <row r="726">
      <c r="A726" s="1083"/>
      <c r="B726" s="1083"/>
      <c r="C726" s="1083"/>
    </row>
    <row r="727">
      <c r="A727" s="1083"/>
      <c r="B727" s="1083"/>
      <c r="C727" s="1083"/>
    </row>
    <row r="728">
      <c r="A728" s="1083"/>
      <c r="B728" s="1083"/>
      <c r="C728" s="1083"/>
    </row>
    <row r="729">
      <c r="A729" s="1083"/>
      <c r="B729" s="1083"/>
      <c r="C729" s="1083"/>
    </row>
    <row r="730">
      <c r="A730" s="1083"/>
      <c r="B730" s="1083"/>
      <c r="C730" s="1083"/>
    </row>
    <row r="731">
      <c r="A731" s="1083"/>
      <c r="B731" s="1083"/>
      <c r="C731" s="1083"/>
    </row>
    <row r="732">
      <c r="A732" s="1083"/>
      <c r="B732" s="1083"/>
      <c r="C732" s="1083"/>
    </row>
    <row r="733">
      <c r="A733" s="1083"/>
      <c r="B733" s="1083"/>
      <c r="C733" s="1083"/>
    </row>
    <row r="734">
      <c r="A734" s="1083"/>
      <c r="B734" s="1083"/>
      <c r="C734" s="1083"/>
    </row>
    <row r="735">
      <c r="A735" s="1083"/>
      <c r="B735" s="1083"/>
      <c r="C735" s="1083"/>
    </row>
    <row r="736">
      <c r="A736" s="1083"/>
      <c r="B736" s="1083"/>
      <c r="C736" s="1083"/>
    </row>
    <row r="737">
      <c r="A737" s="1083"/>
      <c r="B737" s="1083"/>
      <c r="C737" s="1083"/>
    </row>
    <row r="738">
      <c r="A738" s="1083"/>
      <c r="B738" s="1083"/>
      <c r="C738" s="1083"/>
    </row>
    <row r="739">
      <c r="A739" s="1083"/>
      <c r="B739" s="1083"/>
      <c r="C739" s="1083"/>
    </row>
    <row r="740">
      <c r="A740" s="1083"/>
      <c r="B740" s="1083"/>
      <c r="C740" s="1083"/>
    </row>
    <row r="741">
      <c r="A741" s="1083"/>
      <c r="B741" s="1083"/>
      <c r="C741" s="1083"/>
    </row>
    <row r="742">
      <c r="A742" s="1083"/>
      <c r="B742" s="1083"/>
      <c r="C742" s="1083"/>
    </row>
    <row r="743">
      <c r="A743" s="1083"/>
      <c r="B743" s="1083"/>
      <c r="C743" s="1083"/>
    </row>
    <row r="744">
      <c r="A744" s="1083"/>
      <c r="B744" s="1083"/>
      <c r="C744" s="1083"/>
    </row>
    <row r="745">
      <c r="A745" s="1083"/>
      <c r="B745" s="1083"/>
      <c r="C745" s="1083"/>
    </row>
    <row r="746">
      <c r="A746" s="1083"/>
      <c r="B746" s="1083"/>
      <c r="C746" s="1083"/>
    </row>
    <row r="747">
      <c r="A747" s="1083"/>
      <c r="B747" s="1083"/>
      <c r="C747" s="1083"/>
    </row>
    <row r="748">
      <c r="A748" s="1083"/>
      <c r="B748" s="1083"/>
      <c r="C748" s="1083"/>
    </row>
    <row r="749">
      <c r="A749" s="1083"/>
      <c r="B749" s="1083"/>
      <c r="C749" s="1083"/>
    </row>
    <row r="750">
      <c r="A750" s="1083"/>
      <c r="B750" s="1083"/>
      <c r="C750" s="1083"/>
    </row>
    <row r="751">
      <c r="A751" s="1083"/>
      <c r="B751" s="1083"/>
      <c r="C751" s="1083"/>
    </row>
    <row r="752">
      <c r="A752" s="1083"/>
      <c r="B752" s="1083"/>
      <c r="C752" s="1083"/>
    </row>
    <row r="753">
      <c r="A753" s="1083"/>
      <c r="B753" s="1083"/>
      <c r="C753" s="1083"/>
    </row>
    <row r="754">
      <c r="A754" s="1083"/>
      <c r="B754" s="1083"/>
      <c r="C754" s="1083"/>
    </row>
    <row r="755">
      <c r="A755" s="1083"/>
      <c r="B755" s="1083"/>
      <c r="C755" s="1083"/>
    </row>
    <row r="756">
      <c r="A756" s="1083"/>
      <c r="B756" s="1083"/>
      <c r="C756" s="1083"/>
    </row>
    <row r="757">
      <c r="A757" s="1083"/>
      <c r="B757" s="1083"/>
      <c r="C757" s="1083"/>
    </row>
    <row r="758">
      <c r="A758" s="1083"/>
      <c r="B758" s="1083"/>
      <c r="C758" s="1083"/>
    </row>
    <row r="759">
      <c r="A759" s="1083"/>
      <c r="B759" s="1083"/>
      <c r="C759" s="1083"/>
    </row>
    <row r="760">
      <c r="A760" s="1083"/>
      <c r="B760" s="1083"/>
      <c r="C760" s="1083"/>
    </row>
    <row r="761">
      <c r="A761" s="1083"/>
      <c r="B761" s="1083"/>
      <c r="C761" s="1083"/>
    </row>
    <row r="762">
      <c r="A762" s="1083"/>
      <c r="B762" s="1083"/>
      <c r="C762" s="1083"/>
    </row>
    <row r="763">
      <c r="A763" s="1083"/>
      <c r="B763" s="1083"/>
      <c r="C763" s="1083"/>
    </row>
    <row r="764">
      <c r="A764" s="1083"/>
      <c r="B764" s="1083"/>
      <c r="C764" s="1083"/>
    </row>
    <row r="765">
      <c r="A765" s="1083"/>
      <c r="B765" s="1083"/>
      <c r="C765" s="1083"/>
    </row>
    <row r="766">
      <c r="A766" s="1083"/>
      <c r="B766" s="1083"/>
      <c r="C766" s="1083"/>
    </row>
    <row r="767">
      <c r="A767" s="1083"/>
      <c r="B767" s="1083"/>
      <c r="C767" s="1083"/>
    </row>
    <row r="768">
      <c r="A768" s="1083"/>
      <c r="B768" s="1083"/>
      <c r="C768" s="1083"/>
    </row>
    <row r="769">
      <c r="A769" s="1083"/>
      <c r="B769" s="1083"/>
      <c r="C769" s="1083"/>
    </row>
    <row r="770">
      <c r="A770" s="1083"/>
      <c r="B770" s="1083"/>
      <c r="C770" s="1083"/>
    </row>
    <row r="771">
      <c r="A771" s="1083"/>
      <c r="B771" s="1083"/>
      <c r="C771" s="1083"/>
    </row>
    <row r="772">
      <c r="A772" s="1083"/>
      <c r="B772" s="1083"/>
      <c r="C772" s="1083"/>
    </row>
    <row r="773">
      <c r="A773" s="1083"/>
      <c r="B773" s="1083"/>
      <c r="C773" s="1083"/>
    </row>
    <row r="774">
      <c r="A774" s="1083"/>
      <c r="B774" s="1083"/>
      <c r="C774" s="1083"/>
    </row>
    <row r="775">
      <c r="A775" s="1083"/>
      <c r="B775" s="1083"/>
      <c r="C775" s="1083"/>
    </row>
    <row r="776">
      <c r="A776" s="1083"/>
      <c r="B776" s="1083"/>
      <c r="C776" s="1083"/>
    </row>
    <row r="777">
      <c r="A777" s="1083"/>
      <c r="B777" s="1083"/>
      <c r="C777" s="1083"/>
    </row>
    <row r="778">
      <c r="A778" s="1083"/>
      <c r="B778" s="1083"/>
      <c r="C778" s="1083"/>
    </row>
    <row r="779">
      <c r="A779" s="1083"/>
      <c r="B779" s="1083"/>
      <c r="C779" s="1083"/>
    </row>
    <row r="780">
      <c r="A780" s="1083"/>
      <c r="B780" s="1083"/>
      <c r="C780" s="1083"/>
    </row>
    <row r="781">
      <c r="A781" s="1083"/>
      <c r="B781" s="1083"/>
      <c r="C781" s="1083"/>
    </row>
    <row r="782">
      <c r="A782" s="1083"/>
      <c r="B782" s="1083"/>
      <c r="C782" s="1083"/>
    </row>
    <row r="783">
      <c r="A783" s="1083"/>
      <c r="B783" s="1083"/>
      <c r="C783" s="1083"/>
    </row>
    <row r="784">
      <c r="A784" s="1083"/>
      <c r="B784" s="1083"/>
      <c r="C784" s="1083"/>
    </row>
    <row r="785">
      <c r="A785" s="1083"/>
      <c r="B785" s="1083"/>
      <c r="C785" s="1083"/>
    </row>
    <row r="786">
      <c r="A786" s="1083"/>
      <c r="B786" s="1083"/>
      <c r="C786" s="1083"/>
    </row>
    <row r="787">
      <c r="A787" s="1083"/>
      <c r="B787" s="1083"/>
      <c r="C787" s="1083"/>
    </row>
    <row r="788">
      <c r="A788" s="1083"/>
      <c r="B788" s="1083"/>
      <c r="C788" s="1083"/>
    </row>
    <row r="789">
      <c r="A789" s="1083"/>
      <c r="B789" s="1083"/>
      <c r="C789" s="1083"/>
    </row>
    <row r="790">
      <c r="A790" s="1083"/>
      <c r="B790" s="1083"/>
      <c r="C790" s="1083"/>
    </row>
    <row r="791">
      <c r="A791" s="1083"/>
      <c r="B791" s="1083"/>
      <c r="C791" s="1083"/>
    </row>
    <row r="792">
      <c r="A792" s="1083"/>
      <c r="B792" s="1083"/>
      <c r="C792" s="1083"/>
    </row>
    <row r="793">
      <c r="A793" s="1083"/>
      <c r="B793" s="1083"/>
      <c r="C793" s="1083"/>
    </row>
    <row r="794">
      <c r="A794" s="1083"/>
      <c r="B794" s="1083"/>
      <c r="C794" s="1083"/>
    </row>
    <row r="795">
      <c r="A795" s="1083"/>
      <c r="B795" s="1083"/>
      <c r="C795" s="1083"/>
    </row>
    <row r="796">
      <c r="A796" s="1083"/>
      <c r="B796" s="1083"/>
      <c r="C796" s="1083"/>
    </row>
    <row r="797">
      <c r="A797" s="1083"/>
      <c r="B797" s="1083"/>
      <c r="C797" s="1083"/>
    </row>
    <row r="798">
      <c r="A798" s="1083"/>
      <c r="B798" s="1083"/>
      <c r="C798" s="1083"/>
    </row>
    <row r="799">
      <c r="A799" s="1083"/>
      <c r="B799" s="1083"/>
      <c r="C799" s="1083"/>
    </row>
    <row r="800">
      <c r="A800" s="1083"/>
      <c r="B800" s="1083"/>
      <c r="C800" s="1083"/>
    </row>
    <row r="801">
      <c r="A801" s="1083"/>
      <c r="B801" s="1083"/>
      <c r="C801" s="1083"/>
    </row>
    <row r="802">
      <c r="A802" s="1083"/>
      <c r="B802" s="1083"/>
      <c r="C802" s="1083"/>
    </row>
    <row r="803">
      <c r="A803" s="1083"/>
      <c r="B803" s="1083"/>
      <c r="C803" s="1083"/>
    </row>
    <row r="804">
      <c r="A804" s="1083"/>
      <c r="B804" s="1083"/>
      <c r="C804" s="1083"/>
    </row>
    <row r="805">
      <c r="A805" s="1083"/>
      <c r="B805" s="1083"/>
      <c r="C805" s="1083"/>
    </row>
    <row r="806">
      <c r="A806" s="1083"/>
      <c r="B806" s="1083"/>
      <c r="C806" s="1083"/>
    </row>
    <row r="807">
      <c r="A807" s="1083"/>
      <c r="B807" s="1083"/>
      <c r="C807" s="1083"/>
    </row>
    <row r="808">
      <c r="A808" s="1083"/>
      <c r="B808" s="1083"/>
      <c r="C808" s="1083"/>
    </row>
    <row r="809">
      <c r="A809" s="1083"/>
      <c r="B809" s="1083"/>
      <c r="C809" s="1083"/>
    </row>
    <row r="810">
      <c r="A810" s="1083"/>
      <c r="B810" s="1083"/>
      <c r="C810" s="1083"/>
    </row>
    <row r="811">
      <c r="A811" s="1083"/>
      <c r="B811" s="1083"/>
      <c r="C811" s="1083"/>
    </row>
    <row r="812">
      <c r="A812" s="1083"/>
      <c r="B812" s="1083"/>
      <c r="C812" s="1083"/>
    </row>
    <row r="813">
      <c r="A813" s="1083"/>
      <c r="B813" s="1083"/>
      <c r="C813" s="1083"/>
    </row>
    <row r="814">
      <c r="A814" s="1083"/>
      <c r="B814" s="1083"/>
      <c r="C814" s="1083"/>
    </row>
    <row r="815">
      <c r="A815" s="1083"/>
      <c r="B815" s="1083"/>
      <c r="C815" s="1083"/>
    </row>
    <row r="816">
      <c r="A816" s="1083"/>
      <c r="B816" s="1083"/>
      <c r="C816" s="1083"/>
    </row>
    <row r="817">
      <c r="A817" s="1083"/>
      <c r="B817" s="1083"/>
      <c r="C817" s="1083"/>
    </row>
    <row r="818">
      <c r="A818" s="1083"/>
      <c r="B818" s="1083"/>
      <c r="C818" s="1083"/>
    </row>
    <row r="819">
      <c r="A819" s="1083"/>
      <c r="B819" s="1083"/>
      <c r="C819" s="1083"/>
    </row>
    <row r="820">
      <c r="A820" s="1083"/>
      <c r="B820" s="1083"/>
      <c r="C820" s="1083"/>
    </row>
    <row r="821">
      <c r="A821" s="1083"/>
      <c r="B821" s="1083"/>
      <c r="C821" s="1083"/>
    </row>
    <row r="822">
      <c r="A822" s="1083"/>
      <c r="B822" s="1083"/>
      <c r="C822" s="1083"/>
    </row>
    <row r="823">
      <c r="A823" s="1083"/>
      <c r="B823" s="1083"/>
      <c r="C823" s="1083"/>
    </row>
    <row r="824">
      <c r="A824" s="1083"/>
      <c r="B824" s="1083"/>
      <c r="C824" s="1083"/>
    </row>
    <row r="825">
      <c r="A825" s="1083"/>
      <c r="B825" s="1083"/>
      <c r="C825" s="1083"/>
    </row>
    <row r="826">
      <c r="A826" s="1083"/>
      <c r="B826" s="1083"/>
      <c r="C826" s="1083"/>
    </row>
    <row r="827">
      <c r="A827" s="1083"/>
      <c r="B827" s="1083"/>
      <c r="C827" s="1083"/>
    </row>
    <row r="828">
      <c r="A828" s="1083"/>
      <c r="B828" s="1083"/>
      <c r="C828" s="1083"/>
    </row>
    <row r="829">
      <c r="A829" s="1083"/>
      <c r="B829" s="1083"/>
      <c r="C829" s="1083"/>
    </row>
    <row r="830">
      <c r="A830" s="1083"/>
      <c r="B830" s="1083"/>
      <c r="C830" s="1083"/>
    </row>
    <row r="831">
      <c r="A831" s="1083"/>
      <c r="B831" s="1083"/>
      <c r="C831" s="1083"/>
    </row>
    <row r="832">
      <c r="A832" s="1083"/>
      <c r="B832" s="1083"/>
      <c r="C832" s="1083"/>
    </row>
    <row r="833">
      <c r="A833" s="1083"/>
      <c r="B833" s="1083"/>
      <c r="C833" s="1083"/>
    </row>
    <row r="834">
      <c r="A834" s="1083"/>
      <c r="B834" s="1083"/>
      <c r="C834" s="1083"/>
    </row>
    <row r="835">
      <c r="A835" s="1083"/>
      <c r="B835" s="1083"/>
      <c r="C835" s="1083"/>
    </row>
    <row r="836">
      <c r="A836" s="1083"/>
      <c r="B836" s="1083"/>
      <c r="C836" s="1083"/>
    </row>
    <row r="837">
      <c r="A837" s="1083"/>
      <c r="B837" s="1083"/>
      <c r="C837" s="1083"/>
    </row>
    <row r="838">
      <c r="A838" s="1083"/>
      <c r="B838" s="1083"/>
      <c r="C838" s="1083"/>
    </row>
    <row r="839">
      <c r="A839" s="1083"/>
      <c r="B839" s="1083"/>
      <c r="C839" s="1083"/>
    </row>
    <row r="840">
      <c r="A840" s="1083"/>
      <c r="B840" s="1083"/>
      <c r="C840" s="1083"/>
    </row>
    <row r="841">
      <c r="A841" s="1083"/>
      <c r="B841" s="1083"/>
      <c r="C841" s="1083"/>
    </row>
    <row r="842">
      <c r="A842" s="1083"/>
      <c r="B842" s="1083"/>
      <c r="C842" s="1083"/>
    </row>
    <row r="843">
      <c r="A843" s="1083"/>
      <c r="B843" s="1083"/>
      <c r="C843" s="1083"/>
    </row>
    <row r="844">
      <c r="A844" s="1083"/>
      <c r="B844" s="1083"/>
      <c r="C844" s="1083"/>
    </row>
    <row r="845">
      <c r="A845" s="1083"/>
      <c r="B845" s="1083"/>
      <c r="C845" s="1083"/>
    </row>
    <row r="846">
      <c r="A846" s="1083"/>
      <c r="B846" s="1083"/>
      <c r="C846" s="1083"/>
    </row>
    <row r="847">
      <c r="A847" s="1083"/>
      <c r="B847" s="1083"/>
      <c r="C847" s="1083"/>
    </row>
    <row r="848">
      <c r="A848" s="1083"/>
      <c r="B848" s="1083"/>
      <c r="C848" s="1083"/>
    </row>
    <row r="849">
      <c r="A849" s="1083"/>
      <c r="B849" s="1083"/>
      <c r="C849" s="1083"/>
    </row>
    <row r="850">
      <c r="A850" s="1083"/>
      <c r="B850" s="1083"/>
      <c r="C850" s="1083"/>
    </row>
    <row r="851">
      <c r="A851" s="1083"/>
      <c r="B851" s="1083"/>
      <c r="C851" s="1083"/>
    </row>
    <row r="852">
      <c r="A852" s="1083"/>
      <c r="B852" s="1083"/>
      <c r="C852" s="1083"/>
    </row>
    <row r="853">
      <c r="A853" s="1083"/>
      <c r="B853" s="1083"/>
      <c r="C853" s="1083"/>
    </row>
    <row r="854">
      <c r="A854" s="1083"/>
      <c r="B854" s="1083"/>
      <c r="C854" s="1083"/>
    </row>
    <row r="855">
      <c r="A855" s="1083"/>
      <c r="B855" s="1083"/>
      <c r="C855" s="1083"/>
    </row>
    <row r="856">
      <c r="A856" s="1083"/>
      <c r="B856" s="1083"/>
      <c r="C856" s="1083"/>
    </row>
    <row r="857">
      <c r="A857" s="1083"/>
      <c r="B857" s="1083"/>
      <c r="C857" s="1083"/>
    </row>
    <row r="858">
      <c r="A858" s="1083"/>
      <c r="B858" s="1083"/>
      <c r="C858" s="1083"/>
    </row>
    <row r="859">
      <c r="A859" s="1083"/>
      <c r="B859" s="1083"/>
      <c r="C859" s="1083"/>
    </row>
    <row r="860">
      <c r="A860" s="1083"/>
      <c r="B860" s="1083"/>
      <c r="C860" s="1083"/>
    </row>
    <row r="861">
      <c r="A861" s="1083"/>
      <c r="B861" s="1083"/>
      <c r="C861" s="1083"/>
    </row>
    <row r="862">
      <c r="A862" s="1083"/>
      <c r="B862" s="1083"/>
      <c r="C862" s="1083"/>
    </row>
    <row r="863">
      <c r="A863" s="1083"/>
      <c r="B863" s="1083"/>
      <c r="C863" s="1083"/>
    </row>
    <row r="864">
      <c r="A864" s="1083"/>
      <c r="B864" s="1083"/>
      <c r="C864" s="1083"/>
    </row>
    <row r="865">
      <c r="A865" s="1083"/>
      <c r="B865" s="1083"/>
      <c r="C865" s="1083"/>
    </row>
    <row r="866">
      <c r="A866" s="1083"/>
      <c r="B866" s="1083"/>
      <c r="C866" s="1083"/>
    </row>
    <row r="867">
      <c r="A867" s="1083"/>
      <c r="B867" s="1083"/>
      <c r="C867" s="1083"/>
    </row>
    <row r="868">
      <c r="A868" s="1083"/>
      <c r="B868" s="1083"/>
      <c r="C868" s="1083"/>
    </row>
    <row r="869">
      <c r="A869" s="1083"/>
      <c r="B869" s="1083"/>
      <c r="C869" s="1083"/>
    </row>
    <row r="870">
      <c r="A870" s="1083"/>
      <c r="B870" s="1083"/>
      <c r="C870" s="1083"/>
    </row>
    <row r="871">
      <c r="A871" s="1083"/>
      <c r="B871" s="1083"/>
      <c r="C871" s="1083"/>
    </row>
    <row r="872">
      <c r="A872" s="1083"/>
      <c r="B872" s="1083"/>
      <c r="C872" s="1083"/>
    </row>
    <row r="873">
      <c r="A873" s="1083"/>
      <c r="B873" s="1083"/>
      <c r="C873" s="1083"/>
    </row>
    <row r="874">
      <c r="A874" s="1083"/>
      <c r="B874" s="1083"/>
      <c r="C874" s="1083"/>
    </row>
    <row r="875">
      <c r="A875" s="1083"/>
      <c r="B875" s="1083"/>
      <c r="C875" s="1083"/>
    </row>
    <row r="876">
      <c r="A876" s="1083"/>
      <c r="B876" s="1083"/>
      <c r="C876" s="1083"/>
    </row>
    <row r="877">
      <c r="A877" s="1083"/>
      <c r="B877" s="1083"/>
      <c r="C877" s="1083"/>
    </row>
    <row r="878">
      <c r="A878" s="1083"/>
      <c r="B878" s="1083"/>
      <c r="C878" s="1083"/>
    </row>
    <row r="879">
      <c r="A879" s="1083"/>
      <c r="B879" s="1083"/>
      <c r="C879" s="1083"/>
    </row>
    <row r="880">
      <c r="A880" s="1083"/>
      <c r="B880" s="1083"/>
      <c r="C880" s="1083"/>
    </row>
    <row r="881">
      <c r="A881" s="1083"/>
      <c r="B881" s="1083"/>
      <c r="C881" s="1083"/>
    </row>
    <row r="882">
      <c r="A882" s="1083"/>
      <c r="B882" s="1083"/>
      <c r="C882" s="1083"/>
    </row>
    <row r="883">
      <c r="A883" s="1083"/>
      <c r="B883" s="1083"/>
      <c r="C883" s="1083"/>
    </row>
    <row r="884">
      <c r="A884" s="1083"/>
      <c r="B884" s="1083"/>
      <c r="C884" s="1083"/>
    </row>
    <row r="885">
      <c r="A885" s="1083"/>
      <c r="B885" s="1083"/>
      <c r="C885" s="1083"/>
    </row>
    <row r="886">
      <c r="A886" s="1083"/>
      <c r="B886" s="1083"/>
      <c r="C886" s="1083"/>
    </row>
    <row r="887">
      <c r="A887" s="1083"/>
      <c r="B887" s="1083"/>
      <c r="C887" s="1083"/>
    </row>
    <row r="888">
      <c r="A888" s="1083"/>
      <c r="B888" s="1083"/>
      <c r="C888" s="1083"/>
    </row>
    <row r="889">
      <c r="A889" s="1083"/>
      <c r="B889" s="1083"/>
      <c r="C889" s="1083"/>
    </row>
    <row r="890">
      <c r="A890" s="1083"/>
      <c r="B890" s="1083"/>
      <c r="C890" s="1083"/>
    </row>
    <row r="891">
      <c r="A891" s="1083"/>
      <c r="B891" s="1083"/>
      <c r="C891" s="1083"/>
    </row>
    <row r="892">
      <c r="A892" s="1083"/>
      <c r="B892" s="1083"/>
      <c r="C892" s="1083"/>
    </row>
    <row r="893">
      <c r="A893" s="1083"/>
      <c r="B893" s="1083"/>
      <c r="C893" s="1083"/>
    </row>
    <row r="894">
      <c r="A894" s="1083"/>
      <c r="B894" s="1083"/>
      <c r="C894" s="1083"/>
    </row>
    <row r="895">
      <c r="A895" s="1083"/>
      <c r="B895" s="1083"/>
      <c r="C895" s="1083"/>
    </row>
    <row r="896">
      <c r="A896" s="1083"/>
      <c r="B896" s="1083"/>
      <c r="C896" s="1083"/>
    </row>
    <row r="897">
      <c r="A897" s="1083"/>
      <c r="B897" s="1083"/>
      <c r="C897" s="1083"/>
    </row>
    <row r="898">
      <c r="A898" s="1083"/>
      <c r="B898" s="1083"/>
      <c r="C898" s="1083"/>
    </row>
    <row r="899">
      <c r="A899" s="1083"/>
      <c r="B899" s="1083"/>
      <c r="C899" s="1083"/>
    </row>
    <row r="900">
      <c r="A900" s="1083"/>
      <c r="B900" s="1083"/>
      <c r="C900" s="1083"/>
    </row>
    <row r="901">
      <c r="A901" s="1083"/>
      <c r="B901" s="1083"/>
      <c r="C901" s="1083"/>
    </row>
    <row r="902">
      <c r="A902" s="1083"/>
      <c r="B902" s="1083"/>
      <c r="C902" s="1083"/>
    </row>
    <row r="903">
      <c r="A903" s="1083"/>
      <c r="B903" s="1083"/>
      <c r="C903" s="1083"/>
    </row>
    <row r="904">
      <c r="A904" s="1083"/>
      <c r="B904" s="1083"/>
      <c r="C904" s="1083"/>
    </row>
    <row r="905">
      <c r="A905" s="1083"/>
      <c r="B905" s="1083"/>
      <c r="C905" s="1083"/>
    </row>
    <row r="906">
      <c r="A906" s="1083"/>
      <c r="B906" s="1083"/>
      <c r="C906" s="1083"/>
    </row>
    <row r="907">
      <c r="A907" s="1083"/>
      <c r="B907" s="1083"/>
      <c r="C907" s="1083"/>
    </row>
    <row r="908">
      <c r="A908" s="1083"/>
      <c r="B908" s="1083"/>
      <c r="C908" s="1083"/>
    </row>
    <row r="909">
      <c r="A909" s="1083"/>
      <c r="B909" s="1083"/>
      <c r="C909" s="1083"/>
    </row>
    <row r="910">
      <c r="A910" s="1083"/>
      <c r="B910" s="1083"/>
      <c r="C910" s="1083"/>
    </row>
    <row r="911">
      <c r="A911" s="1083"/>
      <c r="B911" s="1083"/>
      <c r="C911" s="1083"/>
    </row>
    <row r="912">
      <c r="A912" s="1083"/>
      <c r="B912" s="1083"/>
      <c r="C912" s="1083"/>
    </row>
    <row r="913">
      <c r="A913" s="1083"/>
      <c r="B913" s="1083"/>
      <c r="C913" s="1083"/>
    </row>
    <row r="914">
      <c r="A914" s="1083"/>
      <c r="B914" s="1083"/>
      <c r="C914" s="1083"/>
    </row>
    <row r="915">
      <c r="A915" s="1083"/>
      <c r="B915" s="1083"/>
      <c r="C915" s="1083"/>
    </row>
    <row r="916">
      <c r="A916" s="1083"/>
      <c r="B916" s="1083"/>
      <c r="C916" s="1083"/>
    </row>
    <row r="917">
      <c r="A917" s="1083"/>
      <c r="B917" s="1083"/>
      <c r="C917" s="1083"/>
    </row>
    <row r="918">
      <c r="A918" s="1083"/>
      <c r="B918" s="1083"/>
      <c r="C918" s="1083"/>
    </row>
    <row r="919">
      <c r="A919" s="1083"/>
      <c r="B919" s="1083"/>
      <c r="C919" s="1083"/>
    </row>
    <row r="920">
      <c r="A920" s="1083"/>
      <c r="B920" s="1083"/>
      <c r="C920" s="1083"/>
    </row>
    <row r="921">
      <c r="A921" s="1083"/>
      <c r="B921" s="1083"/>
      <c r="C921" s="1083"/>
    </row>
    <row r="922">
      <c r="A922" s="1083"/>
      <c r="B922" s="1083"/>
      <c r="C922" s="1083"/>
    </row>
    <row r="923">
      <c r="A923" s="1083"/>
      <c r="B923" s="1083"/>
      <c r="C923" s="1083"/>
    </row>
    <row r="924">
      <c r="A924" s="1083"/>
      <c r="B924" s="1083"/>
      <c r="C924" s="1083"/>
    </row>
    <row r="925">
      <c r="A925" s="1083"/>
      <c r="B925" s="1083"/>
      <c r="C925" s="1083"/>
    </row>
    <row r="926">
      <c r="A926" s="1083"/>
      <c r="B926" s="1083"/>
      <c r="C926" s="1083"/>
    </row>
    <row r="927">
      <c r="A927" s="1083"/>
      <c r="B927" s="1083"/>
      <c r="C927" s="1083"/>
    </row>
    <row r="928">
      <c r="A928" s="1083"/>
      <c r="B928" s="1083"/>
      <c r="C928" s="1083"/>
    </row>
    <row r="929">
      <c r="A929" s="1083"/>
      <c r="B929" s="1083"/>
      <c r="C929" s="1083"/>
    </row>
    <row r="930">
      <c r="A930" s="1083"/>
      <c r="B930" s="1083"/>
      <c r="C930" s="1083"/>
    </row>
    <row r="931">
      <c r="A931" s="1083"/>
      <c r="B931" s="1083"/>
      <c r="C931" s="1083"/>
    </row>
    <row r="932">
      <c r="A932" s="1083"/>
      <c r="B932" s="1083"/>
      <c r="C932" s="1083"/>
    </row>
    <row r="933">
      <c r="A933" s="1083"/>
      <c r="B933" s="1083"/>
      <c r="C933" s="1083"/>
    </row>
    <row r="934">
      <c r="A934" s="1083"/>
      <c r="B934" s="1083"/>
      <c r="C934" s="1083"/>
    </row>
    <row r="935">
      <c r="A935" s="1083"/>
      <c r="B935" s="1083"/>
      <c r="C935" s="1083"/>
    </row>
    <row r="936">
      <c r="A936" s="1083"/>
      <c r="B936" s="1083"/>
      <c r="C936" s="1083"/>
    </row>
    <row r="937">
      <c r="A937" s="1083"/>
      <c r="B937" s="1083"/>
      <c r="C937" s="1083"/>
    </row>
    <row r="938">
      <c r="A938" s="1083"/>
      <c r="B938" s="1083"/>
      <c r="C938" s="1083"/>
    </row>
    <row r="939">
      <c r="A939" s="1083"/>
      <c r="B939" s="1083"/>
      <c r="C939" s="1083"/>
    </row>
    <row r="940">
      <c r="A940" s="1083"/>
      <c r="B940" s="1083"/>
      <c r="C940" s="1083"/>
    </row>
    <row r="941">
      <c r="A941" s="1083"/>
      <c r="B941" s="1083"/>
      <c r="C941" s="1083"/>
    </row>
    <row r="942">
      <c r="A942" s="1083"/>
      <c r="B942" s="1083"/>
      <c r="C942" s="1083"/>
    </row>
    <row r="943">
      <c r="A943" s="1083"/>
      <c r="B943" s="1083"/>
      <c r="C943" s="1083"/>
    </row>
    <row r="944">
      <c r="A944" s="1083"/>
      <c r="B944" s="1083"/>
      <c r="C944" s="1083"/>
    </row>
    <row r="945">
      <c r="A945" s="1083"/>
      <c r="B945" s="1083"/>
      <c r="C945" s="1083"/>
    </row>
    <row r="946">
      <c r="A946" s="1083"/>
      <c r="B946" s="1083"/>
      <c r="C946" s="1083"/>
    </row>
    <row r="947">
      <c r="A947" s="1083"/>
      <c r="B947" s="1083"/>
      <c r="C947" s="1083"/>
    </row>
    <row r="948">
      <c r="A948" s="1083"/>
      <c r="B948" s="1083"/>
      <c r="C948" s="1083"/>
    </row>
    <row r="949">
      <c r="A949" s="1083"/>
      <c r="B949" s="1083"/>
      <c r="C949" s="1083"/>
    </row>
    <row r="950">
      <c r="A950" s="1083"/>
      <c r="B950" s="1083"/>
      <c r="C950" s="1083"/>
    </row>
    <row r="951">
      <c r="A951" s="1083"/>
      <c r="B951" s="1083"/>
      <c r="C951" s="1083"/>
    </row>
    <row r="952">
      <c r="A952" s="1083"/>
      <c r="B952" s="1083"/>
      <c r="C952" s="1083"/>
    </row>
    <row r="953">
      <c r="A953" s="1083"/>
      <c r="B953" s="1083"/>
      <c r="C953" s="1083"/>
    </row>
    <row r="954">
      <c r="A954" s="1083"/>
      <c r="B954" s="1083"/>
      <c r="C954" s="1083"/>
    </row>
    <row r="955">
      <c r="A955" s="1083"/>
      <c r="B955" s="1083"/>
      <c r="C955" s="1083"/>
    </row>
    <row r="956">
      <c r="A956" s="1083"/>
      <c r="B956" s="1083"/>
      <c r="C956" s="1083"/>
    </row>
    <row r="957">
      <c r="A957" s="1083"/>
      <c r="B957" s="1083"/>
      <c r="C957" s="1083"/>
    </row>
    <row r="958">
      <c r="A958" s="1083"/>
      <c r="B958" s="1083"/>
      <c r="C958" s="1083"/>
    </row>
    <row r="959">
      <c r="A959" s="1083"/>
      <c r="B959" s="1083"/>
      <c r="C959" s="1083"/>
    </row>
    <row r="960">
      <c r="A960" s="1083"/>
      <c r="B960" s="1083"/>
      <c r="C960" s="1083"/>
    </row>
    <row r="961">
      <c r="A961" s="1083"/>
      <c r="B961" s="1083"/>
      <c r="C961" s="1083"/>
    </row>
    <row r="962">
      <c r="A962" s="1083"/>
      <c r="B962" s="1083"/>
      <c r="C962" s="1083"/>
    </row>
    <row r="963">
      <c r="A963" s="1083"/>
      <c r="B963" s="1083"/>
      <c r="C963" s="1083"/>
    </row>
    <row r="964">
      <c r="A964" s="1083"/>
      <c r="B964" s="1083"/>
      <c r="C964" s="1083"/>
    </row>
    <row r="965">
      <c r="A965" s="1083"/>
      <c r="B965" s="1083"/>
      <c r="C965" s="1083"/>
    </row>
    <row r="966">
      <c r="A966" s="1083"/>
      <c r="B966" s="1083"/>
      <c r="C966" s="1083"/>
    </row>
    <row r="967">
      <c r="A967" s="1083"/>
      <c r="B967" s="1083"/>
      <c r="C967" s="1083"/>
    </row>
    <row r="968">
      <c r="A968" s="1083"/>
      <c r="B968" s="1083"/>
      <c r="C968" s="1083"/>
    </row>
    <row r="969">
      <c r="A969" s="1083"/>
      <c r="B969" s="1083"/>
      <c r="C969" s="1083"/>
    </row>
    <row r="970">
      <c r="A970" s="1083"/>
      <c r="B970" s="1083"/>
      <c r="C970" s="1083"/>
    </row>
    <row r="971">
      <c r="A971" s="1083"/>
      <c r="B971" s="1083"/>
      <c r="C971" s="1083"/>
    </row>
    <row r="972">
      <c r="A972" s="1083"/>
      <c r="B972" s="1083"/>
      <c r="C972" s="1083"/>
    </row>
    <row r="973">
      <c r="A973" s="1083"/>
      <c r="B973" s="1083"/>
      <c r="C973" s="1083"/>
    </row>
    <row r="974">
      <c r="A974" s="1083"/>
      <c r="B974" s="1083"/>
      <c r="C974" s="1083"/>
    </row>
    <row r="975">
      <c r="A975" s="1083"/>
      <c r="B975" s="1083"/>
      <c r="C975" s="1083"/>
    </row>
    <row r="976">
      <c r="A976" s="1083"/>
      <c r="B976" s="1083"/>
      <c r="C976" s="1083"/>
    </row>
    <row r="977">
      <c r="A977" s="1083"/>
      <c r="B977" s="1083"/>
      <c r="C977" s="1083"/>
    </row>
    <row r="978">
      <c r="A978" s="1083"/>
      <c r="B978" s="1083"/>
      <c r="C978" s="1083"/>
    </row>
    <row r="979">
      <c r="A979" s="1083"/>
      <c r="B979" s="1083"/>
      <c r="C979" s="1083"/>
    </row>
    <row r="980">
      <c r="A980" s="1083"/>
      <c r="B980" s="1083"/>
      <c r="C980" s="1083"/>
    </row>
    <row r="981">
      <c r="A981" s="1083"/>
      <c r="B981" s="1083"/>
      <c r="C981" s="1083"/>
    </row>
    <row r="982">
      <c r="A982" s="1083"/>
      <c r="B982" s="1083"/>
      <c r="C982" s="1083"/>
    </row>
    <row r="983">
      <c r="A983" s="1083"/>
      <c r="B983" s="1083"/>
      <c r="C983" s="1083"/>
    </row>
    <row r="984">
      <c r="A984" s="1083"/>
      <c r="B984" s="1083"/>
      <c r="C984" s="1083"/>
    </row>
    <row r="985">
      <c r="A985" s="1083"/>
      <c r="B985" s="1083"/>
      <c r="C985" s="1083"/>
    </row>
    <row r="986">
      <c r="A986" s="1083"/>
      <c r="B986" s="1083"/>
      <c r="C986" s="1083"/>
    </row>
    <row r="987">
      <c r="A987" s="1083"/>
      <c r="B987" s="1083"/>
      <c r="C987" s="1083"/>
    </row>
    <row r="988">
      <c r="A988" s="1083"/>
      <c r="B988" s="1083"/>
      <c r="C988" s="1083"/>
    </row>
    <row r="989">
      <c r="A989" s="1083"/>
      <c r="B989" s="1083"/>
      <c r="C989" s="1083"/>
    </row>
    <row r="990">
      <c r="A990" s="1083"/>
      <c r="B990" s="1083"/>
      <c r="C990" s="1083"/>
    </row>
    <row r="991">
      <c r="A991" s="1083"/>
      <c r="B991" s="1083"/>
      <c r="C991" s="1083"/>
    </row>
    <row r="992">
      <c r="A992" s="1083"/>
      <c r="B992" s="1083"/>
      <c r="C992" s="1083"/>
    </row>
    <row r="993">
      <c r="A993" s="1083"/>
      <c r="B993" s="1083"/>
      <c r="C993" s="1083"/>
    </row>
    <row r="994">
      <c r="A994" s="1083"/>
      <c r="B994" s="1083"/>
      <c r="C994" s="1083"/>
    </row>
    <row r="995">
      <c r="A995" s="1083"/>
      <c r="B995" s="1083"/>
      <c r="C995" s="1083"/>
    </row>
    <row r="996">
      <c r="A996" s="1083"/>
      <c r="B996" s="1083"/>
      <c r="C996" s="1083"/>
    </row>
    <row r="997">
      <c r="A997" s="1083"/>
      <c r="B997" s="1083"/>
      <c r="C997" s="1083"/>
    </row>
    <row r="998">
      <c r="A998" s="1083"/>
      <c r="B998" s="1083"/>
      <c r="C998" s="1083"/>
    </row>
    <row r="999">
      <c r="A999" s="1083"/>
      <c r="B999" s="1083"/>
      <c r="C999" s="1083"/>
    </row>
    <row r="1000">
      <c r="A1000" s="1083"/>
      <c r="B1000" s="1083"/>
      <c r="C1000" s="1083"/>
    </row>
    <row r="1001">
      <c r="A1001" s="1083"/>
      <c r="B1001" s="1083"/>
      <c r="C1001" s="1083"/>
    </row>
    <row r="1002">
      <c r="A1002" s="1083"/>
      <c r="B1002" s="1083"/>
      <c r="C1002" s="1083"/>
    </row>
    <row r="1003">
      <c r="A1003" s="1083"/>
      <c r="B1003" s="1083"/>
      <c r="C1003" s="1083"/>
    </row>
    <row r="1004">
      <c r="A1004" s="1083"/>
      <c r="B1004" s="1083"/>
      <c r="C1004" s="1083"/>
    </row>
    <row r="1005">
      <c r="A1005" s="1083"/>
      <c r="B1005" s="1083"/>
      <c r="C1005" s="1083"/>
    </row>
    <row r="1006">
      <c r="A1006" s="1083"/>
      <c r="B1006" s="1083"/>
      <c r="C1006" s="1083"/>
    </row>
    <row r="1007">
      <c r="A1007" s="1083"/>
      <c r="B1007" s="1083"/>
      <c r="C1007" s="1083"/>
    </row>
    <row r="1008">
      <c r="A1008" s="1083"/>
      <c r="B1008" s="1083"/>
      <c r="C1008" s="1083"/>
    </row>
    <row r="1009">
      <c r="A1009" s="1083"/>
      <c r="B1009" s="1083"/>
      <c r="C1009" s="1083"/>
    </row>
    <row r="1010">
      <c r="A1010" s="1083"/>
      <c r="B1010" s="1083"/>
      <c r="C1010" s="1083"/>
    </row>
    <row r="1011">
      <c r="A1011" s="1083"/>
      <c r="B1011" s="1083"/>
      <c r="C1011" s="1083"/>
    </row>
    <row r="1012">
      <c r="A1012" s="1083"/>
      <c r="B1012" s="1083"/>
      <c r="C1012" s="1083"/>
    </row>
    <row r="1013">
      <c r="A1013" s="1083"/>
      <c r="B1013" s="1083"/>
      <c r="C1013" s="1083"/>
    </row>
    <row r="1014">
      <c r="A1014" s="1083"/>
      <c r="B1014" s="1083"/>
      <c r="C1014" s="1083"/>
    </row>
    <row r="1015">
      <c r="A1015" s="1083"/>
      <c r="B1015" s="1083"/>
      <c r="C1015" s="1083"/>
    </row>
    <row r="1016">
      <c r="A1016" s="1083"/>
      <c r="B1016" s="1083"/>
      <c r="C1016" s="1083"/>
    </row>
    <row r="1017">
      <c r="A1017" s="1083"/>
      <c r="B1017" s="1083"/>
      <c r="C1017" s="1083"/>
    </row>
    <row r="1018">
      <c r="A1018" s="1083"/>
      <c r="B1018" s="1083"/>
      <c r="C1018" s="1083"/>
    </row>
    <row r="1019">
      <c r="A1019" s="1083"/>
      <c r="B1019" s="1083"/>
      <c r="C1019" s="1083"/>
    </row>
    <row r="1020">
      <c r="A1020" s="1083"/>
      <c r="B1020" s="1083"/>
      <c r="C1020" s="1083"/>
    </row>
    <row r="1021">
      <c r="A1021" s="1083"/>
      <c r="B1021" s="1083"/>
      <c r="C1021" s="1083"/>
    </row>
    <row r="1022">
      <c r="A1022" s="1083"/>
      <c r="B1022" s="1083"/>
      <c r="C1022" s="1083"/>
    </row>
    <row r="1023">
      <c r="A1023" s="1083"/>
      <c r="B1023" s="1083"/>
      <c r="C1023" s="1083"/>
    </row>
    <row r="1024">
      <c r="A1024" s="1083"/>
      <c r="B1024" s="1083"/>
      <c r="C1024" s="1083"/>
    </row>
    <row r="1025">
      <c r="A1025" s="1083"/>
      <c r="B1025" s="1083"/>
      <c r="C1025" s="1083"/>
    </row>
    <row r="1026">
      <c r="A1026" s="1083"/>
      <c r="B1026" s="1083"/>
      <c r="C1026" s="1083"/>
    </row>
    <row r="1027">
      <c r="A1027" s="1083"/>
      <c r="B1027" s="1083"/>
      <c r="C1027" s="1083"/>
    </row>
    <row r="1028">
      <c r="A1028" s="1083"/>
      <c r="B1028" s="1083"/>
      <c r="C1028" s="1083"/>
    </row>
    <row r="1029">
      <c r="A1029" s="1083"/>
      <c r="B1029" s="1083"/>
      <c r="C1029" s="1083"/>
    </row>
    <row r="1030">
      <c r="A1030" s="1083"/>
      <c r="B1030" s="1083"/>
      <c r="C1030" s="1083"/>
    </row>
    <row r="1031">
      <c r="A1031" s="1083"/>
      <c r="B1031" s="1083"/>
      <c r="C1031" s="1083"/>
    </row>
    <row r="1032">
      <c r="A1032" s="1083"/>
      <c r="B1032" s="1083"/>
      <c r="C1032" s="1083"/>
    </row>
    <row r="1033">
      <c r="A1033" s="1083"/>
      <c r="B1033" s="1083"/>
      <c r="C1033" s="1083"/>
    </row>
    <row r="1034">
      <c r="A1034" s="1083"/>
      <c r="B1034" s="1083"/>
      <c r="C1034" s="1083"/>
    </row>
    <row r="1035">
      <c r="A1035" s="1083"/>
      <c r="B1035" s="1083"/>
      <c r="C1035" s="1083"/>
    </row>
    <row r="1036">
      <c r="A1036" s="1083"/>
      <c r="B1036" s="1083"/>
      <c r="C1036" s="1083"/>
    </row>
    <row r="1037">
      <c r="A1037" s="1083"/>
      <c r="B1037" s="1083"/>
      <c r="C1037" s="1083"/>
    </row>
    <row r="1038">
      <c r="A1038" s="1083"/>
      <c r="B1038" s="1083"/>
      <c r="C1038" s="1083"/>
    </row>
  </sheetData>
  <printOptions horizontalCentered="1"/>
  <pageMargins bottom="0.75" footer="0.0" header="0.0" left="0.25" right="0.25" top="0.7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33.86"/>
  </cols>
  <sheetData>
    <row r="1">
      <c r="A1" s="663" t="s">
        <v>9779</v>
      </c>
      <c r="B1" s="1130" t="s">
        <v>11206</v>
      </c>
      <c r="C1" s="663" t="s">
        <v>11333</v>
      </c>
      <c r="D1" s="663" t="s">
        <v>11334</v>
      </c>
    </row>
    <row r="2">
      <c r="A2" s="1134" t="s">
        <v>11207</v>
      </c>
      <c r="B2" s="1137" t="s">
        <v>11335</v>
      </c>
      <c r="C2" s="1134" t="s">
        <v>11237</v>
      </c>
      <c r="D2" s="1134" t="s">
        <v>11237</v>
      </c>
    </row>
    <row r="3">
      <c r="A3" s="1134" t="s">
        <v>11210</v>
      </c>
      <c r="B3" s="1137" t="s">
        <v>11232</v>
      </c>
      <c r="C3" s="1134" t="s">
        <v>11237</v>
      </c>
      <c r="D3" s="1134" t="s">
        <v>11237</v>
      </c>
    </row>
    <row r="4">
      <c r="A4" s="1134" t="s">
        <v>11213</v>
      </c>
      <c r="B4" s="1137" t="s">
        <v>11229</v>
      </c>
      <c r="C4" s="1134" t="s">
        <v>11237</v>
      </c>
      <c r="D4" s="1136"/>
    </row>
    <row r="5">
      <c r="A5" s="1134" t="s">
        <v>11216</v>
      </c>
      <c r="B5" s="1137" t="s">
        <v>11336</v>
      </c>
      <c r="C5" s="1134" t="s">
        <v>11237</v>
      </c>
      <c r="D5" s="1136"/>
    </row>
    <row r="6">
      <c r="A6" s="1134" t="s">
        <v>11219</v>
      </c>
      <c r="B6" s="1137" t="s">
        <v>11211</v>
      </c>
      <c r="C6" s="1134" t="s">
        <v>11337</v>
      </c>
      <c r="D6" s="1136"/>
    </row>
    <row r="7">
      <c r="A7" s="1134" t="s">
        <v>11222</v>
      </c>
      <c r="B7" s="1137" t="s">
        <v>11214</v>
      </c>
      <c r="C7" s="1134" t="s">
        <v>11318</v>
      </c>
      <c r="D7" s="1136"/>
    </row>
    <row r="8">
      <c r="A8" s="1134" t="s">
        <v>11225</v>
      </c>
      <c r="B8" s="1137" t="s">
        <v>11208</v>
      </c>
      <c r="C8" s="1136"/>
      <c r="D8" s="1136"/>
    </row>
    <row r="9">
      <c r="A9" s="1134" t="s">
        <v>11228</v>
      </c>
      <c r="B9" s="1137" t="s">
        <v>11338</v>
      </c>
      <c r="C9" s="1136"/>
      <c r="D9" s="1136"/>
    </row>
    <row r="10">
      <c r="A10" s="1134" t="s">
        <v>11231</v>
      </c>
      <c r="B10" s="1137" t="s">
        <v>11288</v>
      </c>
      <c r="C10" s="1136"/>
      <c r="D10" s="1136"/>
    </row>
    <row r="11">
      <c r="A11" s="1134" t="s">
        <v>11233</v>
      </c>
      <c r="B11" s="1137" t="s">
        <v>11339</v>
      </c>
      <c r="C11" s="1136"/>
      <c r="D11" s="1136"/>
    </row>
    <row r="12">
      <c r="A12" s="1134" t="s">
        <v>11235</v>
      </c>
      <c r="B12" s="1137" t="s">
        <v>11340</v>
      </c>
      <c r="C12" s="1136"/>
      <c r="D12" s="1136"/>
    </row>
    <row r="13">
      <c r="A13" s="1134" t="s">
        <v>11238</v>
      </c>
      <c r="B13" s="1137" t="s">
        <v>11341</v>
      </c>
      <c r="C13" s="1136"/>
      <c r="D13" s="1136"/>
    </row>
    <row r="14">
      <c r="A14" s="1134" t="s">
        <v>11241</v>
      </c>
      <c r="B14" s="1137" t="s">
        <v>11342</v>
      </c>
      <c r="C14" s="1136"/>
      <c r="D14" s="1136"/>
    </row>
    <row r="15">
      <c r="A15" s="1134" t="s">
        <v>11244</v>
      </c>
      <c r="B15" s="1137" t="s">
        <v>11343</v>
      </c>
      <c r="C15" s="1136"/>
      <c r="D15" s="1136"/>
    </row>
    <row r="16">
      <c r="A16" s="1134" t="s">
        <v>11247</v>
      </c>
      <c r="B16" s="1137" t="s">
        <v>11344</v>
      </c>
      <c r="C16" s="1136"/>
      <c r="D16" s="1136"/>
    </row>
    <row r="17">
      <c r="A17" s="1134" t="s">
        <v>11250</v>
      </c>
      <c r="B17" s="677" t="s">
        <v>11345</v>
      </c>
      <c r="C17" s="1136"/>
      <c r="D17" s="1136"/>
    </row>
    <row r="18">
      <c r="A18" s="1134" t="s">
        <v>11253</v>
      </c>
      <c r="B18" s="1137" t="s">
        <v>11248</v>
      </c>
      <c r="C18" s="1136"/>
      <c r="D18" s="1136"/>
    </row>
    <row r="19">
      <c r="A19" s="1134" t="s">
        <v>11255</v>
      </c>
      <c r="B19" s="1137" t="s">
        <v>11346</v>
      </c>
      <c r="C19" s="1136"/>
      <c r="D19" s="1136"/>
    </row>
    <row r="20">
      <c r="A20" s="1134" t="s">
        <v>11257</v>
      </c>
      <c r="B20" s="1137" t="s">
        <v>11347</v>
      </c>
      <c r="C20" s="1136"/>
      <c r="D20" s="1136"/>
    </row>
    <row r="21">
      <c r="A21" s="1134" t="s">
        <v>11259</v>
      </c>
      <c r="B21" s="1137" t="s">
        <v>11348</v>
      </c>
      <c r="C21" s="1136"/>
      <c r="D21" s="1136"/>
    </row>
    <row r="22">
      <c r="A22" s="1134" t="s">
        <v>11262</v>
      </c>
      <c r="B22" s="1137" t="s">
        <v>11316</v>
      </c>
      <c r="C22" s="1136"/>
      <c r="D22" s="1136"/>
    </row>
    <row r="23">
      <c r="A23" s="1134" t="s">
        <v>11265</v>
      </c>
      <c r="B23" s="1137" t="s">
        <v>11239</v>
      </c>
      <c r="C23" s="1136"/>
      <c r="D23" s="1136"/>
    </row>
    <row r="24">
      <c r="A24" s="1134" t="s">
        <v>11268</v>
      </c>
      <c r="B24" s="1137" t="s">
        <v>11349</v>
      </c>
      <c r="C24" s="1136"/>
      <c r="D24" s="1136"/>
    </row>
    <row r="25">
      <c r="A25" s="1134" t="s">
        <v>11270</v>
      </c>
      <c r="B25" s="1137" t="s">
        <v>11223</v>
      </c>
      <c r="C25" s="1136"/>
      <c r="D25" s="1136"/>
    </row>
    <row r="26">
      <c r="A26" s="1134" t="s">
        <v>11272</v>
      </c>
      <c r="B26" s="1137" t="s">
        <v>11300</v>
      </c>
      <c r="C26" s="1136"/>
      <c r="D26" s="1136"/>
    </row>
    <row r="27">
      <c r="A27" s="1134" t="s">
        <v>11275</v>
      </c>
      <c r="B27" s="1137" t="s">
        <v>11350</v>
      </c>
      <c r="C27" s="1136"/>
      <c r="D27" s="1136"/>
    </row>
    <row r="28">
      <c r="A28" s="1134" t="s">
        <v>11278</v>
      </c>
      <c r="B28" s="1137" t="s">
        <v>11314</v>
      </c>
      <c r="C28" s="1136"/>
      <c r="D28" s="1136"/>
    </row>
    <row r="29">
      <c r="A29" s="1134" t="s">
        <v>11281</v>
      </c>
      <c r="B29" s="1137" t="s">
        <v>11351</v>
      </c>
      <c r="C29" s="1136"/>
      <c r="D29" s="1136"/>
    </row>
    <row r="30">
      <c r="A30" s="1134" t="s">
        <v>11283</v>
      </c>
      <c r="B30" s="1137" t="s">
        <v>11330</v>
      </c>
      <c r="C30" s="1136"/>
      <c r="D30" s="1136"/>
    </row>
    <row r="31">
      <c r="A31" s="1134"/>
      <c r="B31" s="1136"/>
      <c r="C31" s="1136"/>
      <c r="D31" s="1136"/>
    </row>
    <row r="32">
      <c r="A32" s="1136"/>
      <c r="B32" s="1136"/>
      <c r="C32" s="1136"/>
      <c r="D32" s="1136"/>
    </row>
    <row r="33">
      <c r="A33" s="1136"/>
      <c r="B33" s="1136"/>
      <c r="C33" s="1136"/>
      <c r="D33" s="1136"/>
    </row>
    <row r="34">
      <c r="A34" s="1136"/>
      <c r="B34" s="1136"/>
      <c r="C34" s="1136"/>
      <c r="D34" s="1136"/>
    </row>
    <row r="35">
      <c r="A35" s="1136"/>
      <c r="B35" s="1136"/>
      <c r="C35" s="1136"/>
      <c r="D35" s="1136"/>
    </row>
    <row r="36">
      <c r="A36" s="1136"/>
      <c r="B36" s="1136"/>
      <c r="C36" s="1136"/>
      <c r="D36" s="1136"/>
    </row>
    <row r="37">
      <c r="A37" s="1136"/>
      <c r="B37" s="1136"/>
      <c r="C37" s="1136"/>
      <c r="D37" s="1136"/>
    </row>
    <row r="38">
      <c r="A38" s="1136"/>
      <c r="B38" s="1136"/>
      <c r="C38" s="1136"/>
      <c r="D38" s="1136"/>
    </row>
    <row r="39">
      <c r="A39" s="1136"/>
      <c r="B39" s="1136"/>
      <c r="C39" s="1136"/>
      <c r="D39" s="1136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1.57"/>
    <col customWidth="1" min="3" max="3" width="11.86"/>
    <col customWidth="1" min="4" max="5" width="5.0"/>
    <col customWidth="1" min="6" max="6" width="11.86"/>
    <col customWidth="1" min="7" max="8" width="5.0"/>
    <col customWidth="1" min="9" max="9" width="1.0"/>
    <col customWidth="1" min="10" max="10" width="20.86"/>
    <col customWidth="1" min="11" max="11" width="11.86"/>
    <col customWidth="1" min="12" max="13" width="5.0"/>
    <col customWidth="1" min="14" max="14" width="11.86"/>
    <col customWidth="1" min="15" max="16" width="5.0"/>
  </cols>
  <sheetData>
    <row r="1">
      <c r="A1" s="1138" t="s">
        <v>11352</v>
      </c>
    </row>
    <row r="2">
      <c r="A2" s="1138" t="s">
        <v>11353</v>
      </c>
    </row>
    <row r="3">
      <c r="A3" s="1139" t="s">
        <v>11354</v>
      </c>
      <c r="B3" s="1139" t="s">
        <v>11355</v>
      </c>
      <c r="C3" s="1140"/>
      <c r="D3" s="1141"/>
      <c r="E3" s="1142" t="s">
        <v>11356</v>
      </c>
      <c r="F3" s="1143"/>
      <c r="G3" s="1144"/>
      <c r="H3" s="1144"/>
      <c r="I3" s="1145"/>
      <c r="J3" s="1146" t="s">
        <v>11357</v>
      </c>
      <c r="N3" s="1145"/>
      <c r="O3" s="1145"/>
      <c r="P3" s="1145"/>
    </row>
    <row r="4">
      <c r="A4" s="1139" t="s">
        <v>11358</v>
      </c>
      <c r="B4" s="1139" t="s">
        <v>11355</v>
      </c>
      <c r="C4" s="1147"/>
      <c r="D4" s="1147"/>
      <c r="E4" s="1147"/>
      <c r="F4" s="1140"/>
      <c r="G4" s="1145"/>
      <c r="H4" s="1145"/>
      <c r="I4" s="1145"/>
      <c r="J4" s="1145"/>
      <c r="K4" s="1145"/>
      <c r="L4" s="1145"/>
      <c r="M4" s="1145"/>
      <c r="N4" s="1145"/>
      <c r="O4" s="1145"/>
      <c r="P4" s="1145"/>
    </row>
    <row r="5">
      <c r="A5" s="1139" t="s">
        <v>11359</v>
      </c>
      <c r="B5" s="1139" t="s">
        <v>11355</v>
      </c>
      <c r="C5" s="1147"/>
      <c r="D5" s="1147"/>
      <c r="E5" s="1147"/>
      <c r="F5" s="1140"/>
      <c r="G5" s="1145"/>
      <c r="H5" s="1145"/>
      <c r="I5" s="1145"/>
      <c r="J5" s="1139" t="s">
        <v>11360</v>
      </c>
      <c r="K5" s="1145"/>
      <c r="L5" s="1145"/>
      <c r="M5" s="1145"/>
      <c r="N5" s="1145"/>
      <c r="O5" s="1145"/>
      <c r="P5" s="1145"/>
    </row>
    <row r="6">
      <c r="A6" s="1139" t="s">
        <v>11361</v>
      </c>
      <c r="B6" s="1139" t="s">
        <v>11355</v>
      </c>
      <c r="C6" s="1147"/>
      <c r="D6" s="1140"/>
      <c r="E6" s="1140"/>
      <c r="F6" s="1140"/>
      <c r="G6" s="1145"/>
      <c r="H6" s="1145"/>
      <c r="I6" s="1145"/>
      <c r="J6" s="1139" t="s">
        <v>11362</v>
      </c>
      <c r="K6" s="1145"/>
      <c r="L6" s="1145"/>
      <c r="M6" s="1145"/>
      <c r="N6" s="1145"/>
      <c r="O6" s="1145"/>
      <c r="P6" s="1145"/>
    </row>
    <row r="7">
      <c r="A7" s="1139" t="s">
        <v>11363</v>
      </c>
      <c r="B7" s="1139" t="s">
        <v>11355</v>
      </c>
      <c r="C7" s="1147"/>
      <c r="D7" s="1140"/>
      <c r="E7" s="1140"/>
      <c r="F7" s="1140"/>
      <c r="G7" s="1145"/>
      <c r="H7" s="1145"/>
      <c r="I7" s="1145"/>
      <c r="J7" s="1139" t="s">
        <v>11364</v>
      </c>
      <c r="K7" s="1145"/>
      <c r="L7" s="1145"/>
      <c r="M7" s="1145"/>
      <c r="N7" s="1145"/>
      <c r="O7" s="1145"/>
      <c r="P7" s="1145"/>
    </row>
    <row r="8">
      <c r="A8" s="1139" t="s">
        <v>11365</v>
      </c>
      <c r="B8" s="1139" t="s">
        <v>11355</v>
      </c>
      <c r="C8" s="1148" t="s">
        <v>11366</v>
      </c>
      <c r="D8" s="1148"/>
      <c r="E8" s="1148"/>
      <c r="F8" s="1148"/>
      <c r="G8" s="1149"/>
      <c r="H8" s="1149"/>
      <c r="I8" s="1145"/>
      <c r="J8" s="1139" t="s">
        <v>11367</v>
      </c>
      <c r="K8" s="1145"/>
      <c r="L8" s="1145"/>
      <c r="M8" s="1145"/>
      <c r="N8" s="1145"/>
      <c r="O8" s="1145"/>
      <c r="P8" s="1145"/>
    </row>
    <row r="9">
      <c r="A9" s="1139" t="s">
        <v>11368</v>
      </c>
      <c r="B9" s="1139" t="s">
        <v>11355</v>
      </c>
      <c r="C9" s="1147"/>
      <c r="D9" s="1140"/>
      <c r="E9" s="1140"/>
      <c r="F9" s="1140"/>
      <c r="G9" s="1145"/>
      <c r="H9" s="1145"/>
      <c r="I9" s="1145"/>
      <c r="J9" s="1139" t="s">
        <v>11369</v>
      </c>
      <c r="K9" s="1145"/>
      <c r="L9" s="1145"/>
      <c r="M9" s="1145"/>
      <c r="N9" s="1145"/>
      <c r="O9" s="1145"/>
      <c r="P9" s="1145"/>
    </row>
    <row r="10">
      <c r="A10" s="1139" t="s">
        <v>11370</v>
      </c>
      <c r="B10" s="1139" t="s">
        <v>11355</v>
      </c>
      <c r="C10" s="1147"/>
      <c r="D10" s="1140"/>
      <c r="E10" s="1140"/>
      <c r="F10" s="1140"/>
      <c r="G10" s="1145"/>
      <c r="H10" s="1145"/>
      <c r="I10" s="1145"/>
      <c r="J10" s="1139" t="s">
        <v>11371</v>
      </c>
      <c r="K10" s="1145"/>
      <c r="L10" s="1145"/>
      <c r="M10" s="1145"/>
      <c r="N10" s="1145"/>
      <c r="O10" s="1145"/>
      <c r="P10" s="1145"/>
    </row>
    <row r="11">
      <c r="A11" s="1139" t="s">
        <v>11372</v>
      </c>
      <c r="B11" s="1139" t="s">
        <v>11355</v>
      </c>
      <c r="C11" s="1147"/>
      <c r="D11" s="1140"/>
      <c r="E11" s="1140"/>
      <c r="F11" s="1140"/>
      <c r="G11" s="1145"/>
      <c r="H11" s="1145"/>
      <c r="I11" s="1145"/>
      <c r="J11" s="1150" t="s">
        <v>11373</v>
      </c>
      <c r="K11" s="1145"/>
      <c r="L11" s="1145"/>
      <c r="M11" s="1145"/>
      <c r="N11" s="1145"/>
      <c r="O11" s="1145"/>
      <c r="P11" s="1145"/>
    </row>
    <row r="12">
      <c r="A12" s="1139" t="s">
        <v>11374</v>
      </c>
      <c r="B12" s="1139" t="s">
        <v>11355</v>
      </c>
      <c r="C12" s="1147"/>
      <c r="D12" s="1140"/>
      <c r="E12" s="1140"/>
      <c r="F12" s="1140"/>
      <c r="G12" s="1145"/>
      <c r="H12" s="1145"/>
      <c r="I12" s="1145"/>
      <c r="J12" s="1139"/>
      <c r="K12" s="1145"/>
      <c r="L12" s="1145"/>
      <c r="M12" s="1145"/>
      <c r="N12" s="1145"/>
      <c r="O12" s="1145"/>
      <c r="P12" s="1145"/>
    </row>
    <row r="13">
      <c r="A13" s="1139" t="s">
        <v>11375</v>
      </c>
      <c r="B13" s="1139" t="s">
        <v>11355</v>
      </c>
      <c r="C13" s="1151" t="s">
        <v>11376</v>
      </c>
      <c r="D13" s="1140"/>
      <c r="E13" s="1140"/>
      <c r="F13" s="1140"/>
      <c r="G13" s="1145"/>
      <c r="H13" s="1145"/>
      <c r="I13" s="1145"/>
      <c r="J13" s="1150"/>
      <c r="K13" s="1145"/>
      <c r="L13" s="1145"/>
      <c r="M13" s="1145"/>
      <c r="N13" s="1145"/>
      <c r="O13" s="1145"/>
      <c r="P13" s="1145"/>
    </row>
    <row r="14">
      <c r="A14" s="1139" t="s">
        <v>11377</v>
      </c>
      <c r="B14" s="1139" t="s">
        <v>11355</v>
      </c>
      <c r="C14" s="1147"/>
      <c r="D14" s="1152" t="s">
        <v>11378</v>
      </c>
      <c r="F14" s="1147"/>
      <c r="G14" s="1141"/>
      <c r="H14" s="1141"/>
      <c r="I14" s="1145"/>
      <c r="J14" s="1145"/>
      <c r="K14" s="1145"/>
      <c r="L14" s="1145"/>
      <c r="M14" s="1145"/>
      <c r="N14" s="1145"/>
      <c r="O14" s="1145"/>
      <c r="P14" s="1145"/>
    </row>
    <row r="15">
      <c r="A15" s="1153" t="s">
        <v>11379</v>
      </c>
      <c r="B15" s="120"/>
      <c r="C15" s="1154" t="s">
        <v>11380</v>
      </c>
      <c r="D15" s="122"/>
      <c r="E15" s="120"/>
      <c r="F15" s="1155" t="s">
        <v>11381</v>
      </c>
      <c r="G15" s="122"/>
      <c r="H15" s="120"/>
      <c r="I15" s="1145"/>
      <c r="J15" s="1156" t="s">
        <v>11379</v>
      </c>
      <c r="K15" s="1154" t="s">
        <v>11380</v>
      </c>
      <c r="L15" s="122"/>
      <c r="M15" s="120"/>
      <c r="N15" s="1155" t="s">
        <v>11381</v>
      </c>
      <c r="O15" s="122"/>
      <c r="P15" s="120"/>
    </row>
    <row r="16">
      <c r="A16" s="1157" t="s">
        <v>11382</v>
      </c>
      <c r="B16" s="120"/>
      <c r="C16" s="1158" t="s">
        <v>11383</v>
      </c>
      <c r="D16" s="1159" t="s">
        <v>11384</v>
      </c>
      <c r="E16" s="1159" t="s">
        <v>11385</v>
      </c>
      <c r="F16" s="1158" t="s">
        <v>11383</v>
      </c>
      <c r="G16" s="1159" t="s">
        <v>11384</v>
      </c>
      <c r="H16" s="1159" t="s">
        <v>11385</v>
      </c>
      <c r="I16" s="1145"/>
      <c r="J16" s="1160" t="s">
        <v>11386</v>
      </c>
      <c r="K16" s="1158" t="s">
        <v>11383</v>
      </c>
      <c r="L16" s="1159" t="s">
        <v>11384</v>
      </c>
      <c r="M16" s="1159" t="s">
        <v>11385</v>
      </c>
      <c r="N16" s="1158" t="s">
        <v>11383</v>
      </c>
      <c r="O16" s="1159" t="s">
        <v>11384</v>
      </c>
      <c r="P16" s="1159" t="s">
        <v>11385</v>
      </c>
    </row>
    <row r="17">
      <c r="A17" s="1161" t="s">
        <v>11387</v>
      </c>
      <c r="B17" s="120"/>
      <c r="C17" s="1162"/>
      <c r="D17" s="1163"/>
      <c r="E17" s="1163"/>
      <c r="F17" s="1162"/>
      <c r="G17" s="1163"/>
      <c r="H17" s="1163"/>
      <c r="I17" s="1145"/>
      <c r="J17" s="1161" t="s">
        <v>11387</v>
      </c>
      <c r="K17" s="1156"/>
      <c r="L17" s="1163"/>
      <c r="M17" s="1163"/>
      <c r="N17" s="1162"/>
      <c r="O17" s="1163"/>
      <c r="P17" s="1163"/>
    </row>
    <row r="18">
      <c r="A18" s="1161" t="s">
        <v>11388</v>
      </c>
      <c r="B18" s="120"/>
      <c r="C18" s="1162"/>
      <c r="D18" s="1164"/>
      <c r="E18" s="1164"/>
      <c r="F18" s="1162"/>
      <c r="G18" s="1164"/>
      <c r="H18" s="1164"/>
      <c r="I18" s="1145"/>
      <c r="J18" s="1156" t="s">
        <v>11389</v>
      </c>
      <c r="K18" s="1162"/>
      <c r="L18" s="1164"/>
      <c r="M18" s="1164"/>
      <c r="N18" s="1162"/>
      <c r="O18" s="1164"/>
      <c r="P18" s="1164"/>
    </row>
    <row r="19">
      <c r="A19" s="1161" t="s">
        <v>11390</v>
      </c>
      <c r="B19" s="120"/>
      <c r="C19" s="1162"/>
      <c r="D19" s="1164"/>
      <c r="E19" s="1164"/>
      <c r="F19" s="1162"/>
      <c r="G19" s="1164"/>
      <c r="H19" s="1164"/>
      <c r="I19" s="1145"/>
      <c r="J19" s="1156" t="s">
        <v>11391</v>
      </c>
      <c r="K19" s="1162"/>
      <c r="L19" s="1164"/>
      <c r="M19" s="1164"/>
      <c r="N19" s="1162"/>
      <c r="O19" s="1164"/>
      <c r="P19" s="1164"/>
    </row>
    <row r="20">
      <c r="A20" s="1161" t="s">
        <v>11392</v>
      </c>
      <c r="B20" s="120"/>
      <c r="C20" s="1162"/>
      <c r="D20" s="1164"/>
      <c r="E20" s="1164"/>
      <c r="F20" s="1162"/>
      <c r="G20" s="1164"/>
      <c r="H20" s="1164"/>
      <c r="I20" s="1145"/>
      <c r="J20" s="1156" t="s">
        <v>11393</v>
      </c>
      <c r="K20" s="1162"/>
      <c r="L20" s="1164"/>
      <c r="M20" s="1164"/>
      <c r="N20" s="1162"/>
      <c r="O20" s="1164"/>
      <c r="P20" s="1164"/>
    </row>
    <row r="21">
      <c r="A21" s="1161" t="s">
        <v>11394</v>
      </c>
      <c r="B21" s="120"/>
      <c r="C21" s="1162"/>
      <c r="D21" s="1164"/>
      <c r="E21" s="1164"/>
      <c r="F21" s="1162"/>
      <c r="G21" s="1164"/>
      <c r="H21" s="1164"/>
      <c r="I21" s="1145"/>
      <c r="J21" s="1156" t="s">
        <v>11395</v>
      </c>
      <c r="K21" s="1162"/>
      <c r="L21" s="1164"/>
      <c r="M21" s="1164"/>
      <c r="N21" s="1162"/>
      <c r="O21" s="1164"/>
      <c r="P21" s="1164"/>
    </row>
    <row r="22">
      <c r="A22" s="1161" t="s">
        <v>11396</v>
      </c>
      <c r="B22" s="120"/>
      <c r="C22" s="1162"/>
      <c r="D22" s="1164"/>
      <c r="E22" s="1164"/>
      <c r="F22" s="1162"/>
      <c r="G22" s="1164"/>
      <c r="H22" s="1164"/>
      <c r="I22" s="1145"/>
      <c r="J22" s="1156" t="s">
        <v>11397</v>
      </c>
      <c r="K22" s="1162"/>
      <c r="L22" s="1164"/>
      <c r="M22" s="1164"/>
      <c r="N22" s="1162"/>
      <c r="O22" s="1164"/>
      <c r="P22" s="1164"/>
    </row>
    <row r="23">
      <c r="A23" s="1161" t="s">
        <v>11398</v>
      </c>
      <c r="B23" s="120"/>
      <c r="C23" s="1162"/>
      <c r="D23" s="1164"/>
      <c r="E23" s="1164"/>
      <c r="F23" s="1162"/>
      <c r="G23" s="1164"/>
      <c r="H23" s="1164"/>
      <c r="I23" s="1145"/>
      <c r="J23" s="1156" t="s">
        <v>11399</v>
      </c>
      <c r="K23" s="1162"/>
      <c r="L23" s="1164"/>
      <c r="M23" s="1164"/>
      <c r="N23" s="1162"/>
      <c r="O23" s="1164"/>
      <c r="P23" s="1164"/>
    </row>
    <row r="24">
      <c r="A24" s="1161" t="s">
        <v>11400</v>
      </c>
      <c r="B24" s="120"/>
      <c r="C24" s="1162"/>
      <c r="D24" s="1164"/>
      <c r="E24" s="1164"/>
      <c r="F24" s="1162"/>
      <c r="G24" s="1164"/>
      <c r="H24" s="1164"/>
      <c r="I24" s="1145"/>
      <c r="J24" s="1156" t="s">
        <v>11401</v>
      </c>
      <c r="K24" s="1162"/>
      <c r="L24" s="1164"/>
      <c r="M24" s="1164"/>
      <c r="N24" s="1156"/>
      <c r="O24" s="1164"/>
      <c r="P24" s="1164"/>
    </row>
    <row r="25">
      <c r="A25" s="1161" t="s">
        <v>11402</v>
      </c>
      <c r="B25" s="120"/>
      <c r="C25" s="1162"/>
      <c r="D25" s="1164"/>
      <c r="E25" s="1164"/>
      <c r="F25" s="1162"/>
      <c r="G25" s="1164"/>
      <c r="H25" s="1164"/>
      <c r="I25" s="1145"/>
      <c r="J25" s="1156" t="s">
        <v>11403</v>
      </c>
      <c r="K25" s="1162"/>
      <c r="L25" s="1164"/>
      <c r="M25" s="1164"/>
      <c r="N25" s="1162"/>
      <c r="O25" s="1164"/>
      <c r="P25" s="1164"/>
    </row>
    <row r="26">
      <c r="A26" s="1161" t="s">
        <v>11404</v>
      </c>
      <c r="B26" s="120"/>
      <c r="C26" s="1162"/>
      <c r="D26" s="1164"/>
      <c r="E26" s="1164"/>
      <c r="F26" s="1162"/>
      <c r="G26" s="1164"/>
      <c r="H26" s="1164"/>
      <c r="I26" s="1145"/>
      <c r="J26" s="1156" t="s">
        <v>11405</v>
      </c>
      <c r="K26" s="1162"/>
      <c r="L26" s="1164"/>
      <c r="M26" s="1164"/>
      <c r="N26" s="1154"/>
      <c r="O26" s="1164"/>
      <c r="P26" s="1164"/>
    </row>
    <row r="27">
      <c r="A27" s="1161" t="s">
        <v>11406</v>
      </c>
      <c r="B27" s="120"/>
      <c r="C27" s="1162"/>
      <c r="D27" s="1164"/>
      <c r="E27" s="1164"/>
      <c r="F27" s="1162"/>
      <c r="G27" s="1164"/>
      <c r="H27" s="1164"/>
      <c r="I27" s="1145"/>
      <c r="J27" s="1165" t="s">
        <v>11407</v>
      </c>
      <c r="K27" s="1166"/>
      <c r="L27" s="129"/>
      <c r="M27" s="129"/>
      <c r="N27" s="1162"/>
      <c r="O27" s="129"/>
      <c r="P27" s="129"/>
    </row>
    <row r="28">
      <c r="A28" s="1161" t="s">
        <v>11408</v>
      </c>
      <c r="B28" s="120"/>
      <c r="C28" s="1162"/>
      <c r="D28" s="1164"/>
      <c r="E28" s="1164"/>
      <c r="F28" s="1162"/>
      <c r="G28" s="1164"/>
      <c r="H28" s="1164"/>
      <c r="I28" s="1145"/>
      <c r="J28" s="1167" t="s">
        <v>11409</v>
      </c>
      <c r="K28" s="1098"/>
      <c r="L28" s="1168" t="s">
        <v>11410</v>
      </c>
      <c r="M28" s="1098"/>
      <c r="N28" s="1169" t="s">
        <v>11411</v>
      </c>
      <c r="O28" s="1168" t="s">
        <v>11412</v>
      </c>
      <c r="P28" s="1098"/>
    </row>
    <row r="29">
      <c r="A29" s="1161" t="s">
        <v>11413</v>
      </c>
      <c r="B29" s="120"/>
      <c r="C29" s="1170"/>
      <c r="D29" s="1164"/>
      <c r="E29" s="1164"/>
      <c r="F29" s="1170"/>
      <c r="G29" s="1164"/>
      <c r="H29" s="1164"/>
      <c r="I29" s="1171"/>
      <c r="J29" s="1099"/>
      <c r="K29" s="1100"/>
      <c r="L29" s="1099"/>
      <c r="M29" s="1100"/>
      <c r="N29" s="1164"/>
      <c r="O29" s="1099"/>
      <c r="P29" s="1100"/>
    </row>
    <row r="30">
      <c r="A30" s="1172" t="s">
        <v>11407</v>
      </c>
      <c r="B30" s="120"/>
      <c r="C30" s="1162"/>
      <c r="D30" s="129"/>
      <c r="E30" s="129"/>
      <c r="F30" s="1162"/>
      <c r="G30" s="129"/>
      <c r="H30" s="129"/>
      <c r="I30" s="1145"/>
      <c r="J30" s="1101"/>
      <c r="K30" s="138"/>
      <c r="L30" s="1101"/>
      <c r="M30" s="138"/>
      <c r="N30" s="129"/>
      <c r="O30" s="1101"/>
      <c r="P30" s="138"/>
    </row>
    <row r="31" ht="6.0" customHeight="1">
      <c r="A31" s="1138"/>
      <c r="B31" s="1138"/>
      <c r="C31" s="1138"/>
      <c r="D31" s="1138"/>
      <c r="E31" s="1138"/>
      <c r="F31" s="1138"/>
      <c r="G31" s="1138"/>
      <c r="H31" s="1138"/>
      <c r="I31" s="1138"/>
      <c r="J31" s="1138"/>
      <c r="K31" s="1138"/>
      <c r="L31" s="1138"/>
      <c r="M31" s="1138"/>
      <c r="N31" s="1138"/>
      <c r="O31" s="1138"/>
      <c r="P31" s="1138"/>
    </row>
    <row r="32">
      <c r="A32" s="1138" t="s">
        <v>11352</v>
      </c>
    </row>
    <row r="33">
      <c r="A33" s="1138" t="s">
        <v>11353</v>
      </c>
    </row>
    <row r="34">
      <c r="A34" s="1139" t="s">
        <v>11414</v>
      </c>
      <c r="B34" s="1139" t="s">
        <v>11355</v>
      </c>
      <c r="C34" s="1140"/>
      <c r="D34" s="1141"/>
      <c r="E34" s="1142" t="s">
        <v>11356</v>
      </c>
      <c r="F34" s="1143"/>
      <c r="G34" s="1144"/>
      <c r="H34" s="1144"/>
      <c r="I34" s="1145"/>
      <c r="J34" s="1146" t="s">
        <v>11357</v>
      </c>
      <c r="N34" s="1145"/>
      <c r="O34" s="1145"/>
      <c r="P34" s="1145"/>
    </row>
    <row r="35">
      <c r="A35" s="1139" t="s">
        <v>11415</v>
      </c>
      <c r="B35" s="1139" t="s">
        <v>11355</v>
      </c>
      <c r="C35" s="1147"/>
      <c r="D35" s="1147"/>
      <c r="E35" s="1147"/>
      <c r="F35" s="1140"/>
      <c r="G35" s="1145"/>
      <c r="H35" s="1145"/>
      <c r="I35" s="1145"/>
      <c r="J35" s="1145"/>
      <c r="K35" s="1145"/>
      <c r="L35" s="1145"/>
      <c r="M35" s="1145"/>
      <c r="N35" s="1145"/>
      <c r="O35" s="1145"/>
      <c r="P35" s="1145"/>
    </row>
    <row r="36">
      <c r="A36" s="1139" t="s">
        <v>11416</v>
      </c>
      <c r="B36" s="1139" t="s">
        <v>11355</v>
      </c>
      <c r="C36" s="1147"/>
      <c r="D36" s="1147"/>
      <c r="E36" s="1147"/>
      <c r="F36" s="1140"/>
      <c r="G36" s="1145"/>
      <c r="H36" s="1145"/>
      <c r="I36" s="1145"/>
      <c r="J36" s="1139" t="s">
        <v>11417</v>
      </c>
      <c r="K36" s="1145"/>
      <c r="L36" s="1145"/>
      <c r="M36" s="1145"/>
      <c r="N36" s="1145"/>
      <c r="O36" s="1145"/>
      <c r="P36" s="1145"/>
    </row>
    <row r="37">
      <c r="A37" s="1139" t="s">
        <v>11418</v>
      </c>
      <c r="B37" s="1139" t="s">
        <v>11355</v>
      </c>
      <c r="C37" s="1147"/>
      <c r="D37" s="1140"/>
      <c r="E37" s="1140"/>
      <c r="F37" s="1140"/>
      <c r="G37" s="1145"/>
      <c r="H37" s="1145"/>
      <c r="I37" s="1145"/>
      <c r="J37" s="1139" t="s">
        <v>11362</v>
      </c>
      <c r="K37" s="1145"/>
      <c r="L37" s="1145"/>
      <c r="M37" s="1145"/>
      <c r="N37" s="1145"/>
      <c r="O37" s="1145"/>
      <c r="P37" s="1145"/>
    </row>
    <row r="38">
      <c r="A38" s="1139" t="s">
        <v>11419</v>
      </c>
      <c r="B38" s="1139" t="s">
        <v>11355</v>
      </c>
      <c r="C38" s="1147"/>
      <c r="D38" s="1140"/>
      <c r="E38" s="1140"/>
      <c r="F38" s="1140"/>
      <c r="G38" s="1145"/>
      <c r="H38" s="1145"/>
      <c r="I38" s="1145"/>
      <c r="J38" s="1139" t="s">
        <v>11364</v>
      </c>
      <c r="K38" s="1145"/>
      <c r="L38" s="1145"/>
      <c r="M38" s="1145"/>
      <c r="N38" s="1145"/>
      <c r="O38" s="1145"/>
      <c r="P38" s="1145"/>
    </row>
    <row r="39">
      <c r="A39" s="1139" t="s">
        <v>11365</v>
      </c>
      <c r="B39" s="1139" t="s">
        <v>11355</v>
      </c>
      <c r="C39" s="1148" t="s">
        <v>11366</v>
      </c>
      <c r="D39" s="1148"/>
      <c r="E39" s="1148"/>
      <c r="F39" s="1148"/>
      <c r="G39" s="1149"/>
      <c r="H39" s="1149"/>
      <c r="I39" s="1145"/>
      <c r="J39" s="1139" t="s">
        <v>11367</v>
      </c>
      <c r="K39" s="1145"/>
      <c r="L39" s="1145"/>
      <c r="M39" s="1145"/>
      <c r="N39" s="1145"/>
      <c r="O39" s="1145"/>
      <c r="P39" s="1145"/>
    </row>
    <row r="40">
      <c r="A40" s="1139" t="s">
        <v>11420</v>
      </c>
      <c r="B40" s="1139" t="s">
        <v>11355</v>
      </c>
      <c r="C40" s="1147"/>
      <c r="D40" s="1140"/>
      <c r="E40" s="1140"/>
      <c r="F40" s="1140"/>
      <c r="G40" s="1145"/>
      <c r="H40" s="1145"/>
      <c r="I40" s="1145"/>
      <c r="J40" s="1139" t="s">
        <v>11369</v>
      </c>
      <c r="K40" s="1145"/>
      <c r="L40" s="1145"/>
      <c r="M40" s="1145"/>
      <c r="N40" s="1145"/>
      <c r="O40" s="1145"/>
      <c r="P40" s="1145"/>
    </row>
    <row r="41">
      <c r="A41" s="1139" t="s">
        <v>11421</v>
      </c>
      <c r="B41" s="1139" t="s">
        <v>11355</v>
      </c>
      <c r="C41" s="1147"/>
      <c r="D41" s="1140"/>
      <c r="E41" s="1140"/>
      <c r="F41" s="1140"/>
      <c r="G41" s="1145"/>
      <c r="H41" s="1145"/>
      <c r="I41" s="1145"/>
      <c r="J41" s="1139" t="s">
        <v>11371</v>
      </c>
      <c r="K41" s="1145"/>
      <c r="L41" s="1145"/>
      <c r="M41" s="1145"/>
      <c r="N41" s="1145"/>
      <c r="O41" s="1145"/>
      <c r="P41" s="1145"/>
    </row>
    <row r="42">
      <c r="A42" s="1139" t="s">
        <v>11422</v>
      </c>
      <c r="B42" s="1139" t="s">
        <v>11355</v>
      </c>
      <c r="C42" s="1147"/>
      <c r="D42" s="1140"/>
      <c r="E42" s="1140"/>
      <c r="F42" s="1140"/>
      <c r="G42" s="1145"/>
      <c r="H42" s="1145"/>
      <c r="I42" s="1145"/>
      <c r="J42" s="1139"/>
      <c r="K42" s="1145"/>
      <c r="L42" s="1145"/>
      <c r="M42" s="1145"/>
      <c r="N42" s="1145"/>
      <c r="O42" s="1145"/>
      <c r="P42" s="1145"/>
    </row>
    <row r="43">
      <c r="A43" s="1139" t="s">
        <v>11423</v>
      </c>
      <c r="B43" s="1139" t="s">
        <v>11355</v>
      </c>
      <c r="C43" s="1147"/>
      <c r="D43" s="1140"/>
      <c r="E43" s="1140"/>
      <c r="F43" s="1140"/>
      <c r="G43" s="1145"/>
      <c r="H43" s="1145"/>
      <c r="I43" s="1145"/>
      <c r="J43" s="1139"/>
      <c r="K43" s="1145"/>
      <c r="L43" s="1145"/>
      <c r="M43" s="1145"/>
      <c r="N43" s="1145"/>
      <c r="O43" s="1145"/>
      <c r="P43" s="1145"/>
    </row>
    <row r="44">
      <c r="A44" s="1139" t="s">
        <v>11424</v>
      </c>
      <c r="B44" s="1139" t="s">
        <v>11355</v>
      </c>
      <c r="C44" s="1151" t="s">
        <v>11376</v>
      </c>
      <c r="D44" s="1140"/>
      <c r="E44" s="1140"/>
      <c r="F44" s="1140"/>
      <c r="G44" s="1145"/>
      <c r="H44" s="1145"/>
      <c r="I44" s="1145"/>
      <c r="J44" s="1150" t="s">
        <v>11425</v>
      </c>
      <c r="K44" s="1145"/>
      <c r="L44" s="1145"/>
      <c r="M44" s="1145"/>
      <c r="N44" s="1145"/>
      <c r="O44" s="1145"/>
      <c r="P44" s="1145"/>
    </row>
    <row r="45">
      <c r="A45" s="1139" t="s">
        <v>11426</v>
      </c>
      <c r="B45" s="1139" t="s">
        <v>11355</v>
      </c>
      <c r="C45" s="1147"/>
      <c r="D45" s="1152" t="s">
        <v>11378</v>
      </c>
      <c r="F45" s="1147"/>
      <c r="G45" s="1141"/>
      <c r="H45" s="1141"/>
      <c r="I45" s="1145"/>
      <c r="J45" s="1145"/>
      <c r="K45" s="1145"/>
      <c r="L45" s="1145"/>
      <c r="M45" s="1145"/>
      <c r="N45" s="1145"/>
      <c r="O45" s="1145"/>
      <c r="P45" s="1145"/>
    </row>
    <row r="46">
      <c r="A46" s="1153" t="s">
        <v>11379</v>
      </c>
      <c r="B46" s="120"/>
      <c r="C46" s="1154" t="s">
        <v>11380</v>
      </c>
      <c r="D46" s="122"/>
      <c r="E46" s="120"/>
      <c r="F46" s="1155" t="s">
        <v>11381</v>
      </c>
      <c r="G46" s="122"/>
      <c r="H46" s="120"/>
      <c r="I46" s="1145"/>
      <c r="J46" s="1156" t="s">
        <v>11379</v>
      </c>
      <c r="K46" s="1154" t="s">
        <v>11380</v>
      </c>
      <c r="L46" s="122"/>
      <c r="M46" s="120"/>
      <c r="N46" s="1155" t="s">
        <v>11381</v>
      </c>
      <c r="O46" s="122"/>
      <c r="P46" s="120"/>
    </row>
    <row r="47">
      <c r="A47" s="1157" t="s">
        <v>11382</v>
      </c>
      <c r="B47" s="120"/>
      <c r="C47" s="1158" t="s">
        <v>11383</v>
      </c>
      <c r="D47" s="1159" t="s">
        <v>11384</v>
      </c>
      <c r="E47" s="1159" t="s">
        <v>11385</v>
      </c>
      <c r="F47" s="1158" t="s">
        <v>11383</v>
      </c>
      <c r="G47" s="1159" t="s">
        <v>11384</v>
      </c>
      <c r="H47" s="1159" t="s">
        <v>11385</v>
      </c>
      <c r="I47" s="1145"/>
      <c r="J47" s="1160" t="s">
        <v>11386</v>
      </c>
      <c r="K47" s="1158" t="s">
        <v>11383</v>
      </c>
      <c r="L47" s="1159" t="s">
        <v>11384</v>
      </c>
      <c r="M47" s="1159" t="s">
        <v>11385</v>
      </c>
      <c r="N47" s="1158" t="s">
        <v>11383</v>
      </c>
      <c r="O47" s="1159" t="s">
        <v>11384</v>
      </c>
      <c r="P47" s="1159" t="s">
        <v>11385</v>
      </c>
    </row>
    <row r="48">
      <c r="A48" s="1161" t="s">
        <v>11387</v>
      </c>
      <c r="B48" s="120"/>
      <c r="C48" s="1162"/>
      <c r="D48" s="1163"/>
      <c r="E48" s="1163"/>
      <c r="F48" s="1162"/>
      <c r="G48" s="1163"/>
      <c r="H48" s="1163"/>
      <c r="I48" s="1145"/>
      <c r="J48" s="1161" t="s">
        <v>11387</v>
      </c>
      <c r="K48" s="1156"/>
      <c r="L48" s="1163"/>
      <c r="M48" s="1163"/>
      <c r="N48" s="1162"/>
      <c r="O48" s="1163"/>
      <c r="P48" s="1163"/>
    </row>
    <row r="49">
      <c r="A49" s="1161" t="s">
        <v>11388</v>
      </c>
      <c r="B49" s="120"/>
      <c r="C49" s="1162"/>
      <c r="D49" s="1164"/>
      <c r="E49" s="1164"/>
      <c r="F49" s="1162"/>
      <c r="G49" s="1164"/>
      <c r="H49" s="1164"/>
      <c r="I49" s="1145"/>
      <c r="J49" s="1156" t="s">
        <v>11389</v>
      </c>
      <c r="K49" s="1162"/>
      <c r="L49" s="1164"/>
      <c r="M49" s="1164"/>
      <c r="N49" s="1162"/>
      <c r="O49" s="1164"/>
      <c r="P49" s="1164"/>
    </row>
    <row r="50">
      <c r="A50" s="1161" t="s">
        <v>11390</v>
      </c>
      <c r="B50" s="120"/>
      <c r="C50" s="1162"/>
      <c r="D50" s="1164"/>
      <c r="E50" s="1164"/>
      <c r="F50" s="1162"/>
      <c r="G50" s="1164"/>
      <c r="H50" s="1164"/>
      <c r="I50" s="1145"/>
      <c r="J50" s="1156" t="s">
        <v>11391</v>
      </c>
      <c r="K50" s="1162"/>
      <c r="L50" s="1164"/>
      <c r="M50" s="1164"/>
      <c r="N50" s="1162"/>
      <c r="O50" s="1164"/>
      <c r="P50" s="1164"/>
    </row>
    <row r="51">
      <c r="A51" s="1161" t="s">
        <v>11392</v>
      </c>
      <c r="B51" s="120"/>
      <c r="C51" s="1162"/>
      <c r="D51" s="1164"/>
      <c r="E51" s="1164"/>
      <c r="F51" s="1162"/>
      <c r="G51" s="1164"/>
      <c r="H51" s="1164"/>
      <c r="I51" s="1145"/>
      <c r="J51" s="1156" t="s">
        <v>11393</v>
      </c>
      <c r="K51" s="1162"/>
      <c r="L51" s="1164"/>
      <c r="M51" s="1164"/>
      <c r="N51" s="1162"/>
      <c r="O51" s="1164"/>
      <c r="P51" s="1164"/>
    </row>
    <row r="52">
      <c r="A52" s="1161" t="s">
        <v>11394</v>
      </c>
      <c r="B52" s="120"/>
      <c r="C52" s="1162"/>
      <c r="D52" s="1164"/>
      <c r="E52" s="1164"/>
      <c r="F52" s="1162"/>
      <c r="G52" s="1164"/>
      <c r="H52" s="1164"/>
      <c r="I52" s="1145"/>
      <c r="J52" s="1156" t="s">
        <v>11395</v>
      </c>
      <c r="K52" s="1162"/>
      <c r="L52" s="1164"/>
      <c r="M52" s="1164"/>
      <c r="N52" s="1162"/>
      <c r="O52" s="1164"/>
      <c r="P52" s="1164"/>
    </row>
    <row r="53">
      <c r="A53" s="1161" t="s">
        <v>11396</v>
      </c>
      <c r="B53" s="120"/>
      <c r="C53" s="1162"/>
      <c r="D53" s="1164"/>
      <c r="E53" s="1164"/>
      <c r="F53" s="1162"/>
      <c r="G53" s="1164"/>
      <c r="H53" s="1164"/>
      <c r="I53" s="1145"/>
      <c r="J53" s="1156" t="s">
        <v>11397</v>
      </c>
      <c r="K53" s="1162"/>
      <c r="L53" s="1164"/>
      <c r="M53" s="1164"/>
      <c r="N53" s="1162"/>
      <c r="O53" s="1164"/>
      <c r="P53" s="1164"/>
    </row>
    <row r="54">
      <c r="A54" s="1161" t="s">
        <v>11398</v>
      </c>
      <c r="B54" s="120"/>
      <c r="C54" s="1162"/>
      <c r="D54" s="1164"/>
      <c r="E54" s="1164"/>
      <c r="F54" s="1162"/>
      <c r="G54" s="1164"/>
      <c r="H54" s="1164"/>
      <c r="I54" s="1145"/>
      <c r="J54" s="1156" t="s">
        <v>11399</v>
      </c>
      <c r="K54" s="1162"/>
      <c r="L54" s="1164"/>
      <c r="M54" s="1164"/>
      <c r="N54" s="1162"/>
      <c r="O54" s="1164"/>
      <c r="P54" s="1164"/>
    </row>
    <row r="55">
      <c r="A55" s="1161" t="s">
        <v>11400</v>
      </c>
      <c r="B55" s="120"/>
      <c r="C55" s="1162"/>
      <c r="D55" s="1164"/>
      <c r="E55" s="1164"/>
      <c r="F55" s="1162"/>
      <c r="G55" s="1164"/>
      <c r="H55" s="1164"/>
      <c r="I55" s="1145"/>
      <c r="J55" s="1156" t="s">
        <v>11401</v>
      </c>
      <c r="K55" s="1162"/>
      <c r="L55" s="1164"/>
      <c r="M55" s="1164"/>
      <c r="N55" s="1156"/>
      <c r="O55" s="1164"/>
      <c r="P55" s="1164"/>
    </row>
    <row r="56">
      <c r="A56" s="1161" t="s">
        <v>11402</v>
      </c>
      <c r="B56" s="120"/>
      <c r="C56" s="1162"/>
      <c r="D56" s="1164"/>
      <c r="E56" s="1164"/>
      <c r="F56" s="1162"/>
      <c r="G56" s="1164"/>
      <c r="H56" s="1164"/>
      <c r="I56" s="1145"/>
      <c r="J56" s="1156" t="s">
        <v>11403</v>
      </c>
      <c r="K56" s="1162"/>
      <c r="L56" s="1164"/>
      <c r="M56" s="1164"/>
      <c r="N56" s="1162"/>
      <c r="O56" s="1164"/>
      <c r="P56" s="1164"/>
    </row>
    <row r="57">
      <c r="A57" s="1161" t="s">
        <v>11404</v>
      </c>
      <c r="B57" s="120"/>
      <c r="C57" s="1162"/>
      <c r="D57" s="1164"/>
      <c r="E57" s="1164"/>
      <c r="F57" s="1162"/>
      <c r="G57" s="1164"/>
      <c r="H57" s="1164"/>
      <c r="I57" s="1145"/>
      <c r="J57" s="1156" t="s">
        <v>11405</v>
      </c>
      <c r="K57" s="1162"/>
      <c r="L57" s="1164"/>
      <c r="M57" s="1164"/>
      <c r="N57" s="1154"/>
      <c r="O57" s="1164"/>
      <c r="P57" s="1164"/>
    </row>
    <row r="58">
      <c r="A58" s="1161" t="s">
        <v>11406</v>
      </c>
      <c r="B58" s="120"/>
      <c r="C58" s="1162"/>
      <c r="D58" s="1164"/>
      <c r="E58" s="1164"/>
      <c r="F58" s="1162"/>
      <c r="G58" s="1164"/>
      <c r="H58" s="1164"/>
      <c r="I58" s="1145"/>
      <c r="J58" s="1165" t="s">
        <v>11407</v>
      </c>
      <c r="K58" s="1166"/>
      <c r="L58" s="129"/>
      <c r="M58" s="129"/>
      <c r="N58" s="1162"/>
      <c r="O58" s="129"/>
      <c r="P58" s="129"/>
    </row>
    <row r="59">
      <c r="A59" s="1161" t="s">
        <v>11408</v>
      </c>
      <c r="B59" s="120"/>
      <c r="C59" s="1162"/>
      <c r="D59" s="1164"/>
      <c r="E59" s="1164"/>
      <c r="F59" s="1162"/>
      <c r="G59" s="1164"/>
      <c r="H59" s="1164"/>
      <c r="I59" s="1145"/>
      <c r="J59" s="1167" t="s">
        <v>11409</v>
      </c>
      <c r="K59" s="1098"/>
      <c r="L59" s="1168" t="s">
        <v>11410</v>
      </c>
      <c r="M59" s="1098"/>
      <c r="N59" s="1169" t="s">
        <v>11411</v>
      </c>
      <c r="O59" s="1168" t="s">
        <v>11412</v>
      </c>
      <c r="P59" s="1098"/>
    </row>
    <row r="60">
      <c r="A60" s="1161" t="s">
        <v>11413</v>
      </c>
      <c r="B60" s="120"/>
      <c r="C60" s="1170"/>
      <c r="D60" s="1164"/>
      <c r="E60" s="1164"/>
      <c r="F60" s="1170"/>
      <c r="G60" s="1164"/>
      <c r="H60" s="1164"/>
      <c r="I60" s="1171"/>
      <c r="J60" s="1099"/>
      <c r="K60" s="1100"/>
      <c r="L60" s="1099"/>
      <c r="M60" s="1100"/>
      <c r="N60" s="1164"/>
      <c r="O60" s="1099"/>
      <c r="P60" s="1100"/>
    </row>
    <row r="61">
      <c r="A61" s="1172" t="s">
        <v>11407</v>
      </c>
      <c r="B61" s="120"/>
      <c r="C61" s="1162"/>
      <c r="D61" s="129"/>
      <c r="E61" s="129"/>
      <c r="F61" s="1162"/>
      <c r="G61" s="129"/>
      <c r="H61" s="129"/>
      <c r="I61" s="1145"/>
      <c r="J61" s="1101"/>
      <c r="K61" s="138"/>
      <c r="L61" s="1101"/>
      <c r="M61" s="138"/>
      <c r="N61" s="129"/>
      <c r="O61" s="1101"/>
      <c r="P61" s="138"/>
    </row>
    <row r="62">
      <c r="A62" s="1173"/>
      <c r="B62" s="1173"/>
      <c r="C62" s="1173"/>
      <c r="D62" s="1173"/>
      <c r="E62" s="1173"/>
      <c r="F62" s="1173"/>
      <c r="G62" s="1173"/>
      <c r="H62" s="1173"/>
      <c r="I62" s="1173"/>
      <c r="J62" s="1173"/>
      <c r="K62" s="1173"/>
      <c r="L62" s="1173"/>
      <c r="M62" s="1173"/>
      <c r="N62" s="1173"/>
      <c r="O62" s="1173"/>
      <c r="P62" s="1173"/>
    </row>
    <row r="63">
      <c r="A63" s="1173"/>
      <c r="B63" s="1173"/>
      <c r="C63" s="1173"/>
      <c r="D63" s="1173"/>
      <c r="E63" s="1173"/>
      <c r="F63" s="1173"/>
      <c r="G63" s="1173"/>
      <c r="H63" s="1173"/>
      <c r="I63" s="1173"/>
      <c r="J63" s="1173"/>
      <c r="K63" s="1173"/>
      <c r="L63" s="1173"/>
      <c r="M63" s="1173"/>
      <c r="N63" s="1173"/>
      <c r="O63" s="1173"/>
      <c r="P63" s="1173"/>
    </row>
    <row r="64">
      <c r="A64" s="1173"/>
      <c r="B64" s="1173"/>
      <c r="C64" s="1173"/>
      <c r="D64" s="1173"/>
      <c r="E64" s="1173"/>
      <c r="F64" s="1173"/>
      <c r="G64" s="1173"/>
      <c r="H64" s="1173"/>
      <c r="I64" s="1173"/>
      <c r="J64" s="1173"/>
      <c r="K64" s="1173"/>
      <c r="L64" s="1173"/>
      <c r="M64" s="1173"/>
      <c r="N64" s="1173"/>
      <c r="O64" s="1173"/>
      <c r="P64" s="1173"/>
    </row>
    <row r="65">
      <c r="A65" s="1173"/>
      <c r="B65" s="1173"/>
      <c r="C65" s="1173"/>
      <c r="D65" s="1173"/>
      <c r="E65" s="1173"/>
      <c r="F65" s="1173"/>
      <c r="G65" s="1173"/>
      <c r="H65" s="1173"/>
      <c r="I65" s="1173"/>
      <c r="J65" s="1173"/>
      <c r="K65" s="1173"/>
      <c r="L65" s="1173"/>
      <c r="M65" s="1173"/>
      <c r="N65" s="1173"/>
      <c r="O65" s="1173"/>
      <c r="P65" s="1173"/>
    </row>
    <row r="66">
      <c r="A66" s="1173"/>
      <c r="B66" s="1173"/>
      <c r="C66" s="1173"/>
      <c r="D66" s="1173"/>
      <c r="E66" s="1173"/>
      <c r="F66" s="1173"/>
      <c r="G66" s="1173"/>
      <c r="H66" s="1173"/>
      <c r="I66" s="1173"/>
      <c r="J66" s="1173"/>
      <c r="K66" s="1173"/>
      <c r="L66" s="1173"/>
      <c r="M66" s="1173"/>
      <c r="N66" s="1173"/>
      <c r="O66" s="1173"/>
      <c r="P66" s="1173"/>
    </row>
    <row r="67">
      <c r="A67" s="1173"/>
      <c r="B67" s="1173"/>
      <c r="C67" s="1173"/>
      <c r="D67" s="1173"/>
      <c r="E67" s="1173"/>
      <c r="F67" s="1173"/>
      <c r="G67" s="1173"/>
      <c r="H67" s="1173"/>
      <c r="I67" s="1173"/>
      <c r="J67" s="1173"/>
      <c r="K67" s="1173"/>
      <c r="L67" s="1173"/>
      <c r="M67" s="1173"/>
      <c r="N67" s="1173"/>
      <c r="O67" s="1173"/>
      <c r="P67" s="1173"/>
    </row>
    <row r="68">
      <c r="A68" s="1173"/>
      <c r="B68" s="1173"/>
      <c r="C68" s="1173"/>
      <c r="D68" s="1173"/>
      <c r="E68" s="1173"/>
      <c r="F68" s="1173"/>
      <c r="G68" s="1173"/>
      <c r="H68" s="1173"/>
      <c r="I68" s="1173"/>
      <c r="J68" s="1173"/>
      <c r="K68" s="1173"/>
      <c r="L68" s="1173"/>
      <c r="M68" s="1173"/>
      <c r="N68" s="1173"/>
      <c r="O68" s="1173"/>
      <c r="P68" s="1173"/>
    </row>
    <row r="69">
      <c r="A69" s="1173"/>
      <c r="B69" s="1173"/>
      <c r="C69" s="1173"/>
      <c r="D69" s="1173"/>
      <c r="E69" s="1173"/>
      <c r="F69" s="1173"/>
      <c r="G69" s="1173"/>
      <c r="H69" s="1173"/>
      <c r="I69" s="1173"/>
      <c r="J69" s="1173"/>
      <c r="K69" s="1173"/>
      <c r="L69" s="1173"/>
      <c r="M69" s="1173"/>
      <c r="N69" s="1173"/>
      <c r="O69" s="1173"/>
      <c r="P69" s="1173"/>
    </row>
    <row r="70">
      <c r="A70" s="1173"/>
      <c r="B70" s="1173"/>
      <c r="C70" s="1173"/>
      <c r="D70" s="1173"/>
      <c r="E70" s="1173"/>
      <c r="F70" s="1173"/>
      <c r="G70" s="1173"/>
      <c r="H70" s="1173"/>
      <c r="I70" s="1173"/>
      <c r="J70" s="1173"/>
      <c r="K70" s="1173"/>
      <c r="L70" s="1173"/>
      <c r="M70" s="1173"/>
      <c r="N70" s="1173"/>
      <c r="O70" s="1173"/>
      <c r="P70" s="1173"/>
    </row>
    <row r="71">
      <c r="A71" s="1173"/>
      <c r="B71" s="1173"/>
      <c r="C71" s="1173"/>
      <c r="D71" s="1173"/>
      <c r="E71" s="1173"/>
      <c r="F71" s="1173"/>
      <c r="G71" s="1173"/>
      <c r="H71" s="1173"/>
      <c r="I71" s="1173"/>
      <c r="J71" s="1173"/>
      <c r="K71" s="1173"/>
      <c r="L71" s="1173"/>
      <c r="M71" s="1173"/>
      <c r="N71" s="1173"/>
      <c r="O71" s="1173"/>
      <c r="P71" s="1173"/>
    </row>
    <row r="72">
      <c r="A72" s="1173"/>
      <c r="B72" s="1173"/>
      <c r="C72" s="1173"/>
      <c r="D72" s="1173"/>
      <c r="E72" s="1173"/>
      <c r="F72" s="1173"/>
      <c r="G72" s="1173"/>
      <c r="H72" s="1173"/>
      <c r="I72" s="1173"/>
      <c r="J72" s="1173"/>
      <c r="K72" s="1173"/>
      <c r="L72" s="1173"/>
      <c r="M72" s="1173"/>
      <c r="N72" s="1173"/>
      <c r="O72" s="1173"/>
      <c r="P72" s="1173"/>
    </row>
    <row r="73">
      <c r="A73" s="1173"/>
      <c r="B73" s="1173"/>
      <c r="C73" s="1173"/>
      <c r="D73" s="1173"/>
      <c r="E73" s="1173"/>
      <c r="F73" s="1173"/>
      <c r="G73" s="1173"/>
      <c r="H73" s="1173"/>
      <c r="I73" s="1173"/>
      <c r="J73" s="1173"/>
      <c r="K73" s="1173"/>
      <c r="L73" s="1173"/>
      <c r="M73" s="1173"/>
      <c r="N73" s="1173"/>
      <c r="O73" s="1173"/>
      <c r="P73" s="1173"/>
    </row>
    <row r="74">
      <c r="A74" s="1173"/>
      <c r="B74" s="1173"/>
      <c r="C74" s="1173"/>
      <c r="D74" s="1173"/>
      <c r="E74" s="1173"/>
      <c r="F74" s="1173"/>
      <c r="G74" s="1173"/>
      <c r="H74" s="1173"/>
      <c r="I74" s="1173"/>
      <c r="J74" s="1173"/>
      <c r="K74" s="1173"/>
      <c r="L74" s="1173"/>
      <c r="M74" s="1173"/>
      <c r="N74" s="1173"/>
      <c r="O74" s="1173"/>
      <c r="P74" s="1173"/>
    </row>
    <row r="75">
      <c r="A75" s="1173"/>
      <c r="B75" s="1173"/>
      <c r="C75" s="1173"/>
      <c r="D75" s="1173"/>
      <c r="E75" s="1173"/>
      <c r="F75" s="1173"/>
      <c r="G75" s="1173"/>
      <c r="H75" s="1173"/>
      <c r="I75" s="1173"/>
      <c r="J75" s="1173"/>
      <c r="K75" s="1173"/>
      <c r="L75" s="1173"/>
      <c r="M75" s="1173"/>
      <c r="N75" s="1173"/>
      <c r="O75" s="1173"/>
      <c r="P75" s="1173"/>
    </row>
    <row r="76">
      <c r="A76" s="1173"/>
      <c r="B76" s="1173"/>
      <c r="C76" s="1173"/>
      <c r="D76" s="1173"/>
      <c r="E76" s="1173"/>
      <c r="F76" s="1173"/>
      <c r="G76" s="1173"/>
      <c r="H76" s="1173"/>
      <c r="I76" s="1173"/>
      <c r="J76" s="1173"/>
      <c r="K76" s="1173"/>
      <c r="L76" s="1173"/>
      <c r="M76" s="1173"/>
      <c r="N76" s="1173"/>
      <c r="O76" s="1173"/>
      <c r="P76" s="1173"/>
    </row>
    <row r="77">
      <c r="A77" s="1173"/>
      <c r="B77" s="1173"/>
      <c r="C77" s="1173"/>
      <c r="D77" s="1173"/>
      <c r="E77" s="1173"/>
      <c r="F77" s="1173"/>
      <c r="G77" s="1173"/>
      <c r="H77" s="1173"/>
      <c r="I77" s="1173"/>
      <c r="J77" s="1173"/>
      <c r="K77" s="1173"/>
      <c r="L77" s="1173"/>
      <c r="M77" s="1173"/>
      <c r="N77" s="1173"/>
      <c r="O77" s="1173"/>
      <c r="P77" s="1173"/>
    </row>
    <row r="78">
      <c r="A78" s="1173"/>
      <c r="B78" s="1173"/>
      <c r="C78" s="1173"/>
      <c r="D78" s="1173"/>
      <c r="E78" s="1173"/>
      <c r="F78" s="1173"/>
      <c r="G78" s="1173"/>
      <c r="H78" s="1173"/>
      <c r="I78" s="1173"/>
      <c r="J78" s="1173"/>
      <c r="K78" s="1173"/>
      <c r="L78" s="1173"/>
      <c r="M78" s="1173"/>
      <c r="N78" s="1173"/>
      <c r="O78" s="1173"/>
      <c r="P78" s="1173"/>
    </row>
    <row r="79">
      <c r="A79" s="1173"/>
      <c r="B79" s="1173"/>
      <c r="C79" s="1173"/>
      <c r="D79" s="1173"/>
      <c r="E79" s="1173"/>
      <c r="F79" s="1173"/>
      <c r="G79" s="1173"/>
      <c r="H79" s="1173"/>
      <c r="I79" s="1173"/>
      <c r="J79" s="1173"/>
      <c r="K79" s="1173"/>
      <c r="L79" s="1173"/>
      <c r="M79" s="1173"/>
      <c r="N79" s="1173"/>
      <c r="O79" s="1173"/>
      <c r="P79" s="1173"/>
    </row>
    <row r="80">
      <c r="A80" s="1173"/>
      <c r="B80" s="1173"/>
      <c r="C80" s="1173"/>
      <c r="D80" s="1173"/>
      <c r="E80" s="1173"/>
      <c r="F80" s="1173"/>
      <c r="G80" s="1173"/>
      <c r="H80" s="1173"/>
      <c r="I80" s="1173"/>
      <c r="J80" s="1173"/>
      <c r="K80" s="1173"/>
      <c r="L80" s="1173"/>
      <c r="M80" s="1173"/>
      <c r="N80" s="1173"/>
      <c r="O80" s="1173"/>
      <c r="P80" s="1173"/>
    </row>
    <row r="81">
      <c r="A81" s="1173"/>
      <c r="B81" s="1173"/>
      <c r="C81" s="1173"/>
      <c r="D81" s="1173"/>
      <c r="E81" s="1173"/>
      <c r="F81" s="1173"/>
      <c r="G81" s="1173"/>
      <c r="H81" s="1173"/>
      <c r="I81" s="1173"/>
      <c r="J81" s="1173"/>
      <c r="K81" s="1173"/>
      <c r="L81" s="1173"/>
      <c r="M81" s="1173"/>
      <c r="N81" s="1173"/>
      <c r="O81" s="1173"/>
      <c r="P81" s="1173"/>
    </row>
    <row r="82">
      <c r="A82" s="1173"/>
      <c r="B82" s="1173"/>
      <c r="C82" s="1173"/>
      <c r="D82" s="1173"/>
      <c r="E82" s="1173"/>
      <c r="F82" s="1173"/>
      <c r="G82" s="1173"/>
      <c r="H82" s="1173"/>
      <c r="I82" s="1173"/>
      <c r="J82" s="1173"/>
      <c r="K82" s="1173"/>
      <c r="L82" s="1173"/>
      <c r="M82" s="1173"/>
      <c r="N82" s="1173"/>
      <c r="O82" s="1173"/>
      <c r="P82" s="1173"/>
    </row>
    <row r="83">
      <c r="A83" s="1173"/>
      <c r="B83" s="1173"/>
      <c r="C83" s="1173"/>
      <c r="D83" s="1173"/>
      <c r="E83" s="1173"/>
      <c r="F83" s="1173"/>
      <c r="G83" s="1173"/>
      <c r="H83" s="1173"/>
      <c r="I83" s="1173"/>
      <c r="J83" s="1173"/>
      <c r="K83" s="1173"/>
      <c r="L83" s="1173"/>
      <c r="M83" s="1173"/>
      <c r="N83" s="1173"/>
      <c r="O83" s="1173"/>
      <c r="P83" s="1173"/>
    </row>
    <row r="84">
      <c r="A84" s="1173"/>
      <c r="B84" s="1173"/>
      <c r="C84" s="1173"/>
      <c r="D84" s="1173"/>
      <c r="E84" s="1173"/>
      <c r="F84" s="1173"/>
      <c r="G84" s="1173"/>
      <c r="H84" s="1173"/>
      <c r="I84" s="1173"/>
      <c r="J84" s="1173"/>
      <c r="K84" s="1173"/>
      <c r="L84" s="1173"/>
      <c r="M84" s="1173"/>
      <c r="N84" s="1173"/>
      <c r="O84" s="1173"/>
      <c r="P84" s="1173"/>
    </row>
    <row r="85">
      <c r="A85" s="1173"/>
      <c r="B85" s="1173"/>
      <c r="C85" s="1173"/>
      <c r="D85" s="1173"/>
      <c r="E85" s="1173"/>
      <c r="F85" s="1173"/>
      <c r="G85" s="1173"/>
      <c r="H85" s="1173"/>
      <c r="I85" s="1173"/>
      <c r="J85" s="1173"/>
      <c r="K85" s="1173"/>
      <c r="L85" s="1173"/>
      <c r="M85" s="1173"/>
      <c r="N85" s="1173"/>
      <c r="O85" s="1173"/>
      <c r="P85" s="1173"/>
    </row>
    <row r="86">
      <c r="A86" s="1173"/>
      <c r="B86" s="1173"/>
      <c r="C86" s="1173"/>
      <c r="D86" s="1173"/>
      <c r="E86" s="1173"/>
      <c r="F86" s="1173"/>
      <c r="G86" s="1173"/>
      <c r="H86" s="1173"/>
      <c r="I86" s="1173"/>
      <c r="J86" s="1173"/>
      <c r="K86" s="1173"/>
      <c r="L86" s="1173"/>
      <c r="M86" s="1173"/>
      <c r="N86" s="1173"/>
      <c r="O86" s="1173"/>
      <c r="P86" s="1173"/>
    </row>
    <row r="87">
      <c r="A87" s="1173"/>
      <c r="B87" s="1173"/>
      <c r="C87" s="1173"/>
      <c r="D87" s="1173"/>
      <c r="E87" s="1173"/>
      <c r="F87" s="1173"/>
      <c r="G87" s="1173"/>
      <c r="H87" s="1173"/>
      <c r="I87" s="1173"/>
      <c r="J87" s="1173"/>
      <c r="K87" s="1173"/>
      <c r="L87" s="1173"/>
      <c r="M87" s="1173"/>
      <c r="N87" s="1173"/>
      <c r="O87" s="1173"/>
      <c r="P87" s="1173"/>
    </row>
    <row r="88">
      <c r="A88" s="1173"/>
      <c r="B88" s="1173"/>
      <c r="C88" s="1173"/>
      <c r="D88" s="1173"/>
      <c r="E88" s="1173"/>
      <c r="F88" s="1173"/>
      <c r="G88" s="1173"/>
      <c r="H88" s="1173"/>
      <c r="I88" s="1173"/>
      <c r="J88" s="1173"/>
      <c r="K88" s="1173"/>
      <c r="L88" s="1173"/>
      <c r="M88" s="1173"/>
      <c r="N88" s="1173"/>
      <c r="O88" s="1173"/>
      <c r="P88" s="1173"/>
    </row>
    <row r="89">
      <c r="A89" s="1173"/>
      <c r="B89" s="1173"/>
      <c r="C89" s="1173"/>
      <c r="D89" s="1173"/>
      <c r="E89" s="1173"/>
      <c r="F89" s="1173"/>
      <c r="G89" s="1173"/>
      <c r="H89" s="1173"/>
      <c r="I89" s="1173"/>
      <c r="J89" s="1173"/>
      <c r="K89" s="1173"/>
      <c r="L89" s="1173"/>
      <c r="M89" s="1173"/>
      <c r="N89" s="1173"/>
      <c r="O89" s="1173"/>
      <c r="P89" s="1173"/>
    </row>
    <row r="90">
      <c r="A90" s="1173"/>
      <c r="B90" s="1173"/>
      <c r="C90" s="1173"/>
      <c r="D90" s="1173"/>
      <c r="E90" s="1173"/>
      <c r="F90" s="1173"/>
      <c r="G90" s="1173"/>
      <c r="H90" s="1173"/>
      <c r="I90" s="1173"/>
      <c r="J90" s="1173"/>
      <c r="K90" s="1173"/>
      <c r="L90" s="1173"/>
      <c r="M90" s="1173"/>
      <c r="N90" s="1173"/>
      <c r="O90" s="1173"/>
      <c r="P90" s="1173"/>
    </row>
    <row r="91">
      <c r="A91" s="1173"/>
      <c r="B91" s="1173"/>
      <c r="C91" s="1173"/>
      <c r="D91" s="1173"/>
      <c r="E91" s="1173"/>
      <c r="F91" s="1173"/>
      <c r="G91" s="1173"/>
      <c r="H91" s="1173"/>
      <c r="I91" s="1173"/>
      <c r="J91" s="1173"/>
      <c r="K91" s="1173"/>
      <c r="L91" s="1173"/>
      <c r="M91" s="1173"/>
      <c r="N91" s="1173"/>
      <c r="O91" s="1173"/>
      <c r="P91" s="1173"/>
    </row>
    <row r="92">
      <c r="A92" s="1173"/>
      <c r="B92" s="1173"/>
      <c r="C92" s="1173"/>
      <c r="D92" s="1173"/>
      <c r="E92" s="1173"/>
      <c r="F92" s="1173"/>
      <c r="G92" s="1173"/>
      <c r="H92" s="1173"/>
      <c r="I92" s="1173"/>
      <c r="J92" s="1173"/>
      <c r="K92" s="1173"/>
      <c r="L92" s="1173"/>
      <c r="M92" s="1173"/>
      <c r="N92" s="1173"/>
      <c r="O92" s="1173"/>
      <c r="P92" s="1173"/>
    </row>
    <row r="93">
      <c r="A93" s="1173"/>
      <c r="B93" s="1173"/>
      <c r="C93" s="1173"/>
      <c r="D93" s="1173"/>
      <c r="E93" s="1173"/>
      <c r="F93" s="1173"/>
      <c r="G93" s="1173"/>
      <c r="H93" s="1173"/>
      <c r="I93" s="1173"/>
      <c r="J93" s="1173"/>
      <c r="K93" s="1173"/>
      <c r="L93" s="1173"/>
      <c r="M93" s="1173"/>
      <c r="N93" s="1173"/>
      <c r="O93" s="1173"/>
      <c r="P93" s="1173"/>
    </row>
    <row r="94">
      <c r="A94" s="1173"/>
      <c r="B94" s="1173"/>
      <c r="C94" s="1173"/>
      <c r="D94" s="1173"/>
      <c r="E94" s="1173"/>
      <c r="F94" s="1173"/>
      <c r="G94" s="1173"/>
      <c r="H94" s="1173"/>
      <c r="I94" s="1173"/>
      <c r="J94" s="1173"/>
      <c r="K94" s="1173"/>
      <c r="L94" s="1173"/>
      <c r="M94" s="1173"/>
      <c r="N94" s="1173"/>
      <c r="O94" s="1173"/>
      <c r="P94" s="1173"/>
    </row>
    <row r="95">
      <c r="A95" s="1173"/>
      <c r="B95" s="1173"/>
      <c r="C95" s="1173"/>
      <c r="D95" s="1173"/>
      <c r="E95" s="1173"/>
      <c r="F95" s="1173"/>
      <c r="G95" s="1173"/>
      <c r="H95" s="1173"/>
      <c r="I95" s="1173"/>
      <c r="J95" s="1173"/>
      <c r="K95" s="1173"/>
      <c r="L95" s="1173"/>
      <c r="M95" s="1173"/>
      <c r="N95" s="1173"/>
      <c r="O95" s="1173"/>
      <c r="P95" s="1173"/>
    </row>
    <row r="96">
      <c r="A96" s="1173"/>
      <c r="B96" s="1173"/>
      <c r="C96" s="1173"/>
      <c r="D96" s="1173"/>
      <c r="E96" s="1173"/>
      <c r="F96" s="1173"/>
      <c r="G96" s="1173"/>
      <c r="H96" s="1173"/>
      <c r="I96" s="1173"/>
      <c r="J96" s="1173"/>
      <c r="K96" s="1173"/>
      <c r="L96" s="1173"/>
      <c r="M96" s="1173"/>
      <c r="N96" s="1173"/>
      <c r="O96" s="1173"/>
      <c r="P96" s="1173"/>
    </row>
    <row r="97">
      <c r="A97" s="1173"/>
      <c r="B97" s="1173"/>
      <c r="C97" s="1173"/>
      <c r="D97" s="1173"/>
      <c r="E97" s="1173"/>
      <c r="F97" s="1173"/>
      <c r="G97" s="1173"/>
      <c r="H97" s="1173"/>
      <c r="I97" s="1173"/>
      <c r="J97" s="1173"/>
      <c r="K97" s="1173"/>
      <c r="L97" s="1173"/>
      <c r="M97" s="1173"/>
      <c r="N97" s="1173"/>
      <c r="O97" s="1173"/>
      <c r="P97" s="1173"/>
    </row>
    <row r="98">
      <c r="A98" s="1173"/>
      <c r="B98" s="1173"/>
      <c r="C98" s="1173"/>
      <c r="D98" s="1173"/>
      <c r="E98" s="1173"/>
      <c r="F98" s="1173"/>
      <c r="G98" s="1173"/>
      <c r="H98" s="1173"/>
      <c r="I98" s="1173"/>
      <c r="J98" s="1173"/>
      <c r="K98" s="1173"/>
      <c r="L98" s="1173"/>
      <c r="M98" s="1173"/>
      <c r="N98" s="1173"/>
      <c r="O98" s="1173"/>
      <c r="P98" s="1173"/>
    </row>
    <row r="99">
      <c r="A99" s="1173"/>
      <c r="B99" s="1173"/>
      <c r="C99" s="1173"/>
      <c r="D99" s="1173"/>
      <c r="E99" s="1173"/>
      <c r="F99" s="1173"/>
      <c r="G99" s="1173"/>
      <c r="H99" s="1173"/>
      <c r="I99" s="1173"/>
      <c r="J99" s="1173"/>
      <c r="K99" s="1173"/>
      <c r="L99" s="1173"/>
      <c r="M99" s="1173"/>
      <c r="N99" s="1173"/>
      <c r="O99" s="1173"/>
      <c r="P99" s="1173"/>
    </row>
    <row r="100">
      <c r="A100" s="1173"/>
      <c r="B100" s="1173"/>
      <c r="C100" s="1173"/>
      <c r="D100" s="1173"/>
      <c r="E100" s="1173"/>
      <c r="F100" s="1173"/>
      <c r="G100" s="1173"/>
      <c r="H100" s="1173"/>
      <c r="I100" s="1173"/>
      <c r="J100" s="1173"/>
      <c r="K100" s="1173"/>
      <c r="L100" s="1173"/>
      <c r="M100" s="1173"/>
      <c r="N100" s="1173"/>
      <c r="O100" s="1173"/>
      <c r="P100" s="1173"/>
    </row>
    <row r="101">
      <c r="A101" s="1173"/>
      <c r="B101" s="1173"/>
      <c r="C101" s="1173"/>
      <c r="D101" s="1173"/>
      <c r="E101" s="1173"/>
      <c r="F101" s="1173"/>
      <c r="G101" s="1173"/>
      <c r="H101" s="1173"/>
      <c r="I101" s="1173"/>
      <c r="J101" s="1173"/>
      <c r="K101" s="1173"/>
      <c r="L101" s="1173"/>
      <c r="M101" s="1173"/>
      <c r="N101" s="1173"/>
      <c r="O101" s="1173"/>
      <c r="P101" s="1173"/>
    </row>
    <row r="102">
      <c r="A102" s="1173"/>
      <c r="B102" s="1173"/>
      <c r="C102" s="1173"/>
      <c r="D102" s="1173"/>
      <c r="E102" s="1173"/>
      <c r="F102" s="1173"/>
      <c r="G102" s="1173"/>
      <c r="H102" s="1173"/>
      <c r="I102" s="1173"/>
      <c r="J102" s="1173"/>
      <c r="K102" s="1173"/>
      <c r="L102" s="1173"/>
      <c r="M102" s="1173"/>
      <c r="N102" s="1173"/>
      <c r="O102" s="1173"/>
      <c r="P102" s="1173"/>
    </row>
    <row r="103">
      <c r="A103" s="1173"/>
      <c r="B103" s="1173"/>
      <c r="C103" s="1173"/>
      <c r="D103" s="1173"/>
      <c r="E103" s="1173"/>
      <c r="F103" s="1173"/>
      <c r="G103" s="1173"/>
      <c r="H103" s="1173"/>
      <c r="I103" s="1173"/>
      <c r="J103" s="1173"/>
      <c r="K103" s="1173"/>
      <c r="L103" s="1173"/>
      <c r="M103" s="1173"/>
      <c r="N103" s="1173"/>
      <c r="O103" s="1173"/>
      <c r="P103" s="1173"/>
    </row>
    <row r="104">
      <c r="A104" s="1173"/>
      <c r="B104" s="1173"/>
      <c r="C104" s="1173"/>
      <c r="D104" s="1173"/>
      <c r="E104" s="1173"/>
      <c r="F104" s="1173"/>
      <c r="G104" s="1173"/>
      <c r="H104" s="1173"/>
      <c r="I104" s="1173"/>
      <c r="J104" s="1173"/>
      <c r="K104" s="1173"/>
      <c r="L104" s="1173"/>
      <c r="M104" s="1173"/>
      <c r="N104" s="1173"/>
      <c r="O104" s="1173"/>
      <c r="P104" s="1173"/>
    </row>
    <row r="105">
      <c r="A105" s="1173"/>
      <c r="B105" s="1173"/>
      <c r="C105" s="1173"/>
      <c r="D105" s="1173"/>
      <c r="E105" s="1173"/>
      <c r="F105" s="1173"/>
      <c r="G105" s="1173"/>
      <c r="H105" s="1173"/>
      <c r="I105" s="1173"/>
      <c r="J105" s="1173"/>
      <c r="K105" s="1173"/>
      <c r="L105" s="1173"/>
      <c r="M105" s="1173"/>
      <c r="N105" s="1173"/>
      <c r="O105" s="1173"/>
      <c r="P105" s="1173"/>
    </row>
    <row r="106">
      <c r="A106" s="1173"/>
      <c r="B106" s="1173"/>
      <c r="C106" s="1173"/>
      <c r="D106" s="1173"/>
      <c r="E106" s="1173"/>
      <c r="F106" s="1173"/>
      <c r="G106" s="1173"/>
      <c r="H106" s="1173"/>
      <c r="I106" s="1173"/>
      <c r="J106" s="1173"/>
      <c r="K106" s="1173"/>
      <c r="L106" s="1173"/>
      <c r="M106" s="1173"/>
      <c r="N106" s="1173"/>
      <c r="O106" s="1173"/>
      <c r="P106" s="1173"/>
    </row>
    <row r="107">
      <c r="A107" s="1173"/>
      <c r="B107" s="1173"/>
      <c r="C107" s="1173"/>
      <c r="D107" s="1173"/>
      <c r="E107" s="1173"/>
      <c r="F107" s="1173"/>
      <c r="G107" s="1173"/>
      <c r="H107" s="1173"/>
      <c r="I107" s="1173"/>
      <c r="J107" s="1173"/>
      <c r="K107" s="1173"/>
      <c r="L107" s="1173"/>
      <c r="M107" s="1173"/>
      <c r="N107" s="1173"/>
      <c r="O107" s="1173"/>
      <c r="P107" s="1173"/>
    </row>
    <row r="108">
      <c r="A108" s="1173"/>
      <c r="B108" s="1173"/>
      <c r="C108" s="1173"/>
      <c r="D108" s="1173"/>
      <c r="E108" s="1173"/>
      <c r="F108" s="1173"/>
      <c r="G108" s="1173"/>
      <c r="H108" s="1173"/>
      <c r="I108" s="1173"/>
      <c r="J108" s="1173"/>
      <c r="K108" s="1173"/>
      <c r="L108" s="1173"/>
      <c r="M108" s="1173"/>
      <c r="N108" s="1173"/>
      <c r="O108" s="1173"/>
      <c r="P108" s="1173"/>
    </row>
    <row r="109">
      <c r="A109" s="1173"/>
      <c r="B109" s="1173"/>
      <c r="C109" s="1173"/>
      <c r="D109" s="1173"/>
      <c r="E109" s="1173"/>
      <c r="F109" s="1173"/>
      <c r="G109" s="1173"/>
      <c r="H109" s="1173"/>
      <c r="I109" s="1173"/>
      <c r="J109" s="1173"/>
      <c r="K109" s="1173"/>
      <c r="L109" s="1173"/>
      <c r="M109" s="1173"/>
      <c r="N109" s="1173"/>
      <c r="O109" s="1173"/>
      <c r="P109" s="1173"/>
    </row>
    <row r="110">
      <c r="A110" s="1173"/>
      <c r="B110" s="1173"/>
      <c r="C110" s="1173"/>
      <c r="D110" s="1173"/>
      <c r="E110" s="1173"/>
      <c r="F110" s="1173"/>
      <c r="G110" s="1173"/>
      <c r="H110" s="1173"/>
      <c r="I110" s="1173"/>
      <c r="J110" s="1173"/>
      <c r="K110" s="1173"/>
      <c r="L110" s="1173"/>
      <c r="M110" s="1173"/>
      <c r="N110" s="1173"/>
      <c r="O110" s="1173"/>
      <c r="P110" s="1173"/>
    </row>
    <row r="111">
      <c r="A111" s="1173"/>
      <c r="B111" s="1173"/>
      <c r="C111" s="1173"/>
      <c r="D111" s="1173"/>
      <c r="E111" s="1173"/>
      <c r="F111" s="1173"/>
      <c r="G111" s="1173"/>
      <c r="H111" s="1173"/>
      <c r="I111" s="1173"/>
      <c r="J111" s="1173"/>
      <c r="K111" s="1173"/>
      <c r="L111" s="1173"/>
      <c r="M111" s="1173"/>
      <c r="N111" s="1173"/>
      <c r="O111" s="1173"/>
      <c r="P111" s="1173"/>
    </row>
    <row r="112">
      <c r="A112" s="1173"/>
      <c r="B112" s="1173"/>
      <c r="C112" s="1173"/>
      <c r="D112" s="1173"/>
      <c r="E112" s="1173"/>
      <c r="F112" s="1173"/>
      <c r="G112" s="1173"/>
      <c r="H112" s="1173"/>
      <c r="I112" s="1173"/>
      <c r="J112" s="1173"/>
      <c r="K112" s="1173"/>
      <c r="L112" s="1173"/>
      <c r="M112" s="1173"/>
      <c r="N112" s="1173"/>
      <c r="O112" s="1173"/>
      <c r="P112" s="1173"/>
    </row>
    <row r="113">
      <c r="A113" s="1173"/>
      <c r="B113" s="1173"/>
      <c r="C113" s="1173"/>
      <c r="D113" s="1173"/>
      <c r="E113" s="1173"/>
      <c r="F113" s="1173"/>
      <c r="G113" s="1173"/>
      <c r="H113" s="1173"/>
      <c r="I113" s="1173"/>
      <c r="J113" s="1173"/>
      <c r="K113" s="1173"/>
      <c r="L113" s="1173"/>
      <c r="M113" s="1173"/>
      <c r="N113" s="1173"/>
      <c r="O113" s="1173"/>
      <c r="P113" s="1173"/>
    </row>
    <row r="114">
      <c r="A114" s="1173"/>
      <c r="B114" s="1173"/>
      <c r="C114" s="1173"/>
      <c r="D114" s="1173"/>
      <c r="E114" s="1173"/>
      <c r="F114" s="1173"/>
      <c r="G114" s="1173"/>
      <c r="H114" s="1173"/>
      <c r="I114" s="1173"/>
      <c r="J114" s="1173"/>
      <c r="K114" s="1173"/>
      <c r="L114" s="1173"/>
      <c r="M114" s="1173"/>
      <c r="N114" s="1173"/>
      <c r="O114" s="1173"/>
      <c r="P114" s="1173"/>
    </row>
    <row r="115">
      <c r="A115" s="1173"/>
      <c r="B115" s="1173"/>
      <c r="C115" s="1173"/>
      <c r="D115" s="1173"/>
      <c r="E115" s="1173"/>
      <c r="F115" s="1173"/>
      <c r="G115" s="1173"/>
      <c r="H115" s="1173"/>
      <c r="I115" s="1173"/>
      <c r="J115" s="1173"/>
      <c r="K115" s="1173"/>
      <c r="L115" s="1173"/>
      <c r="M115" s="1173"/>
      <c r="N115" s="1173"/>
      <c r="O115" s="1173"/>
      <c r="P115" s="1173"/>
    </row>
    <row r="116">
      <c r="A116" s="1173"/>
      <c r="B116" s="1173"/>
      <c r="C116" s="1173"/>
      <c r="D116" s="1173"/>
      <c r="E116" s="1173"/>
      <c r="F116" s="1173"/>
      <c r="G116" s="1173"/>
      <c r="H116" s="1173"/>
      <c r="I116" s="1173"/>
      <c r="J116" s="1173"/>
      <c r="K116" s="1173"/>
      <c r="L116" s="1173"/>
      <c r="M116" s="1173"/>
      <c r="N116" s="1173"/>
      <c r="O116" s="1173"/>
      <c r="P116" s="1173"/>
    </row>
    <row r="117">
      <c r="A117" s="1173"/>
      <c r="B117" s="1173"/>
      <c r="C117" s="1173"/>
      <c r="D117" s="1173"/>
      <c r="E117" s="1173"/>
      <c r="F117" s="1173"/>
      <c r="G117" s="1173"/>
      <c r="H117" s="1173"/>
      <c r="I117" s="1173"/>
      <c r="J117" s="1173"/>
      <c r="K117" s="1173"/>
      <c r="L117" s="1173"/>
      <c r="M117" s="1173"/>
      <c r="N117" s="1173"/>
      <c r="O117" s="1173"/>
      <c r="P117" s="1173"/>
    </row>
    <row r="118">
      <c r="A118" s="1173"/>
      <c r="B118" s="1173"/>
      <c r="C118" s="1173"/>
      <c r="D118" s="1173"/>
      <c r="E118" s="1173"/>
      <c r="F118" s="1173"/>
      <c r="G118" s="1173"/>
      <c r="H118" s="1173"/>
      <c r="I118" s="1173"/>
      <c r="J118" s="1173"/>
      <c r="K118" s="1173"/>
      <c r="L118" s="1173"/>
      <c r="M118" s="1173"/>
      <c r="N118" s="1173"/>
      <c r="O118" s="1173"/>
      <c r="P118" s="1173"/>
    </row>
    <row r="119">
      <c r="A119" s="1173"/>
      <c r="B119" s="1173"/>
      <c r="C119" s="1173"/>
      <c r="D119" s="1173"/>
      <c r="E119" s="1173"/>
      <c r="F119" s="1173"/>
      <c r="G119" s="1173"/>
      <c r="H119" s="1173"/>
      <c r="I119" s="1173"/>
      <c r="J119" s="1173"/>
      <c r="K119" s="1173"/>
      <c r="L119" s="1173"/>
      <c r="M119" s="1173"/>
      <c r="N119" s="1173"/>
      <c r="O119" s="1173"/>
      <c r="P119" s="1173"/>
    </row>
    <row r="120">
      <c r="A120" s="1173"/>
      <c r="B120" s="1173"/>
      <c r="C120" s="1173"/>
      <c r="D120" s="1173"/>
      <c r="E120" s="1173"/>
      <c r="F120" s="1173"/>
      <c r="G120" s="1173"/>
      <c r="H120" s="1173"/>
      <c r="I120" s="1173"/>
      <c r="J120" s="1173"/>
      <c r="K120" s="1173"/>
      <c r="L120" s="1173"/>
      <c r="M120" s="1173"/>
      <c r="N120" s="1173"/>
      <c r="O120" s="1173"/>
      <c r="P120" s="1173"/>
    </row>
    <row r="121">
      <c r="A121" s="1173"/>
      <c r="B121" s="1173"/>
      <c r="C121" s="1173"/>
      <c r="D121" s="1173"/>
      <c r="E121" s="1173"/>
      <c r="F121" s="1173"/>
      <c r="G121" s="1173"/>
      <c r="H121" s="1173"/>
      <c r="I121" s="1173"/>
      <c r="J121" s="1173"/>
      <c r="K121" s="1173"/>
      <c r="L121" s="1173"/>
      <c r="M121" s="1173"/>
      <c r="N121" s="1173"/>
      <c r="O121" s="1173"/>
      <c r="P121" s="1173"/>
    </row>
    <row r="122">
      <c r="A122" s="1173"/>
      <c r="B122" s="1173"/>
      <c r="C122" s="1173"/>
      <c r="D122" s="1173"/>
      <c r="E122" s="1173"/>
      <c r="F122" s="1173"/>
      <c r="G122" s="1173"/>
      <c r="H122" s="1173"/>
      <c r="I122" s="1173"/>
      <c r="J122" s="1173"/>
      <c r="K122" s="1173"/>
      <c r="L122" s="1173"/>
      <c r="M122" s="1173"/>
      <c r="N122" s="1173"/>
      <c r="O122" s="1173"/>
      <c r="P122" s="1173"/>
    </row>
    <row r="123">
      <c r="A123" s="1173"/>
      <c r="B123" s="1173"/>
      <c r="C123" s="1173"/>
      <c r="D123" s="1173"/>
      <c r="E123" s="1173"/>
      <c r="F123" s="1173"/>
      <c r="G123" s="1173"/>
      <c r="H123" s="1173"/>
      <c r="I123" s="1173"/>
      <c r="J123" s="1173"/>
      <c r="K123" s="1173"/>
      <c r="L123" s="1173"/>
      <c r="M123" s="1173"/>
      <c r="N123" s="1173"/>
      <c r="O123" s="1173"/>
      <c r="P123" s="1173"/>
    </row>
    <row r="124">
      <c r="A124" s="1173"/>
      <c r="B124" s="1173"/>
      <c r="C124" s="1173"/>
      <c r="D124" s="1173"/>
      <c r="E124" s="1173"/>
      <c r="F124" s="1173"/>
      <c r="G124" s="1173"/>
      <c r="H124" s="1173"/>
      <c r="I124" s="1173"/>
      <c r="J124" s="1173"/>
      <c r="K124" s="1173"/>
      <c r="L124" s="1173"/>
      <c r="M124" s="1173"/>
      <c r="N124" s="1173"/>
      <c r="O124" s="1173"/>
      <c r="P124" s="1173"/>
    </row>
    <row r="125">
      <c r="A125" s="1173"/>
      <c r="B125" s="1173"/>
      <c r="C125" s="1173"/>
      <c r="D125" s="1173"/>
      <c r="E125" s="1173"/>
      <c r="F125" s="1173"/>
      <c r="G125" s="1173"/>
      <c r="H125" s="1173"/>
      <c r="I125" s="1173"/>
      <c r="J125" s="1173"/>
      <c r="K125" s="1173"/>
      <c r="L125" s="1173"/>
      <c r="M125" s="1173"/>
      <c r="N125" s="1173"/>
      <c r="O125" s="1173"/>
      <c r="P125" s="1173"/>
    </row>
    <row r="126">
      <c r="A126" s="1173"/>
      <c r="B126" s="1173"/>
      <c r="C126" s="1173"/>
      <c r="D126" s="1173"/>
      <c r="E126" s="1173"/>
      <c r="F126" s="1173"/>
      <c r="G126" s="1173"/>
      <c r="H126" s="1173"/>
      <c r="I126" s="1173"/>
      <c r="J126" s="1173"/>
      <c r="K126" s="1173"/>
      <c r="L126" s="1173"/>
      <c r="M126" s="1173"/>
      <c r="N126" s="1173"/>
      <c r="O126" s="1173"/>
      <c r="P126" s="1173"/>
    </row>
    <row r="127">
      <c r="A127" s="1173"/>
      <c r="B127" s="1173"/>
      <c r="C127" s="1173"/>
      <c r="D127" s="1173"/>
      <c r="E127" s="1173"/>
      <c r="F127" s="1173"/>
      <c r="G127" s="1173"/>
      <c r="H127" s="1173"/>
      <c r="I127" s="1173"/>
      <c r="J127" s="1173"/>
      <c r="K127" s="1173"/>
      <c r="L127" s="1173"/>
      <c r="M127" s="1173"/>
      <c r="N127" s="1173"/>
      <c r="O127" s="1173"/>
      <c r="P127" s="1173"/>
    </row>
    <row r="128">
      <c r="A128" s="1173"/>
      <c r="B128" s="1173"/>
      <c r="C128" s="1173"/>
      <c r="D128" s="1173"/>
      <c r="E128" s="1173"/>
      <c r="F128" s="1173"/>
      <c r="G128" s="1173"/>
      <c r="H128" s="1173"/>
      <c r="I128" s="1173"/>
      <c r="J128" s="1173"/>
      <c r="K128" s="1173"/>
      <c r="L128" s="1173"/>
      <c r="M128" s="1173"/>
      <c r="N128" s="1173"/>
      <c r="O128" s="1173"/>
      <c r="P128" s="1173"/>
    </row>
    <row r="129">
      <c r="A129" s="1173"/>
      <c r="B129" s="1173"/>
      <c r="C129" s="1173"/>
      <c r="D129" s="1173"/>
      <c r="E129" s="1173"/>
      <c r="F129" s="1173"/>
      <c r="G129" s="1173"/>
      <c r="H129" s="1173"/>
      <c r="I129" s="1173"/>
      <c r="J129" s="1173"/>
      <c r="K129" s="1173"/>
      <c r="L129" s="1173"/>
      <c r="M129" s="1173"/>
      <c r="N129" s="1173"/>
      <c r="O129" s="1173"/>
      <c r="P129" s="1173"/>
    </row>
    <row r="130">
      <c r="A130" s="1173"/>
      <c r="B130" s="1173"/>
      <c r="C130" s="1173"/>
      <c r="D130" s="1173"/>
      <c r="E130" s="1173"/>
      <c r="F130" s="1173"/>
      <c r="G130" s="1173"/>
      <c r="H130" s="1173"/>
      <c r="I130" s="1173"/>
      <c r="J130" s="1173"/>
      <c r="K130" s="1173"/>
      <c r="L130" s="1173"/>
      <c r="M130" s="1173"/>
      <c r="N130" s="1173"/>
      <c r="O130" s="1173"/>
      <c r="P130" s="1173"/>
    </row>
    <row r="131">
      <c r="A131" s="1173"/>
      <c r="B131" s="1173"/>
      <c r="C131" s="1173"/>
      <c r="D131" s="1173"/>
      <c r="E131" s="1173"/>
      <c r="F131" s="1173"/>
      <c r="G131" s="1173"/>
      <c r="H131" s="1173"/>
      <c r="I131" s="1173"/>
      <c r="J131" s="1173"/>
      <c r="K131" s="1173"/>
      <c r="L131" s="1173"/>
      <c r="M131" s="1173"/>
      <c r="N131" s="1173"/>
      <c r="O131" s="1173"/>
      <c r="P131" s="1173"/>
    </row>
    <row r="132">
      <c r="A132" s="1173"/>
      <c r="B132" s="1173"/>
      <c r="C132" s="1173"/>
      <c r="D132" s="1173"/>
      <c r="E132" s="1173"/>
      <c r="F132" s="1173"/>
      <c r="G132" s="1173"/>
      <c r="H132" s="1173"/>
      <c r="I132" s="1173"/>
      <c r="J132" s="1173"/>
      <c r="K132" s="1173"/>
      <c r="L132" s="1173"/>
      <c r="M132" s="1173"/>
      <c r="N132" s="1173"/>
      <c r="O132" s="1173"/>
      <c r="P132" s="1173"/>
    </row>
    <row r="133">
      <c r="A133" s="1173"/>
      <c r="B133" s="1173"/>
      <c r="C133" s="1173"/>
      <c r="D133" s="1173"/>
      <c r="E133" s="1173"/>
      <c r="F133" s="1173"/>
      <c r="G133" s="1173"/>
      <c r="H133" s="1173"/>
      <c r="I133" s="1173"/>
      <c r="J133" s="1173"/>
      <c r="K133" s="1173"/>
      <c r="L133" s="1173"/>
      <c r="M133" s="1173"/>
      <c r="N133" s="1173"/>
      <c r="O133" s="1173"/>
      <c r="P133" s="1173"/>
    </row>
    <row r="134">
      <c r="A134" s="1173"/>
      <c r="B134" s="1173"/>
      <c r="C134" s="1173"/>
      <c r="D134" s="1173"/>
      <c r="E134" s="1173"/>
      <c r="F134" s="1173"/>
      <c r="G134" s="1173"/>
      <c r="H134" s="1173"/>
      <c r="I134" s="1173"/>
      <c r="J134" s="1173"/>
      <c r="K134" s="1173"/>
      <c r="L134" s="1173"/>
      <c r="M134" s="1173"/>
      <c r="N134" s="1173"/>
      <c r="O134" s="1173"/>
      <c r="P134" s="1173"/>
    </row>
    <row r="135">
      <c r="A135" s="1173"/>
      <c r="B135" s="1173"/>
      <c r="C135" s="1173"/>
      <c r="D135" s="1173"/>
      <c r="E135" s="1173"/>
      <c r="F135" s="1173"/>
      <c r="G135" s="1173"/>
      <c r="H135" s="1173"/>
      <c r="I135" s="1173"/>
      <c r="J135" s="1173"/>
      <c r="K135" s="1173"/>
      <c r="L135" s="1173"/>
      <c r="M135" s="1173"/>
      <c r="N135" s="1173"/>
      <c r="O135" s="1173"/>
      <c r="P135" s="1173"/>
    </row>
    <row r="136">
      <c r="A136" s="1173"/>
      <c r="B136" s="1173"/>
      <c r="C136" s="1173"/>
      <c r="D136" s="1173"/>
      <c r="E136" s="1173"/>
      <c r="F136" s="1173"/>
      <c r="G136" s="1173"/>
      <c r="H136" s="1173"/>
      <c r="I136" s="1173"/>
      <c r="J136" s="1173"/>
      <c r="K136" s="1173"/>
      <c r="L136" s="1173"/>
      <c r="M136" s="1173"/>
      <c r="N136" s="1173"/>
      <c r="O136" s="1173"/>
      <c r="P136" s="1173"/>
    </row>
    <row r="137">
      <c r="A137" s="1173"/>
      <c r="B137" s="1173"/>
      <c r="C137" s="1173"/>
      <c r="D137" s="1173"/>
      <c r="E137" s="1173"/>
      <c r="F137" s="1173"/>
      <c r="G137" s="1173"/>
      <c r="H137" s="1173"/>
      <c r="I137" s="1173"/>
      <c r="J137" s="1173"/>
      <c r="K137" s="1173"/>
      <c r="L137" s="1173"/>
      <c r="M137" s="1173"/>
      <c r="N137" s="1173"/>
      <c r="O137" s="1173"/>
      <c r="P137" s="1173"/>
    </row>
    <row r="138">
      <c r="A138" s="1173"/>
      <c r="B138" s="1173"/>
      <c r="C138" s="1173"/>
      <c r="D138" s="1173"/>
      <c r="E138" s="1173"/>
      <c r="F138" s="1173"/>
      <c r="G138" s="1173"/>
      <c r="H138" s="1173"/>
      <c r="I138" s="1173"/>
      <c r="J138" s="1173"/>
      <c r="K138" s="1173"/>
      <c r="L138" s="1173"/>
      <c r="M138" s="1173"/>
      <c r="N138" s="1173"/>
      <c r="O138" s="1173"/>
      <c r="P138" s="1173"/>
    </row>
    <row r="139">
      <c r="A139" s="1173"/>
      <c r="B139" s="1173"/>
      <c r="C139" s="1173"/>
      <c r="D139" s="1173"/>
      <c r="E139" s="1173"/>
      <c r="F139" s="1173"/>
      <c r="G139" s="1173"/>
      <c r="H139" s="1173"/>
      <c r="I139" s="1173"/>
      <c r="J139" s="1173"/>
      <c r="K139" s="1173"/>
      <c r="L139" s="1173"/>
      <c r="M139" s="1173"/>
      <c r="N139" s="1173"/>
      <c r="O139" s="1173"/>
      <c r="P139" s="1173"/>
    </row>
    <row r="140">
      <c r="A140" s="1173"/>
      <c r="B140" s="1173"/>
      <c r="C140" s="1173"/>
      <c r="D140" s="1173"/>
      <c r="E140" s="1173"/>
      <c r="F140" s="1173"/>
      <c r="G140" s="1173"/>
      <c r="H140" s="1173"/>
      <c r="I140" s="1173"/>
      <c r="J140" s="1173"/>
      <c r="K140" s="1173"/>
      <c r="L140" s="1173"/>
      <c r="M140" s="1173"/>
      <c r="N140" s="1173"/>
      <c r="O140" s="1173"/>
      <c r="P140" s="1173"/>
    </row>
    <row r="141">
      <c r="A141" s="1173"/>
      <c r="B141" s="1173"/>
      <c r="C141" s="1173"/>
      <c r="D141" s="1173"/>
      <c r="E141" s="1173"/>
      <c r="F141" s="1173"/>
      <c r="G141" s="1173"/>
      <c r="H141" s="1173"/>
      <c r="I141" s="1173"/>
      <c r="J141" s="1173"/>
      <c r="K141" s="1173"/>
      <c r="L141" s="1173"/>
      <c r="M141" s="1173"/>
      <c r="N141" s="1173"/>
      <c r="O141" s="1173"/>
      <c r="P141" s="1173"/>
    </row>
    <row r="142">
      <c r="A142" s="1173"/>
      <c r="B142" s="1173"/>
      <c r="C142" s="1173"/>
      <c r="D142" s="1173"/>
      <c r="E142" s="1173"/>
      <c r="F142" s="1173"/>
      <c r="G142" s="1173"/>
      <c r="H142" s="1173"/>
      <c r="I142" s="1173"/>
      <c r="J142" s="1173"/>
      <c r="K142" s="1173"/>
      <c r="L142" s="1173"/>
      <c r="M142" s="1173"/>
      <c r="N142" s="1173"/>
      <c r="O142" s="1173"/>
      <c r="P142" s="1173"/>
    </row>
    <row r="143">
      <c r="A143" s="1173"/>
      <c r="B143" s="1173"/>
      <c r="C143" s="1173"/>
      <c r="D143" s="1173"/>
      <c r="E143" s="1173"/>
      <c r="F143" s="1173"/>
      <c r="G143" s="1173"/>
      <c r="H143" s="1173"/>
      <c r="I143" s="1173"/>
      <c r="J143" s="1173"/>
      <c r="K143" s="1173"/>
      <c r="L143" s="1173"/>
      <c r="M143" s="1173"/>
      <c r="N143" s="1173"/>
      <c r="O143" s="1173"/>
      <c r="P143" s="1173"/>
    </row>
    <row r="144">
      <c r="A144" s="1173"/>
      <c r="B144" s="1173"/>
      <c r="C144" s="1173"/>
      <c r="D144" s="1173"/>
      <c r="E144" s="1173"/>
      <c r="F144" s="1173"/>
      <c r="G144" s="1173"/>
      <c r="H144" s="1173"/>
      <c r="I144" s="1173"/>
      <c r="J144" s="1173"/>
      <c r="K144" s="1173"/>
      <c r="L144" s="1173"/>
      <c r="M144" s="1173"/>
      <c r="N144" s="1173"/>
      <c r="O144" s="1173"/>
      <c r="P144" s="1173"/>
    </row>
    <row r="145">
      <c r="A145" s="1173"/>
      <c r="B145" s="1173"/>
      <c r="C145" s="1173"/>
      <c r="D145" s="1173"/>
      <c r="E145" s="1173"/>
      <c r="F145" s="1173"/>
      <c r="G145" s="1173"/>
      <c r="H145" s="1173"/>
      <c r="I145" s="1173"/>
      <c r="J145" s="1173"/>
      <c r="K145" s="1173"/>
      <c r="L145" s="1173"/>
      <c r="M145" s="1173"/>
      <c r="N145" s="1173"/>
      <c r="O145" s="1173"/>
      <c r="P145" s="1173"/>
    </row>
    <row r="146">
      <c r="A146" s="1173"/>
      <c r="B146" s="1173"/>
      <c r="C146" s="1173"/>
      <c r="D146" s="1173"/>
      <c r="E146" s="1173"/>
      <c r="F146" s="1173"/>
      <c r="G146" s="1173"/>
      <c r="H146" s="1173"/>
      <c r="I146" s="1173"/>
      <c r="J146" s="1173"/>
      <c r="K146" s="1173"/>
      <c r="L146" s="1173"/>
      <c r="M146" s="1173"/>
      <c r="N146" s="1173"/>
      <c r="O146" s="1173"/>
      <c r="P146" s="1173"/>
    </row>
    <row r="147">
      <c r="A147" s="1173"/>
      <c r="B147" s="1173"/>
      <c r="C147" s="1173"/>
      <c r="D147" s="1173"/>
      <c r="E147" s="1173"/>
      <c r="F147" s="1173"/>
      <c r="G147" s="1173"/>
      <c r="H147" s="1173"/>
      <c r="I147" s="1173"/>
      <c r="J147" s="1173"/>
      <c r="K147" s="1173"/>
      <c r="L147" s="1173"/>
      <c r="M147" s="1173"/>
      <c r="N147" s="1173"/>
      <c r="O147" s="1173"/>
      <c r="P147" s="1173"/>
    </row>
    <row r="148">
      <c r="A148" s="1173"/>
      <c r="B148" s="1173"/>
      <c r="C148" s="1173"/>
      <c r="D148" s="1173"/>
      <c r="E148" s="1173"/>
      <c r="F148" s="1173"/>
      <c r="G148" s="1173"/>
      <c r="H148" s="1173"/>
      <c r="I148" s="1173"/>
      <c r="J148" s="1173"/>
      <c r="K148" s="1173"/>
      <c r="L148" s="1173"/>
      <c r="M148" s="1173"/>
      <c r="N148" s="1173"/>
      <c r="O148" s="1173"/>
      <c r="P148" s="1173"/>
    </row>
    <row r="149">
      <c r="A149" s="1173"/>
      <c r="B149" s="1173"/>
      <c r="C149" s="1173"/>
      <c r="D149" s="1173"/>
      <c r="E149" s="1173"/>
      <c r="F149" s="1173"/>
      <c r="G149" s="1173"/>
      <c r="H149" s="1173"/>
      <c r="I149" s="1173"/>
      <c r="J149" s="1173"/>
      <c r="K149" s="1173"/>
      <c r="L149" s="1173"/>
      <c r="M149" s="1173"/>
      <c r="N149" s="1173"/>
      <c r="O149" s="1173"/>
      <c r="P149" s="1173"/>
    </row>
    <row r="150">
      <c r="A150" s="1173"/>
      <c r="B150" s="1173"/>
      <c r="C150" s="1173"/>
      <c r="D150" s="1173"/>
      <c r="E150" s="1173"/>
      <c r="F150" s="1173"/>
      <c r="G150" s="1173"/>
      <c r="H150" s="1173"/>
      <c r="I150" s="1173"/>
      <c r="J150" s="1173"/>
      <c r="K150" s="1173"/>
      <c r="L150" s="1173"/>
      <c r="M150" s="1173"/>
      <c r="N150" s="1173"/>
      <c r="O150" s="1173"/>
      <c r="P150" s="1173"/>
    </row>
    <row r="151">
      <c r="A151" s="1173"/>
      <c r="B151" s="1173"/>
      <c r="C151" s="1173"/>
      <c r="D151" s="1173"/>
      <c r="E151" s="1173"/>
      <c r="F151" s="1173"/>
      <c r="G151" s="1173"/>
      <c r="H151" s="1173"/>
      <c r="I151" s="1173"/>
      <c r="J151" s="1173"/>
      <c r="K151" s="1173"/>
      <c r="L151" s="1173"/>
      <c r="M151" s="1173"/>
      <c r="N151" s="1173"/>
      <c r="O151" s="1173"/>
      <c r="P151" s="1173"/>
    </row>
    <row r="152">
      <c r="A152" s="1173"/>
      <c r="B152" s="1173"/>
      <c r="C152" s="1173"/>
      <c r="D152" s="1173"/>
      <c r="E152" s="1173"/>
      <c r="F152" s="1173"/>
      <c r="G152" s="1173"/>
      <c r="H152" s="1173"/>
      <c r="I152" s="1173"/>
      <c r="J152" s="1173"/>
      <c r="K152" s="1173"/>
      <c r="L152" s="1173"/>
      <c r="M152" s="1173"/>
      <c r="N152" s="1173"/>
      <c r="O152" s="1173"/>
      <c r="P152" s="1173"/>
    </row>
    <row r="153">
      <c r="A153" s="1173"/>
      <c r="B153" s="1173"/>
      <c r="C153" s="1173"/>
      <c r="D153" s="1173"/>
      <c r="E153" s="1173"/>
      <c r="F153" s="1173"/>
      <c r="G153" s="1173"/>
      <c r="H153" s="1173"/>
      <c r="I153" s="1173"/>
      <c r="J153" s="1173"/>
      <c r="K153" s="1173"/>
      <c r="L153" s="1173"/>
      <c r="M153" s="1173"/>
      <c r="N153" s="1173"/>
      <c r="O153" s="1173"/>
      <c r="P153" s="1173"/>
    </row>
    <row r="154">
      <c r="A154" s="1173"/>
      <c r="B154" s="1173"/>
      <c r="C154" s="1173"/>
      <c r="D154" s="1173"/>
      <c r="E154" s="1173"/>
      <c r="F154" s="1173"/>
      <c r="G154" s="1173"/>
      <c r="H154" s="1173"/>
      <c r="I154" s="1173"/>
      <c r="J154" s="1173"/>
      <c r="K154" s="1173"/>
      <c r="L154" s="1173"/>
      <c r="M154" s="1173"/>
      <c r="N154" s="1173"/>
      <c r="O154" s="1173"/>
      <c r="P154" s="1173"/>
    </row>
    <row r="155">
      <c r="A155" s="1173"/>
      <c r="B155" s="1173"/>
      <c r="C155" s="1173"/>
      <c r="D155" s="1173"/>
      <c r="E155" s="1173"/>
      <c r="F155" s="1173"/>
      <c r="G155" s="1173"/>
      <c r="H155" s="1173"/>
      <c r="I155" s="1173"/>
      <c r="J155" s="1173"/>
      <c r="K155" s="1173"/>
      <c r="L155" s="1173"/>
      <c r="M155" s="1173"/>
      <c r="N155" s="1173"/>
      <c r="O155" s="1173"/>
      <c r="P155" s="1173"/>
    </row>
    <row r="156">
      <c r="A156" s="1173"/>
      <c r="B156" s="1173"/>
      <c r="C156" s="1173"/>
      <c r="D156" s="1173"/>
      <c r="E156" s="1173"/>
      <c r="F156" s="1173"/>
      <c r="G156" s="1173"/>
      <c r="H156" s="1173"/>
      <c r="I156" s="1173"/>
      <c r="J156" s="1173"/>
      <c r="K156" s="1173"/>
      <c r="L156" s="1173"/>
      <c r="M156" s="1173"/>
      <c r="N156" s="1173"/>
      <c r="O156" s="1173"/>
      <c r="P156" s="1173"/>
    </row>
    <row r="157">
      <c r="A157" s="1173"/>
      <c r="B157" s="1173"/>
      <c r="C157" s="1173"/>
      <c r="D157" s="1173"/>
      <c r="E157" s="1173"/>
      <c r="F157" s="1173"/>
      <c r="G157" s="1173"/>
      <c r="H157" s="1173"/>
      <c r="I157" s="1173"/>
      <c r="J157" s="1173"/>
      <c r="K157" s="1173"/>
      <c r="L157" s="1173"/>
      <c r="M157" s="1173"/>
      <c r="N157" s="1173"/>
      <c r="O157" s="1173"/>
      <c r="P157" s="1173"/>
    </row>
    <row r="158">
      <c r="A158" s="1173"/>
      <c r="B158" s="1173"/>
      <c r="C158" s="1173"/>
      <c r="D158" s="1173"/>
      <c r="E158" s="1173"/>
      <c r="F158" s="1173"/>
      <c r="G158" s="1173"/>
      <c r="H158" s="1173"/>
      <c r="I158" s="1173"/>
      <c r="J158" s="1173"/>
      <c r="K158" s="1173"/>
      <c r="L158" s="1173"/>
      <c r="M158" s="1173"/>
      <c r="N158" s="1173"/>
      <c r="O158" s="1173"/>
      <c r="P158" s="1173"/>
    </row>
    <row r="159">
      <c r="A159" s="1173"/>
      <c r="B159" s="1173"/>
      <c r="C159" s="1173"/>
      <c r="D159" s="1173"/>
      <c r="E159" s="1173"/>
      <c r="F159" s="1173"/>
      <c r="G159" s="1173"/>
      <c r="H159" s="1173"/>
      <c r="I159" s="1173"/>
      <c r="J159" s="1173"/>
      <c r="K159" s="1173"/>
      <c r="L159" s="1173"/>
      <c r="M159" s="1173"/>
      <c r="N159" s="1173"/>
      <c r="O159" s="1173"/>
      <c r="P159" s="1173"/>
    </row>
    <row r="160">
      <c r="A160" s="1173"/>
      <c r="B160" s="1173"/>
      <c r="C160" s="1173"/>
      <c r="D160" s="1173"/>
      <c r="E160" s="1173"/>
      <c r="F160" s="1173"/>
      <c r="G160" s="1173"/>
      <c r="H160" s="1173"/>
      <c r="I160" s="1173"/>
      <c r="J160" s="1173"/>
      <c r="K160" s="1173"/>
      <c r="L160" s="1173"/>
      <c r="M160" s="1173"/>
      <c r="N160" s="1173"/>
      <c r="O160" s="1173"/>
      <c r="P160" s="1173"/>
    </row>
    <row r="161">
      <c r="A161" s="1173"/>
      <c r="B161" s="1173"/>
      <c r="C161" s="1173"/>
      <c r="D161" s="1173"/>
      <c r="E161" s="1173"/>
      <c r="F161" s="1173"/>
      <c r="G161" s="1173"/>
      <c r="H161" s="1173"/>
      <c r="I161" s="1173"/>
      <c r="J161" s="1173"/>
      <c r="K161" s="1173"/>
      <c r="L161" s="1173"/>
      <c r="M161" s="1173"/>
      <c r="N161" s="1173"/>
      <c r="O161" s="1173"/>
      <c r="P161" s="1173"/>
    </row>
    <row r="162">
      <c r="A162" s="1173"/>
      <c r="B162" s="1173"/>
      <c r="C162" s="1173"/>
      <c r="D162" s="1173"/>
      <c r="E162" s="1173"/>
      <c r="F162" s="1173"/>
      <c r="G162" s="1173"/>
      <c r="H162" s="1173"/>
      <c r="I162" s="1173"/>
      <c r="J162" s="1173"/>
      <c r="K162" s="1173"/>
      <c r="L162" s="1173"/>
      <c r="M162" s="1173"/>
      <c r="N162" s="1173"/>
      <c r="O162" s="1173"/>
      <c r="P162" s="1173"/>
    </row>
    <row r="163">
      <c r="A163" s="1173"/>
      <c r="B163" s="1173"/>
      <c r="C163" s="1173"/>
      <c r="D163" s="1173"/>
      <c r="E163" s="1173"/>
      <c r="F163" s="1173"/>
      <c r="G163" s="1173"/>
      <c r="H163" s="1173"/>
      <c r="I163" s="1173"/>
      <c r="J163" s="1173"/>
      <c r="K163" s="1173"/>
      <c r="L163" s="1173"/>
      <c r="M163" s="1173"/>
      <c r="N163" s="1173"/>
      <c r="O163" s="1173"/>
      <c r="P163" s="1173"/>
    </row>
    <row r="164">
      <c r="A164" s="1173"/>
      <c r="B164" s="1173"/>
      <c r="C164" s="1173"/>
      <c r="D164" s="1173"/>
      <c r="E164" s="1173"/>
      <c r="F164" s="1173"/>
      <c r="G164" s="1173"/>
      <c r="H164" s="1173"/>
      <c r="I164" s="1173"/>
      <c r="J164" s="1173"/>
      <c r="K164" s="1173"/>
      <c r="L164" s="1173"/>
      <c r="M164" s="1173"/>
      <c r="N164" s="1173"/>
      <c r="O164" s="1173"/>
      <c r="P164" s="1173"/>
    </row>
    <row r="165">
      <c r="A165" s="1173"/>
      <c r="B165" s="1173"/>
      <c r="C165" s="1173"/>
      <c r="D165" s="1173"/>
      <c r="E165" s="1173"/>
      <c r="F165" s="1173"/>
      <c r="G165" s="1173"/>
      <c r="H165" s="1173"/>
      <c r="I165" s="1173"/>
      <c r="J165" s="1173"/>
      <c r="K165" s="1173"/>
      <c r="L165" s="1173"/>
      <c r="M165" s="1173"/>
      <c r="N165" s="1173"/>
      <c r="O165" s="1173"/>
      <c r="P165" s="1173"/>
    </row>
    <row r="166">
      <c r="A166" s="1173"/>
      <c r="B166" s="1173"/>
      <c r="C166" s="1173"/>
      <c r="D166" s="1173"/>
      <c r="E166" s="1173"/>
      <c r="F166" s="1173"/>
      <c r="G166" s="1173"/>
      <c r="H166" s="1173"/>
      <c r="I166" s="1173"/>
      <c r="J166" s="1173"/>
      <c r="K166" s="1173"/>
      <c r="L166" s="1173"/>
      <c r="M166" s="1173"/>
      <c r="N166" s="1173"/>
      <c r="O166" s="1173"/>
      <c r="P166" s="1173"/>
    </row>
    <row r="167">
      <c r="A167" s="1173"/>
      <c r="B167" s="1173"/>
      <c r="C167" s="1173"/>
      <c r="D167" s="1173"/>
      <c r="E167" s="1173"/>
      <c r="F167" s="1173"/>
      <c r="G167" s="1173"/>
      <c r="H167" s="1173"/>
      <c r="I167" s="1173"/>
      <c r="J167" s="1173"/>
      <c r="K167" s="1173"/>
      <c r="L167" s="1173"/>
      <c r="M167" s="1173"/>
      <c r="N167" s="1173"/>
      <c r="O167" s="1173"/>
      <c r="P167" s="1173"/>
    </row>
    <row r="168">
      <c r="A168" s="1173"/>
      <c r="B168" s="1173"/>
      <c r="C168" s="1173"/>
      <c r="D168" s="1173"/>
      <c r="E168" s="1173"/>
      <c r="F168" s="1173"/>
      <c r="G168" s="1173"/>
      <c r="H168" s="1173"/>
      <c r="I168" s="1173"/>
      <c r="J168" s="1173"/>
      <c r="K168" s="1173"/>
      <c r="L168" s="1173"/>
      <c r="M168" s="1173"/>
      <c r="N168" s="1173"/>
      <c r="O168" s="1173"/>
      <c r="P168" s="1173"/>
    </row>
    <row r="169">
      <c r="A169" s="1173"/>
      <c r="B169" s="1173"/>
      <c r="C169" s="1173"/>
      <c r="D169" s="1173"/>
      <c r="E169" s="1173"/>
      <c r="F169" s="1173"/>
      <c r="G169" s="1173"/>
      <c r="H169" s="1173"/>
      <c r="I169" s="1173"/>
      <c r="J169" s="1173"/>
      <c r="K169" s="1173"/>
      <c r="L169" s="1173"/>
      <c r="M169" s="1173"/>
      <c r="N169" s="1173"/>
      <c r="O169" s="1173"/>
      <c r="P169" s="1173"/>
    </row>
    <row r="170">
      <c r="A170" s="1173"/>
      <c r="B170" s="1173"/>
      <c r="C170" s="1173"/>
      <c r="D170" s="1173"/>
      <c r="E170" s="1173"/>
      <c r="F170" s="1173"/>
      <c r="G170" s="1173"/>
      <c r="H170" s="1173"/>
      <c r="I170" s="1173"/>
      <c r="J170" s="1173"/>
      <c r="K170" s="1173"/>
      <c r="L170" s="1173"/>
      <c r="M170" s="1173"/>
      <c r="N170" s="1173"/>
      <c r="O170" s="1173"/>
      <c r="P170" s="1173"/>
    </row>
    <row r="171">
      <c r="A171" s="1173"/>
      <c r="B171" s="1173"/>
      <c r="C171" s="1173"/>
      <c r="D171" s="1173"/>
      <c r="E171" s="1173"/>
      <c r="F171" s="1173"/>
      <c r="G171" s="1173"/>
      <c r="H171" s="1173"/>
      <c r="I171" s="1173"/>
      <c r="J171" s="1173"/>
      <c r="K171" s="1173"/>
      <c r="L171" s="1173"/>
      <c r="M171" s="1173"/>
      <c r="N171" s="1173"/>
      <c r="O171" s="1173"/>
      <c r="P171" s="1173"/>
    </row>
    <row r="172">
      <c r="A172" s="1173"/>
      <c r="B172" s="1173"/>
      <c r="C172" s="1173"/>
      <c r="D172" s="1173"/>
      <c r="E172" s="1173"/>
      <c r="F172" s="1173"/>
      <c r="G172" s="1173"/>
      <c r="H172" s="1173"/>
      <c r="I172" s="1173"/>
      <c r="J172" s="1173"/>
      <c r="K172" s="1173"/>
      <c r="L172" s="1173"/>
      <c r="M172" s="1173"/>
      <c r="N172" s="1173"/>
      <c r="O172" s="1173"/>
      <c r="P172" s="1173"/>
    </row>
    <row r="173">
      <c r="A173" s="1173"/>
      <c r="B173" s="1173"/>
      <c r="C173" s="1173"/>
      <c r="D173" s="1173"/>
      <c r="E173" s="1173"/>
      <c r="F173" s="1173"/>
      <c r="G173" s="1173"/>
      <c r="H173" s="1173"/>
      <c r="I173" s="1173"/>
      <c r="J173" s="1173"/>
      <c r="K173" s="1173"/>
      <c r="L173" s="1173"/>
      <c r="M173" s="1173"/>
      <c r="N173" s="1173"/>
      <c r="O173" s="1173"/>
      <c r="P173" s="1173"/>
    </row>
    <row r="174">
      <c r="A174" s="1173"/>
      <c r="B174" s="1173"/>
      <c r="C174" s="1173"/>
      <c r="D174" s="1173"/>
      <c r="E174" s="1173"/>
      <c r="F174" s="1173"/>
      <c r="G174" s="1173"/>
      <c r="H174" s="1173"/>
      <c r="I174" s="1173"/>
      <c r="J174" s="1173"/>
      <c r="K174" s="1173"/>
      <c r="L174" s="1173"/>
      <c r="M174" s="1173"/>
      <c r="N174" s="1173"/>
      <c r="O174" s="1173"/>
      <c r="P174" s="1173"/>
    </row>
    <row r="175">
      <c r="A175" s="1173"/>
      <c r="B175" s="1173"/>
      <c r="C175" s="1173"/>
      <c r="D175" s="1173"/>
      <c r="E175" s="1173"/>
      <c r="F175" s="1173"/>
      <c r="G175" s="1173"/>
      <c r="H175" s="1173"/>
      <c r="I175" s="1173"/>
      <c r="J175" s="1173"/>
      <c r="K175" s="1173"/>
      <c r="L175" s="1173"/>
      <c r="M175" s="1173"/>
      <c r="N175" s="1173"/>
      <c r="O175" s="1173"/>
      <c r="P175" s="1173"/>
    </row>
    <row r="176">
      <c r="A176" s="1173"/>
      <c r="B176" s="1173"/>
      <c r="C176" s="1173"/>
      <c r="D176" s="1173"/>
      <c r="E176" s="1173"/>
      <c r="F176" s="1173"/>
      <c r="G176" s="1173"/>
      <c r="H176" s="1173"/>
      <c r="I176" s="1173"/>
      <c r="J176" s="1173"/>
      <c r="K176" s="1173"/>
      <c r="L176" s="1173"/>
      <c r="M176" s="1173"/>
      <c r="N176" s="1173"/>
      <c r="O176" s="1173"/>
      <c r="P176" s="1173"/>
    </row>
    <row r="177">
      <c r="A177" s="1173"/>
      <c r="B177" s="1173"/>
      <c r="C177" s="1173"/>
      <c r="D177" s="1173"/>
      <c r="E177" s="1173"/>
      <c r="F177" s="1173"/>
      <c r="G177" s="1173"/>
      <c r="H177" s="1173"/>
      <c r="I177" s="1173"/>
      <c r="J177" s="1173"/>
      <c r="K177" s="1173"/>
      <c r="L177" s="1173"/>
      <c r="M177" s="1173"/>
      <c r="N177" s="1173"/>
      <c r="O177" s="1173"/>
      <c r="P177" s="1173"/>
    </row>
    <row r="178">
      <c r="A178" s="1173"/>
      <c r="B178" s="1173"/>
      <c r="C178" s="1173"/>
      <c r="D178" s="1173"/>
      <c r="E178" s="1173"/>
      <c r="F178" s="1173"/>
      <c r="G178" s="1173"/>
      <c r="H178" s="1173"/>
      <c r="I178" s="1173"/>
      <c r="J178" s="1173"/>
      <c r="K178" s="1173"/>
      <c r="L178" s="1173"/>
      <c r="M178" s="1173"/>
      <c r="N178" s="1173"/>
      <c r="O178" s="1173"/>
      <c r="P178" s="1173"/>
    </row>
    <row r="179">
      <c r="A179" s="1173"/>
      <c r="B179" s="1173"/>
      <c r="C179" s="1173"/>
      <c r="D179" s="1173"/>
      <c r="E179" s="1173"/>
      <c r="F179" s="1173"/>
      <c r="G179" s="1173"/>
      <c r="H179" s="1173"/>
      <c r="I179" s="1173"/>
      <c r="J179" s="1173"/>
      <c r="K179" s="1173"/>
      <c r="L179" s="1173"/>
      <c r="M179" s="1173"/>
      <c r="N179" s="1173"/>
      <c r="O179" s="1173"/>
      <c r="P179" s="1173"/>
    </row>
    <row r="180">
      <c r="A180" s="1173"/>
      <c r="B180" s="1173"/>
      <c r="C180" s="1173"/>
      <c r="D180" s="1173"/>
      <c r="E180" s="1173"/>
      <c r="F180" s="1173"/>
      <c r="G180" s="1173"/>
      <c r="H180" s="1173"/>
      <c r="I180" s="1173"/>
      <c r="J180" s="1173"/>
      <c r="K180" s="1173"/>
      <c r="L180" s="1173"/>
      <c r="M180" s="1173"/>
      <c r="N180" s="1173"/>
      <c r="O180" s="1173"/>
      <c r="P180" s="1173"/>
    </row>
    <row r="181">
      <c r="A181" s="1173"/>
      <c r="B181" s="1173"/>
      <c r="C181" s="1173"/>
      <c r="D181" s="1173"/>
      <c r="E181" s="1173"/>
      <c r="F181" s="1173"/>
      <c r="G181" s="1173"/>
      <c r="H181" s="1173"/>
      <c r="I181" s="1173"/>
      <c r="J181" s="1173"/>
      <c r="K181" s="1173"/>
      <c r="L181" s="1173"/>
      <c r="M181" s="1173"/>
      <c r="N181" s="1173"/>
      <c r="O181" s="1173"/>
      <c r="P181" s="1173"/>
    </row>
    <row r="182">
      <c r="A182" s="1173"/>
      <c r="B182" s="1173"/>
      <c r="C182" s="1173"/>
      <c r="D182" s="1173"/>
      <c r="E182" s="1173"/>
      <c r="F182" s="1173"/>
      <c r="G182" s="1173"/>
      <c r="H182" s="1173"/>
      <c r="I182" s="1173"/>
      <c r="J182" s="1173"/>
      <c r="K182" s="1173"/>
      <c r="L182" s="1173"/>
      <c r="M182" s="1173"/>
      <c r="N182" s="1173"/>
      <c r="O182" s="1173"/>
      <c r="P182" s="1173"/>
    </row>
    <row r="183">
      <c r="A183" s="1173"/>
      <c r="B183" s="1173"/>
      <c r="C183" s="1173"/>
      <c r="D183" s="1173"/>
      <c r="E183" s="1173"/>
      <c r="F183" s="1173"/>
      <c r="G183" s="1173"/>
      <c r="H183" s="1173"/>
      <c r="I183" s="1173"/>
      <c r="J183" s="1173"/>
      <c r="K183" s="1173"/>
      <c r="L183" s="1173"/>
      <c r="M183" s="1173"/>
      <c r="N183" s="1173"/>
      <c r="O183" s="1173"/>
      <c r="P183" s="1173"/>
    </row>
    <row r="184">
      <c r="A184" s="1173"/>
      <c r="B184" s="1173"/>
      <c r="C184" s="1173"/>
      <c r="D184" s="1173"/>
      <c r="E184" s="1173"/>
      <c r="F184" s="1173"/>
      <c r="G184" s="1173"/>
      <c r="H184" s="1173"/>
      <c r="I184" s="1173"/>
      <c r="J184" s="1173"/>
      <c r="K184" s="1173"/>
      <c r="L184" s="1173"/>
      <c r="M184" s="1173"/>
      <c r="N184" s="1173"/>
      <c r="O184" s="1173"/>
      <c r="P184" s="1173"/>
    </row>
    <row r="185">
      <c r="A185" s="1173"/>
      <c r="B185" s="1173"/>
      <c r="C185" s="1173"/>
      <c r="D185" s="1173"/>
      <c r="E185" s="1173"/>
      <c r="F185" s="1173"/>
      <c r="G185" s="1173"/>
      <c r="H185" s="1173"/>
      <c r="I185" s="1173"/>
      <c r="J185" s="1173"/>
      <c r="K185" s="1173"/>
      <c r="L185" s="1173"/>
      <c r="M185" s="1173"/>
      <c r="N185" s="1173"/>
      <c r="O185" s="1173"/>
      <c r="P185" s="1173"/>
    </row>
    <row r="186">
      <c r="A186" s="1173"/>
      <c r="B186" s="1173"/>
      <c r="C186" s="1173"/>
      <c r="D186" s="1173"/>
      <c r="E186" s="1173"/>
      <c r="F186" s="1173"/>
      <c r="G186" s="1173"/>
      <c r="H186" s="1173"/>
      <c r="I186" s="1173"/>
      <c r="J186" s="1173"/>
      <c r="K186" s="1173"/>
      <c r="L186" s="1173"/>
      <c r="M186" s="1173"/>
      <c r="N186" s="1173"/>
      <c r="O186" s="1173"/>
      <c r="P186" s="1173"/>
    </row>
    <row r="187">
      <c r="A187" s="1173"/>
      <c r="B187" s="1173"/>
      <c r="C187" s="1173"/>
      <c r="D187" s="1173"/>
      <c r="E187" s="1173"/>
      <c r="F187" s="1173"/>
      <c r="G187" s="1173"/>
      <c r="H187" s="1173"/>
      <c r="I187" s="1173"/>
      <c r="J187" s="1173"/>
      <c r="K187" s="1173"/>
      <c r="L187" s="1173"/>
      <c r="M187" s="1173"/>
      <c r="N187" s="1173"/>
      <c r="O187" s="1173"/>
      <c r="P187" s="1173"/>
    </row>
    <row r="188">
      <c r="A188" s="1173"/>
      <c r="B188" s="1173"/>
      <c r="C188" s="1173"/>
      <c r="D188" s="1173"/>
      <c r="E188" s="1173"/>
      <c r="F188" s="1173"/>
      <c r="G188" s="1173"/>
      <c r="H188" s="1173"/>
      <c r="I188" s="1173"/>
      <c r="J188" s="1173"/>
      <c r="K188" s="1173"/>
      <c r="L188" s="1173"/>
      <c r="M188" s="1173"/>
      <c r="N188" s="1173"/>
      <c r="O188" s="1173"/>
      <c r="P188" s="1173"/>
    </row>
    <row r="189">
      <c r="A189" s="1173"/>
      <c r="B189" s="1173"/>
      <c r="C189" s="1173"/>
      <c r="D189" s="1173"/>
      <c r="E189" s="1173"/>
      <c r="F189" s="1173"/>
      <c r="G189" s="1173"/>
      <c r="H189" s="1173"/>
      <c r="I189" s="1173"/>
      <c r="J189" s="1173"/>
      <c r="K189" s="1173"/>
      <c r="L189" s="1173"/>
      <c r="M189" s="1173"/>
      <c r="N189" s="1173"/>
      <c r="O189" s="1173"/>
      <c r="P189" s="1173"/>
    </row>
    <row r="190">
      <c r="A190" s="1173"/>
      <c r="B190" s="1173"/>
      <c r="C190" s="1173"/>
      <c r="D190" s="1173"/>
      <c r="E190" s="1173"/>
      <c r="F190" s="1173"/>
      <c r="G190" s="1173"/>
      <c r="H190" s="1173"/>
      <c r="I190" s="1173"/>
      <c r="J190" s="1173"/>
      <c r="K190" s="1173"/>
      <c r="L190" s="1173"/>
      <c r="M190" s="1173"/>
      <c r="N190" s="1173"/>
      <c r="O190" s="1173"/>
      <c r="P190" s="1173"/>
    </row>
    <row r="191">
      <c r="A191" s="1173"/>
      <c r="B191" s="1173"/>
      <c r="C191" s="1173"/>
      <c r="D191" s="1173"/>
      <c r="E191" s="1173"/>
      <c r="F191" s="1173"/>
      <c r="G191" s="1173"/>
      <c r="H191" s="1173"/>
      <c r="I191" s="1173"/>
      <c r="J191" s="1173"/>
      <c r="K191" s="1173"/>
      <c r="L191" s="1173"/>
      <c r="M191" s="1173"/>
      <c r="N191" s="1173"/>
      <c r="O191" s="1173"/>
      <c r="P191" s="1173"/>
    </row>
    <row r="192">
      <c r="A192" s="1173"/>
      <c r="B192" s="1173"/>
      <c r="C192" s="1173"/>
      <c r="D192" s="1173"/>
      <c r="E192" s="1173"/>
      <c r="F192" s="1173"/>
      <c r="G192" s="1173"/>
      <c r="H192" s="1173"/>
      <c r="I192" s="1173"/>
      <c r="J192" s="1173"/>
      <c r="K192" s="1173"/>
      <c r="L192" s="1173"/>
      <c r="M192" s="1173"/>
      <c r="N192" s="1173"/>
      <c r="O192" s="1173"/>
      <c r="P192" s="1173"/>
    </row>
    <row r="193">
      <c r="A193" s="1173"/>
      <c r="B193" s="1173"/>
      <c r="C193" s="1173"/>
      <c r="D193" s="1173"/>
      <c r="E193" s="1173"/>
      <c r="F193" s="1173"/>
      <c r="G193" s="1173"/>
      <c r="H193" s="1173"/>
      <c r="I193" s="1173"/>
      <c r="J193" s="1173"/>
      <c r="K193" s="1173"/>
      <c r="L193" s="1173"/>
      <c r="M193" s="1173"/>
      <c r="N193" s="1173"/>
      <c r="O193" s="1173"/>
      <c r="P193" s="1173"/>
    </row>
    <row r="194">
      <c r="A194" s="1173"/>
      <c r="B194" s="1173"/>
      <c r="C194" s="1173"/>
      <c r="D194" s="1173"/>
      <c r="E194" s="1173"/>
      <c r="F194" s="1173"/>
      <c r="G194" s="1173"/>
      <c r="H194" s="1173"/>
      <c r="I194" s="1173"/>
      <c r="J194" s="1173"/>
      <c r="K194" s="1173"/>
      <c r="L194" s="1173"/>
      <c r="M194" s="1173"/>
      <c r="N194" s="1173"/>
      <c r="O194" s="1173"/>
      <c r="P194" s="1173"/>
    </row>
    <row r="195">
      <c r="A195" s="1173"/>
      <c r="B195" s="1173"/>
      <c r="C195" s="1173"/>
      <c r="D195" s="1173"/>
      <c r="E195" s="1173"/>
      <c r="F195" s="1173"/>
      <c r="G195" s="1173"/>
      <c r="H195" s="1173"/>
      <c r="I195" s="1173"/>
      <c r="J195" s="1173"/>
      <c r="K195" s="1173"/>
      <c r="L195" s="1173"/>
      <c r="M195" s="1173"/>
      <c r="N195" s="1173"/>
      <c r="O195" s="1173"/>
      <c r="P195" s="1173"/>
    </row>
    <row r="196">
      <c r="A196" s="1173"/>
      <c r="B196" s="1173"/>
      <c r="C196" s="1173"/>
      <c r="D196" s="1173"/>
      <c r="E196" s="1173"/>
      <c r="F196" s="1173"/>
      <c r="G196" s="1173"/>
      <c r="H196" s="1173"/>
      <c r="I196" s="1173"/>
      <c r="J196" s="1173"/>
      <c r="K196" s="1173"/>
      <c r="L196" s="1173"/>
      <c r="M196" s="1173"/>
      <c r="N196" s="1173"/>
      <c r="O196" s="1173"/>
      <c r="P196" s="1173"/>
    </row>
    <row r="197">
      <c r="A197" s="1173"/>
      <c r="B197" s="1173"/>
      <c r="C197" s="1173"/>
      <c r="D197" s="1173"/>
      <c r="E197" s="1173"/>
      <c r="F197" s="1173"/>
      <c r="G197" s="1173"/>
      <c r="H197" s="1173"/>
      <c r="I197" s="1173"/>
      <c r="J197" s="1173"/>
      <c r="K197" s="1173"/>
      <c r="L197" s="1173"/>
      <c r="M197" s="1173"/>
      <c r="N197" s="1173"/>
      <c r="O197" s="1173"/>
      <c r="P197" s="1173"/>
    </row>
    <row r="198">
      <c r="A198" s="1173"/>
      <c r="B198" s="1173"/>
      <c r="C198" s="1173"/>
      <c r="D198" s="1173"/>
      <c r="E198" s="1173"/>
      <c r="F198" s="1173"/>
      <c r="G198" s="1173"/>
      <c r="H198" s="1173"/>
      <c r="I198" s="1173"/>
      <c r="J198" s="1173"/>
      <c r="K198" s="1173"/>
      <c r="L198" s="1173"/>
      <c r="M198" s="1173"/>
      <c r="N198" s="1173"/>
      <c r="O198" s="1173"/>
      <c r="P198" s="1173"/>
    </row>
    <row r="199">
      <c r="A199" s="1173"/>
      <c r="B199" s="1173"/>
      <c r="C199" s="1173"/>
      <c r="D199" s="1173"/>
      <c r="E199" s="1173"/>
      <c r="F199" s="1173"/>
      <c r="G199" s="1173"/>
      <c r="H199" s="1173"/>
      <c r="I199" s="1173"/>
      <c r="J199" s="1173"/>
      <c r="K199" s="1173"/>
      <c r="L199" s="1173"/>
      <c r="M199" s="1173"/>
      <c r="N199" s="1173"/>
      <c r="O199" s="1173"/>
      <c r="P199" s="1173"/>
    </row>
    <row r="200">
      <c r="A200" s="1173"/>
      <c r="B200" s="1173"/>
      <c r="C200" s="1173"/>
      <c r="D200" s="1173"/>
      <c r="E200" s="1173"/>
      <c r="F200" s="1173"/>
      <c r="G200" s="1173"/>
      <c r="H200" s="1173"/>
      <c r="I200" s="1173"/>
      <c r="J200" s="1173"/>
      <c r="K200" s="1173"/>
      <c r="L200" s="1173"/>
      <c r="M200" s="1173"/>
      <c r="N200" s="1173"/>
      <c r="O200" s="1173"/>
      <c r="P200" s="1173"/>
    </row>
    <row r="201">
      <c r="A201" s="1173"/>
      <c r="B201" s="1173"/>
      <c r="C201" s="1173"/>
      <c r="D201" s="1173"/>
      <c r="E201" s="1173"/>
      <c r="F201" s="1173"/>
      <c r="G201" s="1173"/>
      <c r="H201" s="1173"/>
      <c r="I201" s="1173"/>
      <c r="J201" s="1173"/>
      <c r="K201" s="1173"/>
      <c r="L201" s="1173"/>
      <c r="M201" s="1173"/>
      <c r="N201" s="1173"/>
      <c r="O201" s="1173"/>
      <c r="P201" s="1173"/>
    </row>
    <row r="202">
      <c r="A202" s="1173"/>
      <c r="B202" s="1173"/>
      <c r="C202" s="1173"/>
      <c r="D202" s="1173"/>
      <c r="E202" s="1173"/>
      <c r="F202" s="1173"/>
      <c r="G202" s="1173"/>
      <c r="H202" s="1173"/>
      <c r="I202" s="1173"/>
      <c r="J202" s="1173"/>
      <c r="K202" s="1173"/>
      <c r="L202" s="1173"/>
      <c r="M202" s="1173"/>
      <c r="N202" s="1173"/>
      <c r="O202" s="1173"/>
      <c r="P202" s="1173"/>
    </row>
    <row r="203">
      <c r="A203" s="1173"/>
      <c r="B203" s="1173"/>
      <c r="C203" s="1173"/>
      <c r="D203" s="1173"/>
      <c r="E203" s="1173"/>
      <c r="F203" s="1173"/>
      <c r="G203" s="1173"/>
      <c r="H203" s="1173"/>
      <c r="I203" s="1173"/>
      <c r="J203" s="1173"/>
      <c r="K203" s="1173"/>
      <c r="L203" s="1173"/>
      <c r="M203" s="1173"/>
      <c r="N203" s="1173"/>
      <c r="O203" s="1173"/>
      <c r="P203" s="1173"/>
    </row>
    <row r="204">
      <c r="A204" s="1173"/>
      <c r="B204" s="1173"/>
      <c r="C204" s="1173"/>
      <c r="D204" s="1173"/>
      <c r="E204" s="1173"/>
      <c r="F204" s="1173"/>
      <c r="G204" s="1173"/>
      <c r="H204" s="1173"/>
      <c r="I204" s="1173"/>
      <c r="J204" s="1173"/>
      <c r="K204" s="1173"/>
      <c r="L204" s="1173"/>
      <c r="M204" s="1173"/>
      <c r="N204" s="1173"/>
      <c r="O204" s="1173"/>
      <c r="P204" s="1173"/>
    </row>
    <row r="205">
      <c r="A205" s="1173"/>
      <c r="B205" s="1173"/>
      <c r="C205" s="1173"/>
      <c r="D205" s="1173"/>
      <c r="E205" s="1173"/>
      <c r="F205" s="1173"/>
      <c r="G205" s="1173"/>
      <c r="H205" s="1173"/>
      <c r="I205" s="1173"/>
      <c r="J205" s="1173"/>
      <c r="K205" s="1173"/>
      <c r="L205" s="1173"/>
      <c r="M205" s="1173"/>
      <c r="N205" s="1173"/>
      <c r="O205" s="1173"/>
      <c r="P205" s="1173"/>
    </row>
    <row r="206">
      <c r="A206" s="1173"/>
      <c r="B206" s="1173"/>
      <c r="C206" s="1173"/>
      <c r="D206" s="1173"/>
      <c r="E206" s="1173"/>
      <c r="F206" s="1173"/>
      <c r="G206" s="1173"/>
      <c r="H206" s="1173"/>
      <c r="I206" s="1173"/>
      <c r="J206" s="1173"/>
      <c r="K206" s="1173"/>
      <c r="L206" s="1173"/>
      <c r="M206" s="1173"/>
      <c r="N206" s="1173"/>
      <c r="O206" s="1173"/>
      <c r="P206" s="1173"/>
    </row>
    <row r="207">
      <c r="A207" s="1173"/>
      <c r="B207" s="1173"/>
      <c r="C207" s="1173"/>
      <c r="D207" s="1173"/>
      <c r="E207" s="1173"/>
      <c r="F207" s="1173"/>
      <c r="G207" s="1173"/>
      <c r="H207" s="1173"/>
      <c r="I207" s="1173"/>
      <c r="J207" s="1173"/>
      <c r="K207" s="1173"/>
      <c r="L207" s="1173"/>
      <c r="M207" s="1173"/>
      <c r="N207" s="1173"/>
      <c r="O207" s="1173"/>
      <c r="P207" s="1173"/>
    </row>
    <row r="208">
      <c r="A208" s="1173"/>
      <c r="B208" s="1173"/>
      <c r="C208" s="1173"/>
      <c r="D208" s="1173"/>
      <c r="E208" s="1173"/>
      <c r="F208" s="1173"/>
      <c r="G208" s="1173"/>
      <c r="H208" s="1173"/>
      <c r="I208" s="1173"/>
      <c r="J208" s="1173"/>
      <c r="K208" s="1173"/>
      <c r="L208" s="1173"/>
      <c r="M208" s="1173"/>
      <c r="N208" s="1173"/>
      <c r="O208" s="1173"/>
      <c r="P208" s="1173"/>
    </row>
    <row r="209">
      <c r="A209" s="1173"/>
      <c r="B209" s="1173"/>
      <c r="C209" s="1173"/>
      <c r="D209" s="1173"/>
      <c r="E209" s="1173"/>
      <c r="F209" s="1173"/>
      <c r="G209" s="1173"/>
      <c r="H209" s="1173"/>
      <c r="I209" s="1173"/>
      <c r="J209" s="1173"/>
      <c r="K209" s="1173"/>
      <c r="L209" s="1173"/>
      <c r="M209" s="1173"/>
      <c r="N209" s="1173"/>
      <c r="O209" s="1173"/>
      <c r="P209" s="1173"/>
    </row>
    <row r="210">
      <c r="A210" s="1173"/>
      <c r="B210" s="1173"/>
      <c r="C210" s="1173"/>
      <c r="D210" s="1173"/>
      <c r="E210" s="1173"/>
      <c r="F210" s="1173"/>
      <c r="G210" s="1173"/>
      <c r="H210" s="1173"/>
      <c r="I210" s="1173"/>
      <c r="J210" s="1173"/>
      <c r="K210" s="1173"/>
      <c r="L210" s="1173"/>
      <c r="M210" s="1173"/>
      <c r="N210" s="1173"/>
      <c r="O210" s="1173"/>
      <c r="P210" s="1173"/>
    </row>
    <row r="211">
      <c r="A211" s="1173"/>
      <c r="B211" s="1173"/>
      <c r="C211" s="1173"/>
      <c r="D211" s="1173"/>
      <c r="E211" s="1173"/>
      <c r="F211" s="1173"/>
      <c r="G211" s="1173"/>
      <c r="H211" s="1173"/>
      <c r="I211" s="1173"/>
      <c r="J211" s="1173"/>
      <c r="K211" s="1173"/>
      <c r="L211" s="1173"/>
      <c r="M211" s="1173"/>
      <c r="N211" s="1173"/>
      <c r="O211" s="1173"/>
      <c r="P211" s="1173"/>
    </row>
    <row r="212">
      <c r="A212" s="1173"/>
      <c r="B212" s="1173"/>
      <c r="C212" s="1173"/>
      <c r="D212" s="1173"/>
      <c r="E212" s="1173"/>
      <c r="F212" s="1173"/>
      <c r="G212" s="1173"/>
      <c r="H212" s="1173"/>
      <c r="I212" s="1173"/>
      <c r="J212" s="1173"/>
      <c r="K212" s="1173"/>
      <c r="L212" s="1173"/>
      <c r="M212" s="1173"/>
      <c r="N212" s="1173"/>
      <c r="O212" s="1173"/>
      <c r="P212" s="1173"/>
    </row>
    <row r="213">
      <c r="A213" s="1173"/>
      <c r="B213" s="1173"/>
      <c r="C213" s="1173"/>
      <c r="D213" s="1173"/>
      <c r="E213" s="1173"/>
      <c r="F213" s="1173"/>
      <c r="G213" s="1173"/>
      <c r="H213" s="1173"/>
      <c r="I213" s="1173"/>
      <c r="J213" s="1173"/>
      <c r="K213" s="1173"/>
      <c r="L213" s="1173"/>
      <c r="M213" s="1173"/>
      <c r="N213" s="1173"/>
      <c r="O213" s="1173"/>
      <c r="P213" s="1173"/>
    </row>
    <row r="214">
      <c r="A214" s="1173"/>
      <c r="B214" s="1173"/>
      <c r="C214" s="1173"/>
      <c r="D214" s="1173"/>
      <c r="E214" s="1173"/>
      <c r="F214" s="1173"/>
      <c r="G214" s="1173"/>
      <c r="H214" s="1173"/>
      <c r="I214" s="1173"/>
      <c r="J214" s="1173"/>
      <c r="K214" s="1173"/>
      <c r="L214" s="1173"/>
      <c r="M214" s="1173"/>
      <c r="N214" s="1173"/>
      <c r="O214" s="1173"/>
      <c r="P214" s="1173"/>
    </row>
    <row r="215">
      <c r="A215" s="1173"/>
      <c r="B215" s="1173"/>
      <c r="C215" s="1173"/>
      <c r="D215" s="1173"/>
      <c r="E215" s="1173"/>
      <c r="F215" s="1173"/>
      <c r="G215" s="1173"/>
      <c r="H215" s="1173"/>
      <c r="I215" s="1173"/>
      <c r="J215" s="1173"/>
      <c r="K215" s="1173"/>
      <c r="L215" s="1173"/>
      <c r="M215" s="1173"/>
      <c r="N215" s="1173"/>
      <c r="O215" s="1173"/>
      <c r="P215" s="1173"/>
    </row>
    <row r="216">
      <c r="A216" s="1173"/>
      <c r="B216" s="1173"/>
      <c r="C216" s="1173"/>
      <c r="D216" s="1173"/>
      <c r="E216" s="1173"/>
      <c r="F216" s="1173"/>
      <c r="G216" s="1173"/>
      <c r="H216" s="1173"/>
      <c r="I216" s="1173"/>
      <c r="J216" s="1173"/>
      <c r="K216" s="1173"/>
      <c r="L216" s="1173"/>
      <c r="M216" s="1173"/>
      <c r="N216" s="1173"/>
      <c r="O216" s="1173"/>
      <c r="P216" s="1173"/>
    </row>
    <row r="217">
      <c r="A217" s="1173"/>
      <c r="B217" s="1173"/>
      <c r="C217" s="1173"/>
      <c r="D217" s="1173"/>
      <c r="E217" s="1173"/>
      <c r="F217" s="1173"/>
      <c r="G217" s="1173"/>
      <c r="H217" s="1173"/>
      <c r="I217" s="1173"/>
      <c r="J217" s="1173"/>
      <c r="K217" s="1173"/>
      <c r="L217" s="1173"/>
      <c r="M217" s="1173"/>
      <c r="N217" s="1173"/>
      <c r="O217" s="1173"/>
      <c r="P217" s="1173"/>
    </row>
    <row r="218">
      <c r="A218" s="1173"/>
      <c r="B218" s="1173"/>
      <c r="C218" s="1173"/>
      <c r="D218" s="1173"/>
      <c r="E218" s="1173"/>
      <c r="F218" s="1173"/>
      <c r="G218" s="1173"/>
      <c r="H218" s="1173"/>
      <c r="I218" s="1173"/>
      <c r="J218" s="1173"/>
      <c r="K218" s="1173"/>
      <c r="L218" s="1173"/>
      <c r="M218" s="1173"/>
      <c r="N218" s="1173"/>
      <c r="O218" s="1173"/>
      <c r="P218" s="1173"/>
    </row>
    <row r="219">
      <c r="A219" s="1173"/>
      <c r="B219" s="1173"/>
      <c r="C219" s="1173"/>
      <c r="D219" s="1173"/>
      <c r="E219" s="1173"/>
      <c r="F219" s="1173"/>
      <c r="G219" s="1173"/>
      <c r="H219" s="1173"/>
      <c r="I219" s="1173"/>
      <c r="J219" s="1173"/>
      <c r="K219" s="1173"/>
      <c r="L219" s="1173"/>
      <c r="M219" s="1173"/>
      <c r="N219" s="1173"/>
      <c r="O219" s="1173"/>
      <c r="P219" s="1173"/>
    </row>
    <row r="220">
      <c r="A220" s="1173"/>
      <c r="B220" s="1173"/>
      <c r="C220" s="1173"/>
      <c r="D220" s="1173"/>
      <c r="E220" s="1173"/>
      <c r="F220" s="1173"/>
      <c r="G220" s="1173"/>
      <c r="H220" s="1173"/>
      <c r="I220" s="1173"/>
      <c r="J220" s="1173"/>
      <c r="K220" s="1173"/>
      <c r="L220" s="1173"/>
      <c r="M220" s="1173"/>
      <c r="N220" s="1173"/>
      <c r="O220" s="1173"/>
      <c r="P220" s="1173"/>
    </row>
    <row r="221">
      <c r="A221" s="1173"/>
      <c r="B221" s="1173"/>
      <c r="C221" s="1173"/>
      <c r="D221" s="1173"/>
      <c r="E221" s="1173"/>
      <c r="F221" s="1173"/>
      <c r="G221" s="1173"/>
      <c r="H221" s="1173"/>
      <c r="I221" s="1173"/>
      <c r="J221" s="1173"/>
      <c r="K221" s="1173"/>
      <c r="L221" s="1173"/>
      <c r="M221" s="1173"/>
      <c r="N221" s="1173"/>
      <c r="O221" s="1173"/>
      <c r="P221" s="1173"/>
    </row>
    <row r="222">
      <c r="A222" s="1173"/>
      <c r="B222" s="1173"/>
      <c r="C222" s="1173"/>
      <c r="D222" s="1173"/>
      <c r="E222" s="1173"/>
      <c r="F222" s="1173"/>
      <c r="G222" s="1173"/>
      <c r="H222" s="1173"/>
      <c r="I222" s="1173"/>
      <c r="J222" s="1173"/>
      <c r="K222" s="1173"/>
      <c r="L222" s="1173"/>
      <c r="M222" s="1173"/>
      <c r="N222" s="1173"/>
      <c r="O222" s="1173"/>
      <c r="P222" s="1173"/>
    </row>
    <row r="223">
      <c r="A223" s="1173"/>
      <c r="B223" s="1173"/>
      <c r="C223" s="1173"/>
      <c r="D223" s="1173"/>
      <c r="E223" s="1173"/>
      <c r="F223" s="1173"/>
      <c r="G223" s="1173"/>
      <c r="H223" s="1173"/>
      <c r="I223" s="1173"/>
      <c r="J223" s="1173"/>
      <c r="K223" s="1173"/>
      <c r="L223" s="1173"/>
      <c r="M223" s="1173"/>
      <c r="N223" s="1173"/>
      <c r="O223" s="1173"/>
      <c r="P223" s="1173"/>
    </row>
    <row r="224">
      <c r="A224" s="1173"/>
      <c r="B224" s="1173"/>
      <c r="C224" s="1173"/>
      <c r="D224" s="1173"/>
      <c r="E224" s="1173"/>
      <c r="F224" s="1173"/>
      <c r="G224" s="1173"/>
      <c r="H224" s="1173"/>
      <c r="I224" s="1173"/>
      <c r="J224" s="1173"/>
      <c r="K224" s="1173"/>
      <c r="L224" s="1173"/>
      <c r="M224" s="1173"/>
      <c r="N224" s="1173"/>
      <c r="O224" s="1173"/>
      <c r="P224" s="1173"/>
    </row>
    <row r="225">
      <c r="A225" s="1173"/>
      <c r="B225" s="1173"/>
      <c r="C225" s="1173"/>
      <c r="D225" s="1173"/>
      <c r="E225" s="1173"/>
      <c r="F225" s="1173"/>
      <c r="G225" s="1173"/>
      <c r="H225" s="1173"/>
      <c r="I225" s="1173"/>
      <c r="J225" s="1173"/>
      <c r="K225" s="1173"/>
      <c r="L225" s="1173"/>
      <c r="M225" s="1173"/>
      <c r="N225" s="1173"/>
      <c r="O225" s="1173"/>
      <c r="P225" s="1173"/>
    </row>
    <row r="226">
      <c r="A226" s="1173"/>
      <c r="B226" s="1173"/>
      <c r="C226" s="1173"/>
      <c r="D226" s="1173"/>
      <c r="E226" s="1173"/>
      <c r="F226" s="1173"/>
      <c r="G226" s="1173"/>
      <c r="H226" s="1173"/>
      <c r="I226" s="1173"/>
      <c r="J226" s="1173"/>
      <c r="K226" s="1173"/>
      <c r="L226" s="1173"/>
      <c r="M226" s="1173"/>
      <c r="N226" s="1173"/>
      <c r="O226" s="1173"/>
      <c r="P226" s="1173"/>
    </row>
    <row r="227">
      <c r="A227" s="1173"/>
      <c r="B227" s="1173"/>
      <c r="C227" s="1173"/>
      <c r="D227" s="1173"/>
      <c r="E227" s="1173"/>
      <c r="F227" s="1173"/>
      <c r="G227" s="1173"/>
      <c r="H227" s="1173"/>
      <c r="I227" s="1173"/>
      <c r="J227" s="1173"/>
      <c r="K227" s="1173"/>
      <c r="L227" s="1173"/>
      <c r="M227" s="1173"/>
      <c r="N227" s="1173"/>
      <c r="O227" s="1173"/>
      <c r="P227" s="1173"/>
    </row>
    <row r="228">
      <c r="A228" s="1173"/>
      <c r="B228" s="1173"/>
      <c r="C228" s="1173"/>
      <c r="D228" s="1173"/>
      <c r="E228" s="1173"/>
      <c r="F228" s="1173"/>
      <c r="G228" s="1173"/>
      <c r="H228" s="1173"/>
      <c r="I228" s="1173"/>
      <c r="J228" s="1173"/>
      <c r="K228" s="1173"/>
      <c r="L228" s="1173"/>
      <c r="M228" s="1173"/>
      <c r="N228" s="1173"/>
      <c r="O228" s="1173"/>
      <c r="P228" s="1173"/>
    </row>
    <row r="229">
      <c r="A229" s="1173"/>
      <c r="B229" s="1173"/>
      <c r="C229" s="1173"/>
      <c r="D229" s="1173"/>
      <c r="E229" s="1173"/>
      <c r="F229" s="1173"/>
      <c r="G229" s="1173"/>
      <c r="H229" s="1173"/>
      <c r="I229" s="1173"/>
      <c r="J229" s="1173"/>
      <c r="K229" s="1173"/>
      <c r="L229" s="1173"/>
      <c r="M229" s="1173"/>
      <c r="N229" s="1173"/>
      <c r="O229" s="1173"/>
      <c r="P229" s="1173"/>
    </row>
    <row r="230">
      <c r="A230" s="1173"/>
      <c r="B230" s="1173"/>
      <c r="C230" s="1173"/>
      <c r="D230" s="1173"/>
      <c r="E230" s="1173"/>
      <c r="F230" s="1173"/>
      <c r="G230" s="1173"/>
      <c r="H230" s="1173"/>
      <c r="I230" s="1173"/>
      <c r="J230" s="1173"/>
      <c r="K230" s="1173"/>
      <c r="L230" s="1173"/>
      <c r="M230" s="1173"/>
      <c r="N230" s="1173"/>
      <c r="O230" s="1173"/>
      <c r="P230" s="1173"/>
    </row>
    <row r="231">
      <c r="A231" s="1173"/>
      <c r="B231" s="1173"/>
      <c r="C231" s="1173"/>
      <c r="D231" s="1173"/>
      <c r="E231" s="1173"/>
      <c r="F231" s="1173"/>
      <c r="G231" s="1173"/>
      <c r="H231" s="1173"/>
      <c r="I231" s="1173"/>
      <c r="J231" s="1173"/>
      <c r="K231" s="1173"/>
      <c r="L231" s="1173"/>
      <c r="M231" s="1173"/>
      <c r="N231" s="1173"/>
      <c r="O231" s="1173"/>
      <c r="P231" s="1173"/>
    </row>
    <row r="232">
      <c r="A232" s="1173"/>
      <c r="B232" s="1173"/>
      <c r="C232" s="1173"/>
      <c r="D232" s="1173"/>
      <c r="E232" s="1173"/>
      <c r="F232" s="1173"/>
      <c r="G232" s="1173"/>
      <c r="H232" s="1173"/>
      <c r="I232" s="1173"/>
      <c r="J232" s="1173"/>
      <c r="K232" s="1173"/>
      <c r="L232" s="1173"/>
      <c r="M232" s="1173"/>
      <c r="N232" s="1173"/>
      <c r="O232" s="1173"/>
      <c r="P232" s="1173"/>
    </row>
    <row r="233">
      <c r="A233" s="1173"/>
      <c r="B233" s="1173"/>
      <c r="C233" s="1173"/>
      <c r="D233" s="1173"/>
      <c r="E233" s="1173"/>
      <c r="F233" s="1173"/>
      <c r="G233" s="1173"/>
      <c r="H233" s="1173"/>
      <c r="I233" s="1173"/>
      <c r="J233" s="1173"/>
      <c r="K233" s="1173"/>
      <c r="L233" s="1173"/>
      <c r="M233" s="1173"/>
      <c r="N233" s="1173"/>
      <c r="O233" s="1173"/>
      <c r="P233" s="1173"/>
    </row>
    <row r="234">
      <c r="A234" s="1173"/>
      <c r="B234" s="1173"/>
      <c r="C234" s="1173"/>
      <c r="D234" s="1173"/>
      <c r="E234" s="1173"/>
      <c r="F234" s="1173"/>
      <c r="G234" s="1173"/>
      <c r="H234" s="1173"/>
      <c r="I234" s="1173"/>
      <c r="J234" s="1173"/>
      <c r="K234" s="1173"/>
      <c r="L234" s="1173"/>
      <c r="M234" s="1173"/>
      <c r="N234" s="1173"/>
      <c r="O234" s="1173"/>
      <c r="P234" s="1173"/>
    </row>
    <row r="235">
      <c r="A235" s="1173"/>
      <c r="B235" s="1173"/>
      <c r="C235" s="1173"/>
      <c r="D235" s="1173"/>
      <c r="E235" s="1173"/>
      <c r="F235" s="1173"/>
      <c r="G235" s="1173"/>
      <c r="H235" s="1173"/>
      <c r="I235" s="1173"/>
      <c r="J235" s="1173"/>
      <c r="K235" s="1173"/>
      <c r="L235" s="1173"/>
      <c r="M235" s="1173"/>
      <c r="N235" s="1173"/>
      <c r="O235" s="1173"/>
      <c r="P235" s="1173"/>
    </row>
    <row r="236">
      <c r="A236" s="1173"/>
      <c r="B236" s="1173"/>
      <c r="C236" s="1173"/>
      <c r="D236" s="1173"/>
      <c r="E236" s="1173"/>
      <c r="F236" s="1173"/>
      <c r="G236" s="1173"/>
      <c r="H236" s="1173"/>
      <c r="I236" s="1173"/>
      <c r="J236" s="1173"/>
      <c r="K236" s="1173"/>
      <c r="L236" s="1173"/>
      <c r="M236" s="1173"/>
      <c r="N236" s="1173"/>
      <c r="O236" s="1173"/>
      <c r="P236" s="1173"/>
    </row>
    <row r="237">
      <c r="A237" s="1173"/>
      <c r="B237" s="1173"/>
      <c r="C237" s="1173"/>
      <c r="D237" s="1173"/>
      <c r="E237" s="1173"/>
      <c r="F237" s="1173"/>
      <c r="G237" s="1173"/>
      <c r="H237" s="1173"/>
      <c r="I237" s="1173"/>
      <c r="J237" s="1173"/>
      <c r="K237" s="1173"/>
      <c r="L237" s="1173"/>
      <c r="M237" s="1173"/>
      <c r="N237" s="1173"/>
      <c r="O237" s="1173"/>
      <c r="P237" s="1173"/>
    </row>
    <row r="238">
      <c r="A238" s="1173"/>
      <c r="B238" s="1173"/>
      <c r="C238" s="1173"/>
      <c r="D238" s="1173"/>
      <c r="E238" s="1173"/>
      <c r="F238" s="1173"/>
      <c r="G238" s="1173"/>
      <c r="H238" s="1173"/>
      <c r="I238" s="1173"/>
      <c r="J238" s="1173"/>
      <c r="K238" s="1173"/>
      <c r="L238" s="1173"/>
      <c r="M238" s="1173"/>
      <c r="N238" s="1173"/>
      <c r="O238" s="1173"/>
      <c r="P238" s="1173"/>
    </row>
    <row r="239">
      <c r="A239" s="1173"/>
      <c r="B239" s="1173"/>
      <c r="C239" s="1173"/>
      <c r="D239" s="1173"/>
      <c r="E239" s="1173"/>
      <c r="F239" s="1173"/>
      <c r="G239" s="1173"/>
      <c r="H239" s="1173"/>
      <c r="I239" s="1173"/>
      <c r="J239" s="1173"/>
      <c r="K239" s="1173"/>
      <c r="L239" s="1173"/>
      <c r="M239" s="1173"/>
      <c r="N239" s="1173"/>
      <c r="O239" s="1173"/>
      <c r="P239" s="1173"/>
    </row>
    <row r="240">
      <c r="A240" s="1173"/>
      <c r="B240" s="1173"/>
      <c r="C240" s="1173"/>
      <c r="D240" s="1173"/>
      <c r="E240" s="1173"/>
      <c r="F240" s="1173"/>
      <c r="G240" s="1173"/>
      <c r="H240" s="1173"/>
      <c r="I240" s="1173"/>
      <c r="J240" s="1173"/>
      <c r="K240" s="1173"/>
      <c r="L240" s="1173"/>
      <c r="M240" s="1173"/>
      <c r="N240" s="1173"/>
      <c r="O240" s="1173"/>
      <c r="P240" s="1173"/>
    </row>
    <row r="241">
      <c r="A241" s="1173"/>
      <c r="B241" s="1173"/>
      <c r="C241" s="1173"/>
      <c r="D241" s="1173"/>
      <c r="E241" s="1173"/>
      <c r="F241" s="1173"/>
      <c r="G241" s="1173"/>
      <c r="H241" s="1173"/>
      <c r="I241" s="1173"/>
      <c r="J241" s="1173"/>
      <c r="K241" s="1173"/>
      <c r="L241" s="1173"/>
      <c r="M241" s="1173"/>
      <c r="N241" s="1173"/>
      <c r="O241" s="1173"/>
      <c r="P241" s="1173"/>
    </row>
    <row r="242">
      <c r="A242" s="1173"/>
      <c r="B242" s="1173"/>
      <c r="C242" s="1173"/>
      <c r="D242" s="1173"/>
      <c r="E242" s="1173"/>
      <c r="F242" s="1173"/>
      <c r="G242" s="1173"/>
      <c r="H242" s="1173"/>
      <c r="I242" s="1173"/>
      <c r="J242" s="1173"/>
      <c r="K242" s="1173"/>
      <c r="L242" s="1173"/>
      <c r="M242" s="1173"/>
      <c r="N242" s="1173"/>
      <c r="O242" s="1173"/>
      <c r="P242" s="1173"/>
    </row>
    <row r="243">
      <c r="A243" s="1173"/>
      <c r="B243" s="1173"/>
      <c r="C243" s="1173"/>
      <c r="D243" s="1173"/>
      <c r="E243" s="1173"/>
      <c r="F243" s="1173"/>
      <c r="G243" s="1173"/>
      <c r="H243" s="1173"/>
      <c r="I243" s="1173"/>
      <c r="J243" s="1173"/>
      <c r="K243" s="1173"/>
      <c r="L243" s="1173"/>
      <c r="M243" s="1173"/>
      <c r="N243" s="1173"/>
      <c r="O243" s="1173"/>
      <c r="P243" s="1173"/>
    </row>
    <row r="244">
      <c r="A244" s="1173"/>
      <c r="B244" s="1173"/>
      <c r="C244" s="1173"/>
      <c r="D244" s="1173"/>
      <c r="E244" s="1173"/>
      <c r="F244" s="1173"/>
      <c r="G244" s="1173"/>
      <c r="H244" s="1173"/>
      <c r="I244" s="1173"/>
      <c r="J244" s="1173"/>
      <c r="K244" s="1173"/>
      <c r="L244" s="1173"/>
      <c r="M244" s="1173"/>
      <c r="N244" s="1173"/>
      <c r="O244" s="1173"/>
      <c r="P244" s="1173"/>
    </row>
    <row r="245">
      <c r="A245" s="1173"/>
      <c r="B245" s="1173"/>
      <c r="C245" s="1173"/>
      <c r="D245" s="1173"/>
      <c r="E245" s="1173"/>
      <c r="F245" s="1173"/>
      <c r="G245" s="1173"/>
      <c r="H245" s="1173"/>
      <c r="I245" s="1173"/>
      <c r="J245" s="1173"/>
      <c r="K245" s="1173"/>
      <c r="L245" s="1173"/>
      <c r="M245" s="1173"/>
      <c r="N245" s="1173"/>
      <c r="O245" s="1173"/>
      <c r="P245" s="1173"/>
    </row>
    <row r="246">
      <c r="A246" s="1173"/>
      <c r="B246" s="1173"/>
      <c r="C246" s="1173"/>
      <c r="D246" s="1173"/>
      <c r="E246" s="1173"/>
      <c r="F246" s="1173"/>
      <c r="G246" s="1173"/>
      <c r="H246" s="1173"/>
      <c r="I246" s="1173"/>
      <c r="J246" s="1173"/>
      <c r="K246" s="1173"/>
      <c r="L246" s="1173"/>
      <c r="M246" s="1173"/>
      <c r="N246" s="1173"/>
      <c r="O246" s="1173"/>
      <c r="P246" s="1173"/>
    </row>
    <row r="247">
      <c r="A247" s="1173"/>
      <c r="B247" s="1173"/>
      <c r="C247" s="1173"/>
      <c r="D247" s="1173"/>
      <c r="E247" s="1173"/>
      <c r="F247" s="1173"/>
      <c r="G247" s="1173"/>
      <c r="H247" s="1173"/>
      <c r="I247" s="1173"/>
      <c r="J247" s="1173"/>
      <c r="K247" s="1173"/>
      <c r="L247" s="1173"/>
      <c r="M247" s="1173"/>
      <c r="N247" s="1173"/>
      <c r="O247" s="1173"/>
      <c r="P247" s="1173"/>
    </row>
    <row r="248">
      <c r="A248" s="1173"/>
      <c r="B248" s="1173"/>
      <c r="C248" s="1173"/>
      <c r="D248" s="1173"/>
      <c r="E248" s="1173"/>
      <c r="F248" s="1173"/>
      <c r="G248" s="1173"/>
      <c r="H248" s="1173"/>
      <c r="I248" s="1173"/>
      <c r="J248" s="1173"/>
      <c r="K248" s="1173"/>
      <c r="L248" s="1173"/>
      <c r="M248" s="1173"/>
      <c r="N248" s="1173"/>
      <c r="O248" s="1173"/>
      <c r="P248" s="1173"/>
    </row>
    <row r="249">
      <c r="A249" s="1173"/>
      <c r="B249" s="1173"/>
      <c r="C249" s="1173"/>
      <c r="D249" s="1173"/>
      <c r="E249" s="1173"/>
      <c r="F249" s="1173"/>
      <c r="G249" s="1173"/>
      <c r="H249" s="1173"/>
      <c r="I249" s="1173"/>
      <c r="J249" s="1173"/>
      <c r="K249" s="1173"/>
      <c r="L249" s="1173"/>
      <c r="M249" s="1173"/>
      <c r="N249" s="1173"/>
      <c r="O249" s="1173"/>
      <c r="P249" s="1173"/>
    </row>
    <row r="250">
      <c r="A250" s="1173"/>
      <c r="B250" s="1173"/>
      <c r="C250" s="1173"/>
      <c r="D250" s="1173"/>
      <c r="E250" s="1173"/>
      <c r="F250" s="1173"/>
      <c r="G250" s="1173"/>
      <c r="H250" s="1173"/>
      <c r="I250" s="1173"/>
      <c r="J250" s="1173"/>
      <c r="K250" s="1173"/>
      <c r="L250" s="1173"/>
      <c r="M250" s="1173"/>
      <c r="N250" s="1173"/>
      <c r="O250" s="1173"/>
      <c r="P250" s="1173"/>
    </row>
    <row r="251">
      <c r="A251" s="1173"/>
      <c r="B251" s="1173"/>
      <c r="C251" s="1173"/>
      <c r="D251" s="1173"/>
      <c r="E251" s="1173"/>
      <c r="F251" s="1173"/>
      <c r="G251" s="1173"/>
      <c r="H251" s="1173"/>
      <c r="I251" s="1173"/>
      <c r="J251" s="1173"/>
      <c r="K251" s="1173"/>
      <c r="L251" s="1173"/>
      <c r="M251" s="1173"/>
      <c r="N251" s="1173"/>
      <c r="O251" s="1173"/>
      <c r="P251" s="1173"/>
    </row>
    <row r="252">
      <c r="A252" s="1173"/>
      <c r="B252" s="1173"/>
      <c r="C252" s="1173"/>
      <c r="D252" s="1173"/>
      <c r="E252" s="1173"/>
      <c r="F252" s="1173"/>
      <c r="G252" s="1173"/>
      <c r="H252" s="1173"/>
      <c r="I252" s="1173"/>
      <c r="J252" s="1173"/>
      <c r="K252" s="1173"/>
      <c r="L252" s="1173"/>
      <c r="M252" s="1173"/>
      <c r="N252" s="1173"/>
      <c r="O252" s="1173"/>
      <c r="P252" s="1173"/>
    </row>
    <row r="253">
      <c r="A253" s="1173"/>
      <c r="B253" s="1173"/>
      <c r="C253" s="1173"/>
      <c r="D253" s="1173"/>
      <c r="E253" s="1173"/>
      <c r="F253" s="1173"/>
      <c r="G253" s="1173"/>
      <c r="H253" s="1173"/>
      <c r="I253" s="1173"/>
      <c r="J253" s="1173"/>
      <c r="K253" s="1173"/>
      <c r="L253" s="1173"/>
      <c r="M253" s="1173"/>
      <c r="N253" s="1173"/>
      <c r="O253" s="1173"/>
      <c r="P253" s="1173"/>
    </row>
    <row r="254">
      <c r="A254" s="1173"/>
      <c r="B254" s="1173"/>
      <c r="C254" s="1173"/>
      <c r="D254" s="1173"/>
      <c r="E254" s="1173"/>
      <c r="F254" s="1173"/>
      <c r="G254" s="1173"/>
      <c r="H254" s="1173"/>
      <c r="I254" s="1173"/>
      <c r="J254" s="1173"/>
      <c r="K254" s="1173"/>
      <c r="L254" s="1173"/>
      <c r="M254" s="1173"/>
      <c r="N254" s="1173"/>
      <c r="O254" s="1173"/>
      <c r="P254" s="1173"/>
    </row>
    <row r="255">
      <c r="A255" s="1173"/>
      <c r="B255" s="1173"/>
      <c r="C255" s="1173"/>
      <c r="D255" s="1173"/>
      <c r="E255" s="1173"/>
      <c r="F255" s="1173"/>
      <c r="G255" s="1173"/>
      <c r="H255" s="1173"/>
      <c r="I255" s="1173"/>
      <c r="J255" s="1173"/>
      <c r="K255" s="1173"/>
      <c r="L255" s="1173"/>
      <c r="M255" s="1173"/>
      <c r="N255" s="1173"/>
      <c r="O255" s="1173"/>
      <c r="P255" s="1173"/>
    </row>
    <row r="256">
      <c r="A256" s="1173"/>
      <c r="B256" s="1173"/>
      <c r="C256" s="1173"/>
      <c r="D256" s="1173"/>
      <c r="E256" s="1173"/>
      <c r="F256" s="1173"/>
      <c r="G256" s="1173"/>
      <c r="H256" s="1173"/>
      <c r="I256" s="1173"/>
      <c r="J256" s="1173"/>
      <c r="K256" s="1173"/>
      <c r="L256" s="1173"/>
      <c r="M256" s="1173"/>
      <c r="N256" s="1173"/>
      <c r="O256" s="1173"/>
      <c r="P256" s="1173"/>
    </row>
    <row r="257">
      <c r="A257" s="1173"/>
      <c r="B257" s="1173"/>
      <c r="C257" s="1173"/>
      <c r="D257" s="1173"/>
      <c r="E257" s="1173"/>
      <c r="F257" s="1173"/>
      <c r="G257" s="1173"/>
      <c r="H257" s="1173"/>
      <c r="I257" s="1173"/>
      <c r="J257" s="1173"/>
      <c r="K257" s="1173"/>
      <c r="L257" s="1173"/>
      <c r="M257" s="1173"/>
      <c r="N257" s="1173"/>
      <c r="O257" s="1173"/>
      <c r="P257" s="1173"/>
    </row>
    <row r="258">
      <c r="A258" s="1173"/>
      <c r="B258" s="1173"/>
      <c r="C258" s="1173"/>
      <c r="D258" s="1173"/>
      <c r="E258" s="1173"/>
      <c r="F258" s="1173"/>
      <c r="G258" s="1173"/>
      <c r="H258" s="1173"/>
      <c r="I258" s="1173"/>
      <c r="J258" s="1173"/>
      <c r="K258" s="1173"/>
      <c r="L258" s="1173"/>
      <c r="M258" s="1173"/>
      <c r="N258" s="1173"/>
      <c r="O258" s="1173"/>
      <c r="P258" s="1173"/>
    </row>
    <row r="259">
      <c r="A259" s="1173"/>
      <c r="B259" s="1173"/>
      <c r="C259" s="1173"/>
      <c r="D259" s="1173"/>
      <c r="E259" s="1173"/>
      <c r="F259" s="1173"/>
      <c r="G259" s="1173"/>
      <c r="H259" s="1173"/>
      <c r="I259" s="1173"/>
      <c r="J259" s="1173"/>
      <c r="K259" s="1173"/>
      <c r="L259" s="1173"/>
      <c r="M259" s="1173"/>
      <c r="N259" s="1173"/>
      <c r="O259" s="1173"/>
      <c r="P259" s="1173"/>
    </row>
    <row r="260">
      <c r="A260" s="1173"/>
      <c r="B260" s="1173"/>
      <c r="C260" s="1173"/>
      <c r="D260" s="1173"/>
      <c r="E260" s="1173"/>
      <c r="F260" s="1173"/>
      <c r="G260" s="1173"/>
      <c r="H260" s="1173"/>
      <c r="I260" s="1173"/>
      <c r="J260" s="1173"/>
      <c r="K260" s="1173"/>
      <c r="L260" s="1173"/>
      <c r="M260" s="1173"/>
      <c r="N260" s="1173"/>
      <c r="O260" s="1173"/>
      <c r="P260" s="1173"/>
    </row>
    <row r="261">
      <c r="A261" s="1173"/>
      <c r="B261" s="1173"/>
      <c r="C261" s="1173"/>
      <c r="D261" s="1173"/>
      <c r="E261" s="1173"/>
      <c r="F261" s="1173"/>
      <c r="G261" s="1173"/>
      <c r="H261" s="1173"/>
      <c r="I261" s="1173"/>
      <c r="J261" s="1173"/>
      <c r="K261" s="1173"/>
      <c r="L261" s="1173"/>
      <c r="M261" s="1173"/>
      <c r="N261" s="1173"/>
      <c r="O261" s="1173"/>
      <c r="P261" s="1173"/>
    </row>
    <row r="262">
      <c r="A262" s="1173"/>
      <c r="B262" s="1173"/>
      <c r="C262" s="1173"/>
      <c r="D262" s="1173"/>
      <c r="E262" s="1173"/>
      <c r="F262" s="1173"/>
      <c r="G262" s="1173"/>
      <c r="H262" s="1173"/>
      <c r="I262" s="1173"/>
      <c r="J262" s="1173"/>
      <c r="K262" s="1173"/>
      <c r="L262" s="1173"/>
      <c r="M262" s="1173"/>
      <c r="N262" s="1173"/>
      <c r="O262" s="1173"/>
      <c r="P262" s="1173"/>
    </row>
    <row r="263">
      <c r="A263" s="1173"/>
      <c r="B263" s="1173"/>
      <c r="C263" s="1173"/>
      <c r="D263" s="1173"/>
      <c r="E263" s="1173"/>
      <c r="F263" s="1173"/>
      <c r="G263" s="1173"/>
      <c r="H263" s="1173"/>
      <c r="I263" s="1173"/>
      <c r="J263" s="1173"/>
      <c r="K263" s="1173"/>
      <c r="L263" s="1173"/>
      <c r="M263" s="1173"/>
      <c r="N263" s="1173"/>
      <c r="O263" s="1173"/>
      <c r="P263" s="1173"/>
    </row>
    <row r="264">
      <c r="A264" s="1173"/>
      <c r="B264" s="1173"/>
      <c r="C264" s="1173"/>
      <c r="D264" s="1173"/>
      <c r="E264" s="1173"/>
      <c r="F264" s="1173"/>
      <c r="G264" s="1173"/>
      <c r="H264" s="1173"/>
      <c r="I264" s="1173"/>
      <c r="J264" s="1173"/>
      <c r="K264" s="1173"/>
      <c r="L264" s="1173"/>
      <c r="M264" s="1173"/>
      <c r="N264" s="1173"/>
      <c r="O264" s="1173"/>
      <c r="P264" s="1173"/>
    </row>
    <row r="265">
      <c r="A265" s="1173"/>
      <c r="B265" s="1173"/>
      <c r="C265" s="1173"/>
      <c r="D265" s="1173"/>
      <c r="E265" s="1173"/>
      <c r="F265" s="1173"/>
      <c r="G265" s="1173"/>
      <c r="H265" s="1173"/>
      <c r="I265" s="1173"/>
      <c r="J265" s="1173"/>
      <c r="K265" s="1173"/>
      <c r="L265" s="1173"/>
      <c r="M265" s="1173"/>
      <c r="N265" s="1173"/>
      <c r="O265" s="1173"/>
      <c r="P265" s="1173"/>
    </row>
    <row r="266">
      <c r="A266" s="1173"/>
      <c r="B266" s="1173"/>
      <c r="C266" s="1173"/>
      <c r="D266" s="1173"/>
      <c r="E266" s="1173"/>
      <c r="F266" s="1173"/>
      <c r="G266" s="1173"/>
      <c r="H266" s="1173"/>
      <c r="I266" s="1173"/>
      <c r="J266" s="1173"/>
      <c r="K266" s="1173"/>
      <c r="L266" s="1173"/>
      <c r="M266" s="1173"/>
      <c r="N266" s="1173"/>
      <c r="O266" s="1173"/>
      <c r="P266" s="1173"/>
    </row>
    <row r="267">
      <c r="A267" s="1173"/>
      <c r="B267" s="1173"/>
      <c r="C267" s="1173"/>
      <c r="D267" s="1173"/>
      <c r="E267" s="1173"/>
      <c r="F267" s="1173"/>
      <c r="G267" s="1173"/>
      <c r="H267" s="1173"/>
      <c r="I267" s="1173"/>
      <c r="J267" s="1173"/>
      <c r="K267" s="1173"/>
      <c r="L267" s="1173"/>
      <c r="M267" s="1173"/>
      <c r="N267" s="1173"/>
      <c r="O267" s="1173"/>
      <c r="P267" s="1173"/>
    </row>
    <row r="268">
      <c r="A268" s="1173"/>
      <c r="B268" s="1173"/>
      <c r="C268" s="1173"/>
      <c r="D268" s="1173"/>
      <c r="E268" s="1173"/>
      <c r="F268" s="1173"/>
      <c r="G268" s="1173"/>
      <c r="H268" s="1173"/>
      <c r="I268" s="1173"/>
      <c r="J268" s="1173"/>
      <c r="K268" s="1173"/>
      <c r="L268" s="1173"/>
      <c r="M268" s="1173"/>
      <c r="N268" s="1173"/>
      <c r="O268" s="1173"/>
      <c r="P268" s="1173"/>
    </row>
    <row r="269">
      <c r="A269" s="1173"/>
      <c r="B269" s="1173"/>
      <c r="C269" s="1173"/>
      <c r="D269" s="1173"/>
      <c r="E269" s="1173"/>
      <c r="F269" s="1173"/>
      <c r="G269" s="1173"/>
      <c r="H269" s="1173"/>
      <c r="I269" s="1173"/>
      <c r="J269" s="1173"/>
      <c r="K269" s="1173"/>
      <c r="L269" s="1173"/>
      <c r="M269" s="1173"/>
      <c r="N269" s="1173"/>
      <c r="O269" s="1173"/>
      <c r="P269" s="1173"/>
    </row>
    <row r="270">
      <c r="A270" s="1173"/>
      <c r="B270" s="1173"/>
      <c r="C270" s="1173"/>
      <c r="D270" s="1173"/>
      <c r="E270" s="1173"/>
      <c r="F270" s="1173"/>
      <c r="G270" s="1173"/>
      <c r="H270" s="1173"/>
      <c r="I270" s="1173"/>
      <c r="J270" s="1173"/>
      <c r="K270" s="1173"/>
      <c r="L270" s="1173"/>
      <c r="M270" s="1173"/>
      <c r="N270" s="1173"/>
      <c r="O270" s="1173"/>
      <c r="P270" s="1173"/>
    </row>
    <row r="271">
      <c r="A271" s="1173"/>
      <c r="B271" s="1173"/>
      <c r="C271" s="1173"/>
      <c r="D271" s="1173"/>
      <c r="E271" s="1173"/>
      <c r="F271" s="1173"/>
      <c r="G271" s="1173"/>
      <c r="H271" s="1173"/>
      <c r="I271" s="1173"/>
      <c r="J271" s="1173"/>
      <c r="K271" s="1173"/>
      <c r="L271" s="1173"/>
      <c r="M271" s="1173"/>
      <c r="N271" s="1173"/>
      <c r="O271" s="1173"/>
      <c r="P271" s="1173"/>
    </row>
    <row r="272">
      <c r="A272" s="1173"/>
      <c r="B272" s="1173"/>
      <c r="C272" s="1173"/>
      <c r="D272" s="1173"/>
      <c r="E272" s="1173"/>
      <c r="F272" s="1173"/>
      <c r="G272" s="1173"/>
      <c r="H272" s="1173"/>
      <c r="I272" s="1173"/>
      <c r="J272" s="1173"/>
      <c r="K272" s="1173"/>
      <c r="L272" s="1173"/>
      <c r="M272" s="1173"/>
      <c r="N272" s="1173"/>
      <c r="O272" s="1173"/>
      <c r="P272" s="1173"/>
    </row>
    <row r="273">
      <c r="A273" s="1173"/>
      <c r="B273" s="1173"/>
      <c r="C273" s="1173"/>
      <c r="D273" s="1173"/>
      <c r="E273" s="1173"/>
      <c r="F273" s="1173"/>
      <c r="G273" s="1173"/>
      <c r="H273" s="1173"/>
      <c r="I273" s="1173"/>
      <c r="J273" s="1173"/>
      <c r="K273" s="1173"/>
      <c r="L273" s="1173"/>
      <c r="M273" s="1173"/>
      <c r="N273" s="1173"/>
      <c r="O273" s="1173"/>
      <c r="P273" s="1173"/>
    </row>
    <row r="274">
      <c r="A274" s="1173"/>
      <c r="B274" s="1173"/>
      <c r="C274" s="1173"/>
      <c r="D274" s="1173"/>
      <c r="E274" s="1173"/>
      <c r="F274" s="1173"/>
      <c r="G274" s="1173"/>
      <c r="H274" s="1173"/>
      <c r="I274" s="1173"/>
      <c r="J274" s="1173"/>
      <c r="K274" s="1173"/>
      <c r="L274" s="1173"/>
      <c r="M274" s="1173"/>
      <c r="N274" s="1173"/>
      <c r="O274" s="1173"/>
      <c r="P274" s="1173"/>
    </row>
    <row r="275">
      <c r="A275" s="1173"/>
      <c r="B275" s="1173"/>
      <c r="C275" s="1173"/>
      <c r="D275" s="1173"/>
      <c r="E275" s="1173"/>
      <c r="F275" s="1173"/>
      <c r="G275" s="1173"/>
      <c r="H275" s="1173"/>
      <c r="I275" s="1173"/>
      <c r="J275" s="1173"/>
      <c r="K275" s="1173"/>
      <c r="L275" s="1173"/>
      <c r="M275" s="1173"/>
      <c r="N275" s="1173"/>
      <c r="O275" s="1173"/>
      <c r="P275" s="1173"/>
    </row>
    <row r="276">
      <c r="A276" s="1173"/>
      <c r="B276" s="1173"/>
      <c r="C276" s="1173"/>
      <c r="D276" s="1173"/>
      <c r="E276" s="1173"/>
      <c r="F276" s="1173"/>
      <c r="G276" s="1173"/>
      <c r="H276" s="1173"/>
      <c r="I276" s="1173"/>
      <c r="J276" s="1173"/>
      <c r="K276" s="1173"/>
      <c r="L276" s="1173"/>
      <c r="M276" s="1173"/>
      <c r="N276" s="1173"/>
      <c r="O276" s="1173"/>
      <c r="P276" s="1173"/>
    </row>
    <row r="277">
      <c r="A277" s="1173"/>
      <c r="B277" s="1173"/>
      <c r="C277" s="1173"/>
      <c r="D277" s="1173"/>
      <c r="E277" s="1173"/>
      <c r="F277" s="1173"/>
      <c r="G277" s="1173"/>
      <c r="H277" s="1173"/>
      <c r="I277" s="1173"/>
      <c r="J277" s="1173"/>
      <c r="K277" s="1173"/>
      <c r="L277" s="1173"/>
      <c r="M277" s="1173"/>
      <c r="N277" s="1173"/>
      <c r="O277" s="1173"/>
      <c r="P277" s="1173"/>
    </row>
    <row r="278">
      <c r="A278" s="1173"/>
      <c r="B278" s="1173"/>
      <c r="C278" s="1173"/>
      <c r="D278" s="1173"/>
      <c r="E278" s="1173"/>
      <c r="F278" s="1173"/>
      <c r="G278" s="1173"/>
      <c r="H278" s="1173"/>
      <c r="I278" s="1173"/>
      <c r="J278" s="1173"/>
      <c r="K278" s="1173"/>
      <c r="L278" s="1173"/>
      <c r="M278" s="1173"/>
      <c r="N278" s="1173"/>
      <c r="O278" s="1173"/>
      <c r="P278" s="1173"/>
    </row>
    <row r="279">
      <c r="A279" s="1173"/>
      <c r="B279" s="1173"/>
      <c r="C279" s="1173"/>
      <c r="D279" s="1173"/>
      <c r="E279" s="1173"/>
      <c r="F279" s="1173"/>
      <c r="G279" s="1173"/>
      <c r="H279" s="1173"/>
      <c r="I279" s="1173"/>
      <c r="J279" s="1173"/>
      <c r="K279" s="1173"/>
      <c r="L279" s="1173"/>
      <c r="M279" s="1173"/>
      <c r="N279" s="1173"/>
      <c r="O279" s="1173"/>
      <c r="P279" s="1173"/>
    </row>
    <row r="280">
      <c r="A280" s="1173"/>
      <c r="B280" s="1173"/>
      <c r="C280" s="1173"/>
      <c r="D280" s="1173"/>
      <c r="E280" s="1173"/>
      <c r="F280" s="1173"/>
      <c r="G280" s="1173"/>
      <c r="H280" s="1173"/>
      <c r="I280" s="1173"/>
      <c r="J280" s="1173"/>
      <c r="K280" s="1173"/>
      <c r="L280" s="1173"/>
      <c r="M280" s="1173"/>
      <c r="N280" s="1173"/>
      <c r="O280" s="1173"/>
      <c r="P280" s="1173"/>
    </row>
    <row r="281">
      <c r="A281" s="1173"/>
      <c r="B281" s="1173"/>
      <c r="C281" s="1173"/>
      <c r="D281" s="1173"/>
      <c r="E281" s="1173"/>
      <c r="F281" s="1173"/>
      <c r="G281" s="1173"/>
      <c r="H281" s="1173"/>
      <c r="I281" s="1173"/>
      <c r="J281" s="1173"/>
      <c r="K281" s="1173"/>
      <c r="L281" s="1173"/>
      <c r="M281" s="1173"/>
      <c r="N281" s="1173"/>
      <c r="O281" s="1173"/>
      <c r="P281" s="1173"/>
    </row>
    <row r="282">
      <c r="A282" s="1173"/>
      <c r="B282" s="1173"/>
      <c r="C282" s="1173"/>
      <c r="D282" s="1173"/>
      <c r="E282" s="1173"/>
      <c r="F282" s="1173"/>
      <c r="G282" s="1173"/>
      <c r="H282" s="1173"/>
      <c r="I282" s="1173"/>
      <c r="J282" s="1173"/>
      <c r="K282" s="1173"/>
      <c r="L282" s="1173"/>
      <c r="M282" s="1173"/>
      <c r="N282" s="1173"/>
      <c r="O282" s="1173"/>
      <c r="P282" s="1173"/>
    </row>
    <row r="283">
      <c r="A283" s="1173"/>
      <c r="B283" s="1173"/>
      <c r="C283" s="1173"/>
      <c r="D283" s="1173"/>
      <c r="E283" s="1173"/>
      <c r="F283" s="1173"/>
      <c r="G283" s="1173"/>
      <c r="H283" s="1173"/>
      <c r="I283" s="1173"/>
      <c r="J283" s="1173"/>
      <c r="K283" s="1173"/>
      <c r="L283" s="1173"/>
      <c r="M283" s="1173"/>
      <c r="N283" s="1173"/>
      <c r="O283" s="1173"/>
      <c r="P283" s="1173"/>
    </row>
    <row r="284">
      <c r="A284" s="1173"/>
      <c r="B284" s="1173"/>
      <c r="C284" s="1173"/>
      <c r="D284" s="1173"/>
      <c r="E284" s="1173"/>
      <c r="F284" s="1173"/>
      <c r="G284" s="1173"/>
      <c r="H284" s="1173"/>
      <c r="I284" s="1173"/>
      <c r="J284" s="1173"/>
      <c r="K284" s="1173"/>
      <c r="L284" s="1173"/>
      <c r="M284" s="1173"/>
      <c r="N284" s="1173"/>
      <c r="O284" s="1173"/>
      <c r="P284" s="1173"/>
    </row>
    <row r="285">
      <c r="A285" s="1173"/>
      <c r="B285" s="1173"/>
      <c r="C285" s="1173"/>
      <c r="D285" s="1173"/>
      <c r="E285" s="1173"/>
      <c r="F285" s="1173"/>
      <c r="G285" s="1173"/>
      <c r="H285" s="1173"/>
      <c r="I285" s="1173"/>
      <c r="J285" s="1173"/>
      <c r="K285" s="1173"/>
      <c r="L285" s="1173"/>
      <c r="M285" s="1173"/>
      <c r="N285" s="1173"/>
      <c r="O285" s="1173"/>
      <c r="P285" s="1173"/>
    </row>
    <row r="286">
      <c r="A286" s="1173"/>
      <c r="B286" s="1173"/>
      <c r="C286" s="1173"/>
      <c r="D286" s="1173"/>
      <c r="E286" s="1173"/>
      <c r="F286" s="1173"/>
      <c r="G286" s="1173"/>
      <c r="H286" s="1173"/>
      <c r="I286" s="1173"/>
      <c r="J286" s="1173"/>
      <c r="K286" s="1173"/>
      <c r="L286" s="1173"/>
      <c r="M286" s="1173"/>
      <c r="N286" s="1173"/>
      <c r="O286" s="1173"/>
      <c r="P286" s="1173"/>
    </row>
    <row r="287">
      <c r="A287" s="1173"/>
      <c r="B287" s="1173"/>
      <c r="C287" s="1173"/>
      <c r="D287" s="1173"/>
      <c r="E287" s="1173"/>
      <c r="F287" s="1173"/>
      <c r="G287" s="1173"/>
      <c r="H287" s="1173"/>
      <c r="I287" s="1173"/>
      <c r="J287" s="1173"/>
      <c r="K287" s="1173"/>
      <c r="L287" s="1173"/>
      <c r="M287" s="1173"/>
      <c r="N287" s="1173"/>
      <c r="O287" s="1173"/>
      <c r="P287" s="1173"/>
    </row>
    <row r="288">
      <c r="A288" s="1173"/>
      <c r="B288" s="1173"/>
      <c r="C288" s="1173"/>
      <c r="D288" s="1173"/>
      <c r="E288" s="1173"/>
      <c r="F288" s="1173"/>
      <c r="G288" s="1173"/>
      <c r="H288" s="1173"/>
      <c r="I288" s="1173"/>
      <c r="J288" s="1173"/>
      <c r="K288" s="1173"/>
      <c r="L288" s="1173"/>
      <c r="M288" s="1173"/>
      <c r="N288" s="1173"/>
      <c r="O288" s="1173"/>
      <c r="P288" s="1173"/>
    </row>
    <row r="289">
      <c r="A289" s="1173"/>
      <c r="B289" s="1173"/>
      <c r="C289" s="1173"/>
      <c r="D289" s="1173"/>
      <c r="E289" s="1173"/>
      <c r="F289" s="1173"/>
      <c r="G289" s="1173"/>
      <c r="H289" s="1173"/>
      <c r="I289" s="1173"/>
      <c r="J289" s="1173"/>
      <c r="K289" s="1173"/>
      <c r="L289" s="1173"/>
      <c r="M289" s="1173"/>
      <c r="N289" s="1173"/>
      <c r="O289" s="1173"/>
      <c r="P289" s="1173"/>
    </row>
    <row r="290">
      <c r="A290" s="1173"/>
      <c r="B290" s="1173"/>
      <c r="C290" s="1173"/>
      <c r="D290" s="1173"/>
      <c r="E290" s="1173"/>
      <c r="F290" s="1173"/>
      <c r="G290" s="1173"/>
      <c r="H290" s="1173"/>
      <c r="I290" s="1173"/>
      <c r="J290" s="1173"/>
      <c r="K290" s="1173"/>
      <c r="L290" s="1173"/>
      <c r="M290" s="1173"/>
      <c r="N290" s="1173"/>
      <c r="O290" s="1173"/>
      <c r="P290" s="1173"/>
    </row>
    <row r="291">
      <c r="A291" s="1173"/>
      <c r="B291" s="1173"/>
      <c r="C291" s="1173"/>
      <c r="D291" s="1173"/>
      <c r="E291" s="1173"/>
      <c r="F291" s="1173"/>
      <c r="G291" s="1173"/>
      <c r="H291" s="1173"/>
      <c r="I291" s="1173"/>
      <c r="J291" s="1173"/>
      <c r="K291" s="1173"/>
      <c r="L291" s="1173"/>
      <c r="M291" s="1173"/>
      <c r="N291" s="1173"/>
      <c r="O291" s="1173"/>
      <c r="P291" s="1173"/>
    </row>
    <row r="292">
      <c r="A292" s="1173"/>
      <c r="B292" s="1173"/>
      <c r="C292" s="1173"/>
      <c r="D292" s="1173"/>
      <c r="E292" s="1173"/>
      <c r="F292" s="1173"/>
      <c r="G292" s="1173"/>
      <c r="H292" s="1173"/>
      <c r="I292" s="1173"/>
      <c r="J292" s="1173"/>
      <c r="K292" s="1173"/>
      <c r="L292" s="1173"/>
      <c r="M292" s="1173"/>
      <c r="N292" s="1173"/>
      <c r="O292" s="1173"/>
      <c r="P292" s="1173"/>
    </row>
    <row r="293">
      <c r="A293" s="1173"/>
      <c r="B293" s="1173"/>
      <c r="C293" s="1173"/>
      <c r="D293" s="1173"/>
      <c r="E293" s="1173"/>
      <c r="F293" s="1173"/>
      <c r="G293" s="1173"/>
      <c r="H293" s="1173"/>
      <c r="I293" s="1173"/>
      <c r="J293" s="1173"/>
      <c r="K293" s="1173"/>
      <c r="L293" s="1173"/>
      <c r="M293" s="1173"/>
      <c r="N293" s="1173"/>
      <c r="O293" s="1173"/>
      <c r="P293" s="1173"/>
    </row>
    <row r="294">
      <c r="A294" s="1173"/>
      <c r="B294" s="1173"/>
      <c r="C294" s="1173"/>
      <c r="D294" s="1173"/>
      <c r="E294" s="1173"/>
      <c r="F294" s="1173"/>
      <c r="G294" s="1173"/>
      <c r="H294" s="1173"/>
      <c r="I294" s="1173"/>
      <c r="J294" s="1173"/>
      <c r="K294" s="1173"/>
      <c r="L294" s="1173"/>
      <c r="M294" s="1173"/>
      <c r="N294" s="1173"/>
      <c r="O294" s="1173"/>
      <c r="P294" s="1173"/>
    </row>
    <row r="295">
      <c r="A295" s="1173"/>
      <c r="B295" s="1173"/>
      <c r="C295" s="1173"/>
      <c r="D295" s="1173"/>
      <c r="E295" s="1173"/>
      <c r="F295" s="1173"/>
      <c r="G295" s="1173"/>
      <c r="H295" s="1173"/>
      <c r="I295" s="1173"/>
      <c r="J295" s="1173"/>
      <c r="K295" s="1173"/>
      <c r="L295" s="1173"/>
      <c r="M295" s="1173"/>
      <c r="N295" s="1173"/>
      <c r="O295" s="1173"/>
      <c r="P295" s="1173"/>
    </row>
    <row r="296">
      <c r="A296" s="1173"/>
      <c r="B296" s="1173"/>
      <c r="C296" s="1173"/>
      <c r="D296" s="1173"/>
      <c r="E296" s="1173"/>
      <c r="F296" s="1173"/>
      <c r="G296" s="1173"/>
      <c r="H296" s="1173"/>
      <c r="I296" s="1173"/>
      <c r="J296" s="1173"/>
      <c r="K296" s="1173"/>
      <c r="L296" s="1173"/>
      <c r="M296" s="1173"/>
      <c r="N296" s="1173"/>
      <c r="O296" s="1173"/>
      <c r="P296" s="1173"/>
    </row>
    <row r="297">
      <c r="A297" s="1173"/>
      <c r="B297" s="1173"/>
      <c r="C297" s="1173"/>
      <c r="D297" s="1173"/>
      <c r="E297" s="1173"/>
      <c r="F297" s="1173"/>
      <c r="G297" s="1173"/>
      <c r="H297" s="1173"/>
      <c r="I297" s="1173"/>
      <c r="J297" s="1173"/>
      <c r="K297" s="1173"/>
      <c r="L297" s="1173"/>
      <c r="M297" s="1173"/>
      <c r="N297" s="1173"/>
      <c r="O297" s="1173"/>
      <c r="P297" s="1173"/>
    </row>
    <row r="298">
      <c r="A298" s="1173"/>
      <c r="B298" s="1173"/>
      <c r="C298" s="1173"/>
      <c r="D298" s="1173"/>
      <c r="E298" s="1173"/>
      <c r="F298" s="1173"/>
      <c r="G298" s="1173"/>
      <c r="H298" s="1173"/>
      <c r="I298" s="1173"/>
      <c r="J298" s="1173"/>
      <c r="K298" s="1173"/>
      <c r="L298" s="1173"/>
      <c r="M298" s="1173"/>
      <c r="N298" s="1173"/>
      <c r="O298" s="1173"/>
      <c r="P298" s="1173"/>
    </row>
    <row r="299">
      <c r="A299" s="1173"/>
      <c r="B299" s="1173"/>
      <c r="C299" s="1173"/>
      <c r="D299" s="1173"/>
      <c r="E299" s="1173"/>
      <c r="F299" s="1173"/>
      <c r="G299" s="1173"/>
      <c r="H299" s="1173"/>
      <c r="I299" s="1173"/>
      <c r="J299" s="1173"/>
      <c r="K299" s="1173"/>
      <c r="L299" s="1173"/>
      <c r="M299" s="1173"/>
      <c r="N299" s="1173"/>
      <c r="O299" s="1173"/>
      <c r="P299" s="1173"/>
    </row>
    <row r="300">
      <c r="A300" s="1173"/>
      <c r="B300" s="1173"/>
      <c r="C300" s="1173"/>
      <c r="D300" s="1173"/>
      <c r="E300" s="1173"/>
      <c r="F300" s="1173"/>
      <c r="G300" s="1173"/>
      <c r="H300" s="1173"/>
      <c r="I300" s="1173"/>
      <c r="J300" s="1173"/>
      <c r="K300" s="1173"/>
      <c r="L300" s="1173"/>
      <c r="M300" s="1173"/>
      <c r="N300" s="1173"/>
      <c r="O300" s="1173"/>
      <c r="P300" s="1173"/>
    </row>
    <row r="301">
      <c r="A301" s="1173"/>
      <c r="B301" s="1173"/>
      <c r="C301" s="1173"/>
      <c r="D301" s="1173"/>
      <c r="E301" s="1173"/>
      <c r="F301" s="1173"/>
      <c r="G301" s="1173"/>
      <c r="H301" s="1173"/>
      <c r="I301" s="1173"/>
      <c r="J301" s="1173"/>
      <c r="K301" s="1173"/>
      <c r="L301" s="1173"/>
      <c r="M301" s="1173"/>
      <c r="N301" s="1173"/>
      <c r="O301" s="1173"/>
      <c r="P301" s="1173"/>
    </row>
    <row r="302">
      <c r="A302" s="1173"/>
      <c r="B302" s="1173"/>
      <c r="C302" s="1173"/>
      <c r="D302" s="1173"/>
      <c r="E302" s="1173"/>
      <c r="F302" s="1173"/>
      <c r="G302" s="1173"/>
      <c r="H302" s="1173"/>
      <c r="I302" s="1173"/>
      <c r="J302" s="1173"/>
      <c r="K302" s="1173"/>
      <c r="L302" s="1173"/>
      <c r="M302" s="1173"/>
      <c r="N302" s="1173"/>
      <c r="O302" s="1173"/>
      <c r="P302" s="1173"/>
    </row>
    <row r="303">
      <c r="A303" s="1173"/>
      <c r="B303" s="1173"/>
      <c r="C303" s="1173"/>
      <c r="D303" s="1173"/>
      <c r="E303" s="1173"/>
      <c r="F303" s="1173"/>
      <c r="G303" s="1173"/>
      <c r="H303" s="1173"/>
      <c r="I303" s="1173"/>
      <c r="J303" s="1173"/>
      <c r="K303" s="1173"/>
      <c r="L303" s="1173"/>
      <c r="M303" s="1173"/>
      <c r="N303" s="1173"/>
      <c r="O303" s="1173"/>
      <c r="P303" s="1173"/>
    </row>
    <row r="304">
      <c r="A304" s="1173"/>
      <c r="B304" s="1173"/>
      <c r="C304" s="1173"/>
      <c r="D304" s="1173"/>
      <c r="E304" s="1173"/>
      <c r="F304" s="1173"/>
      <c r="G304" s="1173"/>
      <c r="H304" s="1173"/>
      <c r="I304" s="1173"/>
      <c r="J304" s="1173"/>
      <c r="K304" s="1173"/>
      <c r="L304" s="1173"/>
      <c r="M304" s="1173"/>
      <c r="N304" s="1173"/>
      <c r="O304" s="1173"/>
      <c r="P304" s="1173"/>
    </row>
    <row r="305">
      <c r="A305" s="1173"/>
      <c r="B305" s="1173"/>
      <c r="C305" s="1173"/>
      <c r="D305" s="1173"/>
      <c r="E305" s="1173"/>
      <c r="F305" s="1173"/>
      <c r="G305" s="1173"/>
      <c r="H305" s="1173"/>
      <c r="I305" s="1173"/>
      <c r="J305" s="1173"/>
      <c r="K305" s="1173"/>
      <c r="L305" s="1173"/>
      <c r="M305" s="1173"/>
      <c r="N305" s="1173"/>
      <c r="O305" s="1173"/>
      <c r="P305" s="1173"/>
    </row>
    <row r="306">
      <c r="A306" s="1173"/>
      <c r="B306" s="1173"/>
      <c r="C306" s="1173"/>
      <c r="D306" s="1173"/>
      <c r="E306" s="1173"/>
      <c r="F306" s="1173"/>
      <c r="G306" s="1173"/>
      <c r="H306" s="1173"/>
      <c r="I306" s="1173"/>
      <c r="J306" s="1173"/>
      <c r="K306" s="1173"/>
      <c r="L306" s="1173"/>
      <c r="M306" s="1173"/>
      <c r="N306" s="1173"/>
      <c r="O306" s="1173"/>
      <c r="P306" s="1173"/>
    </row>
    <row r="307">
      <c r="A307" s="1173"/>
      <c r="B307" s="1173"/>
      <c r="C307" s="1173"/>
      <c r="D307" s="1173"/>
      <c r="E307" s="1173"/>
      <c r="F307" s="1173"/>
      <c r="G307" s="1173"/>
      <c r="H307" s="1173"/>
      <c r="I307" s="1173"/>
      <c r="J307" s="1173"/>
      <c r="K307" s="1173"/>
      <c r="L307" s="1173"/>
      <c r="M307" s="1173"/>
      <c r="N307" s="1173"/>
      <c r="O307" s="1173"/>
      <c r="P307" s="1173"/>
    </row>
    <row r="308">
      <c r="A308" s="1173"/>
      <c r="B308" s="1173"/>
      <c r="C308" s="1173"/>
      <c r="D308" s="1173"/>
      <c r="E308" s="1173"/>
      <c r="F308" s="1173"/>
      <c r="G308" s="1173"/>
      <c r="H308" s="1173"/>
      <c r="I308" s="1173"/>
      <c r="J308" s="1173"/>
      <c r="K308" s="1173"/>
      <c r="L308" s="1173"/>
      <c r="M308" s="1173"/>
      <c r="N308" s="1173"/>
      <c r="O308" s="1173"/>
      <c r="P308" s="1173"/>
    </row>
    <row r="309">
      <c r="A309" s="1173"/>
      <c r="B309" s="1173"/>
      <c r="C309" s="1173"/>
      <c r="D309" s="1173"/>
      <c r="E309" s="1173"/>
      <c r="F309" s="1173"/>
      <c r="G309" s="1173"/>
      <c r="H309" s="1173"/>
      <c r="I309" s="1173"/>
      <c r="J309" s="1173"/>
      <c r="K309" s="1173"/>
      <c r="L309" s="1173"/>
      <c r="M309" s="1173"/>
      <c r="N309" s="1173"/>
      <c r="O309" s="1173"/>
      <c r="P309" s="1173"/>
    </row>
    <row r="310">
      <c r="A310" s="1173"/>
      <c r="B310" s="1173"/>
      <c r="C310" s="1173"/>
      <c r="D310" s="1173"/>
      <c r="E310" s="1173"/>
      <c r="F310" s="1173"/>
      <c r="G310" s="1173"/>
      <c r="H310" s="1173"/>
      <c r="I310" s="1173"/>
      <c r="J310" s="1173"/>
      <c r="K310" s="1173"/>
      <c r="L310" s="1173"/>
      <c r="M310" s="1173"/>
      <c r="N310" s="1173"/>
      <c r="O310" s="1173"/>
      <c r="P310" s="1173"/>
    </row>
    <row r="311">
      <c r="A311" s="1173"/>
      <c r="B311" s="1173"/>
      <c r="C311" s="1173"/>
      <c r="D311" s="1173"/>
      <c r="E311" s="1173"/>
      <c r="F311" s="1173"/>
      <c r="G311" s="1173"/>
      <c r="H311" s="1173"/>
      <c r="I311" s="1173"/>
      <c r="J311" s="1173"/>
      <c r="K311" s="1173"/>
      <c r="L311" s="1173"/>
      <c r="M311" s="1173"/>
      <c r="N311" s="1173"/>
      <c r="O311" s="1173"/>
      <c r="P311" s="1173"/>
    </row>
    <row r="312">
      <c r="A312" s="1173"/>
      <c r="B312" s="1173"/>
      <c r="C312" s="1173"/>
      <c r="D312" s="1173"/>
      <c r="E312" s="1173"/>
      <c r="F312" s="1173"/>
      <c r="G312" s="1173"/>
      <c r="H312" s="1173"/>
      <c r="I312" s="1173"/>
      <c r="J312" s="1173"/>
      <c r="K312" s="1173"/>
      <c r="L312" s="1173"/>
      <c r="M312" s="1173"/>
      <c r="N312" s="1173"/>
      <c r="O312" s="1173"/>
      <c r="P312" s="1173"/>
    </row>
    <row r="313">
      <c r="A313" s="1173"/>
      <c r="B313" s="1173"/>
      <c r="C313" s="1173"/>
      <c r="D313" s="1173"/>
      <c r="E313" s="1173"/>
      <c r="F313" s="1173"/>
      <c r="G313" s="1173"/>
      <c r="H313" s="1173"/>
      <c r="I313" s="1173"/>
      <c r="J313" s="1173"/>
      <c r="K313" s="1173"/>
      <c r="L313" s="1173"/>
      <c r="M313" s="1173"/>
      <c r="N313" s="1173"/>
      <c r="O313" s="1173"/>
      <c r="P313" s="1173"/>
    </row>
    <row r="314">
      <c r="A314" s="1173"/>
      <c r="B314" s="1173"/>
      <c r="C314" s="1173"/>
      <c r="D314" s="1173"/>
      <c r="E314" s="1173"/>
      <c r="F314" s="1173"/>
      <c r="G314" s="1173"/>
      <c r="H314" s="1173"/>
      <c r="I314" s="1173"/>
      <c r="J314" s="1173"/>
      <c r="K314" s="1173"/>
      <c r="L314" s="1173"/>
      <c r="M314" s="1173"/>
      <c r="N314" s="1173"/>
      <c r="O314" s="1173"/>
      <c r="P314" s="1173"/>
    </row>
    <row r="315">
      <c r="A315" s="1173"/>
      <c r="B315" s="1173"/>
      <c r="C315" s="1173"/>
      <c r="D315" s="1173"/>
      <c r="E315" s="1173"/>
      <c r="F315" s="1173"/>
      <c r="G315" s="1173"/>
      <c r="H315" s="1173"/>
      <c r="I315" s="1173"/>
      <c r="J315" s="1173"/>
      <c r="K315" s="1173"/>
      <c r="L315" s="1173"/>
      <c r="M315" s="1173"/>
      <c r="N315" s="1173"/>
      <c r="O315" s="1173"/>
      <c r="P315" s="1173"/>
    </row>
    <row r="316">
      <c r="A316" s="1173"/>
      <c r="B316" s="1173"/>
      <c r="C316" s="1173"/>
      <c r="D316" s="1173"/>
      <c r="E316" s="1173"/>
      <c r="F316" s="1173"/>
      <c r="G316" s="1173"/>
      <c r="H316" s="1173"/>
      <c r="I316" s="1173"/>
      <c r="J316" s="1173"/>
      <c r="K316" s="1173"/>
      <c r="L316" s="1173"/>
      <c r="M316" s="1173"/>
      <c r="N316" s="1173"/>
      <c r="O316" s="1173"/>
      <c r="P316" s="1173"/>
    </row>
    <row r="317">
      <c r="A317" s="1173"/>
      <c r="B317" s="1173"/>
      <c r="C317" s="1173"/>
      <c r="D317" s="1173"/>
      <c r="E317" s="1173"/>
      <c r="F317" s="1173"/>
      <c r="G317" s="1173"/>
      <c r="H317" s="1173"/>
      <c r="I317" s="1173"/>
      <c r="J317" s="1173"/>
      <c r="K317" s="1173"/>
      <c r="L317" s="1173"/>
      <c r="M317" s="1173"/>
      <c r="N317" s="1173"/>
      <c r="O317" s="1173"/>
      <c r="P317" s="1173"/>
    </row>
    <row r="318">
      <c r="A318" s="1173"/>
      <c r="B318" s="1173"/>
      <c r="C318" s="1173"/>
      <c r="D318" s="1173"/>
      <c r="E318" s="1173"/>
      <c r="F318" s="1173"/>
      <c r="G318" s="1173"/>
      <c r="H318" s="1173"/>
      <c r="I318" s="1173"/>
      <c r="J318" s="1173"/>
      <c r="K318" s="1173"/>
      <c r="L318" s="1173"/>
      <c r="M318" s="1173"/>
      <c r="N318" s="1173"/>
      <c r="O318" s="1173"/>
      <c r="P318" s="1173"/>
    </row>
    <row r="319">
      <c r="A319" s="1173"/>
      <c r="B319" s="1173"/>
      <c r="C319" s="1173"/>
      <c r="D319" s="1173"/>
      <c r="E319" s="1173"/>
      <c r="F319" s="1173"/>
      <c r="G319" s="1173"/>
      <c r="H319" s="1173"/>
      <c r="I319" s="1173"/>
      <c r="J319" s="1173"/>
      <c r="K319" s="1173"/>
      <c r="L319" s="1173"/>
      <c r="M319" s="1173"/>
      <c r="N319" s="1173"/>
      <c r="O319" s="1173"/>
      <c r="P319" s="1173"/>
    </row>
    <row r="320">
      <c r="A320" s="1173"/>
      <c r="B320" s="1173"/>
      <c r="C320" s="1173"/>
      <c r="D320" s="1173"/>
      <c r="E320" s="1173"/>
      <c r="F320" s="1173"/>
      <c r="G320" s="1173"/>
      <c r="H320" s="1173"/>
      <c r="I320" s="1173"/>
      <c r="J320" s="1173"/>
      <c r="K320" s="1173"/>
      <c r="L320" s="1173"/>
      <c r="M320" s="1173"/>
      <c r="N320" s="1173"/>
      <c r="O320" s="1173"/>
      <c r="P320" s="1173"/>
    </row>
    <row r="321">
      <c r="A321" s="1173"/>
      <c r="B321" s="1173"/>
      <c r="C321" s="1173"/>
      <c r="D321" s="1173"/>
      <c r="E321" s="1173"/>
      <c r="F321" s="1173"/>
      <c r="G321" s="1173"/>
      <c r="H321" s="1173"/>
      <c r="I321" s="1173"/>
      <c r="J321" s="1173"/>
      <c r="K321" s="1173"/>
      <c r="L321" s="1173"/>
      <c r="M321" s="1173"/>
      <c r="N321" s="1173"/>
      <c r="O321" s="1173"/>
      <c r="P321" s="1173"/>
    </row>
    <row r="322">
      <c r="A322" s="1173"/>
      <c r="B322" s="1173"/>
      <c r="C322" s="1173"/>
      <c r="D322" s="1173"/>
      <c r="E322" s="1173"/>
      <c r="F322" s="1173"/>
      <c r="G322" s="1173"/>
      <c r="H322" s="1173"/>
      <c r="I322" s="1173"/>
      <c r="J322" s="1173"/>
      <c r="K322" s="1173"/>
      <c r="L322" s="1173"/>
      <c r="M322" s="1173"/>
      <c r="N322" s="1173"/>
      <c r="O322" s="1173"/>
      <c r="P322" s="1173"/>
    </row>
    <row r="323">
      <c r="A323" s="1173"/>
      <c r="B323" s="1173"/>
      <c r="C323" s="1173"/>
      <c r="D323" s="1173"/>
      <c r="E323" s="1173"/>
      <c r="F323" s="1173"/>
      <c r="G323" s="1173"/>
      <c r="H323" s="1173"/>
      <c r="I323" s="1173"/>
      <c r="J323" s="1173"/>
      <c r="K323" s="1173"/>
      <c r="L323" s="1173"/>
      <c r="M323" s="1173"/>
      <c r="N323" s="1173"/>
      <c r="O323" s="1173"/>
      <c r="P323" s="1173"/>
    </row>
    <row r="324">
      <c r="A324" s="1173"/>
      <c r="B324" s="1173"/>
      <c r="C324" s="1173"/>
      <c r="D324" s="1173"/>
      <c r="E324" s="1173"/>
      <c r="F324" s="1173"/>
      <c r="G324" s="1173"/>
      <c r="H324" s="1173"/>
      <c r="I324" s="1173"/>
      <c r="J324" s="1173"/>
      <c r="K324" s="1173"/>
      <c r="L324" s="1173"/>
      <c r="M324" s="1173"/>
      <c r="N324" s="1173"/>
      <c r="O324" s="1173"/>
      <c r="P324" s="1173"/>
    </row>
    <row r="325">
      <c r="A325" s="1173"/>
      <c r="B325" s="1173"/>
      <c r="C325" s="1173"/>
      <c r="D325" s="1173"/>
      <c r="E325" s="1173"/>
      <c r="F325" s="1173"/>
      <c r="G325" s="1173"/>
      <c r="H325" s="1173"/>
      <c r="I325" s="1173"/>
      <c r="J325" s="1173"/>
      <c r="K325" s="1173"/>
      <c r="L325" s="1173"/>
      <c r="M325" s="1173"/>
      <c r="N325" s="1173"/>
      <c r="O325" s="1173"/>
      <c r="P325" s="1173"/>
    </row>
    <row r="326">
      <c r="A326" s="1173"/>
      <c r="B326" s="1173"/>
      <c r="C326" s="1173"/>
      <c r="D326" s="1173"/>
      <c r="E326" s="1173"/>
      <c r="F326" s="1173"/>
      <c r="G326" s="1173"/>
      <c r="H326" s="1173"/>
      <c r="I326" s="1173"/>
      <c r="J326" s="1173"/>
      <c r="K326" s="1173"/>
      <c r="L326" s="1173"/>
      <c r="M326" s="1173"/>
      <c r="N326" s="1173"/>
      <c r="O326" s="1173"/>
      <c r="P326" s="1173"/>
    </row>
    <row r="327">
      <c r="A327" s="1173"/>
      <c r="B327" s="1173"/>
      <c r="C327" s="1173"/>
      <c r="D327" s="1173"/>
      <c r="E327" s="1173"/>
      <c r="F327" s="1173"/>
      <c r="G327" s="1173"/>
      <c r="H327" s="1173"/>
      <c r="I327" s="1173"/>
      <c r="J327" s="1173"/>
      <c r="K327" s="1173"/>
      <c r="L327" s="1173"/>
      <c r="M327" s="1173"/>
      <c r="N327" s="1173"/>
      <c r="O327" s="1173"/>
      <c r="P327" s="1173"/>
    </row>
    <row r="328">
      <c r="A328" s="1173"/>
      <c r="B328" s="1173"/>
      <c r="C328" s="1173"/>
      <c r="D328" s="1173"/>
      <c r="E328" s="1173"/>
      <c r="F328" s="1173"/>
      <c r="G328" s="1173"/>
      <c r="H328" s="1173"/>
      <c r="I328" s="1173"/>
      <c r="J328" s="1173"/>
      <c r="K328" s="1173"/>
      <c r="L328" s="1173"/>
      <c r="M328" s="1173"/>
      <c r="N328" s="1173"/>
      <c r="O328" s="1173"/>
      <c r="P328" s="1173"/>
    </row>
    <row r="329">
      <c r="A329" s="1173"/>
      <c r="B329" s="1173"/>
      <c r="C329" s="1173"/>
      <c r="D329" s="1173"/>
      <c r="E329" s="1173"/>
      <c r="F329" s="1173"/>
      <c r="G329" s="1173"/>
      <c r="H329" s="1173"/>
      <c r="I329" s="1173"/>
      <c r="J329" s="1173"/>
      <c r="K329" s="1173"/>
      <c r="L329" s="1173"/>
      <c r="M329" s="1173"/>
      <c r="N329" s="1173"/>
      <c r="O329" s="1173"/>
      <c r="P329" s="1173"/>
    </row>
    <row r="330">
      <c r="A330" s="1173"/>
      <c r="B330" s="1173"/>
      <c r="C330" s="1173"/>
      <c r="D330" s="1173"/>
      <c r="E330" s="1173"/>
      <c r="F330" s="1173"/>
      <c r="G330" s="1173"/>
      <c r="H330" s="1173"/>
      <c r="I330" s="1173"/>
      <c r="J330" s="1173"/>
      <c r="K330" s="1173"/>
      <c r="L330" s="1173"/>
      <c r="M330" s="1173"/>
      <c r="N330" s="1173"/>
      <c r="O330" s="1173"/>
      <c r="P330" s="1173"/>
    </row>
    <row r="331">
      <c r="A331" s="1173"/>
      <c r="B331" s="1173"/>
      <c r="C331" s="1173"/>
      <c r="D331" s="1173"/>
      <c r="E331" s="1173"/>
      <c r="F331" s="1173"/>
      <c r="G331" s="1173"/>
      <c r="H331" s="1173"/>
      <c r="I331" s="1173"/>
      <c r="J331" s="1173"/>
      <c r="K331" s="1173"/>
      <c r="L331" s="1173"/>
      <c r="M331" s="1173"/>
      <c r="N331" s="1173"/>
      <c r="O331" s="1173"/>
      <c r="P331" s="1173"/>
    </row>
    <row r="332">
      <c r="A332" s="1173"/>
      <c r="B332" s="1173"/>
      <c r="C332" s="1173"/>
      <c r="D332" s="1173"/>
      <c r="E332" s="1173"/>
      <c r="F332" s="1173"/>
      <c r="G332" s="1173"/>
      <c r="H332" s="1173"/>
      <c r="I332" s="1173"/>
      <c r="J332" s="1173"/>
      <c r="K332" s="1173"/>
      <c r="L332" s="1173"/>
      <c r="M332" s="1173"/>
      <c r="N332" s="1173"/>
      <c r="O332" s="1173"/>
      <c r="P332" s="1173"/>
    </row>
    <row r="333">
      <c r="A333" s="1173"/>
      <c r="B333" s="1173"/>
      <c r="C333" s="1173"/>
      <c r="D333" s="1173"/>
      <c r="E333" s="1173"/>
      <c r="F333" s="1173"/>
      <c r="G333" s="1173"/>
      <c r="H333" s="1173"/>
      <c r="I333" s="1173"/>
      <c r="J333" s="1173"/>
      <c r="K333" s="1173"/>
      <c r="L333" s="1173"/>
      <c r="M333" s="1173"/>
      <c r="N333" s="1173"/>
      <c r="O333" s="1173"/>
      <c r="P333" s="1173"/>
    </row>
    <row r="334">
      <c r="A334" s="1173"/>
      <c r="B334" s="1173"/>
      <c r="C334" s="1173"/>
      <c r="D334" s="1173"/>
      <c r="E334" s="1173"/>
      <c r="F334" s="1173"/>
      <c r="G334" s="1173"/>
      <c r="H334" s="1173"/>
      <c r="I334" s="1173"/>
      <c r="J334" s="1173"/>
      <c r="K334" s="1173"/>
      <c r="L334" s="1173"/>
      <c r="M334" s="1173"/>
      <c r="N334" s="1173"/>
      <c r="O334" s="1173"/>
      <c r="P334" s="1173"/>
    </row>
    <row r="335">
      <c r="A335" s="1173"/>
      <c r="B335" s="1173"/>
      <c r="C335" s="1173"/>
      <c r="D335" s="1173"/>
      <c r="E335" s="1173"/>
      <c r="F335" s="1173"/>
      <c r="G335" s="1173"/>
      <c r="H335" s="1173"/>
      <c r="I335" s="1173"/>
      <c r="J335" s="1173"/>
      <c r="K335" s="1173"/>
      <c r="L335" s="1173"/>
      <c r="M335" s="1173"/>
      <c r="N335" s="1173"/>
      <c r="O335" s="1173"/>
      <c r="P335" s="1173"/>
    </row>
    <row r="336">
      <c r="A336" s="1173"/>
      <c r="B336" s="1173"/>
      <c r="C336" s="1173"/>
      <c r="D336" s="1173"/>
      <c r="E336" s="1173"/>
      <c r="F336" s="1173"/>
      <c r="G336" s="1173"/>
      <c r="H336" s="1173"/>
      <c r="I336" s="1173"/>
      <c r="J336" s="1173"/>
      <c r="K336" s="1173"/>
      <c r="L336" s="1173"/>
      <c r="M336" s="1173"/>
      <c r="N336" s="1173"/>
      <c r="O336" s="1173"/>
      <c r="P336" s="1173"/>
    </row>
    <row r="337">
      <c r="A337" s="1173"/>
      <c r="B337" s="1173"/>
      <c r="C337" s="1173"/>
      <c r="D337" s="1173"/>
      <c r="E337" s="1173"/>
      <c r="F337" s="1173"/>
      <c r="G337" s="1173"/>
      <c r="H337" s="1173"/>
      <c r="I337" s="1173"/>
      <c r="J337" s="1173"/>
      <c r="K337" s="1173"/>
      <c r="L337" s="1173"/>
      <c r="M337" s="1173"/>
      <c r="N337" s="1173"/>
      <c r="O337" s="1173"/>
      <c r="P337" s="1173"/>
    </row>
    <row r="338">
      <c r="A338" s="1173"/>
      <c r="B338" s="1173"/>
      <c r="C338" s="1173"/>
      <c r="D338" s="1173"/>
      <c r="E338" s="1173"/>
      <c r="F338" s="1173"/>
      <c r="G338" s="1173"/>
      <c r="H338" s="1173"/>
      <c r="I338" s="1173"/>
      <c r="J338" s="1173"/>
      <c r="K338" s="1173"/>
      <c r="L338" s="1173"/>
      <c r="M338" s="1173"/>
      <c r="N338" s="1173"/>
      <c r="O338" s="1173"/>
      <c r="P338" s="1173"/>
    </row>
    <row r="339">
      <c r="A339" s="1173"/>
      <c r="B339" s="1173"/>
      <c r="C339" s="1173"/>
      <c r="D339" s="1173"/>
      <c r="E339" s="1173"/>
      <c r="F339" s="1173"/>
      <c r="G339" s="1173"/>
      <c r="H339" s="1173"/>
      <c r="I339" s="1173"/>
      <c r="J339" s="1173"/>
      <c r="K339" s="1173"/>
      <c r="L339" s="1173"/>
      <c r="M339" s="1173"/>
      <c r="N339" s="1173"/>
      <c r="O339" s="1173"/>
      <c r="P339" s="1173"/>
    </row>
    <row r="340">
      <c r="A340" s="1173"/>
      <c r="B340" s="1173"/>
      <c r="C340" s="1173"/>
      <c r="D340" s="1173"/>
      <c r="E340" s="1173"/>
      <c r="F340" s="1173"/>
      <c r="G340" s="1173"/>
      <c r="H340" s="1173"/>
      <c r="I340" s="1173"/>
      <c r="J340" s="1173"/>
      <c r="K340" s="1173"/>
      <c r="L340" s="1173"/>
      <c r="M340" s="1173"/>
      <c r="N340" s="1173"/>
      <c r="O340" s="1173"/>
      <c r="P340" s="1173"/>
    </row>
    <row r="341">
      <c r="A341" s="1173"/>
      <c r="B341" s="1173"/>
      <c r="C341" s="1173"/>
      <c r="D341" s="1173"/>
      <c r="E341" s="1173"/>
      <c r="F341" s="1173"/>
      <c r="G341" s="1173"/>
      <c r="H341" s="1173"/>
      <c r="I341" s="1173"/>
      <c r="J341" s="1173"/>
      <c r="K341" s="1173"/>
      <c r="L341" s="1173"/>
      <c r="M341" s="1173"/>
      <c r="N341" s="1173"/>
      <c r="O341" s="1173"/>
      <c r="P341" s="1173"/>
    </row>
    <row r="342">
      <c r="A342" s="1173"/>
      <c r="B342" s="1173"/>
      <c r="C342" s="1173"/>
      <c r="D342" s="1173"/>
      <c r="E342" s="1173"/>
      <c r="F342" s="1173"/>
      <c r="G342" s="1173"/>
      <c r="H342" s="1173"/>
      <c r="I342" s="1173"/>
      <c r="J342" s="1173"/>
      <c r="K342" s="1173"/>
      <c r="L342" s="1173"/>
      <c r="M342" s="1173"/>
      <c r="N342" s="1173"/>
      <c r="O342" s="1173"/>
      <c r="P342" s="1173"/>
    </row>
    <row r="343">
      <c r="A343" s="1173"/>
      <c r="B343" s="1173"/>
      <c r="C343" s="1173"/>
      <c r="D343" s="1173"/>
      <c r="E343" s="1173"/>
      <c r="F343" s="1173"/>
      <c r="G343" s="1173"/>
      <c r="H343" s="1173"/>
      <c r="I343" s="1173"/>
      <c r="J343" s="1173"/>
      <c r="K343" s="1173"/>
      <c r="L343" s="1173"/>
      <c r="M343" s="1173"/>
      <c r="N343" s="1173"/>
      <c r="O343" s="1173"/>
      <c r="P343" s="1173"/>
    </row>
    <row r="344">
      <c r="A344" s="1173"/>
      <c r="B344" s="1173"/>
      <c r="C344" s="1173"/>
      <c r="D344" s="1173"/>
      <c r="E344" s="1173"/>
      <c r="F344" s="1173"/>
      <c r="G344" s="1173"/>
      <c r="H344" s="1173"/>
      <c r="I344" s="1173"/>
      <c r="J344" s="1173"/>
      <c r="K344" s="1173"/>
      <c r="L344" s="1173"/>
      <c r="M344" s="1173"/>
      <c r="N344" s="1173"/>
      <c r="O344" s="1173"/>
      <c r="P344" s="1173"/>
    </row>
    <row r="345">
      <c r="A345" s="1173"/>
      <c r="B345" s="1173"/>
      <c r="C345" s="1173"/>
      <c r="D345" s="1173"/>
      <c r="E345" s="1173"/>
      <c r="F345" s="1173"/>
      <c r="G345" s="1173"/>
      <c r="H345" s="1173"/>
      <c r="I345" s="1173"/>
      <c r="J345" s="1173"/>
      <c r="K345" s="1173"/>
      <c r="L345" s="1173"/>
      <c r="M345" s="1173"/>
      <c r="N345" s="1173"/>
      <c r="O345" s="1173"/>
      <c r="P345" s="1173"/>
    </row>
    <row r="346">
      <c r="A346" s="1173"/>
      <c r="B346" s="1173"/>
      <c r="C346" s="1173"/>
      <c r="D346" s="1173"/>
      <c r="E346" s="1173"/>
      <c r="F346" s="1173"/>
      <c r="G346" s="1173"/>
      <c r="H346" s="1173"/>
      <c r="I346" s="1173"/>
      <c r="J346" s="1173"/>
      <c r="K346" s="1173"/>
      <c r="L346" s="1173"/>
      <c r="M346" s="1173"/>
      <c r="N346" s="1173"/>
      <c r="O346" s="1173"/>
      <c r="P346" s="1173"/>
    </row>
    <row r="347">
      <c r="A347" s="1173"/>
      <c r="B347" s="1173"/>
      <c r="C347" s="1173"/>
      <c r="D347" s="1173"/>
      <c r="E347" s="1173"/>
      <c r="F347" s="1173"/>
      <c r="G347" s="1173"/>
      <c r="H347" s="1173"/>
      <c r="I347" s="1173"/>
      <c r="J347" s="1173"/>
      <c r="K347" s="1173"/>
      <c r="L347" s="1173"/>
      <c r="M347" s="1173"/>
      <c r="N347" s="1173"/>
      <c r="O347" s="1173"/>
      <c r="P347" s="1173"/>
    </row>
    <row r="348">
      <c r="A348" s="1173"/>
      <c r="B348" s="1173"/>
      <c r="C348" s="1173"/>
      <c r="D348" s="1173"/>
      <c r="E348" s="1173"/>
      <c r="F348" s="1173"/>
      <c r="G348" s="1173"/>
      <c r="H348" s="1173"/>
      <c r="I348" s="1173"/>
      <c r="J348" s="1173"/>
      <c r="K348" s="1173"/>
      <c r="L348" s="1173"/>
      <c r="M348" s="1173"/>
      <c r="N348" s="1173"/>
      <c r="O348" s="1173"/>
      <c r="P348" s="1173"/>
    </row>
    <row r="349">
      <c r="A349" s="1173"/>
      <c r="B349" s="1173"/>
      <c r="C349" s="1173"/>
      <c r="D349" s="1173"/>
      <c r="E349" s="1173"/>
      <c r="F349" s="1173"/>
      <c r="G349" s="1173"/>
      <c r="H349" s="1173"/>
      <c r="I349" s="1173"/>
      <c r="J349" s="1173"/>
      <c r="K349" s="1173"/>
      <c r="L349" s="1173"/>
      <c r="M349" s="1173"/>
      <c r="N349" s="1173"/>
      <c r="O349" s="1173"/>
      <c r="P349" s="1173"/>
    </row>
    <row r="350">
      <c r="A350" s="1173"/>
      <c r="B350" s="1173"/>
      <c r="C350" s="1173"/>
      <c r="D350" s="1173"/>
      <c r="E350" s="1173"/>
      <c r="F350" s="1173"/>
      <c r="G350" s="1173"/>
      <c r="H350" s="1173"/>
      <c r="I350" s="1173"/>
      <c r="J350" s="1173"/>
      <c r="K350" s="1173"/>
      <c r="L350" s="1173"/>
      <c r="M350" s="1173"/>
      <c r="N350" s="1173"/>
      <c r="O350" s="1173"/>
      <c r="P350" s="1173"/>
    </row>
    <row r="351">
      <c r="A351" s="1173"/>
      <c r="B351" s="1173"/>
      <c r="C351" s="1173"/>
      <c r="D351" s="1173"/>
      <c r="E351" s="1173"/>
      <c r="F351" s="1173"/>
      <c r="G351" s="1173"/>
      <c r="H351" s="1173"/>
      <c r="I351" s="1173"/>
      <c r="J351" s="1173"/>
      <c r="K351" s="1173"/>
      <c r="L351" s="1173"/>
      <c r="M351" s="1173"/>
      <c r="N351" s="1173"/>
      <c r="O351" s="1173"/>
      <c r="P351" s="1173"/>
    </row>
    <row r="352">
      <c r="A352" s="1173"/>
      <c r="B352" s="1173"/>
      <c r="C352" s="1173"/>
      <c r="D352" s="1173"/>
      <c r="E352" s="1173"/>
      <c r="F352" s="1173"/>
      <c r="G352" s="1173"/>
      <c r="H352" s="1173"/>
      <c r="I352" s="1173"/>
      <c r="J352" s="1173"/>
      <c r="K352" s="1173"/>
      <c r="L352" s="1173"/>
      <c r="M352" s="1173"/>
      <c r="N352" s="1173"/>
      <c r="O352" s="1173"/>
      <c r="P352" s="1173"/>
    </row>
    <row r="353">
      <c r="A353" s="1173"/>
      <c r="B353" s="1173"/>
      <c r="C353" s="1173"/>
      <c r="D353" s="1173"/>
      <c r="E353" s="1173"/>
      <c r="F353" s="1173"/>
      <c r="G353" s="1173"/>
      <c r="H353" s="1173"/>
      <c r="I353" s="1173"/>
      <c r="J353" s="1173"/>
      <c r="K353" s="1173"/>
      <c r="L353" s="1173"/>
      <c r="M353" s="1173"/>
      <c r="N353" s="1173"/>
      <c r="O353" s="1173"/>
      <c r="P353" s="1173"/>
    </row>
    <row r="354">
      <c r="A354" s="1173"/>
      <c r="B354" s="1173"/>
      <c r="C354" s="1173"/>
      <c r="D354" s="1173"/>
      <c r="E354" s="1173"/>
      <c r="F354" s="1173"/>
      <c r="G354" s="1173"/>
      <c r="H354" s="1173"/>
      <c r="I354" s="1173"/>
      <c r="J354" s="1173"/>
      <c r="K354" s="1173"/>
      <c r="L354" s="1173"/>
      <c r="M354" s="1173"/>
      <c r="N354" s="1173"/>
      <c r="O354" s="1173"/>
      <c r="P354" s="1173"/>
    </row>
    <row r="355">
      <c r="A355" s="1173"/>
      <c r="B355" s="1173"/>
      <c r="C355" s="1173"/>
      <c r="D355" s="1173"/>
      <c r="E355" s="1173"/>
      <c r="F355" s="1173"/>
      <c r="G355" s="1173"/>
      <c r="H355" s="1173"/>
      <c r="I355" s="1173"/>
      <c r="J355" s="1173"/>
      <c r="K355" s="1173"/>
      <c r="L355" s="1173"/>
      <c r="M355" s="1173"/>
      <c r="N355" s="1173"/>
      <c r="O355" s="1173"/>
      <c r="P355" s="1173"/>
    </row>
    <row r="356">
      <c r="A356" s="1173"/>
      <c r="B356" s="1173"/>
      <c r="C356" s="1173"/>
      <c r="D356" s="1173"/>
      <c r="E356" s="1173"/>
      <c r="F356" s="1173"/>
      <c r="G356" s="1173"/>
      <c r="H356" s="1173"/>
      <c r="I356" s="1173"/>
      <c r="J356" s="1173"/>
      <c r="K356" s="1173"/>
      <c r="L356" s="1173"/>
      <c r="M356" s="1173"/>
      <c r="N356" s="1173"/>
      <c r="O356" s="1173"/>
      <c r="P356" s="1173"/>
    </row>
    <row r="357">
      <c r="A357" s="1173"/>
      <c r="B357" s="1173"/>
      <c r="C357" s="1173"/>
      <c r="D357" s="1173"/>
      <c r="E357" s="1173"/>
      <c r="F357" s="1173"/>
      <c r="G357" s="1173"/>
      <c r="H357" s="1173"/>
      <c r="I357" s="1173"/>
      <c r="J357" s="1173"/>
      <c r="K357" s="1173"/>
      <c r="L357" s="1173"/>
      <c r="M357" s="1173"/>
      <c r="N357" s="1173"/>
      <c r="O357" s="1173"/>
      <c r="P357" s="1173"/>
    </row>
    <row r="358">
      <c r="A358" s="1173"/>
      <c r="B358" s="1173"/>
      <c r="C358" s="1173"/>
      <c r="D358" s="1173"/>
      <c r="E358" s="1173"/>
      <c r="F358" s="1173"/>
      <c r="G358" s="1173"/>
      <c r="H358" s="1173"/>
      <c r="I358" s="1173"/>
      <c r="J358" s="1173"/>
      <c r="K358" s="1173"/>
      <c r="L358" s="1173"/>
      <c r="M358" s="1173"/>
      <c r="N358" s="1173"/>
      <c r="O358" s="1173"/>
      <c r="P358" s="1173"/>
    </row>
    <row r="359">
      <c r="A359" s="1173"/>
      <c r="B359" s="1173"/>
      <c r="C359" s="1173"/>
      <c r="D359" s="1173"/>
      <c r="E359" s="1173"/>
      <c r="F359" s="1173"/>
      <c r="G359" s="1173"/>
      <c r="H359" s="1173"/>
      <c r="I359" s="1173"/>
      <c r="J359" s="1173"/>
      <c r="K359" s="1173"/>
      <c r="L359" s="1173"/>
      <c r="M359" s="1173"/>
      <c r="N359" s="1173"/>
      <c r="O359" s="1173"/>
      <c r="P359" s="1173"/>
    </row>
    <row r="360">
      <c r="A360" s="1173"/>
      <c r="B360" s="1173"/>
      <c r="C360" s="1173"/>
      <c r="D360" s="1173"/>
      <c r="E360" s="1173"/>
      <c r="F360" s="1173"/>
      <c r="G360" s="1173"/>
      <c r="H360" s="1173"/>
      <c r="I360" s="1173"/>
      <c r="J360" s="1173"/>
      <c r="K360" s="1173"/>
      <c r="L360" s="1173"/>
      <c r="M360" s="1173"/>
      <c r="N360" s="1173"/>
      <c r="O360" s="1173"/>
      <c r="P360" s="1173"/>
    </row>
    <row r="361">
      <c r="A361" s="1173"/>
      <c r="B361" s="1173"/>
      <c r="C361" s="1173"/>
      <c r="D361" s="1173"/>
      <c r="E361" s="1173"/>
      <c r="F361" s="1173"/>
      <c r="G361" s="1173"/>
      <c r="H361" s="1173"/>
      <c r="I361" s="1173"/>
      <c r="J361" s="1173"/>
      <c r="K361" s="1173"/>
      <c r="L361" s="1173"/>
      <c r="M361" s="1173"/>
      <c r="N361" s="1173"/>
      <c r="O361" s="1173"/>
      <c r="P361" s="1173"/>
    </row>
    <row r="362">
      <c r="A362" s="1173"/>
      <c r="B362" s="1173"/>
      <c r="C362" s="1173"/>
      <c r="D362" s="1173"/>
      <c r="E362" s="1173"/>
      <c r="F362" s="1173"/>
      <c r="G362" s="1173"/>
      <c r="H362" s="1173"/>
      <c r="I362" s="1173"/>
      <c r="J362" s="1173"/>
      <c r="K362" s="1173"/>
      <c r="L362" s="1173"/>
      <c r="M362" s="1173"/>
      <c r="N362" s="1173"/>
      <c r="O362" s="1173"/>
      <c r="P362" s="1173"/>
    </row>
    <row r="363">
      <c r="A363" s="1173"/>
      <c r="B363" s="1173"/>
      <c r="C363" s="1173"/>
      <c r="D363" s="1173"/>
      <c r="E363" s="1173"/>
      <c r="F363" s="1173"/>
      <c r="G363" s="1173"/>
      <c r="H363" s="1173"/>
      <c r="I363" s="1173"/>
      <c r="J363" s="1173"/>
      <c r="K363" s="1173"/>
      <c r="L363" s="1173"/>
      <c r="M363" s="1173"/>
      <c r="N363" s="1173"/>
      <c r="O363" s="1173"/>
      <c r="P363" s="1173"/>
    </row>
    <row r="364">
      <c r="A364" s="1173"/>
      <c r="B364" s="1173"/>
      <c r="C364" s="1173"/>
      <c r="D364" s="1173"/>
      <c r="E364" s="1173"/>
      <c r="F364" s="1173"/>
      <c r="G364" s="1173"/>
      <c r="H364" s="1173"/>
      <c r="I364" s="1173"/>
      <c r="J364" s="1173"/>
      <c r="K364" s="1173"/>
      <c r="L364" s="1173"/>
      <c r="M364" s="1173"/>
      <c r="N364" s="1173"/>
      <c r="O364" s="1173"/>
      <c r="P364" s="1173"/>
    </row>
    <row r="365">
      <c r="A365" s="1173"/>
      <c r="B365" s="1173"/>
      <c r="C365" s="1173"/>
      <c r="D365" s="1173"/>
      <c r="E365" s="1173"/>
      <c r="F365" s="1173"/>
      <c r="G365" s="1173"/>
      <c r="H365" s="1173"/>
      <c r="I365" s="1173"/>
      <c r="J365" s="1173"/>
      <c r="K365" s="1173"/>
      <c r="L365" s="1173"/>
      <c r="M365" s="1173"/>
      <c r="N365" s="1173"/>
      <c r="O365" s="1173"/>
      <c r="P365" s="1173"/>
    </row>
    <row r="366">
      <c r="A366" s="1173"/>
      <c r="B366" s="1173"/>
      <c r="C366" s="1173"/>
      <c r="D366" s="1173"/>
      <c r="E366" s="1173"/>
      <c r="F366" s="1173"/>
      <c r="G366" s="1173"/>
      <c r="H366" s="1173"/>
      <c r="I366" s="1173"/>
      <c r="J366" s="1173"/>
      <c r="K366" s="1173"/>
      <c r="L366" s="1173"/>
      <c r="M366" s="1173"/>
      <c r="N366" s="1173"/>
      <c r="O366" s="1173"/>
      <c r="P366" s="1173"/>
    </row>
    <row r="367">
      <c r="A367" s="1173"/>
      <c r="B367" s="1173"/>
      <c r="C367" s="1173"/>
      <c r="D367" s="1173"/>
      <c r="E367" s="1173"/>
      <c r="F367" s="1173"/>
      <c r="G367" s="1173"/>
      <c r="H367" s="1173"/>
      <c r="I367" s="1173"/>
      <c r="J367" s="1173"/>
      <c r="K367" s="1173"/>
      <c r="L367" s="1173"/>
      <c r="M367" s="1173"/>
      <c r="N367" s="1173"/>
      <c r="O367" s="1173"/>
      <c r="P367" s="1173"/>
    </row>
    <row r="368">
      <c r="A368" s="1173"/>
      <c r="B368" s="1173"/>
      <c r="C368" s="1173"/>
      <c r="D368" s="1173"/>
      <c r="E368" s="1173"/>
      <c r="F368" s="1173"/>
      <c r="G368" s="1173"/>
      <c r="H368" s="1173"/>
      <c r="I368" s="1173"/>
      <c r="J368" s="1173"/>
      <c r="K368" s="1173"/>
      <c r="L368" s="1173"/>
      <c r="M368" s="1173"/>
      <c r="N368" s="1173"/>
      <c r="O368" s="1173"/>
      <c r="P368" s="1173"/>
    </row>
    <row r="369">
      <c r="A369" s="1173"/>
      <c r="B369" s="1173"/>
      <c r="C369" s="1173"/>
      <c r="D369" s="1173"/>
      <c r="E369" s="1173"/>
      <c r="F369" s="1173"/>
      <c r="G369" s="1173"/>
      <c r="H369" s="1173"/>
      <c r="I369" s="1173"/>
      <c r="J369" s="1173"/>
      <c r="K369" s="1173"/>
      <c r="L369" s="1173"/>
      <c r="M369" s="1173"/>
      <c r="N369" s="1173"/>
      <c r="O369" s="1173"/>
      <c r="P369" s="1173"/>
    </row>
    <row r="370">
      <c r="A370" s="1173"/>
      <c r="B370" s="1173"/>
      <c r="C370" s="1173"/>
      <c r="D370" s="1173"/>
      <c r="E370" s="1173"/>
      <c r="F370" s="1173"/>
      <c r="G370" s="1173"/>
      <c r="H370" s="1173"/>
      <c r="I370" s="1173"/>
      <c r="J370" s="1173"/>
      <c r="K370" s="1173"/>
      <c r="L370" s="1173"/>
      <c r="M370" s="1173"/>
      <c r="N370" s="1173"/>
      <c r="O370" s="1173"/>
      <c r="P370" s="1173"/>
    </row>
    <row r="371">
      <c r="A371" s="1173"/>
      <c r="B371" s="1173"/>
      <c r="C371" s="1173"/>
      <c r="D371" s="1173"/>
      <c r="E371" s="1173"/>
      <c r="F371" s="1173"/>
      <c r="G371" s="1173"/>
      <c r="H371" s="1173"/>
      <c r="I371" s="1173"/>
      <c r="J371" s="1173"/>
      <c r="K371" s="1173"/>
      <c r="L371" s="1173"/>
      <c r="M371" s="1173"/>
      <c r="N371" s="1173"/>
      <c r="O371" s="1173"/>
      <c r="P371" s="1173"/>
    </row>
    <row r="372">
      <c r="A372" s="1173"/>
      <c r="B372" s="1173"/>
      <c r="C372" s="1173"/>
      <c r="D372" s="1173"/>
      <c r="E372" s="1173"/>
      <c r="F372" s="1173"/>
      <c r="G372" s="1173"/>
      <c r="H372" s="1173"/>
      <c r="I372" s="1173"/>
      <c r="J372" s="1173"/>
      <c r="K372" s="1173"/>
      <c r="L372" s="1173"/>
      <c r="M372" s="1173"/>
      <c r="N372" s="1173"/>
      <c r="O372" s="1173"/>
      <c r="P372" s="1173"/>
    </row>
    <row r="373">
      <c r="A373" s="1173"/>
      <c r="B373" s="1173"/>
      <c r="C373" s="1173"/>
      <c r="D373" s="1173"/>
      <c r="E373" s="1173"/>
      <c r="F373" s="1173"/>
      <c r="G373" s="1173"/>
      <c r="H373" s="1173"/>
      <c r="I373" s="1173"/>
      <c r="J373" s="1173"/>
      <c r="K373" s="1173"/>
      <c r="L373" s="1173"/>
      <c r="M373" s="1173"/>
      <c r="N373" s="1173"/>
      <c r="O373" s="1173"/>
      <c r="P373" s="1173"/>
    </row>
    <row r="374">
      <c r="A374" s="1173"/>
      <c r="B374" s="1173"/>
      <c r="C374" s="1173"/>
      <c r="D374" s="1173"/>
      <c r="E374" s="1173"/>
      <c r="F374" s="1173"/>
      <c r="G374" s="1173"/>
      <c r="H374" s="1173"/>
      <c r="I374" s="1173"/>
      <c r="J374" s="1173"/>
      <c r="K374" s="1173"/>
      <c r="L374" s="1173"/>
      <c r="M374" s="1173"/>
      <c r="N374" s="1173"/>
      <c r="O374" s="1173"/>
      <c r="P374" s="1173"/>
    </row>
    <row r="375">
      <c r="A375" s="1173"/>
      <c r="B375" s="1173"/>
      <c r="C375" s="1173"/>
      <c r="D375" s="1173"/>
      <c r="E375" s="1173"/>
      <c r="F375" s="1173"/>
      <c r="G375" s="1173"/>
      <c r="H375" s="1173"/>
      <c r="I375" s="1173"/>
      <c r="J375" s="1173"/>
      <c r="K375" s="1173"/>
      <c r="L375" s="1173"/>
      <c r="M375" s="1173"/>
      <c r="N375" s="1173"/>
      <c r="O375" s="1173"/>
      <c r="P375" s="1173"/>
    </row>
    <row r="376">
      <c r="A376" s="1173"/>
      <c r="B376" s="1173"/>
      <c r="C376" s="1173"/>
      <c r="D376" s="1173"/>
      <c r="E376" s="1173"/>
      <c r="F376" s="1173"/>
      <c r="G376" s="1173"/>
      <c r="H376" s="1173"/>
      <c r="I376" s="1173"/>
      <c r="J376" s="1173"/>
      <c r="K376" s="1173"/>
      <c r="L376" s="1173"/>
      <c r="M376" s="1173"/>
      <c r="N376" s="1173"/>
      <c r="O376" s="1173"/>
      <c r="P376" s="1173"/>
    </row>
    <row r="377">
      <c r="A377" s="1173"/>
      <c r="B377" s="1173"/>
      <c r="C377" s="1173"/>
      <c r="D377" s="1173"/>
      <c r="E377" s="1173"/>
      <c r="F377" s="1173"/>
      <c r="G377" s="1173"/>
      <c r="H377" s="1173"/>
      <c r="I377" s="1173"/>
      <c r="J377" s="1173"/>
      <c r="K377" s="1173"/>
      <c r="L377" s="1173"/>
      <c r="M377" s="1173"/>
      <c r="N377" s="1173"/>
      <c r="O377" s="1173"/>
      <c r="P377" s="1173"/>
    </row>
    <row r="378">
      <c r="A378" s="1173"/>
      <c r="B378" s="1173"/>
      <c r="C378" s="1173"/>
      <c r="D378" s="1173"/>
      <c r="E378" s="1173"/>
      <c r="F378" s="1173"/>
      <c r="G378" s="1173"/>
      <c r="H378" s="1173"/>
      <c r="I378" s="1173"/>
      <c r="J378" s="1173"/>
      <c r="K378" s="1173"/>
      <c r="L378" s="1173"/>
      <c r="M378" s="1173"/>
      <c r="N378" s="1173"/>
      <c r="O378" s="1173"/>
      <c r="P378" s="1173"/>
    </row>
    <row r="379">
      <c r="A379" s="1173"/>
      <c r="B379" s="1173"/>
      <c r="C379" s="1173"/>
      <c r="D379" s="1173"/>
      <c r="E379" s="1173"/>
      <c r="F379" s="1173"/>
      <c r="G379" s="1173"/>
      <c r="H379" s="1173"/>
      <c r="I379" s="1173"/>
      <c r="J379" s="1173"/>
      <c r="K379" s="1173"/>
      <c r="L379" s="1173"/>
      <c r="M379" s="1173"/>
      <c r="N379" s="1173"/>
      <c r="O379" s="1173"/>
      <c r="P379" s="1173"/>
    </row>
    <row r="380">
      <c r="A380" s="1173"/>
      <c r="B380" s="1173"/>
      <c r="C380" s="1173"/>
      <c r="D380" s="1173"/>
      <c r="E380" s="1173"/>
      <c r="F380" s="1173"/>
      <c r="G380" s="1173"/>
      <c r="H380" s="1173"/>
      <c r="I380" s="1173"/>
      <c r="J380" s="1173"/>
      <c r="K380" s="1173"/>
      <c r="L380" s="1173"/>
      <c r="M380" s="1173"/>
      <c r="N380" s="1173"/>
      <c r="O380" s="1173"/>
      <c r="P380" s="1173"/>
    </row>
    <row r="381">
      <c r="A381" s="1173"/>
      <c r="B381" s="1173"/>
      <c r="C381" s="1173"/>
      <c r="D381" s="1173"/>
      <c r="E381" s="1173"/>
      <c r="F381" s="1173"/>
      <c r="G381" s="1173"/>
      <c r="H381" s="1173"/>
      <c r="I381" s="1173"/>
      <c r="J381" s="1173"/>
      <c r="K381" s="1173"/>
      <c r="L381" s="1173"/>
      <c r="M381" s="1173"/>
      <c r="N381" s="1173"/>
      <c r="O381" s="1173"/>
      <c r="P381" s="1173"/>
    </row>
    <row r="382">
      <c r="A382" s="1173"/>
      <c r="B382" s="1173"/>
      <c r="C382" s="1173"/>
      <c r="D382" s="1173"/>
      <c r="E382" s="1173"/>
      <c r="F382" s="1173"/>
      <c r="G382" s="1173"/>
      <c r="H382" s="1173"/>
      <c r="I382" s="1173"/>
      <c r="J382" s="1173"/>
      <c r="K382" s="1173"/>
      <c r="L382" s="1173"/>
      <c r="M382" s="1173"/>
      <c r="N382" s="1173"/>
      <c r="O382" s="1173"/>
      <c r="P382" s="1173"/>
    </row>
    <row r="383">
      <c r="A383" s="1173"/>
      <c r="B383" s="1173"/>
      <c r="C383" s="1173"/>
      <c r="D383" s="1173"/>
      <c r="E383" s="1173"/>
      <c r="F383" s="1173"/>
      <c r="G383" s="1173"/>
      <c r="H383" s="1173"/>
      <c r="I383" s="1173"/>
      <c r="J383" s="1173"/>
      <c r="K383" s="1173"/>
      <c r="L383" s="1173"/>
      <c r="M383" s="1173"/>
      <c r="N383" s="1173"/>
      <c r="O383" s="1173"/>
      <c r="P383" s="1173"/>
    </row>
    <row r="384">
      <c r="A384" s="1173"/>
      <c r="B384" s="1173"/>
      <c r="C384" s="1173"/>
      <c r="D384" s="1173"/>
      <c r="E384" s="1173"/>
      <c r="F384" s="1173"/>
      <c r="G384" s="1173"/>
      <c r="H384" s="1173"/>
      <c r="I384" s="1173"/>
      <c r="J384" s="1173"/>
      <c r="K384" s="1173"/>
      <c r="L384" s="1173"/>
      <c r="M384" s="1173"/>
      <c r="N384" s="1173"/>
      <c r="O384" s="1173"/>
      <c r="P384" s="1173"/>
    </row>
    <row r="385">
      <c r="A385" s="1173"/>
      <c r="B385" s="1173"/>
      <c r="C385" s="1173"/>
      <c r="D385" s="1173"/>
      <c r="E385" s="1173"/>
      <c r="F385" s="1173"/>
      <c r="G385" s="1173"/>
      <c r="H385" s="1173"/>
      <c r="I385" s="1173"/>
      <c r="J385" s="1173"/>
      <c r="K385" s="1173"/>
      <c r="L385" s="1173"/>
      <c r="M385" s="1173"/>
      <c r="N385" s="1173"/>
      <c r="O385" s="1173"/>
      <c r="P385" s="1173"/>
    </row>
    <row r="386">
      <c r="A386" s="1173"/>
      <c r="B386" s="1173"/>
      <c r="C386" s="1173"/>
      <c r="D386" s="1173"/>
      <c r="E386" s="1173"/>
      <c r="F386" s="1173"/>
      <c r="G386" s="1173"/>
      <c r="H386" s="1173"/>
      <c r="I386" s="1173"/>
      <c r="J386" s="1173"/>
      <c r="K386" s="1173"/>
      <c r="L386" s="1173"/>
      <c r="M386" s="1173"/>
      <c r="N386" s="1173"/>
      <c r="O386" s="1173"/>
      <c r="P386" s="1173"/>
    </row>
    <row r="387">
      <c r="A387" s="1173"/>
      <c r="B387" s="1173"/>
      <c r="C387" s="1173"/>
      <c r="D387" s="1173"/>
      <c r="E387" s="1173"/>
      <c r="F387" s="1173"/>
      <c r="G387" s="1173"/>
      <c r="H387" s="1173"/>
      <c r="I387" s="1173"/>
      <c r="J387" s="1173"/>
      <c r="K387" s="1173"/>
      <c r="L387" s="1173"/>
      <c r="M387" s="1173"/>
      <c r="N387" s="1173"/>
      <c r="O387" s="1173"/>
      <c r="P387" s="1173"/>
    </row>
    <row r="388">
      <c r="A388" s="1173"/>
      <c r="B388" s="1173"/>
      <c r="C388" s="1173"/>
      <c r="D388" s="1173"/>
      <c r="E388" s="1173"/>
      <c r="F388" s="1173"/>
      <c r="G388" s="1173"/>
      <c r="H388" s="1173"/>
      <c r="I388" s="1173"/>
      <c r="J388" s="1173"/>
      <c r="K388" s="1173"/>
      <c r="L388" s="1173"/>
      <c r="M388" s="1173"/>
      <c r="N388" s="1173"/>
      <c r="O388" s="1173"/>
      <c r="P388" s="1173"/>
    </row>
    <row r="389">
      <c r="A389" s="1173"/>
      <c r="B389" s="1173"/>
      <c r="C389" s="1173"/>
      <c r="D389" s="1173"/>
      <c r="E389" s="1173"/>
      <c r="F389" s="1173"/>
      <c r="G389" s="1173"/>
      <c r="H389" s="1173"/>
      <c r="I389" s="1173"/>
      <c r="J389" s="1173"/>
      <c r="K389" s="1173"/>
      <c r="L389" s="1173"/>
      <c r="M389" s="1173"/>
      <c r="N389" s="1173"/>
      <c r="O389" s="1173"/>
      <c r="P389" s="1173"/>
    </row>
    <row r="390">
      <c r="A390" s="1173"/>
      <c r="B390" s="1173"/>
      <c r="C390" s="1173"/>
      <c r="D390" s="1173"/>
      <c r="E390" s="1173"/>
      <c r="F390" s="1173"/>
      <c r="G390" s="1173"/>
      <c r="H390" s="1173"/>
      <c r="I390" s="1173"/>
      <c r="J390" s="1173"/>
      <c r="K390" s="1173"/>
      <c r="L390" s="1173"/>
      <c r="M390" s="1173"/>
      <c r="N390" s="1173"/>
      <c r="O390" s="1173"/>
      <c r="P390" s="1173"/>
    </row>
    <row r="391">
      <c r="A391" s="1173"/>
      <c r="B391" s="1173"/>
      <c r="C391" s="1173"/>
      <c r="D391" s="1173"/>
      <c r="E391" s="1173"/>
      <c r="F391" s="1173"/>
      <c r="G391" s="1173"/>
      <c r="H391" s="1173"/>
      <c r="I391" s="1173"/>
      <c r="J391" s="1173"/>
      <c r="K391" s="1173"/>
      <c r="L391" s="1173"/>
      <c r="M391" s="1173"/>
      <c r="N391" s="1173"/>
      <c r="O391" s="1173"/>
      <c r="P391" s="1173"/>
    </row>
    <row r="392">
      <c r="A392" s="1173"/>
      <c r="B392" s="1173"/>
      <c r="C392" s="1173"/>
      <c r="D392" s="1173"/>
      <c r="E392" s="1173"/>
      <c r="F392" s="1173"/>
      <c r="G392" s="1173"/>
      <c r="H392" s="1173"/>
      <c r="I392" s="1173"/>
      <c r="J392" s="1173"/>
      <c r="K392" s="1173"/>
      <c r="L392" s="1173"/>
      <c r="M392" s="1173"/>
      <c r="N392" s="1173"/>
      <c r="O392" s="1173"/>
      <c r="P392" s="1173"/>
    </row>
    <row r="393">
      <c r="A393" s="1173"/>
      <c r="B393" s="1173"/>
      <c r="C393" s="1173"/>
      <c r="D393" s="1173"/>
      <c r="E393" s="1173"/>
      <c r="F393" s="1173"/>
      <c r="G393" s="1173"/>
      <c r="H393" s="1173"/>
      <c r="I393" s="1173"/>
      <c r="J393" s="1173"/>
      <c r="K393" s="1173"/>
      <c r="L393" s="1173"/>
      <c r="M393" s="1173"/>
      <c r="N393" s="1173"/>
      <c r="O393" s="1173"/>
      <c r="P393" s="1173"/>
    </row>
    <row r="394">
      <c r="A394" s="1173"/>
      <c r="B394" s="1173"/>
      <c r="C394" s="1173"/>
      <c r="D394" s="1173"/>
      <c r="E394" s="1173"/>
      <c r="F394" s="1173"/>
      <c r="G394" s="1173"/>
      <c r="H394" s="1173"/>
      <c r="I394" s="1173"/>
      <c r="J394" s="1173"/>
      <c r="K394" s="1173"/>
      <c r="L394" s="1173"/>
      <c r="M394" s="1173"/>
      <c r="N394" s="1173"/>
      <c r="O394" s="1173"/>
      <c r="P394" s="1173"/>
    </row>
    <row r="395">
      <c r="A395" s="1173"/>
      <c r="B395" s="1173"/>
      <c r="C395" s="1173"/>
      <c r="D395" s="1173"/>
      <c r="E395" s="1173"/>
      <c r="F395" s="1173"/>
      <c r="G395" s="1173"/>
      <c r="H395" s="1173"/>
      <c r="I395" s="1173"/>
      <c r="J395" s="1173"/>
      <c r="K395" s="1173"/>
      <c r="L395" s="1173"/>
      <c r="M395" s="1173"/>
      <c r="N395" s="1173"/>
      <c r="O395" s="1173"/>
      <c r="P395" s="1173"/>
    </row>
    <row r="396">
      <c r="A396" s="1173"/>
      <c r="B396" s="1173"/>
      <c r="C396" s="1173"/>
      <c r="D396" s="1173"/>
      <c r="E396" s="1173"/>
      <c r="F396" s="1173"/>
      <c r="G396" s="1173"/>
      <c r="H396" s="1173"/>
      <c r="I396" s="1173"/>
      <c r="J396" s="1173"/>
      <c r="K396" s="1173"/>
      <c r="L396" s="1173"/>
      <c r="M396" s="1173"/>
      <c r="N396" s="1173"/>
      <c r="O396" s="1173"/>
      <c r="P396" s="1173"/>
    </row>
    <row r="397">
      <c r="A397" s="1173"/>
      <c r="B397" s="1173"/>
      <c r="C397" s="1173"/>
      <c r="D397" s="1173"/>
      <c r="E397" s="1173"/>
      <c r="F397" s="1173"/>
      <c r="G397" s="1173"/>
      <c r="H397" s="1173"/>
      <c r="I397" s="1173"/>
      <c r="J397" s="1173"/>
      <c r="K397" s="1173"/>
      <c r="L397" s="1173"/>
      <c r="M397" s="1173"/>
      <c r="N397" s="1173"/>
      <c r="O397" s="1173"/>
      <c r="P397" s="1173"/>
    </row>
    <row r="398">
      <c r="A398" s="1173"/>
      <c r="B398" s="1173"/>
      <c r="C398" s="1173"/>
      <c r="D398" s="1173"/>
      <c r="E398" s="1173"/>
      <c r="F398" s="1173"/>
      <c r="G398" s="1173"/>
      <c r="H398" s="1173"/>
      <c r="I398" s="1173"/>
      <c r="J398" s="1173"/>
      <c r="K398" s="1173"/>
      <c r="L398" s="1173"/>
      <c r="M398" s="1173"/>
      <c r="N398" s="1173"/>
      <c r="O398" s="1173"/>
      <c r="P398" s="1173"/>
    </row>
    <row r="399">
      <c r="A399" s="1173"/>
      <c r="B399" s="1173"/>
      <c r="C399" s="1173"/>
      <c r="D399" s="1173"/>
      <c r="E399" s="1173"/>
      <c r="F399" s="1173"/>
      <c r="G399" s="1173"/>
      <c r="H399" s="1173"/>
      <c r="I399" s="1173"/>
      <c r="J399" s="1173"/>
      <c r="K399" s="1173"/>
      <c r="L399" s="1173"/>
      <c r="M399" s="1173"/>
      <c r="N399" s="1173"/>
      <c r="O399" s="1173"/>
      <c r="P399" s="1173"/>
    </row>
    <row r="400">
      <c r="A400" s="1173"/>
      <c r="B400" s="1173"/>
      <c r="C400" s="1173"/>
      <c r="D400" s="1173"/>
      <c r="E400" s="1173"/>
      <c r="F400" s="1173"/>
      <c r="G400" s="1173"/>
      <c r="H400" s="1173"/>
      <c r="I400" s="1173"/>
      <c r="J400" s="1173"/>
      <c r="K400" s="1173"/>
      <c r="L400" s="1173"/>
      <c r="M400" s="1173"/>
      <c r="N400" s="1173"/>
      <c r="O400" s="1173"/>
      <c r="P400" s="1173"/>
    </row>
    <row r="401">
      <c r="A401" s="1173"/>
      <c r="B401" s="1173"/>
      <c r="C401" s="1173"/>
      <c r="D401" s="1173"/>
      <c r="E401" s="1173"/>
      <c r="F401" s="1173"/>
      <c r="G401" s="1173"/>
      <c r="H401" s="1173"/>
      <c r="I401" s="1173"/>
      <c r="J401" s="1173"/>
      <c r="K401" s="1173"/>
      <c r="L401" s="1173"/>
      <c r="M401" s="1173"/>
      <c r="N401" s="1173"/>
      <c r="O401" s="1173"/>
      <c r="P401" s="1173"/>
    </row>
    <row r="402">
      <c r="A402" s="1173"/>
      <c r="B402" s="1173"/>
      <c r="C402" s="1173"/>
      <c r="D402" s="1173"/>
      <c r="E402" s="1173"/>
      <c r="F402" s="1173"/>
      <c r="G402" s="1173"/>
      <c r="H402" s="1173"/>
      <c r="I402" s="1173"/>
      <c r="J402" s="1173"/>
      <c r="K402" s="1173"/>
      <c r="L402" s="1173"/>
      <c r="M402" s="1173"/>
      <c r="N402" s="1173"/>
      <c r="O402" s="1173"/>
      <c r="P402" s="1173"/>
    </row>
    <row r="403">
      <c r="A403" s="1173"/>
      <c r="B403" s="1173"/>
      <c r="C403" s="1173"/>
      <c r="D403" s="1173"/>
      <c r="E403" s="1173"/>
      <c r="F403" s="1173"/>
      <c r="G403" s="1173"/>
      <c r="H403" s="1173"/>
      <c r="I403" s="1173"/>
      <c r="J403" s="1173"/>
      <c r="K403" s="1173"/>
      <c r="L403" s="1173"/>
      <c r="M403" s="1173"/>
      <c r="N403" s="1173"/>
      <c r="O403" s="1173"/>
      <c r="P403" s="1173"/>
    </row>
    <row r="404">
      <c r="A404" s="1173"/>
      <c r="B404" s="1173"/>
      <c r="C404" s="1173"/>
      <c r="D404" s="1173"/>
      <c r="E404" s="1173"/>
      <c r="F404" s="1173"/>
      <c r="G404" s="1173"/>
      <c r="H404" s="1173"/>
      <c r="I404" s="1173"/>
      <c r="J404" s="1173"/>
      <c r="K404" s="1173"/>
      <c r="L404" s="1173"/>
      <c r="M404" s="1173"/>
      <c r="N404" s="1173"/>
      <c r="O404" s="1173"/>
      <c r="P404" s="1173"/>
    </row>
    <row r="405">
      <c r="A405" s="1173"/>
      <c r="B405" s="1173"/>
      <c r="C405" s="1173"/>
      <c r="D405" s="1173"/>
      <c r="E405" s="1173"/>
      <c r="F405" s="1173"/>
      <c r="G405" s="1173"/>
      <c r="H405" s="1173"/>
      <c r="I405" s="1173"/>
      <c r="J405" s="1173"/>
      <c r="K405" s="1173"/>
      <c r="L405" s="1173"/>
      <c r="M405" s="1173"/>
      <c r="N405" s="1173"/>
      <c r="O405" s="1173"/>
      <c r="P405" s="1173"/>
    </row>
    <row r="406">
      <c r="A406" s="1173"/>
      <c r="B406" s="1173"/>
      <c r="C406" s="1173"/>
      <c r="D406" s="1173"/>
      <c r="E406" s="1173"/>
      <c r="F406" s="1173"/>
      <c r="G406" s="1173"/>
      <c r="H406" s="1173"/>
      <c r="I406" s="1173"/>
      <c r="J406" s="1173"/>
      <c r="K406" s="1173"/>
      <c r="L406" s="1173"/>
      <c r="M406" s="1173"/>
      <c r="N406" s="1173"/>
      <c r="O406" s="1173"/>
      <c r="P406" s="1173"/>
    </row>
    <row r="407">
      <c r="A407" s="1173"/>
      <c r="B407" s="1173"/>
      <c r="C407" s="1173"/>
      <c r="D407" s="1173"/>
      <c r="E407" s="1173"/>
      <c r="F407" s="1173"/>
      <c r="G407" s="1173"/>
      <c r="H407" s="1173"/>
      <c r="I407" s="1173"/>
      <c r="J407" s="1173"/>
      <c r="K407" s="1173"/>
      <c r="L407" s="1173"/>
      <c r="M407" s="1173"/>
      <c r="N407" s="1173"/>
      <c r="O407" s="1173"/>
      <c r="P407" s="1173"/>
    </row>
    <row r="408">
      <c r="A408" s="1173"/>
      <c r="B408" s="1173"/>
      <c r="C408" s="1173"/>
      <c r="D408" s="1173"/>
      <c r="E408" s="1173"/>
      <c r="F408" s="1173"/>
      <c r="G408" s="1173"/>
      <c r="H408" s="1173"/>
      <c r="I408" s="1173"/>
      <c r="J408" s="1173"/>
      <c r="K408" s="1173"/>
      <c r="L408" s="1173"/>
      <c r="M408" s="1173"/>
      <c r="N408" s="1173"/>
      <c r="O408" s="1173"/>
      <c r="P408" s="1173"/>
    </row>
    <row r="409">
      <c r="A409" s="1173"/>
      <c r="B409" s="1173"/>
      <c r="C409" s="1173"/>
      <c r="D409" s="1173"/>
      <c r="E409" s="1173"/>
      <c r="F409" s="1173"/>
      <c r="G409" s="1173"/>
      <c r="H409" s="1173"/>
      <c r="I409" s="1173"/>
      <c r="J409" s="1173"/>
      <c r="K409" s="1173"/>
      <c r="L409" s="1173"/>
      <c r="M409" s="1173"/>
      <c r="N409" s="1173"/>
      <c r="O409" s="1173"/>
      <c r="P409" s="1173"/>
    </row>
    <row r="410">
      <c r="A410" s="1173"/>
      <c r="B410" s="1173"/>
      <c r="C410" s="1173"/>
      <c r="D410" s="1173"/>
      <c r="E410" s="1173"/>
      <c r="F410" s="1173"/>
      <c r="G410" s="1173"/>
      <c r="H410" s="1173"/>
      <c r="I410" s="1173"/>
      <c r="J410" s="1173"/>
      <c r="K410" s="1173"/>
      <c r="L410" s="1173"/>
      <c r="M410" s="1173"/>
      <c r="N410" s="1173"/>
      <c r="O410" s="1173"/>
      <c r="P410" s="1173"/>
    </row>
    <row r="411">
      <c r="A411" s="1173"/>
      <c r="B411" s="1173"/>
      <c r="C411" s="1173"/>
      <c r="D411" s="1173"/>
      <c r="E411" s="1173"/>
      <c r="F411" s="1173"/>
      <c r="G411" s="1173"/>
      <c r="H411" s="1173"/>
      <c r="I411" s="1173"/>
      <c r="J411" s="1173"/>
      <c r="K411" s="1173"/>
      <c r="L411" s="1173"/>
      <c r="M411" s="1173"/>
      <c r="N411" s="1173"/>
      <c r="O411" s="1173"/>
      <c r="P411" s="1173"/>
    </row>
    <row r="412">
      <c r="A412" s="1173"/>
      <c r="B412" s="1173"/>
      <c r="C412" s="1173"/>
      <c r="D412" s="1173"/>
      <c r="E412" s="1173"/>
      <c r="F412" s="1173"/>
      <c r="G412" s="1173"/>
      <c r="H412" s="1173"/>
      <c r="I412" s="1173"/>
      <c r="J412" s="1173"/>
      <c r="K412" s="1173"/>
      <c r="L412" s="1173"/>
      <c r="M412" s="1173"/>
      <c r="N412" s="1173"/>
      <c r="O412" s="1173"/>
      <c r="P412" s="1173"/>
    </row>
    <row r="413">
      <c r="A413" s="1173"/>
      <c r="B413" s="1173"/>
      <c r="C413" s="1173"/>
      <c r="D413" s="1173"/>
      <c r="E413" s="1173"/>
      <c r="F413" s="1173"/>
      <c r="G413" s="1173"/>
      <c r="H413" s="1173"/>
      <c r="I413" s="1173"/>
      <c r="J413" s="1173"/>
      <c r="K413" s="1173"/>
      <c r="L413" s="1173"/>
      <c r="M413" s="1173"/>
      <c r="N413" s="1173"/>
      <c r="O413" s="1173"/>
      <c r="P413" s="1173"/>
    </row>
    <row r="414">
      <c r="A414" s="1173"/>
      <c r="B414" s="1173"/>
      <c r="C414" s="1173"/>
      <c r="D414" s="1173"/>
      <c r="E414" s="1173"/>
      <c r="F414" s="1173"/>
      <c r="G414" s="1173"/>
      <c r="H414" s="1173"/>
      <c r="I414" s="1173"/>
      <c r="J414" s="1173"/>
      <c r="K414" s="1173"/>
      <c r="L414" s="1173"/>
      <c r="M414" s="1173"/>
      <c r="N414" s="1173"/>
      <c r="O414" s="1173"/>
      <c r="P414" s="1173"/>
    </row>
    <row r="415">
      <c r="A415" s="1173"/>
      <c r="B415" s="1173"/>
      <c r="C415" s="1173"/>
      <c r="D415" s="1173"/>
      <c r="E415" s="1173"/>
      <c r="F415" s="1173"/>
      <c r="G415" s="1173"/>
      <c r="H415" s="1173"/>
      <c r="I415" s="1173"/>
      <c r="J415" s="1173"/>
      <c r="K415" s="1173"/>
      <c r="L415" s="1173"/>
      <c r="M415" s="1173"/>
      <c r="N415" s="1173"/>
      <c r="O415" s="1173"/>
      <c r="P415" s="1173"/>
    </row>
    <row r="416">
      <c r="A416" s="1173"/>
      <c r="B416" s="1173"/>
      <c r="C416" s="1173"/>
      <c r="D416" s="1173"/>
      <c r="E416" s="1173"/>
      <c r="F416" s="1173"/>
      <c r="G416" s="1173"/>
      <c r="H416" s="1173"/>
      <c r="I416" s="1173"/>
      <c r="J416" s="1173"/>
      <c r="K416" s="1173"/>
      <c r="L416" s="1173"/>
      <c r="M416" s="1173"/>
      <c r="N416" s="1173"/>
      <c r="O416" s="1173"/>
      <c r="P416" s="1173"/>
    </row>
    <row r="417">
      <c r="A417" s="1173"/>
      <c r="B417" s="1173"/>
      <c r="C417" s="1173"/>
      <c r="D417" s="1173"/>
      <c r="E417" s="1173"/>
      <c r="F417" s="1173"/>
      <c r="G417" s="1173"/>
      <c r="H417" s="1173"/>
      <c r="I417" s="1173"/>
      <c r="J417" s="1173"/>
      <c r="K417" s="1173"/>
      <c r="L417" s="1173"/>
      <c r="M417" s="1173"/>
      <c r="N417" s="1173"/>
      <c r="O417" s="1173"/>
      <c r="P417" s="1173"/>
    </row>
    <row r="418">
      <c r="A418" s="1173"/>
      <c r="B418" s="1173"/>
      <c r="C418" s="1173"/>
      <c r="D418" s="1173"/>
      <c r="E418" s="1173"/>
      <c r="F418" s="1173"/>
      <c r="G418" s="1173"/>
      <c r="H418" s="1173"/>
      <c r="I418" s="1173"/>
      <c r="J418" s="1173"/>
      <c r="K418" s="1173"/>
      <c r="L418" s="1173"/>
      <c r="M418" s="1173"/>
      <c r="N418" s="1173"/>
      <c r="O418" s="1173"/>
      <c r="P418" s="1173"/>
    </row>
    <row r="419">
      <c r="A419" s="1173"/>
      <c r="B419" s="1173"/>
      <c r="C419" s="1173"/>
      <c r="D419" s="1173"/>
      <c r="E419" s="1173"/>
      <c r="F419" s="1173"/>
      <c r="G419" s="1173"/>
      <c r="H419" s="1173"/>
      <c r="I419" s="1173"/>
      <c r="J419" s="1173"/>
      <c r="K419" s="1173"/>
      <c r="L419" s="1173"/>
      <c r="M419" s="1173"/>
      <c r="N419" s="1173"/>
      <c r="O419" s="1173"/>
      <c r="P419" s="1173"/>
    </row>
    <row r="420">
      <c r="A420" s="1173"/>
      <c r="B420" s="1173"/>
      <c r="C420" s="1173"/>
      <c r="D420" s="1173"/>
      <c r="E420" s="1173"/>
      <c r="F420" s="1173"/>
      <c r="G420" s="1173"/>
      <c r="H420" s="1173"/>
      <c r="I420" s="1173"/>
      <c r="J420" s="1173"/>
      <c r="K420" s="1173"/>
      <c r="L420" s="1173"/>
      <c r="M420" s="1173"/>
      <c r="N420" s="1173"/>
      <c r="O420" s="1173"/>
      <c r="P420" s="1173"/>
    </row>
    <row r="421">
      <c r="A421" s="1173"/>
      <c r="B421" s="1173"/>
      <c r="C421" s="1173"/>
      <c r="D421" s="1173"/>
      <c r="E421" s="1173"/>
      <c r="F421" s="1173"/>
      <c r="G421" s="1173"/>
      <c r="H421" s="1173"/>
      <c r="I421" s="1173"/>
      <c r="J421" s="1173"/>
      <c r="K421" s="1173"/>
      <c r="L421" s="1173"/>
      <c r="M421" s="1173"/>
      <c r="N421" s="1173"/>
      <c r="O421" s="1173"/>
      <c r="P421" s="1173"/>
    </row>
    <row r="422">
      <c r="A422" s="1173"/>
      <c r="B422" s="1173"/>
      <c r="C422" s="1173"/>
      <c r="D422" s="1173"/>
      <c r="E422" s="1173"/>
      <c r="F422" s="1173"/>
      <c r="G422" s="1173"/>
      <c r="H422" s="1173"/>
      <c r="I422" s="1173"/>
      <c r="J422" s="1173"/>
      <c r="K422" s="1173"/>
      <c r="L422" s="1173"/>
      <c r="M422" s="1173"/>
      <c r="N422" s="1173"/>
      <c r="O422" s="1173"/>
      <c r="P422" s="1173"/>
    </row>
    <row r="423">
      <c r="A423" s="1173"/>
      <c r="B423" s="1173"/>
      <c r="C423" s="1173"/>
      <c r="D423" s="1173"/>
      <c r="E423" s="1173"/>
      <c r="F423" s="1173"/>
      <c r="G423" s="1173"/>
      <c r="H423" s="1173"/>
      <c r="I423" s="1173"/>
      <c r="J423" s="1173"/>
      <c r="K423" s="1173"/>
      <c r="L423" s="1173"/>
      <c r="M423" s="1173"/>
      <c r="N423" s="1173"/>
      <c r="O423" s="1173"/>
      <c r="P423" s="1173"/>
    </row>
    <row r="424">
      <c r="A424" s="1173"/>
      <c r="B424" s="1173"/>
      <c r="C424" s="1173"/>
      <c r="D424" s="1173"/>
      <c r="E424" s="1173"/>
      <c r="F424" s="1173"/>
      <c r="G424" s="1173"/>
      <c r="H424" s="1173"/>
      <c r="I424" s="1173"/>
      <c r="J424" s="1173"/>
      <c r="K424" s="1173"/>
      <c r="L424" s="1173"/>
      <c r="M424" s="1173"/>
      <c r="N424" s="1173"/>
      <c r="O424" s="1173"/>
      <c r="P424" s="1173"/>
    </row>
    <row r="425">
      <c r="A425" s="1173"/>
      <c r="B425" s="1173"/>
      <c r="C425" s="1173"/>
      <c r="D425" s="1173"/>
      <c r="E425" s="1173"/>
      <c r="F425" s="1173"/>
      <c r="G425" s="1173"/>
      <c r="H425" s="1173"/>
      <c r="I425" s="1173"/>
      <c r="J425" s="1173"/>
      <c r="K425" s="1173"/>
      <c r="L425" s="1173"/>
      <c r="M425" s="1173"/>
      <c r="N425" s="1173"/>
      <c r="O425" s="1173"/>
      <c r="P425" s="1173"/>
    </row>
    <row r="426">
      <c r="A426" s="1173"/>
      <c r="B426" s="1173"/>
      <c r="C426" s="1173"/>
      <c r="D426" s="1173"/>
      <c r="E426" s="1173"/>
      <c r="F426" s="1173"/>
      <c r="G426" s="1173"/>
      <c r="H426" s="1173"/>
      <c r="I426" s="1173"/>
      <c r="J426" s="1173"/>
      <c r="K426" s="1173"/>
      <c r="L426" s="1173"/>
      <c r="M426" s="1173"/>
      <c r="N426" s="1173"/>
      <c r="O426" s="1173"/>
      <c r="P426" s="1173"/>
    </row>
    <row r="427">
      <c r="A427" s="1173"/>
      <c r="B427" s="1173"/>
      <c r="C427" s="1173"/>
      <c r="D427" s="1173"/>
      <c r="E427" s="1173"/>
      <c r="F427" s="1173"/>
      <c r="G427" s="1173"/>
      <c r="H427" s="1173"/>
      <c r="I427" s="1173"/>
      <c r="J427" s="1173"/>
      <c r="K427" s="1173"/>
      <c r="L427" s="1173"/>
      <c r="M427" s="1173"/>
      <c r="N427" s="1173"/>
      <c r="O427" s="1173"/>
      <c r="P427" s="1173"/>
    </row>
    <row r="428">
      <c r="A428" s="1173"/>
      <c r="B428" s="1173"/>
      <c r="C428" s="1173"/>
      <c r="D428" s="1173"/>
      <c r="E428" s="1173"/>
      <c r="F428" s="1173"/>
      <c r="G428" s="1173"/>
      <c r="H428" s="1173"/>
      <c r="I428" s="1173"/>
      <c r="J428" s="1173"/>
      <c r="K428" s="1173"/>
      <c r="L428" s="1173"/>
      <c r="M428" s="1173"/>
      <c r="N428" s="1173"/>
      <c r="O428" s="1173"/>
      <c r="P428" s="1173"/>
    </row>
    <row r="429">
      <c r="A429" s="1173"/>
      <c r="B429" s="1173"/>
      <c r="C429" s="1173"/>
      <c r="D429" s="1173"/>
      <c r="E429" s="1173"/>
      <c r="F429" s="1173"/>
      <c r="G429" s="1173"/>
      <c r="H429" s="1173"/>
      <c r="I429" s="1173"/>
      <c r="J429" s="1173"/>
      <c r="K429" s="1173"/>
      <c r="L429" s="1173"/>
      <c r="M429" s="1173"/>
      <c r="N429" s="1173"/>
      <c r="O429" s="1173"/>
      <c r="P429" s="1173"/>
    </row>
    <row r="430">
      <c r="A430" s="1173"/>
      <c r="B430" s="1173"/>
      <c r="C430" s="1173"/>
      <c r="D430" s="1173"/>
      <c r="E430" s="1173"/>
      <c r="F430" s="1173"/>
      <c r="G430" s="1173"/>
      <c r="H430" s="1173"/>
      <c r="I430" s="1173"/>
      <c r="J430" s="1173"/>
      <c r="K430" s="1173"/>
      <c r="L430" s="1173"/>
      <c r="M430" s="1173"/>
      <c r="N430" s="1173"/>
      <c r="O430" s="1173"/>
      <c r="P430" s="1173"/>
    </row>
    <row r="431">
      <c r="A431" s="1173"/>
      <c r="B431" s="1173"/>
      <c r="C431" s="1173"/>
      <c r="D431" s="1173"/>
      <c r="E431" s="1173"/>
      <c r="F431" s="1173"/>
      <c r="G431" s="1173"/>
      <c r="H431" s="1173"/>
      <c r="I431" s="1173"/>
      <c r="J431" s="1173"/>
      <c r="K431" s="1173"/>
      <c r="L431" s="1173"/>
      <c r="M431" s="1173"/>
      <c r="N431" s="1173"/>
      <c r="O431" s="1173"/>
      <c r="P431" s="1173"/>
    </row>
    <row r="432">
      <c r="A432" s="1173"/>
      <c r="B432" s="1173"/>
      <c r="C432" s="1173"/>
      <c r="D432" s="1173"/>
      <c r="E432" s="1173"/>
      <c r="F432" s="1173"/>
      <c r="G432" s="1173"/>
      <c r="H432" s="1173"/>
      <c r="I432" s="1173"/>
      <c r="J432" s="1173"/>
      <c r="K432" s="1173"/>
      <c r="L432" s="1173"/>
      <c r="M432" s="1173"/>
      <c r="N432" s="1173"/>
      <c r="O432" s="1173"/>
      <c r="P432" s="1173"/>
    </row>
    <row r="433">
      <c r="A433" s="1173"/>
      <c r="B433" s="1173"/>
      <c r="C433" s="1173"/>
      <c r="D433" s="1173"/>
      <c r="E433" s="1173"/>
      <c r="F433" s="1173"/>
      <c r="G433" s="1173"/>
      <c r="H433" s="1173"/>
      <c r="I433" s="1173"/>
      <c r="J433" s="1173"/>
      <c r="K433" s="1173"/>
      <c r="L433" s="1173"/>
      <c r="M433" s="1173"/>
      <c r="N433" s="1173"/>
      <c r="O433" s="1173"/>
      <c r="P433" s="1173"/>
    </row>
    <row r="434">
      <c r="A434" s="1173"/>
      <c r="B434" s="1173"/>
      <c r="C434" s="1173"/>
      <c r="D434" s="1173"/>
      <c r="E434" s="1173"/>
      <c r="F434" s="1173"/>
      <c r="G434" s="1173"/>
      <c r="H434" s="1173"/>
      <c r="I434" s="1173"/>
      <c r="J434" s="1173"/>
      <c r="K434" s="1173"/>
      <c r="L434" s="1173"/>
      <c r="M434" s="1173"/>
      <c r="N434" s="1173"/>
      <c r="O434" s="1173"/>
      <c r="P434" s="1173"/>
    </row>
    <row r="435">
      <c r="A435" s="1173"/>
      <c r="B435" s="1173"/>
      <c r="C435" s="1173"/>
      <c r="D435" s="1173"/>
      <c r="E435" s="1173"/>
      <c r="F435" s="1173"/>
      <c r="G435" s="1173"/>
      <c r="H435" s="1173"/>
      <c r="I435" s="1173"/>
      <c r="J435" s="1173"/>
      <c r="K435" s="1173"/>
      <c r="L435" s="1173"/>
      <c r="M435" s="1173"/>
      <c r="N435" s="1173"/>
      <c r="O435" s="1173"/>
      <c r="P435" s="1173"/>
    </row>
    <row r="436">
      <c r="A436" s="1173"/>
      <c r="B436" s="1173"/>
      <c r="C436" s="1173"/>
      <c r="D436" s="1173"/>
      <c r="E436" s="1173"/>
      <c r="F436" s="1173"/>
      <c r="G436" s="1173"/>
      <c r="H436" s="1173"/>
      <c r="I436" s="1173"/>
      <c r="J436" s="1173"/>
      <c r="K436" s="1173"/>
      <c r="L436" s="1173"/>
      <c r="M436" s="1173"/>
      <c r="N436" s="1173"/>
      <c r="O436" s="1173"/>
      <c r="P436" s="1173"/>
    </row>
    <row r="437">
      <c r="A437" s="1173"/>
      <c r="B437" s="1173"/>
      <c r="C437" s="1173"/>
      <c r="D437" s="1173"/>
      <c r="E437" s="1173"/>
      <c r="F437" s="1173"/>
      <c r="G437" s="1173"/>
      <c r="H437" s="1173"/>
      <c r="I437" s="1173"/>
      <c r="J437" s="1173"/>
      <c r="K437" s="1173"/>
      <c r="L437" s="1173"/>
      <c r="M437" s="1173"/>
      <c r="N437" s="1173"/>
      <c r="O437" s="1173"/>
      <c r="P437" s="1173"/>
    </row>
    <row r="438">
      <c r="A438" s="1173"/>
      <c r="B438" s="1173"/>
      <c r="C438" s="1173"/>
      <c r="D438" s="1173"/>
      <c r="E438" s="1173"/>
      <c r="F438" s="1173"/>
      <c r="G438" s="1173"/>
      <c r="H438" s="1173"/>
      <c r="I438" s="1173"/>
      <c r="J438" s="1173"/>
      <c r="K438" s="1173"/>
      <c r="L438" s="1173"/>
      <c r="M438" s="1173"/>
      <c r="N438" s="1173"/>
      <c r="O438" s="1173"/>
      <c r="P438" s="1173"/>
    </row>
    <row r="439">
      <c r="A439" s="1173"/>
      <c r="B439" s="1173"/>
      <c r="C439" s="1173"/>
      <c r="D439" s="1173"/>
      <c r="E439" s="1173"/>
      <c r="F439" s="1173"/>
      <c r="G439" s="1173"/>
      <c r="H439" s="1173"/>
      <c r="I439" s="1173"/>
      <c r="J439" s="1173"/>
      <c r="K439" s="1173"/>
      <c r="L439" s="1173"/>
      <c r="M439" s="1173"/>
      <c r="N439" s="1173"/>
      <c r="O439" s="1173"/>
      <c r="P439" s="1173"/>
    </row>
    <row r="440">
      <c r="A440" s="1173"/>
      <c r="B440" s="1173"/>
      <c r="C440" s="1173"/>
      <c r="D440" s="1173"/>
      <c r="E440" s="1173"/>
      <c r="F440" s="1173"/>
      <c r="G440" s="1173"/>
      <c r="H440" s="1173"/>
      <c r="I440" s="1173"/>
      <c r="J440" s="1173"/>
      <c r="K440" s="1173"/>
      <c r="L440" s="1173"/>
      <c r="M440" s="1173"/>
      <c r="N440" s="1173"/>
      <c r="O440" s="1173"/>
      <c r="P440" s="1173"/>
    </row>
    <row r="441">
      <c r="A441" s="1173"/>
      <c r="B441" s="1173"/>
      <c r="C441" s="1173"/>
      <c r="D441" s="1173"/>
      <c r="E441" s="1173"/>
      <c r="F441" s="1173"/>
      <c r="G441" s="1173"/>
      <c r="H441" s="1173"/>
      <c r="I441" s="1173"/>
      <c r="J441" s="1173"/>
      <c r="K441" s="1173"/>
      <c r="L441" s="1173"/>
      <c r="M441" s="1173"/>
      <c r="N441" s="1173"/>
      <c r="O441" s="1173"/>
      <c r="P441" s="1173"/>
    </row>
    <row r="442">
      <c r="A442" s="1173"/>
      <c r="B442" s="1173"/>
      <c r="C442" s="1173"/>
      <c r="D442" s="1173"/>
      <c r="E442" s="1173"/>
      <c r="F442" s="1173"/>
      <c r="G442" s="1173"/>
      <c r="H442" s="1173"/>
      <c r="I442" s="1173"/>
      <c r="J442" s="1173"/>
      <c r="K442" s="1173"/>
      <c r="L442" s="1173"/>
      <c r="M442" s="1173"/>
      <c r="N442" s="1173"/>
      <c r="O442" s="1173"/>
      <c r="P442" s="1173"/>
    </row>
    <row r="443">
      <c r="A443" s="1173"/>
      <c r="B443" s="1173"/>
      <c r="C443" s="1173"/>
      <c r="D443" s="1173"/>
      <c r="E443" s="1173"/>
      <c r="F443" s="1173"/>
      <c r="G443" s="1173"/>
      <c r="H443" s="1173"/>
      <c r="I443" s="1173"/>
      <c r="J443" s="1173"/>
      <c r="K443" s="1173"/>
      <c r="L443" s="1173"/>
      <c r="M443" s="1173"/>
      <c r="N443" s="1173"/>
      <c r="O443" s="1173"/>
      <c r="P443" s="1173"/>
    </row>
    <row r="444">
      <c r="A444" s="1173"/>
      <c r="B444" s="1173"/>
      <c r="C444" s="1173"/>
      <c r="D444" s="1173"/>
      <c r="E444" s="1173"/>
      <c r="F444" s="1173"/>
      <c r="G444" s="1173"/>
      <c r="H444" s="1173"/>
      <c r="I444" s="1173"/>
      <c r="J444" s="1173"/>
      <c r="K444" s="1173"/>
      <c r="L444" s="1173"/>
      <c r="M444" s="1173"/>
      <c r="N444" s="1173"/>
      <c r="O444" s="1173"/>
      <c r="P444" s="1173"/>
    </row>
    <row r="445">
      <c r="A445" s="1173"/>
      <c r="B445" s="1173"/>
      <c r="C445" s="1173"/>
      <c r="D445" s="1173"/>
      <c r="E445" s="1173"/>
      <c r="F445" s="1173"/>
      <c r="G445" s="1173"/>
      <c r="H445" s="1173"/>
      <c r="I445" s="1173"/>
      <c r="J445" s="1173"/>
      <c r="K445" s="1173"/>
      <c r="L445" s="1173"/>
      <c r="M445" s="1173"/>
      <c r="N445" s="1173"/>
      <c r="O445" s="1173"/>
      <c r="P445" s="1173"/>
    </row>
    <row r="446">
      <c r="A446" s="1173"/>
      <c r="B446" s="1173"/>
      <c r="C446" s="1173"/>
      <c r="D446" s="1173"/>
      <c r="E446" s="1173"/>
      <c r="F446" s="1173"/>
      <c r="G446" s="1173"/>
      <c r="H446" s="1173"/>
      <c r="I446" s="1173"/>
      <c r="J446" s="1173"/>
      <c r="K446" s="1173"/>
      <c r="L446" s="1173"/>
      <c r="M446" s="1173"/>
      <c r="N446" s="1173"/>
      <c r="O446" s="1173"/>
      <c r="P446" s="1173"/>
    </row>
    <row r="447">
      <c r="A447" s="1173"/>
      <c r="B447" s="1173"/>
      <c r="C447" s="1173"/>
      <c r="D447" s="1173"/>
      <c r="E447" s="1173"/>
      <c r="F447" s="1173"/>
      <c r="G447" s="1173"/>
      <c r="H447" s="1173"/>
      <c r="I447" s="1173"/>
      <c r="J447" s="1173"/>
      <c r="K447" s="1173"/>
      <c r="L447" s="1173"/>
      <c r="M447" s="1173"/>
      <c r="N447" s="1173"/>
      <c r="O447" s="1173"/>
      <c r="P447" s="1173"/>
    </row>
    <row r="448">
      <c r="A448" s="1173"/>
      <c r="B448" s="1173"/>
      <c r="C448" s="1173"/>
      <c r="D448" s="1173"/>
      <c r="E448" s="1173"/>
      <c r="F448" s="1173"/>
      <c r="G448" s="1173"/>
      <c r="H448" s="1173"/>
      <c r="I448" s="1173"/>
      <c r="J448" s="1173"/>
      <c r="K448" s="1173"/>
      <c r="L448" s="1173"/>
      <c r="M448" s="1173"/>
      <c r="N448" s="1173"/>
      <c r="O448" s="1173"/>
      <c r="P448" s="1173"/>
    </row>
    <row r="449">
      <c r="A449" s="1173"/>
      <c r="B449" s="1173"/>
      <c r="C449" s="1173"/>
      <c r="D449" s="1173"/>
      <c r="E449" s="1173"/>
      <c r="F449" s="1173"/>
      <c r="G449" s="1173"/>
      <c r="H449" s="1173"/>
      <c r="I449" s="1173"/>
      <c r="J449" s="1173"/>
      <c r="K449" s="1173"/>
      <c r="L449" s="1173"/>
      <c r="M449" s="1173"/>
      <c r="N449" s="1173"/>
      <c r="O449" s="1173"/>
      <c r="P449" s="1173"/>
    </row>
    <row r="450">
      <c r="A450" s="1173"/>
      <c r="B450" s="1173"/>
      <c r="C450" s="1173"/>
      <c r="D450" s="1173"/>
      <c r="E450" s="1173"/>
      <c r="F450" s="1173"/>
      <c r="G450" s="1173"/>
      <c r="H450" s="1173"/>
      <c r="I450" s="1173"/>
      <c r="J450" s="1173"/>
      <c r="K450" s="1173"/>
      <c r="L450" s="1173"/>
      <c r="M450" s="1173"/>
      <c r="N450" s="1173"/>
      <c r="O450" s="1173"/>
      <c r="P450" s="1173"/>
    </row>
    <row r="451">
      <c r="A451" s="1173"/>
      <c r="B451" s="1173"/>
      <c r="C451" s="1173"/>
      <c r="D451" s="1173"/>
      <c r="E451" s="1173"/>
      <c r="F451" s="1173"/>
      <c r="G451" s="1173"/>
      <c r="H451" s="1173"/>
      <c r="I451" s="1173"/>
      <c r="J451" s="1173"/>
      <c r="K451" s="1173"/>
      <c r="L451" s="1173"/>
      <c r="M451" s="1173"/>
      <c r="N451" s="1173"/>
      <c r="O451" s="1173"/>
      <c r="P451" s="1173"/>
    </row>
    <row r="452">
      <c r="A452" s="1173"/>
      <c r="B452" s="1173"/>
      <c r="C452" s="1173"/>
      <c r="D452" s="1173"/>
      <c r="E452" s="1173"/>
      <c r="F452" s="1173"/>
      <c r="G452" s="1173"/>
      <c r="H452" s="1173"/>
      <c r="I452" s="1173"/>
      <c r="J452" s="1173"/>
      <c r="K452" s="1173"/>
      <c r="L452" s="1173"/>
      <c r="M452" s="1173"/>
      <c r="N452" s="1173"/>
      <c r="O452" s="1173"/>
      <c r="P452" s="1173"/>
    </row>
    <row r="453">
      <c r="A453" s="1173"/>
      <c r="B453" s="1173"/>
      <c r="C453" s="1173"/>
      <c r="D453" s="1173"/>
      <c r="E453" s="1173"/>
      <c r="F453" s="1173"/>
      <c r="G453" s="1173"/>
      <c r="H453" s="1173"/>
      <c r="I453" s="1173"/>
      <c r="J453" s="1173"/>
      <c r="K453" s="1173"/>
      <c r="L453" s="1173"/>
      <c r="M453" s="1173"/>
      <c r="N453" s="1173"/>
      <c r="O453" s="1173"/>
      <c r="P453" s="1173"/>
    </row>
    <row r="454">
      <c r="A454" s="1173"/>
      <c r="B454" s="1173"/>
      <c r="C454" s="1173"/>
      <c r="D454" s="1173"/>
      <c r="E454" s="1173"/>
      <c r="F454" s="1173"/>
      <c r="G454" s="1173"/>
      <c r="H454" s="1173"/>
      <c r="I454" s="1173"/>
      <c r="J454" s="1173"/>
      <c r="K454" s="1173"/>
      <c r="L454" s="1173"/>
      <c r="M454" s="1173"/>
      <c r="N454" s="1173"/>
      <c r="O454" s="1173"/>
      <c r="P454" s="1173"/>
    </row>
    <row r="455">
      <c r="A455" s="1173"/>
      <c r="B455" s="1173"/>
      <c r="C455" s="1173"/>
      <c r="D455" s="1173"/>
      <c r="E455" s="1173"/>
      <c r="F455" s="1173"/>
      <c r="G455" s="1173"/>
      <c r="H455" s="1173"/>
      <c r="I455" s="1173"/>
      <c r="J455" s="1173"/>
      <c r="K455" s="1173"/>
      <c r="L455" s="1173"/>
      <c r="M455" s="1173"/>
      <c r="N455" s="1173"/>
      <c r="O455" s="1173"/>
      <c r="P455" s="1173"/>
    </row>
    <row r="456">
      <c r="A456" s="1173"/>
      <c r="B456" s="1173"/>
      <c r="C456" s="1173"/>
      <c r="D456" s="1173"/>
      <c r="E456" s="1173"/>
      <c r="F456" s="1173"/>
      <c r="G456" s="1173"/>
      <c r="H456" s="1173"/>
      <c r="I456" s="1173"/>
      <c r="J456" s="1173"/>
      <c r="K456" s="1173"/>
      <c r="L456" s="1173"/>
      <c r="M456" s="1173"/>
      <c r="N456" s="1173"/>
      <c r="O456" s="1173"/>
      <c r="P456" s="1173"/>
    </row>
    <row r="457">
      <c r="A457" s="1173"/>
      <c r="B457" s="1173"/>
      <c r="C457" s="1173"/>
      <c r="D457" s="1173"/>
      <c r="E457" s="1173"/>
      <c r="F457" s="1173"/>
      <c r="G457" s="1173"/>
      <c r="H457" s="1173"/>
      <c r="I457" s="1173"/>
      <c r="J457" s="1173"/>
      <c r="K457" s="1173"/>
      <c r="L457" s="1173"/>
      <c r="M457" s="1173"/>
      <c r="N457" s="1173"/>
      <c r="O457" s="1173"/>
      <c r="P457" s="1173"/>
    </row>
    <row r="458">
      <c r="A458" s="1173"/>
      <c r="B458" s="1173"/>
      <c r="C458" s="1173"/>
      <c r="D458" s="1173"/>
      <c r="E458" s="1173"/>
      <c r="F458" s="1173"/>
      <c r="G458" s="1173"/>
      <c r="H458" s="1173"/>
      <c r="I458" s="1173"/>
      <c r="J458" s="1173"/>
      <c r="K458" s="1173"/>
      <c r="L458" s="1173"/>
      <c r="M458" s="1173"/>
      <c r="N458" s="1173"/>
      <c r="O458" s="1173"/>
      <c r="P458" s="1173"/>
    </row>
    <row r="459">
      <c r="A459" s="1173"/>
      <c r="B459" s="1173"/>
      <c r="C459" s="1173"/>
      <c r="D459" s="1173"/>
      <c r="E459" s="1173"/>
      <c r="F459" s="1173"/>
      <c r="G459" s="1173"/>
      <c r="H459" s="1173"/>
      <c r="I459" s="1173"/>
      <c r="J459" s="1173"/>
      <c r="K459" s="1173"/>
      <c r="L459" s="1173"/>
      <c r="M459" s="1173"/>
      <c r="N459" s="1173"/>
      <c r="O459" s="1173"/>
      <c r="P459" s="1173"/>
    </row>
    <row r="460">
      <c r="A460" s="1173"/>
      <c r="B460" s="1173"/>
      <c r="C460" s="1173"/>
      <c r="D460" s="1173"/>
      <c r="E460" s="1173"/>
      <c r="F460" s="1173"/>
      <c r="G460" s="1173"/>
      <c r="H460" s="1173"/>
      <c r="I460" s="1173"/>
      <c r="J460" s="1173"/>
      <c r="K460" s="1173"/>
      <c r="L460" s="1173"/>
      <c r="M460" s="1173"/>
      <c r="N460" s="1173"/>
      <c r="O460" s="1173"/>
      <c r="P460" s="1173"/>
    </row>
    <row r="461">
      <c r="A461" s="1173"/>
      <c r="B461" s="1173"/>
      <c r="C461" s="1173"/>
      <c r="D461" s="1173"/>
      <c r="E461" s="1173"/>
      <c r="F461" s="1173"/>
      <c r="G461" s="1173"/>
      <c r="H461" s="1173"/>
      <c r="I461" s="1173"/>
      <c r="J461" s="1173"/>
      <c r="K461" s="1173"/>
      <c r="L461" s="1173"/>
      <c r="M461" s="1173"/>
      <c r="N461" s="1173"/>
      <c r="O461" s="1173"/>
      <c r="P461" s="1173"/>
    </row>
    <row r="462">
      <c r="A462" s="1173"/>
      <c r="B462" s="1173"/>
      <c r="C462" s="1173"/>
      <c r="D462" s="1173"/>
      <c r="E462" s="1173"/>
      <c r="F462" s="1173"/>
      <c r="G462" s="1173"/>
      <c r="H462" s="1173"/>
      <c r="I462" s="1173"/>
      <c r="J462" s="1173"/>
      <c r="K462" s="1173"/>
      <c r="L462" s="1173"/>
      <c r="M462" s="1173"/>
      <c r="N462" s="1173"/>
      <c r="O462" s="1173"/>
      <c r="P462" s="1173"/>
    </row>
    <row r="463">
      <c r="A463" s="1173"/>
      <c r="B463" s="1173"/>
      <c r="C463" s="1173"/>
      <c r="D463" s="1173"/>
      <c r="E463" s="1173"/>
      <c r="F463" s="1173"/>
      <c r="G463" s="1173"/>
      <c r="H463" s="1173"/>
      <c r="I463" s="1173"/>
      <c r="J463" s="1173"/>
      <c r="K463" s="1173"/>
      <c r="L463" s="1173"/>
      <c r="M463" s="1173"/>
      <c r="N463" s="1173"/>
      <c r="O463" s="1173"/>
      <c r="P463" s="1173"/>
    </row>
    <row r="464">
      <c r="A464" s="1173"/>
      <c r="B464" s="1173"/>
      <c r="C464" s="1173"/>
      <c r="D464" s="1173"/>
      <c r="E464" s="1173"/>
      <c r="F464" s="1173"/>
      <c r="G464" s="1173"/>
      <c r="H464" s="1173"/>
      <c r="I464" s="1173"/>
      <c r="J464" s="1173"/>
      <c r="K464" s="1173"/>
      <c r="L464" s="1173"/>
      <c r="M464" s="1173"/>
      <c r="N464" s="1173"/>
      <c r="O464" s="1173"/>
      <c r="P464" s="1173"/>
    </row>
    <row r="465">
      <c r="A465" s="1173"/>
      <c r="B465" s="1173"/>
      <c r="C465" s="1173"/>
      <c r="D465" s="1173"/>
      <c r="E465" s="1173"/>
      <c r="F465" s="1173"/>
      <c r="G465" s="1173"/>
      <c r="H465" s="1173"/>
      <c r="I465" s="1173"/>
      <c r="J465" s="1173"/>
      <c r="K465" s="1173"/>
      <c r="L465" s="1173"/>
      <c r="M465" s="1173"/>
      <c r="N465" s="1173"/>
      <c r="O465" s="1173"/>
      <c r="P465" s="1173"/>
    </row>
    <row r="466">
      <c r="A466" s="1173"/>
      <c r="B466" s="1173"/>
      <c r="C466" s="1173"/>
      <c r="D466" s="1173"/>
      <c r="E466" s="1173"/>
      <c r="F466" s="1173"/>
      <c r="G466" s="1173"/>
      <c r="H466" s="1173"/>
      <c r="I466" s="1173"/>
      <c r="J466" s="1173"/>
      <c r="K466" s="1173"/>
      <c r="L466" s="1173"/>
      <c r="M466" s="1173"/>
      <c r="N466" s="1173"/>
      <c r="O466" s="1173"/>
      <c r="P466" s="1173"/>
    </row>
    <row r="467">
      <c r="A467" s="1173"/>
      <c r="B467" s="1173"/>
      <c r="C467" s="1173"/>
      <c r="D467" s="1173"/>
      <c r="E467" s="1173"/>
      <c r="F467" s="1173"/>
      <c r="G467" s="1173"/>
      <c r="H467" s="1173"/>
      <c r="I467" s="1173"/>
      <c r="J467" s="1173"/>
      <c r="K467" s="1173"/>
      <c r="L467" s="1173"/>
      <c r="M467" s="1173"/>
      <c r="N467" s="1173"/>
      <c r="O467" s="1173"/>
      <c r="P467" s="1173"/>
    </row>
    <row r="468">
      <c r="A468" s="1173"/>
      <c r="B468" s="1173"/>
      <c r="C468" s="1173"/>
      <c r="D468" s="1173"/>
      <c r="E468" s="1173"/>
      <c r="F468" s="1173"/>
      <c r="G468" s="1173"/>
      <c r="H468" s="1173"/>
      <c r="I468" s="1173"/>
      <c r="J468" s="1173"/>
      <c r="K468" s="1173"/>
      <c r="L468" s="1173"/>
      <c r="M468" s="1173"/>
      <c r="N468" s="1173"/>
      <c r="O468" s="1173"/>
      <c r="P468" s="1173"/>
    </row>
    <row r="469">
      <c r="A469" s="1173"/>
      <c r="B469" s="1173"/>
      <c r="C469" s="1173"/>
      <c r="D469" s="1173"/>
      <c r="E469" s="1173"/>
      <c r="F469" s="1173"/>
      <c r="G469" s="1173"/>
      <c r="H469" s="1173"/>
      <c r="I469" s="1173"/>
      <c r="J469" s="1173"/>
      <c r="K469" s="1173"/>
      <c r="L469" s="1173"/>
      <c r="M469" s="1173"/>
      <c r="N469" s="1173"/>
      <c r="O469" s="1173"/>
      <c r="P469" s="1173"/>
    </row>
    <row r="470">
      <c r="A470" s="1173"/>
      <c r="B470" s="1173"/>
      <c r="C470" s="1173"/>
      <c r="D470" s="1173"/>
      <c r="E470" s="1173"/>
      <c r="F470" s="1173"/>
      <c r="G470" s="1173"/>
      <c r="H470" s="1173"/>
      <c r="I470" s="1173"/>
      <c r="J470" s="1173"/>
      <c r="K470" s="1173"/>
      <c r="L470" s="1173"/>
      <c r="M470" s="1173"/>
      <c r="N470" s="1173"/>
      <c r="O470" s="1173"/>
      <c r="P470" s="1173"/>
    </row>
    <row r="471">
      <c r="A471" s="1173"/>
      <c r="B471" s="1173"/>
      <c r="C471" s="1173"/>
      <c r="D471" s="1173"/>
      <c r="E471" s="1173"/>
      <c r="F471" s="1173"/>
      <c r="G471" s="1173"/>
      <c r="H471" s="1173"/>
      <c r="I471" s="1173"/>
      <c r="J471" s="1173"/>
      <c r="K471" s="1173"/>
      <c r="L471" s="1173"/>
      <c r="M471" s="1173"/>
      <c r="N471" s="1173"/>
      <c r="O471" s="1173"/>
      <c r="P471" s="1173"/>
    </row>
    <row r="472">
      <c r="A472" s="1173"/>
      <c r="B472" s="1173"/>
      <c r="C472" s="1173"/>
      <c r="D472" s="1173"/>
      <c r="E472" s="1173"/>
      <c r="F472" s="1173"/>
      <c r="G472" s="1173"/>
      <c r="H472" s="1173"/>
      <c r="I472" s="1173"/>
      <c r="J472" s="1173"/>
      <c r="K472" s="1173"/>
      <c r="L472" s="1173"/>
      <c r="M472" s="1173"/>
      <c r="N472" s="1173"/>
      <c r="O472" s="1173"/>
      <c r="P472" s="1173"/>
    </row>
    <row r="473">
      <c r="A473" s="1173"/>
      <c r="B473" s="1173"/>
      <c r="C473" s="1173"/>
      <c r="D473" s="1173"/>
      <c r="E473" s="1173"/>
      <c r="F473" s="1173"/>
      <c r="G473" s="1173"/>
      <c r="H473" s="1173"/>
      <c r="I473" s="1173"/>
      <c r="J473" s="1173"/>
      <c r="K473" s="1173"/>
      <c r="L473" s="1173"/>
      <c r="M473" s="1173"/>
      <c r="N473" s="1173"/>
      <c r="O473" s="1173"/>
      <c r="P473" s="1173"/>
    </row>
    <row r="474">
      <c r="A474" s="1173"/>
      <c r="B474" s="1173"/>
      <c r="C474" s="1173"/>
      <c r="D474" s="1173"/>
      <c r="E474" s="1173"/>
      <c r="F474" s="1173"/>
      <c r="G474" s="1173"/>
      <c r="H474" s="1173"/>
      <c r="I474" s="1173"/>
      <c r="J474" s="1173"/>
      <c r="K474" s="1173"/>
      <c r="L474" s="1173"/>
      <c r="M474" s="1173"/>
      <c r="N474" s="1173"/>
      <c r="O474" s="1173"/>
      <c r="P474" s="1173"/>
    </row>
    <row r="475">
      <c r="A475" s="1173"/>
      <c r="B475" s="1173"/>
      <c r="C475" s="1173"/>
      <c r="D475" s="1173"/>
      <c r="E475" s="1173"/>
      <c r="F475" s="1173"/>
      <c r="G475" s="1173"/>
      <c r="H475" s="1173"/>
      <c r="I475" s="1173"/>
      <c r="J475" s="1173"/>
      <c r="K475" s="1173"/>
      <c r="L475" s="1173"/>
      <c r="M475" s="1173"/>
      <c r="N475" s="1173"/>
      <c r="O475" s="1173"/>
      <c r="P475" s="1173"/>
    </row>
    <row r="476">
      <c r="A476" s="1173"/>
      <c r="B476" s="1173"/>
      <c r="C476" s="1173"/>
      <c r="D476" s="1173"/>
      <c r="E476" s="1173"/>
      <c r="F476" s="1173"/>
      <c r="G476" s="1173"/>
      <c r="H476" s="1173"/>
      <c r="I476" s="1173"/>
      <c r="J476" s="1173"/>
      <c r="K476" s="1173"/>
      <c r="L476" s="1173"/>
      <c r="M476" s="1173"/>
      <c r="N476" s="1173"/>
      <c r="O476" s="1173"/>
      <c r="P476" s="1173"/>
    </row>
    <row r="477">
      <c r="A477" s="1173"/>
      <c r="B477" s="1173"/>
      <c r="C477" s="1173"/>
      <c r="D477" s="1173"/>
      <c r="E477" s="1173"/>
      <c r="F477" s="1173"/>
      <c r="G477" s="1173"/>
      <c r="H477" s="1173"/>
      <c r="I477" s="1173"/>
      <c r="J477" s="1173"/>
      <c r="K477" s="1173"/>
      <c r="L477" s="1173"/>
      <c r="M477" s="1173"/>
      <c r="N477" s="1173"/>
      <c r="O477" s="1173"/>
      <c r="P477" s="1173"/>
    </row>
    <row r="478">
      <c r="A478" s="1173"/>
      <c r="B478" s="1173"/>
      <c r="C478" s="1173"/>
      <c r="D478" s="1173"/>
      <c r="E478" s="1173"/>
      <c r="F478" s="1173"/>
      <c r="G478" s="1173"/>
      <c r="H478" s="1173"/>
      <c r="I478" s="1173"/>
      <c r="J478" s="1173"/>
      <c r="K478" s="1173"/>
      <c r="L478" s="1173"/>
      <c r="M478" s="1173"/>
      <c r="N478" s="1173"/>
      <c r="O478" s="1173"/>
      <c r="P478" s="1173"/>
    </row>
    <row r="479">
      <c r="A479" s="1173"/>
      <c r="B479" s="1173"/>
      <c r="C479" s="1173"/>
      <c r="D479" s="1173"/>
      <c r="E479" s="1173"/>
      <c r="F479" s="1173"/>
      <c r="G479" s="1173"/>
      <c r="H479" s="1173"/>
      <c r="I479" s="1173"/>
      <c r="J479" s="1173"/>
      <c r="K479" s="1173"/>
      <c r="L479" s="1173"/>
      <c r="M479" s="1173"/>
      <c r="N479" s="1173"/>
      <c r="O479" s="1173"/>
      <c r="P479" s="1173"/>
    </row>
    <row r="480">
      <c r="A480" s="1173"/>
      <c r="B480" s="1173"/>
      <c r="C480" s="1173"/>
      <c r="D480" s="1173"/>
      <c r="E480" s="1173"/>
      <c r="F480" s="1173"/>
      <c r="G480" s="1173"/>
      <c r="H480" s="1173"/>
      <c r="I480" s="1173"/>
      <c r="J480" s="1173"/>
      <c r="K480" s="1173"/>
      <c r="L480" s="1173"/>
      <c r="M480" s="1173"/>
      <c r="N480" s="1173"/>
      <c r="O480" s="1173"/>
      <c r="P480" s="1173"/>
    </row>
    <row r="481">
      <c r="A481" s="1173"/>
      <c r="B481" s="1173"/>
      <c r="C481" s="1173"/>
      <c r="D481" s="1173"/>
      <c r="E481" s="1173"/>
      <c r="F481" s="1173"/>
      <c r="G481" s="1173"/>
      <c r="H481" s="1173"/>
      <c r="I481" s="1173"/>
      <c r="J481" s="1173"/>
      <c r="K481" s="1173"/>
      <c r="L481" s="1173"/>
      <c r="M481" s="1173"/>
      <c r="N481" s="1173"/>
      <c r="O481" s="1173"/>
      <c r="P481" s="1173"/>
    </row>
    <row r="482">
      <c r="A482" s="1173"/>
      <c r="B482" s="1173"/>
      <c r="C482" s="1173"/>
      <c r="D482" s="1173"/>
      <c r="E482" s="1173"/>
      <c r="F482" s="1173"/>
      <c r="G482" s="1173"/>
      <c r="H482" s="1173"/>
      <c r="I482" s="1173"/>
      <c r="J482" s="1173"/>
      <c r="K482" s="1173"/>
      <c r="L482" s="1173"/>
      <c r="M482" s="1173"/>
      <c r="N482" s="1173"/>
      <c r="O482" s="1173"/>
      <c r="P482" s="1173"/>
    </row>
    <row r="483">
      <c r="A483" s="1173"/>
      <c r="B483" s="1173"/>
      <c r="C483" s="1173"/>
      <c r="D483" s="1173"/>
      <c r="E483" s="1173"/>
      <c r="F483" s="1173"/>
      <c r="G483" s="1173"/>
      <c r="H483" s="1173"/>
      <c r="I483" s="1173"/>
      <c r="J483" s="1173"/>
      <c r="K483" s="1173"/>
      <c r="L483" s="1173"/>
      <c r="M483" s="1173"/>
      <c r="N483" s="1173"/>
      <c r="O483" s="1173"/>
      <c r="P483" s="1173"/>
    </row>
    <row r="484">
      <c r="A484" s="1173"/>
      <c r="B484" s="1173"/>
      <c r="C484" s="1173"/>
      <c r="D484" s="1173"/>
      <c r="E484" s="1173"/>
      <c r="F484" s="1173"/>
      <c r="G484" s="1173"/>
      <c r="H484" s="1173"/>
      <c r="I484" s="1173"/>
      <c r="J484" s="1173"/>
      <c r="K484" s="1173"/>
      <c r="L484" s="1173"/>
      <c r="M484" s="1173"/>
      <c r="N484" s="1173"/>
      <c r="O484" s="1173"/>
      <c r="P484" s="1173"/>
    </row>
    <row r="485">
      <c r="A485" s="1173"/>
      <c r="B485" s="1173"/>
      <c r="C485" s="1173"/>
      <c r="D485" s="1173"/>
      <c r="E485" s="1173"/>
      <c r="F485" s="1173"/>
      <c r="G485" s="1173"/>
      <c r="H485" s="1173"/>
      <c r="I485" s="1173"/>
      <c r="J485" s="1173"/>
      <c r="K485" s="1173"/>
      <c r="L485" s="1173"/>
      <c r="M485" s="1173"/>
      <c r="N485" s="1173"/>
      <c r="O485" s="1173"/>
      <c r="P485" s="1173"/>
    </row>
    <row r="486">
      <c r="A486" s="1173"/>
      <c r="B486" s="1173"/>
      <c r="C486" s="1173"/>
      <c r="D486" s="1173"/>
      <c r="E486" s="1173"/>
      <c r="F486" s="1173"/>
      <c r="G486" s="1173"/>
      <c r="H486" s="1173"/>
      <c r="I486" s="1173"/>
      <c r="J486" s="1173"/>
      <c r="K486" s="1173"/>
      <c r="L486" s="1173"/>
      <c r="M486" s="1173"/>
      <c r="N486" s="1173"/>
      <c r="O486" s="1173"/>
      <c r="P486" s="1173"/>
    </row>
    <row r="487">
      <c r="A487" s="1173"/>
      <c r="B487" s="1173"/>
      <c r="C487" s="1173"/>
      <c r="D487" s="1173"/>
      <c r="E487" s="1173"/>
      <c r="F487" s="1173"/>
      <c r="G487" s="1173"/>
      <c r="H487" s="1173"/>
      <c r="I487" s="1173"/>
      <c r="J487" s="1173"/>
      <c r="K487" s="1173"/>
      <c r="L487" s="1173"/>
      <c r="M487" s="1173"/>
      <c r="N487" s="1173"/>
      <c r="O487" s="1173"/>
      <c r="P487" s="1173"/>
    </row>
    <row r="488">
      <c r="A488" s="1173"/>
      <c r="B488" s="1173"/>
      <c r="C488" s="1173"/>
      <c r="D488" s="1173"/>
      <c r="E488" s="1173"/>
      <c r="F488" s="1173"/>
      <c r="G488" s="1173"/>
      <c r="H488" s="1173"/>
      <c r="I488" s="1173"/>
      <c r="J488" s="1173"/>
      <c r="K488" s="1173"/>
      <c r="L488" s="1173"/>
      <c r="M488" s="1173"/>
      <c r="N488" s="1173"/>
      <c r="O488" s="1173"/>
      <c r="P488" s="1173"/>
    </row>
    <row r="489">
      <c r="A489" s="1173"/>
      <c r="B489" s="1173"/>
      <c r="C489" s="1173"/>
      <c r="D489" s="1173"/>
      <c r="E489" s="1173"/>
      <c r="F489" s="1173"/>
      <c r="G489" s="1173"/>
      <c r="H489" s="1173"/>
      <c r="I489" s="1173"/>
      <c r="J489" s="1173"/>
      <c r="K489" s="1173"/>
      <c r="L489" s="1173"/>
      <c r="M489" s="1173"/>
      <c r="N489" s="1173"/>
      <c r="O489" s="1173"/>
      <c r="P489" s="1173"/>
    </row>
    <row r="490">
      <c r="A490" s="1173"/>
      <c r="B490" s="1173"/>
      <c r="C490" s="1173"/>
      <c r="D490" s="1173"/>
      <c r="E490" s="1173"/>
      <c r="F490" s="1173"/>
      <c r="G490" s="1173"/>
      <c r="H490" s="1173"/>
      <c r="I490" s="1173"/>
      <c r="J490" s="1173"/>
      <c r="K490" s="1173"/>
      <c r="L490" s="1173"/>
      <c r="M490" s="1173"/>
      <c r="N490" s="1173"/>
      <c r="O490" s="1173"/>
      <c r="P490" s="1173"/>
    </row>
    <row r="491">
      <c r="A491" s="1173"/>
      <c r="B491" s="1173"/>
      <c r="C491" s="1173"/>
      <c r="D491" s="1173"/>
      <c r="E491" s="1173"/>
      <c r="F491" s="1173"/>
      <c r="G491" s="1173"/>
      <c r="H491" s="1173"/>
      <c r="I491" s="1173"/>
      <c r="J491" s="1173"/>
      <c r="K491" s="1173"/>
      <c r="L491" s="1173"/>
      <c r="M491" s="1173"/>
      <c r="N491" s="1173"/>
      <c r="O491" s="1173"/>
      <c r="P491" s="1173"/>
    </row>
    <row r="492">
      <c r="A492" s="1173"/>
      <c r="B492" s="1173"/>
      <c r="C492" s="1173"/>
      <c r="D492" s="1173"/>
      <c r="E492" s="1173"/>
      <c r="F492" s="1173"/>
      <c r="G492" s="1173"/>
      <c r="H492" s="1173"/>
      <c r="I492" s="1173"/>
      <c r="J492" s="1173"/>
      <c r="K492" s="1173"/>
      <c r="L492" s="1173"/>
      <c r="M492" s="1173"/>
      <c r="N492" s="1173"/>
      <c r="O492" s="1173"/>
      <c r="P492" s="1173"/>
    </row>
    <row r="493">
      <c r="A493" s="1173"/>
      <c r="B493" s="1173"/>
      <c r="C493" s="1173"/>
      <c r="D493" s="1173"/>
      <c r="E493" s="1173"/>
      <c r="F493" s="1173"/>
      <c r="G493" s="1173"/>
      <c r="H493" s="1173"/>
      <c r="I493" s="1173"/>
      <c r="J493" s="1173"/>
      <c r="K493" s="1173"/>
      <c r="L493" s="1173"/>
      <c r="M493" s="1173"/>
      <c r="N493" s="1173"/>
      <c r="O493" s="1173"/>
      <c r="P493" s="1173"/>
    </row>
    <row r="494">
      <c r="A494" s="1173"/>
      <c r="B494" s="1173"/>
      <c r="C494" s="1173"/>
      <c r="D494" s="1173"/>
      <c r="E494" s="1173"/>
      <c r="F494" s="1173"/>
      <c r="G494" s="1173"/>
      <c r="H494" s="1173"/>
      <c r="I494" s="1173"/>
      <c r="J494" s="1173"/>
      <c r="K494" s="1173"/>
      <c r="L494" s="1173"/>
      <c r="M494" s="1173"/>
      <c r="N494" s="1173"/>
      <c r="O494" s="1173"/>
      <c r="P494" s="1173"/>
    </row>
    <row r="495">
      <c r="A495" s="1173"/>
      <c r="B495" s="1173"/>
      <c r="C495" s="1173"/>
      <c r="D495" s="1173"/>
      <c r="E495" s="1173"/>
      <c r="F495" s="1173"/>
      <c r="G495" s="1173"/>
      <c r="H495" s="1173"/>
      <c r="I495" s="1173"/>
      <c r="J495" s="1173"/>
      <c r="K495" s="1173"/>
      <c r="L495" s="1173"/>
      <c r="M495" s="1173"/>
      <c r="N495" s="1173"/>
      <c r="O495" s="1173"/>
      <c r="P495" s="1173"/>
    </row>
    <row r="496">
      <c r="A496" s="1173"/>
      <c r="B496" s="1173"/>
      <c r="C496" s="1173"/>
      <c r="D496" s="1173"/>
      <c r="E496" s="1173"/>
      <c r="F496" s="1173"/>
      <c r="G496" s="1173"/>
      <c r="H496" s="1173"/>
      <c r="I496" s="1173"/>
      <c r="J496" s="1173"/>
      <c r="K496" s="1173"/>
      <c r="L496" s="1173"/>
      <c r="M496" s="1173"/>
      <c r="N496" s="1173"/>
      <c r="O496" s="1173"/>
      <c r="P496" s="1173"/>
    </row>
    <row r="497">
      <c r="A497" s="1173"/>
      <c r="B497" s="1173"/>
      <c r="C497" s="1173"/>
      <c r="D497" s="1173"/>
      <c r="E497" s="1173"/>
      <c r="F497" s="1173"/>
      <c r="G497" s="1173"/>
      <c r="H497" s="1173"/>
      <c r="I497" s="1173"/>
      <c r="J497" s="1173"/>
      <c r="K497" s="1173"/>
      <c r="L497" s="1173"/>
      <c r="M497" s="1173"/>
      <c r="N497" s="1173"/>
      <c r="O497" s="1173"/>
      <c r="P497" s="1173"/>
    </row>
    <row r="498">
      <c r="A498" s="1173"/>
      <c r="B498" s="1173"/>
      <c r="C498" s="1173"/>
      <c r="D498" s="1173"/>
      <c r="E498" s="1173"/>
      <c r="F498" s="1173"/>
      <c r="G498" s="1173"/>
      <c r="H498" s="1173"/>
      <c r="I498" s="1173"/>
      <c r="J498" s="1173"/>
      <c r="K498" s="1173"/>
      <c r="L498" s="1173"/>
      <c r="M498" s="1173"/>
      <c r="N498" s="1173"/>
      <c r="O498" s="1173"/>
      <c r="P498" s="1173"/>
    </row>
    <row r="499">
      <c r="A499" s="1173"/>
      <c r="B499" s="1173"/>
      <c r="C499" s="1173"/>
      <c r="D499" s="1173"/>
      <c r="E499" s="1173"/>
      <c r="F499" s="1173"/>
      <c r="G499" s="1173"/>
      <c r="H499" s="1173"/>
      <c r="I499" s="1173"/>
      <c r="J499" s="1173"/>
      <c r="K499" s="1173"/>
      <c r="L499" s="1173"/>
      <c r="M499" s="1173"/>
      <c r="N499" s="1173"/>
      <c r="O499" s="1173"/>
      <c r="P499" s="1173"/>
    </row>
    <row r="500">
      <c r="A500" s="1173"/>
      <c r="B500" s="1173"/>
      <c r="C500" s="1173"/>
      <c r="D500" s="1173"/>
      <c r="E500" s="1173"/>
      <c r="F500" s="1173"/>
      <c r="G500" s="1173"/>
      <c r="H500" s="1173"/>
      <c r="I500" s="1173"/>
      <c r="J500" s="1173"/>
      <c r="K500" s="1173"/>
      <c r="L500" s="1173"/>
      <c r="M500" s="1173"/>
      <c r="N500" s="1173"/>
      <c r="O500" s="1173"/>
      <c r="P500" s="1173"/>
    </row>
    <row r="501">
      <c r="A501" s="1173"/>
      <c r="B501" s="1173"/>
      <c r="C501" s="1173"/>
      <c r="D501" s="1173"/>
      <c r="E501" s="1173"/>
      <c r="F501" s="1173"/>
      <c r="G501" s="1173"/>
      <c r="H501" s="1173"/>
      <c r="I501" s="1173"/>
      <c r="J501" s="1173"/>
      <c r="K501" s="1173"/>
      <c r="L501" s="1173"/>
      <c r="M501" s="1173"/>
      <c r="N501" s="1173"/>
      <c r="O501" s="1173"/>
      <c r="P501" s="1173"/>
    </row>
    <row r="502">
      <c r="A502" s="1173"/>
      <c r="B502" s="1173"/>
      <c r="C502" s="1173"/>
      <c r="D502" s="1173"/>
      <c r="E502" s="1173"/>
      <c r="F502" s="1173"/>
      <c r="G502" s="1173"/>
      <c r="H502" s="1173"/>
      <c r="I502" s="1173"/>
      <c r="J502" s="1173"/>
      <c r="K502" s="1173"/>
      <c r="L502" s="1173"/>
      <c r="M502" s="1173"/>
      <c r="N502" s="1173"/>
      <c r="O502" s="1173"/>
      <c r="P502" s="1173"/>
    </row>
    <row r="503">
      <c r="A503" s="1173"/>
      <c r="B503" s="1173"/>
      <c r="C503" s="1173"/>
      <c r="D503" s="1173"/>
      <c r="E503" s="1173"/>
      <c r="F503" s="1173"/>
      <c r="G503" s="1173"/>
      <c r="H503" s="1173"/>
      <c r="I503" s="1173"/>
      <c r="J503" s="1173"/>
      <c r="K503" s="1173"/>
      <c r="L503" s="1173"/>
      <c r="M503" s="1173"/>
      <c r="N503" s="1173"/>
      <c r="O503" s="1173"/>
      <c r="P503" s="1173"/>
    </row>
    <row r="504">
      <c r="A504" s="1173"/>
      <c r="B504" s="1173"/>
      <c r="C504" s="1173"/>
      <c r="D504" s="1173"/>
      <c r="E504" s="1173"/>
      <c r="F504" s="1173"/>
      <c r="G504" s="1173"/>
      <c r="H504" s="1173"/>
      <c r="I504" s="1173"/>
      <c r="J504" s="1173"/>
      <c r="K504" s="1173"/>
      <c r="L504" s="1173"/>
      <c r="M504" s="1173"/>
      <c r="N504" s="1173"/>
      <c r="O504" s="1173"/>
      <c r="P504" s="1173"/>
    </row>
    <row r="505">
      <c r="A505" s="1173"/>
      <c r="B505" s="1173"/>
      <c r="C505" s="1173"/>
      <c r="D505" s="1173"/>
      <c r="E505" s="1173"/>
      <c r="F505" s="1173"/>
      <c r="G505" s="1173"/>
      <c r="H505" s="1173"/>
      <c r="I505" s="1173"/>
      <c r="J505" s="1173"/>
      <c r="K505" s="1173"/>
      <c r="L505" s="1173"/>
      <c r="M505" s="1173"/>
      <c r="N505" s="1173"/>
      <c r="O505" s="1173"/>
      <c r="P505" s="1173"/>
    </row>
    <row r="506">
      <c r="A506" s="1173"/>
      <c r="B506" s="1173"/>
      <c r="C506" s="1173"/>
      <c r="D506" s="1173"/>
      <c r="E506" s="1173"/>
      <c r="F506" s="1173"/>
      <c r="G506" s="1173"/>
      <c r="H506" s="1173"/>
      <c r="I506" s="1173"/>
      <c r="J506" s="1173"/>
      <c r="K506" s="1173"/>
      <c r="L506" s="1173"/>
      <c r="M506" s="1173"/>
      <c r="N506" s="1173"/>
      <c r="O506" s="1173"/>
      <c r="P506" s="1173"/>
    </row>
    <row r="507">
      <c r="A507" s="1173"/>
      <c r="B507" s="1173"/>
      <c r="C507" s="1173"/>
      <c r="D507" s="1173"/>
      <c r="E507" s="1173"/>
      <c r="F507" s="1173"/>
      <c r="G507" s="1173"/>
      <c r="H507" s="1173"/>
      <c r="I507" s="1173"/>
      <c r="J507" s="1173"/>
      <c r="K507" s="1173"/>
      <c r="L507" s="1173"/>
      <c r="M507" s="1173"/>
      <c r="N507" s="1173"/>
      <c r="O507" s="1173"/>
      <c r="P507" s="1173"/>
    </row>
    <row r="508">
      <c r="A508" s="1173"/>
      <c r="B508" s="1173"/>
      <c r="C508" s="1173"/>
      <c r="D508" s="1173"/>
      <c r="E508" s="1173"/>
      <c r="F508" s="1173"/>
      <c r="G508" s="1173"/>
      <c r="H508" s="1173"/>
      <c r="I508" s="1173"/>
      <c r="J508" s="1173"/>
      <c r="K508" s="1173"/>
      <c r="L508" s="1173"/>
      <c r="M508" s="1173"/>
      <c r="N508" s="1173"/>
      <c r="O508" s="1173"/>
      <c r="P508" s="1173"/>
    </row>
    <row r="509">
      <c r="A509" s="1173"/>
      <c r="B509" s="1173"/>
      <c r="C509" s="1173"/>
      <c r="D509" s="1173"/>
      <c r="E509" s="1173"/>
      <c r="F509" s="1173"/>
      <c r="G509" s="1173"/>
      <c r="H509" s="1173"/>
      <c r="I509" s="1173"/>
      <c r="J509" s="1173"/>
      <c r="K509" s="1173"/>
      <c r="L509" s="1173"/>
      <c r="M509" s="1173"/>
      <c r="N509" s="1173"/>
      <c r="O509" s="1173"/>
      <c r="P509" s="1173"/>
    </row>
    <row r="510">
      <c r="A510" s="1173"/>
      <c r="B510" s="1173"/>
      <c r="C510" s="1173"/>
      <c r="D510" s="1173"/>
      <c r="E510" s="1173"/>
      <c r="F510" s="1173"/>
      <c r="G510" s="1173"/>
      <c r="H510" s="1173"/>
      <c r="I510" s="1173"/>
      <c r="J510" s="1173"/>
      <c r="K510" s="1173"/>
      <c r="L510" s="1173"/>
      <c r="M510" s="1173"/>
      <c r="N510" s="1173"/>
      <c r="O510" s="1173"/>
      <c r="P510" s="1173"/>
    </row>
    <row r="511">
      <c r="A511" s="1173"/>
      <c r="B511" s="1173"/>
      <c r="C511" s="1173"/>
      <c r="D511" s="1173"/>
      <c r="E511" s="1173"/>
      <c r="F511" s="1173"/>
      <c r="G511" s="1173"/>
      <c r="H511" s="1173"/>
      <c r="I511" s="1173"/>
      <c r="J511" s="1173"/>
      <c r="K511" s="1173"/>
      <c r="L511" s="1173"/>
      <c r="M511" s="1173"/>
      <c r="N511" s="1173"/>
      <c r="O511" s="1173"/>
      <c r="P511" s="1173"/>
    </row>
    <row r="512">
      <c r="A512" s="1173"/>
      <c r="B512" s="1173"/>
      <c r="C512" s="1173"/>
      <c r="D512" s="1173"/>
      <c r="E512" s="1173"/>
      <c r="F512" s="1173"/>
      <c r="G512" s="1173"/>
      <c r="H512" s="1173"/>
      <c r="I512" s="1173"/>
      <c r="J512" s="1173"/>
      <c r="K512" s="1173"/>
      <c r="L512" s="1173"/>
      <c r="M512" s="1173"/>
      <c r="N512" s="1173"/>
      <c r="O512" s="1173"/>
      <c r="P512" s="1173"/>
    </row>
    <row r="513">
      <c r="A513" s="1173"/>
      <c r="B513" s="1173"/>
      <c r="C513" s="1173"/>
      <c r="D513" s="1173"/>
      <c r="E513" s="1173"/>
      <c r="F513" s="1173"/>
      <c r="G513" s="1173"/>
      <c r="H513" s="1173"/>
      <c r="I513" s="1173"/>
      <c r="J513" s="1173"/>
      <c r="K513" s="1173"/>
      <c r="L513" s="1173"/>
      <c r="M513" s="1173"/>
      <c r="N513" s="1173"/>
      <c r="O513" s="1173"/>
      <c r="P513" s="1173"/>
    </row>
    <row r="514">
      <c r="A514" s="1173"/>
      <c r="B514" s="1173"/>
      <c r="C514" s="1173"/>
      <c r="D514" s="1173"/>
      <c r="E514" s="1173"/>
      <c r="F514" s="1173"/>
      <c r="G514" s="1173"/>
      <c r="H514" s="1173"/>
      <c r="I514" s="1173"/>
      <c r="J514" s="1173"/>
      <c r="K514" s="1173"/>
      <c r="L514" s="1173"/>
      <c r="M514" s="1173"/>
      <c r="N514" s="1173"/>
      <c r="O514" s="1173"/>
      <c r="P514" s="1173"/>
    </row>
    <row r="515">
      <c r="A515" s="1173"/>
      <c r="B515" s="1173"/>
      <c r="C515" s="1173"/>
      <c r="D515" s="1173"/>
      <c r="E515" s="1173"/>
      <c r="F515" s="1173"/>
      <c r="G515" s="1173"/>
      <c r="H515" s="1173"/>
      <c r="I515" s="1173"/>
      <c r="J515" s="1173"/>
      <c r="K515" s="1173"/>
      <c r="L515" s="1173"/>
      <c r="M515" s="1173"/>
      <c r="N515" s="1173"/>
      <c r="O515" s="1173"/>
      <c r="P515" s="1173"/>
    </row>
    <row r="516">
      <c r="A516" s="1173"/>
      <c r="B516" s="1173"/>
      <c r="C516" s="1173"/>
      <c r="D516" s="1173"/>
      <c r="E516" s="1173"/>
      <c r="F516" s="1173"/>
      <c r="G516" s="1173"/>
      <c r="H516" s="1173"/>
      <c r="I516" s="1173"/>
      <c r="J516" s="1173"/>
      <c r="K516" s="1173"/>
      <c r="L516" s="1173"/>
      <c r="M516" s="1173"/>
      <c r="N516" s="1173"/>
      <c r="O516" s="1173"/>
      <c r="P516" s="1173"/>
    </row>
    <row r="517">
      <c r="A517" s="1173"/>
      <c r="B517" s="1173"/>
      <c r="C517" s="1173"/>
      <c r="D517" s="1173"/>
      <c r="E517" s="1173"/>
      <c r="F517" s="1173"/>
      <c r="G517" s="1173"/>
      <c r="H517" s="1173"/>
      <c r="I517" s="1173"/>
      <c r="J517" s="1173"/>
      <c r="K517" s="1173"/>
      <c r="L517" s="1173"/>
      <c r="M517" s="1173"/>
      <c r="N517" s="1173"/>
      <c r="O517" s="1173"/>
      <c r="P517" s="1173"/>
    </row>
    <row r="518">
      <c r="A518" s="1173"/>
      <c r="B518" s="1173"/>
      <c r="C518" s="1173"/>
      <c r="D518" s="1173"/>
      <c r="E518" s="1173"/>
      <c r="F518" s="1173"/>
      <c r="G518" s="1173"/>
      <c r="H518" s="1173"/>
      <c r="I518" s="1173"/>
      <c r="J518" s="1173"/>
      <c r="K518" s="1173"/>
      <c r="L518" s="1173"/>
      <c r="M518" s="1173"/>
      <c r="N518" s="1173"/>
      <c r="O518" s="1173"/>
      <c r="P518" s="1173"/>
    </row>
    <row r="519">
      <c r="A519" s="1173"/>
      <c r="B519" s="1173"/>
      <c r="C519" s="1173"/>
      <c r="D519" s="1173"/>
      <c r="E519" s="1173"/>
      <c r="F519" s="1173"/>
      <c r="G519" s="1173"/>
      <c r="H519" s="1173"/>
      <c r="I519" s="1173"/>
      <c r="J519" s="1173"/>
      <c r="K519" s="1173"/>
      <c r="L519" s="1173"/>
      <c r="M519" s="1173"/>
      <c r="N519" s="1173"/>
      <c r="O519" s="1173"/>
      <c r="P519" s="1173"/>
    </row>
    <row r="520">
      <c r="A520" s="1173"/>
      <c r="B520" s="1173"/>
      <c r="C520" s="1173"/>
      <c r="D520" s="1173"/>
      <c r="E520" s="1173"/>
      <c r="F520" s="1173"/>
      <c r="G520" s="1173"/>
      <c r="H520" s="1173"/>
      <c r="I520" s="1173"/>
      <c r="J520" s="1173"/>
      <c r="K520" s="1173"/>
      <c r="L520" s="1173"/>
      <c r="M520" s="1173"/>
      <c r="N520" s="1173"/>
      <c r="O520" s="1173"/>
      <c r="P520" s="1173"/>
    </row>
    <row r="521">
      <c r="A521" s="1173"/>
      <c r="B521" s="1173"/>
      <c r="C521" s="1173"/>
      <c r="D521" s="1173"/>
      <c r="E521" s="1173"/>
      <c r="F521" s="1173"/>
      <c r="G521" s="1173"/>
      <c r="H521" s="1173"/>
      <c r="I521" s="1173"/>
      <c r="J521" s="1173"/>
      <c r="K521" s="1173"/>
      <c r="L521" s="1173"/>
      <c r="M521" s="1173"/>
      <c r="N521" s="1173"/>
      <c r="O521" s="1173"/>
      <c r="P521" s="1173"/>
    </row>
    <row r="522">
      <c r="A522" s="1173"/>
      <c r="B522" s="1173"/>
      <c r="C522" s="1173"/>
      <c r="D522" s="1173"/>
      <c r="E522" s="1173"/>
      <c r="F522" s="1173"/>
      <c r="G522" s="1173"/>
      <c r="H522" s="1173"/>
      <c r="I522" s="1173"/>
      <c r="J522" s="1173"/>
      <c r="K522" s="1173"/>
      <c r="L522" s="1173"/>
      <c r="M522" s="1173"/>
      <c r="N522" s="1173"/>
      <c r="O522" s="1173"/>
      <c r="P522" s="1173"/>
    </row>
    <row r="523">
      <c r="A523" s="1173"/>
      <c r="B523" s="1173"/>
      <c r="C523" s="1173"/>
      <c r="D523" s="1173"/>
      <c r="E523" s="1173"/>
      <c r="F523" s="1173"/>
      <c r="G523" s="1173"/>
      <c r="H523" s="1173"/>
      <c r="I523" s="1173"/>
      <c r="J523" s="1173"/>
      <c r="K523" s="1173"/>
      <c r="L523" s="1173"/>
      <c r="M523" s="1173"/>
      <c r="N523" s="1173"/>
      <c r="O523" s="1173"/>
      <c r="P523" s="1173"/>
    </row>
    <row r="524">
      <c r="A524" s="1173"/>
      <c r="B524" s="1173"/>
      <c r="C524" s="1173"/>
      <c r="D524" s="1173"/>
      <c r="E524" s="1173"/>
      <c r="F524" s="1173"/>
      <c r="G524" s="1173"/>
      <c r="H524" s="1173"/>
      <c r="I524" s="1173"/>
      <c r="J524" s="1173"/>
      <c r="K524" s="1173"/>
      <c r="L524" s="1173"/>
      <c r="M524" s="1173"/>
      <c r="N524" s="1173"/>
      <c r="O524" s="1173"/>
      <c r="P524" s="1173"/>
    </row>
    <row r="525">
      <c r="A525" s="1173"/>
      <c r="B525" s="1173"/>
      <c r="C525" s="1173"/>
      <c r="D525" s="1173"/>
      <c r="E525" s="1173"/>
      <c r="F525" s="1173"/>
      <c r="G525" s="1173"/>
      <c r="H525" s="1173"/>
      <c r="I525" s="1173"/>
      <c r="J525" s="1173"/>
      <c r="K525" s="1173"/>
      <c r="L525" s="1173"/>
      <c r="M525" s="1173"/>
      <c r="N525" s="1173"/>
      <c r="O525" s="1173"/>
      <c r="P525" s="1173"/>
    </row>
    <row r="526">
      <c r="A526" s="1173"/>
      <c r="B526" s="1173"/>
      <c r="C526" s="1173"/>
      <c r="D526" s="1173"/>
      <c r="E526" s="1173"/>
      <c r="F526" s="1173"/>
      <c r="G526" s="1173"/>
      <c r="H526" s="1173"/>
      <c r="I526" s="1173"/>
      <c r="J526" s="1173"/>
      <c r="K526" s="1173"/>
      <c r="L526" s="1173"/>
      <c r="M526" s="1173"/>
      <c r="N526" s="1173"/>
      <c r="O526" s="1173"/>
      <c r="P526" s="1173"/>
    </row>
    <row r="527">
      <c r="A527" s="1173"/>
      <c r="B527" s="1173"/>
      <c r="C527" s="1173"/>
      <c r="D527" s="1173"/>
      <c r="E527" s="1173"/>
      <c r="F527" s="1173"/>
      <c r="G527" s="1173"/>
      <c r="H527" s="1173"/>
      <c r="I527" s="1173"/>
      <c r="J527" s="1173"/>
      <c r="K527" s="1173"/>
      <c r="L527" s="1173"/>
      <c r="M527" s="1173"/>
      <c r="N527" s="1173"/>
      <c r="O527" s="1173"/>
      <c r="P527" s="1173"/>
    </row>
    <row r="528">
      <c r="A528" s="1173"/>
      <c r="B528" s="1173"/>
      <c r="C528" s="1173"/>
      <c r="D528" s="1173"/>
      <c r="E528" s="1173"/>
      <c r="F528" s="1173"/>
      <c r="G528" s="1173"/>
      <c r="H528" s="1173"/>
      <c r="I528" s="1173"/>
      <c r="J528" s="1173"/>
      <c r="K528" s="1173"/>
      <c r="L528" s="1173"/>
      <c r="M528" s="1173"/>
      <c r="N528" s="1173"/>
      <c r="O528" s="1173"/>
      <c r="P528" s="1173"/>
    </row>
    <row r="529">
      <c r="A529" s="1173"/>
      <c r="B529" s="1173"/>
      <c r="C529" s="1173"/>
      <c r="D529" s="1173"/>
      <c r="E529" s="1173"/>
      <c r="F529" s="1173"/>
      <c r="G529" s="1173"/>
      <c r="H529" s="1173"/>
      <c r="I529" s="1173"/>
      <c r="J529" s="1173"/>
      <c r="K529" s="1173"/>
      <c r="L529" s="1173"/>
      <c r="M529" s="1173"/>
      <c r="N529" s="1173"/>
      <c r="O529" s="1173"/>
      <c r="P529" s="1173"/>
    </row>
    <row r="530">
      <c r="A530" s="1173"/>
      <c r="B530" s="1173"/>
      <c r="C530" s="1173"/>
      <c r="D530" s="1173"/>
      <c r="E530" s="1173"/>
      <c r="F530" s="1173"/>
      <c r="G530" s="1173"/>
      <c r="H530" s="1173"/>
      <c r="I530" s="1173"/>
      <c r="J530" s="1173"/>
      <c r="K530" s="1173"/>
      <c r="L530" s="1173"/>
      <c r="M530" s="1173"/>
      <c r="N530" s="1173"/>
      <c r="O530" s="1173"/>
      <c r="P530" s="1173"/>
    </row>
    <row r="531">
      <c r="A531" s="1173"/>
      <c r="B531" s="1173"/>
      <c r="C531" s="1173"/>
      <c r="D531" s="1173"/>
      <c r="E531" s="1173"/>
      <c r="F531" s="1173"/>
      <c r="G531" s="1173"/>
      <c r="H531" s="1173"/>
      <c r="I531" s="1173"/>
      <c r="J531" s="1173"/>
      <c r="K531" s="1173"/>
      <c r="L531" s="1173"/>
      <c r="M531" s="1173"/>
      <c r="N531" s="1173"/>
      <c r="O531" s="1173"/>
      <c r="P531" s="1173"/>
    </row>
    <row r="532">
      <c r="A532" s="1173"/>
      <c r="B532" s="1173"/>
      <c r="C532" s="1173"/>
      <c r="D532" s="1173"/>
      <c r="E532" s="1173"/>
      <c r="F532" s="1173"/>
      <c r="G532" s="1173"/>
      <c r="H532" s="1173"/>
      <c r="I532" s="1173"/>
      <c r="J532" s="1173"/>
      <c r="K532" s="1173"/>
      <c r="L532" s="1173"/>
      <c r="M532" s="1173"/>
      <c r="N532" s="1173"/>
      <c r="O532" s="1173"/>
      <c r="P532" s="1173"/>
    </row>
    <row r="533">
      <c r="A533" s="1173"/>
      <c r="B533" s="1173"/>
      <c r="C533" s="1173"/>
      <c r="D533" s="1173"/>
      <c r="E533" s="1173"/>
      <c r="F533" s="1173"/>
      <c r="G533" s="1173"/>
      <c r="H533" s="1173"/>
      <c r="I533" s="1173"/>
      <c r="J533" s="1173"/>
      <c r="K533" s="1173"/>
      <c r="L533" s="1173"/>
      <c r="M533" s="1173"/>
      <c r="N533" s="1173"/>
      <c r="O533" s="1173"/>
      <c r="P533" s="1173"/>
    </row>
    <row r="534">
      <c r="A534" s="1173"/>
      <c r="B534" s="1173"/>
      <c r="C534" s="1173"/>
      <c r="D534" s="1173"/>
      <c r="E534" s="1173"/>
      <c r="F534" s="1173"/>
      <c r="G534" s="1173"/>
      <c r="H534" s="1173"/>
      <c r="I534" s="1173"/>
      <c r="J534" s="1173"/>
      <c r="K534" s="1173"/>
      <c r="L534" s="1173"/>
      <c r="M534" s="1173"/>
      <c r="N534" s="1173"/>
      <c r="O534" s="1173"/>
      <c r="P534" s="1173"/>
    </row>
    <row r="535">
      <c r="A535" s="1173"/>
      <c r="B535" s="1173"/>
      <c r="C535" s="1173"/>
      <c r="D535" s="1173"/>
      <c r="E535" s="1173"/>
      <c r="F535" s="1173"/>
      <c r="G535" s="1173"/>
      <c r="H535" s="1173"/>
      <c r="I535" s="1173"/>
      <c r="J535" s="1173"/>
      <c r="K535" s="1173"/>
      <c r="L535" s="1173"/>
      <c r="M535" s="1173"/>
      <c r="N535" s="1173"/>
      <c r="O535" s="1173"/>
      <c r="P535" s="1173"/>
    </row>
    <row r="536">
      <c r="A536" s="1173"/>
      <c r="B536" s="1173"/>
      <c r="C536" s="1173"/>
      <c r="D536" s="1173"/>
      <c r="E536" s="1173"/>
      <c r="F536" s="1173"/>
      <c r="G536" s="1173"/>
      <c r="H536" s="1173"/>
      <c r="I536" s="1173"/>
      <c r="J536" s="1173"/>
      <c r="K536" s="1173"/>
      <c r="L536" s="1173"/>
      <c r="M536" s="1173"/>
      <c r="N536" s="1173"/>
      <c r="O536" s="1173"/>
      <c r="P536" s="1173"/>
    </row>
    <row r="537">
      <c r="A537" s="1173"/>
      <c r="B537" s="1173"/>
      <c r="C537" s="1173"/>
      <c r="D537" s="1173"/>
      <c r="E537" s="1173"/>
      <c r="F537" s="1173"/>
      <c r="G537" s="1173"/>
      <c r="H537" s="1173"/>
      <c r="I537" s="1173"/>
      <c r="J537" s="1173"/>
      <c r="K537" s="1173"/>
      <c r="L537" s="1173"/>
      <c r="M537" s="1173"/>
      <c r="N537" s="1173"/>
      <c r="O537" s="1173"/>
      <c r="P537" s="1173"/>
    </row>
    <row r="538">
      <c r="A538" s="1173"/>
      <c r="B538" s="1173"/>
      <c r="C538" s="1173"/>
      <c r="D538" s="1173"/>
      <c r="E538" s="1173"/>
      <c r="F538" s="1173"/>
      <c r="G538" s="1173"/>
      <c r="H538" s="1173"/>
      <c r="I538" s="1173"/>
      <c r="J538" s="1173"/>
      <c r="K538" s="1173"/>
      <c r="L538" s="1173"/>
      <c r="M538" s="1173"/>
      <c r="N538" s="1173"/>
      <c r="O538" s="1173"/>
      <c r="P538" s="1173"/>
    </row>
    <row r="539">
      <c r="A539" s="1173"/>
      <c r="B539" s="1173"/>
      <c r="C539" s="1173"/>
      <c r="D539" s="1173"/>
      <c r="E539" s="1173"/>
      <c r="F539" s="1173"/>
      <c r="G539" s="1173"/>
      <c r="H539" s="1173"/>
      <c r="I539" s="1173"/>
      <c r="J539" s="1173"/>
      <c r="K539" s="1173"/>
      <c r="L539" s="1173"/>
      <c r="M539" s="1173"/>
      <c r="N539" s="1173"/>
      <c r="O539" s="1173"/>
      <c r="P539" s="1173"/>
    </row>
    <row r="540">
      <c r="A540" s="1173"/>
      <c r="B540" s="1173"/>
      <c r="C540" s="1173"/>
      <c r="D540" s="1173"/>
      <c r="E540" s="1173"/>
      <c r="F540" s="1173"/>
      <c r="G540" s="1173"/>
      <c r="H540" s="1173"/>
      <c r="I540" s="1173"/>
      <c r="J540" s="1173"/>
      <c r="K540" s="1173"/>
      <c r="L540" s="1173"/>
      <c r="M540" s="1173"/>
      <c r="N540" s="1173"/>
      <c r="O540" s="1173"/>
      <c r="P540" s="1173"/>
    </row>
    <row r="541">
      <c r="A541" s="1173"/>
      <c r="B541" s="1173"/>
      <c r="C541" s="1173"/>
      <c r="D541" s="1173"/>
      <c r="E541" s="1173"/>
      <c r="F541" s="1173"/>
      <c r="G541" s="1173"/>
      <c r="H541" s="1173"/>
      <c r="I541" s="1173"/>
      <c r="J541" s="1173"/>
      <c r="K541" s="1173"/>
      <c r="L541" s="1173"/>
      <c r="M541" s="1173"/>
      <c r="N541" s="1173"/>
      <c r="O541" s="1173"/>
      <c r="P541" s="1173"/>
    </row>
    <row r="542">
      <c r="A542" s="1173"/>
      <c r="B542" s="1173"/>
      <c r="C542" s="1173"/>
      <c r="D542" s="1173"/>
      <c r="E542" s="1173"/>
      <c r="F542" s="1173"/>
      <c r="G542" s="1173"/>
      <c r="H542" s="1173"/>
      <c r="I542" s="1173"/>
      <c r="J542" s="1173"/>
      <c r="K542" s="1173"/>
      <c r="L542" s="1173"/>
      <c r="M542" s="1173"/>
      <c r="N542" s="1173"/>
      <c r="O542" s="1173"/>
      <c r="P542" s="1173"/>
    </row>
    <row r="543">
      <c r="A543" s="1173"/>
      <c r="B543" s="1173"/>
      <c r="C543" s="1173"/>
      <c r="D543" s="1173"/>
      <c r="E543" s="1173"/>
      <c r="F543" s="1173"/>
      <c r="G543" s="1173"/>
      <c r="H543" s="1173"/>
      <c r="I543" s="1173"/>
      <c r="J543" s="1173"/>
      <c r="K543" s="1173"/>
      <c r="L543" s="1173"/>
      <c r="M543" s="1173"/>
      <c r="N543" s="1173"/>
      <c r="O543" s="1173"/>
      <c r="P543" s="1173"/>
    </row>
    <row r="544">
      <c r="A544" s="1173"/>
      <c r="B544" s="1173"/>
      <c r="C544" s="1173"/>
      <c r="D544" s="1173"/>
      <c r="E544" s="1173"/>
      <c r="F544" s="1173"/>
      <c r="G544" s="1173"/>
      <c r="H544" s="1173"/>
      <c r="I544" s="1173"/>
      <c r="J544" s="1173"/>
      <c r="K544" s="1173"/>
      <c r="L544" s="1173"/>
      <c r="M544" s="1173"/>
      <c r="N544" s="1173"/>
      <c r="O544" s="1173"/>
      <c r="P544" s="1173"/>
    </row>
    <row r="545">
      <c r="A545" s="1173"/>
      <c r="B545" s="1173"/>
      <c r="C545" s="1173"/>
      <c r="D545" s="1173"/>
      <c r="E545" s="1173"/>
      <c r="F545" s="1173"/>
      <c r="G545" s="1173"/>
      <c r="H545" s="1173"/>
      <c r="I545" s="1173"/>
      <c r="J545" s="1173"/>
      <c r="K545" s="1173"/>
      <c r="L545" s="1173"/>
      <c r="M545" s="1173"/>
      <c r="N545" s="1173"/>
      <c r="O545" s="1173"/>
      <c r="P545" s="1173"/>
    </row>
    <row r="546">
      <c r="A546" s="1173"/>
      <c r="B546" s="1173"/>
      <c r="C546" s="1173"/>
      <c r="D546" s="1173"/>
      <c r="E546" s="1173"/>
      <c r="F546" s="1173"/>
      <c r="G546" s="1173"/>
      <c r="H546" s="1173"/>
      <c r="I546" s="1173"/>
      <c r="J546" s="1173"/>
      <c r="K546" s="1173"/>
      <c r="L546" s="1173"/>
      <c r="M546" s="1173"/>
      <c r="N546" s="1173"/>
      <c r="O546" s="1173"/>
      <c r="P546" s="1173"/>
    </row>
    <row r="547">
      <c r="A547" s="1173"/>
      <c r="B547" s="1173"/>
      <c r="C547" s="1173"/>
      <c r="D547" s="1173"/>
      <c r="E547" s="1173"/>
      <c r="F547" s="1173"/>
      <c r="G547" s="1173"/>
      <c r="H547" s="1173"/>
      <c r="I547" s="1173"/>
      <c r="J547" s="1173"/>
      <c r="K547" s="1173"/>
      <c r="L547" s="1173"/>
      <c r="M547" s="1173"/>
      <c r="N547" s="1173"/>
      <c r="O547" s="1173"/>
      <c r="P547" s="1173"/>
    </row>
    <row r="548">
      <c r="A548" s="1173"/>
      <c r="B548" s="1173"/>
      <c r="C548" s="1173"/>
      <c r="D548" s="1173"/>
      <c r="E548" s="1173"/>
      <c r="F548" s="1173"/>
      <c r="G548" s="1173"/>
      <c r="H548" s="1173"/>
      <c r="I548" s="1173"/>
      <c r="J548" s="1173"/>
      <c r="K548" s="1173"/>
      <c r="L548" s="1173"/>
      <c r="M548" s="1173"/>
      <c r="N548" s="1173"/>
      <c r="O548" s="1173"/>
      <c r="P548" s="1173"/>
    </row>
    <row r="549">
      <c r="A549" s="1173"/>
      <c r="B549" s="1173"/>
      <c r="C549" s="1173"/>
      <c r="D549" s="1173"/>
      <c r="E549" s="1173"/>
      <c r="F549" s="1173"/>
      <c r="G549" s="1173"/>
      <c r="H549" s="1173"/>
      <c r="I549" s="1173"/>
      <c r="J549" s="1173"/>
      <c r="K549" s="1173"/>
      <c r="L549" s="1173"/>
      <c r="M549" s="1173"/>
      <c r="N549" s="1173"/>
      <c r="O549" s="1173"/>
      <c r="P549" s="1173"/>
    </row>
    <row r="550">
      <c r="A550" s="1173"/>
      <c r="B550" s="1173"/>
      <c r="C550" s="1173"/>
      <c r="D550" s="1173"/>
      <c r="E550" s="1173"/>
      <c r="F550" s="1173"/>
      <c r="G550" s="1173"/>
      <c r="H550" s="1173"/>
      <c r="I550" s="1173"/>
      <c r="J550" s="1173"/>
      <c r="K550" s="1173"/>
      <c r="L550" s="1173"/>
      <c r="M550" s="1173"/>
      <c r="N550" s="1173"/>
      <c r="O550" s="1173"/>
      <c r="P550" s="1173"/>
    </row>
    <row r="551">
      <c r="A551" s="1173"/>
      <c r="B551" s="1173"/>
      <c r="C551" s="1173"/>
      <c r="D551" s="1173"/>
      <c r="E551" s="1173"/>
      <c r="F551" s="1173"/>
      <c r="G551" s="1173"/>
      <c r="H551" s="1173"/>
      <c r="I551" s="1173"/>
      <c r="J551" s="1173"/>
      <c r="K551" s="1173"/>
      <c r="L551" s="1173"/>
      <c r="M551" s="1173"/>
      <c r="N551" s="1173"/>
      <c r="O551" s="1173"/>
      <c r="P551" s="1173"/>
    </row>
    <row r="552">
      <c r="A552" s="1173"/>
      <c r="B552" s="1173"/>
      <c r="C552" s="1173"/>
      <c r="D552" s="1173"/>
      <c r="E552" s="1173"/>
      <c r="F552" s="1173"/>
      <c r="G552" s="1173"/>
      <c r="H552" s="1173"/>
      <c r="I552" s="1173"/>
      <c r="J552" s="1173"/>
      <c r="K552" s="1173"/>
      <c r="L552" s="1173"/>
      <c r="M552" s="1173"/>
      <c r="N552" s="1173"/>
      <c r="O552" s="1173"/>
      <c r="P552" s="1173"/>
    </row>
    <row r="553">
      <c r="A553" s="1173"/>
      <c r="B553" s="1173"/>
      <c r="C553" s="1173"/>
      <c r="D553" s="1173"/>
      <c r="E553" s="1173"/>
      <c r="F553" s="1173"/>
      <c r="G553" s="1173"/>
      <c r="H553" s="1173"/>
      <c r="I553" s="1173"/>
      <c r="J553" s="1173"/>
      <c r="K553" s="1173"/>
      <c r="L553" s="1173"/>
      <c r="M553" s="1173"/>
      <c r="N553" s="1173"/>
      <c r="O553" s="1173"/>
      <c r="P553" s="1173"/>
    </row>
    <row r="554">
      <c r="A554" s="1173"/>
      <c r="B554" s="1173"/>
      <c r="C554" s="1173"/>
      <c r="D554" s="1173"/>
      <c r="E554" s="1173"/>
      <c r="F554" s="1173"/>
      <c r="G554" s="1173"/>
      <c r="H554" s="1173"/>
      <c r="I554" s="1173"/>
      <c r="J554" s="1173"/>
      <c r="K554" s="1173"/>
      <c r="L554" s="1173"/>
      <c r="M554" s="1173"/>
      <c r="N554" s="1173"/>
      <c r="O554" s="1173"/>
      <c r="P554" s="1173"/>
    </row>
    <row r="555">
      <c r="A555" s="1173"/>
      <c r="B555" s="1173"/>
      <c r="C555" s="1173"/>
      <c r="D555" s="1173"/>
      <c r="E555" s="1173"/>
      <c r="F555" s="1173"/>
      <c r="G555" s="1173"/>
      <c r="H555" s="1173"/>
      <c r="I555" s="1173"/>
      <c r="J555" s="1173"/>
      <c r="K555" s="1173"/>
      <c r="L555" s="1173"/>
      <c r="M555" s="1173"/>
      <c r="N555" s="1173"/>
      <c r="O555" s="1173"/>
      <c r="P555" s="1173"/>
    </row>
    <row r="556">
      <c r="A556" s="1173"/>
      <c r="B556" s="1173"/>
      <c r="C556" s="1173"/>
      <c r="D556" s="1173"/>
      <c r="E556" s="1173"/>
      <c r="F556" s="1173"/>
      <c r="G556" s="1173"/>
      <c r="H556" s="1173"/>
      <c r="I556" s="1173"/>
      <c r="J556" s="1173"/>
      <c r="K556" s="1173"/>
      <c r="L556" s="1173"/>
      <c r="M556" s="1173"/>
      <c r="N556" s="1173"/>
      <c r="O556" s="1173"/>
      <c r="P556" s="1173"/>
    </row>
    <row r="557">
      <c r="A557" s="1173"/>
      <c r="B557" s="1173"/>
      <c r="C557" s="1173"/>
      <c r="D557" s="1173"/>
      <c r="E557" s="1173"/>
      <c r="F557" s="1173"/>
      <c r="G557" s="1173"/>
      <c r="H557" s="1173"/>
      <c r="I557" s="1173"/>
      <c r="J557" s="1173"/>
      <c r="K557" s="1173"/>
      <c r="L557" s="1173"/>
      <c r="M557" s="1173"/>
      <c r="N557" s="1173"/>
      <c r="O557" s="1173"/>
      <c r="P557" s="1173"/>
    </row>
    <row r="558">
      <c r="A558" s="1173"/>
      <c r="B558" s="1173"/>
      <c r="C558" s="1173"/>
      <c r="D558" s="1173"/>
      <c r="E558" s="1173"/>
      <c r="F558" s="1173"/>
      <c r="G558" s="1173"/>
      <c r="H558" s="1173"/>
      <c r="I558" s="1173"/>
      <c r="J558" s="1173"/>
      <c r="K558" s="1173"/>
      <c r="L558" s="1173"/>
      <c r="M558" s="1173"/>
      <c r="N558" s="1173"/>
      <c r="O558" s="1173"/>
      <c r="P558" s="1173"/>
    </row>
    <row r="559">
      <c r="A559" s="1173"/>
      <c r="B559" s="1173"/>
      <c r="C559" s="1173"/>
      <c r="D559" s="1173"/>
      <c r="E559" s="1173"/>
      <c r="F559" s="1173"/>
      <c r="G559" s="1173"/>
      <c r="H559" s="1173"/>
      <c r="I559" s="1173"/>
      <c r="J559" s="1173"/>
      <c r="K559" s="1173"/>
      <c r="L559" s="1173"/>
      <c r="M559" s="1173"/>
      <c r="N559" s="1173"/>
      <c r="O559" s="1173"/>
      <c r="P559" s="1173"/>
    </row>
    <row r="560">
      <c r="A560" s="1173"/>
      <c r="B560" s="1173"/>
      <c r="C560" s="1173"/>
      <c r="D560" s="1173"/>
      <c r="E560" s="1173"/>
      <c r="F560" s="1173"/>
      <c r="G560" s="1173"/>
      <c r="H560" s="1173"/>
      <c r="I560" s="1173"/>
      <c r="J560" s="1173"/>
      <c r="K560" s="1173"/>
      <c r="L560" s="1173"/>
      <c r="M560" s="1173"/>
      <c r="N560" s="1173"/>
      <c r="O560" s="1173"/>
      <c r="P560" s="1173"/>
    </row>
    <row r="561">
      <c r="A561" s="1173"/>
      <c r="B561" s="1173"/>
      <c r="C561" s="1173"/>
      <c r="D561" s="1173"/>
      <c r="E561" s="1173"/>
      <c r="F561" s="1173"/>
      <c r="G561" s="1173"/>
      <c r="H561" s="1173"/>
      <c r="I561" s="1173"/>
      <c r="J561" s="1173"/>
      <c r="K561" s="1173"/>
      <c r="L561" s="1173"/>
      <c r="M561" s="1173"/>
      <c r="N561" s="1173"/>
      <c r="O561" s="1173"/>
      <c r="P561" s="1173"/>
    </row>
    <row r="562">
      <c r="A562" s="1173"/>
      <c r="B562" s="1173"/>
      <c r="C562" s="1173"/>
      <c r="D562" s="1173"/>
      <c r="E562" s="1173"/>
      <c r="F562" s="1173"/>
      <c r="G562" s="1173"/>
      <c r="H562" s="1173"/>
      <c r="I562" s="1173"/>
      <c r="J562" s="1173"/>
      <c r="K562" s="1173"/>
      <c r="L562" s="1173"/>
      <c r="M562" s="1173"/>
      <c r="N562" s="1173"/>
      <c r="O562" s="1173"/>
      <c r="P562" s="1173"/>
    </row>
    <row r="563">
      <c r="A563" s="1173"/>
      <c r="B563" s="1173"/>
      <c r="C563" s="1173"/>
      <c r="D563" s="1173"/>
      <c r="E563" s="1173"/>
      <c r="F563" s="1173"/>
      <c r="G563" s="1173"/>
      <c r="H563" s="1173"/>
      <c r="I563" s="1173"/>
      <c r="J563" s="1173"/>
      <c r="K563" s="1173"/>
      <c r="L563" s="1173"/>
      <c r="M563" s="1173"/>
      <c r="N563" s="1173"/>
      <c r="O563" s="1173"/>
      <c r="P563" s="1173"/>
    </row>
    <row r="564">
      <c r="A564" s="1173"/>
      <c r="B564" s="1173"/>
      <c r="C564" s="1173"/>
      <c r="D564" s="1173"/>
      <c r="E564" s="1173"/>
      <c r="F564" s="1173"/>
      <c r="G564" s="1173"/>
      <c r="H564" s="1173"/>
      <c r="I564" s="1173"/>
      <c r="J564" s="1173"/>
      <c r="K564" s="1173"/>
      <c r="L564" s="1173"/>
      <c r="M564" s="1173"/>
      <c r="N564" s="1173"/>
      <c r="O564" s="1173"/>
      <c r="P564" s="1173"/>
    </row>
    <row r="565">
      <c r="A565" s="1173"/>
      <c r="B565" s="1173"/>
      <c r="C565" s="1173"/>
      <c r="D565" s="1173"/>
      <c r="E565" s="1173"/>
      <c r="F565" s="1173"/>
      <c r="G565" s="1173"/>
      <c r="H565" s="1173"/>
      <c r="I565" s="1173"/>
      <c r="J565" s="1173"/>
      <c r="K565" s="1173"/>
      <c r="L565" s="1173"/>
      <c r="M565" s="1173"/>
      <c r="N565" s="1173"/>
      <c r="O565" s="1173"/>
      <c r="P565" s="1173"/>
    </row>
    <row r="566">
      <c r="A566" s="1173"/>
      <c r="B566" s="1173"/>
      <c r="C566" s="1173"/>
      <c r="D566" s="1173"/>
      <c r="E566" s="1173"/>
      <c r="F566" s="1173"/>
      <c r="G566" s="1173"/>
      <c r="H566" s="1173"/>
      <c r="I566" s="1173"/>
      <c r="J566" s="1173"/>
      <c r="K566" s="1173"/>
      <c r="L566" s="1173"/>
      <c r="M566" s="1173"/>
      <c r="N566" s="1173"/>
      <c r="O566" s="1173"/>
      <c r="P566" s="1173"/>
    </row>
    <row r="567">
      <c r="A567" s="1173"/>
      <c r="B567" s="1173"/>
      <c r="C567" s="1173"/>
      <c r="D567" s="1173"/>
      <c r="E567" s="1173"/>
      <c r="F567" s="1173"/>
      <c r="G567" s="1173"/>
      <c r="H567" s="1173"/>
      <c r="I567" s="1173"/>
      <c r="J567" s="1173"/>
      <c r="K567" s="1173"/>
      <c r="L567" s="1173"/>
      <c r="M567" s="1173"/>
      <c r="N567" s="1173"/>
      <c r="O567" s="1173"/>
      <c r="P567" s="1173"/>
    </row>
    <row r="568">
      <c r="A568" s="1173"/>
      <c r="B568" s="1173"/>
      <c r="C568" s="1173"/>
      <c r="D568" s="1173"/>
      <c r="E568" s="1173"/>
      <c r="F568" s="1173"/>
      <c r="G568" s="1173"/>
      <c r="H568" s="1173"/>
      <c r="I568" s="1173"/>
      <c r="J568" s="1173"/>
      <c r="K568" s="1173"/>
      <c r="L568" s="1173"/>
      <c r="M568" s="1173"/>
      <c r="N568" s="1173"/>
      <c r="O568" s="1173"/>
      <c r="P568" s="1173"/>
    </row>
    <row r="569">
      <c r="A569" s="1173"/>
      <c r="B569" s="1173"/>
      <c r="C569" s="1173"/>
      <c r="D569" s="1173"/>
      <c r="E569" s="1173"/>
      <c r="F569" s="1173"/>
      <c r="G569" s="1173"/>
      <c r="H569" s="1173"/>
      <c r="I569" s="1173"/>
      <c r="J569" s="1173"/>
      <c r="K569" s="1173"/>
      <c r="L569" s="1173"/>
      <c r="M569" s="1173"/>
      <c r="N569" s="1173"/>
      <c r="O569" s="1173"/>
      <c r="P569" s="1173"/>
    </row>
    <row r="570">
      <c r="A570" s="1173"/>
      <c r="B570" s="1173"/>
      <c r="C570" s="1173"/>
      <c r="D570" s="1173"/>
      <c r="E570" s="1173"/>
      <c r="F570" s="1173"/>
      <c r="G570" s="1173"/>
      <c r="H570" s="1173"/>
      <c r="I570" s="1173"/>
      <c r="J570" s="1173"/>
      <c r="K570" s="1173"/>
      <c r="L570" s="1173"/>
      <c r="M570" s="1173"/>
      <c r="N570" s="1173"/>
      <c r="O570" s="1173"/>
      <c r="P570" s="1173"/>
    </row>
    <row r="571">
      <c r="A571" s="1173"/>
      <c r="B571" s="1173"/>
      <c r="C571" s="1173"/>
      <c r="D571" s="1173"/>
      <c r="E571" s="1173"/>
      <c r="F571" s="1173"/>
      <c r="G571" s="1173"/>
      <c r="H571" s="1173"/>
      <c r="I571" s="1173"/>
      <c r="J571" s="1173"/>
      <c r="K571" s="1173"/>
      <c r="L571" s="1173"/>
      <c r="M571" s="1173"/>
      <c r="N571" s="1173"/>
      <c r="O571" s="1173"/>
      <c r="P571" s="1173"/>
    </row>
    <row r="572">
      <c r="A572" s="1173"/>
      <c r="B572" s="1173"/>
      <c r="C572" s="1173"/>
      <c r="D572" s="1173"/>
      <c r="E572" s="1173"/>
      <c r="F572" s="1173"/>
      <c r="G572" s="1173"/>
      <c r="H572" s="1173"/>
      <c r="I572" s="1173"/>
      <c r="J572" s="1173"/>
      <c r="K572" s="1173"/>
      <c r="L572" s="1173"/>
      <c r="M572" s="1173"/>
      <c r="N572" s="1173"/>
      <c r="O572" s="1173"/>
      <c r="P572" s="1173"/>
    </row>
    <row r="573">
      <c r="A573" s="1173"/>
      <c r="B573" s="1173"/>
      <c r="C573" s="1173"/>
      <c r="D573" s="1173"/>
      <c r="E573" s="1173"/>
      <c r="F573" s="1173"/>
      <c r="G573" s="1173"/>
      <c r="H573" s="1173"/>
      <c r="I573" s="1173"/>
      <c r="J573" s="1173"/>
      <c r="K573" s="1173"/>
      <c r="L573" s="1173"/>
      <c r="M573" s="1173"/>
      <c r="N573" s="1173"/>
      <c r="O573" s="1173"/>
      <c r="P573" s="1173"/>
    </row>
    <row r="574">
      <c r="A574" s="1173"/>
      <c r="B574" s="1173"/>
      <c r="C574" s="1173"/>
      <c r="D574" s="1173"/>
      <c r="E574" s="1173"/>
      <c r="F574" s="1173"/>
      <c r="G574" s="1173"/>
      <c r="H574" s="1173"/>
      <c r="I574" s="1173"/>
      <c r="J574" s="1173"/>
      <c r="K574" s="1173"/>
      <c r="L574" s="1173"/>
      <c r="M574" s="1173"/>
      <c r="N574" s="1173"/>
      <c r="O574" s="1173"/>
      <c r="P574" s="1173"/>
    </row>
    <row r="575">
      <c r="A575" s="1173"/>
      <c r="B575" s="1173"/>
      <c r="C575" s="1173"/>
      <c r="D575" s="1173"/>
      <c r="E575" s="1173"/>
      <c r="F575" s="1173"/>
      <c r="G575" s="1173"/>
      <c r="H575" s="1173"/>
      <c r="I575" s="1173"/>
      <c r="J575" s="1173"/>
      <c r="K575" s="1173"/>
      <c r="L575" s="1173"/>
      <c r="M575" s="1173"/>
      <c r="N575" s="1173"/>
      <c r="O575" s="1173"/>
      <c r="P575" s="1173"/>
    </row>
    <row r="576">
      <c r="A576" s="1173"/>
      <c r="B576" s="1173"/>
      <c r="C576" s="1173"/>
      <c r="D576" s="1173"/>
      <c r="E576" s="1173"/>
      <c r="F576" s="1173"/>
      <c r="G576" s="1173"/>
      <c r="H576" s="1173"/>
      <c r="I576" s="1173"/>
      <c r="J576" s="1173"/>
      <c r="K576" s="1173"/>
      <c r="L576" s="1173"/>
      <c r="M576" s="1173"/>
      <c r="N576" s="1173"/>
      <c r="O576" s="1173"/>
      <c r="P576" s="1173"/>
    </row>
    <row r="577">
      <c r="A577" s="1173"/>
      <c r="B577" s="1173"/>
      <c r="C577" s="1173"/>
      <c r="D577" s="1173"/>
      <c r="E577" s="1173"/>
      <c r="F577" s="1173"/>
      <c r="G577" s="1173"/>
      <c r="H577" s="1173"/>
      <c r="I577" s="1173"/>
      <c r="J577" s="1173"/>
      <c r="K577" s="1173"/>
      <c r="L577" s="1173"/>
      <c r="M577" s="1173"/>
      <c r="N577" s="1173"/>
      <c r="O577" s="1173"/>
      <c r="P577" s="1173"/>
    </row>
    <row r="578">
      <c r="A578" s="1173"/>
      <c r="B578" s="1173"/>
      <c r="C578" s="1173"/>
      <c r="D578" s="1173"/>
      <c r="E578" s="1173"/>
      <c r="F578" s="1173"/>
      <c r="G578" s="1173"/>
      <c r="H578" s="1173"/>
      <c r="I578" s="1173"/>
      <c r="J578" s="1173"/>
      <c r="K578" s="1173"/>
      <c r="L578" s="1173"/>
      <c r="M578" s="1173"/>
      <c r="N578" s="1173"/>
      <c r="O578" s="1173"/>
      <c r="P578" s="1173"/>
    </row>
    <row r="579">
      <c r="A579" s="1173"/>
      <c r="B579" s="1173"/>
      <c r="C579" s="1173"/>
      <c r="D579" s="1173"/>
      <c r="E579" s="1173"/>
      <c r="F579" s="1173"/>
      <c r="G579" s="1173"/>
      <c r="H579" s="1173"/>
      <c r="I579" s="1173"/>
      <c r="J579" s="1173"/>
      <c r="K579" s="1173"/>
      <c r="L579" s="1173"/>
      <c r="M579" s="1173"/>
      <c r="N579" s="1173"/>
      <c r="O579" s="1173"/>
      <c r="P579" s="1173"/>
    </row>
    <row r="580">
      <c r="A580" s="1173"/>
      <c r="B580" s="1173"/>
      <c r="C580" s="1173"/>
      <c r="D580" s="1173"/>
      <c r="E580" s="1173"/>
      <c r="F580" s="1173"/>
      <c r="G580" s="1173"/>
      <c r="H580" s="1173"/>
      <c r="I580" s="1173"/>
      <c r="J580" s="1173"/>
      <c r="K580" s="1173"/>
      <c r="L580" s="1173"/>
      <c r="M580" s="1173"/>
      <c r="N580" s="1173"/>
      <c r="O580" s="1173"/>
      <c r="P580" s="1173"/>
    </row>
    <row r="581">
      <c r="A581" s="1173"/>
      <c r="B581" s="1173"/>
      <c r="C581" s="1173"/>
      <c r="D581" s="1173"/>
      <c r="E581" s="1173"/>
      <c r="F581" s="1173"/>
      <c r="G581" s="1173"/>
      <c r="H581" s="1173"/>
      <c r="I581" s="1173"/>
      <c r="J581" s="1173"/>
      <c r="K581" s="1173"/>
      <c r="L581" s="1173"/>
      <c r="M581" s="1173"/>
      <c r="N581" s="1173"/>
      <c r="O581" s="1173"/>
      <c r="P581" s="1173"/>
    </row>
    <row r="582">
      <c r="A582" s="1173"/>
      <c r="B582" s="1173"/>
      <c r="C582" s="1173"/>
      <c r="D582" s="1173"/>
      <c r="E582" s="1173"/>
      <c r="F582" s="1173"/>
      <c r="G582" s="1173"/>
      <c r="H582" s="1173"/>
      <c r="I582" s="1173"/>
      <c r="J582" s="1173"/>
      <c r="K582" s="1173"/>
      <c r="L582" s="1173"/>
      <c r="M582" s="1173"/>
      <c r="N582" s="1173"/>
      <c r="O582" s="1173"/>
      <c r="P582" s="1173"/>
    </row>
    <row r="583">
      <c r="A583" s="1173"/>
      <c r="B583" s="1173"/>
      <c r="C583" s="1173"/>
      <c r="D583" s="1173"/>
      <c r="E583" s="1173"/>
      <c r="F583" s="1173"/>
      <c r="G583" s="1173"/>
      <c r="H583" s="1173"/>
      <c r="I583" s="1173"/>
      <c r="J583" s="1173"/>
      <c r="K583" s="1173"/>
      <c r="L583" s="1173"/>
      <c r="M583" s="1173"/>
      <c r="N583" s="1173"/>
      <c r="O583" s="1173"/>
      <c r="P583" s="1173"/>
    </row>
    <row r="584">
      <c r="A584" s="1173"/>
      <c r="B584" s="1173"/>
      <c r="C584" s="1173"/>
      <c r="D584" s="1173"/>
      <c r="E584" s="1173"/>
      <c r="F584" s="1173"/>
      <c r="G584" s="1173"/>
      <c r="H584" s="1173"/>
      <c r="I584" s="1173"/>
      <c r="J584" s="1173"/>
      <c r="K584" s="1173"/>
      <c r="L584" s="1173"/>
      <c r="M584" s="1173"/>
      <c r="N584" s="1173"/>
      <c r="O584" s="1173"/>
      <c r="P584" s="1173"/>
    </row>
    <row r="585">
      <c r="A585" s="1173"/>
      <c r="B585" s="1173"/>
      <c r="C585" s="1173"/>
      <c r="D585" s="1173"/>
      <c r="E585" s="1173"/>
      <c r="F585" s="1173"/>
      <c r="G585" s="1173"/>
      <c r="H585" s="1173"/>
      <c r="I585" s="1173"/>
      <c r="J585" s="1173"/>
      <c r="K585" s="1173"/>
      <c r="L585" s="1173"/>
      <c r="M585" s="1173"/>
      <c r="N585" s="1173"/>
      <c r="O585" s="1173"/>
      <c r="P585" s="1173"/>
    </row>
    <row r="586">
      <c r="A586" s="1173"/>
      <c r="B586" s="1173"/>
      <c r="C586" s="1173"/>
      <c r="D586" s="1173"/>
      <c r="E586" s="1173"/>
      <c r="F586" s="1173"/>
      <c r="G586" s="1173"/>
      <c r="H586" s="1173"/>
      <c r="I586" s="1173"/>
      <c r="J586" s="1173"/>
      <c r="K586" s="1173"/>
      <c r="L586" s="1173"/>
      <c r="M586" s="1173"/>
      <c r="N586" s="1173"/>
      <c r="O586" s="1173"/>
      <c r="P586" s="1173"/>
    </row>
    <row r="587">
      <c r="A587" s="1173"/>
      <c r="B587" s="1173"/>
      <c r="C587" s="1173"/>
      <c r="D587" s="1173"/>
      <c r="E587" s="1173"/>
      <c r="F587" s="1173"/>
      <c r="G587" s="1173"/>
      <c r="H587" s="1173"/>
      <c r="I587" s="1173"/>
      <c r="J587" s="1173"/>
      <c r="K587" s="1173"/>
      <c r="L587" s="1173"/>
      <c r="M587" s="1173"/>
      <c r="N587" s="1173"/>
      <c r="O587" s="1173"/>
      <c r="P587" s="1173"/>
    </row>
    <row r="588">
      <c r="A588" s="1173"/>
      <c r="B588" s="1173"/>
      <c r="C588" s="1173"/>
      <c r="D588" s="1173"/>
      <c r="E588" s="1173"/>
      <c r="F588" s="1173"/>
      <c r="G588" s="1173"/>
      <c r="H588" s="1173"/>
      <c r="I588" s="1173"/>
      <c r="J588" s="1173"/>
      <c r="K588" s="1173"/>
      <c r="L588" s="1173"/>
      <c r="M588" s="1173"/>
      <c r="N588" s="1173"/>
      <c r="O588" s="1173"/>
      <c r="P588" s="1173"/>
    </row>
    <row r="589">
      <c r="A589" s="1173"/>
      <c r="B589" s="1173"/>
      <c r="C589" s="1173"/>
      <c r="D589" s="1173"/>
      <c r="E589" s="1173"/>
      <c r="F589" s="1173"/>
      <c r="G589" s="1173"/>
      <c r="H589" s="1173"/>
      <c r="I589" s="1173"/>
      <c r="J589" s="1173"/>
      <c r="K589" s="1173"/>
      <c r="L589" s="1173"/>
      <c r="M589" s="1173"/>
      <c r="N589" s="1173"/>
      <c r="O589" s="1173"/>
      <c r="P589" s="1173"/>
    </row>
    <row r="590">
      <c r="A590" s="1173"/>
      <c r="B590" s="1173"/>
      <c r="C590" s="1173"/>
      <c r="D590" s="1173"/>
      <c r="E590" s="1173"/>
      <c r="F590" s="1173"/>
      <c r="G590" s="1173"/>
      <c r="H590" s="1173"/>
      <c r="I590" s="1173"/>
      <c r="J590" s="1173"/>
      <c r="K590" s="1173"/>
      <c r="L590" s="1173"/>
      <c r="M590" s="1173"/>
      <c r="N590" s="1173"/>
      <c r="O590" s="1173"/>
      <c r="P590" s="1173"/>
    </row>
    <row r="591">
      <c r="A591" s="1173"/>
      <c r="B591" s="1173"/>
      <c r="C591" s="1173"/>
      <c r="D591" s="1173"/>
      <c r="E591" s="1173"/>
      <c r="F591" s="1173"/>
      <c r="G591" s="1173"/>
      <c r="H591" s="1173"/>
      <c r="I591" s="1173"/>
      <c r="J591" s="1173"/>
      <c r="K591" s="1173"/>
      <c r="L591" s="1173"/>
      <c r="M591" s="1173"/>
      <c r="N591" s="1173"/>
      <c r="O591" s="1173"/>
      <c r="P591" s="1173"/>
    </row>
    <row r="592">
      <c r="A592" s="1173"/>
      <c r="B592" s="1173"/>
      <c r="C592" s="1173"/>
      <c r="D592" s="1173"/>
      <c r="E592" s="1173"/>
      <c r="F592" s="1173"/>
      <c r="G592" s="1173"/>
      <c r="H592" s="1173"/>
      <c r="I592" s="1173"/>
      <c r="J592" s="1173"/>
      <c r="K592" s="1173"/>
      <c r="L592" s="1173"/>
      <c r="M592" s="1173"/>
      <c r="N592" s="1173"/>
      <c r="O592" s="1173"/>
      <c r="P592" s="1173"/>
    </row>
    <row r="593">
      <c r="A593" s="1173"/>
      <c r="B593" s="1173"/>
      <c r="C593" s="1173"/>
      <c r="D593" s="1173"/>
      <c r="E593" s="1173"/>
      <c r="F593" s="1173"/>
      <c r="G593" s="1173"/>
      <c r="H593" s="1173"/>
      <c r="I593" s="1173"/>
      <c r="J593" s="1173"/>
      <c r="K593" s="1173"/>
      <c r="L593" s="1173"/>
      <c r="M593" s="1173"/>
      <c r="N593" s="1173"/>
      <c r="O593" s="1173"/>
      <c r="P593" s="1173"/>
    </row>
    <row r="594">
      <c r="A594" s="1173"/>
      <c r="B594" s="1173"/>
      <c r="C594" s="1173"/>
      <c r="D594" s="1173"/>
      <c r="E594" s="1173"/>
      <c r="F594" s="1173"/>
      <c r="G594" s="1173"/>
      <c r="H594" s="1173"/>
      <c r="I594" s="1173"/>
      <c r="J594" s="1173"/>
      <c r="K594" s="1173"/>
      <c r="L594" s="1173"/>
      <c r="M594" s="1173"/>
      <c r="N594" s="1173"/>
      <c r="O594" s="1173"/>
      <c r="P594" s="1173"/>
    </row>
    <row r="595">
      <c r="A595" s="1173"/>
      <c r="B595" s="1173"/>
      <c r="C595" s="1173"/>
      <c r="D595" s="1173"/>
      <c r="E595" s="1173"/>
      <c r="F595" s="1173"/>
      <c r="G595" s="1173"/>
      <c r="H595" s="1173"/>
      <c r="I595" s="1173"/>
      <c r="J595" s="1173"/>
      <c r="K595" s="1173"/>
      <c r="L595" s="1173"/>
      <c r="M595" s="1173"/>
      <c r="N595" s="1173"/>
      <c r="O595" s="1173"/>
      <c r="P595" s="1173"/>
    </row>
    <row r="596">
      <c r="A596" s="1173"/>
      <c r="B596" s="1173"/>
      <c r="C596" s="1173"/>
      <c r="D596" s="1173"/>
      <c r="E596" s="1173"/>
      <c r="F596" s="1173"/>
      <c r="G596" s="1173"/>
      <c r="H596" s="1173"/>
      <c r="I596" s="1173"/>
      <c r="J596" s="1173"/>
      <c r="K596" s="1173"/>
      <c r="L596" s="1173"/>
      <c r="M596" s="1173"/>
      <c r="N596" s="1173"/>
      <c r="O596" s="1173"/>
      <c r="P596" s="1173"/>
    </row>
    <row r="597">
      <c r="A597" s="1173"/>
      <c r="B597" s="1173"/>
      <c r="C597" s="1173"/>
      <c r="D597" s="1173"/>
      <c r="E597" s="1173"/>
      <c r="F597" s="1173"/>
      <c r="G597" s="1173"/>
      <c r="H597" s="1173"/>
      <c r="I597" s="1173"/>
      <c r="J597" s="1173"/>
      <c r="K597" s="1173"/>
      <c r="L597" s="1173"/>
      <c r="M597" s="1173"/>
      <c r="N597" s="1173"/>
      <c r="O597" s="1173"/>
      <c r="P597" s="1173"/>
    </row>
    <row r="598">
      <c r="A598" s="1173"/>
      <c r="B598" s="1173"/>
      <c r="C598" s="1173"/>
      <c r="D598" s="1173"/>
      <c r="E598" s="1173"/>
      <c r="F598" s="1173"/>
      <c r="G598" s="1173"/>
      <c r="H598" s="1173"/>
      <c r="I598" s="1173"/>
      <c r="J598" s="1173"/>
      <c r="K598" s="1173"/>
      <c r="L598" s="1173"/>
      <c r="M598" s="1173"/>
      <c r="N598" s="1173"/>
      <c r="O598" s="1173"/>
      <c r="P598" s="1173"/>
    </row>
    <row r="599">
      <c r="A599" s="1173"/>
      <c r="B599" s="1173"/>
      <c r="C599" s="1173"/>
      <c r="D599" s="1173"/>
      <c r="E599" s="1173"/>
      <c r="F599" s="1173"/>
      <c r="G599" s="1173"/>
      <c r="H599" s="1173"/>
      <c r="I599" s="1173"/>
      <c r="J599" s="1173"/>
      <c r="K599" s="1173"/>
      <c r="L599" s="1173"/>
      <c r="M599" s="1173"/>
      <c r="N599" s="1173"/>
      <c r="O599" s="1173"/>
      <c r="P599" s="1173"/>
    </row>
    <row r="600">
      <c r="A600" s="1173"/>
      <c r="B600" s="1173"/>
      <c r="C600" s="1173"/>
      <c r="D600" s="1173"/>
      <c r="E600" s="1173"/>
      <c r="F600" s="1173"/>
      <c r="G600" s="1173"/>
      <c r="H600" s="1173"/>
      <c r="I600" s="1173"/>
      <c r="J600" s="1173"/>
      <c r="K600" s="1173"/>
      <c r="L600" s="1173"/>
      <c r="M600" s="1173"/>
      <c r="N600" s="1173"/>
      <c r="O600" s="1173"/>
      <c r="P600" s="1173"/>
    </row>
    <row r="601">
      <c r="A601" s="1173"/>
      <c r="B601" s="1173"/>
      <c r="C601" s="1173"/>
      <c r="D601" s="1173"/>
      <c r="E601" s="1173"/>
      <c r="F601" s="1173"/>
      <c r="G601" s="1173"/>
      <c r="H601" s="1173"/>
      <c r="I601" s="1173"/>
      <c r="J601" s="1173"/>
      <c r="K601" s="1173"/>
      <c r="L601" s="1173"/>
      <c r="M601" s="1173"/>
      <c r="N601" s="1173"/>
      <c r="O601" s="1173"/>
      <c r="P601" s="1173"/>
    </row>
    <row r="602">
      <c r="A602" s="1173"/>
      <c r="B602" s="1173"/>
      <c r="C602" s="1173"/>
      <c r="D602" s="1173"/>
      <c r="E602" s="1173"/>
      <c r="F602" s="1173"/>
      <c r="G602" s="1173"/>
      <c r="H602" s="1173"/>
      <c r="I602" s="1173"/>
      <c r="J602" s="1173"/>
      <c r="K602" s="1173"/>
      <c r="L602" s="1173"/>
      <c r="M602" s="1173"/>
      <c r="N602" s="1173"/>
      <c r="O602" s="1173"/>
      <c r="P602" s="1173"/>
    </row>
    <row r="603">
      <c r="A603" s="1173"/>
      <c r="B603" s="1173"/>
      <c r="C603" s="1173"/>
      <c r="D603" s="1173"/>
      <c r="E603" s="1173"/>
      <c r="F603" s="1173"/>
      <c r="G603" s="1173"/>
      <c r="H603" s="1173"/>
      <c r="I603" s="1173"/>
      <c r="J603" s="1173"/>
      <c r="K603" s="1173"/>
      <c r="L603" s="1173"/>
      <c r="M603" s="1173"/>
      <c r="N603" s="1173"/>
      <c r="O603" s="1173"/>
      <c r="P603" s="1173"/>
    </row>
    <row r="604">
      <c r="A604" s="1173"/>
      <c r="B604" s="1173"/>
      <c r="C604" s="1173"/>
      <c r="D604" s="1173"/>
      <c r="E604" s="1173"/>
      <c r="F604" s="1173"/>
      <c r="G604" s="1173"/>
      <c r="H604" s="1173"/>
      <c r="I604" s="1173"/>
      <c r="J604" s="1173"/>
      <c r="K604" s="1173"/>
      <c r="L604" s="1173"/>
      <c r="M604" s="1173"/>
      <c r="N604" s="1173"/>
      <c r="O604" s="1173"/>
      <c r="P604" s="1173"/>
    </row>
    <row r="605">
      <c r="A605" s="1173"/>
      <c r="B605" s="1173"/>
      <c r="C605" s="1173"/>
      <c r="D605" s="1173"/>
      <c r="E605" s="1173"/>
      <c r="F605" s="1173"/>
      <c r="G605" s="1173"/>
      <c r="H605" s="1173"/>
      <c r="I605" s="1173"/>
      <c r="J605" s="1173"/>
      <c r="K605" s="1173"/>
      <c r="L605" s="1173"/>
      <c r="M605" s="1173"/>
      <c r="N605" s="1173"/>
      <c r="O605" s="1173"/>
      <c r="P605" s="1173"/>
    </row>
    <row r="606">
      <c r="A606" s="1173"/>
      <c r="B606" s="1173"/>
      <c r="C606" s="1173"/>
      <c r="D606" s="1173"/>
      <c r="E606" s="1173"/>
      <c r="F606" s="1173"/>
      <c r="G606" s="1173"/>
      <c r="H606" s="1173"/>
      <c r="I606" s="1173"/>
      <c r="J606" s="1173"/>
      <c r="K606" s="1173"/>
      <c r="L606" s="1173"/>
      <c r="M606" s="1173"/>
      <c r="N606" s="1173"/>
      <c r="O606" s="1173"/>
      <c r="P606" s="1173"/>
    </row>
    <row r="607">
      <c r="A607" s="1173"/>
      <c r="B607" s="1173"/>
      <c r="C607" s="1173"/>
      <c r="D607" s="1173"/>
      <c r="E607" s="1173"/>
      <c r="F607" s="1173"/>
      <c r="G607" s="1173"/>
      <c r="H607" s="1173"/>
      <c r="I607" s="1173"/>
      <c r="J607" s="1173"/>
      <c r="K607" s="1173"/>
      <c r="L607" s="1173"/>
      <c r="M607" s="1173"/>
      <c r="N607" s="1173"/>
      <c r="O607" s="1173"/>
      <c r="P607" s="1173"/>
    </row>
    <row r="608">
      <c r="A608" s="1173"/>
      <c r="B608" s="1173"/>
      <c r="C608" s="1173"/>
      <c r="D608" s="1173"/>
      <c r="E608" s="1173"/>
      <c r="F608" s="1173"/>
      <c r="G608" s="1173"/>
      <c r="H608" s="1173"/>
      <c r="I608" s="1173"/>
      <c r="J608" s="1173"/>
      <c r="K608" s="1173"/>
      <c r="L608" s="1173"/>
      <c r="M608" s="1173"/>
      <c r="N608" s="1173"/>
      <c r="O608" s="1173"/>
      <c r="P608" s="1173"/>
    </row>
    <row r="609">
      <c r="A609" s="1173"/>
      <c r="B609" s="1173"/>
      <c r="C609" s="1173"/>
      <c r="D609" s="1173"/>
      <c r="E609" s="1173"/>
      <c r="F609" s="1173"/>
      <c r="G609" s="1173"/>
      <c r="H609" s="1173"/>
      <c r="I609" s="1173"/>
      <c r="J609" s="1173"/>
      <c r="K609" s="1173"/>
      <c r="L609" s="1173"/>
      <c r="M609" s="1173"/>
      <c r="N609" s="1173"/>
      <c r="O609" s="1173"/>
      <c r="P609" s="1173"/>
    </row>
    <row r="610">
      <c r="A610" s="1173"/>
      <c r="B610" s="1173"/>
      <c r="C610" s="1173"/>
      <c r="D610" s="1173"/>
      <c r="E610" s="1173"/>
      <c r="F610" s="1173"/>
      <c r="G610" s="1173"/>
      <c r="H610" s="1173"/>
      <c r="I610" s="1173"/>
      <c r="J610" s="1173"/>
      <c r="K610" s="1173"/>
      <c r="L610" s="1173"/>
      <c r="M610" s="1173"/>
      <c r="N610" s="1173"/>
      <c r="O610" s="1173"/>
      <c r="P610" s="1173"/>
    </row>
    <row r="611">
      <c r="A611" s="1173"/>
      <c r="B611" s="1173"/>
      <c r="C611" s="1173"/>
      <c r="D611" s="1173"/>
      <c r="E611" s="1173"/>
      <c r="F611" s="1173"/>
      <c r="G611" s="1173"/>
      <c r="H611" s="1173"/>
      <c r="I611" s="1173"/>
      <c r="J611" s="1173"/>
      <c r="K611" s="1173"/>
      <c r="L611" s="1173"/>
      <c r="M611" s="1173"/>
      <c r="N611" s="1173"/>
      <c r="O611" s="1173"/>
      <c r="P611" s="1173"/>
    </row>
    <row r="612">
      <c r="A612" s="1173"/>
      <c r="B612" s="1173"/>
      <c r="C612" s="1173"/>
      <c r="D612" s="1173"/>
      <c r="E612" s="1173"/>
      <c r="F612" s="1173"/>
      <c r="G612" s="1173"/>
      <c r="H612" s="1173"/>
      <c r="I612" s="1173"/>
      <c r="J612" s="1173"/>
      <c r="K612" s="1173"/>
      <c r="L612" s="1173"/>
      <c r="M612" s="1173"/>
      <c r="N612" s="1173"/>
      <c r="O612" s="1173"/>
      <c r="P612" s="1173"/>
    </row>
    <row r="613">
      <c r="A613" s="1173"/>
      <c r="B613" s="1173"/>
      <c r="C613" s="1173"/>
      <c r="D613" s="1173"/>
      <c r="E613" s="1173"/>
      <c r="F613" s="1173"/>
      <c r="G613" s="1173"/>
      <c r="H613" s="1173"/>
      <c r="I613" s="1173"/>
      <c r="J613" s="1173"/>
      <c r="K613" s="1173"/>
      <c r="L613" s="1173"/>
      <c r="M613" s="1173"/>
      <c r="N613" s="1173"/>
      <c r="O613" s="1173"/>
      <c r="P613" s="1173"/>
    </row>
    <row r="614">
      <c r="A614" s="1173"/>
      <c r="B614" s="1173"/>
      <c r="C614" s="1173"/>
      <c r="D614" s="1173"/>
      <c r="E614" s="1173"/>
      <c r="F614" s="1173"/>
      <c r="G614" s="1173"/>
      <c r="H614" s="1173"/>
      <c r="I614" s="1173"/>
      <c r="J614" s="1173"/>
      <c r="K614" s="1173"/>
      <c r="L614" s="1173"/>
      <c r="M614" s="1173"/>
      <c r="N614" s="1173"/>
      <c r="O614" s="1173"/>
      <c r="P614" s="1173"/>
    </row>
    <row r="615">
      <c r="A615" s="1173"/>
      <c r="B615" s="1173"/>
      <c r="C615" s="1173"/>
      <c r="D615" s="1173"/>
      <c r="E615" s="1173"/>
      <c r="F615" s="1173"/>
      <c r="G615" s="1173"/>
      <c r="H615" s="1173"/>
      <c r="I615" s="1173"/>
      <c r="J615" s="1173"/>
      <c r="K615" s="1173"/>
      <c r="L615" s="1173"/>
      <c r="M615" s="1173"/>
      <c r="N615" s="1173"/>
      <c r="O615" s="1173"/>
      <c r="P615" s="1173"/>
    </row>
    <row r="616">
      <c r="A616" s="1173"/>
      <c r="B616" s="1173"/>
      <c r="C616" s="1173"/>
      <c r="D616" s="1173"/>
      <c r="E616" s="1173"/>
      <c r="F616" s="1173"/>
      <c r="G616" s="1173"/>
      <c r="H616" s="1173"/>
      <c r="I616" s="1173"/>
      <c r="J616" s="1173"/>
      <c r="K616" s="1173"/>
      <c r="L616" s="1173"/>
      <c r="M616" s="1173"/>
      <c r="N616" s="1173"/>
      <c r="O616" s="1173"/>
      <c r="P616" s="1173"/>
    </row>
    <row r="617">
      <c r="A617" s="1173"/>
      <c r="B617" s="1173"/>
      <c r="C617" s="1173"/>
      <c r="D617" s="1173"/>
      <c r="E617" s="1173"/>
      <c r="F617" s="1173"/>
      <c r="G617" s="1173"/>
      <c r="H617" s="1173"/>
      <c r="I617" s="1173"/>
      <c r="J617" s="1173"/>
      <c r="K617" s="1173"/>
      <c r="L617" s="1173"/>
      <c r="M617" s="1173"/>
      <c r="N617" s="1173"/>
      <c r="O617" s="1173"/>
      <c r="P617" s="1173"/>
    </row>
    <row r="618">
      <c r="A618" s="1173"/>
      <c r="B618" s="1173"/>
      <c r="C618" s="1173"/>
      <c r="D618" s="1173"/>
      <c r="E618" s="1173"/>
      <c r="F618" s="1173"/>
      <c r="G618" s="1173"/>
      <c r="H618" s="1173"/>
      <c r="I618" s="1173"/>
      <c r="J618" s="1173"/>
      <c r="K618" s="1173"/>
      <c r="L618" s="1173"/>
      <c r="M618" s="1173"/>
      <c r="N618" s="1173"/>
      <c r="O618" s="1173"/>
      <c r="P618" s="1173"/>
    </row>
    <row r="619">
      <c r="A619" s="1173"/>
      <c r="B619" s="1173"/>
      <c r="C619" s="1173"/>
      <c r="D619" s="1173"/>
      <c r="E619" s="1173"/>
      <c r="F619" s="1173"/>
      <c r="G619" s="1173"/>
      <c r="H619" s="1173"/>
      <c r="I619" s="1173"/>
      <c r="J619" s="1173"/>
      <c r="K619" s="1173"/>
      <c r="L619" s="1173"/>
      <c r="M619" s="1173"/>
      <c r="N619" s="1173"/>
      <c r="O619" s="1173"/>
      <c r="P619" s="1173"/>
    </row>
    <row r="620">
      <c r="A620" s="1173"/>
      <c r="B620" s="1173"/>
      <c r="C620" s="1173"/>
      <c r="D620" s="1173"/>
      <c r="E620" s="1173"/>
      <c r="F620" s="1173"/>
      <c r="G620" s="1173"/>
      <c r="H620" s="1173"/>
      <c r="I620" s="1173"/>
      <c r="J620" s="1173"/>
      <c r="K620" s="1173"/>
      <c r="L620" s="1173"/>
      <c r="M620" s="1173"/>
      <c r="N620" s="1173"/>
      <c r="O620" s="1173"/>
      <c r="P620" s="1173"/>
    </row>
    <row r="621">
      <c r="A621" s="1173"/>
      <c r="B621" s="1173"/>
      <c r="C621" s="1173"/>
      <c r="D621" s="1173"/>
      <c r="E621" s="1173"/>
      <c r="F621" s="1173"/>
      <c r="G621" s="1173"/>
      <c r="H621" s="1173"/>
      <c r="I621" s="1173"/>
      <c r="J621" s="1173"/>
      <c r="K621" s="1173"/>
      <c r="L621" s="1173"/>
      <c r="M621" s="1173"/>
      <c r="N621" s="1173"/>
      <c r="O621" s="1173"/>
      <c r="P621" s="1173"/>
    </row>
    <row r="622">
      <c r="A622" s="1173"/>
      <c r="B622" s="1173"/>
      <c r="C622" s="1173"/>
      <c r="D622" s="1173"/>
      <c r="E622" s="1173"/>
      <c r="F622" s="1173"/>
      <c r="G622" s="1173"/>
      <c r="H622" s="1173"/>
      <c r="I622" s="1173"/>
      <c r="J622" s="1173"/>
      <c r="K622" s="1173"/>
      <c r="L622" s="1173"/>
      <c r="M622" s="1173"/>
      <c r="N622" s="1173"/>
      <c r="O622" s="1173"/>
      <c r="P622" s="1173"/>
    </row>
    <row r="623">
      <c r="A623" s="1173"/>
      <c r="B623" s="1173"/>
      <c r="C623" s="1173"/>
      <c r="D623" s="1173"/>
      <c r="E623" s="1173"/>
      <c r="F623" s="1173"/>
      <c r="G623" s="1173"/>
      <c r="H623" s="1173"/>
      <c r="I623" s="1173"/>
      <c r="J623" s="1173"/>
      <c r="K623" s="1173"/>
      <c r="L623" s="1173"/>
      <c r="M623" s="1173"/>
      <c r="N623" s="1173"/>
      <c r="O623" s="1173"/>
      <c r="P623" s="1173"/>
    </row>
    <row r="624">
      <c r="A624" s="1173"/>
      <c r="B624" s="1173"/>
      <c r="C624" s="1173"/>
      <c r="D624" s="1173"/>
      <c r="E624" s="1173"/>
      <c r="F624" s="1173"/>
      <c r="G624" s="1173"/>
      <c r="H624" s="1173"/>
      <c r="I624" s="1173"/>
      <c r="J624" s="1173"/>
      <c r="K624" s="1173"/>
      <c r="L624" s="1173"/>
      <c r="M624" s="1173"/>
      <c r="N624" s="1173"/>
      <c r="O624" s="1173"/>
      <c r="P624" s="1173"/>
    </row>
    <row r="625">
      <c r="A625" s="1173"/>
      <c r="B625" s="1173"/>
      <c r="C625" s="1173"/>
      <c r="D625" s="1173"/>
      <c r="E625" s="1173"/>
      <c r="F625" s="1173"/>
      <c r="G625" s="1173"/>
      <c r="H625" s="1173"/>
      <c r="I625" s="1173"/>
      <c r="J625" s="1173"/>
      <c r="K625" s="1173"/>
      <c r="L625" s="1173"/>
      <c r="M625" s="1173"/>
      <c r="N625" s="1173"/>
      <c r="O625" s="1173"/>
      <c r="P625" s="1173"/>
    </row>
    <row r="626">
      <c r="A626" s="1173"/>
      <c r="B626" s="1173"/>
      <c r="C626" s="1173"/>
      <c r="D626" s="1173"/>
      <c r="E626" s="1173"/>
      <c r="F626" s="1173"/>
      <c r="G626" s="1173"/>
      <c r="H626" s="1173"/>
      <c r="I626" s="1173"/>
      <c r="J626" s="1173"/>
      <c r="K626" s="1173"/>
      <c r="L626" s="1173"/>
      <c r="M626" s="1173"/>
      <c r="N626" s="1173"/>
      <c r="O626" s="1173"/>
      <c r="P626" s="1173"/>
    </row>
    <row r="627">
      <c r="A627" s="1173"/>
      <c r="B627" s="1173"/>
      <c r="C627" s="1173"/>
      <c r="D627" s="1173"/>
      <c r="E627" s="1173"/>
      <c r="F627" s="1173"/>
      <c r="G627" s="1173"/>
      <c r="H627" s="1173"/>
      <c r="I627" s="1173"/>
      <c r="J627" s="1173"/>
      <c r="K627" s="1173"/>
      <c r="L627" s="1173"/>
      <c r="M627" s="1173"/>
      <c r="N627" s="1173"/>
      <c r="O627" s="1173"/>
      <c r="P627" s="1173"/>
    </row>
    <row r="628">
      <c r="A628" s="1173"/>
      <c r="B628" s="1173"/>
      <c r="C628" s="1173"/>
      <c r="D628" s="1173"/>
      <c r="E628" s="1173"/>
      <c r="F628" s="1173"/>
      <c r="G628" s="1173"/>
      <c r="H628" s="1173"/>
      <c r="I628" s="1173"/>
      <c r="J628" s="1173"/>
      <c r="K628" s="1173"/>
      <c r="L628" s="1173"/>
      <c r="M628" s="1173"/>
      <c r="N628" s="1173"/>
      <c r="O628" s="1173"/>
      <c r="P628" s="1173"/>
    </row>
    <row r="629">
      <c r="A629" s="1173"/>
      <c r="B629" s="1173"/>
      <c r="C629" s="1173"/>
      <c r="D629" s="1173"/>
      <c r="E629" s="1173"/>
      <c r="F629" s="1173"/>
      <c r="G629" s="1173"/>
      <c r="H629" s="1173"/>
      <c r="I629" s="1173"/>
      <c r="J629" s="1173"/>
      <c r="K629" s="1173"/>
      <c r="L629" s="1173"/>
      <c r="M629" s="1173"/>
      <c r="N629" s="1173"/>
      <c r="O629" s="1173"/>
      <c r="P629" s="1173"/>
    </row>
    <row r="630">
      <c r="A630" s="1173"/>
      <c r="B630" s="1173"/>
      <c r="C630" s="1173"/>
      <c r="D630" s="1173"/>
      <c r="E630" s="1173"/>
      <c r="F630" s="1173"/>
      <c r="G630" s="1173"/>
      <c r="H630" s="1173"/>
      <c r="I630" s="1173"/>
      <c r="J630" s="1173"/>
      <c r="K630" s="1173"/>
      <c r="L630" s="1173"/>
      <c r="M630" s="1173"/>
      <c r="N630" s="1173"/>
      <c r="O630" s="1173"/>
      <c r="P630" s="1173"/>
    </row>
    <row r="631">
      <c r="A631" s="1173"/>
      <c r="B631" s="1173"/>
      <c r="C631" s="1173"/>
      <c r="D631" s="1173"/>
      <c r="E631" s="1173"/>
      <c r="F631" s="1173"/>
      <c r="G631" s="1173"/>
      <c r="H631" s="1173"/>
      <c r="I631" s="1173"/>
      <c r="J631" s="1173"/>
      <c r="K631" s="1173"/>
      <c r="L631" s="1173"/>
      <c r="M631" s="1173"/>
      <c r="N631" s="1173"/>
      <c r="O631" s="1173"/>
      <c r="P631" s="1173"/>
    </row>
    <row r="632">
      <c r="A632" s="1173"/>
      <c r="B632" s="1173"/>
      <c r="C632" s="1173"/>
      <c r="D632" s="1173"/>
      <c r="E632" s="1173"/>
      <c r="F632" s="1173"/>
      <c r="G632" s="1173"/>
      <c r="H632" s="1173"/>
      <c r="I632" s="1173"/>
      <c r="J632" s="1173"/>
      <c r="K632" s="1173"/>
      <c r="L632" s="1173"/>
      <c r="M632" s="1173"/>
      <c r="N632" s="1173"/>
      <c r="O632" s="1173"/>
      <c r="P632" s="1173"/>
    </row>
    <row r="633">
      <c r="A633" s="1173"/>
      <c r="B633" s="1173"/>
      <c r="C633" s="1173"/>
      <c r="D633" s="1173"/>
      <c r="E633" s="1173"/>
      <c r="F633" s="1173"/>
      <c r="G633" s="1173"/>
      <c r="H633" s="1173"/>
      <c r="I633" s="1173"/>
      <c r="J633" s="1173"/>
      <c r="K633" s="1173"/>
      <c r="L633" s="1173"/>
      <c r="M633" s="1173"/>
      <c r="N633" s="1173"/>
      <c r="O633" s="1173"/>
      <c r="P633" s="1173"/>
    </row>
    <row r="634">
      <c r="A634" s="1173"/>
      <c r="B634" s="1173"/>
      <c r="C634" s="1173"/>
      <c r="D634" s="1173"/>
      <c r="E634" s="1173"/>
      <c r="F634" s="1173"/>
      <c r="G634" s="1173"/>
      <c r="H634" s="1173"/>
      <c r="I634" s="1173"/>
      <c r="J634" s="1173"/>
      <c r="K634" s="1173"/>
      <c r="L634" s="1173"/>
      <c r="M634" s="1173"/>
      <c r="N634" s="1173"/>
      <c r="O634" s="1173"/>
      <c r="P634" s="1173"/>
    </row>
    <row r="635">
      <c r="A635" s="1173"/>
      <c r="B635" s="1173"/>
      <c r="C635" s="1173"/>
      <c r="D635" s="1173"/>
      <c r="E635" s="1173"/>
      <c r="F635" s="1173"/>
      <c r="G635" s="1173"/>
      <c r="H635" s="1173"/>
      <c r="I635" s="1173"/>
      <c r="J635" s="1173"/>
      <c r="K635" s="1173"/>
      <c r="L635" s="1173"/>
      <c r="M635" s="1173"/>
      <c r="N635" s="1173"/>
      <c r="O635" s="1173"/>
      <c r="P635" s="1173"/>
    </row>
    <row r="636">
      <c r="A636" s="1173"/>
      <c r="B636" s="1173"/>
      <c r="C636" s="1173"/>
      <c r="D636" s="1173"/>
      <c r="E636" s="1173"/>
      <c r="F636" s="1173"/>
      <c r="G636" s="1173"/>
      <c r="H636" s="1173"/>
      <c r="I636" s="1173"/>
      <c r="J636" s="1173"/>
      <c r="K636" s="1173"/>
      <c r="L636" s="1173"/>
      <c r="M636" s="1173"/>
      <c r="N636" s="1173"/>
      <c r="O636" s="1173"/>
      <c r="P636" s="1173"/>
    </row>
    <row r="637">
      <c r="A637" s="1173"/>
      <c r="B637" s="1173"/>
      <c r="C637" s="1173"/>
      <c r="D637" s="1173"/>
      <c r="E637" s="1173"/>
      <c r="F637" s="1173"/>
      <c r="G637" s="1173"/>
      <c r="H637" s="1173"/>
      <c r="I637" s="1173"/>
      <c r="J637" s="1173"/>
      <c r="K637" s="1173"/>
      <c r="L637" s="1173"/>
      <c r="M637" s="1173"/>
      <c r="N637" s="1173"/>
      <c r="O637" s="1173"/>
      <c r="P637" s="1173"/>
    </row>
    <row r="638">
      <c r="A638" s="1173"/>
      <c r="B638" s="1173"/>
      <c r="C638" s="1173"/>
      <c r="D638" s="1173"/>
      <c r="E638" s="1173"/>
      <c r="F638" s="1173"/>
      <c r="G638" s="1173"/>
      <c r="H638" s="1173"/>
      <c r="I638" s="1173"/>
      <c r="J638" s="1173"/>
      <c r="K638" s="1173"/>
      <c r="L638" s="1173"/>
      <c r="M638" s="1173"/>
      <c r="N638" s="1173"/>
      <c r="O638" s="1173"/>
      <c r="P638" s="1173"/>
    </row>
    <row r="639">
      <c r="A639" s="1173"/>
      <c r="B639" s="1173"/>
      <c r="C639" s="1173"/>
      <c r="D639" s="1173"/>
      <c r="E639" s="1173"/>
      <c r="F639" s="1173"/>
      <c r="G639" s="1173"/>
      <c r="H639" s="1173"/>
      <c r="I639" s="1173"/>
      <c r="J639" s="1173"/>
      <c r="K639" s="1173"/>
      <c r="L639" s="1173"/>
      <c r="M639" s="1173"/>
      <c r="N639" s="1173"/>
      <c r="O639" s="1173"/>
      <c r="P639" s="1173"/>
    </row>
    <row r="640">
      <c r="A640" s="1173"/>
      <c r="B640" s="1173"/>
      <c r="C640" s="1173"/>
      <c r="D640" s="1173"/>
      <c r="E640" s="1173"/>
      <c r="F640" s="1173"/>
      <c r="G640" s="1173"/>
      <c r="H640" s="1173"/>
      <c r="I640" s="1173"/>
      <c r="J640" s="1173"/>
      <c r="K640" s="1173"/>
      <c r="L640" s="1173"/>
      <c r="M640" s="1173"/>
      <c r="N640" s="1173"/>
      <c r="O640" s="1173"/>
      <c r="P640" s="1173"/>
    </row>
    <row r="641">
      <c r="A641" s="1173"/>
      <c r="B641" s="1173"/>
      <c r="C641" s="1173"/>
      <c r="D641" s="1173"/>
      <c r="E641" s="1173"/>
      <c r="F641" s="1173"/>
      <c r="G641" s="1173"/>
      <c r="H641" s="1173"/>
      <c r="I641" s="1173"/>
      <c r="J641" s="1173"/>
      <c r="K641" s="1173"/>
      <c r="L641" s="1173"/>
      <c r="M641" s="1173"/>
      <c r="N641" s="1173"/>
      <c r="O641" s="1173"/>
      <c r="P641" s="1173"/>
    </row>
    <row r="642">
      <c r="A642" s="1173"/>
      <c r="B642" s="1173"/>
      <c r="C642" s="1173"/>
      <c r="D642" s="1173"/>
      <c r="E642" s="1173"/>
      <c r="F642" s="1173"/>
      <c r="G642" s="1173"/>
      <c r="H642" s="1173"/>
      <c r="I642" s="1173"/>
      <c r="J642" s="1173"/>
      <c r="K642" s="1173"/>
      <c r="L642" s="1173"/>
      <c r="M642" s="1173"/>
      <c r="N642" s="1173"/>
      <c r="O642" s="1173"/>
      <c r="P642" s="1173"/>
    </row>
    <row r="643">
      <c r="A643" s="1173"/>
      <c r="B643" s="1173"/>
      <c r="C643" s="1173"/>
      <c r="D643" s="1173"/>
      <c r="E643" s="1173"/>
      <c r="F643" s="1173"/>
      <c r="G643" s="1173"/>
      <c r="H643" s="1173"/>
      <c r="I643" s="1173"/>
      <c r="J643" s="1173"/>
      <c r="K643" s="1173"/>
      <c r="L643" s="1173"/>
      <c r="M643" s="1173"/>
      <c r="N643" s="1173"/>
      <c r="O643" s="1173"/>
      <c r="P643" s="1173"/>
    </row>
    <row r="644">
      <c r="A644" s="1173"/>
      <c r="B644" s="1173"/>
      <c r="C644" s="1173"/>
      <c r="D644" s="1173"/>
      <c r="E644" s="1173"/>
      <c r="F644" s="1173"/>
      <c r="G644" s="1173"/>
      <c r="H644" s="1173"/>
      <c r="I644" s="1173"/>
      <c r="J644" s="1173"/>
      <c r="K644" s="1173"/>
      <c r="L644" s="1173"/>
      <c r="M644" s="1173"/>
      <c r="N644" s="1173"/>
      <c r="O644" s="1173"/>
      <c r="P644" s="1173"/>
    </row>
    <row r="645">
      <c r="A645" s="1173"/>
      <c r="B645" s="1173"/>
      <c r="C645" s="1173"/>
      <c r="D645" s="1173"/>
      <c r="E645" s="1173"/>
      <c r="F645" s="1173"/>
      <c r="G645" s="1173"/>
      <c r="H645" s="1173"/>
      <c r="I645" s="1173"/>
      <c r="J645" s="1173"/>
      <c r="K645" s="1173"/>
      <c r="L645" s="1173"/>
      <c r="M645" s="1173"/>
      <c r="N645" s="1173"/>
      <c r="O645" s="1173"/>
      <c r="P645" s="1173"/>
    </row>
    <row r="646">
      <c r="A646" s="1173"/>
      <c r="B646" s="1173"/>
      <c r="C646" s="1173"/>
      <c r="D646" s="1173"/>
      <c r="E646" s="1173"/>
      <c r="F646" s="1173"/>
      <c r="G646" s="1173"/>
      <c r="H646" s="1173"/>
      <c r="I646" s="1173"/>
      <c r="J646" s="1173"/>
      <c r="K646" s="1173"/>
      <c r="L646" s="1173"/>
      <c r="M646" s="1173"/>
      <c r="N646" s="1173"/>
      <c r="O646" s="1173"/>
      <c r="P646" s="1173"/>
    </row>
    <row r="647">
      <c r="A647" s="1173"/>
      <c r="B647" s="1173"/>
      <c r="C647" s="1173"/>
      <c r="D647" s="1173"/>
      <c r="E647" s="1173"/>
      <c r="F647" s="1173"/>
      <c r="G647" s="1173"/>
      <c r="H647" s="1173"/>
      <c r="I647" s="1173"/>
      <c r="J647" s="1173"/>
      <c r="K647" s="1173"/>
      <c r="L647" s="1173"/>
      <c r="M647" s="1173"/>
      <c r="N647" s="1173"/>
      <c r="O647" s="1173"/>
      <c r="P647" s="1173"/>
    </row>
    <row r="648">
      <c r="A648" s="1173"/>
      <c r="B648" s="1173"/>
      <c r="C648" s="1173"/>
      <c r="D648" s="1173"/>
      <c r="E648" s="1173"/>
      <c r="F648" s="1173"/>
      <c r="G648" s="1173"/>
      <c r="H648" s="1173"/>
      <c r="I648" s="1173"/>
      <c r="J648" s="1173"/>
      <c r="K648" s="1173"/>
      <c r="L648" s="1173"/>
      <c r="M648" s="1173"/>
      <c r="N648" s="1173"/>
      <c r="O648" s="1173"/>
      <c r="P648" s="1173"/>
    </row>
    <row r="649">
      <c r="A649" s="1173"/>
      <c r="B649" s="1173"/>
      <c r="C649" s="1173"/>
      <c r="D649" s="1173"/>
      <c r="E649" s="1173"/>
      <c r="F649" s="1173"/>
      <c r="G649" s="1173"/>
      <c r="H649" s="1173"/>
      <c r="I649" s="1173"/>
      <c r="J649" s="1173"/>
      <c r="K649" s="1173"/>
      <c r="L649" s="1173"/>
      <c r="M649" s="1173"/>
      <c r="N649" s="1173"/>
      <c r="O649" s="1173"/>
      <c r="P649" s="1173"/>
    </row>
    <row r="650">
      <c r="A650" s="1173"/>
      <c r="B650" s="1173"/>
      <c r="C650" s="1173"/>
      <c r="D650" s="1173"/>
      <c r="E650" s="1173"/>
      <c r="F650" s="1173"/>
      <c r="G650" s="1173"/>
      <c r="H650" s="1173"/>
      <c r="I650" s="1173"/>
      <c r="J650" s="1173"/>
      <c r="K650" s="1173"/>
      <c r="L650" s="1173"/>
      <c r="M650" s="1173"/>
      <c r="N650" s="1173"/>
      <c r="O650" s="1173"/>
      <c r="P650" s="1173"/>
    </row>
    <row r="651">
      <c r="A651" s="1173"/>
      <c r="B651" s="1173"/>
      <c r="C651" s="1173"/>
      <c r="D651" s="1173"/>
      <c r="E651" s="1173"/>
      <c r="F651" s="1173"/>
      <c r="G651" s="1173"/>
      <c r="H651" s="1173"/>
      <c r="I651" s="1173"/>
      <c r="J651" s="1173"/>
      <c r="K651" s="1173"/>
      <c r="L651" s="1173"/>
      <c r="M651" s="1173"/>
      <c r="N651" s="1173"/>
      <c r="O651" s="1173"/>
      <c r="P651" s="1173"/>
    </row>
    <row r="652">
      <c r="A652" s="1173"/>
      <c r="B652" s="1173"/>
      <c r="C652" s="1173"/>
      <c r="D652" s="1173"/>
      <c r="E652" s="1173"/>
      <c r="F652" s="1173"/>
      <c r="G652" s="1173"/>
      <c r="H652" s="1173"/>
      <c r="I652" s="1173"/>
      <c r="J652" s="1173"/>
      <c r="K652" s="1173"/>
      <c r="L652" s="1173"/>
      <c r="M652" s="1173"/>
      <c r="N652" s="1173"/>
      <c r="O652" s="1173"/>
      <c r="P652" s="1173"/>
    </row>
    <row r="653">
      <c r="A653" s="1173"/>
      <c r="B653" s="1173"/>
      <c r="C653" s="1173"/>
      <c r="D653" s="1173"/>
      <c r="E653" s="1173"/>
      <c r="F653" s="1173"/>
      <c r="G653" s="1173"/>
      <c r="H653" s="1173"/>
      <c r="I653" s="1173"/>
      <c r="J653" s="1173"/>
      <c r="K653" s="1173"/>
      <c r="L653" s="1173"/>
      <c r="M653" s="1173"/>
      <c r="N653" s="1173"/>
      <c r="O653" s="1173"/>
      <c r="P653" s="1173"/>
    </row>
    <row r="654">
      <c r="A654" s="1173"/>
      <c r="B654" s="1173"/>
      <c r="C654" s="1173"/>
      <c r="D654" s="1173"/>
      <c r="E654" s="1173"/>
      <c r="F654" s="1173"/>
      <c r="G654" s="1173"/>
      <c r="H654" s="1173"/>
      <c r="I654" s="1173"/>
      <c r="J654" s="1173"/>
      <c r="K654" s="1173"/>
      <c r="L654" s="1173"/>
      <c r="M654" s="1173"/>
      <c r="N654" s="1173"/>
      <c r="O654" s="1173"/>
      <c r="P654" s="1173"/>
    </row>
    <row r="655">
      <c r="A655" s="1173"/>
      <c r="B655" s="1173"/>
      <c r="C655" s="1173"/>
      <c r="D655" s="1173"/>
      <c r="E655" s="1173"/>
      <c r="F655" s="1173"/>
      <c r="G655" s="1173"/>
      <c r="H655" s="1173"/>
      <c r="I655" s="1173"/>
      <c r="J655" s="1173"/>
      <c r="K655" s="1173"/>
      <c r="L655" s="1173"/>
      <c r="M655" s="1173"/>
      <c r="N655" s="1173"/>
      <c r="O655" s="1173"/>
      <c r="P655" s="1173"/>
    </row>
    <row r="656">
      <c r="A656" s="1173"/>
      <c r="B656" s="1173"/>
      <c r="C656" s="1173"/>
      <c r="D656" s="1173"/>
      <c r="E656" s="1173"/>
      <c r="F656" s="1173"/>
      <c r="G656" s="1173"/>
      <c r="H656" s="1173"/>
      <c r="I656" s="1173"/>
      <c r="J656" s="1173"/>
      <c r="K656" s="1173"/>
      <c r="L656" s="1173"/>
      <c r="M656" s="1173"/>
      <c r="N656" s="1173"/>
      <c r="O656" s="1173"/>
      <c r="P656" s="1173"/>
    </row>
    <row r="657">
      <c r="A657" s="1173"/>
      <c r="B657" s="1173"/>
      <c r="C657" s="1173"/>
      <c r="D657" s="1173"/>
      <c r="E657" s="1173"/>
      <c r="F657" s="1173"/>
      <c r="G657" s="1173"/>
      <c r="H657" s="1173"/>
      <c r="I657" s="1173"/>
      <c r="J657" s="1173"/>
      <c r="K657" s="1173"/>
      <c r="L657" s="1173"/>
      <c r="M657" s="1173"/>
      <c r="N657" s="1173"/>
      <c r="O657" s="1173"/>
      <c r="P657" s="1173"/>
    </row>
    <row r="658">
      <c r="A658" s="1173"/>
      <c r="B658" s="1173"/>
      <c r="C658" s="1173"/>
      <c r="D658" s="1173"/>
      <c r="E658" s="1173"/>
      <c r="F658" s="1173"/>
      <c r="G658" s="1173"/>
      <c r="H658" s="1173"/>
      <c r="I658" s="1173"/>
      <c r="J658" s="1173"/>
      <c r="K658" s="1173"/>
      <c r="L658" s="1173"/>
      <c r="M658" s="1173"/>
      <c r="N658" s="1173"/>
      <c r="O658" s="1173"/>
      <c r="P658" s="1173"/>
    </row>
    <row r="659">
      <c r="A659" s="1173"/>
      <c r="B659" s="1173"/>
      <c r="C659" s="1173"/>
      <c r="D659" s="1173"/>
      <c r="E659" s="1173"/>
      <c r="F659" s="1173"/>
      <c r="G659" s="1173"/>
      <c r="H659" s="1173"/>
      <c r="I659" s="1173"/>
      <c r="J659" s="1173"/>
      <c r="K659" s="1173"/>
      <c r="L659" s="1173"/>
      <c r="M659" s="1173"/>
      <c r="N659" s="1173"/>
      <c r="O659" s="1173"/>
      <c r="P659" s="1173"/>
    </row>
    <row r="660">
      <c r="A660" s="1173"/>
      <c r="B660" s="1173"/>
      <c r="C660" s="1173"/>
      <c r="D660" s="1173"/>
      <c r="E660" s="1173"/>
      <c r="F660" s="1173"/>
      <c r="G660" s="1173"/>
      <c r="H660" s="1173"/>
      <c r="I660" s="1173"/>
      <c r="J660" s="1173"/>
      <c r="K660" s="1173"/>
      <c r="L660" s="1173"/>
      <c r="M660" s="1173"/>
      <c r="N660" s="1173"/>
      <c r="O660" s="1173"/>
      <c r="P660" s="1173"/>
    </row>
    <row r="661">
      <c r="A661" s="1173"/>
      <c r="B661" s="1173"/>
      <c r="C661" s="1173"/>
      <c r="D661" s="1173"/>
      <c r="E661" s="1173"/>
      <c r="F661" s="1173"/>
      <c r="G661" s="1173"/>
      <c r="H661" s="1173"/>
      <c r="I661" s="1173"/>
      <c r="J661" s="1173"/>
      <c r="K661" s="1173"/>
      <c r="L661" s="1173"/>
      <c r="M661" s="1173"/>
      <c r="N661" s="1173"/>
      <c r="O661" s="1173"/>
      <c r="P661" s="1173"/>
    </row>
    <row r="662">
      <c r="A662" s="1173"/>
      <c r="B662" s="1173"/>
      <c r="C662" s="1173"/>
      <c r="D662" s="1173"/>
      <c r="E662" s="1173"/>
      <c r="F662" s="1173"/>
      <c r="G662" s="1173"/>
      <c r="H662" s="1173"/>
      <c r="I662" s="1173"/>
      <c r="J662" s="1173"/>
      <c r="K662" s="1173"/>
      <c r="L662" s="1173"/>
      <c r="M662" s="1173"/>
      <c r="N662" s="1173"/>
      <c r="O662" s="1173"/>
      <c r="P662" s="1173"/>
    </row>
    <row r="663">
      <c r="A663" s="1173"/>
      <c r="B663" s="1173"/>
      <c r="C663" s="1173"/>
      <c r="D663" s="1173"/>
      <c r="E663" s="1173"/>
      <c r="F663" s="1173"/>
      <c r="G663" s="1173"/>
      <c r="H663" s="1173"/>
      <c r="I663" s="1173"/>
      <c r="J663" s="1173"/>
      <c r="K663" s="1173"/>
      <c r="L663" s="1173"/>
      <c r="M663" s="1173"/>
      <c r="N663" s="1173"/>
      <c r="O663" s="1173"/>
      <c r="P663" s="1173"/>
    </row>
    <row r="664">
      <c r="A664" s="1173"/>
      <c r="B664" s="1173"/>
      <c r="C664" s="1173"/>
      <c r="D664" s="1173"/>
      <c r="E664" s="1173"/>
      <c r="F664" s="1173"/>
      <c r="G664" s="1173"/>
      <c r="H664" s="1173"/>
      <c r="I664" s="1173"/>
      <c r="J664" s="1173"/>
      <c r="K664" s="1173"/>
      <c r="L664" s="1173"/>
      <c r="M664" s="1173"/>
      <c r="N664" s="1173"/>
      <c r="O664" s="1173"/>
      <c r="P664" s="1173"/>
    </row>
    <row r="665">
      <c r="A665" s="1173"/>
      <c r="B665" s="1173"/>
      <c r="C665" s="1173"/>
      <c r="D665" s="1173"/>
      <c r="E665" s="1173"/>
      <c r="F665" s="1173"/>
      <c r="G665" s="1173"/>
      <c r="H665" s="1173"/>
      <c r="I665" s="1173"/>
      <c r="J665" s="1173"/>
      <c r="K665" s="1173"/>
      <c r="L665" s="1173"/>
      <c r="M665" s="1173"/>
      <c r="N665" s="1173"/>
      <c r="O665" s="1173"/>
      <c r="P665" s="1173"/>
    </row>
    <row r="666">
      <c r="A666" s="1173"/>
      <c r="B666" s="1173"/>
      <c r="C666" s="1173"/>
      <c r="D666" s="1173"/>
      <c r="E666" s="1173"/>
      <c r="F666" s="1173"/>
      <c r="G666" s="1173"/>
      <c r="H666" s="1173"/>
      <c r="I666" s="1173"/>
      <c r="J666" s="1173"/>
      <c r="K666" s="1173"/>
      <c r="L666" s="1173"/>
      <c r="M666" s="1173"/>
      <c r="N666" s="1173"/>
      <c r="O666" s="1173"/>
      <c r="P666" s="1173"/>
    </row>
    <row r="667">
      <c r="A667" s="1173"/>
      <c r="B667" s="1173"/>
      <c r="C667" s="1173"/>
      <c r="D667" s="1173"/>
      <c r="E667" s="1173"/>
      <c r="F667" s="1173"/>
      <c r="G667" s="1173"/>
      <c r="H667" s="1173"/>
      <c r="I667" s="1173"/>
      <c r="J667" s="1173"/>
      <c r="K667" s="1173"/>
      <c r="L667" s="1173"/>
      <c r="M667" s="1173"/>
      <c r="N667" s="1173"/>
      <c r="O667" s="1173"/>
      <c r="P667" s="1173"/>
    </row>
    <row r="668">
      <c r="A668" s="1173"/>
      <c r="B668" s="1173"/>
      <c r="C668" s="1173"/>
      <c r="D668" s="1173"/>
      <c r="E668" s="1173"/>
      <c r="F668" s="1173"/>
      <c r="G668" s="1173"/>
      <c r="H668" s="1173"/>
      <c r="I668" s="1173"/>
      <c r="J668" s="1173"/>
      <c r="K668" s="1173"/>
      <c r="L668" s="1173"/>
      <c r="M668" s="1173"/>
      <c r="N668" s="1173"/>
      <c r="O668" s="1173"/>
      <c r="P668" s="1173"/>
    </row>
    <row r="669">
      <c r="A669" s="1173"/>
      <c r="B669" s="1173"/>
      <c r="C669" s="1173"/>
      <c r="D669" s="1173"/>
      <c r="E669" s="1173"/>
      <c r="F669" s="1173"/>
      <c r="G669" s="1173"/>
      <c r="H669" s="1173"/>
      <c r="I669" s="1173"/>
      <c r="J669" s="1173"/>
      <c r="K669" s="1173"/>
      <c r="L669" s="1173"/>
      <c r="M669" s="1173"/>
      <c r="N669" s="1173"/>
      <c r="O669" s="1173"/>
      <c r="P669" s="1173"/>
    </row>
    <row r="670">
      <c r="A670" s="1173"/>
      <c r="B670" s="1173"/>
      <c r="C670" s="1173"/>
      <c r="D670" s="1173"/>
      <c r="E670" s="1173"/>
      <c r="F670" s="1173"/>
      <c r="G670" s="1173"/>
      <c r="H670" s="1173"/>
      <c r="I670" s="1173"/>
      <c r="J670" s="1173"/>
      <c r="K670" s="1173"/>
      <c r="L670" s="1173"/>
      <c r="M670" s="1173"/>
      <c r="N670" s="1173"/>
      <c r="O670" s="1173"/>
      <c r="P670" s="1173"/>
    </row>
    <row r="671">
      <c r="A671" s="1173"/>
      <c r="B671" s="1173"/>
      <c r="C671" s="1173"/>
      <c r="D671" s="1173"/>
      <c r="E671" s="1173"/>
      <c r="F671" s="1173"/>
      <c r="G671" s="1173"/>
      <c r="H671" s="1173"/>
      <c r="I671" s="1173"/>
      <c r="J671" s="1173"/>
      <c r="K671" s="1173"/>
      <c r="L671" s="1173"/>
      <c r="M671" s="1173"/>
      <c r="N671" s="1173"/>
      <c r="O671" s="1173"/>
      <c r="P671" s="1173"/>
    </row>
    <row r="672">
      <c r="A672" s="1173"/>
      <c r="B672" s="1173"/>
      <c r="C672" s="1173"/>
      <c r="D672" s="1173"/>
      <c r="E672" s="1173"/>
      <c r="F672" s="1173"/>
      <c r="G672" s="1173"/>
      <c r="H672" s="1173"/>
      <c r="I672" s="1173"/>
      <c r="J672" s="1173"/>
      <c r="K672" s="1173"/>
      <c r="L672" s="1173"/>
      <c r="M672" s="1173"/>
      <c r="N672" s="1173"/>
      <c r="O672" s="1173"/>
      <c r="P672" s="1173"/>
    </row>
    <row r="673">
      <c r="A673" s="1173"/>
      <c r="B673" s="1173"/>
      <c r="C673" s="1173"/>
      <c r="D673" s="1173"/>
      <c r="E673" s="1173"/>
      <c r="F673" s="1173"/>
      <c r="G673" s="1173"/>
      <c r="H673" s="1173"/>
      <c r="I673" s="1173"/>
      <c r="J673" s="1173"/>
      <c r="K673" s="1173"/>
      <c r="L673" s="1173"/>
      <c r="M673" s="1173"/>
      <c r="N673" s="1173"/>
      <c r="O673" s="1173"/>
      <c r="P673" s="1173"/>
    </row>
    <row r="674">
      <c r="A674" s="1173"/>
      <c r="B674" s="1173"/>
      <c r="C674" s="1173"/>
      <c r="D674" s="1173"/>
      <c r="E674" s="1173"/>
      <c r="F674" s="1173"/>
      <c r="G674" s="1173"/>
      <c r="H674" s="1173"/>
      <c r="I674" s="1173"/>
      <c r="J674" s="1173"/>
      <c r="K674" s="1173"/>
      <c r="L674" s="1173"/>
      <c r="M674" s="1173"/>
      <c r="N674" s="1173"/>
      <c r="O674" s="1173"/>
      <c r="P674" s="1173"/>
    </row>
    <row r="675">
      <c r="A675" s="1173"/>
      <c r="B675" s="1173"/>
      <c r="C675" s="1173"/>
      <c r="D675" s="1173"/>
      <c r="E675" s="1173"/>
      <c r="F675" s="1173"/>
      <c r="G675" s="1173"/>
      <c r="H675" s="1173"/>
      <c r="I675" s="1173"/>
      <c r="J675" s="1173"/>
      <c r="K675" s="1173"/>
      <c r="L675" s="1173"/>
      <c r="M675" s="1173"/>
      <c r="N675" s="1173"/>
      <c r="O675" s="1173"/>
      <c r="P675" s="1173"/>
    </row>
    <row r="676">
      <c r="A676" s="1173"/>
      <c r="B676" s="1173"/>
      <c r="C676" s="1173"/>
      <c r="D676" s="1173"/>
      <c r="E676" s="1173"/>
      <c r="F676" s="1173"/>
      <c r="G676" s="1173"/>
      <c r="H676" s="1173"/>
      <c r="I676" s="1173"/>
      <c r="J676" s="1173"/>
      <c r="K676" s="1173"/>
      <c r="L676" s="1173"/>
      <c r="M676" s="1173"/>
      <c r="N676" s="1173"/>
      <c r="O676" s="1173"/>
      <c r="P676" s="1173"/>
    </row>
    <row r="677">
      <c r="A677" s="1173"/>
      <c r="B677" s="1173"/>
      <c r="C677" s="1173"/>
      <c r="D677" s="1173"/>
      <c r="E677" s="1173"/>
      <c r="F677" s="1173"/>
      <c r="G677" s="1173"/>
      <c r="H677" s="1173"/>
      <c r="I677" s="1173"/>
      <c r="J677" s="1173"/>
      <c r="K677" s="1173"/>
      <c r="L677" s="1173"/>
      <c r="M677" s="1173"/>
      <c r="N677" s="1173"/>
      <c r="O677" s="1173"/>
      <c r="P677" s="1173"/>
    </row>
    <row r="678">
      <c r="A678" s="1173"/>
      <c r="B678" s="1173"/>
      <c r="C678" s="1173"/>
      <c r="D678" s="1173"/>
      <c r="E678" s="1173"/>
      <c r="F678" s="1173"/>
      <c r="G678" s="1173"/>
      <c r="H678" s="1173"/>
      <c r="I678" s="1173"/>
      <c r="J678" s="1173"/>
      <c r="K678" s="1173"/>
      <c r="L678" s="1173"/>
      <c r="M678" s="1173"/>
      <c r="N678" s="1173"/>
      <c r="O678" s="1173"/>
      <c r="P678" s="1173"/>
    </row>
    <row r="679">
      <c r="A679" s="1173"/>
      <c r="B679" s="1173"/>
      <c r="C679" s="1173"/>
      <c r="D679" s="1173"/>
      <c r="E679" s="1173"/>
      <c r="F679" s="1173"/>
      <c r="G679" s="1173"/>
      <c r="H679" s="1173"/>
      <c r="I679" s="1173"/>
      <c r="J679" s="1173"/>
      <c r="K679" s="1173"/>
      <c r="L679" s="1173"/>
      <c r="M679" s="1173"/>
      <c r="N679" s="1173"/>
      <c r="O679" s="1173"/>
      <c r="P679" s="1173"/>
    </row>
    <row r="680">
      <c r="A680" s="1173"/>
      <c r="B680" s="1173"/>
      <c r="C680" s="1173"/>
      <c r="D680" s="1173"/>
      <c r="E680" s="1173"/>
      <c r="F680" s="1173"/>
      <c r="G680" s="1173"/>
      <c r="H680" s="1173"/>
      <c r="I680" s="1173"/>
      <c r="J680" s="1173"/>
      <c r="K680" s="1173"/>
      <c r="L680" s="1173"/>
      <c r="M680" s="1173"/>
      <c r="N680" s="1173"/>
      <c r="O680" s="1173"/>
      <c r="P680" s="1173"/>
    </row>
    <row r="681">
      <c r="A681" s="1173"/>
      <c r="B681" s="1173"/>
      <c r="C681" s="1173"/>
      <c r="D681" s="1173"/>
      <c r="E681" s="1173"/>
      <c r="F681" s="1173"/>
      <c r="G681" s="1173"/>
      <c r="H681" s="1173"/>
      <c r="I681" s="1173"/>
      <c r="J681" s="1173"/>
      <c r="K681" s="1173"/>
      <c r="L681" s="1173"/>
      <c r="M681" s="1173"/>
      <c r="N681" s="1173"/>
      <c r="O681" s="1173"/>
      <c r="P681" s="1173"/>
    </row>
    <row r="682">
      <c r="A682" s="1173"/>
      <c r="B682" s="1173"/>
      <c r="C682" s="1173"/>
      <c r="D682" s="1173"/>
      <c r="E682" s="1173"/>
      <c r="F682" s="1173"/>
      <c r="G682" s="1173"/>
      <c r="H682" s="1173"/>
      <c r="I682" s="1173"/>
      <c r="J682" s="1173"/>
      <c r="K682" s="1173"/>
      <c r="L682" s="1173"/>
      <c r="M682" s="1173"/>
      <c r="N682" s="1173"/>
      <c r="O682" s="1173"/>
      <c r="P682" s="1173"/>
    </row>
    <row r="683">
      <c r="A683" s="1173"/>
      <c r="B683" s="1173"/>
      <c r="C683" s="1173"/>
      <c r="D683" s="1173"/>
      <c r="E683" s="1173"/>
      <c r="F683" s="1173"/>
      <c r="G683" s="1173"/>
      <c r="H683" s="1173"/>
      <c r="I683" s="1173"/>
      <c r="J683" s="1173"/>
      <c r="K683" s="1173"/>
      <c r="L683" s="1173"/>
      <c r="M683" s="1173"/>
      <c r="N683" s="1173"/>
      <c r="O683" s="1173"/>
      <c r="P683" s="1173"/>
    </row>
    <row r="684">
      <c r="A684" s="1173"/>
      <c r="B684" s="1173"/>
      <c r="C684" s="1173"/>
      <c r="D684" s="1173"/>
      <c r="E684" s="1173"/>
      <c r="F684" s="1173"/>
      <c r="G684" s="1173"/>
      <c r="H684" s="1173"/>
      <c r="I684" s="1173"/>
      <c r="J684" s="1173"/>
      <c r="K684" s="1173"/>
      <c r="L684" s="1173"/>
      <c r="M684" s="1173"/>
      <c r="N684" s="1173"/>
      <c r="O684" s="1173"/>
      <c r="P684" s="1173"/>
    </row>
    <row r="685">
      <c r="A685" s="1173"/>
      <c r="B685" s="1173"/>
      <c r="C685" s="1173"/>
      <c r="D685" s="1173"/>
      <c r="E685" s="1173"/>
      <c r="F685" s="1173"/>
      <c r="G685" s="1173"/>
      <c r="H685" s="1173"/>
      <c r="I685" s="1173"/>
      <c r="J685" s="1173"/>
      <c r="K685" s="1173"/>
      <c r="L685" s="1173"/>
      <c r="M685" s="1173"/>
      <c r="N685" s="1173"/>
      <c r="O685" s="1173"/>
      <c r="P685" s="1173"/>
    </row>
    <row r="686">
      <c r="A686" s="1173"/>
      <c r="B686" s="1173"/>
      <c r="C686" s="1173"/>
      <c r="D686" s="1173"/>
      <c r="E686" s="1173"/>
      <c r="F686" s="1173"/>
      <c r="G686" s="1173"/>
      <c r="H686" s="1173"/>
      <c r="I686" s="1173"/>
      <c r="J686" s="1173"/>
      <c r="K686" s="1173"/>
      <c r="L686" s="1173"/>
      <c r="M686" s="1173"/>
      <c r="N686" s="1173"/>
      <c r="O686" s="1173"/>
      <c r="P686" s="1173"/>
    </row>
    <row r="687">
      <c r="A687" s="1173"/>
      <c r="B687" s="1173"/>
      <c r="C687" s="1173"/>
      <c r="D687" s="1173"/>
      <c r="E687" s="1173"/>
      <c r="F687" s="1173"/>
      <c r="G687" s="1173"/>
      <c r="H687" s="1173"/>
      <c r="I687" s="1173"/>
      <c r="J687" s="1173"/>
      <c r="K687" s="1173"/>
      <c r="L687" s="1173"/>
      <c r="M687" s="1173"/>
      <c r="N687" s="1173"/>
      <c r="O687" s="1173"/>
      <c r="P687" s="1173"/>
    </row>
    <row r="688">
      <c r="A688" s="1173"/>
      <c r="B688" s="1173"/>
      <c r="C688" s="1173"/>
      <c r="D688" s="1173"/>
      <c r="E688" s="1173"/>
      <c r="F688" s="1173"/>
      <c r="G688" s="1173"/>
      <c r="H688" s="1173"/>
      <c r="I688" s="1173"/>
      <c r="J688" s="1173"/>
      <c r="K688" s="1173"/>
      <c r="L688" s="1173"/>
      <c r="M688" s="1173"/>
      <c r="N688" s="1173"/>
      <c r="O688" s="1173"/>
      <c r="P688" s="1173"/>
    </row>
    <row r="689">
      <c r="A689" s="1173"/>
      <c r="B689" s="1173"/>
      <c r="C689" s="1173"/>
      <c r="D689" s="1173"/>
      <c r="E689" s="1173"/>
      <c r="F689" s="1173"/>
      <c r="G689" s="1173"/>
      <c r="H689" s="1173"/>
      <c r="I689" s="1173"/>
      <c r="J689" s="1173"/>
      <c r="K689" s="1173"/>
      <c r="L689" s="1173"/>
      <c r="M689" s="1173"/>
      <c r="N689" s="1173"/>
      <c r="O689" s="1173"/>
      <c r="P689" s="1173"/>
    </row>
    <row r="690">
      <c r="A690" s="1173"/>
      <c r="B690" s="1173"/>
      <c r="C690" s="1173"/>
      <c r="D690" s="1173"/>
      <c r="E690" s="1173"/>
      <c r="F690" s="1173"/>
      <c r="G690" s="1173"/>
      <c r="H690" s="1173"/>
      <c r="I690" s="1173"/>
      <c r="J690" s="1173"/>
      <c r="K690" s="1173"/>
      <c r="L690" s="1173"/>
      <c r="M690" s="1173"/>
      <c r="N690" s="1173"/>
      <c r="O690" s="1173"/>
      <c r="P690" s="1173"/>
    </row>
    <row r="691">
      <c r="A691" s="1173"/>
      <c r="B691" s="1173"/>
      <c r="C691" s="1173"/>
      <c r="D691" s="1173"/>
      <c r="E691" s="1173"/>
      <c r="F691" s="1173"/>
      <c r="G691" s="1173"/>
      <c r="H691" s="1173"/>
      <c r="I691" s="1173"/>
      <c r="J691" s="1173"/>
      <c r="K691" s="1173"/>
      <c r="L691" s="1173"/>
      <c r="M691" s="1173"/>
      <c r="N691" s="1173"/>
      <c r="O691" s="1173"/>
      <c r="P691" s="1173"/>
    </row>
    <row r="692">
      <c r="A692" s="1173"/>
      <c r="B692" s="1173"/>
      <c r="C692" s="1173"/>
      <c r="D692" s="1173"/>
      <c r="E692" s="1173"/>
      <c r="F692" s="1173"/>
      <c r="G692" s="1173"/>
      <c r="H692" s="1173"/>
      <c r="I692" s="1173"/>
      <c r="J692" s="1173"/>
      <c r="K692" s="1173"/>
      <c r="L692" s="1173"/>
      <c r="M692" s="1173"/>
      <c r="N692" s="1173"/>
      <c r="O692" s="1173"/>
      <c r="P692" s="1173"/>
    </row>
    <row r="693">
      <c r="A693" s="1173"/>
      <c r="B693" s="1173"/>
      <c r="C693" s="1173"/>
      <c r="D693" s="1173"/>
      <c r="E693" s="1173"/>
      <c r="F693" s="1173"/>
      <c r="G693" s="1173"/>
      <c r="H693" s="1173"/>
      <c r="I693" s="1173"/>
      <c r="J693" s="1173"/>
      <c r="K693" s="1173"/>
      <c r="L693" s="1173"/>
      <c r="M693" s="1173"/>
      <c r="N693" s="1173"/>
      <c r="O693" s="1173"/>
      <c r="P693" s="1173"/>
    </row>
    <row r="694">
      <c r="A694" s="1173"/>
      <c r="B694" s="1173"/>
      <c r="C694" s="1173"/>
      <c r="D694" s="1173"/>
      <c r="E694" s="1173"/>
      <c r="F694" s="1173"/>
      <c r="G694" s="1173"/>
      <c r="H694" s="1173"/>
      <c r="I694" s="1173"/>
      <c r="J694" s="1173"/>
      <c r="K694" s="1173"/>
      <c r="L694" s="1173"/>
      <c r="M694" s="1173"/>
      <c r="N694" s="1173"/>
      <c r="O694" s="1173"/>
      <c r="P694" s="1173"/>
    </row>
    <row r="695">
      <c r="A695" s="1173"/>
      <c r="B695" s="1173"/>
      <c r="C695" s="1173"/>
      <c r="D695" s="1173"/>
      <c r="E695" s="1173"/>
      <c r="F695" s="1173"/>
      <c r="G695" s="1173"/>
      <c r="H695" s="1173"/>
      <c r="I695" s="1173"/>
      <c r="J695" s="1173"/>
      <c r="K695" s="1173"/>
      <c r="L695" s="1173"/>
      <c r="M695" s="1173"/>
      <c r="N695" s="1173"/>
      <c r="O695" s="1173"/>
      <c r="P695" s="1173"/>
    </row>
    <row r="696">
      <c r="A696" s="1173"/>
      <c r="B696" s="1173"/>
      <c r="C696" s="1173"/>
      <c r="D696" s="1173"/>
      <c r="E696" s="1173"/>
      <c r="F696" s="1173"/>
      <c r="G696" s="1173"/>
      <c r="H696" s="1173"/>
      <c r="I696" s="1173"/>
      <c r="J696" s="1173"/>
      <c r="K696" s="1173"/>
      <c r="L696" s="1173"/>
      <c r="M696" s="1173"/>
      <c r="N696" s="1173"/>
      <c r="O696" s="1173"/>
      <c r="P696" s="1173"/>
    </row>
    <row r="697">
      <c r="A697" s="1173"/>
      <c r="B697" s="1173"/>
      <c r="C697" s="1173"/>
      <c r="D697" s="1173"/>
      <c r="E697" s="1173"/>
      <c r="F697" s="1173"/>
      <c r="G697" s="1173"/>
      <c r="H697" s="1173"/>
      <c r="I697" s="1173"/>
      <c r="J697" s="1173"/>
      <c r="K697" s="1173"/>
      <c r="L697" s="1173"/>
      <c r="M697" s="1173"/>
      <c r="N697" s="1173"/>
      <c r="O697" s="1173"/>
      <c r="P697" s="1173"/>
    </row>
    <row r="698">
      <c r="A698" s="1173"/>
      <c r="B698" s="1173"/>
      <c r="C698" s="1173"/>
      <c r="D698" s="1173"/>
      <c r="E698" s="1173"/>
      <c r="F698" s="1173"/>
      <c r="G698" s="1173"/>
      <c r="H698" s="1173"/>
      <c r="I698" s="1173"/>
      <c r="J698" s="1173"/>
      <c r="K698" s="1173"/>
      <c r="L698" s="1173"/>
      <c r="M698" s="1173"/>
      <c r="N698" s="1173"/>
      <c r="O698" s="1173"/>
      <c r="P698" s="1173"/>
    </row>
    <row r="699">
      <c r="A699" s="1173"/>
      <c r="B699" s="1173"/>
      <c r="C699" s="1173"/>
      <c r="D699" s="1173"/>
      <c r="E699" s="1173"/>
      <c r="F699" s="1173"/>
      <c r="G699" s="1173"/>
      <c r="H699" s="1173"/>
      <c r="I699" s="1173"/>
      <c r="J699" s="1173"/>
      <c r="K699" s="1173"/>
      <c r="L699" s="1173"/>
      <c r="M699" s="1173"/>
      <c r="N699" s="1173"/>
      <c r="O699" s="1173"/>
      <c r="P699" s="1173"/>
    </row>
    <row r="700">
      <c r="A700" s="1173"/>
      <c r="B700" s="1173"/>
      <c r="C700" s="1173"/>
      <c r="D700" s="1173"/>
      <c r="E700" s="1173"/>
      <c r="F700" s="1173"/>
      <c r="G700" s="1173"/>
      <c r="H700" s="1173"/>
      <c r="I700" s="1173"/>
      <c r="J700" s="1173"/>
      <c r="K700" s="1173"/>
      <c r="L700" s="1173"/>
      <c r="M700" s="1173"/>
      <c r="N700" s="1173"/>
      <c r="O700" s="1173"/>
      <c r="P700" s="1173"/>
    </row>
    <row r="701">
      <c r="A701" s="1173"/>
      <c r="B701" s="1173"/>
      <c r="C701" s="1173"/>
      <c r="D701" s="1173"/>
      <c r="E701" s="1173"/>
      <c r="F701" s="1173"/>
      <c r="G701" s="1173"/>
      <c r="H701" s="1173"/>
      <c r="I701" s="1173"/>
      <c r="J701" s="1173"/>
      <c r="K701" s="1173"/>
      <c r="L701" s="1173"/>
      <c r="M701" s="1173"/>
      <c r="N701" s="1173"/>
      <c r="O701" s="1173"/>
      <c r="P701" s="1173"/>
    </row>
    <row r="702">
      <c r="A702" s="1173"/>
      <c r="B702" s="1173"/>
      <c r="C702" s="1173"/>
      <c r="D702" s="1173"/>
      <c r="E702" s="1173"/>
      <c r="F702" s="1173"/>
      <c r="G702" s="1173"/>
      <c r="H702" s="1173"/>
      <c r="I702" s="1173"/>
      <c r="J702" s="1173"/>
      <c r="K702" s="1173"/>
      <c r="L702" s="1173"/>
      <c r="M702" s="1173"/>
      <c r="N702" s="1173"/>
      <c r="O702" s="1173"/>
      <c r="P702" s="1173"/>
    </row>
    <row r="703">
      <c r="A703" s="1173"/>
      <c r="B703" s="1173"/>
      <c r="C703" s="1173"/>
      <c r="D703" s="1173"/>
      <c r="E703" s="1173"/>
      <c r="F703" s="1173"/>
      <c r="G703" s="1173"/>
      <c r="H703" s="1173"/>
      <c r="I703" s="1173"/>
      <c r="J703" s="1173"/>
      <c r="K703" s="1173"/>
      <c r="L703" s="1173"/>
      <c r="M703" s="1173"/>
      <c r="N703" s="1173"/>
      <c r="O703" s="1173"/>
      <c r="P703" s="1173"/>
    </row>
    <row r="704">
      <c r="A704" s="1173"/>
      <c r="B704" s="1173"/>
      <c r="C704" s="1173"/>
      <c r="D704" s="1173"/>
      <c r="E704" s="1173"/>
      <c r="F704" s="1173"/>
      <c r="G704" s="1173"/>
      <c r="H704" s="1173"/>
      <c r="I704" s="1173"/>
      <c r="J704" s="1173"/>
      <c r="K704" s="1173"/>
      <c r="L704" s="1173"/>
      <c r="M704" s="1173"/>
      <c r="N704" s="1173"/>
      <c r="O704" s="1173"/>
      <c r="P704" s="1173"/>
    </row>
    <row r="705">
      <c r="A705" s="1173"/>
      <c r="B705" s="1173"/>
      <c r="C705" s="1173"/>
      <c r="D705" s="1173"/>
      <c r="E705" s="1173"/>
      <c r="F705" s="1173"/>
      <c r="G705" s="1173"/>
      <c r="H705" s="1173"/>
      <c r="I705" s="1173"/>
      <c r="J705" s="1173"/>
      <c r="K705" s="1173"/>
      <c r="L705" s="1173"/>
      <c r="M705" s="1173"/>
      <c r="N705" s="1173"/>
      <c r="O705" s="1173"/>
      <c r="P705" s="1173"/>
    </row>
    <row r="706">
      <c r="A706" s="1173"/>
      <c r="B706" s="1173"/>
      <c r="C706" s="1173"/>
      <c r="D706" s="1173"/>
      <c r="E706" s="1173"/>
      <c r="F706" s="1173"/>
      <c r="G706" s="1173"/>
      <c r="H706" s="1173"/>
      <c r="I706" s="1173"/>
      <c r="J706" s="1173"/>
      <c r="K706" s="1173"/>
      <c r="L706" s="1173"/>
      <c r="M706" s="1173"/>
      <c r="N706" s="1173"/>
      <c r="O706" s="1173"/>
      <c r="P706" s="1173"/>
    </row>
    <row r="707">
      <c r="A707" s="1173"/>
      <c r="B707" s="1173"/>
      <c r="C707" s="1173"/>
      <c r="D707" s="1173"/>
      <c r="E707" s="1173"/>
      <c r="F707" s="1173"/>
      <c r="G707" s="1173"/>
      <c r="H707" s="1173"/>
      <c r="I707" s="1173"/>
      <c r="J707" s="1173"/>
      <c r="K707" s="1173"/>
      <c r="L707" s="1173"/>
      <c r="M707" s="1173"/>
      <c r="N707" s="1173"/>
      <c r="O707" s="1173"/>
      <c r="P707" s="1173"/>
    </row>
    <row r="708">
      <c r="A708" s="1173"/>
      <c r="B708" s="1173"/>
      <c r="C708" s="1173"/>
      <c r="D708" s="1173"/>
      <c r="E708" s="1173"/>
      <c r="F708" s="1173"/>
      <c r="G708" s="1173"/>
      <c r="H708" s="1173"/>
      <c r="I708" s="1173"/>
      <c r="J708" s="1173"/>
      <c r="K708" s="1173"/>
      <c r="L708" s="1173"/>
      <c r="M708" s="1173"/>
      <c r="N708" s="1173"/>
      <c r="O708" s="1173"/>
      <c r="P708" s="1173"/>
    </row>
    <row r="709">
      <c r="A709" s="1173"/>
      <c r="B709" s="1173"/>
      <c r="C709" s="1173"/>
      <c r="D709" s="1173"/>
      <c r="E709" s="1173"/>
      <c r="F709" s="1173"/>
      <c r="G709" s="1173"/>
      <c r="H709" s="1173"/>
      <c r="I709" s="1173"/>
      <c r="J709" s="1173"/>
      <c r="K709" s="1173"/>
      <c r="L709" s="1173"/>
      <c r="M709" s="1173"/>
      <c r="N709" s="1173"/>
      <c r="O709" s="1173"/>
      <c r="P709" s="1173"/>
    </row>
    <row r="710">
      <c r="A710" s="1173"/>
      <c r="B710" s="1173"/>
      <c r="C710" s="1173"/>
      <c r="D710" s="1173"/>
      <c r="E710" s="1173"/>
      <c r="F710" s="1173"/>
      <c r="G710" s="1173"/>
      <c r="H710" s="1173"/>
      <c r="I710" s="1173"/>
      <c r="J710" s="1173"/>
      <c r="K710" s="1173"/>
      <c r="L710" s="1173"/>
      <c r="M710" s="1173"/>
      <c r="N710" s="1173"/>
      <c r="O710" s="1173"/>
      <c r="P710" s="1173"/>
    </row>
    <row r="711">
      <c r="A711" s="1173"/>
      <c r="B711" s="1173"/>
      <c r="C711" s="1173"/>
      <c r="D711" s="1173"/>
      <c r="E711" s="1173"/>
      <c r="F711" s="1173"/>
      <c r="G711" s="1173"/>
      <c r="H711" s="1173"/>
      <c r="I711" s="1173"/>
      <c r="J711" s="1173"/>
      <c r="K711" s="1173"/>
      <c r="L711" s="1173"/>
      <c r="M711" s="1173"/>
      <c r="N711" s="1173"/>
      <c r="O711" s="1173"/>
      <c r="P711" s="1173"/>
    </row>
    <row r="712">
      <c r="A712" s="1173"/>
      <c r="B712" s="1173"/>
      <c r="C712" s="1173"/>
      <c r="D712" s="1173"/>
      <c r="E712" s="1173"/>
      <c r="F712" s="1173"/>
      <c r="G712" s="1173"/>
      <c r="H712" s="1173"/>
      <c r="I712" s="1173"/>
      <c r="J712" s="1173"/>
      <c r="K712" s="1173"/>
      <c r="L712" s="1173"/>
      <c r="M712" s="1173"/>
      <c r="N712" s="1173"/>
      <c r="O712" s="1173"/>
      <c r="P712" s="1173"/>
    </row>
    <row r="713">
      <c r="A713" s="1173"/>
      <c r="B713" s="1173"/>
      <c r="C713" s="1173"/>
      <c r="D713" s="1173"/>
      <c r="E713" s="1173"/>
      <c r="F713" s="1173"/>
      <c r="G713" s="1173"/>
      <c r="H713" s="1173"/>
      <c r="I713" s="1173"/>
      <c r="J713" s="1173"/>
      <c r="K713" s="1173"/>
      <c r="L713" s="1173"/>
      <c r="M713" s="1173"/>
      <c r="N713" s="1173"/>
      <c r="O713" s="1173"/>
      <c r="P713" s="1173"/>
    </row>
    <row r="714">
      <c r="A714" s="1173"/>
      <c r="B714" s="1173"/>
      <c r="C714" s="1173"/>
      <c r="D714" s="1173"/>
      <c r="E714" s="1173"/>
      <c r="F714" s="1173"/>
      <c r="G714" s="1173"/>
      <c r="H714" s="1173"/>
      <c r="I714" s="1173"/>
      <c r="J714" s="1173"/>
      <c r="K714" s="1173"/>
      <c r="L714" s="1173"/>
      <c r="M714" s="1173"/>
      <c r="N714" s="1173"/>
      <c r="O714" s="1173"/>
      <c r="P714" s="1173"/>
    </row>
    <row r="715">
      <c r="A715" s="1173"/>
      <c r="B715" s="1173"/>
      <c r="C715" s="1173"/>
      <c r="D715" s="1173"/>
      <c r="E715" s="1173"/>
      <c r="F715" s="1173"/>
      <c r="G715" s="1173"/>
      <c r="H715" s="1173"/>
      <c r="I715" s="1173"/>
      <c r="J715" s="1173"/>
      <c r="K715" s="1173"/>
      <c r="L715" s="1173"/>
      <c r="M715" s="1173"/>
      <c r="N715" s="1173"/>
      <c r="O715" s="1173"/>
      <c r="P715" s="1173"/>
    </row>
    <row r="716">
      <c r="A716" s="1173"/>
      <c r="B716" s="1173"/>
      <c r="C716" s="1173"/>
      <c r="D716" s="1173"/>
      <c r="E716" s="1173"/>
      <c r="F716" s="1173"/>
      <c r="G716" s="1173"/>
      <c r="H716" s="1173"/>
      <c r="I716" s="1173"/>
      <c r="J716" s="1173"/>
      <c r="K716" s="1173"/>
      <c r="L716" s="1173"/>
      <c r="M716" s="1173"/>
      <c r="N716" s="1173"/>
      <c r="O716" s="1173"/>
      <c r="P716" s="1173"/>
    </row>
    <row r="717">
      <c r="A717" s="1173"/>
      <c r="B717" s="1173"/>
      <c r="C717" s="1173"/>
      <c r="D717" s="1173"/>
      <c r="E717" s="1173"/>
      <c r="F717" s="1173"/>
      <c r="G717" s="1173"/>
      <c r="H717" s="1173"/>
      <c r="I717" s="1173"/>
      <c r="J717" s="1173"/>
      <c r="K717" s="1173"/>
      <c r="L717" s="1173"/>
      <c r="M717" s="1173"/>
      <c r="N717" s="1173"/>
      <c r="O717" s="1173"/>
      <c r="P717" s="1173"/>
    </row>
    <row r="718">
      <c r="A718" s="1173"/>
      <c r="B718" s="1173"/>
      <c r="C718" s="1173"/>
      <c r="D718" s="1173"/>
      <c r="E718" s="1173"/>
      <c r="F718" s="1173"/>
      <c r="G718" s="1173"/>
      <c r="H718" s="1173"/>
      <c r="I718" s="1173"/>
      <c r="J718" s="1173"/>
      <c r="K718" s="1173"/>
      <c r="L718" s="1173"/>
      <c r="M718" s="1173"/>
      <c r="N718" s="1173"/>
      <c r="O718" s="1173"/>
      <c r="P718" s="1173"/>
    </row>
    <row r="719">
      <c r="A719" s="1173"/>
      <c r="B719" s="1173"/>
      <c r="C719" s="1173"/>
      <c r="D719" s="1173"/>
      <c r="E719" s="1173"/>
      <c r="F719" s="1173"/>
      <c r="G719" s="1173"/>
      <c r="H719" s="1173"/>
      <c r="I719" s="1173"/>
      <c r="J719" s="1173"/>
      <c r="K719" s="1173"/>
      <c r="L719" s="1173"/>
      <c r="M719" s="1173"/>
      <c r="N719" s="1173"/>
      <c r="O719" s="1173"/>
      <c r="P719" s="1173"/>
    </row>
    <row r="720">
      <c r="A720" s="1173"/>
      <c r="B720" s="1173"/>
      <c r="C720" s="1173"/>
      <c r="D720" s="1173"/>
      <c r="E720" s="1173"/>
      <c r="F720" s="1173"/>
      <c r="G720" s="1173"/>
      <c r="H720" s="1173"/>
      <c r="I720" s="1173"/>
      <c r="J720" s="1173"/>
      <c r="K720" s="1173"/>
      <c r="L720" s="1173"/>
      <c r="M720" s="1173"/>
      <c r="N720" s="1173"/>
      <c r="O720" s="1173"/>
      <c r="P720" s="1173"/>
    </row>
    <row r="721">
      <c r="A721" s="1173"/>
      <c r="B721" s="1173"/>
      <c r="C721" s="1173"/>
      <c r="D721" s="1173"/>
      <c r="E721" s="1173"/>
      <c r="F721" s="1173"/>
      <c r="G721" s="1173"/>
      <c r="H721" s="1173"/>
      <c r="I721" s="1173"/>
      <c r="J721" s="1173"/>
      <c r="K721" s="1173"/>
      <c r="L721" s="1173"/>
      <c r="M721" s="1173"/>
      <c r="N721" s="1173"/>
      <c r="O721" s="1173"/>
      <c r="P721" s="1173"/>
    </row>
    <row r="722">
      <c r="A722" s="1173"/>
      <c r="B722" s="1173"/>
      <c r="C722" s="1173"/>
      <c r="D722" s="1173"/>
      <c r="E722" s="1173"/>
      <c r="F722" s="1173"/>
      <c r="G722" s="1173"/>
      <c r="H722" s="1173"/>
      <c r="I722" s="1173"/>
      <c r="J722" s="1173"/>
      <c r="K722" s="1173"/>
      <c r="L722" s="1173"/>
      <c r="M722" s="1173"/>
      <c r="N722" s="1173"/>
      <c r="O722" s="1173"/>
      <c r="P722" s="1173"/>
    </row>
    <row r="723">
      <c r="A723" s="1173"/>
      <c r="B723" s="1173"/>
      <c r="C723" s="1173"/>
      <c r="D723" s="1173"/>
      <c r="E723" s="1173"/>
      <c r="F723" s="1173"/>
      <c r="G723" s="1173"/>
      <c r="H723" s="1173"/>
      <c r="I723" s="1173"/>
      <c r="J723" s="1173"/>
      <c r="K723" s="1173"/>
      <c r="L723" s="1173"/>
      <c r="M723" s="1173"/>
      <c r="N723" s="1173"/>
      <c r="O723" s="1173"/>
      <c r="P723" s="1173"/>
    </row>
    <row r="724">
      <c r="A724" s="1173"/>
      <c r="B724" s="1173"/>
      <c r="C724" s="1173"/>
      <c r="D724" s="1173"/>
      <c r="E724" s="1173"/>
      <c r="F724" s="1173"/>
      <c r="G724" s="1173"/>
      <c r="H724" s="1173"/>
      <c r="I724" s="1173"/>
      <c r="J724" s="1173"/>
      <c r="K724" s="1173"/>
      <c r="L724" s="1173"/>
      <c r="M724" s="1173"/>
      <c r="N724" s="1173"/>
      <c r="O724" s="1173"/>
      <c r="P724" s="1173"/>
    </row>
    <row r="725">
      <c r="A725" s="1173"/>
      <c r="B725" s="1173"/>
      <c r="C725" s="1173"/>
      <c r="D725" s="1173"/>
      <c r="E725" s="1173"/>
      <c r="F725" s="1173"/>
      <c r="G725" s="1173"/>
      <c r="H725" s="1173"/>
      <c r="I725" s="1173"/>
      <c r="J725" s="1173"/>
      <c r="K725" s="1173"/>
      <c r="L725" s="1173"/>
      <c r="M725" s="1173"/>
      <c r="N725" s="1173"/>
      <c r="O725" s="1173"/>
      <c r="P725" s="1173"/>
    </row>
    <row r="726">
      <c r="A726" s="1173"/>
      <c r="B726" s="1173"/>
      <c r="C726" s="1173"/>
      <c r="D726" s="1173"/>
      <c r="E726" s="1173"/>
      <c r="F726" s="1173"/>
      <c r="G726" s="1173"/>
      <c r="H726" s="1173"/>
      <c r="I726" s="1173"/>
      <c r="J726" s="1173"/>
      <c r="K726" s="1173"/>
      <c r="L726" s="1173"/>
      <c r="M726" s="1173"/>
      <c r="N726" s="1173"/>
      <c r="O726" s="1173"/>
      <c r="P726" s="1173"/>
    </row>
    <row r="727">
      <c r="A727" s="1173"/>
      <c r="B727" s="1173"/>
      <c r="C727" s="1173"/>
      <c r="D727" s="1173"/>
      <c r="E727" s="1173"/>
      <c r="F727" s="1173"/>
      <c r="G727" s="1173"/>
      <c r="H727" s="1173"/>
      <c r="I727" s="1173"/>
      <c r="J727" s="1173"/>
      <c r="K727" s="1173"/>
      <c r="L727" s="1173"/>
      <c r="M727" s="1173"/>
      <c r="N727" s="1173"/>
      <c r="O727" s="1173"/>
      <c r="P727" s="1173"/>
    </row>
    <row r="728">
      <c r="A728" s="1173"/>
      <c r="B728" s="1173"/>
      <c r="C728" s="1173"/>
      <c r="D728" s="1173"/>
      <c r="E728" s="1173"/>
      <c r="F728" s="1173"/>
      <c r="G728" s="1173"/>
      <c r="H728" s="1173"/>
      <c r="I728" s="1173"/>
      <c r="J728" s="1173"/>
      <c r="K728" s="1173"/>
      <c r="L728" s="1173"/>
      <c r="M728" s="1173"/>
      <c r="N728" s="1173"/>
      <c r="O728" s="1173"/>
      <c r="P728" s="1173"/>
    </row>
    <row r="729">
      <c r="A729" s="1173"/>
      <c r="B729" s="1173"/>
      <c r="C729" s="1173"/>
      <c r="D729" s="1173"/>
      <c r="E729" s="1173"/>
      <c r="F729" s="1173"/>
      <c r="G729" s="1173"/>
      <c r="H729" s="1173"/>
      <c r="I729" s="1173"/>
      <c r="J729" s="1173"/>
      <c r="K729" s="1173"/>
      <c r="L729" s="1173"/>
      <c r="M729" s="1173"/>
      <c r="N729" s="1173"/>
      <c r="O729" s="1173"/>
      <c r="P729" s="1173"/>
    </row>
    <row r="730">
      <c r="A730" s="1173"/>
      <c r="B730" s="1173"/>
      <c r="C730" s="1173"/>
      <c r="D730" s="1173"/>
      <c r="E730" s="1173"/>
      <c r="F730" s="1173"/>
      <c r="G730" s="1173"/>
      <c r="H730" s="1173"/>
      <c r="I730" s="1173"/>
      <c r="J730" s="1173"/>
      <c r="K730" s="1173"/>
      <c r="L730" s="1173"/>
      <c r="M730" s="1173"/>
      <c r="N730" s="1173"/>
      <c r="O730" s="1173"/>
      <c r="P730" s="1173"/>
    </row>
    <row r="731">
      <c r="A731" s="1173"/>
      <c r="B731" s="1173"/>
      <c r="C731" s="1173"/>
      <c r="D731" s="1173"/>
      <c r="E731" s="1173"/>
      <c r="F731" s="1173"/>
      <c r="G731" s="1173"/>
      <c r="H731" s="1173"/>
      <c r="I731" s="1173"/>
      <c r="J731" s="1173"/>
      <c r="K731" s="1173"/>
      <c r="L731" s="1173"/>
      <c r="M731" s="1173"/>
      <c r="N731" s="1173"/>
      <c r="O731" s="1173"/>
      <c r="P731" s="1173"/>
    </row>
    <row r="732">
      <c r="A732" s="1173"/>
      <c r="B732" s="1173"/>
      <c r="C732" s="1173"/>
      <c r="D732" s="1173"/>
      <c r="E732" s="1173"/>
      <c r="F732" s="1173"/>
      <c r="G732" s="1173"/>
      <c r="H732" s="1173"/>
      <c r="I732" s="1173"/>
      <c r="J732" s="1173"/>
      <c r="K732" s="1173"/>
      <c r="L732" s="1173"/>
      <c r="M732" s="1173"/>
      <c r="N732" s="1173"/>
      <c r="O732" s="1173"/>
      <c r="P732" s="1173"/>
    </row>
    <row r="733">
      <c r="A733" s="1173"/>
      <c r="B733" s="1173"/>
      <c r="C733" s="1173"/>
      <c r="D733" s="1173"/>
      <c r="E733" s="1173"/>
      <c r="F733" s="1173"/>
      <c r="G733" s="1173"/>
      <c r="H733" s="1173"/>
      <c r="I733" s="1173"/>
      <c r="J733" s="1173"/>
      <c r="K733" s="1173"/>
      <c r="L733" s="1173"/>
      <c r="M733" s="1173"/>
      <c r="N733" s="1173"/>
      <c r="O733" s="1173"/>
      <c r="P733" s="1173"/>
    </row>
    <row r="734">
      <c r="A734" s="1173"/>
      <c r="B734" s="1173"/>
      <c r="C734" s="1173"/>
      <c r="D734" s="1173"/>
      <c r="E734" s="1173"/>
      <c r="F734" s="1173"/>
      <c r="G734" s="1173"/>
      <c r="H734" s="1173"/>
      <c r="I734" s="1173"/>
      <c r="J734" s="1173"/>
      <c r="K734" s="1173"/>
      <c r="L734" s="1173"/>
      <c r="M734" s="1173"/>
      <c r="N734" s="1173"/>
      <c r="O734" s="1173"/>
      <c r="P734" s="1173"/>
    </row>
    <row r="735">
      <c r="A735" s="1173"/>
      <c r="B735" s="1173"/>
      <c r="C735" s="1173"/>
      <c r="D735" s="1173"/>
      <c r="E735" s="1173"/>
      <c r="F735" s="1173"/>
      <c r="G735" s="1173"/>
      <c r="H735" s="1173"/>
      <c r="I735" s="1173"/>
      <c r="J735" s="1173"/>
      <c r="K735" s="1173"/>
      <c r="L735" s="1173"/>
      <c r="M735" s="1173"/>
      <c r="N735" s="1173"/>
      <c r="O735" s="1173"/>
      <c r="P735" s="1173"/>
    </row>
    <row r="736">
      <c r="A736" s="1173"/>
      <c r="B736" s="1173"/>
      <c r="C736" s="1173"/>
      <c r="D736" s="1173"/>
      <c r="E736" s="1173"/>
      <c r="F736" s="1173"/>
      <c r="G736" s="1173"/>
      <c r="H736" s="1173"/>
      <c r="I736" s="1173"/>
      <c r="J736" s="1173"/>
      <c r="K736" s="1173"/>
      <c r="L736" s="1173"/>
      <c r="M736" s="1173"/>
      <c r="N736" s="1173"/>
      <c r="O736" s="1173"/>
      <c r="P736" s="1173"/>
    </row>
    <row r="737">
      <c r="A737" s="1173"/>
      <c r="B737" s="1173"/>
      <c r="C737" s="1173"/>
      <c r="D737" s="1173"/>
      <c r="E737" s="1173"/>
      <c r="F737" s="1173"/>
      <c r="G737" s="1173"/>
      <c r="H737" s="1173"/>
      <c r="I737" s="1173"/>
      <c r="J737" s="1173"/>
      <c r="K737" s="1173"/>
      <c r="L737" s="1173"/>
      <c r="M737" s="1173"/>
      <c r="N737" s="1173"/>
      <c r="O737" s="1173"/>
      <c r="P737" s="1173"/>
    </row>
    <row r="738">
      <c r="A738" s="1173"/>
      <c r="B738" s="1173"/>
      <c r="C738" s="1173"/>
      <c r="D738" s="1173"/>
      <c r="E738" s="1173"/>
      <c r="F738" s="1173"/>
      <c r="G738" s="1173"/>
      <c r="H738" s="1173"/>
      <c r="I738" s="1173"/>
      <c r="J738" s="1173"/>
      <c r="K738" s="1173"/>
      <c r="L738" s="1173"/>
      <c r="M738" s="1173"/>
      <c r="N738" s="1173"/>
      <c r="O738" s="1173"/>
      <c r="P738" s="1173"/>
    </row>
    <row r="739">
      <c r="A739" s="1173"/>
      <c r="B739" s="1173"/>
      <c r="C739" s="1173"/>
      <c r="D739" s="1173"/>
      <c r="E739" s="1173"/>
      <c r="F739" s="1173"/>
      <c r="G739" s="1173"/>
      <c r="H739" s="1173"/>
      <c r="I739" s="1173"/>
      <c r="J739" s="1173"/>
      <c r="K739" s="1173"/>
      <c r="L739" s="1173"/>
      <c r="M739" s="1173"/>
      <c r="N739" s="1173"/>
      <c r="O739" s="1173"/>
      <c r="P739" s="1173"/>
    </row>
    <row r="740">
      <c r="A740" s="1173"/>
      <c r="B740" s="1173"/>
      <c r="C740" s="1173"/>
      <c r="D740" s="1173"/>
      <c r="E740" s="1173"/>
      <c r="F740" s="1173"/>
      <c r="G740" s="1173"/>
      <c r="H740" s="1173"/>
      <c r="I740" s="1173"/>
      <c r="J740" s="1173"/>
      <c r="K740" s="1173"/>
      <c r="L740" s="1173"/>
      <c r="M740" s="1173"/>
      <c r="N740" s="1173"/>
      <c r="O740" s="1173"/>
      <c r="P740" s="1173"/>
    </row>
    <row r="741">
      <c r="A741" s="1173"/>
      <c r="B741" s="1173"/>
      <c r="C741" s="1173"/>
      <c r="D741" s="1173"/>
      <c r="E741" s="1173"/>
      <c r="F741" s="1173"/>
      <c r="G741" s="1173"/>
      <c r="H741" s="1173"/>
      <c r="I741" s="1173"/>
      <c r="J741" s="1173"/>
      <c r="K741" s="1173"/>
      <c r="L741" s="1173"/>
      <c r="M741" s="1173"/>
      <c r="N741" s="1173"/>
      <c r="O741" s="1173"/>
      <c r="P741" s="1173"/>
    </row>
    <row r="742">
      <c r="A742" s="1173"/>
      <c r="B742" s="1173"/>
      <c r="C742" s="1173"/>
      <c r="D742" s="1173"/>
      <c r="E742" s="1173"/>
      <c r="F742" s="1173"/>
      <c r="G742" s="1173"/>
      <c r="H742" s="1173"/>
      <c r="I742" s="1173"/>
      <c r="J742" s="1173"/>
      <c r="K742" s="1173"/>
      <c r="L742" s="1173"/>
      <c r="M742" s="1173"/>
      <c r="N742" s="1173"/>
      <c r="O742" s="1173"/>
      <c r="P742" s="1173"/>
    </row>
    <row r="743">
      <c r="A743" s="1173"/>
      <c r="B743" s="1173"/>
      <c r="C743" s="1173"/>
      <c r="D743" s="1173"/>
      <c r="E743" s="1173"/>
      <c r="F743" s="1173"/>
      <c r="G743" s="1173"/>
      <c r="H743" s="1173"/>
      <c r="I743" s="1173"/>
      <c r="J743" s="1173"/>
      <c r="K743" s="1173"/>
      <c r="L743" s="1173"/>
      <c r="M743" s="1173"/>
      <c r="N743" s="1173"/>
      <c r="O743" s="1173"/>
      <c r="P743" s="1173"/>
    </row>
    <row r="744">
      <c r="A744" s="1173"/>
      <c r="B744" s="1173"/>
      <c r="C744" s="1173"/>
      <c r="D744" s="1173"/>
      <c r="E744" s="1173"/>
      <c r="F744" s="1173"/>
      <c r="G744" s="1173"/>
      <c r="H744" s="1173"/>
      <c r="I744" s="1173"/>
      <c r="J744" s="1173"/>
      <c r="K744" s="1173"/>
      <c r="L744" s="1173"/>
      <c r="M744" s="1173"/>
      <c r="N744" s="1173"/>
      <c r="O744" s="1173"/>
      <c r="P744" s="1173"/>
    </row>
    <row r="745">
      <c r="A745" s="1173"/>
      <c r="B745" s="1173"/>
      <c r="C745" s="1173"/>
      <c r="D745" s="1173"/>
      <c r="E745" s="1173"/>
      <c r="F745" s="1173"/>
      <c r="G745" s="1173"/>
      <c r="H745" s="1173"/>
      <c r="I745" s="1173"/>
      <c r="J745" s="1173"/>
      <c r="K745" s="1173"/>
      <c r="L745" s="1173"/>
      <c r="M745" s="1173"/>
      <c r="N745" s="1173"/>
      <c r="O745" s="1173"/>
      <c r="P745" s="1173"/>
    </row>
    <row r="746">
      <c r="A746" s="1173"/>
      <c r="B746" s="1173"/>
      <c r="C746" s="1173"/>
      <c r="D746" s="1173"/>
      <c r="E746" s="1173"/>
      <c r="F746" s="1173"/>
      <c r="G746" s="1173"/>
      <c r="H746" s="1173"/>
      <c r="I746" s="1173"/>
      <c r="J746" s="1173"/>
      <c r="K746" s="1173"/>
      <c r="L746" s="1173"/>
      <c r="M746" s="1173"/>
      <c r="N746" s="1173"/>
      <c r="O746" s="1173"/>
      <c r="P746" s="1173"/>
    </row>
    <row r="747">
      <c r="A747" s="1173"/>
      <c r="B747" s="1173"/>
      <c r="C747" s="1173"/>
      <c r="D747" s="1173"/>
      <c r="E747" s="1173"/>
      <c r="F747" s="1173"/>
      <c r="G747" s="1173"/>
      <c r="H747" s="1173"/>
      <c r="I747" s="1173"/>
      <c r="J747" s="1173"/>
      <c r="K747" s="1173"/>
      <c r="L747" s="1173"/>
      <c r="M747" s="1173"/>
      <c r="N747" s="1173"/>
      <c r="O747" s="1173"/>
      <c r="P747" s="1173"/>
    </row>
    <row r="748">
      <c r="A748" s="1173"/>
      <c r="B748" s="1173"/>
      <c r="C748" s="1173"/>
      <c r="D748" s="1173"/>
      <c r="E748" s="1173"/>
      <c r="F748" s="1173"/>
      <c r="G748" s="1173"/>
      <c r="H748" s="1173"/>
      <c r="I748" s="1173"/>
      <c r="J748" s="1173"/>
      <c r="K748" s="1173"/>
      <c r="L748" s="1173"/>
      <c r="M748" s="1173"/>
      <c r="N748" s="1173"/>
      <c r="O748" s="1173"/>
      <c r="P748" s="1173"/>
    </row>
    <row r="749">
      <c r="A749" s="1173"/>
      <c r="B749" s="1173"/>
      <c r="C749" s="1173"/>
      <c r="D749" s="1173"/>
      <c r="E749" s="1173"/>
      <c r="F749" s="1173"/>
      <c r="G749" s="1173"/>
      <c r="H749" s="1173"/>
      <c r="I749" s="1173"/>
      <c r="J749" s="1173"/>
      <c r="K749" s="1173"/>
      <c r="L749" s="1173"/>
      <c r="M749" s="1173"/>
      <c r="N749" s="1173"/>
      <c r="O749" s="1173"/>
      <c r="P749" s="1173"/>
    </row>
    <row r="750">
      <c r="A750" s="1173"/>
      <c r="B750" s="1173"/>
      <c r="C750" s="1173"/>
      <c r="D750" s="1173"/>
      <c r="E750" s="1173"/>
      <c r="F750" s="1173"/>
      <c r="G750" s="1173"/>
      <c r="H750" s="1173"/>
      <c r="I750" s="1173"/>
      <c r="J750" s="1173"/>
      <c r="K750" s="1173"/>
      <c r="L750" s="1173"/>
      <c r="M750" s="1173"/>
      <c r="N750" s="1173"/>
      <c r="O750" s="1173"/>
      <c r="P750" s="1173"/>
    </row>
    <row r="751">
      <c r="A751" s="1173"/>
      <c r="B751" s="1173"/>
      <c r="C751" s="1173"/>
      <c r="D751" s="1173"/>
      <c r="E751" s="1173"/>
      <c r="F751" s="1173"/>
      <c r="G751" s="1173"/>
      <c r="H751" s="1173"/>
      <c r="I751" s="1173"/>
      <c r="J751" s="1173"/>
      <c r="K751" s="1173"/>
      <c r="L751" s="1173"/>
      <c r="M751" s="1173"/>
      <c r="N751" s="1173"/>
      <c r="O751" s="1173"/>
      <c r="P751" s="1173"/>
    </row>
    <row r="752">
      <c r="A752" s="1173"/>
      <c r="B752" s="1173"/>
      <c r="C752" s="1173"/>
      <c r="D752" s="1173"/>
      <c r="E752" s="1173"/>
      <c r="F752" s="1173"/>
      <c r="G752" s="1173"/>
      <c r="H752" s="1173"/>
      <c r="I752" s="1173"/>
      <c r="J752" s="1173"/>
      <c r="K752" s="1173"/>
      <c r="L752" s="1173"/>
      <c r="M752" s="1173"/>
      <c r="N752" s="1173"/>
      <c r="O752" s="1173"/>
      <c r="P752" s="1173"/>
    </row>
    <row r="753">
      <c r="A753" s="1173"/>
      <c r="B753" s="1173"/>
      <c r="C753" s="1173"/>
      <c r="D753" s="1173"/>
      <c r="E753" s="1173"/>
      <c r="F753" s="1173"/>
      <c r="G753" s="1173"/>
      <c r="H753" s="1173"/>
      <c r="I753" s="1173"/>
      <c r="J753" s="1173"/>
      <c r="K753" s="1173"/>
      <c r="L753" s="1173"/>
      <c r="M753" s="1173"/>
      <c r="N753" s="1173"/>
      <c r="O753" s="1173"/>
      <c r="P753" s="1173"/>
    </row>
    <row r="754">
      <c r="A754" s="1173"/>
      <c r="B754" s="1173"/>
      <c r="C754" s="1173"/>
      <c r="D754" s="1173"/>
      <c r="E754" s="1173"/>
      <c r="F754" s="1173"/>
      <c r="G754" s="1173"/>
      <c r="H754" s="1173"/>
      <c r="I754" s="1173"/>
      <c r="J754" s="1173"/>
      <c r="K754" s="1173"/>
      <c r="L754" s="1173"/>
      <c r="M754" s="1173"/>
      <c r="N754" s="1173"/>
      <c r="O754" s="1173"/>
      <c r="P754" s="1173"/>
    </row>
    <row r="755">
      <c r="A755" s="1173"/>
      <c r="B755" s="1173"/>
      <c r="C755" s="1173"/>
      <c r="D755" s="1173"/>
      <c r="E755" s="1173"/>
      <c r="F755" s="1173"/>
      <c r="G755" s="1173"/>
      <c r="H755" s="1173"/>
      <c r="I755" s="1173"/>
      <c r="J755" s="1173"/>
      <c r="K755" s="1173"/>
      <c r="L755" s="1173"/>
      <c r="M755" s="1173"/>
      <c r="N755" s="1173"/>
      <c r="O755" s="1173"/>
      <c r="P755" s="1173"/>
    </row>
    <row r="756">
      <c r="A756" s="1173"/>
      <c r="B756" s="1173"/>
      <c r="C756" s="1173"/>
      <c r="D756" s="1173"/>
      <c r="E756" s="1173"/>
      <c r="F756" s="1173"/>
      <c r="G756" s="1173"/>
      <c r="H756" s="1173"/>
      <c r="I756" s="1173"/>
      <c r="J756" s="1173"/>
      <c r="K756" s="1173"/>
      <c r="L756" s="1173"/>
      <c r="M756" s="1173"/>
      <c r="N756" s="1173"/>
      <c r="O756" s="1173"/>
      <c r="P756" s="1173"/>
    </row>
    <row r="757">
      <c r="A757" s="1173"/>
      <c r="B757" s="1173"/>
      <c r="C757" s="1173"/>
      <c r="D757" s="1173"/>
      <c r="E757" s="1173"/>
      <c r="F757" s="1173"/>
      <c r="G757" s="1173"/>
      <c r="H757" s="1173"/>
      <c r="I757" s="1173"/>
      <c r="J757" s="1173"/>
      <c r="K757" s="1173"/>
      <c r="L757" s="1173"/>
      <c r="M757" s="1173"/>
      <c r="N757" s="1173"/>
      <c r="O757" s="1173"/>
      <c r="P757" s="1173"/>
    </row>
    <row r="758">
      <c r="A758" s="1173"/>
      <c r="B758" s="1173"/>
      <c r="C758" s="1173"/>
      <c r="D758" s="1173"/>
      <c r="E758" s="1173"/>
      <c r="F758" s="1173"/>
      <c r="G758" s="1173"/>
      <c r="H758" s="1173"/>
      <c r="I758" s="1173"/>
      <c r="J758" s="1173"/>
      <c r="K758" s="1173"/>
      <c r="L758" s="1173"/>
      <c r="M758" s="1173"/>
      <c r="N758" s="1173"/>
      <c r="O758" s="1173"/>
      <c r="P758" s="1173"/>
    </row>
    <row r="759">
      <c r="A759" s="1173"/>
      <c r="B759" s="1173"/>
      <c r="C759" s="1173"/>
      <c r="D759" s="1173"/>
      <c r="E759" s="1173"/>
      <c r="F759" s="1173"/>
      <c r="G759" s="1173"/>
      <c r="H759" s="1173"/>
      <c r="I759" s="1173"/>
      <c r="J759" s="1173"/>
      <c r="K759" s="1173"/>
      <c r="L759" s="1173"/>
      <c r="M759" s="1173"/>
      <c r="N759" s="1173"/>
      <c r="O759" s="1173"/>
      <c r="P759" s="1173"/>
    </row>
    <row r="760">
      <c r="A760" s="1173"/>
      <c r="B760" s="1173"/>
      <c r="C760" s="1173"/>
      <c r="D760" s="1173"/>
      <c r="E760" s="1173"/>
      <c r="F760" s="1173"/>
      <c r="G760" s="1173"/>
      <c r="H760" s="1173"/>
      <c r="I760" s="1173"/>
      <c r="J760" s="1173"/>
      <c r="K760" s="1173"/>
      <c r="L760" s="1173"/>
      <c r="M760" s="1173"/>
      <c r="N760" s="1173"/>
      <c r="O760" s="1173"/>
      <c r="P760" s="1173"/>
    </row>
    <row r="761">
      <c r="A761" s="1173"/>
      <c r="B761" s="1173"/>
      <c r="C761" s="1173"/>
      <c r="D761" s="1173"/>
      <c r="E761" s="1173"/>
      <c r="F761" s="1173"/>
      <c r="G761" s="1173"/>
      <c r="H761" s="1173"/>
      <c r="I761" s="1173"/>
      <c r="J761" s="1173"/>
      <c r="K761" s="1173"/>
      <c r="L761" s="1173"/>
      <c r="M761" s="1173"/>
      <c r="N761" s="1173"/>
      <c r="O761" s="1173"/>
      <c r="P761" s="1173"/>
    </row>
    <row r="762">
      <c r="A762" s="1173"/>
      <c r="B762" s="1173"/>
      <c r="C762" s="1173"/>
      <c r="D762" s="1173"/>
      <c r="E762" s="1173"/>
      <c r="F762" s="1173"/>
      <c r="G762" s="1173"/>
      <c r="H762" s="1173"/>
      <c r="I762" s="1173"/>
      <c r="J762" s="1173"/>
      <c r="K762" s="1173"/>
      <c r="L762" s="1173"/>
      <c r="M762" s="1173"/>
      <c r="N762" s="1173"/>
      <c r="O762" s="1173"/>
      <c r="P762" s="1173"/>
    </row>
    <row r="763">
      <c r="A763" s="1173"/>
      <c r="B763" s="1173"/>
      <c r="C763" s="1173"/>
      <c r="D763" s="1173"/>
      <c r="E763" s="1173"/>
      <c r="F763" s="1173"/>
      <c r="G763" s="1173"/>
      <c r="H763" s="1173"/>
      <c r="I763" s="1173"/>
      <c r="J763" s="1173"/>
      <c r="K763" s="1173"/>
      <c r="L763" s="1173"/>
      <c r="M763" s="1173"/>
      <c r="N763" s="1173"/>
      <c r="O763" s="1173"/>
      <c r="P763" s="1173"/>
    </row>
    <row r="764">
      <c r="A764" s="1173"/>
      <c r="B764" s="1173"/>
      <c r="C764" s="1173"/>
      <c r="D764" s="1173"/>
      <c r="E764" s="1173"/>
      <c r="F764" s="1173"/>
      <c r="G764" s="1173"/>
      <c r="H764" s="1173"/>
      <c r="I764" s="1173"/>
      <c r="J764" s="1173"/>
      <c r="K764" s="1173"/>
      <c r="L764" s="1173"/>
      <c r="M764" s="1173"/>
      <c r="N764" s="1173"/>
      <c r="O764" s="1173"/>
      <c r="P764" s="1173"/>
    </row>
    <row r="765">
      <c r="A765" s="1173"/>
      <c r="B765" s="1173"/>
      <c r="C765" s="1173"/>
      <c r="D765" s="1173"/>
      <c r="E765" s="1173"/>
      <c r="F765" s="1173"/>
      <c r="G765" s="1173"/>
      <c r="H765" s="1173"/>
      <c r="I765" s="1173"/>
      <c r="J765" s="1173"/>
      <c r="K765" s="1173"/>
      <c r="L765" s="1173"/>
      <c r="M765" s="1173"/>
      <c r="N765" s="1173"/>
      <c r="O765" s="1173"/>
      <c r="P765" s="1173"/>
    </row>
    <row r="766">
      <c r="A766" s="1173"/>
      <c r="B766" s="1173"/>
      <c r="C766" s="1173"/>
      <c r="D766" s="1173"/>
      <c r="E766" s="1173"/>
      <c r="F766" s="1173"/>
      <c r="G766" s="1173"/>
      <c r="H766" s="1173"/>
      <c r="I766" s="1173"/>
      <c r="J766" s="1173"/>
      <c r="K766" s="1173"/>
      <c r="L766" s="1173"/>
      <c r="M766" s="1173"/>
      <c r="N766" s="1173"/>
      <c r="O766" s="1173"/>
      <c r="P766" s="1173"/>
    </row>
    <row r="767">
      <c r="A767" s="1173"/>
      <c r="B767" s="1173"/>
      <c r="C767" s="1173"/>
      <c r="D767" s="1173"/>
      <c r="E767" s="1173"/>
      <c r="F767" s="1173"/>
      <c r="G767" s="1173"/>
      <c r="H767" s="1173"/>
      <c r="I767" s="1173"/>
      <c r="J767" s="1173"/>
      <c r="K767" s="1173"/>
      <c r="L767" s="1173"/>
      <c r="M767" s="1173"/>
      <c r="N767" s="1173"/>
      <c r="O767" s="1173"/>
      <c r="P767" s="1173"/>
    </row>
    <row r="768">
      <c r="A768" s="1173"/>
      <c r="B768" s="1173"/>
      <c r="C768" s="1173"/>
      <c r="D768" s="1173"/>
      <c r="E768" s="1173"/>
      <c r="F768" s="1173"/>
      <c r="G768" s="1173"/>
      <c r="H768" s="1173"/>
      <c r="I768" s="1173"/>
      <c r="J768" s="1173"/>
      <c r="K768" s="1173"/>
      <c r="L768" s="1173"/>
      <c r="M768" s="1173"/>
      <c r="N768" s="1173"/>
      <c r="O768" s="1173"/>
      <c r="P768" s="1173"/>
    </row>
    <row r="769">
      <c r="A769" s="1173"/>
      <c r="B769" s="1173"/>
      <c r="C769" s="1173"/>
      <c r="D769" s="1173"/>
      <c r="E769" s="1173"/>
      <c r="F769" s="1173"/>
      <c r="G769" s="1173"/>
      <c r="H769" s="1173"/>
      <c r="I769" s="1173"/>
      <c r="J769" s="1173"/>
      <c r="K769" s="1173"/>
      <c r="L769" s="1173"/>
      <c r="M769" s="1173"/>
      <c r="N769" s="1173"/>
      <c r="O769" s="1173"/>
      <c r="P769" s="1173"/>
    </row>
    <row r="770">
      <c r="A770" s="1173"/>
      <c r="B770" s="1173"/>
      <c r="C770" s="1173"/>
      <c r="D770" s="1173"/>
      <c r="E770" s="1173"/>
      <c r="F770" s="1173"/>
      <c r="G770" s="1173"/>
      <c r="H770" s="1173"/>
      <c r="I770" s="1173"/>
      <c r="J770" s="1173"/>
      <c r="K770" s="1173"/>
      <c r="L770" s="1173"/>
      <c r="M770" s="1173"/>
      <c r="N770" s="1173"/>
      <c r="O770" s="1173"/>
      <c r="P770" s="1173"/>
    </row>
    <row r="771">
      <c r="A771" s="1173"/>
      <c r="B771" s="1173"/>
      <c r="C771" s="1173"/>
      <c r="D771" s="1173"/>
      <c r="E771" s="1173"/>
      <c r="F771" s="1173"/>
      <c r="G771" s="1173"/>
      <c r="H771" s="1173"/>
      <c r="I771" s="1173"/>
      <c r="J771" s="1173"/>
      <c r="K771" s="1173"/>
      <c r="L771" s="1173"/>
      <c r="M771" s="1173"/>
      <c r="N771" s="1173"/>
      <c r="O771" s="1173"/>
      <c r="P771" s="1173"/>
    </row>
    <row r="772">
      <c r="A772" s="1173"/>
      <c r="B772" s="1173"/>
      <c r="C772" s="1173"/>
      <c r="D772" s="1173"/>
      <c r="E772" s="1173"/>
      <c r="F772" s="1173"/>
      <c r="G772" s="1173"/>
      <c r="H772" s="1173"/>
      <c r="I772" s="1173"/>
      <c r="J772" s="1173"/>
      <c r="K772" s="1173"/>
      <c r="L772" s="1173"/>
      <c r="M772" s="1173"/>
      <c r="N772" s="1173"/>
      <c r="O772" s="1173"/>
      <c r="P772" s="1173"/>
    </row>
    <row r="773">
      <c r="A773" s="1173"/>
      <c r="B773" s="1173"/>
      <c r="C773" s="1173"/>
      <c r="D773" s="1173"/>
      <c r="E773" s="1173"/>
      <c r="F773" s="1173"/>
      <c r="G773" s="1173"/>
      <c r="H773" s="1173"/>
      <c r="I773" s="1173"/>
      <c r="J773" s="1173"/>
      <c r="K773" s="1173"/>
      <c r="L773" s="1173"/>
      <c r="M773" s="1173"/>
      <c r="N773" s="1173"/>
      <c r="O773" s="1173"/>
      <c r="P773" s="1173"/>
    </row>
    <row r="774">
      <c r="A774" s="1173"/>
      <c r="B774" s="1173"/>
      <c r="C774" s="1173"/>
      <c r="D774" s="1173"/>
      <c r="E774" s="1173"/>
      <c r="F774" s="1173"/>
      <c r="G774" s="1173"/>
      <c r="H774" s="1173"/>
      <c r="I774" s="1173"/>
      <c r="J774" s="1173"/>
      <c r="K774" s="1173"/>
      <c r="L774" s="1173"/>
      <c r="M774" s="1173"/>
      <c r="N774" s="1173"/>
      <c r="O774" s="1173"/>
      <c r="P774" s="1173"/>
    </row>
    <row r="775">
      <c r="A775" s="1173"/>
      <c r="B775" s="1173"/>
      <c r="C775" s="1173"/>
      <c r="D775" s="1173"/>
      <c r="E775" s="1173"/>
      <c r="F775" s="1173"/>
      <c r="G775" s="1173"/>
      <c r="H775" s="1173"/>
      <c r="I775" s="1173"/>
      <c r="J775" s="1173"/>
      <c r="K775" s="1173"/>
      <c r="L775" s="1173"/>
      <c r="M775" s="1173"/>
      <c r="N775" s="1173"/>
      <c r="O775" s="1173"/>
      <c r="P775" s="1173"/>
    </row>
    <row r="776">
      <c r="A776" s="1173"/>
      <c r="B776" s="1173"/>
      <c r="C776" s="1173"/>
      <c r="D776" s="1173"/>
      <c r="E776" s="1173"/>
      <c r="F776" s="1173"/>
      <c r="G776" s="1173"/>
      <c r="H776" s="1173"/>
      <c r="I776" s="1173"/>
      <c r="J776" s="1173"/>
      <c r="K776" s="1173"/>
      <c r="L776" s="1173"/>
      <c r="M776" s="1173"/>
      <c r="N776" s="1173"/>
      <c r="O776" s="1173"/>
      <c r="P776" s="1173"/>
    </row>
    <row r="777">
      <c r="A777" s="1173"/>
      <c r="B777" s="1173"/>
      <c r="C777" s="1173"/>
      <c r="D777" s="1173"/>
      <c r="E777" s="1173"/>
      <c r="F777" s="1173"/>
      <c r="G777" s="1173"/>
      <c r="H777" s="1173"/>
      <c r="I777" s="1173"/>
      <c r="J777" s="1173"/>
      <c r="K777" s="1173"/>
      <c r="L777" s="1173"/>
      <c r="M777" s="1173"/>
      <c r="N777" s="1173"/>
      <c r="O777" s="1173"/>
      <c r="P777" s="1173"/>
    </row>
    <row r="778">
      <c r="A778" s="1173"/>
      <c r="B778" s="1173"/>
      <c r="C778" s="1173"/>
      <c r="D778" s="1173"/>
      <c r="E778" s="1173"/>
      <c r="F778" s="1173"/>
      <c r="G778" s="1173"/>
      <c r="H778" s="1173"/>
      <c r="I778" s="1173"/>
      <c r="J778" s="1173"/>
      <c r="K778" s="1173"/>
      <c r="L778" s="1173"/>
      <c r="M778" s="1173"/>
      <c r="N778" s="1173"/>
      <c r="O778" s="1173"/>
      <c r="P778" s="1173"/>
    </row>
    <row r="779">
      <c r="A779" s="1173"/>
      <c r="B779" s="1173"/>
      <c r="C779" s="1173"/>
      <c r="D779" s="1173"/>
      <c r="E779" s="1173"/>
      <c r="F779" s="1173"/>
      <c r="G779" s="1173"/>
      <c r="H779" s="1173"/>
      <c r="I779" s="1173"/>
      <c r="J779" s="1173"/>
      <c r="K779" s="1173"/>
      <c r="L779" s="1173"/>
      <c r="M779" s="1173"/>
      <c r="N779" s="1173"/>
      <c r="O779" s="1173"/>
      <c r="P779" s="1173"/>
    </row>
    <row r="780">
      <c r="A780" s="1173"/>
      <c r="B780" s="1173"/>
      <c r="C780" s="1173"/>
      <c r="D780" s="1173"/>
      <c r="E780" s="1173"/>
      <c r="F780" s="1173"/>
      <c r="G780" s="1173"/>
      <c r="H780" s="1173"/>
      <c r="I780" s="1173"/>
      <c r="J780" s="1173"/>
      <c r="K780" s="1173"/>
      <c r="L780" s="1173"/>
      <c r="M780" s="1173"/>
      <c r="N780" s="1173"/>
      <c r="O780" s="1173"/>
      <c r="P780" s="1173"/>
    </row>
    <row r="781">
      <c r="A781" s="1173"/>
      <c r="B781" s="1173"/>
      <c r="C781" s="1173"/>
      <c r="D781" s="1173"/>
      <c r="E781" s="1173"/>
      <c r="F781" s="1173"/>
      <c r="G781" s="1173"/>
      <c r="H781" s="1173"/>
      <c r="I781" s="1173"/>
      <c r="J781" s="1173"/>
      <c r="K781" s="1173"/>
      <c r="L781" s="1173"/>
      <c r="M781" s="1173"/>
      <c r="N781" s="1173"/>
      <c r="O781" s="1173"/>
      <c r="P781" s="1173"/>
    </row>
    <row r="782">
      <c r="A782" s="1173"/>
      <c r="B782" s="1173"/>
      <c r="C782" s="1173"/>
      <c r="D782" s="1173"/>
      <c r="E782" s="1173"/>
      <c r="F782" s="1173"/>
      <c r="G782" s="1173"/>
      <c r="H782" s="1173"/>
      <c r="I782" s="1173"/>
      <c r="J782" s="1173"/>
      <c r="K782" s="1173"/>
      <c r="L782" s="1173"/>
      <c r="M782" s="1173"/>
      <c r="N782" s="1173"/>
      <c r="O782" s="1173"/>
      <c r="P782" s="1173"/>
    </row>
    <row r="783">
      <c r="A783" s="1173"/>
      <c r="B783" s="1173"/>
      <c r="C783" s="1173"/>
      <c r="D783" s="1173"/>
      <c r="E783" s="1173"/>
      <c r="F783" s="1173"/>
      <c r="G783" s="1173"/>
      <c r="H783" s="1173"/>
      <c r="I783" s="1173"/>
      <c r="J783" s="1173"/>
      <c r="K783" s="1173"/>
      <c r="L783" s="1173"/>
      <c r="M783" s="1173"/>
      <c r="N783" s="1173"/>
      <c r="O783" s="1173"/>
      <c r="P783" s="1173"/>
    </row>
    <row r="784">
      <c r="A784" s="1173"/>
      <c r="B784" s="1173"/>
      <c r="C784" s="1173"/>
      <c r="D784" s="1173"/>
      <c r="E784" s="1173"/>
      <c r="F784" s="1173"/>
      <c r="G784" s="1173"/>
      <c r="H784" s="1173"/>
      <c r="I784" s="1173"/>
      <c r="J784" s="1173"/>
      <c r="K784" s="1173"/>
      <c r="L784" s="1173"/>
      <c r="M784" s="1173"/>
      <c r="N784" s="1173"/>
      <c r="O784" s="1173"/>
      <c r="P784" s="1173"/>
    </row>
    <row r="785">
      <c r="A785" s="1173"/>
      <c r="B785" s="1173"/>
      <c r="C785" s="1173"/>
      <c r="D785" s="1173"/>
      <c r="E785" s="1173"/>
      <c r="F785" s="1173"/>
      <c r="G785" s="1173"/>
      <c r="H785" s="1173"/>
      <c r="I785" s="1173"/>
      <c r="J785" s="1173"/>
      <c r="K785" s="1173"/>
      <c r="L785" s="1173"/>
      <c r="M785" s="1173"/>
      <c r="N785" s="1173"/>
      <c r="O785" s="1173"/>
      <c r="P785" s="1173"/>
    </row>
    <row r="786">
      <c r="A786" s="1173"/>
      <c r="B786" s="1173"/>
      <c r="C786" s="1173"/>
      <c r="D786" s="1173"/>
      <c r="E786" s="1173"/>
      <c r="F786" s="1173"/>
      <c r="G786" s="1173"/>
      <c r="H786" s="1173"/>
      <c r="I786" s="1173"/>
      <c r="J786" s="1173"/>
      <c r="K786" s="1173"/>
      <c r="L786" s="1173"/>
      <c r="M786" s="1173"/>
      <c r="N786" s="1173"/>
      <c r="O786" s="1173"/>
      <c r="P786" s="1173"/>
    </row>
    <row r="787">
      <c r="A787" s="1173"/>
      <c r="B787" s="1173"/>
      <c r="C787" s="1173"/>
      <c r="D787" s="1173"/>
      <c r="E787" s="1173"/>
      <c r="F787" s="1173"/>
      <c r="G787" s="1173"/>
      <c r="H787" s="1173"/>
      <c r="I787" s="1173"/>
      <c r="J787" s="1173"/>
      <c r="K787" s="1173"/>
      <c r="L787" s="1173"/>
      <c r="M787" s="1173"/>
      <c r="N787" s="1173"/>
      <c r="O787" s="1173"/>
      <c r="P787" s="1173"/>
    </row>
    <row r="788">
      <c r="A788" s="1173"/>
      <c r="B788" s="1173"/>
      <c r="C788" s="1173"/>
      <c r="D788" s="1173"/>
      <c r="E788" s="1173"/>
      <c r="F788" s="1173"/>
      <c r="G788" s="1173"/>
      <c r="H788" s="1173"/>
      <c r="I788" s="1173"/>
      <c r="J788" s="1173"/>
      <c r="K788" s="1173"/>
      <c r="L788" s="1173"/>
      <c r="M788" s="1173"/>
      <c r="N788" s="1173"/>
      <c r="O788" s="1173"/>
      <c r="P788" s="1173"/>
    </row>
    <row r="789">
      <c r="A789" s="1173"/>
      <c r="B789" s="1173"/>
      <c r="C789" s="1173"/>
      <c r="D789" s="1173"/>
      <c r="E789" s="1173"/>
      <c r="F789" s="1173"/>
      <c r="G789" s="1173"/>
      <c r="H789" s="1173"/>
      <c r="I789" s="1173"/>
      <c r="J789" s="1173"/>
      <c r="K789" s="1173"/>
      <c r="L789" s="1173"/>
      <c r="M789" s="1173"/>
      <c r="N789" s="1173"/>
      <c r="O789" s="1173"/>
      <c r="P789" s="1173"/>
    </row>
    <row r="790">
      <c r="A790" s="1173"/>
      <c r="B790" s="1173"/>
      <c r="C790" s="1173"/>
      <c r="D790" s="1173"/>
      <c r="E790" s="1173"/>
      <c r="F790" s="1173"/>
      <c r="G790" s="1173"/>
      <c r="H790" s="1173"/>
      <c r="I790" s="1173"/>
      <c r="J790" s="1173"/>
      <c r="K790" s="1173"/>
      <c r="L790" s="1173"/>
      <c r="M790" s="1173"/>
      <c r="N790" s="1173"/>
      <c r="O790" s="1173"/>
      <c r="P790" s="1173"/>
    </row>
    <row r="791">
      <c r="A791" s="1173"/>
      <c r="B791" s="1173"/>
      <c r="C791" s="1173"/>
      <c r="D791" s="1173"/>
      <c r="E791" s="1173"/>
      <c r="F791" s="1173"/>
      <c r="G791" s="1173"/>
      <c r="H791" s="1173"/>
      <c r="I791" s="1173"/>
      <c r="J791" s="1173"/>
      <c r="K791" s="1173"/>
      <c r="L791" s="1173"/>
      <c r="M791" s="1173"/>
      <c r="N791" s="1173"/>
      <c r="O791" s="1173"/>
      <c r="P791" s="1173"/>
    </row>
    <row r="792">
      <c r="A792" s="1173"/>
      <c r="B792" s="1173"/>
      <c r="C792" s="1173"/>
      <c r="D792" s="1173"/>
      <c r="E792" s="1173"/>
      <c r="F792" s="1173"/>
      <c r="G792" s="1173"/>
      <c r="H792" s="1173"/>
      <c r="I792" s="1173"/>
      <c r="J792" s="1173"/>
      <c r="K792" s="1173"/>
      <c r="L792" s="1173"/>
      <c r="M792" s="1173"/>
      <c r="N792" s="1173"/>
      <c r="O792" s="1173"/>
      <c r="P792" s="1173"/>
    </row>
    <row r="793">
      <c r="A793" s="1173"/>
      <c r="B793" s="1173"/>
      <c r="C793" s="1173"/>
      <c r="D793" s="1173"/>
      <c r="E793" s="1173"/>
      <c r="F793" s="1173"/>
      <c r="G793" s="1173"/>
      <c r="H793" s="1173"/>
      <c r="I793" s="1173"/>
      <c r="J793" s="1173"/>
      <c r="K793" s="1173"/>
      <c r="L793" s="1173"/>
      <c r="M793" s="1173"/>
      <c r="N793" s="1173"/>
      <c r="O793" s="1173"/>
      <c r="P793" s="1173"/>
    </row>
    <row r="794">
      <c r="A794" s="1173"/>
      <c r="B794" s="1173"/>
      <c r="C794" s="1173"/>
      <c r="D794" s="1173"/>
      <c r="E794" s="1173"/>
      <c r="F794" s="1173"/>
      <c r="G794" s="1173"/>
      <c r="H794" s="1173"/>
      <c r="I794" s="1173"/>
      <c r="J794" s="1173"/>
      <c r="K794" s="1173"/>
      <c r="L794" s="1173"/>
      <c r="M794" s="1173"/>
      <c r="N794" s="1173"/>
      <c r="O794" s="1173"/>
      <c r="P794" s="1173"/>
    </row>
    <row r="795">
      <c r="A795" s="1173"/>
      <c r="B795" s="1173"/>
      <c r="C795" s="1173"/>
      <c r="D795" s="1173"/>
      <c r="E795" s="1173"/>
      <c r="F795" s="1173"/>
      <c r="G795" s="1173"/>
      <c r="H795" s="1173"/>
      <c r="I795" s="1173"/>
      <c r="J795" s="1173"/>
      <c r="K795" s="1173"/>
      <c r="L795" s="1173"/>
      <c r="M795" s="1173"/>
      <c r="N795" s="1173"/>
      <c r="O795" s="1173"/>
      <c r="P795" s="1173"/>
    </row>
    <row r="796">
      <c r="A796" s="1173"/>
      <c r="B796" s="1173"/>
      <c r="C796" s="1173"/>
      <c r="D796" s="1173"/>
      <c r="E796" s="1173"/>
      <c r="F796" s="1173"/>
      <c r="G796" s="1173"/>
      <c r="H796" s="1173"/>
      <c r="I796" s="1173"/>
      <c r="J796" s="1173"/>
      <c r="K796" s="1173"/>
      <c r="L796" s="1173"/>
      <c r="M796" s="1173"/>
      <c r="N796" s="1173"/>
      <c r="O796" s="1173"/>
      <c r="P796" s="1173"/>
    </row>
    <row r="797">
      <c r="A797" s="1173"/>
      <c r="B797" s="1173"/>
      <c r="C797" s="1173"/>
      <c r="D797" s="1173"/>
      <c r="E797" s="1173"/>
      <c r="F797" s="1173"/>
      <c r="G797" s="1173"/>
      <c r="H797" s="1173"/>
      <c r="I797" s="1173"/>
      <c r="J797" s="1173"/>
      <c r="K797" s="1173"/>
      <c r="L797" s="1173"/>
      <c r="M797" s="1173"/>
      <c r="N797" s="1173"/>
      <c r="O797" s="1173"/>
      <c r="P797" s="1173"/>
    </row>
    <row r="798">
      <c r="A798" s="1173"/>
      <c r="B798" s="1173"/>
      <c r="C798" s="1173"/>
      <c r="D798" s="1173"/>
      <c r="E798" s="1173"/>
      <c r="F798" s="1173"/>
      <c r="G798" s="1173"/>
      <c r="H798" s="1173"/>
      <c r="I798" s="1173"/>
      <c r="J798" s="1173"/>
      <c r="K798" s="1173"/>
      <c r="L798" s="1173"/>
      <c r="M798" s="1173"/>
      <c r="N798" s="1173"/>
      <c r="O798" s="1173"/>
      <c r="P798" s="1173"/>
    </row>
    <row r="799">
      <c r="A799" s="1173"/>
      <c r="B799" s="1173"/>
      <c r="C799" s="1173"/>
      <c r="D799" s="1173"/>
      <c r="E799" s="1173"/>
      <c r="F799" s="1173"/>
      <c r="G799" s="1173"/>
      <c r="H799" s="1173"/>
      <c r="I799" s="1173"/>
      <c r="J799" s="1173"/>
      <c r="K799" s="1173"/>
      <c r="L799" s="1173"/>
      <c r="M799" s="1173"/>
      <c r="N799" s="1173"/>
      <c r="O799" s="1173"/>
      <c r="P799" s="1173"/>
    </row>
    <row r="800">
      <c r="A800" s="1173"/>
      <c r="B800" s="1173"/>
      <c r="C800" s="1173"/>
      <c r="D800" s="1173"/>
      <c r="E800" s="1173"/>
      <c r="F800" s="1173"/>
      <c r="G800" s="1173"/>
      <c r="H800" s="1173"/>
      <c r="I800" s="1173"/>
      <c r="J800" s="1173"/>
      <c r="K800" s="1173"/>
      <c r="L800" s="1173"/>
      <c r="M800" s="1173"/>
      <c r="N800" s="1173"/>
      <c r="O800" s="1173"/>
      <c r="P800" s="1173"/>
    </row>
    <row r="801">
      <c r="A801" s="1173"/>
      <c r="B801" s="1173"/>
      <c r="C801" s="1173"/>
      <c r="D801" s="1173"/>
      <c r="E801" s="1173"/>
      <c r="F801" s="1173"/>
      <c r="G801" s="1173"/>
      <c r="H801" s="1173"/>
      <c r="I801" s="1173"/>
      <c r="J801" s="1173"/>
      <c r="K801" s="1173"/>
      <c r="L801" s="1173"/>
      <c r="M801" s="1173"/>
      <c r="N801" s="1173"/>
      <c r="O801" s="1173"/>
      <c r="P801" s="1173"/>
    </row>
    <row r="802">
      <c r="A802" s="1173"/>
      <c r="B802" s="1173"/>
      <c r="C802" s="1173"/>
      <c r="D802" s="1173"/>
      <c r="E802" s="1173"/>
      <c r="F802" s="1173"/>
      <c r="G802" s="1173"/>
      <c r="H802" s="1173"/>
      <c r="I802" s="1173"/>
      <c r="J802" s="1173"/>
      <c r="K802" s="1173"/>
      <c r="L802" s="1173"/>
      <c r="M802" s="1173"/>
      <c r="N802" s="1173"/>
      <c r="O802" s="1173"/>
      <c r="P802" s="1173"/>
    </row>
    <row r="803">
      <c r="A803" s="1173"/>
      <c r="B803" s="1173"/>
      <c r="C803" s="1173"/>
      <c r="D803" s="1173"/>
      <c r="E803" s="1173"/>
      <c r="F803" s="1173"/>
      <c r="G803" s="1173"/>
      <c r="H803" s="1173"/>
      <c r="I803" s="1173"/>
      <c r="J803" s="1173"/>
      <c r="K803" s="1173"/>
      <c r="L803" s="1173"/>
      <c r="M803" s="1173"/>
      <c r="N803" s="1173"/>
      <c r="O803" s="1173"/>
      <c r="P803" s="1173"/>
    </row>
    <row r="804">
      <c r="A804" s="1173"/>
      <c r="B804" s="1173"/>
      <c r="C804" s="1173"/>
      <c r="D804" s="1173"/>
      <c r="E804" s="1173"/>
      <c r="F804" s="1173"/>
      <c r="G804" s="1173"/>
      <c r="H804" s="1173"/>
      <c r="I804" s="1173"/>
      <c r="J804" s="1173"/>
      <c r="K804" s="1173"/>
      <c r="L804" s="1173"/>
      <c r="M804" s="1173"/>
      <c r="N804" s="1173"/>
      <c r="O804" s="1173"/>
      <c r="P804" s="1173"/>
    </row>
    <row r="805">
      <c r="A805" s="1173"/>
      <c r="B805" s="1173"/>
      <c r="C805" s="1173"/>
      <c r="D805" s="1173"/>
      <c r="E805" s="1173"/>
      <c r="F805" s="1173"/>
      <c r="G805" s="1173"/>
      <c r="H805" s="1173"/>
      <c r="I805" s="1173"/>
      <c r="J805" s="1173"/>
      <c r="K805" s="1173"/>
      <c r="L805" s="1173"/>
      <c r="M805" s="1173"/>
      <c r="N805" s="1173"/>
      <c r="O805" s="1173"/>
      <c r="P805" s="1173"/>
    </row>
    <row r="806">
      <c r="A806" s="1173"/>
      <c r="B806" s="1173"/>
      <c r="C806" s="1173"/>
      <c r="D806" s="1173"/>
      <c r="E806" s="1173"/>
      <c r="F806" s="1173"/>
      <c r="G806" s="1173"/>
      <c r="H806" s="1173"/>
      <c r="I806" s="1173"/>
      <c r="J806" s="1173"/>
      <c r="K806" s="1173"/>
      <c r="L806" s="1173"/>
      <c r="M806" s="1173"/>
      <c r="N806" s="1173"/>
      <c r="O806" s="1173"/>
      <c r="P806" s="1173"/>
    </row>
    <row r="807">
      <c r="A807" s="1173"/>
      <c r="B807" s="1173"/>
      <c r="C807" s="1173"/>
      <c r="D807" s="1173"/>
      <c r="E807" s="1173"/>
      <c r="F807" s="1173"/>
      <c r="G807" s="1173"/>
      <c r="H807" s="1173"/>
      <c r="I807" s="1173"/>
      <c r="J807" s="1173"/>
      <c r="K807" s="1173"/>
      <c r="L807" s="1173"/>
      <c r="M807" s="1173"/>
      <c r="N807" s="1173"/>
      <c r="O807" s="1173"/>
      <c r="P807" s="1173"/>
    </row>
    <row r="808">
      <c r="A808" s="1173"/>
      <c r="B808" s="1173"/>
      <c r="C808" s="1173"/>
      <c r="D808" s="1173"/>
      <c r="E808" s="1173"/>
      <c r="F808" s="1173"/>
      <c r="G808" s="1173"/>
      <c r="H808" s="1173"/>
      <c r="I808" s="1173"/>
      <c r="J808" s="1173"/>
      <c r="K808" s="1173"/>
      <c r="L808" s="1173"/>
      <c r="M808" s="1173"/>
      <c r="N808" s="1173"/>
      <c r="O808" s="1173"/>
      <c r="P808" s="1173"/>
    </row>
    <row r="809">
      <c r="A809" s="1173"/>
      <c r="B809" s="1173"/>
      <c r="C809" s="1173"/>
      <c r="D809" s="1173"/>
      <c r="E809" s="1173"/>
      <c r="F809" s="1173"/>
      <c r="G809" s="1173"/>
      <c r="H809" s="1173"/>
      <c r="I809" s="1173"/>
      <c r="J809" s="1173"/>
      <c r="K809" s="1173"/>
      <c r="L809" s="1173"/>
      <c r="M809" s="1173"/>
      <c r="N809" s="1173"/>
      <c r="O809" s="1173"/>
      <c r="P809" s="1173"/>
    </row>
    <row r="810">
      <c r="A810" s="1173"/>
      <c r="B810" s="1173"/>
      <c r="C810" s="1173"/>
      <c r="D810" s="1173"/>
      <c r="E810" s="1173"/>
      <c r="F810" s="1173"/>
      <c r="G810" s="1173"/>
      <c r="H810" s="1173"/>
      <c r="I810" s="1173"/>
      <c r="J810" s="1173"/>
      <c r="K810" s="1173"/>
      <c r="L810" s="1173"/>
      <c r="M810" s="1173"/>
      <c r="N810" s="1173"/>
      <c r="O810" s="1173"/>
      <c r="P810" s="1173"/>
    </row>
    <row r="811">
      <c r="A811" s="1173"/>
      <c r="B811" s="1173"/>
      <c r="C811" s="1173"/>
      <c r="D811" s="1173"/>
      <c r="E811" s="1173"/>
      <c r="F811" s="1173"/>
      <c r="G811" s="1173"/>
      <c r="H811" s="1173"/>
      <c r="I811" s="1173"/>
      <c r="J811" s="1173"/>
      <c r="K811" s="1173"/>
      <c r="L811" s="1173"/>
      <c r="M811" s="1173"/>
      <c r="N811" s="1173"/>
      <c r="O811" s="1173"/>
      <c r="P811" s="1173"/>
    </row>
    <row r="812">
      <c r="A812" s="1173"/>
      <c r="B812" s="1173"/>
      <c r="C812" s="1173"/>
      <c r="D812" s="1173"/>
      <c r="E812" s="1173"/>
      <c r="F812" s="1173"/>
      <c r="G812" s="1173"/>
      <c r="H812" s="1173"/>
      <c r="I812" s="1173"/>
      <c r="J812" s="1173"/>
      <c r="K812" s="1173"/>
      <c r="L812" s="1173"/>
      <c r="M812" s="1173"/>
      <c r="N812" s="1173"/>
      <c r="O812" s="1173"/>
      <c r="P812" s="1173"/>
    </row>
    <row r="813">
      <c r="A813" s="1173"/>
      <c r="B813" s="1173"/>
      <c r="C813" s="1173"/>
      <c r="D813" s="1173"/>
      <c r="E813" s="1173"/>
      <c r="F813" s="1173"/>
      <c r="G813" s="1173"/>
      <c r="H813" s="1173"/>
      <c r="I813" s="1173"/>
      <c r="J813" s="1173"/>
      <c r="K813" s="1173"/>
      <c r="L813" s="1173"/>
      <c r="M813" s="1173"/>
      <c r="N813" s="1173"/>
      <c r="O813" s="1173"/>
      <c r="P813" s="1173"/>
    </row>
    <row r="814">
      <c r="A814" s="1173"/>
      <c r="B814" s="1173"/>
      <c r="C814" s="1173"/>
      <c r="D814" s="1173"/>
      <c r="E814" s="1173"/>
      <c r="F814" s="1173"/>
      <c r="G814" s="1173"/>
      <c r="H814" s="1173"/>
      <c r="I814" s="1173"/>
      <c r="J814" s="1173"/>
      <c r="K814" s="1173"/>
      <c r="L814" s="1173"/>
      <c r="M814" s="1173"/>
      <c r="N814" s="1173"/>
      <c r="O814" s="1173"/>
      <c r="P814" s="1173"/>
    </row>
    <row r="815">
      <c r="A815" s="1173"/>
      <c r="B815" s="1173"/>
      <c r="C815" s="1173"/>
      <c r="D815" s="1173"/>
      <c r="E815" s="1173"/>
      <c r="F815" s="1173"/>
      <c r="G815" s="1173"/>
      <c r="H815" s="1173"/>
      <c r="I815" s="1173"/>
      <c r="J815" s="1173"/>
      <c r="K815" s="1173"/>
      <c r="L815" s="1173"/>
      <c r="M815" s="1173"/>
      <c r="N815" s="1173"/>
      <c r="O815" s="1173"/>
      <c r="P815" s="1173"/>
    </row>
    <row r="816">
      <c r="A816" s="1173"/>
      <c r="B816" s="1173"/>
      <c r="C816" s="1173"/>
      <c r="D816" s="1173"/>
      <c r="E816" s="1173"/>
      <c r="F816" s="1173"/>
      <c r="G816" s="1173"/>
      <c r="H816" s="1173"/>
      <c r="I816" s="1173"/>
      <c r="J816" s="1173"/>
      <c r="K816" s="1173"/>
      <c r="L816" s="1173"/>
      <c r="M816" s="1173"/>
      <c r="N816" s="1173"/>
      <c r="O816" s="1173"/>
      <c r="P816" s="1173"/>
    </row>
    <row r="817">
      <c r="A817" s="1173"/>
      <c r="B817" s="1173"/>
      <c r="C817" s="1173"/>
      <c r="D817" s="1173"/>
      <c r="E817" s="1173"/>
      <c r="F817" s="1173"/>
      <c r="G817" s="1173"/>
      <c r="H817" s="1173"/>
      <c r="I817" s="1173"/>
      <c r="J817" s="1173"/>
      <c r="K817" s="1173"/>
      <c r="L817" s="1173"/>
      <c r="M817" s="1173"/>
      <c r="N817" s="1173"/>
      <c r="O817" s="1173"/>
      <c r="P817" s="1173"/>
    </row>
    <row r="818">
      <c r="A818" s="1173"/>
      <c r="B818" s="1173"/>
      <c r="C818" s="1173"/>
      <c r="D818" s="1173"/>
      <c r="E818" s="1173"/>
      <c r="F818" s="1173"/>
      <c r="G818" s="1173"/>
      <c r="H818" s="1173"/>
      <c r="I818" s="1173"/>
      <c r="J818" s="1173"/>
      <c r="K818" s="1173"/>
      <c r="L818" s="1173"/>
      <c r="M818" s="1173"/>
      <c r="N818" s="1173"/>
      <c r="O818" s="1173"/>
      <c r="P818" s="1173"/>
    </row>
    <row r="819">
      <c r="A819" s="1173"/>
      <c r="B819" s="1173"/>
      <c r="C819" s="1173"/>
      <c r="D819" s="1173"/>
      <c r="E819" s="1173"/>
      <c r="F819" s="1173"/>
      <c r="G819" s="1173"/>
      <c r="H819" s="1173"/>
      <c r="I819" s="1173"/>
      <c r="J819" s="1173"/>
      <c r="K819" s="1173"/>
      <c r="L819" s="1173"/>
      <c r="M819" s="1173"/>
      <c r="N819" s="1173"/>
      <c r="O819" s="1173"/>
      <c r="P819" s="1173"/>
    </row>
    <row r="820">
      <c r="A820" s="1173"/>
      <c r="B820" s="1173"/>
      <c r="C820" s="1173"/>
      <c r="D820" s="1173"/>
      <c r="E820" s="1173"/>
      <c r="F820" s="1173"/>
      <c r="G820" s="1173"/>
      <c r="H820" s="1173"/>
      <c r="I820" s="1173"/>
      <c r="J820" s="1173"/>
      <c r="K820" s="1173"/>
      <c r="L820" s="1173"/>
      <c r="M820" s="1173"/>
      <c r="N820" s="1173"/>
      <c r="O820" s="1173"/>
      <c r="P820" s="1173"/>
    </row>
    <row r="821">
      <c r="A821" s="1173"/>
      <c r="B821" s="1173"/>
      <c r="C821" s="1173"/>
      <c r="D821" s="1173"/>
      <c r="E821" s="1173"/>
      <c r="F821" s="1173"/>
      <c r="G821" s="1173"/>
      <c r="H821" s="1173"/>
      <c r="I821" s="1173"/>
      <c r="J821" s="1173"/>
      <c r="K821" s="1173"/>
      <c r="L821" s="1173"/>
      <c r="M821" s="1173"/>
      <c r="N821" s="1173"/>
      <c r="O821" s="1173"/>
      <c r="P821" s="1173"/>
    </row>
    <row r="822">
      <c r="A822" s="1173"/>
      <c r="B822" s="1173"/>
      <c r="C822" s="1173"/>
      <c r="D822" s="1173"/>
      <c r="E822" s="1173"/>
      <c r="F822" s="1173"/>
      <c r="G822" s="1173"/>
      <c r="H822" s="1173"/>
      <c r="I822" s="1173"/>
      <c r="J822" s="1173"/>
      <c r="K822" s="1173"/>
      <c r="L822" s="1173"/>
      <c r="M822" s="1173"/>
      <c r="N822" s="1173"/>
      <c r="O822" s="1173"/>
      <c r="P822" s="1173"/>
    </row>
    <row r="823">
      <c r="A823" s="1173"/>
      <c r="B823" s="1173"/>
      <c r="C823" s="1173"/>
      <c r="D823" s="1173"/>
      <c r="E823" s="1173"/>
      <c r="F823" s="1173"/>
      <c r="G823" s="1173"/>
      <c r="H823" s="1173"/>
      <c r="I823" s="1173"/>
      <c r="J823" s="1173"/>
      <c r="K823" s="1173"/>
      <c r="L823" s="1173"/>
      <c r="M823" s="1173"/>
      <c r="N823" s="1173"/>
      <c r="O823" s="1173"/>
      <c r="P823" s="1173"/>
    </row>
    <row r="824">
      <c r="A824" s="1173"/>
      <c r="B824" s="1173"/>
      <c r="C824" s="1173"/>
      <c r="D824" s="1173"/>
      <c r="E824" s="1173"/>
      <c r="F824" s="1173"/>
      <c r="G824" s="1173"/>
      <c r="H824" s="1173"/>
      <c r="I824" s="1173"/>
      <c r="J824" s="1173"/>
      <c r="K824" s="1173"/>
      <c r="L824" s="1173"/>
      <c r="M824" s="1173"/>
      <c r="N824" s="1173"/>
      <c r="O824" s="1173"/>
      <c r="P824" s="1173"/>
    </row>
    <row r="825">
      <c r="A825" s="1173"/>
      <c r="B825" s="1173"/>
      <c r="C825" s="1173"/>
      <c r="D825" s="1173"/>
      <c r="E825" s="1173"/>
      <c r="F825" s="1173"/>
      <c r="G825" s="1173"/>
      <c r="H825" s="1173"/>
      <c r="I825" s="1173"/>
      <c r="J825" s="1173"/>
      <c r="K825" s="1173"/>
      <c r="L825" s="1173"/>
      <c r="M825" s="1173"/>
      <c r="N825" s="1173"/>
      <c r="O825" s="1173"/>
      <c r="P825" s="1173"/>
    </row>
    <row r="826">
      <c r="A826" s="1173"/>
      <c r="B826" s="1173"/>
      <c r="C826" s="1173"/>
      <c r="D826" s="1173"/>
      <c r="E826" s="1173"/>
      <c r="F826" s="1173"/>
      <c r="G826" s="1173"/>
      <c r="H826" s="1173"/>
      <c r="I826" s="1173"/>
      <c r="J826" s="1173"/>
      <c r="K826" s="1173"/>
      <c r="L826" s="1173"/>
      <c r="M826" s="1173"/>
      <c r="N826" s="1173"/>
      <c r="O826" s="1173"/>
      <c r="P826" s="1173"/>
    </row>
    <row r="827">
      <c r="A827" s="1173"/>
      <c r="B827" s="1173"/>
      <c r="C827" s="1173"/>
      <c r="D827" s="1173"/>
      <c r="E827" s="1173"/>
      <c r="F827" s="1173"/>
      <c r="G827" s="1173"/>
      <c r="H827" s="1173"/>
      <c r="I827" s="1173"/>
      <c r="J827" s="1173"/>
      <c r="K827" s="1173"/>
      <c r="L827" s="1173"/>
      <c r="M827" s="1173"/>
      <c r="N827" s="1173"/>
      <c r="O827" s="1173"/>
      <c r="P827" s="1173"/>
    </row>
    <row r="828">
      <c r="A828" s="1173"/>
      <c r="B828" s="1173"/>
      <c r="C828" s="1173"/>
      <c r="D828" s="1173"/>
      <c r="E828" s="1173"/>
      <c r="F828" s="1173"/>
      <c r="G828" s="1173"/>
      <c r="H828" s="1173"/>
      <c r="I828" s="1173"/>
      <c r="J828" s="1173"/>
      <c r="K828" s="1173"/>
      <c r="L828" s="1173"/>
      <c r="M828" s="1173"/>
      <c r="N828" s="1173"/>
      <c r="O828" s="1173"/>
      <c r="P828" s="1173"/>
    </row>
    <row r="829">
      <c r="A829" s="1173"/>
      <c r="B829" s="1173"/>
      <c r="C829" s="1173"/>
      <c r="D829" s="1173"/>
      <c r="E829" s="1173"/>
      <c r="F829" s="1173"/>
      <c r="G829" s="1173"/>
      <c r="H829" s="1173"/>
      <c r="I829" s="1173"/>
      <c r="J829" s="1173"/>
      <c r="K829" s="1173"/>
      <c r="L829" s="1173"/>
      <c r="M829" s="1173"/>
      <c r="N829" s="1173"/>
      <c r="O829" s="1173"/>
      <c r="P829" s="1173"/>
    </row>
    <row r="830">
      <c r="A830" s="1173"/>
      <c r="B830" s="1173"/>
      <c r="C830" s="1173"/>
      <c r="D830" s="1173"/>
      <c r="E830" s="1173"/>
      <c r="F830" s="1173"/>
      <c r="G830" s="1173"/>
      <c r="H830" s="1173"/>
      <c r="I830" s="1173"/>
      <c r="J830" s="1173"/>
      <c r="K830" s="1173"/>
      <c r="L830" s="1173"/>
      <c r="M830" s="1173"/>
      <c r="N830" s="1173"/>
      <c r="O830" s="1173"/>
      <c r="P830" s="1173"/>
    </row>
    <row r="831">
      <c r="A831" s="1173"/>
      <c r="B831" s="1173"/>
      <c r="C831" s="1173"/>
      <c r="D831" s="1173"/>
      <c r="E831" s="1173"/>
      <c r="F831" s="1173"/>
      <c r="G831" s="1173"/>
      <c r="H831" s="1173"/>
      <c r="I831" s="1173"/>
      <c r="J831" s="1173"/>
      <c r="K831" s="1173"/>
      <c r="L831" s="1173"/>
      <c r="M831" s="1173"/>
      <c r="N831" s="1173"/>
      <c r="O831" s="1173"/>
      <c r="P831" s="1173"/>
    </row>
    <row r="832">
      <c r="A832" s="1173"/>
      <c r="B832" s="1173"/>
      <c r="C832" s="1173"/>
      <c r="D832" s="1173"/>
      <c r="E832" s="1173"/>
      <c r="F832" s="1173"/>
      <c r="G832" s="1173"/>
      <c r="H832" s="1173"/>
      <c r="I832" s="1173"/>
      <c r="J832" s="1173"/>
      <c r="K832" s="1173"/>
      <c r="L832" s="1173"/>
      <c r="M832" s="1173"/>
      <c r="N832" s="1173"/>
      <c r="O832" s="1173"/>
      <c r="P832" s="1173"/>
    </row>
    <row r="833">
      <c r="A833" s="1173"/>
      <c r="B833" s="1173"/>
      <c r="C833" s="1173"/>
      <c r="D833" s="1173"/>
      <c r="E833" s="1173"/>
      <c r="F833" s="1173"/>
      <c r="G833" s="1173"/>
      <c r="H833" s="1173"/>
      <c r="I833" s="1173"/>
      <c r="J833" s="1173"/>
      <c r="K833" s="1173"/>
      <c r="L833" s="1173"/>
      <c r="M833" s="1173"/>
      <c r="N833" s="1173"/>
      <c r="O833" s="1173"/>
      <c r="P833" s="1173"/>
    </row>
    <row r="834">
      <c r="A834" s="1173"/>
      <c r="B834" s="1173"/>
      <c r="C834" s="1173"/>
      <c r="D834" s="1173"/>
      <c r="E834" s="1173"/>
      <c r="F834" s="1173"/>
      <c r="G834" s="1173"/>
      <c r="H834" s="1173"/>
      <c r="I834" s="1173"/>
      <c r="J834" s="1173"/>
      <c r="K834" s="1173"/>
      <c r="L834" s="1173"/>
      <c r="M834" s="1173"/>
      <c r="N834" s="1173"/>
      <c r="O834" s="1173"/>
      <c r="P834" s="1173"/>
    </row>
    <row r="835">
      <c r="A835" s="1173"/>
      <c r="B835" s="1173"/>
      <c r="C835" s="1173"/>
      <c r="D835" s="1173"/>
      <c r="E835" s="1173"/>
      <c r="F835" s="1173"/>
      <c r="G835" s="1173"/>
      <c r="H835" s="1173"/>
      <c r="I835" s="1173"/>
      <c r="J835" s="1173"/>
      <c r="K835" s="1173"/>
      <c r="L835" s="1173"/>
      <c r="M835" s="1173"/>
      <c r="N835" s="1173"/>
      <c r="O835" s="1173"/>
      <c r="P835" s="1173"/>
    </row>
    <row r="836">
      <c r="A836" s="1173"/>
      <c r="B836" s="1173"/>
      <c r="C836" s="1173"/>
      <c r="D836" s="1173"/>
      <c r="E836" s="1173"/>
      <c r="F836" s="1173"/>
      <c r="G836" s="1173"/>
      <c r="H836" s="1173"/>
      <c r="I836" s="1173"/>
      <c r="J836" s="1173"/>
      <c r="K836" s="1173"/>
      <c r="L836" s="1173"/>
      <c r="M836" s="1173"/>
      <c r="N836" s="1173"/>
      <c r="O836" s="1173"/>
      <c r="P836" s="1173"/>
    </row>
    <row r="837">
      <c r="A837" s="1173"/>
      <c r="B837" s="1173"/>
      <c r="C837" s="1173"/>
      <c r="D837" s="1173"/>
      <c r="E837" s="1173"/>
      <c r="F837" s="1173"/>
      <c r="G837" s="1173"/>
      <c r="H837" s="1173"/>
      <c r="I837" s="1173"/>
      <c r="J837" s="1173"/>
      <c r="K837" s="1173"/>
      <c r="L837" s="1173"/>
      <c r="M837" s="1173"/>
      <c r="N837" s="1173"/>
      <c r="O837" s="1173"/>
      <c r="P837" s="1173"/>
    </row>
    <row r="838">
      <c r="A838" s="1173"/>
      <c r="B838" s="1173"/>
      <c r="C838" s="1173"/>
      <c r="D838" s="1173"/>
      <c r="E838" s="1173"/>
      <c r="F838" s="1173"/>
      <c r="G838" s="1173"/>
      <c r="H838" s="1173"/>
      <c r="I838" s="1173"/>
      <c r="J838" s="1173"/>
      <c r="K838" s="1173"/>
      <c r="L838" s="1173"/>
      <c r="M838" s="1173"/>
      <c r="N838" s="1173"/>
      <c r="O838" s="1173"/>
      <c r="P838" s="1173"/>
    </row>
    <row r="839">
      <c r="A839" s="1173"/>
      <c r="B839" s="1173"/>
      <c r="C839" s="1173"/>
      <c r="D839" s="1173"/>
      <c r="E839" s="1173"/>
      <c r="F839" s="1173"/>
      <c r="G839" s="1173"/>
      <c r="H839" s="1173"/>
      <c r="I839" s="1173"/>
      <c r="J839" s="1173"/>
      <c r="K839" s="1173"/>
      <c r="L839" s="1173"/>
      <c r="M839" s="1173"/>
      <c r="N839" s="1173"/>
      <c r="O839" s="1173"/>
      <c r="P839" s="1173"/>
    </row>
    <row r="840">
      <c r="A840" s="1173"/>
      <c r="B840" s="1173"/>
      <c r="C840" s="1173"/>
      <c r="D840" s="1173"/>
      <c r="E840" s="1173"/>
      <c r="F840" s="1173"/>
      <c r="G840" s="1173"/>
      <c r="H840" s="1173"/>
      <c r="I840" s="1173"/>
      <c r="J840" s="1173"/>
      <c r="K840" s="1173"/>
      <c r="L840" s="1173"/>
      <c r="M840" s="1173"/>
      <c r="N840" s="1173"/>
      <c r="O840" s="1173"/>
      <c r="P840" s="1173"/>
    </row>
    <row r="841">
      <c r="A841" s="1173"/>
      <c r="B841" s="1173"/>
      <c r="C841" s="1173"/>
      <c r="D841" s="1173"/>
      <c r="E841" s="1173"/>
      <c r="F841" s="1173"/>
      <c r="G841" s="1173"/>
      <c r="H841" s="1173"/>
      <c r="I841" s="1173"/>
      <c r="J841" s="1173"/>
      <c r="K841" s="1173"/>
      <c r="L841" s="1173"/>
      <c r="M841" s="1173"/>
      <c r="N841" s="1173"/>
      <c r="O841" s="1173"/>
      <c r="P841" s="1173"/>
    </row>
    <row r="842">
      <c r="A842" s="1173"/>
      <c r="B842" s="1173"/>
      <c r="C842" s="1173"/>
      <c r="D842" s="1173"/>
      <c r="E842" s="1173"/>
      <c r="F842" s="1173"/>
      <c r="G842" s="1173"/>
      <c r="H842" s="1173"/>
      <c r="I842" s="1173"/>
      <c r="J842" s="1173"/>
      <c r="K842" s="1173"/>
      <c r="L842" s="1173"/>
      <c r="M842" s="1173"/>
      <c r="N842" s="1173"/>
      <c r="O842" s="1173"/>
      <c r="P842" s="1173"/>
    </row>
    <row r="843">
      <c r="A843" s="1173"/>
      <c r="B843" s="1173"/>
      <c r="C843" s="1173"/>
      <c r="D843" s="1173"/>
      <c r="E843" s="1173"/>
      <c r="F843" s="1173"/>
      <c r="G843" s="1173"/>
      <c r="H843" s="1173"/>
      <c r="I843" s="1173"/>
      <c r="J843" s="1173"/>
      <c r="K843" s="1173"/>
      <c r="L843" s="1173"/>
      <c r="M843" s="1173"/>
      <c r="N843" s="1173"/>
      <c r="O843" s="1173"/>
      <c r="P843" s="1173"/>
    </row>
    <row r="844">
      <c r="A844" s="1173"/>
      <c r="B844" s="1173"/>
      <c r="C844" s="1173"/>
      <c r="D844" s="1173"/>
      <c r="E844" s="1173"/>
      <c r="F844" s="1173"/>
      <c r="G844" s="1173"/>
      <c r="H844" s="1173"/>
      <c r="I844" s="1173"/>
      <c r="J844" s="1173"/>
      <c r="K844" s="1173"/>
      <c r="L844" s="1173"/>
      <c r="M844" s="1173"/>
      <c r="N844" s="1173"/>
      <c r="O844" s="1173"/>
      <c r="P844" s="1173"/>
    </row>
    <row r="845">
      <c r="A845" s="1173"/>
      <c r="B845" s="1173"/>
      <c r="C845" s="1173"/>
      <c r="D845" s="1173"/>
      <c r="E845" s="1173"/>
      <c r="F845" s="1173"/>
      <c r="G845" s="1173"/>
      <c r="H845" s="1173"/>
      <c r="I845" s="1173"/>
      <c r="J845" s="1173"/>
      <c r="K845" s="1173"/>
      <c r="L845" s="1173"/>
      <c r="M845" s="1173"/>
      <c r="N845" s="1173"/>
      <c r="O845" s="1173"/>
      <c r="P845" s="1173"/>
    </row>
    <row r="846">
      <c r="A846" s="1173"/>
      <c r="B846" s="1173"/>
      <c r="C846" s="1173"/>
      <c r="D846" s="1173"/>
      <c r="E846" s="1173"/>
      <c r="F846" s="1173"/>
      <c r="G846" s="1173"/>
      <c r="H846" s="1173"/>
      <c r="I846" s="1173"/>
      <c r="J846" s="1173"/>
      <c r="K846" s="1173"/>
      <c r="L846" s="1173"/>
      <c r="M846" s="1173"/>
      <c r="N846" s="1173"/>
      <c r="O846" s="1173"/>
      <c r="P846" s="1173"/>
    </row>
    <row r="847">
      <c r="A847" s="1173"/>
      <c r="B847" s="1173"/>
      <c r="C847" s="1173"/>
      <c r="D847" s="1173"/>
      <c r="E847" s="1173"/>
      <c r="F847" s="1173"/>
      <c r="G847" s="1173"/>
      <c r="H847" s="1173"/>
      <c r="I847" s="1173"/>
      <c r="J847" s="1173"/>
      <c r="K847" s="1173"/>
      <c r="L847" s="1173"/>
      <c r="M847" s="1173"/>
      <c r="N847" s="1173"/>
      <c r="O847" s="1173"/>
      <c r="P847" s="1173"/>
    </row>
    <row r="848">
      <c r="A848" s="1173"/>
      <c r="B848" s="1173"/>
      <c r="C848" s="1173"/>
      <c r="D848" s="1173"/>
      <c r="E848" s="1173"/>
      <c r="F848" s="1173"/>
      <c r="G848" s="1173"/>
      <c r="H848" s="1173"/>
      <c r="I848" s="1173"/>
      <c r="J848" s="1173"/>
      <c r="K848" s="1173"/>
      <c r="L848" s="1173"/>
      <c r="M848" s="1173"/>
      <c r="N848" s="1173"/>
      <c r="O848" s="1173"/>
      <c r="P848" s="1173"/>
    </row>
    <row r="849">
      <c r="A849" s="1173"/>
      <c r="B849" s="1173"/>
      <c r="C849" s="1173"/>
      <c r="D849" s="1173"/>
      <c r="E849" s="1173"/>
      <c r="F849" s="1173"/>
      <c r="G849" s="1173"/>
      <c r="H849" s="1173"/>
      <c r="I849" s="1173"/>
      <c r="J849" s="1173"/>
      <c r="K849" s="1173"/>
      <c r="L849" s="1173"/>
      <c r="M849" s="1173"/>
      <c r="N849" s="1173"/>
      <c r="O849" s="1173"/>
      <c r="P849" s="1173"/>
    </row>
    <row r="850">
      <c r="A850" s="1173"/>
      <c r="B850" s="1173"/>
      <c r="C850" s="1173"/>
      <c r="D850" s="1173"/>
      <c r="E850" s="1173"/>
      <c r="F850" s="1173"/>
      <c r="G850" s="1173"/>
      <c r="H850" s="1173"/>
      <c r="I850" s="1173"/>
      <c r="J850" s="1173"/>
      <c r="K850" s="1173"/>
      <c r="L850" s="1173"/>
      <c r="M850" s="1173"/>
      <c r="N850" s="1173"/>
      <c r="O850" s="1173"/>
      <c r="P850" s="1173"/>
    </row>
    <row r="851">
      <c r="A851" s="1173"/>
      <c r="B851" s="1173"/>
      <c r="C851" s="1173"/>
      <c r="D851" s="1173"/>
      <c r="E851" s="1173"/>
      <c r="F851" s="1173"/>
      <c r="G851" s="1173"/>
      <c r="H851" s="1173"/>
      <c r="I851" s="1173"/>
      <c r="J851" s="1173"/>
      <c r="K851" s="1173"/>
      <c r="L851" s="1173"/>
      <c r="M851" s="1173"/>
      <c r="N851" s="1173"/>
      <c r="O851" s="1173"/>
      <c r="P851" s="1173"/>
    </row>
    <row r="852">
      <c r="A852" s="1173"/>
      <c r="B852" s="1173"/>
      <c r="C852" s="1173"/>
      <c r="D852" s="1173"/>
      <c r="E852" s="1173"/>
      <c r="F852" s="1173"/>
      <c r="G852" s="1173"/>
      <c r="H852" s="1173"/>
      <c r="I852" s="1173"/>
      <c r="J852" s="1173"/>
      <c r="K852" s="1173"/>
      <c r="L852" s="1173"/>
      <c r="M852" s="1173"/>
      <c r="N852" s="1173"/>
      <c r="O852" s="1173"/>
      <c r="P852" s="1173"/>
    </row>
    <row r="853">
      <c r="A853" s="1173"/>
      <c r="B853" s="1173"/>
      <c r="C853" s="1173"/>
      <c r="D853" s="1173"/>
      <c r="E853" s="1173"/>
      <c r="F853" s="1173"/>
      <c r="G853" s="1173"/>
      <c r="H853" s="1173"/>
      <c r="I853" s="1173"/>
      <c r="J853" s="1173"/>
      <c r="K853" s="1173"/>
      <c r="L853" s="1173"/>
      <c r="M853" s="1173"/>
      <c r="N853" s="1173"/>
      <c r="O853" s="1173"/>
      <c r="P853" s="1173"/>
    </row>
    <row r="854">
      <c r="A854" s="1173"/>
      <c r="B854" s="1173"/>
      <c r="C854" s="1173"/>
      <c r="D854" s="1173"/>
      <c r="E854" s="1173"/>
      <c r="F854" s="1173"/>
      <c r="G854" s="1173"/>
      <c r="H854" s="1173"/>
      <c r="I854" s="1173"/>
      <c r="J854" s="1173"/>
      <c r="K854" s="1173"/>
      <c r="L854" s="1173"/>
      <c r="M854" s="1173"/>
      <c r="N854" s="1173"/>
      <c r="O854" s="1173"/>
      <c r="P854" s="1173"/>
    </row>
    <row r="855">
      <c r="A855" s="1173"/>
      <c r="B855" s="1173"/>
      <c r="C855" s="1173"/>
      <c r="D855" s="1173"/>
      <c r="E855" s="1173"/>
      <c r="F855" s="1173"/>
      <c r="G855" s="1173"/>
      <c r="H855" s="1173"/>
      <c r="I855" s="1173"/>
      <c r="J855" s="1173"/>
      <c r="K855" s="1173"/>
      <c r="L855" s="1173"/>
      <c r="M855" s="1173"/>
      <c r="N855" s="1173"/>
      <c r="O855" s="1173"/>
      <c r="P855" s="1173"/>
    </row>
    <row r="856">
      <c r="A856" s="1173"/>
      <c r="B856" s="1173"/>
      <c r="C856" s="1173"/>
      <c r="D856" s="1173"/>
      <c r="E856" s="1173"/>
      <c r="F856" s="1173"/>
      <c r="G856" s="1173"/>
      <c r="H856" s="1173"/>
      <c r="I856" s="1173"/>
      <c r="J856" s="1173"/>
      <c r="K856" s="1173"/>
      <c r="L856" s="1173"/>
      <c r="M856" s="1173"/>
      <c r="N856" s="1173"/>
      <c r="O856" s="1173"/>
      <c r="P856" s="1173"/>
    </row>
    <row r="857">
      <c r="A857" s="1173"/>
      <c r="B857" s="1173"/>
      <c r="C857" s="1173"/>
      <c r="D857" s="1173"/>
      <c r="E857" s="1173"/>
      <c r="F857" s="1173"/>
      <c r="G857" s="1173"/>
      <c r="H857" s="1173"/>
      <c r="I857" s="1173"/>
      <c r="J857" s="1173"/>
      <c r="K857" s="1173"/>
      <c r="L857" s="1173"/>
      <c r="M857" s="1173"/>
      <c r="N857" s="1173"/>
      <c r="O857" s="1173"/>
      <c r="P857" s="1173"/>
    </row>
    <row r="858">
      <c r="A858" s="1173"/>
      <c r="B858" s="1173"/>
      <c r="C858" s="1173"/>
      <c r="D858" s="1173"/>
      <c r="E858" s="1173"/>
      <c r="F858" s="1173"/>
      <c r="G858" s="1173"/>
      <c r="H858" s="1173"/>
      <c r="I858" s="1173"/>
      <c r="J858" s="1173"/>
      <c r="K858" s="1173"/>
      <c r="L858" s="1173"/>
      <c r="M858" s="1173"/>
      <c r="N858" s="1173"/>
      <c r="O858" s="1173"/>
      <c r="P858" s="1173"/>
    </row>
    <row r="859">
      <c r="A859" s="1173"/>
      <c r="B859" s="1173"/>
      <c r="C859" s="1173"/>
      <c r="D859" s="1173"/>
      <c r="E859" s="1173"/>
      <c r="F859" s="1173"/>
      <c r="G859" s="1173"/>
      <c r="H859" s="1173"/>
      <c r="I859" s="1173"/>
      <c r="J859" s="1173"/>
      <c r="K859" s="1173"/>
      <c r="L859" s="1173"/>
      <c r="M859" s="1173"/>
      <c r="N859" s="1173"/>
      <c r="O859" s="1173"/>
      <c r="P859" s="1173"/>
    </row>
    <row r="860">
      <c r="A860" s="1173"/>
      <c r="B860" s="1173"/>
      <c r="C860" s="1173"/>
      <c r="D860" s="1173"/>
      <c r="E860" s="1173"/>
      <c r="F860" s="1173"/>
      <c r="G860" s="1173"/>
      <c r="H860" s="1173"/>
      <c r="I860" s="1173"/>
      <c r="J860" s="1173"/>
      <c r="K860" s="1173"/>
      <c r="L860" s="1173"/>
      <c r="M860" s="1173"/>
      <c r="N860" s="1173"/>
      <c r="O860" s="1173"/>
      <c r="P860" s="1173"/>
    </row>
    <row r="861">
      <c r="A861" s="1173"/>
      <c r="B861" s="1173"/>
      <c r="C861" s="1173"/>
      <c r="D861" s="1173"/>
      <c r="E861" s="1173"/>
      <c r="F861" s="1173"/>
      <c r="G861" s="1173"/>
      <c r="H861" s="1173"/>
      <c r="I861" s="1173"/>
      <c r="J861" s="1173"/>
      <c r="K861" s="1173"/>
      <c r="L861" s="1173"/>
      <c r="M861" s="1173"/>
      <c r="N861" s="1173"/>
      <c r="O861" s="1173"/>
      <c r="P861" s="1173"/>
    </row>
    <row r="862">
      <c r="A862" s="1173"/>
      <c r="B862" s="1173"/>
      <c r="C862" s="1173"/>
      <c r="D862" s="1173"/>
      <c r="E862" s="1173"/>
      <c r="F862" s="1173"/>
      <c r="G862" s="1173"/>
      <c r="H862" s="1173"/>
      <c r="I862" s="1173"/>
      <c r="J862" s="1173"/>
      <c r="K862" s="1173"/>
      <c r="L862" s="1173"/>
      <c r="M862" s="1173"/>
      <c r="N862" s="1173"/>
      <c r="O862" s="1173"/>
      <c r="P862" s="1173"/>
    </row>
    <row r="863">
      <c r="A863" s="1173"/>
      <c r="B863" s="1173"/>
      <c r="C863" s="1173"/>
      <c r="D863" s="1173"/>
      <c r="E863" s="1173"/>
      <c r="F863" s="1173"/>
      <c r="G863" s="1173"/>
      <c r="H863" s="1173"/>
      <c r="I863" s="1173"/>
      <c r="J863" s="1173"/>
      <c r="K863" s="1173"/>
      <c r="L863" s="1173"/>
      <c r="M863" s="1173"/>
      <c r="N863" s="1173"/>
      <c r="O863" s="1173"/>
      <c r="P863" s="1173"/>
    </row>
    <row r="864">
      <c r="A864" s="1173"/>
      <c r="B864" s="1173"/>
      <c r="C864" s="1173"/>
      <c r="D864" s="1173"/>
      <c r="E864" s="1173"/>
      <c r="F864" s="1173"/>
      <c r="G864" s="1173"/>
      <c r="H864" s="1173"/>
      <c r="I864" s="1173"/>
      <c r="J864" s="1173"/>
      <c r="K864" s="1173"/>
      <c r="L864" s="1173"/>
      <c r="M864" s="1173"/>
      <c r="N864" s="1173"/>
      <c r="O864" s="1173"/>
      <c r="P864" s="1173"/>
    </row>
    <row r="865">
      <c r="A865" s="1173"/>
      <c r="B865" s="1173"/>
      <c r="C865" s="1173"/>
      <c r="D865" s="1173"/>
      <c r="E865" s="1173"/>
      <c r="F865" s="1173"/>
      <c r="G865" s="1173"/>
      <c r="H865" s="1173"/>
      <c r="I865" s="1173"/>
      <c r="J865" s="1173"/>
      <c r="K865" s="1173"/>
      <c r="L865" s="1173"/>
      <c r="M865" s="1173"/>
      <c r="N865" s="1173"/>
      <c r="O865" s="1173"/>
      <c r="P865" s="1173"/>
    </row>
    <row r="866">
      <c r="A866" s="1173"/>
      <c r="B866" s="1173"/>
      <c r="C866" s="1173"/>
      <c r="D866" s="1173"/>
      <c r="E866" s="1173"/>
      <c r="F866" s="1173"/>
      <c r="G866" s="1173"/>
      <c r="H866" s="1173"/>
      <c r="I866" s="1173"/>
      <c r="J866" s="1173"/>
      <c r="K866" s="1173"/>
      <c r="L866" s="1173"/>
      <c r="M866" s="1173"/>
      <c r="N866" s="1173"/>
      <c r="O866" s="1173"/>
      <c r="P866" s="1173"/>
    </row>
    <row r="867">
      <c r="A867" s="1173"/>
      <c r="B867" s="1173"/>
      <c r="C867" s="1173"/>
      <c r="D867" s="1173"/>
      <c r="E867" s="1173"/>
      <c r="F867" s="1173"/>
      <c r="G867" s="1173"/>
      <c r="H867" s="1173"/>
      <c r="I867" s="1173"/>
      <c r="J867" s="1173"/>
      <c r="K867" s="1173"/>
      <c r="L867" s="1173"/>
      <c r="M867" s="1173"/>
      <c r="N867" s="1173"/>
      <c r="O867" s="1173"/>
      <c r="P867" s="1173"/>
    </row>
    <row r="868">
      <c r="A868" s="1173"/>
      <c r="B868" s="1173"/>
      <c r="C868" s="1173"/>
      <c r="D868" s="1173"/>
      <c r="E868" s="1173"/>
      <c r="F868" s="1173"/>
      <c r="G868" s="1173"/>
      <c r="H868" s="1173"/>
      <c r="I868" s="1173"/>
      <c r="J868" s="1173"/>
      <c r="K868" s="1173"/>
      <c r="L868" s="1173"/>
      <c r="M868" s="1173"/>
      <c r="N868" s="1173"/>
      <c r="O868" s="1173"/>
      <c r="P868" s="1173"/>
    </row>
    <row r="869">
      <c r="A869" s="1173"/>
      <c r="B869" s="1173"/>
      <c r="C869" s="1173"/>
      <c r="D869" s="1173"/>
      <c r="E869" s="1173"/>
      <c r="F869" s="1173"/>
      <c r="G869" s="1173"/>
      <c r="H869" s="1173"/>
      <c r="I869" s="1173"/>
      <c r="J869" s="1173"/>
      <c r="K869" s="1173"/>
      <c r="L869" s="1173"/>
      <c r="M869" s="1173"/>
      <c r="N869" s="1173"/>
      <c r="O869" s="1173"/>
      <c r="P869" s="1173"/>
    </row>
    <row r="870">
      <c r="A870" s="1173"/>
      <c r="B870" s="1173"/>
      <c r="C870" s="1173"/>
      <c r="D870" s="1173"/>
      <c r="E870" s="1173"/>
      <c r="F870" s="1173"/>
      <c r="G870" s="1173"/>
      <c r="H870" s="1173"/>
      <c r="I870" s="1173"/>
      <c r="J870" s="1173"/>
      <c r="K870" s="1173"/>
      <c r="L870" s="1173"/>
      <c r="M870" s="1173"/>
      <c r="N870" s="1173"/>
      <c r="O870" s="1173"/>
      <c r="P870" s="1173"/>
    </row>
    <row r="871">
      <c r="A871" s="1173"/>
      <c r="B871" s="1173"/>
      <c r="C871" s="1173"/>
      <c r="D871" s="1173"/>
      <c r="E871" s="1173"/>
      <c r="F871" s="1173"/>
      <c r="G871" s="1173"/>
      <c r="H871" s="1173"/>
      <c r="I871" s="1173"/>
      <c r="J871" s="1173"/>
      <c r="K871" s="1173"/>
      <c r="L871" s="1173"/>
      <c r="M871" s="1173"/>
      <c r="N871" s="1173"/>
      <c r="O871" s="1173"/>
      <c r="P871" s="1173"/>
    </row>
  </sheetData>
  <mergeCells count="72">
    <mergeCell ref="K15:M15"/>
    <mergeCell ref="N15:P15"/>
    <mergeCell ref="A1:P1"/>
    <mergeCell ref="A2:P2"/>
    <mergeCell ref="J3:M3"/>
    <mergeCell ref="D14:E14"/>
    <mergeCell ref="A15:B15"/>
    <mergeCell ref="C15:E15"/>
    <mergeCell ref="F15:H15"/>
    <mergeCell ref="M17:M27"/>
    <mergeCell ref="O17:O27"/>
    <mergeCell ref="P17:P27"/>
    <mergeCell ref="A18:B18"/>
    <mergeCell ref="A19:B19"/>
    <mergeCell ref="A20:B20"/>
    <mergeCell ref="A21:B21"/>
    <mergeCell ref="A22:B22"/>
    <mergeCell ref="A23:B23"/>
    <mergeCell ref="A24:B24"/>
    <mergeCell ref="A25:B25"/>
    <mergeCell ref="A53:B53"/>
    <mergeCell ref="A54:B54"/>
    <mergeCell ref="A55:B55"/>
    <mergeCell ref="A56:B56"/>
    <mergeCell ref="A57:B57"/>
    <mergeCell ref="A58:B58"/>
    <mergeCell ref="A59:B59"/>
    <mergeCell ref="A60:B60"/>
    <mergeCell ref="A46:B46"/>
    <mergeCell ref="A47:B47"/>
    <mergeCell ref="A48:B48"/>
    <mergeCell ref="D48:D61"/>
    <mergeCell ref="E48:E61"/>
    <mergeCell ref="G48:G61"/>
    <mergeCell ref="H48:H61"/>
    <mergeCell ref="A61:B61"/>
    <mergeCell ref="A16:B16"/>
    <mergeCell ref="A17:B17"/>
    <mergeCell ref="D17:D30"/>
    <mergeCell ref="E17:E30"/>
    <mergeCell ref="G17:G30"/>
    <mergeCell ref="H17:H30"/>
    <mergeCell ref="L17:L27"/>
    <mergeCell ref="A32:P32"/>
    <mergeCell ref="A33:P33"/>
    <mergeCell ref="J34:M34"/>
    <mergeCell ref="A28:B28"/>
    <mergeCell ref="J28:K30"/>
    <mergeCell ref="L28:M30"/>
    <mergeCell ref="N28:N30"/>
    <mergeCell ref="O28:P30"/>
    <mergeCell ref="A29:B29"/>
    <mergeCell ref="A30:B30"/>
    <mergeCell ref="A26:B26"/>
    <mergeCell ref="A27:B27"/>
    <mergeCell ref="D45:E45"/>
    <mergeCell ref="C46:E46"/>
    <mergeCell ref="F46:H46"/>
    <mergeCell ref="K46:M46"/>
    <mergeCell ref="N46:P46"/>
    <mergeCell ref="L48:L58"/>
    <mergeCell ref="M48:M58"/>
    <mergeCell ref="O48:O58"/>
    <mergeCell ref="P48:P58"/>
    <mergeCell ref="J59:K61"/>
    <mergeCell ref="L59:M61"/>
    <mergeCell ref="N59:N61"/>
    <mergeCell ref="O59:P61"/>
    <mergeCell ref="A49:B49"/>
    <mergeCell ref="A50:B50"/>
    <mergeCell ref="A51:B51"/>
    <mergeCell ref="A52:B52"/>
  </mergeCells>
  <printOptions horizontalCentered="1"/>
  <pageMargins bottom="0.75" footer="0.0" header="0.0" left="0.25" right="0.25" top="0.75"/>
  <pageSetup paperSize="13" scale="85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26.29"/>
    <col customWidth="1" min="10" max="10" width="8.71"/>
  </cols>
  <sheetData>
    <row r="1" ht="23.25" customHeight="1">
      <c r="A1" s="1174"/>
      <c r="B1" s="1175"/>
      <c r="C1" s="1176"/>
      <c r="D1" s="1176"/>
      <c r="E1" s="1176"/>
      <c r="F1" s="1176"/>
      <c r="G1" s="1176"/>
      <c r="H1" s="1176"/>
    </row>
    <row r="2" ht="14.25" customHeight="1">
      <c r="A2" s="1177" t="s">
        <v>11427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>
      <c r="J14" s="1178"/>
    </row>
    <row r="15" ht="14.25" customHeight="1">
      <c r="K15" s="1179"/>
    </row>
    <row r="16" ht="14.25" customHeight="1"/>
    <row r="17" ht="14.25" customHeight="1">
      <c r="G17" s="1180"/>
    </row>
    <row r="18" ht="14.25" customHeight="1">
      <c r="G18" s="1181" t="s">
        <v>11428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I16"/>
    <mergeCell ref="G18:I21"/>
  </mergeCells>
  <printOptions horizontalCentered="1"/>
  <pageMargins bottom="0.75" footer="0.0" header="0.0" left="0.25" right="0.25" top="0.75"/>
  <pageSetup paperSize="11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26.29"/>
    <col customWidth="1" min="10" max="10" width="8.71"/>
  </cols>
  <sheetData>
    <row r="1" ht="23.25" customHeight="1">
      <c r="A1" s="1174"/>
      <c r="B1" s="1175"/>
      <c r="C1" s="1176"/>
      <c r="D1" s="1176"/>
      <c r="E1" s="1176"/>
      <c r="F1" s="1176"/>
      <c r="G1" s="1176"/>
      <c r="H1" s="1176"/>
    </row>
    <row r="2" ht="14.25" customHeight="1">
      <c r="A2" s="1177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>
      <c r="J14" s="1178"/>
    </row>
    <row r="15" ht="14.25" customHeight="1">
      <c r="K15" s="1179"/>
    </row>
    <row r="16" ht="14.25" customHeight="1"/>
    <row r="17" ht="14.25" customHeight="1">
      <c r="G17" s="1180"/>
    </row>
    <row r="18" ht="14.25" customHeight="1">
      <c r="G18" s="1181" t="s">
        <v>11429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I16"/>
    <mergeCell ref="G18:I21"/>
  </mergeCells>
  <printOptions horizontalCentered="1"/>
  <pageMargins bottom="0.75" footer="0.0" header="0.0" left="0.25" right="0.25" top="0.75"/>
  <pageSetup paperSize="11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30.43"/>
  </cols>
  <sheetData>
    <row r="1">
      <c r="A1" s="1182" t="s">
        <v>9773</v>
      </c>
      <c r="B1" s="1183" t="s">
        <v>2743</v>
      </c>
      <c r="C1" s="1183" t="s">
        <v>9791</v>
      </c>
      <c r="D1" s="1184" t="s">
        <v>9847</v>
      </c>
      <c r="E1" s="1185" t="s">
        <v>9848</v>
      </c>
      <c r="F1" s="1186" t="s">
        <v>9849</v>
      </c>
      <c r="G1" s="1187" t="s">
        <v>9850</v>
      </c>
      <c r="H1" s="1187" t="s">
        <v>9851</v>
      </c>
      <c r="I1" s="1188" t="s">
        <v>9852</v>
      </c>
    </row>
    <row r="2">
      <c r="A2" s="1189" t="s">
        <v>11430</v>
      </c>
    </row>
    <row r="3">
      <c r="A3" s="1190">
        <v>45478.0</v>
      </c>
      <c r="B3" s="548" t="s">
        <v>11431</v>
      </c>
      <c r="D3" s="756">
        <v>250000.0</v>
      </c>
      <c r="E3" s="757"/>
      <c r="F3" s="757">
        <f>D3-E3</f>
        <v>250000</v>
      </c>
      <c r="G3" s="548" t="s">
        <v>3274</v>
      </c>
      <c r="H3" s="548" t="s">
        <v>11432</v>
      </c>
    </row>
    <row r="4">
      <c r="A4" s="1190">
        <v>45478.0</v>
      </c>
      <c r="B4" s="548" t="s">
        <v>11433</v>
      </c>
      <c r="D4" s="756">
        <v>101000.0</v>
      </c>
      <c r="E4" s="756"/>
      <c r="F4" s="757">
        <f t="shared" ref="F4:F18" si="1">F3+D4-E4</f>
        <v>351000</v>
      </c>
      <c r="G4" s="548" t="s">
        <v>3274</v>
      </c>
      <c r="H4" s="548" t="s">
        <v>11432</v>
      </c>
    </row>
    <row r="5">
      <c r="A5" s="1190">
        <v>45506.0</v>
      </c>
      <c r="B5" s="548" t="s">
        <v>11434</v>
      </c>
      <c r="C5" s="548" t="s">
        <v>11435</v>
      </c>
      <c r="D5" s="756">
        <v>148000.0</v>
      </c>
      <c r="E5" s="756"/>
      <c r="F5" s="757">
        <f t="shared" si="1"/>
        <v>499000</v>
      </c>
      <c r="H5" s="548"/>
    </row>
    <row r="6">
      <c r="A6" s="1190">
        <v>45506.0</v>
      </c>
      <c r="B6" s="548" t="s">
        <v>11436</v>
      </c>
      <c r="C6" s="548" t="s">
        <v>11437</v>
      </c>
      <c r="D6" s="757"/>
      <c r="E6" s="756">
        <v>499000.0</v>
      </c>
      <c r="F6" s="757">
        <f t="shared" si="1"/>
        <v>0</v>
      </c>
      <c r="H6" s="548" t="s">
        <v>11438</v>
      </c>
    </row>
    <row r="7">
      <c r="A7" s="1190">
        <v>45514.0</v>
      </c>
      <c r="B7" s="548" t="s">
        <v>11431</v>
      </c>
      <c r="C7" s="548" t="s">
        <v>7</v>
      </c>
      <c r="D7" s="756">
        <v>100000.0</v>
      </c>
      <c r="E7" s="756"/>
      <c r="F7" s="757">
        <f t="shared" si="1"/>
        <v>100000</v>
      </c>
      <c r="G7" s="548" t="s">
        <v>3274</v>
      </c>
    </row>
    <row r="8">
      <c r="A8" s="1190"/>
      <c r="D8" s="757"/>
      <c r="E8" s="756"/>
      <c r="F8" s="757">
        <f t="shared" si="1"/>
        <v>100000</v>
      </c>
    </row>
    <row r="9">
      <c r="A9" s="1190"/>
      <c r="D9" s="757"/>
      <c r="E9" s="756"/>
      <c r="F9" s="757">
        <f t="shared" si="1"/>
        <v>100000</v>
      </c>
    </row>
    <row r="10">
      <c r="A10" s="1190"/>
      <c r="D10" s="757"/>
      <c r="E10" s="756"/>
      <c r="F10" s="757">
        <f t="shared" si="1"/>
        <v>100000</v>
      </c>
    </row>
    <row r="11">
      <c r="A11" s="1190"/>
      <c r="D11" s="757"/>
      <c r="E11" s="756"/>
      <c r="F11" s="757">
        <f t="shared" si="1"/>
        <v>100000</v>
      </c>
    </row>
    <row r="12">
      <c r="A12" s="1190"/>
      <c r="B12" s="606"/>
      <c r="D12" s="756"/>
      <c r="E12" s="757"/>
      <c r="F12" s="757">
        <f t="shared" si="1"/>
        <v>100000</v>
      </c>
    </row>
    <row r="13">
      <c r="A13" s="1190"/>
      <c r="D13" s="757"/>
      <c r="E13" s="756"/>
      <c r="F13" s="757">
        <f t="shared" si="1"/>
        <v>100000</v>
      </c>
    </row>
    <row r="14">
      <c r="A14" s="1190"/>
      <c r="D14" s="757"/>
      <c r="E14" s="756"/>
      <c r="F14" s="757">
        <f t="shared" si="1"/>
        <v>100000</v>
      </c>
    </row>
    <row r="15">
      <c r="A15" s="1190"/>
      <c r="D15" s="757"/>
      <c r="E15" s="756"/>
      <c r="F15" s="757">
        <f t="shared" si="1"/>
        <v>100000</v>
      </c>
    </row>
    <row r="16">
      <c r="A16" s="1190"/>
      <c r="D16" s="757"/>
      <c r="E16" s="756"/>
      <c r="F16" s="757">
        <f t="shared" si="1"/>
        <v>100000</v>
      </c>
    </row>
    <row r="17">
      <c r="A17" s="1190"/>
      <c r="D17" s="756"/>
      <c r="E17" s="756"/>
      <c r="F17" s="757">
        <f t="shared" si="1"/>
        <v>100000</v>
      </c>
    </row>
    <row r="18">
      <c r="A18" s="1190"/>
      <c r="D18" s="757"/>
      <c r="E18" s="756"/>
      <c r="F18" s="757">
        <f t="shared" si="1"/>
        <v>100000</v>
      </c>
    </row>
    <row r="19">
      <c r="A19" s="1190"/>
      <c r="D19" s="757"/>
      <c r="E19" s="756"/>
      <c r="F19" s="757"/>
    </row>
    <row r="20">
      <c r="A20" s="1190"/>
      <c r="D20" s="757"/>
      <c r="E20" s="756"/>
      <c r="F20" s="757"/>
    </row>
    <row r="21">
      <c r="A21" s="1190"/>
      <c r="D21" s="757"/>
      <c r="E21" s="756"/>
      <c r="F21" s="757"/>
    </row>
    <row r="22">
      <c r="A22" s="1190"/>
      <c r="D22" s="757"/>
      <c r="E22" s="756"/>
      <c r="F22" s="757"/>
    </row>
    <row r="23">
      <c r="A23" s="1190"/>
      <c r="D23" s="757"/>
      <c r="E23" s="756"/>
      <c r="F23" s="757"/>
    </row>
    <row r="24">
      <c r="A24" s="1190"/>
      <c r="D24" s="757"/>
      <c r="E24" s="756"/>
      <c r="F24" s="757"/>
    </row>
    <row r="25">
      <c r="A25" s="1190"/>
      <c r="D25" s="757"/>
      <c r="E25" s="756"/>
      <c r="F25" s="757"/>
    </row>
    <row r="26">
      <c r="A26" s="1191"/>
      <c r="D26" s="756"/>
      <c r="E26" s="757"/>
      <c r="F26" s="757"/>
    </row>
    <row r="27">
      <c r="A27" s="1192"/>
      <c r="D27" s="757"/>
      <c r="E27" s="756"/>
      <c r="F27" s="757"/>
    </row>
    <row r="28">
      <c r="A28" s="761"/>
      <c r="D28" s="757"/>
      <c r="E28" s="756"/>
      <c r="F28" s="757"/>
    </row>
    <row r="29">
      <c r="A29" s="761"/>
      <c r="D29" s="757"/>
      <c r="E29" s="756"/>
      <c r="F29" s="757"/>
    </row>
    <row r="30">
      <c r="A30" s="761"/>
      <c r="D30" s="757"/>
      <c r="E30" s="756"/>
      <c r="F30" s="757"/>
    </row>
    <row r="31">
      <c r="A31" s="761"/>
      <c r="D31" s="757"/>
      <c r="E31" s="756"/>
      <c r="F31" s="757"/>
    </row>
    <row r="32">
      <c r="A32" s="761"/>
      <c r="D32" s="757"/>
      <c r="E32" s="756"/>
      <c r="F32" s="757"/>
    </row>
    <row r="33">
      <c r="A33" s="761"/>
      <c r="D33" s="756"/>
      <c r="E33" s="757"/>
      <c r="F33" s="757"/>
    </row>
    <row r="34">
      <c r="A34" s="761"/>
      <c r="D34" s="757"/>
      <c r="E34" s="756"/>
      <c r="F34" s="757"/>
    </row>
    <row r="35">
      <c r="A35" s="761"/>
      <c r="C35" s="759"/>
      <c r="D35" s="757"/>
      <c r="E35" s="756"/>
      <c r="F35" s="757"/>
    </row>
    <row r="36">
      <c r="A36" s="761"/>
      <c r="C36" s="759"/>
      <c r="D36" s="757"/>
      <c r="E36" s="756"/>
      <c r="F36" s="757"/>
    </row>
    <row r="37">
      <c r="A37" s="761"/>
      <c r="C37" s="759"/>
      <c r="D37" s="757"/>
      <c r="E37" s="756"/>
      <c r="F37" s="757"/>
    </row>
    <row r="38">
      <c r="A38" s="762"/>
      <c r="D38" s="757"/>
      <c r="E38" s="756"/>
      <c r="F38" s="757"/>
    </row>
    <row r="39">
      <c r="A39" s="761"/>
      <c r="D39" s="756"/>
      <c r="E39" s="757"/>
      <c r="F39" s="757"/>
    </row>
    <row r="40">
      <c r="A40" s="761"/>
      <c r="C40" s="759"/>
      <c r="D40" s="757"/>
      <c r="E40" s="756"/>
      <c r="F40" s="757"/>
    </row>
    <row r="41">
      <c r="D41" s="757"/>
      <c r="E41" s="756"/>
      <c r="F41" s="757"/>
    </row>
    <row r="42">
      <c r="D42" s="757"/>
      <c r="E42" s="756"/>
      <c r="F42" s="757"/>
    </row>
    <row r="43">
      <c r="A43" s="761"/>
      <c r="D43" s="757"/>
      <c r="E43" s="756"/>
      <c r="F43" s="757"/>
    </row>
    <row r="44">
      <c r="A44" s="758"/>
      <c r="D44" s="756"/>
      <c r="E44" s="757"/>
      <c r="F44" s="757"/>
    </row>
    <row r="45">
      <c r="D45" s="757"/>
      <c r="E45" s="757"/>
      <c r="F45" s="757"/>
    </row>
    <row r="46">
      <c r="D46" s="757"/>
      <c r="E46" s="757"/>
      <c r="F46" s="757"/>
    </row>
    <row r="47">
      <c r="D47" s="757"/>
      <c r="E47" s="757"/>
      <c r="F47" s="757"/>
    </row>
    <row r="48">
      <c r="D48" s="757"/>
      <c r="E48" s="757"/>
      <c r="F48" s="757"/>
    </row>
    <row r="49">
      <c r="D49" s="757"/>
      <c r="E49" s="757"/>
      <c r="F49" s="757"/>
    </row>
    <row r="50">
      <c r="D50" s="757"/>
      <c r="E50" s="757"/>
      <c r="F50" s="757"/>
    </row>
    <row r="51">
      <c r="D51" s="757"/>
      <c r="E51" s="757"/>
      <c r="F51" s="757"/>
    </row>
    <row r="52">
      <c r="D52" s="757"/>
      <c r="E52" s="757"/>
      <c r="F52" s="757"/>
    </row>
    <row r="53">
      <c r="D53" s="757"/>
      <c r="E53" s="757"/>
      <c r="F53" s="757"/>
    </row>
    <row r="54">
      <c r="D54" s="757"/>
      <c r="E54" s="757"/>
      <c r="F54" s="757"/>
    </row>
    <row r="55">
      <c r="D55" s="757"/>
      <c r="E55" s="757"/>
      <c r="F55" s="757"/>
    </row>
    <row r="56">
      <c r="D56" s="757"/>
      <c r="E56" s="757"/>
      <c r="F56" s="757"/>
    </row>
    <row r="57">
      <c r="D57" s="757"/>
      <c r="E57" s="757"/>
      <c r="F57" s="757"/>
    </row>
    <row r="58">
      <c r="D58" s="757"/>
      <c r="E58" s="757"/>
      <c r="F58" s="757"/>
    </row>
    <row r="59">
      <c r="D59" s="757"/>
      <c r="E59" s="757"/>
      <c r="F59" s="757"/>
    </row>
    <row r="60">
      <c r="D60" s="757"/>
      <c r="E60" s="757"/>
      <c r="F60" s="757"/>
    </row>
    <row r="61">
      <c r="D61" s="757"/>
      <c r="E61" s="757"/>
      <c r="F61" s="757"/>
    </row>
    <row r="62">
      <c r="D62" s="757"/>
      <c r="E62" s="757"/>
      <c r="F62" s="757"/>
    </row>
    <row r="63">
      <c r="D63" s="757"/>
      <c r="E63" s="757"/>
      <c r="F63" s="757"/>
    </row>
    <row r="64">
      <c r="D64" s="757"/>
      <c r="E64" s="757"/>
      <c r="F64" s="757"/>
    </row>
    <row r="65">
      <c r="D65" s="757"/>
      <c r="E65" s="757"/>
      <c r="F65" s="757"/>
    </row>
    <row r="66">
      <c r="D66" s="757"/>
      <c r="E66" s="757"/>
      <c r="F66" s="757"/>
    </row>
    <row r="67">
      <c r="D67" s="757"/>
      <c r="E67" s="757"/>
      <c r="F67" s="757"/>
    </row>
    <row r="68">
      <c r="D68" s="757"/>
      <c r="E68" s="757"/>
      <c r="F68" s="757"/>
    </row>
    <row r="69">
      <c r="D69" s="757"/>
      <c r="E69" s="757"/>
      <c r="F69" s="757"/>
    </row>
    <row r="70">
      <c r="D70" s="757"/>
      <c r="E70" s="757"/>
      <c r="F70" s="757"/>
    </row>
    <row r="71">
      <c r="D71" s="757"/>
      <c r="E71" s="757"/>
      <c r="F71" s="757"/>
    </row>
    <row r="72">
      <c r="D72" s="757"/>
      <c r="E72" s="757"/>
      <c r="F72" s="757"/>
    </row>
    <row r="73">
      <c r="D73" s="757"/>
      <c r="E73" s="757"/>
      <c r="F73" s="757"/>
    </row>
    <row r="74">
      <c r="D74" s="757"/>
      <c r="E74" s="757"/>
      <c r="F74" s="757"/>
    </row>
    <row r="75">
      <c r="D75" s="757"/>
      <c r="E75" s="757"/>
      <c r="F75" s="757"/>
    </row>
    <row r="76">
      <c r="D76" s="757"/>
      <c r="E76" s="757"/>
      <c r="F76" s="757"/>
    </row>
    <row r="77">
      <c r="D77" s="757"/>
      <c r="E77" s="757"/>
      <c r="F77" s="757"/>
    </row>
    <row r="78">
      <c r="D78" s="757"/>
      <c r="E78" s="757"/>
      <c r="F78" s="757"/>
    </row>
    <row r="79">
      <c r="D79" s="757"/>
      <c r="E79" s="757"/>
      <c r="F79" s="757"/>
    </row>
    <row r="80">
      <c r="D80" s="757"/>
      <c r="E80" s="757"/>
      <c r="F80" s="757"/>
    </row>
    <row r="81">
      <c r="D81" s="757"/>
      <c r="E81" s="757"/>
      <c r="F81" s="757"/>
    </row>
    <row r="82">
      <c r="D82" s="757"/>
      <c r="E82" s="757"/>
      <c r="F82" s="757"/>
    </row>
    <row r="83">
      <c r="D83" s="757"/>
      <c r="E83" s="757"/>
      <c r="F83" s="757"/>
    </row>
    <row r="84">
      <c r="D84" s="757"/>
      <c r="E84" s="757"/>
      <c r="F84" s="757"/>
    </row>
    <row r="85">
      <c r="D85" s="757"/>
      <c r="E85" s="757"/>
      <c r="F85" s="757"/>
    </row>
    <row r="86">
      <c r="D86" s="757"/>
      <c r="E86" s="757"/>
      <c r="F86" s="757"/>
    </row>
    <row r="87">
      <c r="D87" s="757"/>
      <c r="E87" s="757"/>
      <c r="F87" s="757"/>
    </row>
    <row r="88">
      <c r="D88" s="757"/>
      <c r="E88" s="757"/>
      <c r="F88" s="757"/>
    </row>
    <row r="89">
      <c r="D89" s="757"/>
      <c r="E89" s="757"/>
      <c r="F89" s="757"/>
    </row>
    <row r="90">
      <c r="D90" s="757"/>
      <c r="E90" s="757"/>
      <c r="F90" s="757"/>
    </row>
    <row r="91">
      <c r="D91" s="757"/>
      <c r="E91" s="757"/>
      <c r="F91" s="757"/>
    </row>
    <row r="92">
      <c r="D92" s="757"/>
      <c r="E92" s="757"/>
      <c r="F92" s="757"/>
    </row>
    <row r="93">
      <c r="D93" s="757"/>
      <c r="E93" s="757"/>
      <c r="F93" s="757"/>
    </row>
    <row r="94">
      <c r="D94" s="757"/>
      <c r="E94" s="757"/>
      <c r="F94" s="757"/>
    </row>
    <row r="95">
      <c r="D95" s="757"/>
      <c r="E95" s="757"/>
      <c r="F95" s="757"/>
    </row>
    <row r="96">
      <c r="D96" s="757"/>
      <c r="E96" s="757"/>
      <c r="F96" s="757"/>
    </row>
    <row r="97">
      <c r="D97" s="757"/>
      <c r="E97" s="757"/>
      <c r="F97" s="757"/>
    </row>
    <row r="98">
      <c r="D98" s="757"/>
      <c r="E98" s="757"/>
      <c r="F98" s="757"/>
    </row>
    <row r="99">
      <c r="D99" s="757"/>
      <c r="E99" s="757"/>
      <c r="F99" s="757"/>
    </row>
    <row r="100">
      <c r="D100" s="757"/>
      <c r="E100" s="757"/>
      <c r="F100" s="757"/>
    </row>
    <row r="101">
      <c r="D101" s="757"/>
      <c r="E101" s="757"/>
      <c r="F101" s="757"/>
    </row>
    <row r="102">
      <c r="D102" s="757"/>
      <c r="E102" s="757"/>
      <c r="F102" s="757"/>
    </row>
    <row r="103">
      <c r="D103" s="757"/>
      <c r="E103" s="757"/>
      <c r="F103" s="757"/>
    </row>
    <row r="104">
      <c r="D104" s="757"/>
      <c r="E104" s="757"/>
      <c r="F104" s="757"/>
    </row>
    <row r="105">
      <c r="D105" s="757"/>
      <c r="E105" s="757"/>
      <c r="F105" s="757"/>
    </row>
    <row r="106">
      <c r="D106" s="757"/>
      <c r="E106" s="757"/>
      <c r="F106" s="757"/>
    </row>
    <row r="107">
      <c r="D107" s="757"/>
      <c r="E107" s="757"/>
      <c r="F107" s="757"/>
    </row>
    <row r="108">
      <c r="D108" s="757"/>
      <c r="E108" s="757"/>
      <c r="F108" s="757"/>
    </row>
    <row r="109">
      <c r="D109" s="757"/>
      <c r="E109" s="757"/>
      <c r="F109" s="757"/>
    </row>
    <row r="110">
      <c r="D110" s="757"/>
      <c r="E110" s="757"/>
      <c r="F110" s="757"/>
    </row>
    <row r="111">
      <c r="D111" s="757"/>
      <c r="E111" s="757"/>
      <c r="F111" s="757"/>
    </row>
    <row r="112">
      <c r="D112" s="757"/>
      <c r="E112" s="757"/>
      <c r="F112" s="757"/>
    </row>
    <row r="113">
      <c r="D113" s="757"/>
      <c r="E113" s="757"/>
      <c r="F113" s="757"/>
    </row>
    <row r="114">
      <c r="D114" s="757"/>
      <c r="E114" s="757"/>
      <c r="F114" s="757"/>
    </row>
    <row r="115">
      <c r="D115" s="757"/>
      <c r="E115" s="757"/>
      <c r="F115" s="757"/>
    </row>
    <row r="116">
      <c r="D116" s="757"/>
      <c r="E116" s="757"/>
      <c r="F116" s="757"/>
    </row>
    <row r="117">
      <c r="D117" s="757"/>
      <c r="E117" s="757"/>
      <c r="F117" s="757"/>
    </row>
    <row r="118">
      <c r="D118" s="757"/>
      <c r="E118" s="757"/>
      <c r="F118" s="757"/>
    </row>
    <row r="119">
      <c r="D119" s="757"/>
      <c r="E119" s="757"/>
      <c r="F119" s="757"/>
    </row>
    <row r="120">
      <c r="D120" s="757"/>
      <c r="E120" s="757"/>
      <c r="F120" s="757"/>
    </row>
    <row r="121">
      <c r="D121" s="757"/>
      <c r="E121" s="757"/>
      <c r="F121" s="757"/>
    </row>
    <row r="122">
      <c r="D122" s="757"/>
      <c r="E122" s="757"/>
      <c r="F122" s="757"/>
    </row>
    <row r="123">
      <c r="D123" s="757"/>
      <c r="E123" s="757"/>
      <c r="F123" s="757"/>
    </row>
    <row r="124">
      <c r="D124" s="757"/>
      <c r="E124" s="757"/>
      <c r="F124" s="757"/>
    </row>
    <row r="125">
      <c r="D125" s="757"/>
      <c r="E125" s="757"/>
      <c r="F125" s="757"/>
    </row>
    <row r="126">
      <c r="D126" s="757"/>
      <c r="E126" s="757"/>
      <c r="F126" s="757"/>
    </row>
    <row r="127">
      <c r="D127" s="757"/>
      <c r="E127" s="757"/>
      <c r="F127" s="757"/>
    </row>
    <row r="128">
      <c r="D128" s="757"/>
      <c r="E128" s="757"/>
      <c r="F128" s="757"/>
    </row>
    <row r="129">
      <c r="D129" s="757"/>
      <c r="E129" s="757"/>
      <c r="F129" s="757"/>
    </row>
    <row r="130">
      <c r="D130" s="757"/>
      <c r="E130" s="757"/>
      <c r="F130" s="757"/>
    </row>
    <row r="131">
      <c r="D131" s="757"/>
      <c r="E131" s="757"/>
      <c r="F131" s="757"/>
    </row>
    <row r="132">
      <c r="D132" s="757"/>
      <c r="E132" s="757"/>
      <c r="F132" s="757"/>
    </row>
    <row r="133">
      <c r="D133" s="757"/>
      <c r="E133" s="757"/>
      <c r="F133" s="757"/>
    </row>
    <row r="134">
      <c r="D134" s="757"/>
      <c r="E134" s="757"/>
      <c r="F134" s="757"/>
    </row>
    <row r="135">
      <c r="D135" s="757"/>
      <c r="E135" s="757"/>
      <c r="F135" s="757"/>
    </row>
    <row r="136">
      <c r="D136" s="757"/>
      <c r="E136" s="757"/>
      <c r="F136" s="757"/>
    </row>
    <row r="137">
      <c r="D137" s="757"/>
      <c r="E137" s="757"/>
      <c r="F137" s="757"/>
    </row>
    <row r="138">
      <c r="D138" s="757"/>
      <c r="E138" s="757"/>
      <c r="F138" s="757"/>
    </row>
    <row r="139">
      <c r="D139" s="757"/>
      <c r="E139" s="757"/>
      <c r="F139" s="757"/>
    </row>
    <row r="140">
      <c r="D140" s="757"/>
      <c r="E140" s="757"/>
      <c r="F140" s="757"/>
    </row>
    <row r="141">
      <c r="D141" s="757"/>
      <c r="E141" s="757"/>
      <c r="F141" s="757"/>
    </row>
    <row r="142">
      <c r="D142" s="757"/>
      <c r="E142" s="757"/>
      <c r="F142" s="757"/>
    </row>
    <row r="143">
      <c r="D143" s="757"/>
      <c r="E143" s="757"/>
      <c r="F143" s="757"/>
    </row>
    <row r="144">
      <c r="D144" s="757"/>
      <c r="E144" s="757"/>
      <c r="F144" s="757"/>
    </row>
    <row r="145">
      <c r="D145" s="757"/>
      <c r="E145" s="757"/>
      <c r="F145" s="757"/>
    </row>
    <row r="146">
      <c r="D146" s="757"/>
      <c r="E146" s="757"/>
      <c r="F146" s="757"/>
    </row>
    <row r="147">
      <c r="D147" s="757"/>
      <c r="E147" s="757"/>
      <c r="F147" s="757"/>
    </row>
    <row r="148">
      <c r="D148" s="757"/>
      <c r="E148" s="757"/>
      <c r="F148" s="757"/>
    </row>
    <row r="149">
      <c r="D149" s="757"/>
      <c r="E149" s="757"/>
      <c r="F149" s="757"/>
    </row>
    <row r="150">
      <c r="D150" s="757"/>
      <c r="E150" s="757"/>
      <c r="F150" s="757"/>
    </row>
    <row r="151">
      <c r="D151" s="757"/>
      <c r="E151" s="757"/>
      <c r="F151" s="757"/>
    </row>
    <row r="152">
      <c r="D152" s="757"/>
      <c r="E152" s="757"/>
      <c r="F152" s="757"/>
    </row>
    <row r="153">
      <c r="D153" s="757"/>
      <c r="E153" s="757"/>
      <c r="F153" s="757"/>
    </row>
    <row r="154">
      <c r="D154" s="757"/>
      <c r="E154" s="757"/>
      <c r="F154" s="757"/>
    </row>
    <row r="155">
      <c r="D155" s="757"/>
      <c r="E155" s="757"/>
      <c r="F155" s="757"/>
    </row>
    <row r="156">
      <c r="D156" s="757"/>
      <c r="E156" s="757"/>
      <c r="F156" s="757"/>
    </row>
    <row r="157">
      <c r="D157" s="757"/>
      <c r="E157" s="757"/>
      <c r="F157" s="757"/>
    </row>
    <row r="158">
      <c r="D158" s="757"/>
      <c r="E158" s="757"/>
      <c r="F158" s="757"/>
    </row>
    <row r="159">
      <c r="D159" s="757"/>
      <c r="E159" s="757"/>
      <c r="F159" s="757"/>
    </row>
    <row r="160">
      <c r="D160" s="757"/>
      <c r="E160" s="757"/>
      <c r="F160" s="757"/>
    </row>
    <row r="161">
      <c r="D161" s="757"/>
      <c r="E161" s="757"/>
      <c r="F161" s="757"/>
    </row>
    <row r="162">
      <c r="D162" s="757"/>
      <c r="E162" s="757"/>
      <c r="F162" s="757"/>
    </row>
    <row r="163">
      <c r="D163" s="757"/>
      <c r="E163" s="757"/>
      <c r="F163" s="757"/>
    </row>
    <row r="164">
      <c r="D164" s="757"/>
      <c r="E164" s="757"/>
      <c r="F164" s="757"/>
    </row>
    <row r="165">
      <c r="D165" s="757"/>
      <c r="E165" s="757"/>
      <c r="F165" s="757"/>
    </row>
    <row r="166">
      <c r="D166" s="757"/>
      <c r="E166" s="757"/>
      <c r="F166" s="757"/>
    </row>
    <row r="167">
      <c r="D167" s="757"/>
      <c r="E167" s="757"/>
      <c r="F167" s="757"/>
    </row>
    <row r="168">
      <c r="D168" s="757"/>
      <c r="E168" s="757"/>
      <c r="F168" s="757"/>
    </row>
    <row r="169">
      <c r="D169" s="757"/>
      <c r="E169" s="757"/>
      <c r="F169" s="757"/>
    </row>
    <row r="170">
      <c r="D170" s="757"/>
      <c r="E170" s="757"/>
      <c r="F170" s="757"/>
    </row>
    <row r="171">
      <c r="D171" s="757"/>
      <c r="E171" s="757"/>
      <c r="F171" s="757"/>
    </row>
    <row r="172">
      <c r="D172" s="757"/>
      <c r="E172" s="757"/>
      <c r="F172" s="757"/>
    </row>
    <row r="173">
      <c r="D173" s="757"/>
      <c r="E173" s="757"/>
      <c r="F173" s="757"/>
    </row>
    <row r="174">
      <c r="D174" s="757"/>
      <c r="E174" s="757"/>
      <c r="F174" s="757"/>
    </row>
    <row r="175">
      <c r="D175" s="757"/>
      <c r="E175" s="757"/>
      <c r="F175" s="757"/>
    </row>
    <row r="176">
      <c r="D176" s="757"/>
      <c r="E176" s="757"/>
      <c r="F176" s="757"/>
    </row>
    <row r="177">
      <c r="D177" s="757"/>
      <c r="E177" s="757"/>
      <c r="F177" s="757"/>
    </row>
    <row r="178">
      <c r="D178" s="757"/>
      <c r="E178" s="757"/>
      <c r="F178" s="757"/>
    </row>
    <row r="179">
      <c r="D179" s="757"/>
      <c r="E179" s="757"/>
      <c r="F179" s="757"/>
    </row>
    <row r="180">
      <c r="D180" s="757"/>
      <c r="E180" s="757"/>
      <c r="F180" s="757"/>
    </row>
    <row r="181">
      <c r="D181" s="757"/>
      <c r="E181" s="757"/>
      <c r="F181" s="757"/>
    </row>
    <row r="182">
      <c r="D182" s="757"/>
      <c r="E182" s="757"/>
      <c r="F182" s="757"/>
    </row>
    <row r="183">
      <c r="D183" s="757"/>
      <c r="E183" s="757"/>
      <c r="F183" s="757"/>
    </row>
    <row r="184">
      <c r="D184" s="757"/>
      <c r="E184" s="757"/>
      <c r="F184" s="757"/>
    </row>
    <row r="185">
      <c r="D185" s="757"/>
      <c r="E185" s="757"/>
      <c r="F185" s="757"/>
    </row>
    <row r="186">
      <c r="D186" s="757"/>
      <c r="E186" s="757"/>
      <c r="F186" s="757"/>
    </row>
    <row r="187">
      <c r="D187" s="757"/>
      <c r="E187" s="757"/>
      <c r="F187" s="757"/>
    </row>
    <row r="188">
      <c r="D188" s="757"/>
      <c r="E188" s="757"/>
      <c r="F188" s="757"/>
    </row>
    <row r="189">
      <c r="D189" s="757"/>
      <c r="E189" s="757"/>
      <c r="F189" s="757"/>
    </row>
    <row r="190">
      <c r="D190" s="757"/>
      <c r="E190" s="757"/>
      <c r="F190" s="757"/>
    </row>
    <row r="191">
      <c r="D191" s="757"/>
      <c r="E191" s="757"/>
      <c r="F191" s="757"/>
    </row>
    <row r="192">
      <c r="D192" s="757"/>
      <c r="E192" s="757"/>
      <c r="F192" s="757"/>
    </row>
    <row r="193">
      <c r="D193" s="757"/>
      <c r="E193" s="757"/>
      <c r="F193" s="757"/>
    </row>
    <row r="194">
      <c r="D194" s="757"/>
      <c r="E194" s="757"/>
      <c r="F194" s="757"/>
    </row>
    <row r="195">
      <c r="D195" s="757"/>
      <c r="E195" s="757"/>
      <c r="F195" s="757"/>
    </row>
    <row r="196">
      <c r="D196" s="757"/>
      <c r="E196" s="757"/>
      <c r="F196" s="757"/>
    </row>
    <row r="197">
      <c r="D197" s="757"/>
      <c r="E197" s="757"/>
      <c r="F197" s="757"/>
    </row>
    <row r="198">
      <c r="D198" s="757"/>
      <c r="E198" s="757"/>
      <c r="F198" s="757"/>
    </row>
    <row r="199">
      <c r="D199" s="757"/>
      <c r="E199" s="757"/>
      <c r="F199" s="757"/>
    </row>
    <row r="200">
      <c r="D200" s="757"/>
      <c r="E200" s="757"/>
      <c r="F200" s="757"/>
    </row>
    <row r="201">
      <c r="D201" s="757"/>
      <c r="E201" s="757"/>
      <c r="F201" s="757"/>
    </row>
    <row r="202">
      <c r="D202" s="757"/>
      <c r="E202" s="757"/>
      <c r="F202" s="757"/>
    </row>
    <row r="203">
      <c r="D203" s="757"/>
      <c r="E203" s="757"/>
      <c r="F203" s="757"/>
    </row>
    <row r="204">
      <c r="D204" s="757"/>
      <c r="E204" s="757"/>
      <c r="F204" s="757"/>
    </row>
    <row r="205">
      <c r="D205" s="757"/>
      <c r="E205" s="757"/>
      <c r="F205" s="757"/>
    </row>
    <row r="206">
      <c r="D206" s="757"/>
      <c r="E206" s="757"/>
      <c r="F206" s="757"/>
    </row>
    <row r="207">
      <c r="D207" s="757"/>
      <c r="E207" s="757"/>
      <c r="F207" s="757"/>
    </row>
    <row r="208">
      <c r="D208" s="757"/>
      <c r="E208" s="757"/>
      <c r="F208" s="757"/>
    </row>
    <row r="209">
      <c r="D209" s="757"/>
      <c r="E209" s="757"/>
      <c r="F209" s="757"/>
    </row>
    <row r="210">
      <c r="D210" s="757"/>
      <c r="E210" s="757"/>
      <c r="F210" s="757"/>
    </row>
    <row r="211">
      <c r="D211" s="757"/>
      <c r="E211" s="757"/>
      <c r="F211" s="757"/>
    </row>
    <row r="212">
      <c r="D212" s="757"/>
      <c r="E212" s="757"/>
      <c r="F212" s="757"/>
    </row>
    <row r="213">
      <c r="D213" s="757"/>
      <c r="E213" s="757"/>
      <c r="F213" s="757"/>
    </row>
    <row r="214">
      <c r="D214" s="757"/>
      <c r="E214" s="757"/>
      <c r="F214" s="757"/>
    </row>
    <row r="215">
      <c r="D215" s="757"/>
      <c r="E215" s="757"/>
      <c r="F215" s="757"/>
    </row>
    <row r="216">
      <c r="D216" s="757"/>
      <c r="E216" s="757"/>
      <c r="F216" s="757"/>
    </row>
    <row r="217">
      <c r="D217" s="757"/>
      <c r="E217" s="757"/>
      <c r="F217" s="757"/>
    </row>
    <row r="218">
      <c r="D218" s="757"/>
      <c r="E218" s="757"/>
      <c r="F218" s="757"/>
    </row>
    <row r="219">
      <c r="D219" s="757"/>
      <c r="E219" s="757"/>
      <c r="F219" s="757"/>
    </row>
    <row r="220">
      <c r="D220" s="757"/>
      <c r="E220" s="757"/>
      <c r="F220" s="757"/>
    </row>
    <row r="221">
      <c r="D221" s="757"/>
      <c r="E221" s="757"/>
      <c r="F221" s="757"/>
    </row>
    <row r="222">
      <c r="D222" s="757"/>
      <c r="E222" s="757"/>
      <c r="F222" s="757"/>
    </row>
    <row r="223">
      <c r="D223" s="757"/>
      <c r="E223" s="757"/>
      <c r="F223" s="757"/>
    </row>
    <row r="224">
      <c r="D224" s="757"/>
      <c r="E224" s="757"/>
      <c r="F224" s="757"/>
    </row>
    <row r="225">
      <c r="D225" s="757"/>
      <c r="E225" s="757"/>
      <c r="F225" s="757"/>
    </row>
    <row r="226">
      <c r="D226" s="757"/>
      <c r="E226" s="757"/>
      <c r="F226" s="757"/>
    </row>
    <row r="227">
      <c r="D227" s="757"/>
      <c r="E227" s="757"/>
      <c r="F227" s="757"/>
    </row>
    <row r="228">
      <c r="D228" s="757"/>
      <c r="E228" s="757"/>
      <c r="F228" s="757"/>
    </row>
    <row r="229">
      <c r="D229" s="757"/>
      <c r="E229" s="757"/>
      <c r="F229" s="757"/>
    </row>
    <row r="230">
      <c r="D230" s="757"/>
      <c r="E230" s="757"/>
      <c r="F230" s="757"/>
    </row>
    <row r="231">
      <c r="D231" s="757"/>
      <c r="E231" s="757"/>
      <c r="F231" s="757"/>
    </row>
    <row r="232">
      <c r="D232" s="757"/>
      <c r="E232" s="757"/>
      <c r="F232" s="757"/>
    </row>
    <row r="233">
      <c r="D233" s="757"/>
      <c r="E233" s="757"/>
      <c r="F233" s="757"/>
    </row>
    <row r="234">
      <c r="D234" s="757"/>
      <c r="E234" s="757"/>
      <c r="F234" s="757"/>
    </row>
    <row r="235">
      <c r="D235" s="757"/>
      <c r="E235" s="757"/>
      <c r="F235" s="757"/>
    </row>
    <row r="236">
      <c r="D236" s="757"/>
      <c r="E236" s="757"/>
      <c r="F236" s="757"/>
    </row>
    <row r="237">
      <c r="D237" s="757"/>
      <c r="E237" s="757"/>
      <c r="F237" s="757"/>
    </row>
    <row r="238">
      <c r="D238" s="757"/>
      <c r="E238" s="757"/>
      <c r="F238" s="757"/>
    </row>
    <row r="239">
      <c r="D239" s="757"/>
      <c r="E239" s="757"/>
      <c r="F239" s="757"/>
    </row>
    <row r="240">
      <c r="D240" s="757"/>
      <c r="E240" s="757"/>
      <c r="F240" s="757"/>
    </row>
    <row r="241">
      <c r="D241" s="757"/>
      <c r="E241" s="757"/>
      <c r="F241" s="757"/>
    </row>
    <row r="242">
      <c r="D242" s="757"/>
      <c r="E242" s="757"/>
      <c r="F242" s="757"/>
    </row>
    <row r="243">
      <c r="D243" s="757"/>
      <c r="E243" s="757"/>
      <c r="F243" s="757"/>
    </row>
    <row r="244">
      <c r="D244" s="757"/>
      <c r="E244" s="757"/>
      <c r="F244" s="757"/>
    </row>
    <row r="245">
      <c r="D245" s="757"/>
      <c r="E245" s="757"/>
      <c r="F245" s="757"/>
    </row>
    <row r="246">
      <c r="D246" s="757"/>
      <c r="E246" s="757"/>
      <c r="F246" s="757"/>
    </row>
    <row r="247">
      <c r="D247" s="757"/>
      <c r="E247" s="757"/>
      <c r="F247" s="757"/>
    </row>
    <row r="248">
      <c r="D248" s="757"/>
      <c r="E248" s="757"/>
      <c r="F248" s="757"/>
    </row>
    <row r="249">
      <c r="D249" s="757"/>
      <c r="E249" s="757"/>
      <c r="F249" s="757"/>
    </row>
    <row r="250">
      <c r="D250" s="757"/>
      <c r="E250" s="757"/>
      <c r="F250" s="757"/>
    </row>
    <row r="251">
      <c r="D251" s="757"/>
      <c r="E251" s="757"/>
      <c r="F251" s="757"/>
    </row>
    <row r="252">
      <c r="D252" s="757"/>
      <c r="E252" s="757"/>
      <c r="F252" s="757"/>
    </row>
    <row r="253">
      <c r="D253" s="757"/>
      <c r="E253" s="757"/>
      <c r="F253" s="757"/>
    </row>
    <row r="254">
      <c r="D254" s="757"/>
      <c r="E254" s="757"/>
      <c r="F254" s="757"/>
    </row>
    <row r="255">
      <c r="D255" s="757"/>
      <c r="E255" s="757"/>
      <c r="F255" s="757"/>
    </row>
    <row r="256">
      <c r="D256" s="757"/>
      <c r="E256" s="757"/>
      <c r="F256" s="757"/>
    </row>
    <row r="257">
      <c r="D257" s="757"/>
      <c r="E257" s="757"/>
      <c r="F257" s="757"/>
    </row>
    <row r="258">
      <c r="D258" s="757"/>
      <c r="E258" s="757"/>
      <c r="F258" s="757"/>
    </row>
    <row r="259">
      <c r="D259" s="757"/>
      <c r="E259" s="757"/>
      <c r="F259" s="757"/>
    </row>
    <row r="260">
      <c r="D260" s="757"/>
      <c r="E260" s="757"/>
      <c r="F260" s="757"/>
    </row>
    <row r="261">
      <c r="D261" s="757"/>
      <c r="E261" s="757"/>
      <c r="F261" s="757"/>
    </row>
    <row r="262">
      <c r="D262" s="757"/>
      <c r="E262" s="757"/>
      <c r="F262" s="757"/>
    </row>
    <row r="263">
      <c r="D263" s="757"/>
      <c r="E263" s="757"/>
      <c r="F263" s="757"/>
    </row>
    <row r="264">
      <c r="D264" s="757"/>
      <c r="E264" s="757"/>
      <c r="F264" s="757"/>
    </row>
    <row r="265">
      <c r="D265" s="757"/>
      <c r="E265" s="757"/>
      <c r="F265" s="757"/>
    </row>
    <row r="266">
      <c r="D266" s="757"/>
      <c r="E266" s="757"/>
      <c r="F266" s="757"/>
    </row>
    <row r="267">
      <c r="D267" s="757"/>
      <c r="E267" s="757"/>
      <c r="F267" s="757"/>
    </row>
    <row r="268">
      <c r="D268" s="757"/>
      <c r="E268" s="757"/>
      <c r="F268" s="757"/>
    </row>
    <row r="269">
      <c r="D269" s="757"/>
      <c r="E269" s="757"/>
      <c r="F269" s="757"/>
    </row>
    <row r="270">
      <c r="D270" s="757"/>
      <c r="E270" s="757"/>
      <c r="F270" s="757"/>
    </row>
    <row r="271">
      <c r="D271" s="757"/>
      <c r="E271" s="757"/>
      <c r="F271" s="757"/>
    </row>
    <row r="272">
      <c r="D272" s="757"/>
      <c r="E272" s="757"/>
      <c r="F272" s="757"/>
    </row>
    <row r="273">
      <c r="D273" s="757"/>
      <c r="E273" s="757"/>
      <c r="F273" s="757"/>
    </row>
    <row r="274">
      <c r="D274" s="757"/>
      <c r="E274" s="757"/>
      <c r="F274" s="757"/>
    </row>
    <row r="275">
      <c r="D275" s="757"/>
      <c r="E275" s="757"/>
      <c r="F275" s="757"/>
    </row>
    <row r="276">
      <c r="D276" s="757"/>
      <c r="E276" s="757"/>
      <c r="F276" s="757"/>
    </row>
    <row r="277">
      <c r="D277" s="757"/>
      <c r="E277" s="757"/>
      <c r="F277" s="757"/>
    </row>
    <row r="278">
      <c r="D278" s="757"/>
      <c r="E278" s="757"/>
      <c r="F278" s="757"/>
    </row>
    <row r="279">
      <c r="D279" s="757"/>
      <c r="E279" s="757"/>
      <c r="F279" s="757"/>
    </row>
    <row r="280">
      <c r="D280" s="757"/>
      <c r="E280" s="757"/>
      <c r="F280" s="757"/>
    </row>
    <row r="281">
      <c r="D281" s="757"/>
      <c r="E281" s="757"/>
      <c r="F281" s="757"/>
    </row>
    <row r="282">
      <c r="D282" s="757"/>
      <c r="E282" s="757"/>
      <c r="F282" s="757"/>
    </row>
    <row r="283">
      <c r="D283" s="757"/>
      <c r="E283" s="757"/>
      <c r="F283" s="757"/>
    </row>
    <row r="284">
      <c r="D284" s="757"/>
      <c r="E284" s="757"/>
      <c r="F284" s="757"/>
    </row>
    <row r="285">
      <c r="D285" s="757"/>
      <c r="E285" s="757"/>
      <c r="F285" s="757"/>
    </row>
    <row r="286">
      <c r="D286" s="757"/>
      <c r="E286" s="757"/>
      <c r="F286" s="757"/>
    </row>
    <row r="287">
      <c r="D287" s="757"/>
      <c r="E287" s="757"/>
      <c r="F287" s="757"/>
    </row>
    <row r="288">
      <c r="D288" s="757"/>
      <c r="E288" s="757"/>
      <c r="F288" s="757"/>
    </row>
    <row r="289">
      <c r="D289" s="757"/>
      <c r="E289" s="757"/>
      <c r="F289" s="757"/>
    </row>
    <row r="290">
      <c r="D290" s="757"/>
      <c r="E290" s="757"/>
      <c r="F290" s="757"/>
    </row>
    <row r="291">
      <c r="D291" s="757"/>
      <c r="E291" s="757"/>
      <c r="F291" s="757"/>
    </row>
    <row r="292">
      <c r="D292" s="757"/>
      <c r="E292" s="757"/>
      <c r="F292" s="757"/>
    </row>
    <row r="293">
      <c r="D293" s="757"/>
      <c r="E293" s="757"/>
      <c r="F293" s="757"/>
    </row>
    <row r="294">
      <c r="D294" s="757"/>
      <c r="E294" s="757"/>
      <c r="F294" s="757"/>
    </row>
    <row r="295">
      <c r="D295" s="757"/>
      <c r="E295" s="757"/>
      <c r="F295" s="757"/>
    </row>
    <row r="296">
      <c r="D296" s="757"/>
      <c r="E296" s="757"/>
      <c r="F296" s="757"/>
    </row>
    <row r="297">
      <c r="D297" s="757"/>
      <c r="E297" s="757"/>
      <c r="F297" s="757"/>
    </row>
    <row r="298">
      <c r="D298" s="757"/>
      <c r="E298" s="757"/>
      <c r="F298" s="757"/>
    </row>
    <row r="299">
      <c r="D299" s="757"/>
      <c r="E299" s="757"/>
      <c r="F299" s="757"/>
    </row>
    <row r="300">
      <c r="D300" s="757"/>
      <c r="E300" s="757"/>
      <c r="F300" s="757"/>
    </row>
    <row r="301">
      <c r="D301" s="757"/>
      <c r="E301" s="757"/>
      <c r="F301" s="757"/>
    </row>
    <row r="302">
      <c r="D302" s="757"/>
      <c r="E302" s="757"/>
      <c r="F302" s="757"/>
    </row>
    <row r="303">
      <c r="D303" s="757"/>
      <c r="E303" s="757"/>
      <c r="F303" s="757"/>
    </row>
    <row r="304">
      <c r="D304" s="757"/>
      <c r="E304" s="757"/>
      <c r="F304" s="757"/>
    </row>
    <row r="305">
      <c r="D305" s="757"/>
      <c r="E305" s="757"/>
      <c r="F305" s="757"/>
    </row>
    <row r="306">
      <c r="D306" s="757"/>
      <c r="E306" s="757"/>
      <c r="F306" s="757"/>
    </row>
    <row r="307">
      <c r="D307" s="757"/>
      <c r="E307" s="757"/>
      <c r="F307" s="757"/>
    </row>
    <row r="308">
      <c r="D308" s="757"/>
      <c r="E308" s="757"/>
      <c r="F308" s="757"/>
    </row>
    <row r="309">
      <c r="D309" s="757"/>
      <c r="E309" s="757"/>
      <c r="F309" s="757"/>
    </row>
    <row r="310">
      <c r="D310" s="757"/>
      <c r="E310" s="757"/>
      <c r="F310" s="757"/>
    </row>
    <row r="311">
      <c r="D311" s="757"/>
      <c r="E311" s="757"/>
      <c r="F311" s="757"/>
    </row>
    <row r="312">
      <c r="D312" s="757"/>
      <c r="E312" s="757"/>
      <c r="F312" s="757"/>
    </row>
    <row r="313">
      <c r="D313" s="757"/>
      <c r="E313" s="757"/>
      <c r="F313" s="757"/>
    </row>
    <row r="314">
      <c r="D314" s="757"/>
      <c r="E314" s="757"/>
      <c r="F314" s="757"/>
    </row>
    <row r="315">
      <c r="D315" s="757"/>
      <c r="E315" s="757"/>
      <c r="F315" s="757"/>
    </row>
    <row r="316">
      <c r="D316" s="757"/>
      <c r="E316" s="757"/>
      <c r="F316" s="757"/>
    </row>
    <row r="317">
      <c r="D317" s="757"/>
      <c r="E317" s="757"/>
      <c r="F317" s="757"/>
    </row>
    <row r="318">
      <c r="D318" s="757"/>
      <c r="E318" s="757"/>
      <c r="F318" s="757"/>
    </row>
    <row r="319">
      <c r="D319" s="757"/>
      <c r="E319" s="757"/>
      <c r="F319" s="757"/>
    </row>
    <row r="320">
      <c r="D320" s="757"/>
      <c r="E320" s="757"/>
      <c r="F320" s="757"/>
    </row>
    <row r="321">
      <c r="D321" s="757"/>
      <c r="E321" s="757"/>
      <c r="F321" s="757"/>
    </row>
    <row r="322">
      <c r="D322" s="757"/>
      <c r="E322" s="757"/>
      <c r="F322" s="757"/>
    </row>
    <row r="323">
      <c r="D323" s="757"/>
      <c r="E323" s="757"/>
      <c r="F323" s="757"/>
    </row>
    <row r="324">
      <c r="D324" s="757"/>
      <c r="E324" s="757"/>
      <c r="F324" s="757"/>
    </row>
    <row r="325">
      <c r="D325" s="757"/>
      <c r="E325" s="757"/>
      <c r="F325" s="757"/>
    </row>
    <row r="326">
      <c r="D326" s="757"/>
      <c r="E326" s="757"/>
      <c r="F326" s="757"/>
    </row>
    <row r="327">
      <c r="D327" s="757"/>
      <c r="E327" s="757"/>
      <c r="F327" s="757"/>
    </row>
    <row r="328">
      <c r="D328" s="757"/>
      <c r="E328" s="757"/>
      <c r="F328" s="757"/>
    </row>
    <row r="329">
      <c r="D329" s="757"/>
      <c r="E329" s="757"/>
      <c r="F329" s="757"/>
    </row>
    <row r="330">
      <c r="D330" s="757"/>
      <c r="E330" s="757"/>
      <c r="F330" s="757"/>
    </row>
    <row r="331">
      <c r="D331" s="757"/>
      <c r="E331" s="757"/>
      <c r="F331" s="757"/>
    </row>
    <row r="332">
      <c r="D332" s="757"/>
      <c r="E332" s="757"/>
      <c r="F332" s="757"/>
    </row>
    <row r="333">
      <c r="D333" s="757"/>
      <c r="E333" s="757"/>
      <c r="F333" s="757"/>
    </row>
    <row r="334">
      <c r="D334" s="757"/>
      <c r="E334" s="757"/>
      <c r="F334" s="757"/>
    </row>
    <row r="335">
      <c r="D335" s="757"/>
      <c r="E335" s="757"/>
      <c r="F335" s="757"/>
    </row>
    <row r="336">
      <c r="D336" s="757"/>
      <c r="E336" s="757"/>
      <c r="F336" s="757"/>
    </row>
    <row r="337">
      <c r="D337" s="757"/>
      <c r="E337" s="757"/>
      <c r="F337" s="757"/>
    </row>
    <row r="338">
      <c r="D338" s="757"/>
      <c r="E338" s="757"/>
      <c r="F338" s="757"/>
    </row>
    <row r="339">
      <c r="D339" s="757"/>
      <c r="E339" s="757"/>
      <c r="F339" s="757"/>
    </row>
    <row r="340">
      <c r="D340" s="757"/>
      <c r="E340" s="757"/>
      <c r="F340" s="757"/>
    </row>
    <row r="341">
      <c r="D341" s="757"/>
      <c r="E341" s="757"/>
      <c r="F341" s="757"/>
    </row>
    <row r="342">
      <c r="D342" s="757"/>
      <c r="E342" s="757"/>
      <c r="F342" s="757"/>
    </row>
    <row r="343">
      <c r="D343" s="757"/>
      <c r="E343" s="757"/>
      <c r="F343" s="757"/>
    </row>
    <row r="344">
      <c r="D344" s="757"/>
      <c r="E344" s="757"/>
      <c r="F344" s="757"/>
    </row>
    <row r="345">
      <c r="D345" s="757"/>
      <c r="E345" s="757"/>
      <c r="F345" s="757"/>
    </row>
    <row r="346">
      <c r="D346" s="757"/>
      <c r="E346" s="757"/>
      <c r="F346" s="757"/>
    </row>
    <row r="347">
      <c r="D347" s="757"/>
      <c r="E347" s="757"/>
      <c r="F347" s="757"/>
    </row>
    <row r="348">
      <c r="D348" s="757"/>
      <c r="E348" s="757"/>
      <c r="F348" s="757"/>
    </row>
    <row r="349">
      <c r="D349" s="757"/>
      <c r="E349" s="757"/>
      <c r="F349" s="757"/>
    </row>
    <row r="350">
      <c r="D350" s="757"/>
      <c r="E350" s="757"/>
      <c r="F350" s="757"/>
    </row>
    <row r="351">
      <c r="D351" s="757"/>
      <c r="E351" s="757"/>
      <c r="F351" s="757"/>
    </row>
    <row r="352">
      <c r="D352" s="757"/>
      <c r="E352" s="757"/>
      <c r="F352" s="757"/>
    </row>
    <row r="353">
      <c r="D353" s="757"/>
      <c r="E353" s="757"/>
      <c r="F353" s="757"/>
    </row>
    <row r="354">
      <c r="D354" s="757"/>
      <c r="E354" s="757"/>
      <c r="F354" s="757"/>
    </row>
    <row r="355">
      <c r="D355" s="757"/>
      <c r="E355" s="757"/>
      <c r="F355" s="757"/>
    </row>
    <row r="356">
      <c r="D356" s="757"/>
      <c r="E356" s="757"/>
      <c r="F356" s="757"/>
    </row>
    <row r="357">
      <c r="D357" s="757"/>
      <c r="E357" s="757"/>
      <c r="F357" s="757"/>
    </row>
    <row r="358">
      <c r="D358" s="757"/>
      <c r="E358" s="757"/>
      <c r="F358" s="757"/>
    </row>
    <row r="359">
      <c r="D359" s="757"/>
      <c r="E359" s="757"/>
      <c r="F359" s="757"/>
    </row>
    <row r="360">
      <c r="D360" s="757"/>
      <c r="E360" s="757"/>
      <c r="F360" s="757"/>
    </row>
    <row r="361">
      <c r="D361" s="757"/>
      <c r="E361" s="757"/>
      <c r="F361" s="757"/>
    </row>
    <row r="362">
      <c r="D362" s="757"/>
      <c r="E362" s="757"/>
      <c r="F362" s="757"/>
    </row>
    <row r="363">
      <c r="D363" s="757"/>
      <c r="E363" s="757"/>
      <c r="F363" s="757"/>
    </row>
    <row r="364">
      <c r="D364" s="757"/>
      <c r="E364" s="757"/>
      <c r="F364" s="757"/>
    </row>
    <row r="365">
      <c r="D365" s="757"/>
      <c r="E365" s="757"/>
      <c r="F365" s="757"/>
    </row>
    <row r="366">
      <c r="D366" s="757"/>
      <c r="E366" s="757"/>
      <c r="F366" s="757"/>
    </row>
    <row r="367">
      <c r="D367" s="757"/>
      <c r="E367" s="757"/>
      <c r="F367" s="757"/>
    </row>
    <row r="368">
      <c r="D368" s="757"/>
      <c r="E368" s="757"/>
      <c r="F368" s="757"/>
    </row>
    <row r="369">
      <c r="D369" s="757"/>
      <c r="E369" s="757"/>
      <c r="F369" s="757"/>
    </row>
    <row r="370">
      <c r="D370" s="757"/>
      <c r="E370" s="757"/>
      <c r="F370" s="757"/>
    </row>
    <row r="371">
      <c r="D371" s="757"/>
      <c r="E371" s="757"/>
      <c r="F371" s="757"/>
    </row>
    <row r="372">
      <c r="D372" s="757"/>
      <c r="E372" s="757"/>
      <c r="F372" s="757"/>
    </row>
    <row r="373">
      <c r="D373" s="757"/>
      <c r="E373" s="757"/>
      <c r="F373" s="757"/>
    </row>
    <row r="374">
      <c r="D374" s="757"/>
      <c r="E374" s="757"/>
      <c r="F374" s="757"/>
    </row>
    <row r="375">
      <c r="D375" s="757"/>
      <c r="E375" s="757"/>
      <c r="F375" s="757"/>
    </row>
    <row r="376">
      <c r="D376" s="757"/>
      <c r="E376" s="757"/>
      <c r="F376" s="757"/>
    </row>
    <row r="377">
      <c r="D377" s="757"/>
      <c r="E377" s="757"/>
      <c r="F377" s="757"/>
    </row>
    <row r="378">
      <c r="D378" s="757"/>
      <c r="E378" s="757"/>
      <c r="F378" s="757"/>
    </row>
    <row r="379">
      <c r="D379" s="757"/>
      <c r="E379" s="757"/>
      <c r="F379" s="757"/>
    </row>
    <row r="380">
      <c r="D380" s="757"/>
      <c r="E380" s="757"/>
      <c r="F380" s="757"/>
    </row>
    <row r="381">
      <c r="D381" s="757"/>
      <c r="E381" s="757"/>
      <c r="F381" s="757"/>
    </row>
    <row r="382">
      <c r="D382" s="757"/>
      <c r="E382" s="757"/>
      <c r="F382" s="757"/>
    </row>
    <row r="383">
      <c r="D383" s="757"/>
      <c r="E383" s="757"/>
      <c r="F383" s="757"/>
    </row>
    <row r="384">
      <c r="D384" s="757"/>
      <c r="E384" s="757"/>
      <c r="F384" s="757"/>
    </row>
    <row r="385">
      <c r="D385" s="757"/>
      <c r="E385" s="757"/>
      <c r="F385" s="757"/>
    </row>
    <row r="386">
      <c r="D386" s="757"/>
      <c r="E386" s="757"/>
      <c r="F386" s="757"/>
    </row>
    <row r="387">
      <c r="D387" s="757"/>
      <c r="E387" s="757"/>
      <c r="F387" s="757"/>
    </row>
    <row r="388">
      <c r="D388" s="757"/>
      <c r="E388" s="757"/>
      <c r="F388" s="757"/>
    </row>
    <row r="389">
      <c r="D389" s="757"/>
      <c r="E389" s="757"/>
      <c r="F389" s="757"/>
    </row>
    <row r="390">
      <c r="D390" s="757"/>
      <c r="E390" s="757"/>
      <c r="F390" s="757"/>
    </row>
    <row r="391">
      <c r="D391" s="757"/>
      <c r="E391" s="757"/>
      <c r="F391" s="757"/>
    </row>
    <row r="392">
      <c r="D392" s="757"/>
      <c r="E392" s="757"/>
      <c r="F392" s="757"/>
    </row>
    <row r="393">
      <c r="D393" s="757"/>
      <c r="E393" s="757"/>
      <c r="F393" s="757"/>
    </row>
    <row r="394">
      <c r="D394" s="757"/>
      <c r="E394" s="757"/>
      <c r="F394" s="757"/>
    </row>
    <row r="395">
      <c r="D395" s="757"/>
      <c r="E395" s="757"/>
      <c r="F395" s="757"/>
    </row>
    <row r="396">
      <c r="D396" s="757"/>
      <c r="E396" s="757"/>
      <c r="F396" s="757"/>
    </row>
    <row r="397">
      <c r="D397" s="757"/>
      <c r="E397" s="757"/>
      <c r="F397" s="757"/>
    </row>
    <row r="398">
      <c r="D398" s="757"/>
      <c r="E398" s="757"/>
      <c r="F398" s="757"/>
    </row>
    <row r="399">
      <c r="D399" s="757"/>
      <c r="E399" s="757"/>
      <c r="F399" s="757"/>
    </row>
    <row r="400">
      <c r="D400" s="757"/>
      <c r="E400" s="757"/>
      <c r="F400" s="757"/>
    </row>
    <row r="401">
      <c r="D401" s="757"/>
      <c r="E401" s="757"/>
      <c r="F401" s="757"/>
    </row>
    <row r="402">
      <c r="D402" s="757"/>
      <c r="E402" s="757"/>
      <c r="F402" s="757"/>
    </row>
    <row r="403">
      <c r="D403" s="757"/>
      <c r="E403" s="757"/>
      <c r="F403" s="757"/>
    </row>
    <row r="404">
      <c r="D404" s="757"/>
      <c r="E404" s="757"/>
      <c r="F404" s="757"/>
    </row>
    <row r="405">
      <c r="D405" s="757"/>
      <c r="E405" s="757"/>
      <c r="F405" s="757"/>
    </row>
    <row r="406">
      <c r="D406" s="757"/>
      <c r="E406" s="757"/>
      <c r="F406" s="757"/>
    </row>
    <row r="407">
      <c r="D407" s="757"/>
      <c r="E407" s="757"/>
      <c r="F407" s="757"/>
    </row>
    <row r="408">
      <c r="D408" s="757"/>
      <c r="E408" s="757"/>
      <c r="F408" s="757"/>
    </row>
    <row r="409">
      <c r="D409" s="757"/>
      <c r="E409" s="757"/>
      <c r="F409" s="757"/>
    </row>
    <row r="410">
      <c r="D410" s="757"/>
      <c r="E410" s="757"/>
      <c r="F410" s="757"/>
    </row>
    <row r="411">
      <c r="D411" s="757"/>
      <c r="E411" s="757"/>
      <c r="F411" s="757"/>
    </row>
    <row r="412">
      <c r="D412" s="757"/>
      <c r="E412" s="757"/>
      <c r="F412" s="757"/>
    </row>
    <row r="413">
      <c r="D413" s="757"/>
      <c r="E413" s="757"/>
      <c r="F413" s="757"/>
    </row>
    <row r="414">
      <c r="D414" s="757"/>
      <c r="E414" s="757"/>
      <c r="F414" s="757"/>
    </row>
    <row r="415">
      <c r="D415" s="757"/>
      <c r="E415" s="757"/>
      <c r="F415" s="757"/>
    </row>
    <row r="416">
      <c r="D416" s="757"/>
      <c r="E416" s="757"/>
      <c r="F416" s="757"/>
    </row>
    <row r="417">
      <c r="D417" s="757"/>
      <c r="E417" s="757"/>
      <c r="F417" s="757"/>
    </row>
    <row r="418">
      <c r="D418" s="757"/>
      <c r="E418" s="757"/>
      <c r="F418" s="757"/>
    </row>
    <row r="419">
      <c r="D419" s="757"/>
      <c r="E419" s="757"/>
      <c r="F419" s="757"/>
    </row>
    <row r="420">
      <c r="D420" s="757"/>
      <c r="E420" s="757"/>
      <c r="F420" s="757"/>
    </row>
    <row r="421">
      <c r="D421" s="757"/>
      <c r="E421" s="757"/>
      <c r="F421" s="757"/>
    </row>
    <row r="422">
      <c r="D422" s="757"/>
      <c r="E422" s="757"/>
      <c r="F422" s="757"/>
    </row>
    <row r="423">
      <c r="D423" s="757"/>
      <c r="E423" s="757"/>
      <c r="F423" s="757"/>
    </row>
    <row r="424">
      <c r="D424" s="757"/>
      <c r="E424" s="757"/>
      <c r="F424" s="757"/>
    </row>
    <row r="425">
      <c r="D425" s="757"/>
      <c r="E425" s="757"/>
      <c r="F425" s="757"/>
    </row>
    <row r="426">
      <c r="D426" s="757"/>
      <c r="E426" s="757"/>
      <c r="F426" s="757"/>
    </row>
    <row r="427">
      <c r="D427" s="757"/>
      <c r="E427" s="757"/>
      <c r="F427" s="757"/>
    </row>
    <row r="428">
      <c r="D428" s="757"/>
      <c r="E428" s="757"/>
      <c r="F428" s="757"/>
    </row>
    <row r="429">
      <c r="D429" s="757"/>
      <c r="E429" s="757"/>
      <c r="F429" s="757"/>
    </row>
    <row r="430">
      <c r="D430" s="757"/>
      <c r="E430" s="757"/>
      <c r="F430" s="757"/>
    </row>
    <row r="431">
      <c r="D431" s="757"/>
      <c r="E431" s="757"/>
      <c r="F431" s="757"/>
    </row>
    <row r="432">
      <c r="D432" s="757"/>
      <c r="E432" s="757"/>
      <c r="F432" s="757"/>
    </row>
    <row r="433">
      <c r="D433" s="757"/>
      <c r="E433" s="757"/>
      <c r="F433" s="757"/>
    </row>
    <row r="434">
      <c r="D434" s="757"/>
      <c r="E434" s="757"/>
      <c r="F434" s="757"/>
    </row>
    <row r="435">
      <c r="D435" s="757"/>
      <c r="E435" s="757"/>
      <c r="F435" s="757"/>
    </row>
    <row r="436">
      <c r="D436" s="757"/>
      <c r="E436" s="757"/>
      <c r="F436" s="757"/>
    </row>
    <row r="437">
      <c r="D437" s="757"/>
      <c r="E437" s="757"/>
      <c r="F437" s="757"/>
    </row>
    <row r="438">
      <c r="D438" s="757"/>
      <c r="E438" s="757"/>
      <c r="F438" s="757"/>
    </row>
    <row r="439">
      <c r="D439" s="757"/>
      <c r="E439" s="757"/>
      <c r="F439" s="757"/>
    </row>
    <row r="440">
      <c r="D440" s="757"/>
      <c r="E440" s="757"/>
      <c r="F440" s="757"/>
    </row>
    <row r="441">
      <c r="D441" s="757"/>
      <c r="E441" s="757"/>
      <c r="F441" s="757"/>
    </row>
    <row r="442">
      <c r="D442" s="757"/>
      <c r="E442" s="757"/>
      <c r="F442" s="757"/>
    </row>
    <row r="443">
      <c r="D443" s="757"/>
      <c r="E443" s="757"/>
      <c r="F443" s="757"/>
    </row>
    <row r="444">
      <c r="D444" s="757"/>
      <c r="E444" s="757"/>
      <c r="F444" s="757"/>
    </row>
    <row r="445">
      <c r="D445" s="757"/>
      <c r="E445" s="757"/>
      <c r="F445" s="757"/>
    </row>
    <row r="446">
      <c r="D446" s="757"/>
      <c r="E446" s="757"/>
      <c r="F446" s="757"/>
    </row>
    <row r="447">
      <c r="D447" s="757"/>
      <c r="E447" s="757"/>
      <c r="F447" s="757"/>
    </row>
    <row r="448">
      <c r="D448" s="757"/>
      <c r="E448" s="757"/>
      <c r="F448" s="757"/>
    </row>
    <row r="449">
      <c r="D449" s="757"/>
      <c r="E449" s="757"/>
      <c r="F449" s="757"/>
    </row>
    <row r="450">
      <c r="D450" s="757"/>
      <c r="E450" s="757"/>
      <c r="F450" s="757"/>
    </row>
    <row r="451">
      <c r="D451" s="757"/>
      <c r="E451" s="757"/>
      <c r="F451" s="757"/>
    </row>
    <row r="452">
      <c r="D452" s="757"/>
      <c r="E452" s="757"/>
      <c r="F452" s="757"/>
    </row>
    <row r="453">
      <c r="D453" s="757"/>
      <c r="E453" s="757"/>
      <c r="F453" s="757"/>
    </row>
    <row r="454">
      <c r="D454" s="757"/>
      <c r="E454" s="757"/>
      <c r="F454" s="757"/>
    </row>
    <row r="455">
      <c r="D455" s="757"/>
      <c r="E455" s="757"/>
      <c r="F455" s="757"/>
    </row>
    <row r="456">
      <c r="D456" s="757"/>
      <c r="E456" s="757"/>
      <c r="F456" s="757"/>
    </row>
    <row r="457">
      <c r="D457" s="757"/>
      <c r="E457" s="757"/>
      <c r="F457" s="757"/>
    </row>
    <row r="458">
      <c r="D458" s="757"/>
      <c r="E458" s="757"/>
      <c r="F458" s="757"/>
    </row>
    <row r="459">
      <c r="D459" s="757"/>
      <c r="E459" s="757"/>
      <c r="F459" s="757"/>
    </row>
    <row r="460">
      <c r="D460" s="757"/>
      <c r="E460" s="757"/>
      <c r="F460" s="757"/>
    </row>
    <row r="461">
      <c r="D461" s="757"/>
      <c r="E461" s="757"/>
      <c r="F461" s="757"/>
    </row>
    <row r="462">
      <c r="D462" s="757"/>
      <c r="E462" s="757"/>
      <c r="F462" s="757"/>
    </row>
    <row r="463">
      <c r="D463" s="757"/>
      <c r="E463" s="757"/>
      <c r="F463" s="757"/>
    </row>
    <row r="464">
      <c r="D464" s="757"/>
      <c r="E464" s="757"/>
      <c r="F464" s="757"/>
    </row>
    <row r="465">
      <c r="D465" s="757"/>
      <c r="E465" s="757"/>
      <c r="F465" s="757"/>
    </row>
    <row r="466">
      <c r="D466" s="757"/>
      <c r="E466" s="757"/>
      <c r="F466" s="757"/>
    </row>
    <row r="467">
      <c r="D467" s="757"/>
      <c r="E467" s="757"/>
      <c r="F467" s="757"/>
    </row>
    <row r="468">
      <c r="D468" s="757"/>
      <c r="E468" s="757"/>
      <c r="F468" s="757"/>
    </row>
    <row r="469">
      <c r="D469" s="757"/>
      <c r="E469" s="757"/>
      <c r="F469" s="757"/>
    </row>
    <row r="470">
      <c r="D470" s="757"/>
      <c r="E470" s="757"/>
      <c r="F470" s="757"/>
    </row>
    <row r="471">
      <c r="D471" s="757"/>
      <c r="E471" s="757"/>
      <c r="F471" s="757"/>
    </row>
    <row r="472">
      <c r="D472" s="757"/>
      <c r="E472" s="757"/>
      <c r="F472" s="757"/>
    </row>
    <row r="473">
      <c r="D473" s="757"/>
      <c r="E473" s="757"/>
      <c r="F473" s="757"/>
    </row>
    <row r="474">
      <c r="D474" s="757"/>
      <c r="E474" s="757"/>
      <c r="F474" s="757"/>
    </row>
    <row r="475">
      <c r="D475" s="757"/>
      <c r="E475" s="757"/>
      <c r="F475" s="757"/>
    </row>
    <row r="476">
      <c r="D476" s="757"/>
      <c r="E476" s="757"/>
      <c r="F476" s="757"/>
    </row>
    <row r="477">
      <c r="D477" s="757"/>
      <c r="E477" s="757"/>
      <c r="F477" s="757"/>
    </row>
    <row r="478">
      <c r="D478" s="757"/>
      <c r="E478" s="757"/>
      <c r="F478" s="757"/>
    </row>
    <row r="479">
      <c r="D479" s="757"/>
      <c r="E479" s="757"/>
      <c r="F479" s="757"/>
    </row>
    <row r="480">
      <c r="D480" s="757"/>
      <c r="E480" s="757"/>
      <c r="F480" s="757"/>
    </row>
    <row r="481">
      <c r="D481" s="757"/>
      <c r="E481" s="757"/>
      <c r="F481" s="757"/>
    </row>
    <row r="482">
      <c r="D482" s="757"/>
      <c r="E482" s="757"/>
      <c r="F482" s="757"/>
    </row>
    <row r="483">
      <c r="D483" s="757"/>
      <c r="E483" s="757"/>
      <c r="F483" s="757"/>
    </row>
    <row r="484">
      <c r="D484" s="757"/>
      <c r="E484" s="757"/>
      <c r="F484" s="757"/>
    </row>
    <row r="485">
      <c r="D485" s="757"/>
      <c r="E485" s="757"/>
      <c r="F485" s="757"/>
    </row>
    <row r="486">
      <c r="D486" s="757"/>
      <c r="E486" s="757"/>
      <c r="F486" s="757"/>
    </row>
    <row r="487">
      <c r="D487" s="757"/>
      <c r="E487" s="757"/>
      <c r="F487" s="757"/>
    </row>
    <row r="488">
      <c r="D488" s="757"/>
      <c r="E488" s="757"/>
      <c r="F488" s="757"/>
    </row>
    <row r="489">
      <c r="D489" s="757"/>
      <c r="E489" s="757"/>
      <c r="F489" s="757"/>
    </row>
    <row r="490">
      <c r="D490" s="757"/>
      <c r="E490" s="757"/>
      <c r="F490" s="757"/>
    </row>
    <row r="491">
      <c r="D491" s="757"/>
      <c r="E491" s="757"/>
      <c r="F491" s="757"/>
    </row>
    <row r="492">
      <c r="D492" s="757"/>
      <c r="E492" s="757"/>
      <c r="F492" s="757"/>
    </row>
    <row r="493">
      <c r="D493" s="757"/>
      <c r="E493" s="757"/>
      <c r="F493" s="757"/>
    </row>
    <row r="494">
      <c r="D494" s="757"/>
      <c r="E494" s="757"/>
      <c r="F494" s="757"/>
    </row>
    <row r="495">
      <c r="D495" s="757"/>
      <c r="E495" s="757"/>
      <c r="F495" s="757"/>
    </row>
    <row r="496">
      <c r="D496" s="757"/>
      <c r="E496" s="757"/>
      <c r="F496" s="757"/>
    </row>
    <row r="497">
      <c r="D497" s="757"/>
      <c r="E497" s="757"/>
      <c r="F497" s="757"/>
    </row>
    <row r="498">
      <c r="D498" s="757"/>
      <c r="E498" s="757"/>
      <c r="F498" s="757"/>
    </row>
    <row r="499">
      <c r="D499" s="757"/>
      <c r="E499" s="757"/>
      <c r="F499" s="757"/>
    </row>
    <row r="500">
      <c r="D500" s="757"/>
      <c r="E500" s="757"/>
      <c r="F500" s="757"/>
    </row>
    <row r="501">
      <c r="D501" s="757"/>
      <c r="E501" s="757"/>
      <c r="F501" s="757"/>
    </row>
    <row r="502">
      <c r="D502" s="757"/>
      <c r="E502" s="757"/>
      <c r="F502" s="757"/>
    </row>
    <row r="503">
      <c r="D503" s="757"/>
      <c r="E503" s="757"/>
      <c r="F503" s="757"/>
    </row>
    <row r="504">
      <c r="D504" s="757"/>
      <c r="E504" s="757"/>
      <c r="F504" s="757"/>
    </row>
    <row r="505">
      <c r="D505" s="757"/>
      <c r="E505" s="757"/>
      <c r="F505" s="757"/>
    </row>
    <row r="506">
      <c r="D506" s="757"/>
      <c r="E506" s="757"/>
      <c r="F506" s="757"/>
    </row>
    <row r="507">
      <c r="D507" s="757"/>
      <c r="E507" s="757"/>
      <c r="F507" s="757"/>
    </row>
    <row r="508">
      <c r="D508" s="757"/>
      <c r="E508" s="757"/>
      <c r="F508" s="757"/>
    </row>
    <row r="509">
      <c r="D509" s="757"/>
      <c r="E509" s="757"/>
      <c r="F509" s="757"/>
    </row>
    <row r="510">
      <c r="D510" s="757"/>
      <c r="E510" s="757"/>
      <c r="F510" s="757"/>
    </row>
    <row r="511">
      <c r="D511" s="757"/>
      <c r="E511" s="757"/>
      <c r="F511" s="757"/>
    </row>
    <row r="512">
      <c r="D512" s="757"/>
      <c r="E512" s="757"/>
      <c r="F512" s="757"/>
    </row>
    <row r="513">
      <c r="D513" s="757"/>
      <c r="E513" s="757"/>
      <c r="F513" s="757"/>
    </row>
    <row r="514">
      <c r="D514" s="757"/>
      <c r="E514" s="757"/>
      <c r="F514" s="757"/>
    </row>
    <row r="515">
      <c r="D515" s="757"/>
      <c r="E515" s="757"/>
      <c r="F515" s="757"/>
    </row>
    <row r="516">
      <c r="D516" s="757"/>
      <c r="E516" s="757"/>
      <c r="F516" s="757"/>
    </row>
    <row r="517">
      <c r="D517" s="757"/>
      <c r="E517" s="757"/>
      <c r="F517" s="757"/>
    </row>
    <row r="518">
      <c r="D518" s="757"/>
      <c r="E518" s="757"/>
      <c r="F518" s="757"/>
    </row>
    <row r="519">
      <c r="D519" s="757"/>
      <c r="E519" s="757"/>
      <c r="F519" s="757"/>
    </row>
    <row r="520">
      <c r="D520" s="757"/>
      <c r="E520" s="757"/>
      <c r="F520" s="757"/>
    </row>
    <row r="521">
      <c r="D521" s="757"/>
      <c r="E521" s="757"/>
      <c r="F521" s="757"/>
    </row>
    <row r="522">
      <c r="D522" s="757"/>
      <c r="E522" s="757"/>
      <c r="F522" s="757"/>
    </row>
    <row r="523">
      <c r="D523" s="757"/>
      <c r="E523" s="757"/>
      <c r="F523" s="757"/>
    </row>
    <row r="524">
      <c r="D524" s="757"/>
      <c r="E524" s="757"/>
      <c r="F524" s="757"/>
    </row>
    <row r="525">
      <c r="D525" s="757"/>
      <c r="E525" s="757"/>
      <c r="F525" s="757"/>
    </row>
    <row r="526">
      <c r="D526" s="757"/>
      <c r="E526" s="757"/>
      <c r="F526" s="757"/>
    </row>
    <row r="527">
      <c r="D527" s="757"/>
      <c r="E527" s="757"/>
      <c r="F527" s="757"/>
    </row>
    <row r="528">
      <c r="D528" s="757"/>
      <c r="E528" s="757"/>
      <c r="F528" s="757"/>
    </row>
    <row r="529">
      <c r="D529" s="757"/>
      <c r="E529" s="757"/>
      <c r="F529" s="757"/>
    </row>
    <row r="530">
      <c r="D530" s="757"/>
      <c r="E530" s="757"/>
      <c r="F530" s="757"/>
    </row>
    <row r="531">
      <c r="D531" s="757"/>
      <c r="E531" s="757"/>
      <c r="F531" s="757"/>
    </row>
    <row r="532">
      <c r="D532" s="757"/>
      <c r="E532" s="757"/>
      <c r="F532" s="757"/>
    </row>
    <row r="533">
      <c r="D533" s="757"/>
      <c r="E533" s="757"/>
      <c r="F533" s="757"/>
    </row>
    <row r="534">
      <c r="D534" s="757"/>
      <c r="E534" s="757"/>
      <c r="F534" s="757"/>
    </row>
    <row r="535">
      <c r="D535" s="757"/>
      <c r="E535" s="757"/>
      <c r="F535" s="757"/>
    </row>
    <row r="536">
      <c r="D536" s="757"/>
      <c r="E536" s="757"/>
      <c r="F536" s="757"/>
    </row>
    <row r="537">
      <c r="D537" s="757"/>
      <c r="E537" s="757"/>
      <c r="F537" s="757"/>
    </row>
    <row r="538">
      <c r="D538" s="757"/>
      <c r="E538" s="757"/>
      <c r="F538" s="757"/>
    </row>
    <row r="539">
      <c r="D539" s="757"/>
      <c r="E539" s="757"/>
      <c r="F539" s="757"/>
    </row>
    <row r="540">
      <c r="D540" s="757"/>
      <c r="E540" s="757"/>
      <c r="F540" s="757"/>
    </row>
    <row r="541">
      <c r="D541" s="757"/>
      <c r="E541" s="757"/>
      <c r="F541" s="757"/>
    </row>
    <row r="542">
      <c r="D542" s="757"/>
      <c r="E542" s="757"/>
      <c r="F542" s="757"/>
    </row>
    <row r="543">
      <c r="D543" s="757"/>
      <c r="E543" s="757"/>
      <c r="F543" s="757"/>
    </row>
    <row r="544">
      <c r="D544" s="757"/>
      <c r="E544" s="757"/>
      <c r="F544" s="757"/>
    </row>
    <row r="545">
      <c r="D545" s="757"/>
      <c r="E545" s="757"/>
      <c r="F545" s="757"/>
    </row>
    <row r="546">
      <c r="D546" s="757"/>
      <c r="E546" s="757"/>
      <c r="F546" s="757"/>
    </row>
    <row r="547">
      <c r="D547" s="757"/>
      <c r="E547" s="757"/>
      <c r="F547" s="757"/>
    </row>
    <row r="548">
      <c r="D548" s="757"/>
      <c r="E548" s="757"/>
      <c r="F548" s="757"/>
    </row>
    <row r="549">
      <c r="D549" s="757"/>
      <c r="E549" s="757"/>
      <c r="F549" s="757"/>
    </row>
    <row r="550">
      <c r="D550" s="757"/>
      <c r="E550" s="757"/>
      <c r="F550" s="757"/>
    </row>
    <row r="551">
      <c r="D551" s="757"/>
      <c r="E551" s="757"/>
      <c r="F551" s="757"/>
    </row>
    <row r="552">
      <c r="D552" s="757"/>
      <c r="E552" s="757"/>
      <c r="F552" s="757"/>
    </row>
    <row r="553">
      <c r="D553" s="757"/>
      <c r="E553" s="757"/>
      <c r="F553" s="757"/>
    </row>
    <row r="554">
      <c r="D554" s="757"/>
      <c r="E554" s="757"/>
      <c r="F554" s="757"/>
    </row>
    <row r="555">
      <c r="D555" s="757"/>
      <c r="E555" s="757"/>
      <c r="F555" s="757"/>
    </row>
    <row r="556">
      <c r="D556" s="757"/>
      <c r="E556" s="757"/>
      <c r="F556" s="757"/>
    </row>
    <row r="557">
      <c r="D557" s="757"/>
      <c r="E557" s="757"/>
      <c r="F557" s="757"/>
    </row>
    <row r="558">
      <c r="D558" s="757"/>
      <c r="E558" s="757"/>
      <c r="F558" s="757"/>
    </row>
    <row r="559">
      <c r="D559" s="757"/>
      <c r="E559" s="757"/>
      <c r="F559" s="757"/>
    </row>
    <row r="560">
      <c r="D560" s="757"/>
      <c r="E560" s="757"/>
      <c r="F560" s="757"/>
    </row>
    <row r="561">
      <c r="D561" s="757"/>
      <c r="E561" s="757"/>
      <c r="F561" s="757"/>
    </row>
    <row r="562">
      <c r="D562" s="757"/>
      <c r="E562" s="757"/>
      <c r="F562" s="757"/>
    </row>
    <row r="563">
      <c r="D563" s="757"/>
      <c r="E563" s="757"/>
      <c r="F563" s="757"/>
    </row>
    <row r="564">
      <c r="D564" s="757"/>
      <c r="E564" s="757"/>
      <c r="F564" s="757"/>
    </row>
    <row r="565">
      <c r="D565" s="757"/>
      <c r="E565" s="757"/>
      <c r="F565" s="757"/>
    </row>
    <row r="566">
      <c r="D566" s="757"/>
      <c r="E566" s="757"/>
      <c r="F566" s="757"/>
    </row>
    <row r="567">
      <c r="D567" s="757"/>
      <c r="E567" s="757"/>
      <c r="F567" s="757"/>
    </row>
    <row r="568">
      <c r="D568" s="757"/>
      <c r="E568" s="757"/>
      <c r="F568" s="757"/>
    </row>
    <row r="569">
      <c r="D569" s="757"/>
      <c r="E569" s="757"/>
      <c r="F569" s="757"/>
    </row>
    <row r="570">
      <c r="D570" s="757"/>
      <c r="E570" s="757"/>
      <c r="F570" s="757"/>
    </row>
    <row r="571">
      <c r="D571" s="757"/>
      <c r="E571" s="757"/>
      <c r="F571" s="757"/>
    </row>
    <row r="572">
      <c r="D572" s="757"/>
      <c r="E572" s="757"/>
      <c r="F572" s="757"/>
    </row>
    <row r="573">
      <c r="D573" s="757"/>
      <c r="E573" s="757"/>
      <c r="F573" s="757"/>
    </row>
    <row r="574">
      <c r="D574" s="757"/>
      <c r="E574" s="757"/>
      <c r="F574" s="757"/>
    </row>
    <row r="575">
      <c r="D575" s="757"/>
      <c r="E575" s="757"/>
      <c r="F575" s="757"/>
    </row>
    <row r="576">
      <c r="D576" s="757"/>
      <c r="E576" s="757"/>
      <c r="F576" s="757"/>
    </row>
    <row r="577">
      <c r="D577" s="757"/>
      <c r="E577" s="757"/>
      <c r="F577" s="757"/>
    </row>
    <row r="578">
      <c r="D578" s="757"/>
      <c r="E578" s="757"/>
      <c r="F578" s="757"/>
    </row>
    <row r="579">
      <c r="D579" s="757"/>
      <c r="E579" s="757"/>
      <c r="F579" s="757"/>
    </row>
    <row r="580">
      <c r="D580" s="757"/>
      <c r="E580" s="757"/>
      <c r="F580" s="757"/>
    </row>
    <row r="581">
      <c r="D581" s="757"/>
      <c r="E581" s="757"/>
      <c r="F581" s="757"/>
    </row>
    <row r="582">
      <c r="D582" s="757"/>
      <c r="E582" s="757"/>
      <c r="F582" s="757"/>
    </row>
    <row r="583">
      <c r="D583" s="757"/>
      <c r="E583" s="757"/>
      <c r="F583" s="757"/>
    </row>
    <row r="584">
      <c r="D584" s="757"/>
      <c r="E584" s="757"/>
      <c r="F584" s="757"/>
    </row>
    <row r="585">
      <c r="D585" s="757"/>
      <c r="E585" s="757"/>
      <c r="F585" s="757"/>
    </row>
    <row r="586">
      <c r="D586" s="757"/>
      <c r="E586" s="757"/>
      <c r="F586" s="757"/>
    </row>
    <row r="587">
      <c r="D587" s="757"/>
      <c r="E587" s="757"/>
      <c r="F587" s="757"/>
    </row>
    <row r="588">
      <c r="D588" s="757"/>
      <c r="E588" s="757"/>
      <c r="F588" s="757"/>
    </row>
    <row r="589">
      <c r="D589" s="757"/>
      <c r="E589" s="757"/>
      <c r="F589" s="757"/>
    </row>
    <row r="590">
      <c r="D590" s="757"/>
      <c r="E590" s="757"/>
      <c r="F590" s="757"/>
    </row>
    <row r="591">
      <c r="D591" s="757"/>
      <c r="E591" s="757"/>
      <c r="F591" s="757"/>
    </row>
    <row r="592">
      <c r="D592" s="757"/>
      <c r="E592" s="757"/>
      <c r="F592" s="757"/>
    </row>
    <row r="593">
      <c r="D593" s="757"/>
      <c r="E593" s="757"/>
      <c r="F593" s="757"/>
    </row>
    <row r="594">
      <c r="D594" s="757"/>
      <c r="E594" s="757"/>
      <c r="F594" s="757"/>
    </row>
    <row r="595">
      <c r="D595" s="757"/>
      <c r="E595" s="757"/>
      <c r="F595" s="757"/>
    </row>
    <row r="596">
      <c r="D596" s="757"/>
      <c r="E596" s="757"/>
      <c r="F596" s="757"/>
    </row>
    <row r="597">
      <c r="D597" s="757"/>
      <c r="E597" s="757"/>
      <c r="F597" s="757"/>
    </row>
    <row r="598">
      <c r="D598" s="757"/>
      <c r="E598" s="757"/>
      <c r="F598" s="757"/>
    </row>
    <row r="599">
      <c r="D599" s="757"/>
      <c r="E599" s="757"/>
      <c r="F599" s="757"/>
    </row>
    <row r="600">
      <c r="D600" s="757"/>
      <c r="E600" s="757"/>
      <c r="F600" s="757"/>
    </row>
    <row r="601">
      <c r="D601" s="757"/>
      <c r="E601" s="757"/>
      <c r="F601" s="757"/>
    </row>
    <row r="602">
      <c r="D602" s="757"/>
      <c r="E602" s="757"/>
      <c r="F602" s="757"/>
    </row>
    <row r="603">
      <c r="D603" s="757"/>
      <c r="E603" s="757"/>
      <c r="F603" s="757"/>
    </row>
    <row r="604">
      <c r="D604" s="757"/>
      <c r="E604" s="757"/>
      <c r="F604" s="757"/>
    </row>
    <row r="605">
      <c r="D605" s="757"/>
      <c r="E605" s="757"/>
      <c r="F605" s="757"/>
    </row>
    <row r="606">
      <c r="D606" s="757"/>
      <c r="E606" s="757"/>
      <c r="F606" s="757"/>
    </row>
    <row r="607">
      <c r="D607" s="757"/>
      <c r="E607" s="757"/>
      <c r="F607" s="757"/>
    </row>
    <row r="608">
      <c r="D608" s="757"/>
      <c r="E608" s="757"/>
      <c r="F608" s="757"/>
    </row>
    <row r="609">
      <c r="D609" s="757"/>
      <c r="E609" s="757"/>
      <c r="F609" s="757"/>
    </row>
    <row r="610">
      <c r="D610" s="757"/>
      <c r="E610" s="757"/>
      <c r="F610" s="757"/>
    </row>
    <row r="611">
      <c r="D611" s="757"/>
      <c r="E611" s="757"/>
      <c r="F611" s="757"/>
    </row>
    <row r="612">
      <c r="D612" s="757"/>
      <c r="E612" s="757"/>
      <c r="F612" s="757"/>
    </row>
    <row r="613">
      <c r="D613" s="757"/>
      <c r="E613" s="757"/>
      <c r="F613" s="757"/>
    </row>
    <row r="614">
      <c r="D614" s="757"/>
      <c r="E614" s="757"/>
      <c r="F614" s="757"/>
    </row>
    <row r="615">
      <c r="D615" s="757"/>
      <c r="E615" s="757"/>
      <c r="F615" s="757"/>
    </row>
    <row r="616">
      <c r="D616" s="757"/>
      <c r="E616" s="757"/>
      <c r="F616" s="757"/>
    </row>
    <row r="617">
      <c r="D617" s="757"/>
      <c r="E617" s="757"/>
      <c r="F617" s="757"/>
    </row>
    <row r="618">
      <c r="D618" s="757"/>
      <c r="E618" s="757"/>
      <c r="F618" s="757"/>
    </row>
    <row r="619">
      <c r="D619" s="757"/>
      <c r="E619" s="757"/>
      <c r="F619" s="757"/>
    </row>
    <row r="620">
      <c r="D620" s="757"/>
      <c r="E620" s="757"/>
      <c r="F620" s="757"/>
    </row>
    <row r="621">
      <c r="D621" s="757"/>
      <c r="E621" s="757"/>
      <c r="F621" s="757"/>
    </row>
    <row r="622">
      <c r="D622" s="757"/>
      <c r="E622" s="757"/>
      <c r="F622" s="757"/>
    </row>
    <row r="623">
      <c r="D623" s="757"/>
      <c r="E623" s="757"/>
      <c r="F623" s="757"/>
    </row>
    <row r="624">
      <c r="D624" s="757"/>
      <c r="E624" s="757"/>
      <c r="F624" s="757"/>
    </row>
    <row r="625">
      <c r="D625" s="757"/>
      <c r="E625" s="757"/>
      <c r="F625" s="757"/>
    </row>
    <row r="626">
      <c r="D626" s="757"/>
      <c r="E626" s="757"/>
      <c r="F626" s="757"/>
    </row>
    <row r="627">
      <c r="D627" s="757"/>
      <c r="E627" s="757"/>
      <c r="F627" s="757"/>
    </row>
    <row r="628">
      <c r="D628" s="757"/>
      <c r="E628" s="757"/>
      <c r="F628" s="757"/>
    </row>
    <row r="629">
      <c r="D629" s="757"/>
      <c r="E629" s="757"/>
      <c r="F629" s="757"/>
    </row>
    <row r="630">
      <c r="D630" s="757"/>
      <c r="E630" s="757"/>
      <c r="F630" s="757"/>
    </row>
    <row r="631">
      <c r="D631" s="757"/>
      <c r="E631" s="757"/>
      <c r="F631" s="757"/>
    </row>
    <row r="632">
      <c r="D632" s="757"/>
      <c r="E632" s="757"/>
      <c r="F632" s="757"/>
    </row>
    <row r="633">
      <c r="D633" s="757"/>
      <c r="E633" s="757"/>
      <c r="F633" s="757"/>
    </row>
    <row r="634">
      <c r="D634" s="757"/>
      <c r="E634" s="757"/>
      <c r="F634" s="757"/>
    </row>
    <row r="635">
      <c r="D635" s="757"/>
      <c r="E635" s="757"/>
      <c r="F635" s="757"/>
    </row>
    <row r="636">
      <c r="D636" s="757"/>
      <c r="E636" s="757"/>
      <c r="F636" s="757"/>
    </row>
    <row r="637">
      <c r="D637" s="757"/>
      <c r="E637" s="757"/>
      <c r="F637" s="757"/>
    </row>
    <row r="638">
      <c r="D638" s="757"/>
      <c r="E638" s="757"/>
      <c r="F638" s="757"/>
    </row>
    <row r="639">
      <c r="D639" s="757"/>
      <c r="E639" s="757"/>
      <c r="F639" s="757"/>
    </row>
    <row r="640">
      <c r="D640" s="757"/>
      <c r="E640" s="757"/>
      <c r="F640" s="757"/>
    </row>
    <row r="641">
      <c r="D641" s="757"/>
      <c r="E641" s="757"/>
      <c r="F641" s="757"/>
    </row>
    <row r="642">
      <c r="D642" s="757"/>
      <c r="E642" s="757"/>
      <c r="F642" s="757"/>
    </row>
    <row r="643">
      <c r="D643" s="757"/>
      <c r="E643" s="757"/>
      <c r="F643" s="757"/>
    </row>
    <row r="644">
      <c r="D644" s="757"/>
      <c r="E644" s="757"/>
      <c r="F644" s="757"/>
    </row>
    <row r="645">
      <c r="D645" s="757"/>
      <c r="E645" s="757"/>
      <c r="F645" s="757"/>
    </row>
    <row r="646">
      <c r="D646" s="757"/>
      <c r="E646" s="757"/>
      <c r="F646" s="757"/>
    </row>
    <row r="647">
      <c r="D647" s="757"/>
      <c r="E647" s="757"/>
      <c r="F647" s="757"/>
    </row>
    <row r="648">
      <c r="D648" s="757"/>
      <c r="E648" s="757"/>
      <c r="F648" s="757"/>
    </row>
    <row r="649">
      <c r="D649" s="757"/>
      <c r="E649" s="757"/>
      <c r="F649" s="757"/>
    </row>
    <row r="650">
      <c r="D650" s="757"/>
      <c r="E650" s="757"/>
      <c r="F650" s="757"/>
    </row>
    <row r="651">
      <c r="D651" s="757"/>
      <c r="E651" s="757"/>
      <c r="F651" s="757"/>
    </row>
    <row r="652">
      <c r="D652" s="757"/>
      <c r="E652" s="757"/>
      <c r="F652" s="757"/>
    </row>
    <row r="653">
      <c r="D653" s="757"/>
      <c r="E653" s="757"/>
      <c r="F653" s="757"/>
    </row>
    <row r="654">
      <c r="D654" s="757"/>
      <c r="E654" s="757"/>
      <c r="F654" s="757"/>
    </row>
    <row r="655">
      <c r="D655" s="757"/>
      <c r="E655" s="757"/>
      <c r="F655" s="757"/>
    </row>
    <row r="656">
      <c r="D656" s="757"/>
      <c r="E656" s="757"/>
      <c r="F656" s="757"/>
    </row>
    <row r="657">
      <c r="D657" s="757"/>
      <c r="E657" s="757"/>
      <c r="F657" s="757"/>
    </row>
    <row r="658">
      <c r="D658" s="757"/>
      <c r="E658" s="757"/>
      <c r="F658" s="757"/>
    </row>
    <row r="659">
      <c r="D659" s="757"/>
      <c r="E659" s="757"/>
      <c r="F659" s="757"/>
    </row>
    <row r="660">
      <c r="D660" s="757"/>
      <c r="E660" s="757"/>
      <c r="F660" s="757"/>
    </row>
    <row r="661">
      <c r="D661" s="757"/>
      <c r="E661" s="757"/>
      <c r="F661" s="757"/>
    </row>
    <row r="662">
      <c r="D662" s="757"/>
      <c r="E662" s="757"/>
      <c r="F662" s="757"/>
    </row>
    <row r="663">
      <c r="D663" s="757"/>
      <c r="E663" s="757"/>
      <c r="F663" s="757"/>
    </row>
    <row r="664">
      <c r="D664" s="757"/>
      <c r="E664" s="757"/>
      <c r="F664" s="757"/>
    </row>
    <row r="665">
      <c r="D665" s="757"/>
      <c r="E665" s="757"/>
      <c r="F665" s="757"/>
    </row>
    <row r="666">
      <c r="D666" s="757"/>
      <c r="E666" s="757"/>
      <c r="F666" s="757"/>
    </row>
    <row r="667">
      <c r="D667" s="757"/>
      <c r="E667" s="757"/>
      <c r="F667" s="757"/>
    </row>
    <row r="668">
      <c r="D668" s="757"/>
      <c r="E668" s="757"/>
      <c r="F668" s="757"/>
    </row>
    <row r="669">
      <c r="D669" s="757"/>
      <c r="E669" s="757"/>
      <c r="F669" s="757"/>
    </row>
    <row r="670">
      <c r="D670" s="757"/>
      <c r="E670" s="757"/>
      <c r="F670" s="757"/>
    </row>
    <row r="671">
      <c r="D671" s="757"/>
      <c r="E671" s="757"/>
      <c r="F671" s="757"/>
    </row>
    <row r="672">
      <c r="D672" s="757"/>
      <c r="E672" s="757"/>
      <c r="F672" s="757"/>
    </row>
    <row r="673">
      <c r="D673" s="757"/>
      <c r="E673" s="757"/>
      <c r="F673" s="757"/>
    </row>
    <row r="674">
      <c r="D674" s="757"/>
      <c r="E674" s="757"/>
      <c r="F674" s="757"/>
    </row>
    <row r="675">
      <c r="D675" s="757"/>
      <c r="E675" s="757"/>
      <c r="F675" s="757"/>
    </row>
    <row r="676">
      <c r="D676" s="757"/>
      <c r="E676" s="757"/>
      <c r="F676" s="757"/>
    </row>
    <row r="677">
      <c r="D677" s="757"/>
      <c r="E677" s="757"/>
      <c r="F677" s="757"/>
    </row>
    <row r="678">
      <c r="D678" s="757"/>
      <c r="E678" s="757"/>
      <c r="F678" s="757"/>
    </row>
    <row r="679">
      <c r="D679" s="757"/>
      <c r="E679" s="757"/>
      <c r="F679" s="757"/>
    </row>
    <row r="680">
      <c r="D680" s="757"/>
      <c r="E680" s="757"/>
      <c r="F680" s="757"/>
    </row>
    <row r="681">
      <c r="D681" s="757"/>
      <c r="E681" s="757"/>
      <c r="F681" s="757"/>
    </row>
    <row r="682">
      <c r="D682" s="757"/>
      <c r="E682" s="757"/>
      <c r="F682" s="757"/>
    </row>
    <row r="683">
      <c r="D683" s="757"/>
      <c r="E683" s="757"/>
      <c r="F683" s="757"/>
    </row>
    <row r="684">
      <c r="D684" s="757"/>
      <c r="E684" s="757"/>
      <c r="F684" s="757"/>
    </row>
    <row r="685">
      <c r="D685" s="757"/>
      <c r="E685" s="757"/>
      <c r="F685" s="757"/>
    </row>
    <row r="686">
      <c r="D686" s="757"/>
      <c r="E686" s="757"/>
      <c r="F686" s="757"/>
    </row>
    <row r="687">
      <c r="D687" s="757"/>
      <c r="E687" s="757"/>
      <c r="F687" s="757"/>
    </row>
    <row r="688">
      <c r="D688" s="757"/>
      <c r="E688" s="757"/>
      <c r="F688" s="757"/>
    </row>
    <row r="689">
      <c r="D689" s="757"/>
      <c r="E689" s="757"/>
      <c r="F689" s="757"/>
    </row>
    <row r="690">
      <c r="D690" s="757"/>
      <c r="E690" s="757"/>
      <c r="F690" s="757"/>
    </row>
    <row r="691">
      <c r="D691" s="757"/>
      <c r="E691" s="757"/>
      <c r="F691" s="757"/>
    </row>
    <row r="692">
      <c r="D692" s="757"/>
      <c r="E692" s="757"/>
      <c r="F692" s="757"/>
    </row>
    <row r="693">
      <c r="D693" s="757"/>
      <c r="E693" s="757"/>
      <c r="F693" s="757"/>
    </row>
    <row r="694">
      <c r="D694" s="757"/>
      <c r="E694" s="757"/>
      <c r="F694" s="757"/>
    </row>
    <row r="695">
      <c r="D695" s="757"/>
      <c r="E695" s="757"/>
      <c r="F695" s="757"/>
    </row>
    <row r="696">
      <c r="D696" s="757"/>
      <c r="E696" s="757"/>
      <c r="F696" s="757"/>
    </row>
    <row r="697">
      <c r="D697" s="757"/>
      <c r="E697" s="757"/>
      <c r="F697" s="757"/>
    </row>
    <row r="698">
      <c r="D698" s="757"/>
      <c r="E698" s="757"/>
      <c r="F698" s="757"/>
    </row>
    <row r="699">
      <c r="D699" s="757"/>
      <c r="E699" s="757"/>
      <c r="F699" s="757"/>
    </row>
    <row r="700">
      <c r="D700" s="757"/>
      <c r="E700" s="757"/>
      <c r="F700" s="757"/>
    </row>
    <row r="701">
      <c r="D701" s="757"/>
      <c r="E701" s="757"/>
      <c r="F701" s="757"/>
    </row>
    <row r="702">
      <c r="D702" s="757"/>
      <c r="E702" s="757"/>
      <c r="F702" s="757"/>
    </row>
    <row r="703">
      <c r="D703" s="757"/>
      <c r="E703" s="757"/>
      <c r="F703" s="757"/>
    </row>
    <row r="704">
      <c r="D704" s="757"/>
      <c r="E704" s="757"/>
      <c r="F704" s="757"/>
    </row>
    <row r="705">
      <c r="D705" s="757"/>
      <c r="E705" s="757"/>
      <c r="F705" s="757"/>
    </row>
    <row r="706">
      <c r="D706" s="757"/>
      <c r="E706" s="757"/>
      <c r="F706" s="757"/>
    </row>
    <row r="707">
      <c r="D707" s="757"/>
      <c r="E707" s="757"/>
      <c r="F707" s="757"/>
    </row>
    <row r="708">
      <c r="D708" s="757"/>
      <c r="E708" s="757"/>
      <c r="F708" s="757"/>
    </row>
    <row r="709">
      <c r="D709" s="757"/>
      <c r="E709" s="757"/>
      <c r="F709" s="757"/>
    </row>
    <row r="710">
      <c r="D710" s="757"/>
      <c r="E710" s="757"/>
      <c r="F710" s="757"/>
    </row>
    <row r="711">
      <c r="D711" s="757"/>
      <c r="E711" s="757"/>
      <c r="F711" s="757"/>
    </row>
    <row r="712">
      <c r="D712" s="757"/>
      <c r="E712" s="757"/>
      <c r="F712" s="757"/>
    </row>
    <row r="713">
      <c r="D713" s="757"/>
      <c r="E713" s="757"/>
      <c r="F713" s="757"/>
    </row>
    <row r="714">
      <c r="D714" s="757"/>
      <c r="E714" s="757"/>
      <c r="F714" s="757"/>
    </row>
    <row r="715">
      <c r="D715" s="757"/>
      <c r="E715" s="757"/>
      <c r="F715" s="757"/>
    </row>
    <row r="716">
      <c r="D716" s="757"/>
      <c r="E716" s="757"/>
      <c r="F716" s="757"/>
    </row>
    <row r="717">
      <c r="D717" s="757"/>
      <c r="E717" s="757"/>
      <c r="F717" s="757"/>
    </row>
    <row r="718">
      <c r="D718" s="757"/>
      <c r="E718" s="757"/>
      <c r="F718" s="757"/>
    </row>
    <row r="719">
      <c r="D719" s="757"/>
      <c r="E719" s="757"/>
      <c r="F719" s="757"/>
    </row>
    <row r="720">
      <c r="D720" s="757"/>
      <c r="E720" s="757"/>
      <c r="F720" s="757"/>
    </row>
    <row r="721">
      <c r="D721" s="757"/>
      <c r="E721" s="757"/>
      <c r="F721" s="757"/>
    </row>
    <row r="722">
      <c r="D722" s="757"/>
      <c r="E722" s="757"/>
      <c r="F722" s="757"/>
    </row>
    <row r="723">
      <c r="D723" s="757"/>
      <c r="E723" s="757"/>
      <c r="F723" s="757"/>
    </row>
    <row r="724">
      <c r="D724" s="757"/>
      <c r="E724" s="757"/>
      <c r="F724" s="757"/>
    </row>
    <row r="725">
      <c r="D725" s="757"/>
      <c r="E725" s="757"/>
      <c r="F725" s="757"/>
    </row>
    <row r="726">
      <c r="D726" s="757"/>
      <c r="E726" s="757"/>
      <c r="F726" s="757"/>
    </row>
    <row r="727">
      <c r="D727" s="757"/>
      <c r="E727" s="757"/>
      <c r="F727" s="757"/>
    </row>
    <row r="728">
      <c r="D728" s="757"/>
      <c r="E728" s="757"/>
      <c r="F728" s="757"/>
    </row>
    <row r="729">
      <c r="D729" s="757"/>
      <c r="E729" s="757"/>
      <c r="F729" s="757"/>
    </row>
    <row r="730">
      <c r="D730" s="757"/>
      <c r="E730" s="757"/>
      <c r="F730" s="757"/>
    </row>
    <row r="731">
      <c r="D731" s="757"/>
      <c r="E731" s="757"/>
      <c r="F731" s="757"/>
    </row>
    <row r="732">
      <c r="D732" s="757"/>
      <c r="E732" s="757"/>
      <c r="F732" s="757"/>
    </row>
    <row r="733">
      <c r="D733" s="757"/>
      <c r="E733" s="757"/>
      <c r="F733" s="757"/>
    </row>
    <row r="734">
      <c r="D734" s="757"/>
      <c r="E734" s="757"/>
      <c r="F734" s="757"/>
    </row>
    <row r="735">
      <c r="D735" s="757"/>
      <c r="E735" s="757"/>
      <c r="F735" s="757"/>
    </row>
    <row r="736">
      <c r="D736" s="757"/>
      <c r="E736" s="757"/>
      <c r="F736" s="757"/>
    </row>
    <row r="737">
      <c r="D737" s="757"/>
      <c r="E737" s="757"/>
      <c r="F737" s="757"/>
    </row>
    <row r="738">
      <c r="D738" s="757"/>
      <c r="E738" s="757"/>
      <c r="F738" s="757"/>
    </row>
    <row r="739">
      <c r="D739" s="757"/>
      <c r="E739" s="757"/>
      <c r="F739" s="757"/>
    </row>
    <row r="740">
      <c r="D740" s="757"/>
      <c r="E740" s="757"/>
      <c r="F740" s="757"/>
    </row>
    <row r="741">
      <c r="D741" s="757"/>
      <c r="E741" s="757"/>
      <c r="F741" s="757"/>
    </row>
    <row r="742">
      <c r="D742" s="757"/>
      <c r="E742" s="757"/>
      <c r="F742" s="757"/>
    </row>
    <row r="743">
      <c r="D743" s="757"/>
      <c r="E743" s="757"/>
      <c r="F743" s="757"/>
    </row>
    <row r="744">
      <c r="D744" s="757"/>
      <c r="E744" s="757"/>
      <c r="F744" s="757"/>
    </row>
    <row r="745">
      <c r="D745" s="757"/>
      <c r="E745" s="757"/>
      <c r="F745" s="757"/>
    </row>
    <row r="746">
      <c r="D746" s="757"/>
      <c r="E746" s="757"/>
      <c r="F746" s="757"/>
    </row>
    <row r="747">
      <c r="D747" s="757"/>
      <c r="E747" s="757"/>
      <c r="F747" s="757"/>
    </row>
    <row r="748">
      <c r="D748" s="757"/>
      <c r="E748" s="757"/>
      <c r="F748" s="757"/>
    </row>
    <row r="749">
      <c r="D749" s="757"/>
      <c r="E749" s="757"/>
      <c r="F749" s="757"/>
    </row>
    <row r="750">
      <c r="D750" s="757"/>
      <c r="E750" s="757"/>
      <c r="F750" s="757"/>
    </row>
    <row r="751">
      <c r="D751" s="757"/>
      <c r="E751" s="757"/>
      <c r="F751" s="757"/>
    </row>
    <row r="752">
      <c r="D752" s="757"/>
      <c r="E752" s="757"/>
      <c r="F752" s="757"/>
    </row>
    <row r="753">
      <c r="D753" s="757"/>
      <c r="E753" s="757"/>
      <c r="F753" s="757"/>
    </row>
    <row r="754">
      <c r="D754" s="757"/>
      <c r="E754" s="757"/>
      <c r="F754" s="757"/>
    </row>
    <row r="755">
      <c r="D755" s="757"/>
      <c r="E755" s="757"/>
      <c r="F755" s="757"/>
    </row>
    <row r="756">
      <c r="D756" s="757"/>
      <c r="E756" s="757"/>
      <c r="F756" s="757"/>
    </row>
    <row r="757">
      <c r="D757" s="757"/>
      <c r="E757" s="757"/>
      <c r="F757" s="757"/>
    </row>
    <row r="758">
      <c r="D758" s="757"/>
      <c r="E758" s="757"/>
      <c r="F758" s="757"/>
    </row>
    <row r="759">
      <c r="D759" s="757"/>
      <c r="E759" s="757"/>
      <c r="F759" s="757"/>
    </row>
    <row r="760">
      <c r="D760" s="757"/>
      <c r="E760" s="757"/>
      <c r="F760" s="757"/>
    </row>
    <row r="761">
      <c r="D761" s="757"/>
      <c r="E761" s="757"/>
      <c r="F761" s="757"/>
    </row>
    <row r="762">
      <c r="D762" s="757"/>
      <c r="E762" s="757"/>
      <c r="F762" s="757"/>
    </row>
    <row r="763">
      <c r="D763" s="757"/>
      <c r="E763" s="757"/>
      <c r="F763" s="757"/>
    </row>
    <row r="764">
      <c r="D764" s="757"/>
      <c r="E764" s="757"/>
      <c r="F764" s="757"/>
    </row>
    <row r="765">
      <c r="D765" s="757"/>
      <c r="E765" s="757"/>
      <c r="F765" s="757"/>
    </row>
    <row r="766">
      <c r="D766" s="757"/>
      <c r="E766" s="757"/>
      <c r="F766" s="757"/>
    </row>
    <row r="767">
      <c r="D767" s="757"/>
      <c r="E767" s="757"/>
      <c r="F767" s="757"/>
    </row>
    <row r="768">
      <c r="D768" s="757"/>
      <c r="E768" s="757"/>
      <c r="F768" s="757"/>
    </row>
    <row r="769">
      <c r="D769" s="757"/>
      <c r="E769" s="757"/>
      <c r="F769" s="757"/>
    </row>
    <row r="770">
      <c r="D770" s="757"/>
      <c r="E770" s="757"/>
      <c r="F770" s="757"/>
    </row>
    <row r="771">
      <c r="D771" s="757"/>
      <c r="E771" s="757"/>
      <c r="F771" s="757"/>
    </row>
    <row r="772">
      <c r="D772" s="757"/>
      <c r="E772" s="757"/>
      <c r="F772" s="757"/>
    </row>
    <row r="773">
      <c r="D773" s="757"/>
      <c r="E773" s="757"/>
      <c r="F773" s="757"/>
    </row>
    <row r="774">
      <c r="D774" s="757"/>
      <c r="E774" s="757"/>
      <c r="F774" s="757"/>
    </row>
    <row r="775">
      <c r="D775" s="757"/>
      <c r="E775" s="757"/>
      <c r="F775" s="757"/>
    </row>
    <row r="776">
      <c r="D776" s="757"/>
      <c r="E776" s="757"/>
      <c r="F776" s="757"/>
    </row>
    <row r="777">
      <c r="D777" s="757"/>
      <c r="E777" s="757"/>
      <c r="F777" s="757"/>
    </row>
    <row r="778">
      <c r="D778" s="757"/>
      <c r="E778" s="757"/>
      <c r="F778" s="757"/>
    </row>
    <row r="779">
      <c r="D779" s="757"/>
      <c r="E779" s="757"/>
      <c r="F779" s="757"/>
    </row>
    <row r="780">
      <c r="D780" s="757"/>
      <c r="E780" s="757"/>
      <c r="F780" s="757"/>
    </row>
    <row r="781">
      <c r="D781" s="757"/>
      <c r="E781" s="757"/>
      <c r="F781" s="757"/>
    </row>
    <row r="782">
      <c r="D782" s="757"/>
      <c r="E782" s="757"/>
      <c r="F782" s="757"/>
    </row>
    <row r="783">
      <c r="D783" s="757"/>
      <c r="E783" s="757"/>
      <c r="F783" s="757"/>
    </row>
    <row r="784">
      <c r="D784" s="757"/>
      <c r="E784" s="757"/>
      <c r="F784" s="757"/>
    </row>
    <row r="785">
      <c r="D785" s="757"/>
      <c r="E785" s="757"/>
      <c r="F785" s="757"/>
    </row>
    <row r="786">
      <c r="D786" s="757"/>
      <c r="E786" s="757"/>
      <c r="F786" s="757"/>
    </row>
    <row r="787">
      <c r="D787" s="757"/>
      <c r="E787" s="757"/>
      <c r="F787" s="757"/>
    </row>
    <row r="788">
      <c r="D788" s="757"/>
      <c r="E788" s="757"/>
      <c r="F788" s="757"/>
    </row>
    <row r="789">
      <c r="D789" s="757"/>
      <c r="E789" s="757"/>
      <c r="F789" s="757"/>
    </row>
    <row r="790">
      <c r="D790" s="757"/>
      <c r="E790" s="757"/>
      <c r="F790" s="757"/>
    </row>
    <row r="791">
      <c r="D791" s="757"/>
      <c r="E791" s="757"/>
      <c r="F791" s="757"/>
    </row>
    <row r="792">
      <c r="D792" s="757"/>
      <c r="E792" s="757"/>
      <c r="F792" s="757"/>
    </row>
    <row r="793">
      <c r="D793" s="757"/>
      <c r="E793" s="757"/>
      <c r="F793" s="757"/>
    </row>
    <row r="794">
      <c r="D794" s="757"/>
      <c r="E794" s="757"/>
      <c r="F794" s="757"/>
    </row>
    <row r="795">
      <c r="D795" s="757"/>
      <c r="E795" s="757"/>
      <c r="F795" s="757"/>
    </row>
    <row r="796">
      <c r="D796" s="757"/>
      <c r="E796" s="757"/>
      <c r="F796" s="757"/>
    </row>
    <row r="797">
      <c r="D797" s="757"/>
      <c r="E797" s="757"/>
      <c r="F797" s="757"/>
    </row>
    <row r="798">
      <c r="D798" s="757"/>
      <c r="E798" s="757"/>
      <c r="F798" s="757"/>
    </row>
    <row r="799">
      <c r="D799" s="757"/>
      <c r="E799" s="757"/>
      <c r="F799" s="757"/>
    </row>
    <row r="800">
      <c r="D800" s="757"/>
      <c r="E800" s="757"/>
      <c r="F800" s="757"/>
    </row>
    <row r="801">
      <c r="D801" s="757"/>
      <c r="E801" s="757"/>
      <c r="F801" s="757"/>
    </row>
    <row r="802">
      <c r="D802" s="757"/>
      <c r="E802" s="757"/>
      <c r="F802" s="757"/>
    </row>
    <row r="803">
      <c r="D803" s="757"/>
      <c r="E803" s="757"/>
      <c r="F803" s="757"/>
    </row>
    <row r="804">
      <c r="D804" s="757"/>
      <c r="E804" s="757"/>
      <c r="F804" s="757"/>
    </row>
    <row r="805">
      <c r="D805" s="757"/>
      <c r="E805" s="757"/>
      <c r="F805" s="757"/>
    </row>
    <row r="806">
      <c r="D806" s="757"/>
      <c r="E806" s="757"/>
      <c r="F806" s="757"/>
    </row>
    <row r="807">
      <c r="D807" s="757"/>
      <c r="E807" s="757"/>
      <c r="F807" s="757"/>
    </row>
    <row r="808">
      <c r="D808" s="757"/>
      <c r="E808" s="757"/>
      <c r="F808" s="757"/>
    </row>
    <row r="809">
      <c r="D809" s="757"/>
      <c r="E809" s="757"/>
      <c r="F809" s="757"/>
    </row>
    <row r="810">
      <c r="D810" s="757"/>
      <c r="E810" s="757"/>
      <c r="F810" s="757"/>
    </row>
    <row r="811">
      <c r="D811" s="757"/>
      <c r="E811" s="757"/>
      <c r="F811" s="757"/>
    </row>
    <row r="812">
      <c r="D812" s="757"/>
      <c r="E812" s="757"/>
      <c r="F812" s="757"/>
    </row>
    <row r="813">
      <c r="D813" s="757"/>
      <c r="E813" s="757"/>
      <c r="F813" s="757"/>
    </row>
    <row r="814">
      <c r="D814" s="757"/>
      <c r="E814" s="757"/>
      <c r="F814" s="757"/>
    </row>
    <row r="815">
      <c r="D815" s="757"/>
      <c r="E815" s="757"/>
      <c r="F815" s="757"/>
    </row>
    <row r="816">
      <c r="D816" s="757"/>
      <c r="E816" s="757"/>
      <c r="F816" s="757"/>
    </row>
    <row r="817">
      <c r="D817" s="757"/>
      <c r="E817" s="757"/>
      <c r="F817" s="757"/>
    </row>
    <row r="818">
      <c r="D818" s="757"/>
      <c r="E818" s="757"/>
      <c r="F818" s="757"/>
    </row>
    <row r="819">
      <c r="D819" s="757"/>
      <c r="E819" s="757"/>
      <c r="F819" s="757"/>
    </row>
    <row r="820">
      <c r="D820" s="757"/>
      <c r="E820" s="757"/>
      <c r="F820" s="757"/>
    </row>
    <row r="821">
      <c r="D821" s="757"/>
      <c r="E821" s="757"/>
      <c r="F821" s="757"/>
    </row>
    <row r="822">
      <c r="D822" s="757"/>
      <c r="E822" s="757"/>
      <c r="F822" s="757"/>
    </row>
    <row r="823">
      <c r="D823" s="757"/>
      <c r="E823" s="757"/>
      <c r="F823" s="757"/>
    </row>
    <row r="824">
      <c r="D824" s="757"/>
      <c r="E824" s="757"/>
      <c r="F824" s="757"/>
    </row>
    <row r="825">
      <c r="D825" s="757"/>
      <c r="E825" s="757"/>
      <c r="F825" s="757"/>
    </row>
    <row r="826">
      <c r="D826" s="757"/>
      <c r="E826" s="757"/>
      <c r="F826" s="757"/>
    </row>
    <row r="827">
      <c r="D827" s="757"/>
      <c r="E827" s="757"/>
      <c r="F827" s="757"/>
    </row>
    <row r="828">
      <c r="D828" s="757"/>
      <c r="E828" s="757"/>
      <c r="F828" s="757"/>
    </row>
    <row r="829">
      <c r="D829" s="757"/>
      <c r="E829" s="757"/>
      <c r="F829" s="757"/>
    </row>
    <row r="830">
      <c r="D830" s="757"/>
      <c r="E830" s="757"/>
      <c r="F830" s="757"/>
    </row>
    <row r="831">
      <c r="D831" s="757"/>
      <c r="E831" s="757"/>
      <c r="F831" s="757"/>
    </row>
    <row r="832">
      <c r="D832" s="757"/>
      <c r="E832" s="757"/>
      <c r="F832" s="757"/>
    </row>
    <row r="833">
      <c r="D833" s="757"/>
      <c r="E833" s="757"/>
      <c r="F833" s="757"/>
    </row>
    <row r="834">
      <c r="D834" s="757"/>
      <c r="E834" s="757"/>
      <c r="F834" s="757"/>
    </row>
    <row r="835">
      <c r="D835" s="757"/>
      <c r="E835" s="757"/>
      <c r="F835" s="757"/>
    </row>
    <row r="836">
      <c r="D836" s="757"/>
      <c r="E836" s="757"/>
      <c r="F836" s="757"/>
    </row>
    <row r="837">
      <c r="D837" s="757"/>
      <c r="E837" s="757"/>
      <c r="F837" s="757"/>
    </row>
    <row r="838">
      <c r="D838" s="757"/>
      <c r="E838" s="757"/>
      <c r="F838" s="757"/>
    </row>
    <row r="839">
      <c r="D839" s="757"/>
      <c r="E839" s="757"/>
      <c r="F839" s="757"/>
    </row>
    <row r="840">
      <c r="D840" s="757"/>
      <c r="E840" s="757"/>
      <c r="F840" s="757"/>
    </row>
    <row r="841">
      <c r="D841" s="757"/>
      <c r="E841" s="757"/>
      <c r="F841" s="757"/>
    </row>
    <row r="842">
      <c r="D842" s="757"/>
      <c r="E842" s="757"/>
      <c r="F842" s="757"/>
    </row>
    <row r="843">
      <c r="D843" s="757"/>
      <c r="E843" s="757"/>
      <c r="F843" s="757"/>
    </row>
    <row r="844">
      <c r="D844" s="757"/>
      <c r="E844" s="757"/>
      <c r="F844" s="757"/>
    </row>
    <row r="845">
      <c r="D845" s="757"/>
      <c r="E845" s="757"/>
      <c r="F845" s="757"/>
    </row>
    <row r="846">
      <c r="D846" s="757"/>
      <c r="E846" s="757"/>
      <c r="F846" s="757"/>
    </row>
    <row r="847">
      <c r="D847" s="757"/>
      <c r="E847" s="757"/>
      <c r="F847" s="757"/>
    </row>
    <row r="848">
      <c r="D848" s="757"/>
      <c r="E848" s="757"/>
      <c r="F848" s="757"/>
    </row>
    <row r="849">
      <c r="D849" s="757"/>
      <c r="E849" s="757"/>
      <c r="F849" s="757"/>
    </row>
    <row r="850">
      <c r="D850" s="757"/>
      <c r="E850" s="757"/>
      <c r="F850" s="757"/>
    </row>
    <row r="851">
      <c r="D851" s="757"/>
      <c r="E851" s="757"/>
      <c r="F851" s="757"/>
    </row>
    <row r="852">
      <c r="D852" s="757"/>
      <c r="E852" s="757"/>
      <c r="F852" s="757"/>
    </row>
    <row r="853">
      <c r="D853" s="757"/>
      <c r="E853" s="757"/>
      <c r="F853" s="757"/>
    </row>
    <row r="854">
      <c r="D854" s="757"/>
      <c r="E854" s="757"/>
      <c r="F854" s="757"/>
    </row>
    <row r="855">
      <c r="D855" s="757"/>
      <c r="E855" s="757"/>
      <c r="F855" s="757"/>
    </row>
    <row r="856">
      <c r="D856" s="757"/>
      <c r="E856" s="757"/>
      <c r="F856" s="757"/>
    </row>
    <row r="857">
      <c r="D857" s="757"/>
      <c r="E857" s="757"/>
      <c r="F857" s="757"/>
    </row>
    <row r="858">
      <c r="D858" s="757"/>
      <c r="E858" s="757"/>
      <c r="F858" s="757"/>
    </row>
    <row r="859">
      <c r="D859" s="757"/>
      <c r="E859" s="757"/>
      <c r="F859" s="757"/>
    </row>
    <row r="860">
      <c r="D860" s="757"/>
      <c r="E860" s="757"/>
      <c r="F860" s="757"/>
    </row>
    <row r="861">
      <c r="D861" s="757"/>
      <c r="E861" s="757"/>
      <c r="F861" s="757"/>
    </row>
    <row r="862">
      <c r="D862" s="757"/>
      <c r="E862" s="757"/>
      <c r="F862" s="757"/>
    </row>
    <row r="863">
      <c r="D863" s="757"/>
      <c r="E863" s="757"/>
      <c r="F863" s="757"/>
    </row>
    <row r="864">
      <c r="D864" s="757"/>
      <c r="E864" s="757"/>
      <c r="F864" s="757"/>
    </row>
    <row r="865">
      <c r="D865" s="757"/>
      <c r="E865" s="757"/>
      <c r="F865" s="757"/>
    </row>
    <row r="866">
      <c r="D866" s="757"/>
      <c r="E866" s="757"/>
      <c r="F866" s="757"/>
    </row>
    <row r="867">
      <c r="D867" s="757"/>
      <c r="E867" s="757"/>
      <c r="F867" s="757"/>
    </row>
    <row r="868">
      <c r="D868" s="757"/>
      <c r="E868" s="757"/>
      <c r="F868" s="757"/>
    </row>
    <row r="869">
      <c r="D869" s="757"/>
      <c r="E869" s="757"/>
      <c r="F869" s="757"/>
    </row>
    <row r="870">
      <c r="D870" s="757"/>
      <c r="E870" s="757"/>
      <c r="F870" s="757"/>
    </row>
    <row r="871">
      <c r="D871" s="757"/>
      <c r="E871" s="757"/>
      <c r="F871" s="757"/>
    </row>
    <row r="872">
      <c r="D872" s="757"/>
      <c r="E872" s="757"/>
      <c r="F872" s="757"/>
    </row>
    <row r="873">
      <c r="D873" s="757"/>
      <c r="E873" s="757"/>
      <c r="F873" s="757"/>
    </row>
    <row r="874">
      <c r="D874" s="757"/>
      <c r="E874" s="757"/>
      <c r="F874" s="757"/>
    </row>
    <row r="875">
      <c r="D875" s="757"/>
      <c r="E875" s="757"/>
      <c r="F875" s="757"/>
    </row>
    <row r="876">
      <c r="D876" s="757"/>
      <c r="E876" s="757"/>
      <c r="F876" s="757"/>
    </row>
    <row r="877">
      <c r="D877" s="757"/>
      <c r="E877" s="757"/>
      <c r="F877" s="757"/>
    </row>
    <row r="878">
      <c r="D878" s="757"/>
      <c r="E878" s="757"/>
      <c r="F878" s="757"/>
    </row>
    <row r="879">
      <c r="D879" s="757"/>
      <c r="E879" s="757"/>
      <c r="F879" s="757"/>
    </row>
    <row r="880">
      <c r="D880" s="757"/>
      <c r="E880" s="757"/>
      <c r="F880" s="757"/>
    </row>
    <row r="881">
      <c r="D881" s="757"/>
      <c r="E881" s="757"/>
      <c r="F881" s="757"/>
    </row>
    <row r="882">
      <c r="D882" s="757"/>
      <c r="E882" s="757"/>
      <c r="F882" s="757"/>
    </row>
    <row r="883">
      <c r="D883" s="757"/>
      <c r="E883" s="757"/>
      <c r="F883" s="757"/>
    </row>
    <row r="884">
      <c r="D884" s="757"/>
      <c r="E884" s="757"/>
      <c r="F884" s="757"/>
    </row>
    <row r="885">
      <c r="D885" s="757"/>
      <c r="E885" s="757"/>
      <c r="F885" s="757"/>
    </row>
    <row r="886">
      <c r="D886" s="757"/>
      <c r="E886" s="757"/>
      <c r="F886" s="757"/>
    </row>
    <row r="887">
      <c r="D887" s="757"/>
      <c r="E887" s="757"/>
      <c r="F887" s="757"/>
    </row>
    <row r="888">
      <c r="D888" s="757"/>
      <c r="E888" s="757"/>
      <c r="F888" s="757"/>
    </row>
    <row r="889">
      <c r="D889" s="757"/>
      <c r="E889" s="757"/>
      <c r="F889" s="757"/>
    </row>
    <row r="890">
      <c r="D890" s="757"/>
      <c r="E890" s="757"/>
      <c r="F890" s="757"/>
    </row>
    <row r="891">
      <c r="D891" s="757"/>
      <c r="E891" s="757"/>
      <c r="F891" s="757"/>
    </row>
    <row r="892">
      <c r="D892" s="757"/>
      <c r="E892" s="757"/>
      <c r="F892" s="757"/>
    </row>
    <row r="893">
      <c r="D893" s="757"/>
      <c r="E893" s="757"/>
      <c r="F893" s="757"/>
    </row>
    <row r="894">
      <c r="D894" s="757"/>
      <c r="E894" s="757"/>
      <c r="F894" s="757"/>
    </row>
    <row r="895">
      <c r="D895" s="757"/>
      <c r="E895" s="757"/>
      <c r="F895" s="757"/>
    </row>
    <row r="896">
      <c r="D896" s="757"/>
      <c r="E896" s="757"/>
      <c r="F896" s="757"/>
    </row>
    <row r="897">
      <c r="D897" s="757"/>
      <c r="E897" s="757"/>
      <c r="F897" s="757"/>
    </row>
    <row r="898">
      <c r="D898" s="757"/>
      <c r="E898" s="757"/>
      <c r="F898" s="757"/>
    </row>
    <row r="899">
      <c r="D899" s="757"/>
      <c r="E899" s="757"/>
      <c r="F899" s="757"/>
    </row>
    <row r="900">
      <c r="D900" s="757"/>
      <c r="E900" s="757"/>
      <c r="F900" s="757"/>
    </row>
    <row r="901">
      <c r="D901" s="757"/>
      <c r="E901" s="757"/>
      <c r="F901" s="757"/>
    </row>
    <row r="902">
      <c r="D902" s="757"/>
      <c r="E902" s="757"/>
      <c r="F902" s="757"/>
    </row>
    <row r="903">
      <c r="D903" s="757"/>
      <c r="E903" s="757"/>
      <c r="F903" s="757"/>
    </row>
    <row r="904">
      <c r="D904" s="757"/>
      <c r="E904" s="757"/>
      <c r="F904" s="757"/>
    </row>
    <row r="905">
      <c r="D905" s="757"/>
      <c r="E905" s="757"/>
      <c r="F905" s="757"/>
    </row>
    <row r="906">
      <c r="D906" s="757"/>
      <c r="E906" s="757"/>
      <c r="F906" s="757"/>
    </row>
    <row r="907">
      <c r="D907" s="757"/>
      <c r="E907" s="757"/>
      <c r="F907" s="757"/>
    </row>
    <row r="908">
      <c r="D908" s="757"/>
      <c r="E908" s="757"/>
      <c r="F908" s="757"/>
    </row>
    <row r="909">
      <c r="D909" s="757"/>
      <c r="E909" s="757"/>
      <c r="F909" s="757"/>
    </row>
    <row r="910">
      <c r="D910" s="757"/>
      <c r="E910" s="757"/>
      <c r="F910" s="757"/>
    </row>
    <row r="911">
      <c r="D911" s="757"/>
      <c r="E911" s="757"/>
      <c r="F911" s="757"/>
    </row>
    <row r="912">
      <c r="D912" s="757"/>
      <c r="E912" s="757"/>
      <c r="F912" s="757"/>
    </row>
    <row r="913">
      <c r="D913" s="757"/>
      <c r="E913" s="757"/>
      <c r="F913" s="757"/>
    </row>
    <row r="914">
      <c r="D914" s="757"/>
      <c r="E914" s="757"/>
      <c r="F914" s="757"/>
    </row>
    <row r="915">
      <c r="D915" s="757"/>
      <c r="E915" s="757"/>
      <c r="F915" s="757"/>
    </row>
    <row r="916">
      <c r="D916" s="757"/>
      <c r="E916" s="757"/>
      <c r="F916" s="757"/>
    </row>
    <row r="917">
      <c r="D917" s="757"/>
      <c r="E917" s="757"/>
      <c r="F917" s="757"/>
    </row>
    <row r="918">
      <c r="D918" s="757"/>
      <c r="E918" s="757"/>
      <c r="F918" s="757"/>
    </row>
    <row r="919">
      <c r="D919" s="757"/>
      <c r="E919" s="757"/>
      <c r="F919" s="757"/>
    </row>
    <row r="920">
      <c r="D920" s="757"/>
      <c r="E920" s="757"/>
      <c r="F920" s="757"/>
    </row>
    <row r="921">
      <c r="D921" s="757"/>
      <c r="E921" s="757"/>
      <c r="F921" s="757"/>
    </row>
    <row r="922">
      <c r="D922" s="757"/>
      <c r="E922" s="757"/>
      <c r="F922" s="757"/>
    </row>
    <row r="923">
      <c r="D923" s="757"/>
      <c r="E923" s="757"/>
      <c r="F923" s="757"/>
    </row>
    <row r="924">
      <c r="D924" s="757"/>
      <c r="E924" s="757"/>
      <c r="F924" s="757"/>
    </row>
    <row r="925">
      <c r="D925" s="757"/>
      <c r="E925" s="757"/>
      <c r="F925" s="757"/>
    </row>
    <row r="926">
      <c r="D926" s="757"/>
      <c r="E926" s="757"/>
      <c r="F926" s="757"/>
    </row>
    <row r="927">
      <c r="D927" s="757"/>
      <c r="E927" s="757"/>
      <c r="F927" s="757"/>
    </row>
    <row r="928">
      <c r="D928" s="757"/>
      <c r="E928" s="757"/>
      <c r="F928" s="757"/>
    </row>
    <row r="929">
      <c r="D929" s="757"/>
      <c r="E929" s="757"/>
      <c r="F929" s="757"/>
    </row>
    <row r="930">
      <c r="D930" s="757"/>
      <c r="E930" s="757"/>
      <c r="F930" s="757"/>
    </row>
    <row r="931">
      <c r="D931" s="757"/>
      <c r="E931" s="757"/>
      <c r="F931" s="757"/>
    </row>
    <row r="932">
      <c r="D932" s="757"/>
      <c r="E932" s="757"/>
      <c r="F932" s="757"/>
    </row>
    <row r="933">
      <c r="D933" s="757"/>
      <c r="E933" s="757"/>
      <c r="F933" s="757"/>
    </row>
    <row r="934">
      <c r="D934" s="757"/>
      <c r="E934" s="757"/>
      <c r="F934" s="757"/>
    </row>
    <row r="935">
      <c r="D935" s="757"/>
      <c r="E935" s="757"/>
      <c r="F935" s="757"/>
    </row>
    <row r="936">
      <c r="D936" s="757"/>
      <c r="E936" s="757"/>
      <c r="F936" s="757"/>
    </row>
    <row r="937">
      <c r="D937" s="757"/>
      <c r="E937" s="757"/>
      <c r="F937" s="757"/>
    </row>
    <row r="938">
      <c r="D938" s="757"/>
      <c r="E938" s="757"/>
      <c r="F938" s="757"/>
    </row>
    <row r="939">
      <c r="D939" s="757"/>
      <c r="E939" s="757"/>
      <c r="F939" s="757"/>
    </row>
    <row r="940">
      <c r="D940" s="757"/>
      <c r="E940" s="757"/>
      <c r="F940" s="757"/>
    </row>
    <row r="941">
      <c r="D941" s="757"/>
      <c r="E941" s="757"/>
      <c r="F941" s="757"/>
    </row>
    <row r="942">
      <c r="D942" s="757"/>
      <c r="E942" s="757"/>
      <c r="F942" s="757"/>
    </row>
    <row r="943">
      <c r="D943" s="757"/>
      <c r="E943" s="757"/>
      <c r="F943" s="757"/>
    </row>
    <row r="944">
      <c r="D944" s="757"/>
      <c r="E944" s="757"/>
      <c r="F944" s="757"/>
    </row>
    <row r="945">
      <c r="D945" s="757"/>
      <c r="E945" s="757"/>
      <c r="F945" s="757"/>
    </row>
    <row r="946">
      <c r="D946" s="757"/>
      <c r="E946" s="757"/>
      <c r="F946" s="757"/>
    </row>
    <row r="947">
      <c r="D947" s="757"/>
      <c r="E947" s="757"/>
      <c r="F947" s="757"/>
    </row>
    <row r="948">
      <c r="D948" s="757"/>
      <c r="E948" s="757"/>
      <c r="F948" s="757"/>
    </row>
    <row r="949">
      <c r="D949" s="757"/>
      <c r="E949" s="757"/>
      <c r="F949" s="757"/>
    </row>
    <row r="950">
      <c r="D950" s="757"/>
      <c r="E950" s="757"/>
      <c r="F950" s="757"/>
    </row>
    <row r="951">
      <c r="D951" s="757"/>
      <c r="E951" s="757"/>
      <c r="F951" s="757"/>
    </row>
    <row r="952">
      <c r="D952" s="757"/>
      <c r="E952" s="757"/>
      <c r="F952" s="757"/>
    </row>
    <row r="953">
      <c r="D953" s="757"/>
      <c r="E953" s="757"/>
      <c r="F953" s="757"/>
    </row>
    <row r="954">
      <c r="D954" s="757"/>
      <c r="E954" s="757"/>
      <c r="F954" s="757"/>
    </row>
    <row r="955">
      <c r="D955" s="757"/>
      <c r="E955" s="757"/>
      <c r="F955" s="757"/>
    </row>
    <row r="956">
      <c r="D956" s="757"/>
      <c r="E956" s="757"/>
      <c r="F956" s="757"/>
    </row>
    <row r="957">
      <c r="D957" s="757"/>
      <c r="E957" s="757"/>
      <c r="F957" s="757"/>
    </row>
    <row r="958">
      <c r="D958" s="757"/>
      <c r="E958" s="757"/>
      <c r="F958" s="757"/>
    </row>
    <row r="959">
      <c r="D959" s="757"/>
      <c r="E959" s="757"/>
      <c r="F959" s="757"/>
    </row>
    <row r="960">
      <c r="D960" s="757"/>
      <c r="E960" s="757"/>
      <c r="F960" s="757"/>
    </row>
    <row r="961">
      <c r="D961" s="757"/>
      <c r="E961" s="757"/>
      <c r="F961" s="757"/>
    </row>
    <row r="962">
      <c r="D962" s="757"/>
      <c r="E962" s="757"/>
      <c r="F962" s="757"/>
    </row>
    <row r="963">
      <c r="D963" s="757"/>
      <c r="E963" s="757"/>
      <c r="F963" s="757"/>
    </row>
    <row r="964">
      <c r="D964" s="757"/>
      <c r="E964" s="757"/>
      <c r="F964" s="757"/>
    </row>
    <row r="965">
      <c r="D965" s="757"/>
      <c r="E965" s="757"/>
      <c r="F965" s="757"/>
    </row>
    <row r="966">
      <c r="D966" s="757"/>
      <c r="E966" s="757"/>
      <c r="F966" s="757"/>
    </row>
    <row r="967">
      <c r="D967" s="757"/>
      <c r="E967" s="757"/>
      <c r="F967" s="757"/>
    </row>
    <row r="968">
      <c r="D968" s="757"/>
      <c r="E968" s="757"/>
      <c r="F968" s="757"/>
    </row>
    <row r="969">
      <c r="D969" s="757"/>
      <c r="E969" s="757"/>
      <c r="F969" s="757"/>
    </row>
    <row r="970">
      <c r="D970" s="757"/>
      <c r="E970" s="757"/>
      <c r="F970" s="757"/>
    </row>
    <row r="971">
      <c r="D971" s="757"/>
      <c r="E971" s="757"/>
      <c r="F971" s="757"/>
    </row>
    <row r="972">
      <c r="D972" s="757"/>
      <c r="E972" s="757"/>
      <c r="F972" s="757"/>
    </row>
    <row r="973">
      <c r="D973" s="757"/>
      <c r="E973" s="757"/>
      <c r="F973" s="757"/>
    </row>
    <row r="974">
      <c r="D974" s="757"/>
      <c r="E974" s="757"/>
      <c r="F974" s="757"/>
    </row>
    <row r="975">
      <c r="D975" s="757"/>
      <c r="E975" s="757"/>
      <c r="F975" s="757"/>
    </row>
    <row r="976">
      <c r="D976" s="757"/>
      <c r="E976" s="757"/>
      <c r="F976" s="757"/>
    </row>
    <row r="977">
      <c r="D977" s="757"/>
      <c r="E977" s="757"/>
      <c r="F977" s="757"/>
    </row>
    <row r="978">
      <c r="D978" s="757"/>
      <c r="E978" s="757"/>
      <c r="F978" s="757"/>
    </row>
    <row r="979">
      <c r="D979" s="757"/>
      <c r="E979" s="757"/>
      <c r="F979" s="757"/>
    </row>
    <row r="980">
      <c r="D980" s="757"/>
      <c r="E980" s="757"/>
      <c r="F980" s="757"/>
    </row>
    <row r="981">
      <c r="D981" s="757"/>
      <c r="E981" s="757"/>
      <c r="F981" s="757"/>
    </row>
    <row r="982">
      <c r="D982" s="757"/>
      <c r="E982" s="757"/>
      <c r="F982" s="757"/>
    </row>
    <row r="983">
      <c r="D983" s="757"/>
      <c r="E983" s="757"/>
      <c r="F983" s="757"/>
    </row>
    <row r="984">
      <c r="D984" s="757"/>
      <c r="E984" s="757"/>
      <c r="F984" s="757"/>
    </row>
    <row r="985">
      <c r="D985" s="757"/>
      <c r="E985" s="757"/>
      <c r="F985" s="757"/>
    </row>
    <row r="986">
      <c r="D986" s="757"/>
      <c r="E986" s="757"/>
      <c r="F986" s="757"/>
    </row>
    <row r="987">
      <c r="D987" s="757"/>
      <c r="E987" s="757"/>
      <c r="F987" s="757"/>
    </row>
    <row r="988">
      <c r="D988" s="757"/>
      <c r="E988" s="757"/>
      <c r="F988" s="757"/>
    </row>
    <row r="989">
      <c r="D989" s="757"/>
      <c r="E989" s="757"/>
      <c r="F989" s="757"/>
    </row>
    <row r="990">
      <c r="D990" s="757"/>
      <c r="E990" s="757"/>
      <c r="F990" s="757"/>
    </row>
    <row r="991">
      <c r="D991" s="757"/>
      <c r="E991" s="757"/>
      <c r="F991" s="757"/>
    </row>
    <row r="992">
      <c r="D992" s="757"/>
      <c r="E992" s="757"/>
      <c r="F992" s="757"/>
    </row>
    <row r="993">
      <c r="D993" s="757"/>
      <c r="E993" s="757"/>
      <c r="F993" s="757"/>
    </row>
    <row r="994">
      <c r="D994" s="757"/>
      <c r="E994" s="757"/>
      <c r="F994" s="757"/>
    </row>
    <row r="995">
      <c r="D995" s="757"/>
      <c r="E995" s="757"/>
      <c r="F995" s="757"/>
    </row>
    <row r="996">
      <c r="D996" s="757"/>
      <c r="E996" s="757"/>
      <c r="F996" s="757"/>
    </row>
    <row r="997">
      <c r="D997" s="757"/>
      <c r="E997" s="757"/>
      <c r="F997" s="757"/>
    </row>
    <row r="998">
      <c r="D998" s="757"/>
      <c r="E998" s="757"/>
      <c r="F998" s="757"/>
    </row>
    <row r="999">
      <c r="D999" s="757"/>
      <c r="E999" s="757"/>
      <c r="F999" s="757"/>
    </row>
    <row r="1000">
      <c r="D1000" s="757"/>
      <c r="E1000" s="757"/>
      <c r="F1000" s="757"/>
    </row>
    <row r="1001">
      <c r="D1001" s="757"/>
      <c r="E1001" s="757"/>
      <c r="F1001" s="757"/>
    </row>
    <row r="1002">
      <c r="D1002" s="757"/>
      <c r="E1002" s="757"/>
      <c r="F1002" s="757"/>
    </row>
  </sheetData>
  <mergeCells count="1">
    <mergeCell ref="A2:I2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4.0"/>
    <col customWidth="1" min="3" max="3" width="15.57"/>
    <col customWidth="1" min="4" max="4" width="12.86"/>
    <col customWidth="1" min="5" max="5" width="8.71"/>
    <col customWidth="1" min="6" max="6" width="0.86"/>
    <col customWidth="1" min="7" max="7" width="7.57"/>
    <col customWidth="1" min="8" max="9" width="0.43"/>
    <col customWidth="1" min="10" max="11" width="6.43"/>
    <col customWidth="1" min="12" max="12" width="13.86"/>
    <col customWidth="1" min="13" max="20" width="8.71"/>
  </cols>
  <sheetData>
    <row r="1" ht="13.5" customHeight="1">
      <c r="A1" s="590"/>
      <c r="B1" s="1193" t="s">
        <v>11439</v>
      </c>
      <c r="C1" s="592"/>
      <c r="D1" s="45" t="s">
        <v>11169</v>
      </c>
      <c r="E1" s="17"/>
      <c r="F1" s="592"/>
      <c r="G1" s="592"/>
      <c r="H1" s="592"/>
      <c r="I1" s="592"/>
      <c r="J1" s="594"/>
      <c r="L1" s="626"/>
    </row>
    <row r="2" ht="13.5" customHeight="1">
      <c r="A2" s="17"/>
      <c r="B2" s="600"/>
      <c r="C2" s="592"/>
      <c r="D2" s="1194" t="s">
        <v>11440</v>
      </c>
      <c r="E2" s="599"/>
      <c r="F2" s="592"/>
      <c r="G2" s="592"/>
      <c r="H2" s="592"/>
      <c r="I2" s="592"/>
      <c r="J2" s="594"/>
      <c r="L2" s="676"/>
    </row>
    <row r="3" ht="15.0" customHeight="1">
      <c r="A3" s="1195"/>
      <c r="B3" s="597"/>
      <c r="C3" s="598"/>
      <c r="D3" s="1196"/>
      <c r="E3" s="1196"/>
      <c r="F3" s="1196"/>
      <c r="G3" s="1196"/>
      <c r="H3" s="1196"/>
      <c r="I3" s="1196"/>
      <c r="J3" s="1197"/>
      <c r="K3" s="621"/>
      <c r="L3" s="621"/>
    </row>
    <row r="4" ht="17.25" customHeight="1">
      <c r="A4" s="604"/>
      <c r="B4" s="1198"/>
      <c r="C4" s="1199" t="s">
        <v>11441</v>
      </c>
      <c r="F4" s="1199"/>
      <c r="G4" s="601"/>
      <c r="H4" s="601"/>
      <c r="I4" s="601"/>
      <c r="J4" s="594"/>
      <c r="K4" s="612"/>
      <c r="L4" s="1200"/>
    </row>
    <row r="5" ht="13.5" customHeight="1">
      <c r="A5" s="604"/>
      <c r="B5" s="604"/>
      <c r="C5" s="592"/>
      <c r="D5" s="601"/>
      <c r="E5" s="601"/>
      <c r="F5" s="601"/>
      <c r="G5" s="601"/>
      <c r="H5" s="601"/>
      <c r="I5" s="601"/>
      <c r="J5" s="594"/>
      <c r="K5" s="612"/>
      <c r="L5" s="1200"/>
    </row>
    <row r="6" ht="13.5" customHeight="1">
      <c r="A6" s="604"/>
      <c r="B6" s="604"/>
      <c r="C6" s="592"/>
      <c r="D6" s="601"/>
      <c r="E6" s="601"/>
      <c r="F6" s="601"/>
      <c r="G6" s="601"/>
      <c r="H6" s="601"/>
      <c r="I6" s="601"/>
      <c r="J6" s="594" t="s">
        <v>9773</v>
      </c>
      <c r="K6" s="612"/>
      <c r="L6" s="1201">
        <v>45694.0</v>
      </c>
    </row>
    <row r="7" ht="13.5" customHeight="1">
      <c r="A7" s="604"/>
      <c r="B7" s="604"/>
      <c r="C7" s="592"/>
      <c r="D7" s="601"/>
      <c r="E7" s="601"/>
      <c r="F7" s="601"/>
      <c r="G7" s="601"/>
      <c r="H7" s="601"/>
      <c r="I7" s="601"/>
      <c r="J7" s="594" t="s">
        <v>9775</v>
      </c>
      <c r="K7" s="612"/>
      <c r="L7" s="612"/>
    </row>
    <row r="8" ht="13.5" customHeight="1">
      <c r="A8" s="604"/>
      <c r="B8" s="604"/>
      <c r="C8" s="592"/>
      <c r="D8" s="601"/>
      <c r="E8" s="601"/>
      <c r="F8" s="601"/>
      <c r="G8" s="601"/>
      <c r="H8" s="601"/>
      <c r="I8" s="601"/>
      <c r="J8" s="1086" t="s">
        <v>11442</v>
      </c>
    </row>
    <row r="9" ht="13.5" customHeight="1">
      <c r="A9" s="604"/>
      <c r="B9" s="604"/>
      <c r="C9" s="592"/>
      <c r="D9" s="601"/>
      <c r="E9" s="601"/>
      <c r="F9" s="601"/>
      <c r="G9" s="601"/>
      <c r="H9" s="601"/>
      <c r="I9" s="601"/>
      <c r="J9" s="1086" t="s">
        <v>11443</v>
      </c>
    </row>
    <row r="10" ht="13.5" customHeight="1">
      <c r="A10" s="604"/>
      <c r="B10" s="604"/>
      <c r="C10" s="592"/>
      <c r="D10" s="601"/>
      <c r="E10" s="601"/>
      <c r="F10" s="601"/>
      <c r="G10" s="601"/>
      <c r="H10" s="601"/>
      <c r="I10" s="601"/>
      <c r="J10" s="716"/>
      <c r="K10" s="612"/>
      <c r="L10" s="612"/>
    </row>
    <row r="11" ht="13.5" customHeight="1">
      <c r="A11" s="604"/>
      <c r="B11" s="1202" t="s">
        <v>11444</v>
      </c>
      <c r="C11" s="592"/>
      <c r="D11" s="701"/>
      <c r="G11" s="601"/>
      <c r="H11" s="601"/>
      <c r="I11" s="601"/>
      <c r="J11" s="612"/>
      <c r="K11" s="612"/>
      <c r="L11" s="612"/>
    </row>
    <row r="12" ht="13.5" customHeight="1">
      <c r="A12" s="604"/>
      <c r="B12" s="1203"/>
      <c r="C12" s="592"/>
      <c r="D12" s="701"/>
      <c r="E12" s="701"/>
      <c r="F12" s="701"/>
      <c r="G12" s="601"/>
      <c r="H12" s="601"/>
      <c r="I12" s="601"/>
      <c r="J12" s="612"/>
      <c r="K12" s="612"/>
      <c r="L12" s="612"/>
    </row>
    <row r="13" ht="13.5" customHeight="1">
      <c r="A13" s="17"/>
      <c r="B13" s="1194" t="s">
        <v>11445</v>
      </c>
      <c r="C13" s="17"/>
      <c r="D13" s="611"/>
      <c r="E13" s="611"/>
      <c r="F13" s="611"/>
      <c r="G13" s="17"/>
      <c r="H13" s="17"/>
      <c r="I13" s="17"/>
      <c r="J13" s="612"/>
      <c r="K13" s="612"/>
      <c r="L13" s="612"/>
    </row>
    <row r="14" ht="13.5" customHeight="1">
      <c r="A14" s="1105"/>
      <c r="B14" s="1194" t="s">
        <v>11446</v>
      </c>
      <c r="C14" s="17"/>
      <c r="D14" s="611"/>
      <c r="E14" s="17"/>
      <c r="F14" s="17"/>
      <c r="G14" s="17"/>
      <c r="H14" s="628"/>
      <c r="J14" s="628"/>
      <c r="L14" s="628"/>
    </row>
    <row r="15" ht="13.5" customHeight="1">
      <c r="A15" s="628"/>
      <c r="B15" s="599"/>
      <c r="C15" s="17"/>
      <c r="D15" s="611"/>
      <c r="E15" s="444"/>
      <c r="F15" s="444"/>
      <c r="G15" s="444"/>
      <c r="H15" s="444"/>
      <c r="I15" s="444"/>
      <c r="J15" s="444"/>
      <c r="K15" s="444"/>
      <c r="L15" s="628"/>
    </row>
    <row r="16" ht="13.5" customHeight="1">
      <c r="A16" s="628"/>
      <c r="B16" s="1194" t="s">
        <v>11447</v>
      </c>
      <c r="C16" s="17"/>
      <c r="D16" s="611"/>
      <c r="E16" s="444"/>
      <c r="F16" s="444"/>
      <c r="G16" s="444"/>
      <c r="H16" s="444"/>
      <c r="I16" s="444"/>
      <c r="J16" s="444"/>
      <c r="K16" s="444"/>
      <c r="L16" s="628"/>
    </row>
    <row r="17" ht="13.5" customHeight="1">
      <c r="A17" s="1092"/>
      <c r="B17" s="1194" t="s">
        <v>11448</v>
      </c>
      <c r="C17" s="17"/>
      <c r="D17" s="611"/>
      <c r="E17" s="940"/>
      <c r="F17" s="940"/>
      <c r="G17" s="940"/>
      <c r="H17" s="940"/>
      <c r="I17" s="940"/>
      <c r="J17" s="940"/>
      <c r="K17" s="940"/>
      <c r="L17" s="1204"/>
    </row>
    <row r="18" ht="13.5" customHeight="1">
      <c r="A18" s="629"/>
      <c r="B18" s="45"/>
      <c r="C18" s="940"/>
      <c r="L18" s="625"/>
      <c r="N18" s="17"/>
      <c r="P18" s="544"/>
      <c r="Q18" s="544"/>
      <c r="R18" s="544"/>
      <c r="S18" s="544"/>
      <c r="T18" s="544"/>
    </row>
    <row r="19" ht="13.5" customHeight="1">
      <c r="A19" s="628"/>
      <c r="B19" s="17"/>
      <c r="C19" s="676"/>
      <c r="D19" s="628"/>
      <c r="F19" s="609"/>
      <c r="G19" s="1205"/>
      <c r="H19" s="953"/>
      <c r="I19" s="74"/>
      <c r="J19" s="626" t="s">
        <v>11449</v>
      </c>
      <c r="K19" s="74"/>
      <c r="L19" s="625"/>
    </row>
    <row r="20" ht="13.5" customHeight="1">
      <c r="A20" s="628"/>
      <c r="B20" s="17"/>
      <c r="C20" s="1206"/>
      <c r="L20" s="625"/>
    </row>
    <row r="21" ht="13.5" customHeight="1">
      <c r="A21" s="628"/>
      <c r="B21" s="17"/>
      <c r="C21" s="1206"/>
      <c r="L21" s="625"/>
    </row>
    <row r="22" ht="13.5" customHeight="1">
      <c r="A22" s="702"/>
      <c r="B22" s="17"/>
      <c r="C22" s="1207"/>
      <c r="L22" s="625"/>
    </row>
    <row r="23" ht="13.5" customHeight="1">
      <c r="A23" s="951"/>
      <c r="B23" s="951"/>
      <c r="C23" s="951"/>
      <c r="D23" s="951"/>
      <c r="E23" s="951"/>
      <c r="F23" s="951"/>
      <c r="G23" s="951"/>
      <c r="H23" s="952"/>
      <c r="I23" s="676"/>
      <c r="J23" s="604" t="s">
        <v>10878</v>
      </c>
      <c r="K23" s="637"/>
      <c r="L23" s="1208"/>
    </row>
    <row r="24" ht="13.5" customHeight="1">
      <c r="A24" s="676"/>
      <c r="B24" s="201"/>
      <c r="C24" s="676"/>
      <c r="D24" s="628"/>
      <c r="E24" s="641"/>
      <c r="F24" s="953"/>
      <c r="G24" s="953"/>
      <c r="H24" s="953"/>
      <c r="I24" s="953"/>
      <c r="J24" s="1209"/>
    </row>
    <row r="25" ht="13.5" customHeight="1">
      <c r="A25" s="592"/>
      <c r="B25" s="201"/>
      <c r="C25" s="628"/>
      <c r="D25" s="628"/>
      <c r="E25" s="641"/>
      <c r="F25" s="953"/>
      <c r="G25" s="953"/>
      <c r="H25" s="953"/>
      <c r="I25" s="953"/>
    </row>
    <row r="26" ht="13.5" customHeight="1">
      <c r="A26" s="592"/>
      <c r="B26" s="604"/>
      <c r="C26" s="604"/>
      <c r="D26" s="649"/>
      <c r="E26" s="641"/>
      <c r="F26" s="953"/>
      <c r="G26" s="953"/>
      <c r="H26" s="953"/>
      <c r="I26" s="953"/>
      <c r="J26" s="650"/>
      <c r="K26" s="637"/>
      <c r="L26" s="651"/>
    </row>
    <row r="27" ht="13.5" customHeight="1">
      <c r="A27" s="592"/>
      <c r="B27" s="1210"/>
      <c r="E27" s="641"/>
      <c r="F27" s="953"/>
      <c r="G27" s="953"/>
      <c r="H27" s="953"/>
      <c r="I27" s="953"/>
      <c r="J27" s="650"/>
      <c r="K27" s="653"/>
      <c r="L27" s="956"/>
    </row>
    <row r="28" ht="13.5" customHeight="1">
      <c r="A28" s="592"/>
      <c r="B28" s="604"/>
      <c r="C28" s="604"/>
      <c r="D28" s="604"/>
      <c r="E28" s="641"/>
      <c r="F28" s="707"/>
      <c r="G28" s="707"/>
      <c r="H28" s="707"/>
      <c r="I28" s="707"/>
      <c r="J28" s="650"/>
      <c r="K28" s="653"/>
      <c r="L28" s="958"/>
    </row>
    <row r="29" ht="13.5" customHeight="1">
      <c r="B29" s="657"/>
      <c r="H29" s="658"/>
      <c r="I29" s="658"/>
      <c r="J29" s="650"/>
      <c r="K29" s="646"/>
      <c r="L29" s="646"/>
    </row>
    <row r="30" ht="13.5" customHeight="1">
      <c r="B30" s="657"/>
      <c r="L30" s="971"/>
    </row>
    <row r="31" ht="13.5" customHeight="1">
      <c r="B31" s="657"/>
      <c r="L31" s="972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3">
    <mergeCell ref="C18:K18"/>
    <mergeCell ref="C20:K20"/>
    <mergeCell ref="C21:K21"/>
    <mergeCell ref="C22:K22"/>
    <mergeCell ref="J24:L25"/>
    <mergeCell ref="B27:D27"/>
    <mergeCell ref="J3:L3"/>
    <mergeCell ref="C4:E4"/>
    <mergeCell ref="J8:L8"/>
    <mergeCell ref="J9:L9"/>
    <mergeCell ref="D11:F11"/>
    <mergeCell ref="H14:I14"/>
    <mergeCell ref="J14:K14"/>
  </mergeCells>
  <printOptions/>
  <pageMargins bottom="0.75" footer="0.0" header="0.0" left="0.7" right="0.7" top="0.75"/>
  <pageSetup paperSize="9" scale="85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9.57"/>
    <col customWidth="1" min="3" max="3" width="8.71"/>
    <col customWidth="1" min="4" max="4" width="11.43"/>
    <col customWidth="1" min="5" max="5" width="8.71"/>
    <col customWidth="1" min="6" max="6" width="6.71"/>
    <col customWidth="1" min="7" max="7" width="7.57"/>
    <col customWidth="1" min="8" max="8" width="3.57"/>
    <col customWidth="1" min="9" max="9" width="6.43"/>
    <col customWidth="1" min="10" max="18" width="8.71"/>
  </cols>
  <sheetData>
    <row r="1" ht="25.5" customHeight="1">
      <c r="A1" s="1211" t="s">
        <v>11450</v>
      </c>
      <c r="J1" s="1211" t="s">
        <v>11450</v>
      </c>
    </row>
    <row r="2" ht="13.5" customHeight="1"/>
    <row r="3" ht="13.5" customHeight="1">
      <c r="A3" s="1212"/>
      <c r="B3" s="1212"/>
      <c r="C3" s="1212"/>
      <c r="D3" s="1212"/>
      <c r="E3" s="1212"/>
      <c r="F3" s="1212"/>
      <c r="G3" s="1212"/>
      <c r="H3" s="1212"/>
      <c r="I3" s="1212"/>
      <c r="J3" s="1212"/>
      <c r="K3" s="1212"/>
      <c r="L3" s="1212"/>
      <c r="M3" s="1212"/>
      <c r="N3" s="1212"/>
      <c r="O3" s="1212"/>
      <c r="P3" s="1212"/>
      <c r="Q3" s="1212"/>
      <c r="R3" s="1212"/>
    </row>
    <row r="4" ht="13.5" customHeight="1">
      <c r="A4" s="1212"/>
      <c r="B4" s="1212"/>
      <c r="C4" s="1212"/>
      <c r="D4" s="1212"/>
      <c r="E4" s="1212"/>
      <c r="F4" s="1212"/>
      <c r="G4" s="1212"/>
      <c r="H4" s="1212"/>
      <c r="I4" s="1212"/>
      <c r="J4" s="1212"/>
      <c r="K4" s="1212"/>
      <c r="L4" s="1212"/>
      <c r="M4" s="1212"/>
      <c r="N4" s="1212"/>
      <c r="O4" s="1212"/>
      <c r="P4" s="1212"/>
      <c r="Q4" s="1212"/>
      <c r="R4" s="1212"/>
    </row>
    <row r="5" ht="13.5" customHeight="1">
      <c r="A5" s="1212"/>
      <c r="B5" s="1212"/>
      <c r="C5" s="1212"/>
      <c r="D5" s="1212"/>
      <c r="E5" s="1212"/>
      <c r="F5" s="1212"/>
      <c r="G5" s="1212"/>
      <c r="H5" s="1212"/>
      <c r="I5" s="1212"/>
      <c r="J5" s="1212"/>
      <c r="K5" s="1212"/>
      <c r="L5" s="1212"/>
      <c r="M5" s="1212"/>
      <c r="N5" s="1212"/>
      <c r="O5" s="1212"/>
      <c r="P5" s="1212"/>
      <c r="Q5" s="1212"/>
      <c r="R5" s="1212"/>
    </row>
    <row r="6" ht="13.5" customHeight="1">
      <c r="A6" s="1212"/>
      <c r="B6" s="1212"/>
      <c r="C6" s="1212"/>
      <c r="D6" s="1212"/>
      <c r="E6" s="1212"/>
      <c r="F6" s="1212"/>
      <c r="G6" s="1212"/>
      <c r="H6" s="1212"/>
      <c r="I6" s="1212"/>
      <c r="J6" s="1212"/>
      <c r="K6" s="1212"/>
      <c r="L6" s="1212"/>
      <c r="M6" s="1212"/>
      <c r="N6" s="1212"/>
      <c r="O6" s="1212"/>
      <c r="P6" s="1212"/>
      <c r="Q6" s="1212"/>
      <c r="R6" s="1212"/>
    </row>
    <row r="7" ht="13.5" customHeight="1">
      <c r="A7" s="1212"/>
      <c r="B7" s="1212"/>
      <c r="C7" s="1212"/>
      <c r="D7" s="1212"/>
      <c r="E7" s="1212"/>
      <c r="F7" s="1212"/>
      <c r="G7" s="1212"/>
      <c r="H7" s="1212"/>
      <c r="I7" s="1212"/>
      <c r="J7" s="1212"/>
      <c r="K7" s="1212"/>
      <c r="L7" s="1212"/>
      <c r="M7" s="1212"/>
      <c r="N7" s="1212"/>
      <c r="O7" s="1212"/>
      <c r="P7" s="1212"/>
      <c r="Q7" s="1212"/>
      <c r="R7" s="1212"/>
    </row>
    <row r="8" ht="13.5" customHeight="1">
      <c r="A8" s="1212"/>
      <c r="B8" s="1212"/>
      <c r="C8" s="1212"/>
      <c r="D8" s="1212"/>
      <c r="E8" s="1212"/>
      <c r="F8" s="1212"/>
      <c r="G8" s="1212"/>
      <c r="H8" s="1212"/>
      <c r="I8" s="1212"/>
      <c r="J8" s="1212"/>
      <c r="K8" s="1212"/>
      <c r="L8" s="1212"/>
      <c r="M8" s="1212"/>
      <c r="N8" s="1212"/>
      <c r="O8" s="1212"/>
      <c r="P8" s="1212"/>
      <c r="Q8" s="1212"/>
      <c r="R8" s="1212"/>
    </row>
    <row r="9" ht="13.5" customHeight="1">
      <c r="A9" s="1212"/>
      <c r="B9" s="1212"/>
      <c r="C9" s="1212"/>
      <c r="D9" s="1212"/>
      <c r="E9" s="1212"/>
      <c r="F9" s="1212"/>
      <c r="G9" s="1212"/>
      <c r="H9" s="1212"/>
      <c r="I9" s="1212"/>
      <c r="J9" s="1212"/>
      <c r="K9" s="1212"/>
      <c r="L9" s="1212"/>
      <c r="M9" s="1212"/>
      <c r="N9" s="1212"/>
      <c r="O9" s="1212"/>
      <c r="P9" s="1212"/>
      <c r="Q9" s="1212"/>
      <c r="R9" s="1212"/>
    </row>
    <row r="10" ht="13.5" customHeight="1">
      <c r="A10" s="1212"/>
      <c r="B10" s="1212"/>
      <c r="C10" s="1212"/>
      <c r="D10" s="1212"/>
      <c r="E10" s="1212"/>
      <c r="F10" s="1212"/>
      <c r="G10" s="1212"/>
      <c r="H10" s="1212"/>
      <c r="I10" s="1212"/>
      <c r="J10" s="1212"/>
      <c r="K10" s="1212"/>
      <c r="L10" s="1212"/>
      <c r="M10" s="1212"/>
      <c r="N10" s="1212"/>
      <c r="O10" s="1212"/>
      <c r="P10" s="1212"/>
      <c r="Q10" s="1212"/>
      <c r="R10" s="1212"/>
    </row>
    <row r="11" ht="13.5" customHeight="1">
      <c r="A11" s="1212"/>
      <c r="B11" s="1212"/>
      <c r="C11" s="1212"/>
      <c r="D11" s="1212"/>
      <c r="E11" s="1212"/>
      <c r="F11" s="1212"/>
      <c r="G11" s="1212"/>
      <c r="H11" s="1212"/>
      <c r="I11" s="1212"/>
      <c r="J11" s="1212"/>
      <c r="K11" s="1212"/>
      <c r="L11" s="1212"/>
      <c r="M11" s="1212"/>
      <c r="N11" s="1212"/>
      <c r="O11" s="1212"/>
      <c r="P11" s="1212"/>
      <c r="Q11" s="1212"/>
      <c r="R11" s="1212"/>
    </row>
    <row r="12" ht="13.5" customHeight="1">
      <c r="A12" s="1212"/>
      <c r="B12" s="1212"/>
      <c r="C12" s="1212"/>
      <c r="D12" s="1212"/>
      <c r="E12" s="1212"/>
      <c r="F12" s="1212"/>
      <c r="G12" s="1212"/>
      <c r="H12" s="1212"/>
      <c r="I12" s="1212"/>
      <c r="J12" s="1212"/>
      <c r="K12" s="1212"/>
      <c r="L12" s="1212"/>
      <c r="M12" s="1212"/>
      <c r="N12" s="1212"/>
      <c r="O12" s="1212"/>
      <c r="P12" s="1212"/>
      <c r="Q12" s="1212"/>
      <c r="R12" s="1212"/>
    </row>
    <row r="13" ht="13.5" customHeight="1">
      <c r="A13" s="1212"/>
      <c r="B13" s="1212"/>
      <c r="C13" s="1212"/>
      <c r="D13" s="1212"/>
      <c r="E13" s="1212"/>
      <c r="F13" s="1212"/>
      <c r="G13" s="1212"/>
      <c r="H13" s="1212"/>
      <c r="I13" s="1212"/>
      <c r="J13" s="1212"/>
      <c r="K13" s="1212"/>
      <c r="L13" s="1212"/>
      <c r="M13" s="1212"/>
      <c r="N13" s="1212"/>
      <c r="O13" s="1212"/>
      <c r="P13" s="1212"/>
      <c r="Q13" s="1212"/>
      <c r="R13" s="1212"/>
    </row>
    <row r="14" ht="13.5" customHeight="1">
      <c r="A14" s="1213" t="s">
        <v>11451</v>
      </c>
      <c r="J14" s="1213" t="s">
        <v>11451</v>
      </c>
    </row>
    <row r="15" ht="13.5" customHeight="1"/>
    <row r="16" ht="13.5" customHeight="1">
      <c r="A16" s="1214" t="s">
        <v>11452</v>
      </c>
      <c r="J16" s="1214" t="s">
        <v>11452</v>
      </c>
    </row>
    <row r="17" ht="13.5" customHeight="1"/>
    <row r="18" ht="13.5" customHeight="1">
      <c r="A18" s="1212"/>
      <c r="B18" s="1212"/>
      <c r="C18" s="1212"/>
      <c r="D18" s="1212"/>
      <c r="E18" s="1212"/>
      <c r="F18" s="1212"/>
      <c r="G18" s="1212"/>
      <c r="H18" s="1212"/>
      <c r="I18" s="1212"/>
    </row>
    <row r="19" ht="13.5" customHeight="1">
      <c r="A19" s="1212"/>
      <c r="B19" s="1212"/>
      <c r="C19" s="1212"/>
      <c r="D19" s="1212"/>
      <c r="E19" s="1212"/>
      <c r="F19" s="1212"/>
      <c r="G19" s="1212"/>
      <c r="H19" s="1212"/>
      <c r="I19" s="1212"/>
    </row>
    <row r="20" ht="13.5" customHeight="1">
      <c r="A20" s="1212"/>
      <c r="B20" s="1212"/>
      <c r="C20" s="1212"/>
      <c r="D20" s="1212"/>
      <c r="E20" s="1212"/>
      <c r="F20" s="1212"/>
      <c r="G20" s="1212"/>
      <c r="H20" s="1212"/>
      <c r="I20" s="1212"/>
    </row>
    <row r="21" ht="13.5" customHeight="1">
      <c r="A21" s="1212"/>
      <c r="B21" s="1212"/>
      <c r="C21" s="1212"/>
      <c r="D21" s="1212"/>
      <c r="E21" s="1212"/>
      <c r="F21" s="1212"/>
      <c r="G21" s="1212"/>
      <c r="H21" s="1212"/>
      <c r="I21" s="1212"/>
    </row>
    <row r="22" ht="13.5" customHeight="1">
      <c r="A22" s="1212"/>
      <c r="B22" s="1212"/>
      <c r="C22" s="1212"/>
      <c r="D22" s="1212"/>
      <c r="E22" s="1212"/>
      <c r="F22" s="1212"/>
      <c r="G22" s="1212"/>
      <c r="H22" s="1212"/>
      <c r="I22" s="1212"/>
    </row>
    <row r="23" ht="13.5" customHeight="1">
      <c r="A23" s="1211" t="s">
        <v>11450</v>
      </c>
      <c r="J23" s="1211" t="s">
        <v>11450</v>
      </c>
    </row>
    <row r="24" ht="13.5" customHeight="1"/>
    <row r="25" ht="13.5" customHeight="1">
      <c r="A25" s="1212"/>
      <c r="B25" s="1212"/>
      <c r="C25" s="1212"/>
      <c r="D25" s="1212"/>
      <c r="E25" s="1212"/>
      <c r="F25" s="1212"/>
      <c r="G25" s="1212"/>
      <c r="H25" s="1212"/>
      <c r="I25" s="1212"/>
      <c r="J25" s="1212"/>
      <c r="K25" s="1212"/>
      <c r="L25" s="1212"/>
      <c r="M25" s="1212"/>
      <c r="N25" s="1212"/>
      <c r="O25" s="1212"/>
      <c r="P25" s="1212"/>
      <c r="Q25" s="1212"/>
      <c r="R25" s="1212"/>
    </row>
    <row r="26" ht="13.5" customHeight="1">
      <c r="A26" s="1212"/>
      <c r="B26" s="1212"/>
      <c r="C26" s="1212"/>
      <c r="D26" s="1212"/>
      <c r="E26" s="1212"/>
      <c r="F26" s="1212"/>
      <c r="G26" s="1212"/>
      <c r="H26" s="1212"/>
      <c r="I26" s="1212"/>
      <c r="J26" s="1212"/>
      <c r="K26" s="1212"/>
      <c r="L26" s="1212"/>
      <c r="M26" s="1212"/>
      <c r="N26" s="1212"/>
      <c r="O26" s="1212"/>
      <c r="P26" s="1212"/>
      <c r="Q26" s="1212"/>
      <c r="R26" s="1212"/>
    </row>
    <row r="27" ht="13.5" customHeight="1">
      <c r="A27" s="1212"/>
      <c r="B27" s="1212"/>
      <c r="C27" s="1212"/>
      <c r="D27" s="1212"/>
      <c r="E27" s="1212"/>
      <c r="F27" s="1212"/>
      <c r="G27" s="1212"/>
      <c r="H27" s="1212"/>
      <c r="I27" s="1212"/>
      <c r="J27" s="1212"/>
      <c r="K27" s="1212"/>
      <c r="L27" s="1212"/>
      <c r="M27" s="1212"/>
      <c r="N27" s="1212"/>
      <c r="O27" s="1212"/>
      <c r="P27" s="1212"/>
      <c r="Q27" s="1212"/>
      <c r="R27" s="1212"/>
    </row>
    <row r="28" ht="13.5" customHeight="1">
      <c r="A28" s="1212"/>
      <c r="B28" s="1212"/>
      <c r="C28" s="1212"/>
      <c r="D28" s="1212"/>
      <c r="E28" s="1212"/>
      <c r="F28" s="1212"/>
      <c r="G28" s="1212"/>
      <c r="H28" s="1212"/>
      <c r="I28" s="1212"/>
      <c r="J28" s="1212"/>
      <c r="K28" s="1212"/>
      <c r="L28" s="1212"/>
      <c r="M28" s="1212"/>
      <c r="N28" s="1212"/>
      <c r="O28" s="1212"/>
      <c r="P28" s="1212"/>
      <c r="Q28" s="1212"/>
      <c r="R28" s="1212"/>
    </row>
    <row r="29" ht="13.5" customHeight="1">
      <c r="A29" s="1212"/>
      <c r="B29" s="1212"/>
      <c r="C29" s="1212"/>
      <c r="D29" s="1212"/>
      <c r="E29" s="1212"/>
      <c r="F29" s="1212"/>
      <c r="G29" s="1212"/>
      <c r="H29" s="1212"/>
      <c r="I29" s="1212"/>
      <c r="J29" s="1212"/>
      <c r="K29" s="1212"/>
      <c r="L29" s="1212"/>
      <c r="M29" s="1212"/>
      <c r="N29" s="1212"/>
      <c r="O29" s="1212"/>
      <c r="P29" s="1212"/>
      <c r="Q29" s="1212"/>
      <c r="R29" s="1212"/>
    </row>
    <row r="30" ht="13.5" customHeight="1">
      <c r="A30" s="1212"/>
      <c r="B30" s="1212"/>
      <c r="C30" s="1212"/>
      <c r="D30" s="1212"/>
      <c r="E30" s="1212"/>
      <c r="F30" s="1212"/>
      <c r="G30" s="1212"/>
      <c r="H30" s="1212"/>
      <c r="I30" s="1212"/>
      <c r="J30" s="1212"/>
      <c r="K30" s="1212"/>
      <c r="L30" s="1212"/>
      <c r="M30" s="1212"/>
      <c r="N30" s="1212"/>
      <c r="O30" s="1212"/>
      <c r="P30" s="1212"/>
      <c r="Q30" s="1212"/>
      <c r="R30" s="1212"/>
    </row>
    <row r="31" ht="13.5" customHeight="1">
      <c r="A31" s="1212"/>
      <c r="B31" s="1212"/>
      <c r="C31" s="1212"/>
      <c r="D31" s="1212"/>
      <c r="E31" s="1212"/>
      <c r="F31" s="1212"/>
      <c r="G31" s="1212"/>
      <c r="H31" s="1212"/>
      <c r="I31" s="1212"/>
      <c r="J31" s="1212"/>
      <c r="K31" s="1212"/>
      <c r="L31" s="1212"/>
      <c r="M31" s="1212"/>
      <c r="N31" s="1212"/>
      <c r="O31" s="1212"/>
      <c r="P31" s="1212"/>
      <c r="Q31" s="1212"/>
      <c r="R31" s="1212"/>
    </row>
    <row r="32" ht="13.5" customHeight="1">
      <c r="A32" s="1212"/>
      <c r="B32" s="1212"/>
      <c r="C32" s="1212"/>
      <c r="D32" s="1212"/>
      <c r="E32" s="1212"/>
      <c r="F32" s="1212"/>
      <c r="G32" s="1212"/>
      <c r="H32" s="1212"/>
      <c r="I32" s="1212"/>
      <c r="J32" s="1212"/>
      <c r="K32" s="1212"/>
      <c r="L32" s="1212"/>
      <c r="M32" s="1212"/>
      <c r="N32" s="1212"/>
      <c r="O32" s="1212"/>
      <c r="P32" s="1212"/>
      <c r="Q32" s="1212"/>
      <c r="R32" s="1212"/>
    </row>
    <row r="33" ht="13.5" customHeight="1">
      <c r="A33" s="1212"/>
      <c r="B33" s="1212"/>
      <c r="C33" s="1212"/>
      <c r="D33" s="1212"/>
      <c r="E33" s="1212"/>
      <c r="F33" s="1212"/>
      <c r="G33" s="1212"/>
      <c r="H33" s="1212"/>
      <c r="I33" s="1212"/>
      <c r="J33" s="1212"/>
      <c r="K33" s="1212"/>
      <c r="L33" s="1212"/>
      <c r="M33" s="1212"/>
      <c r="N33" s="1212"/>
      <c r="O33" s="1212"/>
      <c r="P33" s="1212"/>
      <c r="Q33" s="1212"/>
      <c r="R33" s="1212"/>
    </row>
    <row r="34" ht="13.5" customHeight="1">
      <c r="A34" s="1212"/>
      <c r="B34" s="1212"/>
      <c r="C34" s="1212"/>
      <c r="D34" s="1212"/>
      <c r="E34" s="1212"/>
      <c r="F34" s="1212"/>
      <c r="G34" s="1212"/>
      <c r="H34" s="1212"/>
      <c r="I34" s="1212"/>
      <c r="J34" s="1212"/>
      <c r="K34" s="1212"/>
      <c r="L34" s="1212"/>
      <c r="M34" s="1212"/>
      <c r="N34" s="1212"/>
      <c r="O34" s="1212"/>
      <c r="P34" s="1212"/>
      <c r="Q34" s="1212"/>
      <c r="R34" s="1212"/>
    </row>
    <row r="35" ht="13.5" customHeight="1">
      <c r="A35" s="1212"/>
      <c r="B35" s="1212"/>
      <c r="C35" s="1212"/>
      <c r="D35" s="1212"/>
      <c r="E35" s="1212"/>
      <c r="F35" s="1212"/>
      <c r="G35" s="1212"/>
      <c r="H35" s="1212"/>
      <c r="I35" s="1212"/>
      <c r="J35" s="1212"/>
      <c r="K35" s="1212"/>
      <c r="L35" s="1212"/>
      <c r="M35" s="1212"/>
      <c r="N35" s="1212"/>
      <c r="O35" s="1212"/>
      <c r="P35" s="1212"/>
      <c r="Q35" s="1212"/>
      <c r="R35" s="1212"/>
    </row>
    <row r="36" ht="13.5" customHeight="1">
      <c r="A36" s="1213" t="s">
        <v>11451</v>
      </c>
      <c r="J36" s="1213" t="s">
        <v>11451</v>
      </c>
    </row>
    <row r="37" ht="13.5" customHeight="1"/>
    <row r="38" ht="13.5" customHeight="1">
      <c r="A38" s="1214" t="s">
        <v>11452</v>
      </c>
      <c r="J38" s="1214" t="s">
        <v>11452</v>
      </c>
    </row>
    <row r="39" ht="13.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</sheetData>
  <mergeCells count="12">
    <mergeCell ref="A23:I24"/>
    <mergeCell ref="A36:I37"/>
    <mergeCell ref="J36:R37"/>
    <mergeCell ref="A38:I39"/>
    <mergeCell ref="J38:R39"/>
    <mergeCell ref="A1:I2"/>
    <mergeCell ref="J1:R2"/>
    <mergeCell ref="A14:I15"/>
    <mergeCell ref="J14:R15"/>
    <mergeCell ref="A16:I17"/>
    <mergeCell ref="J16:R17"/>
    <mergeCell ref="J23:R24"/>
  </mergeCells>
  <printOptions/>
  <pageMargins bottom="0.0" footer="0.0" header="0.0" left="0.0" right="0.0" top="0.0"/>
  <pageSetup paperSize="9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9.29"/>
    <col customWidth="1" min="2" max="2" width="13.43"/>
    <col customWidth="1" min="3" max="3" width="9.29"/>
    <col customWidth="1" min="4" max="4" width="35.29"/>
    <col customWidth="1" min="5" max="5" width="11.57"/>
    <col customWidth="1" min="6" max="6" width="11.29"/>
    <col customWidth="1" min="7" max="7" width="10.57"/>
    <col customWidth="1" min="8" max="9" width="10.43"/>
    <col customWidth="1" min="10" max="10" width="12.71"/>
    <col customWidth="1" min="11" max="11" width="12.29"/>
    <col customWidth="1" min="12" max="12" width="14.71"/>
    <col customWidth="1" min="13" max="13" width="13.29"/>
    <col customWidth="1" min="14" max="14" width="13.71"/>
    <col customWidth="1" min="15" max="15" width="13.43"/>
    <col customWidth="1" min="16" max="16" width="12.57"/>
    <col customWidth="1" min="17" max="19" width="10.71"/>
    <col customWidth="1" min="20" max="20" width="63.71"/>
    <col customWidth="1" min="21" max="21" width="10.71"/>
    <col customWidth="1" min="22" max="22" width="10.29"/>
    <col customWidth="1" min="24" max="24" width="10.29"/>
    <col customWidth="1" min="25" max="25" width="13.71"/>
    <col customWidth="1" min="26" max="29" width="8.71"/>
  </cols>
  <sheetData>
    <row r="1">
      <c r="A1" s="1215" t="s">
        <v>11453</v>
      </c>
      <c r="B1" s="1216" t="s">
        <v>11454</v>
      </c>
      <c r="C1" s="1217" t="s">
        <v>11455</v>
      </c>
      <c r="D1" s="1218" t="s">
        <v>11456</v>
      </c>
      <c r="E1" s="1219"/>
      <c r="F1" s="1219"/>
      <c r="G1" s="1219"/>
      <c r="H1" s="1220"/>
      <c r="I1" s="1220"/>
      <c r="J1" s="1221" t="s">
        <v>11457</v>
      </c>
      <c r="K1" s="1220"/>
      <c r="L1" s="1221" t="s">
        <v>11458</v>
      </c>
      <c r="M1" s="1219"/>
      <c r="N1" s="1221" t="s">
        <v>11459</v>
      </c>
      <c r="O1" s="1219"/>
      <c r="P1" s="1221" t="s">
        <v>11460</v>
      </c>
      <c r="Q1" s="1222"/>
      <c r="R1" s="1222"/>
      <c r="S1" s="1222"/>
      <c r="T1" s="1222"/>
      <c r="U1" s="1222"/>
      <c r="V1" s="1222"/>
      <c r="W1" s="1222"/>
      <c r="X1" s="1222"/>
      <c r="Y1" s="1222"/>
      <c r="Z1" s="1222"/>
      <c r="AA1" s="1222"/>
      <c r="AB1" s="1222"/>
      <c r="AC1" s="1222"/>
    </row>
    <row r="2">
      <c r="A2" s="1164"/>
      <c r="B2" s="129"/>
      <c r="C2" s="129"/>
      <c r="D2" s="1218"/>
      <c r="E2" s="1223" t="s">
        <v>11461</v>
      </c>
      <c r="F2" s="1223" t="s">
        <v>11462</v>
      </c>
      <c r="G2" s="1224" t="s">
        <v>11463</v>
      </c>
      <c r="H2" s="1225" t="s">
        <v>11464</v>
      </c>
      <c r="I2" s="1226" t="s">
        <v>11465</v>
      </c>
      <c r="J2" s="1227" t="s">
        <v>11466</v>
      </c>
      <c r="K2" s="1228" t="s">
        <v>11467</v>
      </c>
      <c r="L2" s="1229" t="s">
        <v>11468</v>
      </c>
      <c r="M2" s="1228" t="s">
        <v>11469</v>
      </c>
      <c r="N2" s="1227" t="s">
        <v>11470</v>
      </c>
      <c r="O2" s="1228" t="s">
        <v>11471</v>
      </c>
      <c r="P2" s="1227" t="s">
        <v>11472</v>
      </c>
      <c r="Q2" s="1230">
        <v>0.005</v>
      </c>
      <c r="R2" s="898" t="s">
        <v>11473</v>
      </c>
      <c r="S2" s="898" t="s">
        <v>11474</v>
      </c>
      <c r="T2" s="898" t="s">
        <v>11475</v>
      </c>
      <c r="U2" s="1222"/>
      <c r="V2" s="1222"/>
      <c r="W2" s="1222"/>
      <c r="X2" s="1222"/>
      <c r="Y2" s="1222"/>
      <c r="Z2" s="1222"/>
      <c r="AA2" s="1222"/>
      <c r="AB2" s="1222"/>
      <c r="AC2" s="1222"/>
    </row>
    <row r="3" ht="16.5" customHeight="1">
      <c r="A3" s="1164"/>
      <c r="B3" s="1231" t="s">
        <v>112</v>
      </c>
      <c r="C3" s="1232" t="s">
        <v>11476</v>
      </c>
      <c r="D3" s="1231" t="s">
        <v>11477</v>
      </c>
      <c r="E3" s="1233">
        <v>325000.0</v>
      </c>
      <c r="F3" s="1233">
        <f t="shared" ref="F3:F43" si="1">E3*1.11</f>
        <v>360750</v>
      </c>
      <c r="G3" s="1234">
        <f t="shared" ref="G3:G10" si="2">(F3*1.1)+15000</f>
        <v>411825</v>
      </c>
      <c r="H3" s="1233">
        <f t="shared" ref="H3:H6" si="3">G3* 1.3</f>
        <v>535372.5</v>
      </c>
      <c r="I3" s="1235">
        <v>536000.0</v>
      </c>
      <c r="J3" s="1236">
        <v>516000.0</v>
      </c>
      <c r="K3" s="1233">
        <f t="shared" ref="K3:K6" si="4">G3*1.542</f>
        <v>635034.15</v>
      </c>
      <c r="L3" s="1236">
        <v>612000.0</v>
      </c>
      <c r="M3" s="1233">
        <f>G3*1.801</f>
        <v>741696.825</v>
      </c>
      <c r="N3" s="1236">
        <v>715000.0</v>
      </c>
      <c r="O3" s="1237">
        <f>G3*1.96</f>
        <v>807177</v>
      </c>
      <c r="P3" s="1236">
        <v>778000.0</v>
      </c>
      <c r="Q3" s="1238">
        <f t="shared" ref="Q3:Q10" si="5">P3*1.05</f>
        <v>816900</v>
      </c>
      <c r="R3" s="1238">
        <v>817000.0</v>
      </c>
      <c r="S3" s="1239">
        <v>855000.0</v>
      </c>
      <c r="T3" s="1240">
        <f t="shared" ref="T3:T10" si="6">R3-P3</f>
        <v>39000</v>
      </c>
      <c r="U3" s="1241"/>
      <c r="V3" s="1241"/>
      <c r="W3" s="1222"/>
      <c r="X3" s="1241"/>
      <c r="Y3" s="1222"/>
      <c r="Z3" s="1222"/>
      <c r="AA3" s="1222"/>
      <c r="AB3" s="1222"/>
      <c r="AC3" s="1222"/>
    </row>
    <row r="4">
      <c r="A4" s="1164"/>
      <c r="B4" s="1231" t="s">
        <v>11478</v>
      </c>
      <c r="C4" s="1232" t="s">
        <v>11479</v>
      </c>
      <c r="D4" s="1231" t="s">
        <v>11480</v>
      </c>
      <c r="E4" s="1233">
        <v>325000.0</v>
      </c>
      <c r="F4" s="1233">
        <f t="shared" si="1"/>
        <v>360750</v>
      </c>
      <c r="G4" s="1234">
        <f t="shared" si="2"/>
        <v>411825</v>
      </c>
      <c r="H4" s="1233">
        <f t="shared" si="3"/>
        <v>535372.5</v>
      </c>
      <c r="I4" s="1235">
        <v>536000.0</v>
      </c>
      <c r="J4" s="1236">
        <v>516000.0</v>
      </c>
      <c r="K4" s="1233">
        <f t="shared" si="4"/>
        <v>635034.15</v>
      </c>
      <c r="L4" s="1236">
        <v>612000.0</v>
      </c>
      <c r="M4" s="1233">
        <f t="shared" ref="M4:M6" si="7">G4*1.66</f>
        <v>683629.5</v>
      </c>
      <c r="N4" s="1236">
        <v>659000.0</v>
      </c>
      <c r="O4" s="1237">
        <f t="shared" ref="O4:O6" si="8">G4*1.731</f>
        <v>712869.075</v>
      </c>
      <c r="P4" s="1236">
        <v>687000.0</v>
      </c>
      <c r="Q4" s="1238">
        <f t="shared" si="5"/>
        <v>721350</v>
      </c>
      <c r="R4" s="1238">
        <v>70.0</v>
      </c>
      <c r="S4" s="1239">
        <v>758000.0</v>
      </c>
      <c r="T4" s="1240">
        <f t="shared" si="6"/>
        <v>-686930</v>
      </c>
      <c r="U4" s="1241"/>
      <c r="V4" s="1241"/>
      <c r="W4" s="1222"/>
      <c r="X4" s="1241"/>
      <c r="Y4" s="1222"/>
      <c r="Z4" s="1222"/>
      <c r="AA4" s="1222"/>
      <c r="AB4" s="1222"/>
      <c r="AC4" s="1222"/>
    </row>
    <row r="5">
      <c r="A5" s="1164"/>
      <c r="B5" s="1231" t="s">
        <v>11478</v>
      </c>
      <c r="C5" s="1232" t="s">
        <v>11481</v>
      </c>
      <c r="D5" s="1231" t="s">
        <v>11482</v>
      </c>
      <c r="E5" s="1233">
        <v>325000.0</v>
      </c>
      <c r="F5" s="1233">
        <f t="shared" si="1"/>
        <v>360750</v>
      </c>
      <c r="G5" s="1234">
        <f t="shared" si="2"/>
        <v>411825</v>
      </c>
      <c r="H5" s="1233">
        <f t="shared" si="3"/>
        <v>535372.5</v>
      </c>
      <c r="I5" s="1235">
        <v>536000.0</v>
      </c>
      <c r="J5" s="1236">
        <v>516000.0</v>
      </c>
      <c r="K5" s="1233">
        <f t="shared" si="4"/>
        <v>635034.15</v>
      </c>
      <c r="L5" s="1236">
        <v>612000.0</v>
      </c>
      <c r="M5" s="1233">
        <f t="shared" si="7"/>
        <v>683629.5</v>
      </c>
      <c r="N5" s="1236">
        <v>659000.0</v>
      </c>
      <c r="O5" s="1237">
        <f t="shared" si="8"/>
        <v>712869.075</v>
      </c>
      <c r="P5" s="1236">
        <v>687000.0</v>
      </c>
      <c r="Q5" s="1238">
        <f t="shared" si="5"/>
        <v>721350</v>
      </c>
      <c r="R5" s="1238">
        <v>729000.0</v>
      </c>
      <c r="S5" s="1239">
        <v>758000.0</v>
      </c>
      <c r="T5" s="1240">
        <f t="shared" si="6"/>
        <v>42000</v>
      </c>
      <c r="U5" s="1241"/>
      <c r="V5" s="1241"/>
      <c r="W5" s="1222"/>
      <c r="X5" s="1222"/>
      <c r="Y5" s="1222"/>
      <c r="Z5" s="1222"/>
      <c r="AA5" s="1222"/>
      <c r="AB5" s="1222"/>
      <c r="AC5" s="1222"/>
    </row>
    <row r="6">
      <c r="A6" s="1164"/>
      <c r="B6" s="1231" t="s">
        <v>11478</v>
      </c>
      <c r="C6" s="1232" t="s">
        <v>11483</v>
      </c>
      <c r="D6" s="1231" t="s">
        <v>11484</v>
      </c>
      <c r="E6" s="1233">
        <v>325000.0</v>
      </c>
      <c r="F6" s="1233">
        <f t="shared" si="1"/>
        <v>360750</v>
      </c>
      <c r="G6" s="1234">
        <f t="shared" si="2"/>
        <v>411825</v>
      </c>
      <c r="H6" s="1233">
        <f t="shared" si="3"/>
        <v>535372.5</v>
      </c>
      <c r="I6" s="1235">
        <v>536000.0</v>
      </c>
      <c r="J6" s="1236">
        <v>516000.0</v>
      </c>
      <c r="K6" s="1233">
        <f t="shared" si="4"/>
        <v>635034.15</v>
      </c>
      <c r="L6" s="1236">
        <v>612000.0</v>
      </c>
      <c r="M6" s="1233">
        <f t="shared" si="7"/>
        <v>683629.5</v>
      </c>
      <c r="N6" s="1236">
        <v>659000.0</v>
      </c>
      <c r="O6" s="1237">
        <f t="shared" si="8"/>
        <v>712869.075</v>
      </c>
      <c r="P6" s="1236">
        <v>687000.0</v>
      </c>
      <c r="Q6" s="1238">
        <f t="shared" si="5"/>
        <v>721350</v>
      </c>
      <c r="R6" s="1238">
        <v>729000.0</v>
      </c>
      <c r="S6" s="1239">
        <v>758000.0</v>
      </c>
      <c r="T6" s="1240">
        <f t="shared" si="6"/>
        <v>42000</v>
      </c>
      <c r="U6" s="1241"/>
      <c r="V6" s="1241"/>
      <c r="W6" s="1222"/>
      <c r="X6" s="1222"/>
      <c r="Y6" s="1222"/>
      <c r="Z6" s="1222"/>
      <c r="AA6" s="1222"/>
      <c r="AB6" s="1222"/>
      <c r="AC6" s="1222"/>
    </row>
    <row r="7" ht="16.5" customHeight="1">
      <c r="A7" s="1164"/>
      <c r="B7" s="1231" t="s">
        <v>11478</v>
      </c>
      <c r="C7" s="1242" t="s">
        <v>11485</v>
      </c>
      <c r="D7" s="1231" t="s">
        <v>11486</v>
      </c>
      <c r="E7" s="1233">
        <v>495000.0</v>
      </c>
      <c r="F7" s="1233">
        <f t="shared" si="1"/>
        <v>549450</v>
      </c>
      <c r="G7" s="1234">
        <f t="shared" si="2"/>
        <v>619395</v>
      </c>
      <c r="H7" s="1233">
        <f>G7* 1.32</f>
        <v>817601.4</v>
      </c>
      <c r="I7" s="1235">
        <v>818000.0</v>
      </c>
      <c r="J7" s="1236">
        <v>798000.0</v>
      </c>
      <c r="K7" s="1233">
        <f>G7*1.555</f>
        <v>963159.225</v>
      </c>
      <c r="L7" s="1236">
        <v>940000.0</v>
      </c>
      <c r="M7" s="1233">
        <f>G7*1.737</f>
        <v>1075889.115</v>
      </c>
      <c r="N7" s="1236">
        <v>1050000.0</v>
      </c>
      <c r="O7" s="1237">
        <f>G7*1.8</f>
        <v>1114911</v>
      </c>
      <c r="P7" s="1236">
        <v>1088000.0</v>
      </c>
      <c r="Q7" s="1238">
        <f t="shared" si="5"/>
        <v>1142400</v>
      </c>
      <c r="R7" s="1238">
        <v>1154000.0</v>
      </c>
      <c r="S7" s="1239">
        <v>1190000.0</v>
      </c>
      <c r="T7" s="1240">
        <f t="shared" si="6"/>
        <v>66000</v>
      </c>
      <c r="U7" s="1241"/>
      <c r="V7" s="1241"/>
      <c r="W7" s="1222"/>
      <c r="X7" s="1222"/>
      <c r="Y7" s="1222"/>
      <c r="Z7" s="1222"/>
      <c r="AA7" s="1222"/>
      <c r="AB7" s="1222"/>
      <c r="AC7" s="1222"/>
    </row>
    <row r="8">
      <c r="A8" s="1164"/>
      <c r="B8" s="1231" t="s">
        <v>11478</v>
      </c>
      <c r="C8" s="1231" t="s">
        <v>11487</v>
      </c>
      <c r="D8" s="1231" t="s">
        <v>11488</v>
      </c>
      <c r="E8" s="1233">
        <v>277000.0</v>
      </c>
      <c r="F8" s="1233">
        <f t="shared" si="1"/>
        <v>307470</v>
      </c>
      <c r="G8" s="1234">
        <f t="shared" si="2"/>
        <v>353217</v>
      </c>
      <c r="H8" s="1233">
        <f>G8* 1.433</f>
        <v>506159.961</v>
      </c>
      <c r="I8" s="1235">
        <v>507000.0</v>
      </c>
      <c r="J8" s="1236">
        <v>485000.0</v>
      </c>
      <c r="K8" s="1233">
        <f>G8*1.75</f>
        <v>618129.75</v>
      </c>
      <c r="L8" s="1236">
        <v>592000.0</v>
      </c>
      <c r="M8" s="1233">
        <f>G8*1.821</f>
        <v>643208.157</v>
      </c>
      <c r="N8" s="1236">
        <v>616000.0</v>
      </c>
      <c r="O8" s="1237">
        <f>G8*1.889</f>
        <v>667226.913</v>
      </c>
      <c r="P8" s="1236">
        <v>639000.0</v>
      </c>
      <c r="Q8" s="1238">
        <f t="shared" si="5"/>
        <v>670950</v>
      </c>
      <c r="R8" s="1238">
        <v>678000.0</v>
      </c>
      <c r="S8" s="1239">
        <v>700000.0</v>
      </c>
      <c r="T8" s="1240">
        <f t="shared" si="6"/>
        <v>39000</v>
      </c>
      <c r="U8" s="1241"/>
      <c r="V8" s="1241"/>
      <c r="W8" s="1222"/>
      <c r="X8" s="1222"/>
      <c r="Y8" s="1222"/>
      <c r="Z8" s="1222"/>
      <c r="AA8" s="1222"/>
      <c r="AB8" s="1222"/>
      <c r="AC8" s="1222"/>
    </row>
    <row r="9">
      <c r="A9" s="1164"/>
      <c r="B9" s="1231" t="s">
        <v>11478</v>
      </c>
      <c r="C9" s="1231" t="s">
        <v>11489</v>
      </c>
      <c r="D9" s="1231" t="s">
        <v>11490</v>
      </c>
      <c r="E9" s="1233">
        <v>368000.0</v>
      </c>
      <c r="F9" s="1233">
        <f t="shared" si="1"/>
        <v>408480</v>
      </c>
      <c r="G9" s="1234">
        <f t="shared" si="2"/>
        <v>464328</v>
      </c>
      <c r="H9" s="1233">
        <f>G9* 1.25</f>
        <v>580410</v>
      </c>
      <c r="I9" s="1235">
        <v>581000.0</v>
      </c>
      <c r="J9" s="1236">
        <v>562000.0</v>
      </c>
      <c r="K9" s="1233">
        <f>G9*1.5</f>
        <v>696492</v>
      </c>
      <c r="L9" s="1236">
        <v>674000.0</v>
      </c>
      <c r="M9" s="1233">
        <f>G9*1.751</f>
        <v>813038.328</v>
      </c>
      <c r="N9" s="1236">
        <v>787000.0</v>
      </c>
      <c r="O9" s="1237">
        <f>G9*1.856</f>
        <v>861792.768</v>
      </c>
      <c r="P9" s="1236">
        <v>834000.0</v>
      </c>
      <c r="Q9" s="1238">
        <f t="shared" si="5"/>
        <v>875700</v>
      </c>
      <c r="R9" s="1238">
        <v>885000.0</v>
      </c>
      <c r="S9" s="1239">
        <v>919000.0</v>
      </c>
      <c r="T9" s="1240">
        <f t="shared" si="6"/>
        <v>51000</v>
      </c>
      <c r="U9" s="1241"/>
      <c r="V9" s="1241"/>
      <c r="W9" s="1222"/>
      <c r="X9" s="1222"/>
      <c r="Y9" s="1222"/>
      <c r="Z9" s="1222"/>
      <c r="AA9" s="1222"/>
      <c r="AB9" s="1222"/>
      <c r="AC9" s="1222"/>
    </row>
    <row r="10">
      <c r="A10" s="1164"/>
      <c r="B10" s="1231" t="s">
        <v>11478</v>
      </c>
      <c r="C10" s="1231" t="s">
        <v>11491</v>
      </c>
      <c r="D10" s="1231" t="s">
        <v>11492</v>
      </c>
      <c r="E10" s="1233">
        <v>398000.0</v>
      </c>
      <c r="F10" s="1233">
        <f t="shared" si="1"/>
        <v>441780</v>
      </c>
      <c r="G10" s="1234">
        <f t="shared" si="2"/>
        <v>500958</v>
      </c>
      <c r="H10" s="1233">
        <f>G10* 1.306</f>
        <v>654251.148</v>
      </c>
      <c r="I10" s="1235">
        <v>655000.0</v>
      </c>
      <c r="J10" s="1236">
        <v>635000.0</v>
      </c>
      <c r="K10" s="1233">
        <f>G10*1.551</f>
        <v>776985.858</v>
      </c>
      <c r="L10" s="1236">
        <v>754000.0</v>
      </c>
      <c r="M10" s="1233">
        <f>G10*1.8</f>
        <v>901724.4</v>
      </c>
      <c r="N10" s="1236">
        <v>875000.0</v>
      </c>
      <c r="O10" s="1237">
        <f>G10*1.954</f>
        <v>978871.932</v>
      </c>
      <c r="P10" s="1236">
        <v>950000.0</v>
      </c>
      <c r="Q10" s="1238">
        <f t="shared" si="5"/>
        <v>997500</v>
      </c>
      <c r="R10" s="1238">
        <v>1008000.0</v>
      </c>
      <c r="S10" s="1239">
        <v>1048000.0</v>
      </c>
      <c r="T10" s="1240">
        <f t="shared" si="6"/>
        <v>58000</v>
      </c>
      <c r="U10" s="1241"/>
      <c r="V10" s="1241"/>
      <c r="W10" s="1222"/>
      <c r="X10" s="1222"/>
      <c r="Y10" s="1222"/>
      <c r="Z10" s="1222"/>
      <c r="AA10" s="1222"/>
      <c r="AB10" s="1222"/>
      <c r="AC10" s="1222"/>
    </row>
    <row r="11" hidden="1">
      <c r="A11" s="1164"/>
      <c r="B11" s="1231" t="s">
        <v>11478</v>
      </c>
      <c r="C11" s="1231" t="s">
        <v>11493</v>
      </c>
      <c r="D11" s="1231" t="s">
        <v>11494</v>
      </c>
      <c r="E11" s="1233">
        <v>404000.0</v>
      </c>
      <c r="F11" s="1233">
        <f t="shared" si="1"/>
        <v>448440</v>
      </c>
      <c r="G11" s="1234">
        <f>F11*1.1</f>
        <v>493284</v>
      </c>
      <c r="H11" s="1233">
        <f>G11* 1.301</f>
        <v>641762.484</v>
      </c>
      <c r="I11" s="1233"/>
      <c r="J11" s="1236">
        <v>642000.0</v>
      </c>
      <c r="K11" s="1233">
        <f>G11*1.55</f>
        <v>764590.2</v>
      </c>
      <c r="L11" s="1236">
        <v>765000.0</v>
      </c>
      <c r="M11" s="1233">
        <f>G11*1.751</f>
        <v>863740.284</v>
      </c>
      <c r="N11" s="1236">
        <v>864000.0</v>
      </c>
      <c r="O11" s="1237">
        <f>G11*1.822</f>
        <v>898763.448</v>
      </c>
      <c r="P11" s="1236">
        <v>899000.0</v>
      </c>
      <c r="Q11" s="1243"/>
      <c r="R11" s="1243"/>
      <c r="S11" s="1241"/>
      <c r="T11" s="1241"/>
      <c r="U11" s="1241"/>
      <c r="V11" s="1241"/>
      <c r="W11" s="1222"/>
      <c r="X11" s="1222"/>
      <c r="Y11" s="1222"/>
      <c r="Z11" s="1222"/>
      <c r="AA11" s="1222"/>
      <c r="AB11" s="1222"/>
      <c r="AC11" s="1222"/>
    </row>
    <row r="12">
      <c r="A12" s="1164"/>
      <c r="B12" s="1231" t="s">
        <v>11495</v>
      </c>
      <c r="C12" s="1231" t="s">
        <v>11496</v>
      </c>
      <c r="D12" s="1231" t="s">
        <v>11497</v>
      </c>
      <c r="E12" s="1233">
        <v>398000.0</v>
      </c>
      <c r="F12" s="1233">
        <f t="shared" si="1"/>
        <v>441780</v>
      </c>
      <c r="G12" s="1234">
        <f t="shared" ref="G12:G43" si="9">(F12*1.1)+15000</f>
        <v>500958</v>
      </c>
      <c r="H12" s="1233">
        <f>G12* 1.271</f>
        <v>636717.618</v>
      </c>
      <c r="I12" s="1235">
        <v>637000.0</v>
      </c>
      <c r="J12" s="1236">
        <v>618000.0</v>
      </c>
      <c r="K12" s="1233">
        <f>G12*1.502</f>
        <v>752438.916</v>
      </c>
      <c r="L12" s="1236">
        <v>730000.0</v>
      </c>
      <c r="M12" s="1233">
        <f t="shared" ref="M12:M13" si="10">G12*1.8</f>
        <v>901724.4</v>
      </c>
      <c r="N12" s="1236">
        <v>875000.0</v>
      </c>
      <c r="O12" s="1237">
        <f>G12*1.952</f>
        <v>977870.016</v>
      </c>
      <c r="P12" s="1236">
        <v>949000.0</v>
      </c>
      <c r="Q12" s="1238">
        <f t="shared" ref="Q12:Q43" si="11">P12*1.05</f>
        <v>996450</v>
      </c>
      <c r="R12" s="1238">
        <v>1006000.0</v>
      </c>
      <c r="S12" s="1239">
        <v>1042000.0</v>
      </c>
      <c r="T12" s="1240">
        <f t="shared" ref="T12:T43" si="12">R12-P12</f>
        <v>57000</v>
      </c>
      <c r="U12" s="1241"/>
      <c r="V12" s="1241"/>
      <c r="W12" s="1222"/>
      <c r="X12" s="1222"/>
      <c r="Y12" s="1222"/>
      <c r="Z12" s="1222"/>
      <c r="AA12" s="1222"/>
      <c r="AB12" s="1222"/>
      <c r="AC12" s="1222"/>
    </row>
    <row r="13">
      <c r="A13" s="1164"/>
      <c r="B13" s="1231" t="s">
        <v>11495</v>
      </c>
      <c r="C13" s="1244" t="s">
        <v>11498</v>
      </c>
      <c r="D13" s="1231" t="s">
        <v>11499</v>
      </c>
      <c r="E13" s="1233">
        <v>441000.0</v>
      </c>
      <c r="F13" s="1233">
        <f t="shared" si="1"/>
        <v>489510</v>
      </c>
      <c r="G13" s="1234">
        <f t="shared" si="9"/>
        <v>553461</v>
      </c>
      <c r="H13" s="1233">
        <f t="shared" ref="H13:H14" si="13">G13* 1.251</f>
        <v>692379.711</v>
      </c>
      <c r="I13" s="1235">
        <v>639000.0</v>
      </c>
      <c r="J13" s="1236">
        <v>674000.0</v>
      </c>
      <c r="K13" s="1233">
        <f>G13*1.6</f>
        <v>885537.6</v>
      </c>
      <c r="L13" s="1236">
        <v>862000.0</v>
      </c>
      <c r="M13" s="1233">
        <f t="shared" si="10"/>
        <v>996229.8</v>
      </c>
      <c r="N13" s="1236">
        <v>970000.0</v>
      </c>
      <c r="O13" s="1237">
        <f>G13*2.039</f>
        <v>1128506.979</v>
      </c>
      <c r="P13" s="1236">
        <v>1098000.0</v>
      </c>
      <c r="Q13" s="1238">
        <f t="shared" si="11"/>
        <v>1152900</v>
      </c>
      <c r="R13" s="1238">
        <v>1164000.0</v>
      </c>
      <c r="S13" s="1241"/>
      <c r="T13" s="1240">
        <f t="shared" si="12"/>
        <v>66000</v>
      </c>
      <c r="U13" s="1241"/>
      <c r="V13" s="1241"/>
      <c r="W13" s="1222"/>
      <c r="X13" s="1222"/>
      <c r="Y13" s="1222"/>
      <c r="Z13" s="1222"/>
      <c r="AA13" s="1222"/>
      <c r="AB13" s="1222"/>
      <c r="AC13" s="1222"/>
    </row>
    <row r="14">
      <c r="A14" s="1164"/>
      <c r="B14" s="1231" t="s">
        <v>11495</v>
      </c>
      <c r="C14" s="1231" t="s">
        <v>11500</v>
      </c>
      <c r="D14" s="1231" t="s">
        <v>11501</v>
      </c>
      <c r="E14" s="1233">
        <v>515000.0</v>
      </c>
      <c r="F14" s="1233">
        <f t="shared" si="1"/>
        <v>571650</v>
      </c>
      <c r="G14" s="1234">
        <f t="shared" si="9"/>
        <v>643815</v>
      </c>
      <c r="H14" s="1233">
        <f t="shared" si="13"/>
        <v>805412.565</v>
      </c>
      <c r="I14" s="1235">
        <v>806000.0</v>
      </c>
      <c r="J14" s="1236">
        <v>787000.0</v>
      </c>
      <c r="K14" s="1233">
        <f>G14*1.501</f>
        <v>966366.315</v>
      </c>
      <c r="L14" s="1236">
        <v>944000.0</v>
      </c>
      <c r="M14" s="1233">
        <f>G14*1.749</f>
        <v>1126032.435</v>
      </c>
      <c r="N14" s="1236">
        <v>1073000.0</v>
      </c>
      <c r="O14" s="1245">
        <f>G15*1.635</f>
        <v>1120512.915</v>
      </c>
      <c r="P14" s="1246">
        <v>1096000.0</v>
      </c>
      <c r="Q14" s="1238">
        <f t="shared" si="11"/>
        <v>1150800</v>
      </c>
      <c r="R14" s="1238">
        <v>1162000.0</v>
      </c>
      <c r="S14" s="1222"/>
      <c r="T14" s="1240">
        <f t="shared" si="12"/>
        <v>66000</v>
      </c>
      <c r="U14" s="1222"/>
      <c r="V14" s="1241"/>
      <c r="W14" s="1222"/>
      <c r="X14" s="1222"/>
      <c r="Y14" s="1222"/>
      <c r="Z14" s="1222"/>
      <c r="AA14" s="1222"/>
      <c r="AB14" s="1222"/>
      <c r="AC14" s="1222"/>
    </row>
    <row r="15">
      <c r="A15" s="1164"/>
      <c r="B15" s="1231" t="s">
        <v>11495</v>
      </c>
      <c r="C15" s="1231" t="s">
        <v>11502</v>
      </c>
      <c r="D15" s="1231" t="s">
        <v>11503</v>
      </c>
      <c r="E15" s="1233">
        <v>549000.0</v>
      </c>
      <c r="F15" s="1233">
        <f t="shared" si="1"/>
        <v>609390</v>
      </c>
      <c r="G15" s="1234">
        <f t="shared" si="9"/>
        <v>685329</v>
      </c>
      <c r="H15" s="1233">
        <f>G15* 1.305</f>
        <v>894354.345</v>
      </c>
      <c r="I15" s="1235">
        <v>895000.0</v>
      </c>
      <c r="J15" s="1236">
        <v>875000.0</v>
      </c>
      <c r="K15" s="1233">
        <f>G15*1.484</f>
        <v>1017028.236</v>
      </c>
      <c r="L15" s="1236">
        <v>995000.0</v>
      </c>
      <c r="M15" s="1233">
        <f>G15*1.6</f>
        <v>1096526.4</v>
      </c>
      <c r="N15" s="1236">
        <v>1100000.0</v>
      </c>
      <c r="O15" s="1237">
        <f>G14*2</f>
        <v>1287630</v>
      </c>
      <c r="P15" s="1236">
        <v>1258000.0</v>
      </c>
      <c r="Q15" s="1238">
        <f t="shared" si="11"/>
        <v>1320900</v>
      </c>
      <c r="R15" s="1238">
        <v>13.0</v>
      </c>
      <c r="S15" s="1241"/>
      <c r="T15" s="1240">
        <f t="shared" si="12"/>
        <v>-1257987</v>
      </c>
      <c r="U15" s="1241"/>
      <c r="V15" s="1241"/>
      <c r="W15" s="1222"/>
      <c r="X15" s="1222"/>
      <c r="Y15" s="1222"/>
      <c r="Z15" s="1222"/>
      <c r="AA15" s="1222"/>
      <c r="AB15" s="1222"/>
      <c r="AC15" s="1222"/>
    </row>
    <row r="16" ht="16.5" customHeight="1">
      <c r="A16" s="1164"/>
      <c r="B16" s="1231" t="s">
        <v>11504</v>
      </c>
      <c r="C16" s="1231" t="s">
        <v>11505</v>
      </c>
      <c r="D16" s="1231" t="s">
        <v>11506</v>
      </c>
      <c r="E16" s="1233">
        <v>374000.0</v>
      </c>
      <c r="F16" s="1233">
        <f t="shared" si="1"/>
        <v>415140</v>
      </c>
      <c r="G16" s="1234">
        <f t="shared" si="9"/>
        <v>471654</v>
      </c>
      <c r="H16" s="1233">
        <f t="shared" ref="H16:H17" si="14">G16* 1.46</f>
        <v>688614.84</v>
      </c>
      <c r="I16" s="1235">
        <v>689000.0</v>
      </c>
      <c r="J16" s="1236">
        <v>667000.0</v>
      </c>
      <c r="K16" s="1233">
        <f t="shared" ref="K16:K17" si="15">G16*1.898</f>
        <v>895199.292</v>
      </c>
      <c r="L16" s="1236">
        <v>867000.0</v>
      </c>
      <c r="M16" s="1233">
        <f t="shared" ref="M16:M17" si="16">G16*2.097</f>
        <v>989058.438</v>
      </c>
      <c r="N16" s="1236">
        <v>958000.0</v>
      </c>
      <c r="O16" s="1237">
        <f t="shared" ref="O16:O17" si="17">G16*2.397</f>
        <v>1130554.638</v>
      </c>
      <c r="P16" s="1236">
        <v>1095000.0</v>
      </c>
      <c r="Q16" s="1238">
        <f t="shared" si="11"/>
        <v>1149750</v>
      </c>
      <c r="R16" s="1238"/>
      <c r="S16" s="1241"/>
      <c r="T16" s="1240">
        <f t="shared" si="12"/>
        <v>-1095000</v>
      </c>
      <c r="U16" s="1241"/>
      <c r="V16" s="1241"/>
      <c r="W16" s="1222"/>
      <c r="X16" s="1222"/>
      <c r="Y16" s="1222"/>
      <c r="Z16" s="1222"/>
      <c r="AA16" s="1222"/>
      <c r="AB16" s="1222"/>
      <c r="AC16" s="1222"/>
    </row>
    <row r="17" ht="16.5" customHeight="1">
      <c r="A17" s="1164"/>
      <c r="B17" s="1231" t="s">
        <v>11504</v>
      </c>
      <c r="C17" s="1231" t="s">
        <v>11507</v>
      </c>
      <c r="D17" s="1231" t="s">
        <v>11508</v>
      </c>
      <c r="E17" s="1233">
        <v>374000.0</v>
      </c>
      <c r="F17" s="1233">
        <f t="shared" si="1"/>
        <v>415140</v>
      </c>
      <c r="G17" s="1234">
        <f t="shared" si="9"/>
        <v>471654</v>
      </c>
      <c r="H17" s="1233">
        <f t="shared" si="14"/>
        <v>688614.84</v>
      </c>
      <c r="I17" s="1235">
        <v>689000.0</v>
      </c>
      <c r="J17" s="1236">
        <v>667000.0</v>
      </c>
      <c r="K17" s="1233">
        <f t="shared" si="15"/>
        <v>895199.292</v>
      </c>
      <c r="L17" s="1236">
        <v>867000.0</v>
      </c>
      <c r="M17" s="1233">
        <f t="shared" si="16"/>
        <v>989058.438</v>
      </c>
      <c r="N17" s="1236">
        <v>958000.0</v>
      </c>
      <c r="O17" s="1237">
        <f t="shared" si="17"/>
        <v>1130554.638</v>
      </c>
      <c r="P17" s="1236">
        <v>1095000.0</v>
      </c>
      <c r="Q17" s="1238">
        <f t="shared" si="11"/>
        <v>1149750</v>
      </c>
      <c r="R17" s="1238"/>
      <c r="S17" s="1241"/>
      <c r="T17" s="1240">
        <f t="shared" si="12"/>
        <v>-1095000</v>
      </c>
      <c r="U17" s="1241"/>
      <c r="V17" s="1241"/>
      <c r="W17" s="1222"/>
      <c r="X17" s="1222"/>
      <c r="Y17" s="1222"/>
      <c r="Z17" s="1222"/>
      <c r="AA17" s="1222"/>
      <c r="AB17" s="1222"/>
      <c r="AC17" s="1222"/>
    </row>
    <row r="18" ht="16.5" customHeight="1">
      <c r="A18" s="1164"/>
      <c r="B18" s="1231" t="s">
        <v>11504</v>
      </c>
      <c r="C18" s="1231" t="s">
        <v>11509</v>
      </c>
      <c r="D18" s="1231" t="s">
        <v>11510</v>
      </c>
      <c r="E18" s="1233">
        <v>398000.0</v>
      </c>
      <c r="F18" s="1233">
        <f t="shared" si="1"/>
        <v>441780</v>
      </c>
      <c r="G18" s="1234">
        <f t="shared" si="9"/>
        <v>500958</v>
      </c>
      <c r="H18" s="1233">
        <f t="shared" ref="H18:H19" si="18">G18* 1.382</f>
        <v>692323.956</v>
      </c>
      <c r="I18" s="1235">
        <v>693000.0</v>
      </c>
      <c r="J18" s="1236">
        <v>672000.0</v>
      </c>
      <c r="K18" s="1233">
        <f t="shared" ref="K18:K19" si="19">G18*1.701</f>
        <v>852129.558</v>
      </c>
      <c r="L18" s="1236">
        <v>827000.0</v>
      </c>
      <c r="M18" s="1233">
        <f t="shared" ref="M18:M19" si="20">G18*1.901</f>
        <v>952321.158</v>
      </c>
      <c r="N18" s="1236">
        <v>924000.0</v>
      </c>
      <c r="O18" s="1237">
        <f t="shared" ref="O18:O19" si="21">G18*2.201</f>
        <v>1102608.558</v>
      </c>
      <c r="P18" s="1236">
        <v>1070000.0</v>
      </c>
      <c r="Q18" s="1238">
        <f t="shared" si="11"/>
        <v>1123500</v>
      </c>
      <c r="R18" s="1238"/>
      <c r="S18" s="1241"/>
      <c r="T18" s="1240">
        <f t="shared" si="12"/>
        <v>-1070000</v>
      </c>
      <c r="U18" s="1241"/>
      <c r="V18" s="1241"/>
      <c r="W18" s="1222"/>
      <c r="X18" s="1222"/>
      <c r="Y18" s="1222"/>
      <c r="Z18" s="1222"/>
      <c r="AA18" s="1222"/>
      <c r="AB18" s="1222"/>
      <c r="AC18" s="1222"/>
    </row>
    <row r="19" ht="16.5" customHeight="1">
      <c r="A19" s="1164"/>
      <c r="B19" s="1231" t="s">
        <v>11504</v>
      </c>
      <c r="C19" s="1231" t="s">
        <v>11511</v>
      </c>
      <c r="D19" s="1231" t="s">
        <v>11512</v>
      </c>
      <c r="E19" s="1233">
        <v>398000.0</v>
      </c>
      <c r="F19" s="1233">
        <f t="shared" si="1"/>
        <v>441780</v>
      </c>
      <c r="G19" s="1234">
        <f t="shared" si="9"/>
        <v>500958</v>
      </c>
      <c r="H19" s="1233">
        <f t="shared" si="18"/>
        <v>692323.956</v>
      </c>
      <c r="I19" s="1235">
        <v>693000.0</v>
      </c>
      <c r="J19" s="1236">
        <v>672000.0</v>
      </c>
      <c r="K19" s="1233">
        <f t="shared" si="19"/>
        <v>852129.558</v>
      </c>
      <c r="L19" s="1236">
        <v>827000.0</v>
      </c>
      <c r="M19" s="1233">
        <f t="shared" si="20"/>
        <v>952321.158</v>
      </c>
      <c r="N19" s="1236">
        <v>924000.0</v>
      </c>
      <c r="O19" s="1237">
        <f t="shared" si="21"/>
        <v>1102608.558</v>
      </c>
      <c r="P19" s="1236">
        <v>1070000.0</v>
      </c>
      <c r="Q19" s="1238">
        <f t="shared" si="11"/>
        <v>1123500</v>
      </c>
      <c r="R19" s="1238"/>
      <c r="S19" s="1241"/>
      <c r="T19" s="1240">
        <f t="shared" si="12"/>
        <v>-1070000</v>
      </c>
      <c r="U19" s="1241"/>
      <c r="V19" s="1241"/>
      <c r="W19" s="1222"/>
      <c r="X19" s="1222"/>
      <c r="Y19" s="1222"/>
      <c r="Z19" s="1222"/>
      <c r="AA19" s="1222"/>
      <c r="AB19" s="1222"/>
      <c r="AC19" s="1222"/>
    </row>
    <row r="20" ht="16.5" customHeight="1">
      <c r="A20" s="1164"/>
      <c r="B20" s="1231" t="s">
        <v>11504</v>
      </c>
      <c r="C20" s="1231" t="s">
        <v>11513</v>
      </c>
      <c r="D20" s="1231" t="s">
        <v>11514</v>
      </c>
      <c r="E20" s="1233">
        <v>551000.0</v>
      </c>
      <c r="F20" s="1233">
        <f t="shared" si="1"/>
        <v>611610</v>
      </c>
      <c r="G20" s="1234">
        <f t="shared" si="9"/>
        <v>687771</v>
      </c>
      <c r="H20" s="1233">
        <f t="shared" ref="H20:H22" si="22">G20* 1.251</f>
        <v>860401.521</v>
      </c>
      <c r="I20" s="1235">
        <v>861000.0</v>
      </c>
      <c r="J20" s="1236">
        <v>842000.0</v>
      </c>
      <c r="K20" s="1233">
        <f>G20*1.501</f>
        <v>1032344.271</v>
      </c>
      <c r="L20" s="1236">
        <v>1010000.0</v>
      </c>
      <c r="M20" s="1233">
        <f>G20*1.731</f>
        <v>1190531.601</v>
      </c>
      <c r="N20" s="1236">
        <v>1165000.0</v>
      </c>
      <c r="O20" s="1237">
        <f>G20*1.805</f>
        <v>1241426.655</v>
      </c>
      <c r="P20" s="1236">
        <v>1215000.0</v>
      </c>
      <c r="Q20" s="1238">
        <f t="shared" si="11"/>
        <v>1275750</v>
      </c>
      <c r="R20" s="1238"/>
      <c r="S20" s="1241"/>
      <c r="T20" s="1240">
        <f t="shared" si="12"/>
        <v>-1215000</v>
      </c>
      <c r="U20" s="1241"/>
      <c r="V20" s="1241"/>
      <c r="W20" s="1222"/>
      <c r="X20" s="1222"/>
      <c r="Y20" s="1222"/>
      <c r="Z20" s="1222"/>
      <c r="AA20" s="1222"/>
      <c r="AB20" s="1222"/>
      <c r="AC20" s="1222"/>
    </row>
    <row r="21" ht="15.75" customHeight="1">
      <c r="A21" s="1164"/>
      <c r="B21" s="1231" t="s">
        <v>11515</v>
      </c>
      <c r="C21" s="1231" t="s">
        <v>11516</v>
      </c>
      <c r="D21" s="1231" t="s">
        <v>11517</v>
      </c>
      <c r="E21" s="1233">
        <v>453000.0</v>
      </c>
      <c r="F21" s="1233">
        <f t="shared" si="1"/>
        <v>502830</v>
      </c>
      <c r="G21" s="1234">
        <f t="shared" si="9"/>
        <v>568113</v>
      </c>
      <c r="H21" s="1233">
        <f t="shared" si="22"/>
        <v>710709.363</v>
      </c>
      <c r="I21" s="1235">
        <v>711000.0</v>
      </c>
      <c r="J21" s="1236">
        <v>692000.0</v>
      </c>
      <c r="K21" s="1233">
        <f>G21*1.5</f>
        <v>852169.5</v>
      </c>
      <c r="L21" s="1236">
        <v>830000.0</v>
      </c>
      <c r="M21" s="1233">
        <f>G21*1.751</f>
        <v>994765.863</v>
      </c>
      <c r="N21" s="1236">
        <v>969000.0</v>
      </c>
      <c r="O21" s="1237">
        <f>G21*1.789</f>
        <v>1016354.157</v>
      </c>
      <c r="P21" s="1246">
        <v>990000.0</v>
      </c>
      <c r="Q21" s="1238">
        <f t="shared" si="11"/>
        <v>1039500</v>
      </c>
      <c r="R21" s="1238"/>
      <c r="S21" s="1241"/>
      <c r="T21" s="1240">
        <f t="shared" si="12"/>
        <v>-990000</v>
      </c>
      <c r="U21" s="1241"/>
      <c r="V21" s="1241"/>
      <c r="W21" s="1222"/>
      <c r="X21" s="1222"/>
      <c r="Y21" s="1222"/>
      <c r="Z21" s="1222"/>
      <c r="AA21" s="1222"/>
      <c r="AB21" s="1222"/>
      <c r="AC21" s="1222"/>
    </row>
    <row r="22" ht="15.75" customHeight="1">
      <c r="A22" s="1164"/>
      <c r="B22" s="1231" t="s">
        <v>11515</v>
      </c>
      <c r="C22" s="1231" t="s">
        <v>11513</v>
      </c>
      <c r="D22" s="1231" t="s">
        <v>11518</v>
      </c>
      <c r="E22" s="1233">
        <v>551000.0</v>
      </c>
      <c r="F22" s="1233">
        <f t="shared" si="1"/>
        <v>611610</v>
      </c>
      <c r="G22" s="1234">
        <f t="shared" si="9"/>
        <v>687771</v>
      </c>
      <c r="H22" s="1233">
        <f t="shared" si="22"/>
        <v>860401.521</v>
      </c>
      <c r="I22" s="1235">
        <v>861000.0</v>
      </c>
      <c r="J22" s="1236">
        <v>842000.0</v>
      </c>
      <c r="K22" s="1233">
        <f>G22*1.501</f>
        <v>1032344.271</v>
      </c>
      <c r="L22" s="1236">
        <v>1010000.0</v>
      </c>
      <c r="M22" s="1233">
        <f>G22*1.731</f>
        <v>1190531.601</v>
      </c>
      <c r="N22" s="1236">
        <v>1165000.0</v>
      </c>
      <c r="O22" s="1237">
        <f>G22*1.805</f>
        <v>1241426.655</v>
      </c>
      <c r="P22" s="1236">
        <v>1215000.0</v>
      </c>
      <c r="Q22" s="1238">
        <f t="shared" si="11"/>
        <v>1275750</v>
      </c>
      <c r="R22" s="1238"/>
      <c r="S22" s="1241"/>
      <c r="T22" s="1240">
        <f t="shared" si="12"/>
        <v>-1215000</v>
      </c>
      <c r="U22" s="1241"/>
      <c r="V22" s="1241"/>
      <c r="W22" s="1222"/>
      <c r="X22" s="1222"/>
      <c r="Y22" s="1222"/>
      <c r="Z22" s="1222"/>
      <c r="AA22" s="1222"/>
      <c r="AB22" s="1222"/>
      <c r="AC22" s="1222"/>
    </row>
    <row r="23" ht="15.75" customHeight="1">
      <c r="A23" s="1164"/>
      <c r="B23" s="1231" t="s">
        <v>11519</v>
      </c>
      <c r="C23" s="1231" t="s">
        <v>11520</v>
      </c>
      <c r="D23" s="1231" t="s">
        <v>11521</v>
      </c>
      <c r="E23" s="1233">
        <v>270000.0</v>
      </c>
      <c r="F23" s="1233">
        <f t="shared" si="1"/>
        <v>299700</v>
      </c>
      <c r="G23" s="1234">
        <f t="shared" si="9"/>
        <v>344670</v>
      </c>
      <c r="H23" s="1233">
        <f>G23* 1.352</f>
        <v>465993.84</v>
      </c>
      <c r="I23" s="1235">
        <v>466000.0</v>
      </c>
      <c r="J23" s="1236">
        <v>446000.0</v>
      </c>
      <c r="K23" s="1233">
        <f>G23*1.601</f>
        <v>551816.67</v>
      </c>
      <c r="L23" s="1236">
        <v>528000.0</v>
      </c>
      <c r="M23" s="1233">
        <f>G23*1.85</f>
        <v>637639.5</v>
      </c>
      <c r="N23" s="1236">
        <v>610000.0</v>
      </c>
      <c r="O23" s="1237">
        <f>G23*2.002</f>
        <v>690029.34</v>
      </c>
      <c r="P23" s="1236">
        <v>660000.0</v>
      </c>
      <c r="Q23" s="1238">
        <f t="shared" si="11"/>
        <v>693000</v>
      </c>
      <c r="R23" s="1238"/>
      <c r="S23" s="1241"/>
      <c r="T23" s="1240">
        <f t="shared" si="12"/>
        <v>-660000</v>
      </c>
      <c r="U23" s="1241"/>
      <c r="V23" s="1241"/>
      <c r="W23" s="1222"/>
      <c r="X23" s="1222"/>
      <c r="Y23" s="1222"/>
      <c r="Z23" s="1222"/>
      <c r="AA23" s="1222"/>
      <c r="AB23" s="1222"/>
      <c r="AC23" s="1222"/>
    </row>
    <row r="24" ht="15.75" customHeight="1">
      <c r="A24" s="1164"/>
      <c r="B24" s="1231" t="s">
        <v>11519</v>
      </c>
      <c r="C24" s="1231" t="s">
        <v>11522</v>
      </c>
      <c r="D24" s="1231" t="s">
        <v>11523</v>
      </c>
      <c r="E24" s="1233">
        <v>404000.0</v>
      </c>
      <c r="F24" s="1233">
        <f t="shared" si="1"/>
        <v>448440</v>
      </c>
      <c r="G24" s="1234">
        <f t="shared" si="9"/>
        <v>508284</v>
      </c>
      <c r="H24" s="1247">
        <f>G24* 1.25</f>
        <v>635355</v>
      </c>
      <c r="I24" s="1248">
        <v>636000.0</v>
      </c>
      <c r="J24" s="1246">
        <v>617000.0</v>
      </c>
      <c r="K24" s="1247">
        <f>G24*1.4</f>
        <v>711597.6</v>
      </c>
      <c r="L24" s="1246">
        <v>691000.0</v>
      </c>
      <c r="M24" s="1247">
        <f>G24*1.5</f>
        <v>762426</v>
      </c>
      <c r="N24" s="1246">
        <v>740000.0</v>
      </c>
      <c r="O24" s="1245">
        <f>G24*1.571</f>
        <v>798514.164</v>
      </c>
      <c r="P24" s="1246">
        <v>775000.0</v>
      </c>
      <c r="Q24" s="1238">
        <f t="shared" si="11"/>
        <v>813750</v>
      </c>
      <c r="R24" s="1238"/>
      <c r="S24" s="1241"/>
      <c r="T24" s="1240">
        <f t="shared" si="12"/>
        <v>-775000</v>
      </c>
      <c r="U24" s="1241"/>
      <c r="V24" s="1241"/>
      <c r="W24" s="1222"/>
      <c r="X24" s="1222"/>
      <c r="Y24" s="1222"/>
      <c r="Z24" s="1222"/>
      <c r="AA24" s="1222"/>
      <c r="AB24" s="1222"/>
      <c r="AC24" s="1222"/>
    </row>
    <row r="25" ht="15.75" customHeight="1">
      <c r="A25" s="1164"/>
      <c r="B25" s="1231" t="s">
        <v>11519</v>
      </c>
      <c r="C25" s="1231" t="s">
        <v>11524</v>
      </c>
      <c r="D25" s="1231" t="s">
        <v>11525</v>
      </c>
      <c r="E25" s="1233">
        <v>396000.0</v>
      </c>
      <c r="F25" s="1233">
        <f t="shared" si="1"/>
        <v>439560</v>
      </c>
      <c r="G25" s="1234">
        <f t="shared" si="9"/>
        <v>498516</v>
      </c>
      <c r="H25" s="1233">
        <f>G25* 1.35</f>
        <v>672996.6</v>
      </c>
      <c r="I25" s="1235">
        <v>673000.0</v>
      </c>
      <c r="J25" s="1236">
        <v>653000.0</v>
      </c>
      <c r="K25" s="1233">
        <f>G25*1.549</f>
        <v>772201.284</v>
      </c>
      <c r="L25" s="1236">
        <v>749000.0</v>
      </c>
      <c r="M25" s="1233">
        <f>G25*1.801</f>
        <v>897827.316</v>
      </c>
      <c r="N25" s="1236">
        <v>871000.0</v>
      </c>
      <c r="O25" s="1237">
        <f>G25*2.006</f>
        <v>1000023.096</v>
      </c>
      <c r="P25" s="1236">
        <v>970000.0</v>
      </c>
      <c r="Q25" s="1238">
        <f t="shared" si="11"/>
        <v>1018500</v>
      </c>
      <c r="R25" s="1238"/>
      <c r="S25" s="1241"/>
      <c r="T25" s="1240">
        <f t="shared" si="12"/>
        <v>-970000</v>
      </c>
      <c r="U25" s="1241"/>
      <c r="V25" s="1241"/>
      <c r="W25" s="1222"/>
      <c r="X25" s="1222"/>
      <c r="Y25" s="1222"/>
      <c r="Z25" s="1222"/>
      <c r="AA25" s="1222"/>
      <c r="AB25" s="1222"/>
      <c r="AC25" s="1222"/>
    </row>
    <row r="26" ht="15.75" customHeight="1">
      <c r="A26" s="1164"/>
      <c r="B26" s="1231" t="s">
        <v>11519</v>
      </c>
      <c r="C26" s="1231" t="s">
        <v>11526</v>
      </c>
      <c r="D26" s="1231" t="s">
        <v>11527</v>
      </c>
      <c r="E26" s="1233">
        <v>396000.0</v>
      </c>
      <c r="F26" s="1233">
        <f t="shared" si="1"/>
        <v>439560</v>
      </c>
      <c r="G26" s="1234">
        <f t="shared" si="9"/>
        <v>498516</v>
      </c>
      <c r="H26" s="1233">
        <f>G26* 1.261</f>
        <v>628628.676</v>
      </c>
      <c r="I26" s="1235">
        <v>629000.0</v>
      </c>
      <c r="J26" s="1236">
        <v>610000.0</v>
      </c>
      <c r="K26" s="1233">
        <f>G26*1.501</f>
        <v>748272.516</v>
      </c>
      <c r="L26" s="1236">
        <v>726000.0</v>
      </c>
      <c r="M26" s="1233">
        <f>G26*1.751</f>
        <v>872901.516</v>
      </c>
      <c r="N26" s="1236">
        <v>847000.0</v>
      </c>
      <c r="O26" s="1237">
        <f>G26*1.921</f>
        <v>957649.236</v>
      </c>
      <c r="P26" s="1236">
        <v>929000.0</v>
      </c>
      <c r="Q26" s="1238">
        <f t="shared" si="11"/>
        <v>975450</v>
      </c>
      <c r="R26" s="1238"/>
      <c r="S26" s="1241"/>
      <c r="T26" s="1240">
        <f t="shared" si="12"/>
        <v>-929000</v>
      </c>
      <c r="U26" s="1241"/>
      <c r="V26" s="1241"/>
      <c r="W26" s="1222"/>
      <c r="X26" s="1222"/>
      <c r="Y26" s="1222"/>
      <c r="Z26" s="1222"/>
      <c r="AA26" s="1222"/>
      <c r="AB26" s="1222"/>
      <c r="AC26" s="1222"/>
    </row>
    <row r="27" ht="15.75" customHeight="1">
      <c r="A27" s="1164"/>
      <c r="B27" s="1231" t="s">
        <v>11519</v>
      </c>
      <c r="C27" s="1231" t="s">
        <v>11528</v>
      </c>
      <c r="D27" s="1231" t="s">
        <v>11529</v>
      </c>
      <c r="E27" s="1233">
        <v>380000.0</v>
      </c>
      <c r="F27" s="1233">
        <f t="shared" si="1"/>
        <v>421800</v>
      </c>
      <c r="G27" s="1234">
        <f t="shared" si="9"/>
        <v>478980</v>
      </c>
      <c r="H27" s="1233">
        <f>G27* 1.25</f>
        <v>598725</v>
      </c>
      <c r="I27" s="1235">
        <v>599000.0</v>
      </c>
      <c r="J27" s="1236">
        <v>580000.0</v>
      </c>
      <c r="K27" s="1233">
        <f>G27*1.5</f>
        <v>718470</v>
      </c>
      <c r="L27" s="1236">
        <v>696000.0</v>
      </c>
      <c r="M27" s="1233">
        <f>G27*1.75</f>
        <v>838215</v>
      </c>
      <c r="N27" s="1236">
        <v>812000.0</v>
      </c>
      <c r="O27" s="1237">
        <f>G27*1.872</f>
        <v>896650.56</v>
      </c>
      <c r="P27" s="1236">
        <v>869000.0</v>
      </c>
      <c r="Q27" s="1238">
        <f t="shared" si="11"/>
        <v>912450</v>
      </c>
      <c r="R27" s="1238"/>
      <c r="S27" s="1241"/>
      <c r="T27" s="1240">
        <f t="shared" si="12"/>
        <v>-869000</v>
      </c>
      <c r="U27" s="1241"/>
      <c r="V27" s="1241"/>
      <c r="W27" s="1222"/>
      <c r="X27" s="1222"/>
      <c r="Y27" s="1222"/>
      <c r="Z27" s="1222"/>
      <c r="AA27" s="1222"/>
      <c r="AB27" s="1222"/>
      <c r="AC27" s="1222"/>
    </row>
    <row r="28" ht="15.75" customHeight="1">
      <c r="A28" s="1164"/>
      <c r="B28" s="1231" t="s">
        <v>11519</v>
      </c>
      <c r="C28" s="1231" t="s">
        <v>11530</v>
      </c>
      <c r="D28" s="1231" t="s">
        <v>11531</v>
      </c>
      <c r="E28" s="1233">
        <v>505000.0</v>
      </c>
      <c r="F28" s="1233">
        <f t="shared" si="1"/>
        <v>560550</v>
      </c>
      <c r="G28" s="1234">
        <f t="shared" si="9"/>
        <v>631605</v>
      </c>
      <c r="H28" s="1233">
        <f>G28* 1.337</f>
        <v>844455.885</v>
      </c>
      <c r="I28" s="1235">
        <v>845000.0</v>
      </c>
      <c r="J28" s="1236">
        <v>825000.0</v>
      </c>
      <c r="K28" s="1233">
        <f>G28*1.553</f>
        <v>980882.565</v>
      </c>
      <c r="L28" s="1236">
        <v>958000.0</v>
      </c>
      <c r="M28" s="1233">
        <f>G28*1.824</f>
        <v>1152047.52</v>
      </c>
      <c r="N28" s="1236">
        <v>1125000.0</v>
      </c>
      <c r="O28" s="1237">
        <f>G28*1.783</f>
        <v>1126151.715</v>
      </c>
      <c r="P28" s="1236">
        <v>1100000.0</v>
      </c>
      <c r="Q28" s="1238">
        <f t="shared" si="11"/>
        <v>1155000</v>
      </c>
      <c r="R28" s="1238"/>
      <c r="S28" s="1241"/>
      <c r="T28" s="1240">
        <f t="shared" si="12"/>
        <v>-1100000</v>
      </c>
      <c r="U28" s="1241"/>
      <c r="V28" s="1241"/>
      <c r="W28" s="1222"/>
      <c r="X28" s="1222"/>
      <c r="Y28" s="1222"/>
      <c r="Z28" s="1222"/>
      <c r="AA28" s="1222"/>
      <c r="AB28" s="1222"/>
      <c r="AC28" s="1222"/>
    </row>
    <row r="29" ht="15.75" customHeight="1">
      <c r="A29" s="1164"/>
      <c r="B29" s="1231" t="s">
        <v>11532</v>
      </c>
      <c r="C29" s="1231" t="s">
        <v>11533</v>
      </c>
      <c r="D29" s="1231" t="s">
        <v>11534</v>
      </c>
      <c r="E29" s="1233">
        <v>404000.0</v>
      </c>
      <c r="F29" s="1233">
        <f t="shared" si="1"/>
        <v>448440</v>
      </c>
      <c r="G29" s="1234">
        <f t="shared" si="9"/>
        <v>508284</v>
      </c>
      <c r="H29" s="1233">
        <f>G29* 1.301</f>
        <v>661277.484</v>
      </c>
      <c r="I29" s="1235">
        <v>662000.0</v>
      </c>
      <c r="J29" s="1236">
        <v>642000.0</v>
      </c>
      <c r="K29" s="1233">
        <f>G29*1.55</f>
        <v>787840.2</v>
      </c>
      <c r="L29" s="1236">
        <v>765000.0</v>
      </c>
      <c r="M29" s="1233">
        <f>G29*1.802</f>
        <v>915927.768</v>
      </c>
      <c r="N29" s="1236">
        <v>889000.0</v>
      </c>
      <c r="O29" s="1237">
        <f>G29*2.006</f>
        <v>1019617.704</v>
      </c>
      <c r="P29" s="1236">
        <v>990000.0</v>
      </c>
      <c r="Q29" s="1238">
        <f t="shared" si="11"/>
        <v>1039500</v>
      </c>
      <c r="R29" s="1238"/>
      <c r="S29" s="1241"/>
      <c r="T29" s="1240">
        <f t="shared" si="12"/>
        <v>-990000</v>
      </c>
      <c r="U29" s="1241"/>
      <c r="V29" s="1241"/>
      <c r="W29" s="1222"/>
      <c r="X29" s="1222"/>
      <c r="Y29" s="1222"/>
      <c r="Z29" s="1222"/>
      <c r="AA29" s="1222"/>
      <c r="AB29" s="1222"/>
      <c r="AC29" s="1222"/>
    </row>
    <row r="30" ht="15.75" customHeight="1">
      <c r="A30" s="1164"/>
      <c r="B30" s="1231" t="s">
        <v>11532</v>
      </c>
      <c r="C30" s="1231" t="s">
        <v>11535</v>
      </c>
      <c r="D30" s="1231" t="s">
        <v>11536</v>
      </c>
      <c r="E30" s="1233">
        <v>429000.0</v>
      </c>
      <c r="F30" s="1233">
        <f t="shared" si="1"/>
        <v>476190</v>
      </c>
      <c r="G30" s="1234">
        <f t="shared" si="9"/>
        <v>538809</v>
      </c>
      <c r="H30" s="1233">
        <f>G30* 1.401</f>
        <v>754871.409</v>
      </c>
      <c r="I30" s="1235">
        <v>755000.0</v>
      </c>
      <c r="J30" s="1236">
        <v>734000.0</v>
      </c>
      <c r="K30" s="1233">
        <f t="shared" ref="K30:K32" si="23">G30*1.5</f>
        <v>808213.5</v>
      </c>
      <c r="L30" s="1236">
        <v>786000.0</v>
      </c>
      <c r="M30" s="1233">
        <f>G30*1.75</f>
        <v>942915.75</v>
      </c>
      <c r="N30" s="1236">
        <v>917000.0</v>
      </c>
      <c r="O30" s="1237">
        <f>G30*2</f>
        <v>1077618</v>
      </c>
      <c r="P30" s="1236">
        <v>1048000.0</v>
      </c>
      <c r="Q30" s="1238">
        <f t="shared" si="11"/>
        <v>1100400</v>
      </c>
      <c r="R30" s="1238"/>
      <c r="S30" s="1241"/>
      <c r="T30" s="1240">
        <f t="shared" si="12"/>
        <v>-1048000</v>
      </c>
      <c r="U30" s="1241"/>
      <c r="V30" s="1241"/>
      <c r="W30" s="1222"/>
      <c r="X30" s="1222"/>
      <c r="Y30" s="1222"/>
      <c r="Z30" s="1222"/>
      <c r="AA30" s="1222"/>
      <c r="AB30" s="1222"/>
      <c r="AC30" s="1222"/>
    </row>
    <row r="31" ht="15.75" customHeight="1">
      <c r="A31" s="1164"/>
      <c r="B31" s="1231" t="s">
        <v>11532</v>
      </c>
      <c r="C31" s="1231" t="s">
        <v>11537</v>
      </c>
      <c r="D31" s="1231" t="s">
        <v>11538</v>
      </c>
      <c r="E31" s="1233">
        <v>435000.0</v>
      </c>
      <c r="F31" s="1233">
        <f t="shared" si="1"/>
        <v>482850</v>
      </c>
      <c r="G31" s="1234">
        <f t="shared" si="9"/>
        <v>546135</v>
      </c>
      <c r="H31" s="1233">
        <f>G31* 1.3</f>
        <v>709975.5</v>
      </c>
      <c r="I31" s="1235">
        <v>710000.0</v>
      </c>
      <c r="J31" s="1236">
        <v>691000.0</v>
      </c>
      <c r="K31" s="1233">
        <f t="shared" si="23"/>
        <v>819202.5</v>
      </c>
      <c r="L31" s="1236">
        <v>797000.0</v>
      </c>
      <c r="M31" s="1233">
        <f>G31*1.743</f>
        <v>951913.305</v>
      </c>
      <c r="N31" s="1236">
        <v>926000.0</v>
      </c>
      <c r="O31" s="1237">
        <f>G31*1.88</f>
        <v>1026733.8</v>
      </c>
      <c r="P31" s="1236">
        <v>999000.0</v>
      </c>
      <c r="Q31" s="1238">
        <f t="shared" si="11"/>
        <v>1048950</v>
      </c>
      <c r="R31" s="1238"/>
      <c r="S31" s="1241"/>
      <c r="T31" s="1240">
        <f t="shared" si="12"/>
        <v>-999000</v>
      </c>
      <c r="U31" s="1241"/>
      <c r="V31" s="1241"/>
      <c r="W31" s="1222"/>
      <c r="X31" s="1222"/>
      <c r="Y31" s="1222"/>
      <c r="Z31" s="1222"/>
      <c r="AA31" s="1222"/>
      <c r="AB31" s="1222"/>
      <c r="AC31" s="1222"/>
    </row>
    <row r="32" ht="15.75" customHeight="1">
      <c r="A32" s="1164"/>
      <c r="B32" s="1231" t="s">
        <v>11532</v>
      </c>
      <c r="C32" s="1231" t="s">
        <v>11539</v>
      </c>
      <c r="D32" s="1231" t="s">
        <v>11540</v>
      </c>
      <c r="E32" s="1233">
        <v>453000.0</v>
      </c>
      <c r="F32" s="1233">
        <f t="shared" si="1"/>
        <v>502830</v>
      </c>
      <c r="G32" s="1234">
        <f t="shared" si="9"/>
        <v>568113</v>
      </c>
      <c r="H32" s="1233">
        <f>G32* 1.301</f>
        <v>739115.013</v>
      </c>
      <c r="I32" s="1235">
        <v>740000.0</v>
      </c>
      <c r="J32" s="1236">
        <v>720000.0</v>
      </c>
      <c r="K32" s="1233">
        <f t="shared" si="23"/>
        <v>852169.5</v>
      </c>
      <c r="L32" s="1236">
        <v>830000.0</v>
      </c>
      <c r="M32" s="1233">
        <f>G32*1.751</f>
        <v>994765.863</v>
      </c>
      <c r="N32" s="1236">
        <v>969000.0</v>
      </c>
      <c r="O32" s="1237">
        <f>G32*1.961</f>
        <v>1114069.593</v>
      </c>
      <c r="P32" s="1236">
        <v>1085000.0</v>
      </c>
      <c r="Q32" s="1238">
        <f t="shared" si="11"/>
        <v>1139250</v>
      </c>
      <c r="R32" s="1238"/>
      <c r="S32" s="1241"/>
      <c r="T32" s="1240">
        <f t="shared" si="12"/>
        <v>-1085000</v>
      </c>
      <c r="U32" s="1241"/>
      <c r="V32" s="1241"/>
      <c r="W32" s="1222"/>
      <c r="X32" s="1222"/>
      <c r="Y32" s="1222"/>
      <c r="Z32" s="1222"/>
      <c r="AA32" s="1222"/>
      <c r="AB32" s="1222"/>
      <c r="AC32" s="1222"/>
    </row>
    <row r="33" ht="15.75" customHeight="1">
      <c r="A33" s="1164"/>
      <c r="B33" s="1231" t="s">
        <v>11532</v>
      </c>
      <c r="C33" s="1231" t="s">
        <v>11541</v>
      </c>
      <c r="D33" s="1231" t="s">
        <v>11542</v>
      </c>
      <c r="E33" s="1233">
        <v>459000.0</v>
      </c>
      <c r="F33" s="1233">
        <f t="shared" si="1"/>
        <v>509490</v>
      </c>
      <c r="G33" s="1234">
        <f t="shared" si="9"/>
        <v>575439</v>
      </c>
      <c r="H33" s="1233">
        <f>G33* 1.302</f>
        <v>749221.578</v>
      </c>
      <c r="I33" s="1235">
        <v>750000.0</v>
      </c>
      <c r="J33" s="1236">
        <v>730000.0</v>
      </c>
      <c r="K33" s="1233">
        <f>G33*1.552</f>
        <v>893081.328</v>
      </c>
      <c r="L33" s="1236">
        <v>870000.0</v>
      </c>
      <c r="M33" s="1233">
        <f>G33*1.802</f>
        <v>1036941.078</v>
      </c>
      <c r="N33" s="1236">
        <v>1010000.0</v>
      </c>
      <c r="O33" s="1237">
        <f>G33*2.132</f>
        <v>1226835.948</v>
      </c>
      <c r="P33" s="1236">
        <v>1195000.0</v>
      </c>
      <c r="Q33" s="1238">
        <f t="shared" si="11"/>
        <v>1254750</v>
      </c>
      <c r="R33" s="1238"/>
      <c r="S33" s="1241"/>
      <c r="T33" s="1240">
        <f t="shared" si="12"/>
        <v>-1195000</v>
      </c>
      <c r="U33" s="1241"/>
      <c r="V33" s="1241"/>
      <c r="W33" s="1222"/>
      <c r="X33" s="1222"/>
      <c r="Y33" s="1222"/>
      <c r="Z33" s="1222"/>
      <c r="AA33" s="1222"/>
      <c r="AB33" s="1222"/>
      <c r="AC33" s="1222"/>
    </row>
    <row r="34" ht="15.75" customHeight="1">
      <c r="A34" s="1164"/>
      <c r="B34" s="1231" t="s">
        <v>11532</v>
      </c>
      <c r="C34" s="1231" t="s">
        <v>11543</v>
      </c>
      <c r="D34" s="1231" t="s">
        <v>11544</v>
      </c>
      <c r="E34" s="1233">
        <v>466000.0</v>
      </c>
      <c r="F34" s="1233">
        <f t="shared" si="1"/>
        <v>517260</v>
      </c>
      <c r="G34" s="1234">
        <f t="shared" si="9"/>
        <v>583986</v>
      </c>
      <c r="H34" s="1233">
        <f>G34* 1.3</f>
        <v>759181.8</v>
      </c>
      <c r="I34" s="1235">
        <v>760000.0</v>
      </c>
      <c r="J34" s="1236">
        <v>740000.0</v>
      </c>
      <c r="K34" s="1233">
        <f>G34*1.55</f>
        <v>905178.3</v>
      </c>
      <c r="L34" s="1236">
        <v>882000.0</v>
      </c>
      <c r="M34" s="1233">
        <f>G34*1.801</f>
        <v>1051758.786</v>
      </c>
      <c r="N34" s="1236">
        <v>1025000.0</v>
      </c>
      <c r="O34" s="1237">
        <f>G34*1.901</f>
        <v>1110157.386</v>
      </c>
      <c r="P34" s="1236">
        <v>1082000.0</v>
      </c>
      <c r="Q34" s="1238">
        <f t="shared" si="11"/>
        <v>1136100</v>
      </c>
      <c r="R34" s="1238"/>
      <c r="S34" s="1241"/>
      <c r="T34" s="1240">
        <f t="shared" si="12"/>
        <v>-1082000</v>
      </c>
      <c r="U34" s="1241"/>
      <c r="V34" s="1241"/>
      <c r="W34" s="1222"/>
      <c r="X34" s="1222"/>
      <c r="Y34" s="1222"/>
      <c r="Z34" s="1222"/>
      <c r="AA34" s="1222"/>
      <c r="AB34" s="1222"/>
      <c r="AC34" s="1222"/>
    </row>
    <row r="35" ht="15.75" customHeight="1">
      <c r="A35" s="1164"/>
      <c r="B35" s="1231" t="s">
        <v>11532</v>
      </c>
      <c r="C35" s="1231" t="s">
        <v>11541</v>
      </c>
      <c r="D35" s="1231" t="s">
        <v>11545</v>
      </c>
      <c r="E35" s="1233">
        <v>459000.0</v>
      </c>
      <c r="F35" s="1233">
        <f t="shared" si="1"/>
        <v>509490</v>
      </c>
      <c r="G35" s="1234">
        <f t="shared" si="9"/>
        <v>575439</v>
      </c>
      <c r="H35" s="1233">
        <f t="shared" ref="H35:H36" si="24">G35* 1.302</f>
        <v>749221.578</v>
      </c>
      <c r="I35" s="1235">
        <v>750000.0</v>
      </c>
      <c r="J35" s="1236">
        <v>730000.0</v>
      </c>
      <c r="K35" s="1233">
        <f t="shared" ref="K35:K36" si="25">G35*1.552</f>
        <v>893081.328</v>
      </c>
      <c r="L35" s="1236">
        <v>870000.0</v>
      </c>
      <c r="M35" s="1233">
        <f t="shared" ref="M35:M36" si="26">G35*1.802</f>
        <v>1036941.078</v>
      </c>
      <c r="N35" s="1236">
        <v>1010000.0</v>
      </c>
      <c r="O35" s="1237">
        <f t="shared" ref="O35:O36" si="27">G35*2.132</f>
        <v>1226835.948</v>
      </c>
      <c r="P35" s="1236">
        <v>1195000.0</v>
      </c>
      <c r="Q35" s="1238">
        <f t="shared" si="11"/>
        <v>1254750</v>
      </c>
      <c r="R35" s="1238"/>
      <c r="S35" s="1241"/>
      <c r="T35" s="1240">
        <f t="shared" si="12"/>
        <v>-1195000</v>
      </c>
      <c r="U35" s="1241"/>
      <c r="V35" s="1241"/>
      <c r="W35" s="1222"/>
      <c r="X35" s="1222"/>
      <c r="Y35" s="1222"/>
      <c r="Z35" s="1222"/>
      <c r="AA35" s="1222"/>
      <c r="AB35" s="1222"/>
      <c r="AC35" s="1222"/>
    </row>
    <row r="36" ht="15.75" customHeight="1">
      <c r="A36" s="1164"/>
      <c r="B36" s="1231" t="s">
        <v>11532</v>
      </c>
      <c r="C36" s="1231" t="s">
        <v>11541</v>
      </c>
      <c r="D36" s="1231" t="s">
        <v>11546</v>
      </c>
      <c r="E36" s="1233">
        <v>459000.0</v>
      </c>
      <c r="F36" s="1233">
        <f t="shared" si="1"/>
        <v>509490</v>
      </c>
      <c r="G36" s="1234">
        <f t="shared" si="9"/>
        <v>575439</v>
      </c>
      <c r="H36" s="1233">
        <f t="shared" si="24"/>
        <v>749221.578</v>
      </c>
      <c r="I36" s="1235">
        <v>750000.0</v>
      </c>
      <c r="J36" s="1236">
        <v>730000.0</v>
      </c>
      <c r="K36" s="1233">
        <f t="shared" si="25"/>
        <v>893081.328</v>
      </c>
      <c r="L36" s="1236">
        <v>870000.0</v>
      </c>
      <c r="M36" s="1233">
        <f t="shared" si="26"/>
        <v>1036941.078</v>
      </c>
      <c r="N36" s="1236">
        <v>1010000.0</v>
      </c>
      <c r="O36" s="1237">
        <f t="shared" si="27"/>
        <v>1226835.948</v>
      </c>
      <c r="P36" s="1236">
        <v>1195000.0</v>
      </c>
      <c r="Q36" s="1238">
        <f t="shared" si="11"/>
        <v>1254750</v>
      </c>
      <c r="R36" s="1238"/>
      <c r="S36" s="1241"/>
      <c r="T36" s="1240">
        <f t="shared" si="12"/>
        <v>-1195000</v>
      </c>
      <c r="U36" s="1241"/>
      <c r="V36" s="1241"/>
      <c r="W36" s="1222"/>
      <c r="X36" s="1222"/>
      <c r="Y36" s="1222"/>
      <c r="Z36" s="1222"/>
      <c r="AA36" s="1222"/>
      <c r="AB36" s="1222"/>
      <c r="AC36" s="1222"/>
    </row>
    <row r="37" ht="15.75" customHeight="1">
      <c r="A37" s="1164"/>
      <c r="B37" s="1231" t="s">
        <v>11532</v>
      </c>
      <c r="C37" s="1231" t="s">
        <v>11547</v>
      </c>
      <c r="D37" s="1231" t="s">
        <v>11548</v>
      </c>
      <c r="E37" s="1233">
        <v>392000.0</v>
      </c>
      <c r="F37" s="1233">
        <f t="shared" si="1"/>
        <v>435120</v>
      </c>
      <c r="G37" s="1234">
        <f t="shared" si="9"/>
        <v>493632</v>
      </c>
      <c r="H37" s="1233">
        <f>G37* 1.351</f>
        <v>666896.832</v>
      </c>
      <c r="I37" s="1235">
        <v>667000.0</v>
      </c>
      <c r="J37" s="1236">
        <v>647000.0</v>
      </c>
      <c r="K37" s="1233">
        <f>G37*1.6</f>
        <v>789811.2</v>
      </c>
      <c r="L37" s="1236">
        <v>766000.0</v>
      </c>
      <c r="M37" s="1233">
        <f>G37*1.851</f>
        <v>913712.832</v>
      </c>
      <c r="N37" s="1236">
        <v>886000.0</v>
      </c>
      <c r="O37" s="1237">
        <f>G37*2.085</f>
        <v>1029222.72</v>
      </c>
      <c r="P37" s="1236">
        <v>998000.0</v>
      </c>
      <c r="Q37" s="1238">
        <f t="shared" si="11"/>
        <v>1047900</v>
      </c>
      <c r="R37" s="1238"/>
      <c r="S37" s="1241"/>
      <c r="T37" s="1240">
        <f t="shared" si="12"/>
        <v>-998000</v>
      </c>
      <c r="U37" s="1241"/>
      <c r="V37" s="1241"/>
      <c r="W37" s="1222"/>
      <c r="X37" s="1222"/>
      <c r="Y37" s="1222"/>
      <c r="Z37" s="1222"/>
      <c r="AA37" s="1222"/>
      <c r="AB37" s="1222"/>
      <c r="AC37" s="1222"/>
    </row>
    <row r="38" ht="15.75" customHeight="1">
      <c r="A38" s="1164"/>
      <c r="B38" s="1231" t="s">
        <v>11532</v>
      </c>
      <c r="C38" s="1231" t="s">
        <v>11549</v>
      </c>
      <c r="D38" s="1231" t="s">
        <v>11550</v>
      </c>
      <c r="E38" s="1233">
        <v>522000.0</v>
      </c>
      <c r="F38" s="1233">
        <f t="shared" si="1"/>
        <v>579420</v>
      </c>
      <c r="G38" s="1234">
        <f t="shared" si="9"/>
        <v>652362</v>
      </c>
      <c r="H38" s="1233">
        <f>G38* 1.3</f>
        <v>848070.6</v>
      </c>
      <c r="I38" s="1235">
        <v>849000.0</v>
      </c>
      <c r="J38" s="1236">
        <v>829000.0</v>
      </c>
      <c r="K38" s="1233">
        <f>G38*1.55</f>
        <v>1011161.1</v>
      </c>
      <c r="L38" s="1236">
        <v>988000.0</v>
      </c>
      <c r="M38" s="1233">
        <f>G38*1.801</f>
        <v>1174903.962</v>
      </c>
      <c r="N38" s="1236">
        <v>1148000.0</v>
      </c>
      <c r="O38" s="1237">
        <f>G38*1.931</f>
        <v>1259711.022</v>
      </c>
      <c r="P38" s="1236">
        <v>1231000.0</v>
      </c>
      <c r="Q38" s="1238">
        <f t="shared" si="11"/>
        <v>1292550</v>
      </c>
      <c r="R38" s="1238"/>
      <c r="S38" s="1241"/>
      <c r="T38" s="1240">
        <f t="shared" si="12"/>
        <v>-1231000</v>
      </c>
      <c r="U38" s="1241"/>
      <c r="V38" s="1241"/>
      <c r="W38" s="1222"/>
      <c r="X38" s="1222"/>
      <c r="Y38" s="1222"/>
      <c r="Z38" s="1222"/>
      <c r="AA38" s="1222"/>
      <c r="AB38" s="1222"/>
      <c r="AC38" s="1222"/>
    </row>
    <row r="39" ht="15.75" customHeight="1">
      <c r="A39" s="1164"/>
      <c r="B39" s="1231" t="s">
        <v>11551</v>
      </c>
      <c r="C39" s="1231" t="s">
        <v>11552</v>
      </c>
      <c r="D39" s="1231" t="s">
        <v>11553</v>
      </c>
      <c r="E39" s="1233">
        <v>679000.0</v>
      </c>
      <c r="F39" s="1233">
        <f t="shared" si="1"/>
        <v>753690</v>
      </c>
      <c r="G39" s="1234">
        <f t="shared" si="9"/>
        <v>844059</v>
      </c>
      <c r="H39" s="1233">
        <f>G39* 1.33</f>
        <v>1122598.47</v>
      </c>
      <c r="I39" s="1235">
        <v>1123000.0</v>
      </c>
      <c r="J39" s="1236">
        <v>1103000.0</v>
      </c>
      <c r="K39" s="1233">
        <f>G39*1.6</f>
        <v>1350494.4</v>
      </c>
      <c r="L39" s="1236">
        <v>1327000.0</v>
      </c>
      <c r="M39" s="1233">
        <f>G39*1.682</f>
        <v>1419707.238</v>
      </c>
      <c r="N39" s="1236">
        <v>1395000.0</v>
      </c>
      <c r="O39" s="1237">
        <f>G39*1.72</f>
        <v>1451781.48</v>
      </c>
      <c r="P39" s="1236">
        <v>1426000.0</v>
      </c>
      <c r="Q39" s="1238">
        <f t="shared" si="11"/>
        <v>1497300</v>
      </c>
      <c r="R39" s="1238"/>
      <c r="S39" s="1241"/>
      <c r="T39" s="1240">
        <f t="shared" si="12"/>
        <v>-1426000</v>
      </c>
      <c r="U39" s="1241"/>
      <c r="V39" s="1241"/>
      <c r="W39" s="1222"/>
      <c r="X39" s="1222"/>
      <c r="Y39" s="1222"/>
      <c r="Z39" s="1222"/>
      <c r="AA39" s="1222"/>
      <c r="AB39" s="1222"/>
      <c r="AC39" s="1222"/>
    </row>
    <row r="40" ht="15.75" customHeight="1">
      <c r="A40" s="1164"/>
      <c r="B40" s="1231" t="s">
        <v>11554</v>
      </c>
      <c r="C40" s="1231" t="s">
        <v>11555</v>
      </c>
      <c r="D40" s="1231" t="s">
        <v>11556</v>
      </c>
      <c r="E40" s="1233">
        <v>325000.0</v>
      </c>
      <c r="F40" s="1233">
        <f t="shared" si="1"/>
        <v>360750</v>
      </c>
      <c r="G40" s="1234">
        <f t="shared" si="9"/>
        <v>411825</v>
      </c>
      <c r="H40" s="1233">
        <f>G40* 1.401</f>
        <v>576966.825</v>
      </c>
      <c r="I40" s="1235">
        <v>577000.0</v>
      </c>
      <c r="J40" s="1236">
        <v>556000.0</v>
      </c>
      <c r="K40" s="1233">
        <f>G40*1.751</f>
        <v>721105.575</v>
      </c>
      <c r="L40" s="1236">
        <v>695000.0</v>
      </c>
      <c r="M40" s="1233">
        <f>G40*2</f>
        <v>823650</v>
      </c>
      <c r="N40" s="1236">
        <v>794000.0</v>
      </c>
      <c r="O40" s="1237">
        <f>G40*2.205</f>
        <v>908074.125</v>
      </c>
      <c r="P40" s="1236">
        <v>875000.0</v>
      </c>
      <c r="Q40" s="1238">
        <f t="shared" si="11"/>
        <v>918750</v>
      </c>
      <c r="R40" s="1238"/>
      <c r="S40" s="1241"/>
      <c r="T40" s="1240">
        <f t="shared" si="12"/>
        <v>-875000</v>
      </c>
      <c r="U40" s="1241"/>
      <c r="V40" s="1241"/>
      <c r="W40" s="1222"/>
      <c r="X40" s="1222"/>
      <c r="Y40" s="1222"/>
      <c r="Z40" s="1222"/>
      <c r="AA40" s="1222"/>
      <c r="AB40" s="1222"/>
      <c r="AC40" s="1222"/>
    </row>
    <row r="41" ht="15.75" customHeight="1">
      <c r="A41" s="1164"/>
      <c r="B41" s="1231" t="s">
        <v>11504</v>
      </c>
      <c r="C41" s="1231" t="s">
        <v>11557</v>
      </c>
      <c r="D41" s="1231" t="s">
        <v>11558</v>
      </c>
      <c r="E41" s="1233">
        <v>573000.0</v>
      </c>
      <c r="F41" s="1233">
        <f t="shared" si="1"/>
        <v>636030</v>
      </c>
      <c r="G41" s="1234">
        <f t="shared" si="9"/>
        <v>714633</v>
      </c>
      <c r="H41" s="1233">
        <f>G41* 1.3</f>
        <v>929022.9</v>
      </c>
      <c r="I41" s="1235">
        <v>930000.0</v>
      </c>
      <c r="J41" s="1236">
        <v>910000.0</v>
      </c>
      <c r="K41" s="1233">
        <f>G41*1.55</f>
        <v>1107681.15</v>
      </c>
      <c r="L41" s="1236">
        <v>1085000.0</v>
      </c>
      <c r="M41" s="1233">
        <f>G41*1.8</f>
        <v>1286339.4</v>
      </c>
      <c r="N41" s="1236">
        <v>1260000.0</v>
      </c>
      <c r="O41" s="1237">
        <f>G41*1.85</f>
        <v>1322071.05</v>
      </c>
      <c r="P41" s="1236">
        <v>1295000.0</v>
      </c>
      <c r="Q41" s="1238">
        <f t="shared" si="11"/>
        <v>1359750</v>
      </c>
      <c r="R41" s="1238"/>
      <c r="S41" s="1241"/>
      <c r="T41" s="1240">
        <f t="shared" si="12"/>
        <v>-1295000</v>
      </c>
      <c r="U41" s="1241"/>
      <c r="V41" s="1241"/>
      <c r="W41" s="1222"/>
      <c r="X41" s="1222"/>
      <c r="Y41" s="1222"/>
      <c r="Z41" s="1222"/>
      <c r="AA41" s="1222"/>
      <c r="AB41" s="1222"/>
      <c r="AC41" s="1222"/>
    </row>
    <row r="42" ht="15.75" customHeight="1">
      <c r="A42" s="1164"/>
      <c r="B42" s="1231" t="s">
        <v>11504</v>
      </c>
      <c r="C42" s="1231" t="s">
        <v>11559</v>
      </c>
      <c r="D42" s="1231" t="s">
        <v>11560</v>
      </c>
      <c r="E42" s="1233">
        <v>325000.0</v>
      </c>
      <c r="F42" s="1233">
        <f t="shared" si="1"/>
        <v>360750</v>
      </c>
      <c r="G42" s="1234">
        <f t="shared" si="9"/>
        <v>411825</v>
      </c>
      <c r="H42" s="1233">
        <f>G42* 1.35</f>
        <v>555963.75</v>
      </c>
      <c r="I42" s="1235">
        <v>556000.0</v>
      </c>
      <c r="J42" s="1236">
        <v>536000.0</v>
      </c>
      <c r="K42" s="1233">
        <f>G42*1.6</f>
        <v>658920</v>
      </c>
      <c r="L42" s="1236">
        <v>635000.0</v>
      </c>
      <c r="M42" s="1233">
        <f>G42*1.852</f>
        <v>762699.9</v>
      </c>
      <c r="N42" s="1236">
        <v>735000.0</v>
      </c>
      <c r="O42" s="1237">
        <f>G42*1.915</f>
        <v>788644.875</v>
      </c>
      <c r="P42" s="1236">
        <v>760000.0</v>
      </c>
      <c r="Q42" s="1238">
        <f t="shared" si="11"/>
        <v>798000</v>
      </c>
      <c r="R42" s="1238"/>
      <c r="S42" s="1241"/>
      <c r="T42" s="1240">
        <f t="shared" si="12"/>
        <v>-760000</v>
      </c>
      <c r="U42" s="1241"/>
      <c r="V42" s="1241"/>
      <c r="W42" s="1222"/>
      <c r="X42" s="1222"/>
      <c r="Y42" s="1222"/>
      <c r="Z42" s="1222"/>
      <c r="AA42" s="1222"/>
      <c r="AB42" s="1222"/>
      <c r="AC42" s="1222"/>
    </row>
    <row r="43" ht="15.75" customHeight="1">
      <c r="A43" s="129"/>
      <c r="B43" s="1231" t="s">
        <v>11504</v>
      </c>
      <c r="C43" s="1231" t="s">
        <v>11561</v>
      </c>
      <c r="D43" s="1231" t="s">
        <v>11562</v>
      </c>
      <c r="E43" s="1233">
        <v>340000.0</v>
      </c>
      <c r="F43" s="1233">
        <f t="shared" si="1"/>
        <v>377400</v>
      </c>
      <c r="G43" s="1234">
        <f t="shared" si="9"/>
        <v>430140</v>
      </c>
      <c r="H43" s="1233">
        <f>G43* 1.341</f>
        <v>576817.74</v>
      </c>
      <c r="I43" s="1235">
        <v>577000.0</v>
      </c>
      <c r="J43" s="1236">
        <v>557000.0</v>
      </c>
      <c r="K43" s="1233">
        <f>G43*1.601</f>
        <v>688654.14</v>
      </c>
      <c r="L43" s="1236">
        <v>665000.0</v>
      </c>
      <c r="M43" s="1233">
        <f>G43*1.849</f>
        <v>795328.86</v>
      </c>
      <c r="N43" s="1236">
        <v>768000.0</v>
      </c>
      <c r="O43" s="1237">
        <f>G43*2.163</f>
        <v>930392.82</v>
      </c>
      <c r="P43" s="1236">
        <v>898000.0</v>
      </c>
      <c r="Q43" s="1238">
        <f t="shared" si="11"/>
        <v>942900</v>
      </c>
      <c r="R43" s="1238"/>
      <c r="S43" s="1241"/>
      <c r="T43" s="1240">
        <f t="shared" si="12"/>
        <v>-898000</v>
      </c>
      <c r="U43" s="1241"/>
      <c r="V43" s="1241"/>
      <c r="W43" s="1222"/>
      <c r="X43" s="1222"/>
      <c r="Y43" s="1222"/>
      <c r="Z43" s="1222"/>
      <c r="AA43" s="1222"/>
      <c r="AB43" s="1222"/>
      <c r="AC43" s="1222"/>
    </row>
    <row r="44" ht="15.75" customHeight="1">
      <c r="A44" s="1249"/>
      <c r="B44" s="1250"/>
      <c r="C44" s="1250"/>
      <c r="D44" s="1250"/>
      <c r="E44" s="1251"/>
      <c r="F44" s="1251"/>
      <c r="G44" s="1252"/>
      <c r="H44" s="1251"/>
      <c r="I44" s="1251"/>
      <c r="J44" s="1253"/>
      <c r="K44" s="1251"/>
      <c r="L44" s="1253"/>
      <c r="M44" s="1251"/>
      <c r="N44" s="1253"/>
      <c r="O44" s="1254"/>
      <c r="P44" s="1253"/>
      <c r="Q44" s="1238"/>
      <c r="R44" s="1241"/>
      <c r="S44" s="1241"/>
      <c r="T44" s="1241"/>
      <c r="U44" s="1241"/>
      <c r="V44" s="1241"/>
      <c r="W44" s="1241"/>
      <c r="X44" s="1241"/>
      <c r="Y44" s="1241"/>
      <c r="Z44" s="1241"/>
      <c r="AA44" s="1241"/>
      <c r="AB44" s="1241"/>
      <c r="AC44" s="1241"/>
    </row>
    <row r="45" ht="18.0" customHeight="1">
      <c r="A45" s="1255" t="s">
        <v>11563</v>
      </c>
      <c r="B45" s="1256" t="s">
        <v>11454</v>
      </c>
      <c r="C45" s="1257" t="s">
        <v>11564</v>
      </c>
      <c r="D45" s="1258" t="s">
        <v>11565</v>
      </c>
      <c r="E45" s="1259"/>
      <c r="F45" s="1260"/>
      <c r="G45" s="1234"/>
      <c r="H45" s="1261"/>
      <c r="I45" s="1261"/>
      <c r="J45" s="1262" t="s">
        <v>11566</v>
      </c>
      <c r="K45" s="1261"/>
      <c r="L45" s="1262" t="s">
        <v>11567</v>
      </c>
      <c r="M45" s="1263"/>
      <c r="N45" s="1262" t="s">
        <v>11568</v>
      </c>
      <c r="O45" s="1263"/>
      <c r="P45" s="1264" t="s">
        <v>11569</v>
      </c>
      <c r="Q45" s="1238"/>
      <c r="R45" s="1265"/>
      <c r="S45" s="1266"/>
      <c r="T45" s="1267"/>
      <c r="U45" s="1241"/>
      <c r="V45" s="1267"/>
      <c r="W45" s="1241"/>
      <c r="X45" s="1267"/>
      <c r="Y45" s="1241"/>
      <c r="Z45" s="1222"/>
      <c r="AA45" s="1222"/>
      <c r="AB45" s="1222"/>
      <c r="AC45" s="1222"/>
    </row>
    <row r="46" ht="15.0" customHeight="1">
      <c r="A46" s="1164"/>
      <c r="B46" s="129"/>
      <c r="C46" s="129"/>
      <c r="D46" s="1258"/>
      <c r="E46" s="1263" t="s">
        <v>11461</v>
      </c>
      <c r="F46" s="1263" t="s">
        <v>11570</v>
      </c>
      <c r="G46" s="1234"/>
      <c r="H46" s="1268" t="s">
        <v>11571</v>
      </c>
      <c r="I46" s="1268"/>
      <c r="J46" s="1269" t="s">
        <v>11572</v>
      </c>
      <c r="K46" s="1268" t="s">
        <v>11573</v>
      </c>
      <c r="L46" s="1269" t="s">
        <v>11574</v>
      </c>
      <c r="M46" s="1268" t="s">
        <v>11575</v>
      </c>
      <c r="N46" s="1269" t="s">
        <v>11576</v>
      </c>
      <c r="O46" s="1268" t="s">
        <v>11577</v>
      </c>
      <c r="P46" s="1269" t="s">
        <v>11578</v>
      </c>
      <c r="Q46" s="1238"/>
      <c r="R46" s="1222"/>
      <c r="S46" s="1222"/>
      <c r="T46" s="1222"/>
      <c r="U46" s="1222"/>
      <c r="V46" s="1222"/>
      <c r="W46" s="1222"/>
      <c r="X46" s="1222"/>
      <c r="Y46" s="1222"/>
      <c r="Z46" s="1222"/>
      <c r="AA46" s="1222"/>
      <c r="AB46" s="1222"/>
      <c r="AC46" s="1222"/>
    </row>
    <row r="47" ht="17.25" customHeight="1">
      <c r="A47" s="1164"/>
      <c r="B47" s="1270" t="s">
        <v>11579</v>
      </c>
      <c r="C47" s="1271" t="s">
        <v>11580</v>
      </c>
      <c r="D47" s="1270" t="s">
        <v>11581</v>
      </c>
      <c r="E47" s="1272">
        <v>603000.0</v>
      </c>
      <c r="F47" s="1272">
        <f t="shared" ref="F47:F69" si="28">E47*1.11</f>
        <v>669330</v>
      </c>
      <c r="G47" s="1234">
        <f t="shared" ref="G47:G69" si="29">(F47*1.1)+15000</f>
        <v>751263</v>
      </c>
      <c r="H47" s="1272">
        <f>G47*1.269</f>
        <v>953352.747</v>
      </c>
      <c r="I47" s="1272"/>
      <c r="J47" s="1273">
        <v>935000.0</v>
      </c>
      <c r="K47" s="1272">
        <f>G47*1.473</f>
        <v>1106610.399</v>
      </c>
      <c r="L47" s="1273">
        <v>1085000.0</v>
      </c>
      <c r="M47" s="1272">
        <f>G47*1.881</f>
        <v>1413125.703</v>
      </c>
      <c r="N47" s="1273">
        <f>L47+300000</f>
        <v>1385000</v>
      </c>
      <c r="O47" s="1272">
        <f>G47*1.935</f>
        <v>1453693.905</v>
      </c>
      <c r="P47" s="1273">
        <v>1425000.0</v>
      </c>
      <c r="Q47" s="1238">
        <f t="shared" ref="Q47:Q69" si="30">P47*1.05</f>
        <v>1496250</v>
      </c>
      <c r="R47" s="1274">
        <f>Q47-P47</f>
        <v>71250</v>
      </c>
      <c r="S47" s="1222"/>
      <c r="T47" s="1222"/>
      <c r="U47" s="1222"/>
      <c r="V47" s="1222"/>
      <c r="W47" s="1222"/>
      <c r="X47" s="1222"/>
      <c r="Y47" s="1222"/>
      <c r="Z47" s="1222"/>
      <c r="AA47" s="1222"/>
      <c r="AB47" s="1222"/>
      <c r="AC47" s="1222"/>
    </row>
    <row r="48" ht="17.25" customHeight="1">
      <c r="A48" s="1164"/>
      <c r="B48" s="1270" t="s">
        <v>11579</v>
      </c>
      <c r="C48" s="1271" t="s">
        <v>11582</v>
      </c>
      <c r="D48" s="1270" t="s">
        <v>11583</v>
      </c>
      <c r="E48" s="1272">
        <v>662000.0</v>
      </c>
      <c r="F48" s="1272">
        <f t="shared" si="28"/>
        <v>734820</v>
      </c>
      <c r="G48" s="1234">
        <f t="shared" si="29"/>
        <v>823302</v>
      </c>
      <c r="H48" s="1272">
        <f>G48*1.36</f>
        <v>1119690.72</v>
      </c>
      <c r="I48" s="1272"/>
      <c r="J48" s="1273">
        <v>1100000.0</v>
      </c>
      <c r="K48" s="1272">
        <f>G48*1.855</f>
        <v>1527225.21</v>
      </c>
      <c r="L48" s="1273">
        <v>1500000.0</v>
      </c>
      <c r="M48" s="1272">
        <f>G48*2.35</f>
        <v>1934759.7</v>
      </c>
      <c r="N48" s="1273">
        <f>L48+400000</f>
        <v>1900000</v>
      </c>
      <c r="O48" s="1272">
        <f>G48*3.34</f>
        <v>2749828.68</v>
      </c>
      <c r="P48" s="1273">
        <f>N48+800000</f>
        <v>2700000</v>
      </c>
      <c r="Q48" s="1238">
        <f t="shared" si="30"/>
        <v>2835000</v>
      </c>
      <c r="R48" s="1222"/>
      <c r="S48" s="1222"/>
      <c r="T48" s="1222"/>
      <c r="U48" s="1222"/>
      <c r="V48" s="1222"/>
      <c r="W48" s="1222"/>
      <c r="X48" s="1222"/>
      <c r="Y48" s="1222"/>
      <c r="Z48" s="1222"/>
      <c r="AA48" s="1222"/>
      <c r="AB48" s="1222"/>
      <c r="AC48" s="1222"/>
    </row>
    <row r="49" ht="17.25" customHeight="1">
      <c r="A49" s="1164"/>
      <c r="B49" s="1270" t="s">
        <v>11584</v>
      </c>
      <c r="C49" s="1271" t="s">
        <v>11585</v>
      </c>
      <c r="D49" s="1270" t="s">
        <v>11586</v>
      </c>
      <c r="E49" s="1272">
        <v>589000.0</v>
      </c>
      <c r="F49" s="1272">
        <f t="shared" si="28"/>
        <v>653790</v>
      </c>
      <c r="G49" s="1234">
        <f t="shared" si="29"/>
        <v>734169</v>
      </c>
      <c r="H49" s="1272">
        <f>G49*1.223</f>
        <v>897888.687</v>
      </c>
      <c r="I49" s="1272"/>
      <c r="J49" s="1273">
        <v>880000.0</v>
      </c>
      <c r="K49" s="1272">
        <f>G49*1.362</f>
        <v>999938.178</v>
      </c>
      <c r="L49" s="1273">
        <v>980000.0</v>
      </c>
      <c r="M49" s="1272">
        <f>G49*1.571</f>
        <v>1153379.499</v>
      </c>
      <c r="N49" s="1273">
        <f>L49+150000</f>
        <v>1130000</v>
      </c>
      <c r="O49" s="1272">
        <f>G49*1.856</f>
        <v>1362617.664</v>
      </c>
      <c r="P49" s="1273">
        <v>1335000.0</v>
      </c>
      <c r="Q49" s="1238">
        <f t="shared" si="30"/>
        <v>1401750</v>
      </c>
      <c r="R49" s="1222"/>
      <c r="S49" s="1222"/>
      <c r="T49" s="1222"/>
      <c r="U49" s="1222"/>
      <c r="V49" s="1222"/>
      <c r="W49" s="1222"/>
      <c r="X49" s="1222"/>
      <c r="Y49" s="1222"/>
      <c r="Z49" s="1222"/>
      <c r="AA49" s="1222"/>
      <c r="AB49" s="1222"/>
      <c r="AC49" s="1222"/>
    </row>
    <row r="50" ht="17.25" customHeight="1">
      <c r="A50" s="1164"/>
      <c r="B50" s="1270" t="s">
        <v>11587</v>
      </c>
      <c r="C50" s="1271" t="s">
        <v>11588</v>
      </c>
      <c r="D50" s="1270" t="s">
        <v>11589</v>
      </c>
      <c r="E50" s="1272">
        <v>431000.0</v>
      </c>
      <c r="F50" s="1272">
        <f t="shared" si="28"/>
        <v>478410</v>
      </c>
      <c r="G50" s="1234">
        <f t="shared" si="29"/>
        <v>541251</v>
      </c>
      <c r="H50" s="1272">
        <f>G50*1.254</f>
        <v>678728.754</v>
      </c>
      <c r="I50" s="1272"/>
      <c r="J50" s="1273">
        <v>660000.0</v>
      </c>
      <c r="K50" s="1272">
        <f>G50*1.501</f>
        <v>812417.751</v>
      </c>
      <c r="L50" s="1273">
        <v>790000.0</v>
      </c>
      <c r="M50" s="1272">
        <f>G50*1.9</f>
        <v>1028376.9</v>
      </c>
      <c r="N50" s="1273">
        <f>L50+210000</f>
        <v>1000000</v>
      </c>
      <c r="O50" s="1272">
        <f>G50*2.09</f>
        <v>1131214.59</v>
      </c>
      <c r="P50" s="1273">
        <v>1100000.0</v>
      </c>
      <c r="Q50" s="1238">
        <f t="shared" si="30"/>
        <v>1155000</v>
      </c>
      <c r="R50" s="1222"/>
      <c r="S50" s="1222"/>
      <c r="T50" s="1222"/>
      <c r="U50" s="1222"/>
      <c r="V50" s="1222"/>
      <c r="W50" s="1222"/>
      <c r="X50" s="1222"/>
      <c r="Y50" s="1222"/>
      <c r="Z50" s="1222"/>
      <c r="AA50" s="1222"/>
      <c r="AB50" s="1222"/>
      <c r="AC50" s="1222"/>
    </row>
    <row r="51" ht="17.25" customHeight="1">
      <c r="A51" s="1164"/>
      <c r="B51" s="1270" t="s">
        <v>11590</v>
      </c>
      <c r="C51" s="1271" t="s">
        <v>11591</v>
      </c>
      <c r="D51" s="1270" t="s">
        <v>11592</v>
      </c>
      <c r="E51" s="1275">
        <v>492000.0</v>
      </c>
      <c r="F51" s="1272">
        <f t="shared" si="28"/>
        <v>546120</v>
      </c>
      <c r="G51" s="1234">
        <f t="shared" si="29"/>
        <v>615732</v>
      </c>
      <c r="H51" s="1276">
        <f>G51*1.148</f>
        <v>706860.336</v>
      </c>
      <c r="I51" s="1276"/>
      <c r="J51" s="1277">
        <v>690000.0</v>
      </c>
      <c r="K51" s="1276">
        <f>G51* 1.306</f>
        <v>804145.992</v>
      </c>
      <c r="L51" s="1277">
        <v>785000.0</v>
      </c>
      <c r="M51" s="1272">
        <f>G51*1.722</f>
        <v>1060290.504</v>
      </c>
      <c r="N51" s="1273">
        <f>L51+250000</f>
        <v>1035000</v>
      </c>
      <c r="O51" s="1272">
        <f>G51*1.872</f>
        <v>1152650.304</v>
      </c>
      <c r="P51" s="1273">
        <v>1125000.0</v>
      </c>
      <c r="Q51" s="1238">
        <f t="shared" si="30"/>
        <v>1181250</v>
      </c>
      <c r="R51" s="1222"/>
      <c r="S51" s="1222"/>
      <c r="T51" s="1222"/>
      <c r="U51" s="1222"/>
      <c r="V51" s="1222"/>
      <c r="W51" s="1222"/>
      <c r="X51" s="1222"/>
      <c r="Y51" s="1222"/>
      <c r="Z51" s="1222"/>
      <c r="AA51" s="1222"/>
      <c r="AB51" s="1222"/>
      <c r="AC51" s="1222"/>
    </row>
    <row r="52" ht="17.25" customHeight="1">
      <c r="A52" s="1164"/>
      <c r="B52" s="1270" t="s">
        <v>11590</v>
      </c>
      <c r="C52" s="1271" t="s">
        <v>11593</v>
      </c>
      <c r="D52" s="1270" t="s">
        <v>11594</v>
      </c>
      <c r="E52" s="1272">
        <v>603000.0</v>
      </c>
      <c r="F52" s="1272">
        <f t="shared" si="28"/>
        <v>669330</v>
      </c>
      <c r="G52" s="1234">
        <f t="shared" si="29"/>
        <v>751263</v>
      </c>
      <c r="H52" s="1272">
        <f>G52*1.269</f>
        <v>953352.747</v>
      </c>
      <c r="I52" s="1272"/>
      <c r="J52" s="1273">
        <v>935000.0</v>
      </c>
      <c r="K52" s="1272">
        <f>G52*1.473</f>
        <v>1106610.399</v>
      </c>
      <c r="L52" s="1273">
        <v>1085000.0</v>
      </c>
      <c r="M52" s="1272">
        <f>G52*1.881</f>
        <v>1413125.703</v>
      </c>
      <c r="N52" s="1273">
        <f>L52+300000</f>
        <v>1385000</v>
      </c>
      <c r="O52" s="1272">
        <f>G52*2.037</f>
        <v>1530322.731</v>
      </c>
      <c r="P52" s="1273">
        <v>1500000.0</v>
      </c>
      <c r="Q52" s="1238">
        <f t="shared" si="30"/>
        <v>1575000</v>
      </c>
      <c r="R52" s="1222"/>
      <c r="S52" s="1222"/>
      <c r="T52" s="1222"/>
      <c r="U52" s="1222"/>
      <c r="V52" s="1222"/>
      <c r="W52" s="1222"/>
      <c r="X52" s="1222"/>
      <c r="Y52" s="1222"/>
      <c r="Z52" s="1222"/>
      <c r="AA52" s="1222"/>
      <c r="AB52" s="1222"/>
      <c r="AC52" s="1222"/>
    </row>
    <row r="53" ht="17.25" customHeight="1">
      <c r="A53" s="1164"/>
      <c r="B53" s="1270" t="s">
        <v>11595</v>
      </c>
      <c r="C53" s="1271" t="s">
        <v>11596</v>
      </c>
      <c r="D53" s="1270" t="s">
        <v>11597</v>
      </c>
      <c r="E53" s="1272">
        <v>523000.0</v>
      </c>
      <c r="F53" s="1272">
        <f t="shared" si="28"/>
        <v>580530</v>
      </c>
      <c r="G53" s="1234">
        <f t="shared" si="29"/>
        <v>653583</v>
      </c>
      <c r="H53" s="1272">
        <f>G53*1.205</f>
        <v>787567.515</v>
      </c>
      <c r="I53" s="1272"/>
      <c r="J53" s="1273">
        <v>770000.0</v>
      </c>
      <c r="K53" s="1272">
        <f>G53*1.44</f>
        <v>941159.52</v>
      </c>
      <c r="L53" s="1273">
        <v>920000.0</v>
      </c>
      <c r="M53" s="1272">
        <f>G53*1.832</f>
        <v>1197364.056</v>
      </c>
      <c r="N53" s="1273">
        <f>L53+250000</f>
        <v>1170000</v>
      </c>
      <c r="O53" s="1272">
        <f>G53*1.957</f>
        <v>1279061.931</v>
      </c>
      <c r="P53" s="1273">
        <v>1250000.0</v>
      </c>
      <c r="Q53" s="1238">
        <f t="shared" si="30"/>
        <v>1312500</v>
      </c>
      <c r="R53" s="1222"/>
      <c r="S53" s="1222"/>
      <c r="T53" s="1222"/>
      <c r="U53" s="1222"/>
      <c r="V53" s="1222"/>
      <c r="W53" s="1222"/>
      <c r="X53" s="1222"/>
      <c r="Y53" s="1222"/>
      <c r="Z53" s="1222"/>
      <c r="AA53" s="1222"/>
      <c r="AB53" s="1222"/>
      <c r="AC53" s="1222"/>
    </row>
    <row r="54" ht="17.25" customHeight="1">
      <c r="A54" s="1164"/>
      <c r="B54" s="1270" t="s">
        <v>11495</v>
      </c>
      <c r="C54" s="1271" t="s">
        <v>11598</v>
      </c>
      <c r="D54" s="1270" t="s">
        <v>11599</v>
      </c>
      <c r="E54" s="1272">
        <v>595000.0</v>
      </c>
      <c r="F54" s="1272">
        <f t="shared" si="28"/>
        <v>660450</v>
      </c>
      <c r="G54" s="1234">
        <f t="shared" si="29"/>
        <v>741495</v>
      </c>
      <c r="H54" s="1272">
        <f>G54*1.307</f>
        <v>969133.965</v>
      </c>
      <c r="I54" s="1272"/>
      <c r="J54" s="1273">
        <v>950000.0</v>
      </c>
      <c r="K54" s="1272">
        <f>G54*1.445</f>
        <v>1071460.275</v>
      </c>
      <c r="L54" s="1273">
        <v>1050000.0</v>
      </c>
      <c r="M54" s="1272">
        <f>G54*1.617</f>
        <v>1198997.415</v>
      </c>
      <c r="N54" s="1273">
        <v>1175000.0</v>
      </c>
      <c r="O54" s="1272">
        <f>G54*1.858</f>
        <v>1377697.71</v>
      </c>
      <c r="P54" s="1273">
        <v>1350000.0</v>
      </c>
      <c r="Q54" s="1238">
        <f t="shared" si="30"/>
        <v>1417500</v>
      </c>
      <c r="R54" s="1222"/>
      <c r="S54" s="1222"/>
      <c r="T54" s="1222"/>
      <c r="U54" s="1222"/>
      <c r="V54" s="1222"/>
      <c r="W54" s="1222"/>
      <c r="X54" s="1222"/>
      <c r="Y54" s="1222"/>
      <c r="Z54" s="1222"/>
      <c r="AA54" s="1222"/>
      <c r="AB54" s="1222"/>
      <c r="AC54" s="1222"/>
    </row>
    <row r="55" ht="17.25" customHeight="1">
      <c r="A55" s="1164"/>
      <c r="B55" s="1270" t="s">
        <v>11495</v>
      </c>
      <c r="C55" s="1278" t="s">
        <v>11600</v>
      </c>
      <c r="D55" s="1270" t="s">
        <v>11601</v>
      </c>
      <c r="E55" s="1279">
        <v>612000.0</v>
      </c>
      <c r="F55" s="1272">
        <f t="shared" si="28"/>
        <v>679320</v>
      </c>
      <c r="G55" s="1234">
        <f t="shared" si="29"/>
        <v>762252</v>
      </c>
      <c r="H55" s="1276">
        <f>G55*1.164</f>
        <v>887261.328</v>
      </c>
      <c r="I55" s="1276"/>
      <c r="J55" s="1277">
        <v>870000.0</v>
      </c>
      <c r="K55" s="1272">
        <f>G55*1.405</f>
        <v>1070964.06</v>
      </c>
      <c r="L55" s="1273">
        <v>1050000.0</v>
      </c>
      <c r="M55" s="1272">
        <f>G55*1.605</f>
        <v>1223414.46</v>
      </c>
      <c r="N55" s="1273">
        <f>L55+150000</f>
        <v>1200000</v>
      </c>
      <c r="O55" s="1272">
        <f>G55*1.873</f>
        <v>1427697.996</v>
      </c>
      <c r="P55" s="1273">
        <v>1400000.0</v>
      </c>
      <c r="Q55" s="1238">
        <f t="shared" si="30"/>
        <v>1470000</v>
      </c>
      <c r="R55" s="1222"/>
      <c r="S55" s="1222"/>
      <c r="T55" s="1222"/>
      <c r="U55" s="1222"/>
      <c r="V55" s="1222"/>
      <c r="W55" s="1222"/>
      <c r="X55" s="1222"/>
      <c r="Y55" s="1222"/>
      <c r="Z55" s="1222"/>
      <c r="AA55" s="1222"/>
      <c r="AB55" s="1222"/>
      <c r="AC55" s="1222"/>
    </row>
    <row r="56" ht="17.25" customHeight="1">
      <c r="A56" s="1164"/>
      <c r="B56" s="1270" t="s">
        <v>11495</v>
      </c>
      <c r="C56" s="1271" t="s">
        <v>11602</v>
      </c>
      <c r="D56" s="1270" t="s">
        <v>11603</v>
      </c>
      <c r="E56" s="1272">
        <v>546000.0</v>
      </c>
      <c r="F56" s="1272">
        <f t="shared" si="28"/>
        <v>606060</v>
      </c>
      <c r="G56" s="1234">
        <f t="shared" si="29"/>
        <v>681666</v>
      </c>
      <c r="H56" s="1272">
        <f>G56*1.222</f>
        <v>832995.852</v>
      </c>
      <c r="I56" s="1272"/>
      <c r="J56" s="1273">
        <v>815000.0</v>
      </c>
      <c r="K56" s="1272">
        <f>G56* 1.35</f>
        <v>920249.1</v>
      </c>
      <c r="L56" s="1273">
        <v>900000.0</v>
      </c>
      <c r="M56" s="1276">
        <f>G56*1.552</f>
        <v>1057945.632</v>
      </c>
      <c r="N56" s="1277">
        <v>1035000.0</v>
      </c>
      <c r="O56" s="1272">
        <f>G56*1.875</f>
        <v>1278123.75</v>
      </c>
      <c r="P56" s="1273">
        <v>1250000.0</v>
      </c>
      <c r="Q56" s="1238">
        <f t="shared" si="30"/>
        <v>1312500</v>
      </c>
      <c r="R56" s="1222"/>
      <c r="S56" s="1222"/>
      <c r="T56" s="1222"/>
      <c r="U56" s="1222"/>
      <c r="V56" s="1222"/>
      <c r="W56" s="1222"/>
      <c r="X56" s="1222"/>
      <c r="Y56" s="1222"/>
      <c r="Z56" s="1222"/>
      <c r="AA56" s="1222"/>
      <c r="AB56" s="1222"/>
      <c r="AC56" s="1222"/>
    </row>
    <row r="57" ht="17.25" customHeight="1">
      <c r="A57" s="1164"/>
      <c r="B57" s="1270" t="s">
        <v>11604</v>
      </c>
      <c r="C57" s="1271" t="s">
        <v>11605</v>
      </c>
      <c r="D57" s="1270" t="s">
        <v>11606</v>
      </c>
      <c r="E57" s="1272">
        <v>460000.0</v>
      </c>
      <c r="F57" s="1272">
        <f t="shared" si="28"/>
        <v>510600</v>
      </c>
      <c r="G57" s="1234">
        <f t="shared" si="29"/>
        <v>576660</v>
      </c>
      <c r="H57" s="1272">
        <f>G57*1.237</f>
        <v>713328.42</v>
      </c>
      <c r="I57" s="1272"/>
      <c r="J57" s="1273">
        <v>695000.0</v>
      </c>
      <c r="K57" s="1272">
        <f>G57*1.397</f>
        <v>805594.02</v>
      </c>
      <c r="L57" s="1273">
        <v>785000.0</v>
      </c>
      <c r="M57" s="1272">
        <f>G57*1.584</f>
        <v>913429.44</v>
      </c>
      <c r="N57" s="1277">
        <v>890000.0</v>
      </c>
      <c r="O57" s="1272">
        <f>G57*1.869</f>
        <v>1077777.54</v>
      </c>
      <c r="P57" s="1273">
        <v>1050000.0</v>
      </c>
      <c r="Q57" s="1238">
        <f t="shared" si="30"/>
        <v>1102500</v>
      </c>
      <c r="R57" s="1222"/>
      <c r="S57" s="1222"/>
      <c r="T57" s="1222"/>
      <c r="U57" s="1222"/>
      <c r="V57" s="1222"/>
      <c r="W57" s="1222"/>
      <c r="X57" s="1222"/>
      <c r="Y57" s="1222"/>
      <c r="Z57" s="1222"/>
      <c r="AA57" s="1222"/>
      <c r="AB57" s="1222"/>
      <c r="AC57" s="1222"/>
    </row>
    <row r="58" ht="17.25" customHeight="1">
      <c r="A58" s="1164"/>
      <c r="B58" s="1270" t="s">
        <v>11607</v>
      </c>
      <c r="C58" s="1271" t="s">
        <v>11608</v>
      </c>
      <c r="D58" s="1270" t="s">
        <v>11609</v>
      </c>
      <c r="E58" s="1272">
        <v>370000.0</v>
      </c>
      <c r="F58" s="1272">
        <f t="shared" si="28"/>
        <v>410700</v>
      </c>
      <c r="G58" s="1234">
        <f t="shared" si="29"/>
        <v>466770</v>
      </c>
      <c r="H58" s="1272">
        <f>G58*1.217</f>
        <v>568059.09</v>
      </c>
      <c r="I58" s="1272"/>
      <c r="J58" s="1273">
        <v>550000.0</v>
      </c>
      <c r="K58" s="1272">
        <f>G58*1.372</f>
        <v>640408.44</v>
      </c>
      <c r="L58" s="1273">
        <v>620000.0</v>
      </c>
      <c r="M58" s="1272">
        <f>G58*1.549</f>
        <v>723026.73</v>
      </c>
      <c r="N58" s="1277">
        <v>700000.0</v>
      </c>
      <c r="O58" s="1272">
        <f>G58*1.881</f>
        <v>877994.37</v>
      </c>
      <c r="P58" s="1273">
        <v>850000.0</v>
      </c>
      <c r="Q58" s="1238">
        <f t="shared" si="30"/>
        <v>892500</v>
      </c>
      <c r="R58" s="1222"/>
      <c r="S58" s="1222"/>
      <c r="T58" s="1222"/>
      <c r="U58" s="1222"/>
      <c r="V58" s="1222"/>
      <c r="W58" s="1222"/>
      <c r="X58" s="1222"/>
      <c r="Y58" s="1222"/>
      <c r="Z58" s="1222"/>
      <c r="AA58" s="1222"/>
      <c r="AB58" s="1222"/>
      <c r="AC58" s="1222"/>
    </row>
    <row r="59" ht="17.25" customHeight="1">
      <c r="A59" s="1164"/>
      <c r="B59" s="1270" t="s">
        <v>11610</v>
      </c>
      <c r="C59" s="1271" t="s">
        <v>11611</v>
      </c>
      <c r="D59" s="1270" t="s">
        <v>11612</v>
      </c>
      <c r="E59" s="1272">
        <v>553000.0</v>
      </c>
      <c r="F59" s="1272">
        <f t="shared" si="28"/>
        <v>613830</v>
      </c>
      <c r="G59" s="1234">
        <f t="shared" si="29"/>
        <v>690213</v>
      </c>
      <c r="H59" s="1272">
        <f>G59*1.221</f>
        <v>842750.073</v>
      </c>
      <c r="I59" s="1272"/>
      <c r="J59" s="1273">
        <v>825000.0</v>
      </c>
      <c r="K59" s="1272">
        <f>G59*1.443</f>
        <v>995977.359</v>
      </c>
      <c r="L59" s="1273">
        <v>975000.0</v>
      </c>
      <c r="M59" s="1272">
        <f>G59*1.666</f>
        <v>1149894.858</v>
      </c>
      <c r="N59" s="1273">
        <f>L59+150000</f>
        <v>1125000</v>
      </c>
      <c r="O59" s="1272">
        <f>G59*1.888</f>
        <v>1303122.144</v>
      </c>
      <c r="P59" s="1273">
        <v>1275000.0</v>
      </c>
      <c r="Q59" s="1238">
        <f t="shared" si="30"/>
        <v>1338750</v>
      </c>
      <c r="R59" s="1222"/>
      <c r="S59" s="1222"/>
      <c r="T59" s="1222"/>
      <c r="U59" s="1222"/>
      <c r="V59" s="1222"/>
      <c r="W59" s="1222"/>
      <c r="X59" s="1222"/>
      <c r="Y59" s="1222"/>
      <c r="Z59" s="1222"/>
      <c r="AA59" s="1222"/>
      <c r="AB59" s="1222"/>
      <c r="AC59" s="1222"/>
    </row>
    <row r="60" ht="17.25" customHeight="1">
      <c r="A60" s="1164"/>
      <c r="B60" s="1270" t="s">
        <v>11613</v>
      </c>
      <c r="C60" s="1271" t="s">
        <v>11614</v>
      </c>
      <c r="D60" s="1270" t="s">
        <v>11615</v>
      </c>
      <c r="E60" s="1272">
        <v>501000.0</v>
      </c>
      <c r="F60" s="1272">
        <f t="shared" si="28"/>
        <v>556110</v>
      </c>
      <c r="G60" s="1234">
        <f t="shared" si="29"/>
        <v>626721</v>
      </c>
      <c r="H60" s="1272">
        <f>G60*1.258</f>
        <v>788415.018</v>
      </c>
      <c r="I60" s="1272"/>
      <c r="J60" s="1273">
        <v>770000.0</v>
      </c>
      <c r="K60" s="1272">
        <f>G60*1.454</f>
        <v>911252.334</v>
      </c>
      <c r="L60" s="1273">
        <v>890000.0</v>
      </c>
      <c r="M60" s="1272">
        <f>G60*1.626</f>
        <v>1019048.346</v>
      </c>
      <c r="N60" s="1273">
        <v>995000.0</v>
      </c>
      <c r="O60" s="1272">
        <f>G60*1.879</f>
        <v>1177608.759</v>
      </c>
      <c r="P60" s="1273">
        <v>1150000.0</v>
      </c>
      <c r="Q60" s="1238">
        <f t="shared" si="30"/>
        <v>1207500</v>
      </c>
      <c r="R60" s="1222"/>
      <c r="S60" s="1222"/>
      <c r="T60" s="1222"/>
      <c r="U60" s="1222"/>
      <c r="V60" s="1222"/>
      <c r="W60" s="1222"/>
      <c r="X60" s="1222"/>
      <c r="Y60" s="1222"/>
      <c r="Z60" s="1222"/>
      <c r="AA60" s="1222"/>
      <c r="AB60" s="1222"/>
      <c r="AC60" s="1222"/>
    </row>
    <row r="61" ht="17.25" customHeight="1">
      <c r="A61" s="1164"/>
      <c r="B61" s="1270" t="s">
        <v>11616</v>
      </c>
      <c r="C61" s="1271" t="s">
        <v>11617</v>
      </c>
      <c r="D61" s="1270" t="s">
        <v>11618</v>
      </c>
      <c r="E61" s="1272">
        <v>487000.0</v>
      </c>
      <c r="F61" s="1272">
        <f t="shared" si="28"/>
        <v>540570</v>
      </c>
      <c r="G61" s="1234">
        <f t="shared" si="29"/>
        <v>609627</v>
      </c>
      <c r="H61" s="1272">
        <f>G61*1.387</f>
        <v>845552.649</v>
      </c>
      <c r="I61" s="1272"/>
      <c r="J61" s="1273">
        <v>825000.0</v>
      </c>
      <c r="K61" s="1272">
        <f>G61*1.639</f>
        <v>999178.653</v>
      </c>
      <c r="L61" s="1273">
        <v>975000.0</v>
      </c>
      <c r="M61" s="1272">
        <f>G61*1.891</f>
        <v>1152804.657</v>
      </c>
      <c r="N61" s="1273">
        <f>L61+150000</f>
        <v>1125000</v>
      </c>
      <c r="O61" s="1272">
        <f>G61*2.354</f>
        <v>1435061.958</v>
      </c>
      <c r="P61" s="1273">
        <v>1400000.0</v>
      </c>
      <c r="Q61" s="1238">
        <f t="shared" si="30"/>
        <v>1470000</v>
      </c>
      <c r="R61" s="1222"/>
      <c r="S61" s="1222"/>
      <c r="T61" s="1222"/>
      <c r="U61" s="1222"/>
      <c r="V61" s="1222"/>
      <c r="W61" s="1222"/>
      <c r="X61" s="1222"/>
      <c r="Y61" s="1222"/>
      <c r="Z61" s="1222"/>
      <c r="AA61" s="1222"/>
      <c r="AB61" s="1222"/>
      <c r="AC61" s="1222"/>
    </row>
    <row r="62" ht="17.25" customHeight="1">
      <c r="A62" s="1164"/>
      <c r="B62" s="1270" t="s">
        <v>11504</v>
      </c>
      <c r="C62" s="1278" t="s">
        <v>11619</v>
      </c>
      <c r="D62" s="1270" t="s">
        <v>11620</v>
      </c>
      <c r="E62" s="1279">
        <v>356000.0</v>
      </c>
      <c r="F62" s="1272">
        <f t="shared" si="28"/>
        <v>395160</v>
      </c>
      <c r="G62" s="1234">
        <f t="shared" si="29"/>
        <v>449676</v>
      </c>
      <c r="H62" s="1276">
        <f>G62*1.138</f>
        <v>511731.288</v>
      </c>
      <c r="I62" s="1276"/>
      <c r="J62" s="1277">
        <v>495000.0</v>
      </c>
      <c r="K62" s="1272">
        <f>G62*1.368</f>
        <v>615156.768</v>
      </c>
      <c r="L62" s="1273">
        <v>595000.0</v>
      </c>
      <c r="M62" s="1272">
        <f>G62*1.552</f>
        <v>697897.152</v>
      </c>
      <c r="N62" s="1277">
        <v>675000.0</v>
      </c>
      <c r="O62" s="1272">
        <f>G62*1.863</f>
        <v>837746.388</v>
      </c>
      <c r="P62" s="1277">
        <v>810000.0</v>
      </c>
      <c r="Q62" s="1238">
        <f t="shared" si="30"/>
        <v>850500</v>
      </c>
      <c r="R62" s="1222"/>
      <c r="S62" s="1222"/>
      <c r="T62" s="1222"/>
      <c r="U62" s="1222"/>
      <c r="V62" s="1222"/>
      <c r="W62" s="1222"/>
      <c r="X62" s="1222"/>
      <c r="Y62" s="1222"/>
      <c r="Z62" s="1222"/>
      <c r="AA62" s="1222"/>
      <c r="AB62" s="1222"/>
      <c r="AC62" s="1222"/>
    </row>
    <row r="63" ht="17.25" customHeight="1">
      <c r="A63" s="1164"/>
      <c r="B63" s="1270" t="s">
        <v>11515</v>
      </c>
      <c r="C63" s="1271" t="s">
        <v>11621</v>
      </c>
      <c r="D63" s="1270" t="s">
        <v>11622</v>
      </c>
      <c r="E63" s="1272">
        <v>576000.0</v>
      </c>
      <c r="F63" s="1272">
        <f t="shared" si="28"/>
        <v>639360</v>
      </c>
      <c r="G63" s="1234">
        <f t="shared" si="29"/>
        <v>718296</v>
      </c>
      <c r="H63" s="1272">
        <f>G63* 1.251</f>
        <v>898588.296</v>
      </c>
      <c r="I63" s="1272"/>
      <c r="J63" s="1273">
        <v>880000.0</v>
      </c>
      <c r="K63" s="1272">
        <f>G63*1.464</f>
        <v>1051585.344</v>
      </c>
      <c r="L63" s="1273">
        <v>1030000.0</v>
      </c>
      <c r="M63" s="1272">
        <f>G63*1.677</f>
        <v>1204582.392</v>
      </c>
      <c r="N63" s="1273">
        <f>L63+150000</f>
        <v>1180000</v>
      </c>
      <c r="O63" s="1272">
        <f>G63*1.919</f>
        <v>1378410.024</v>
      </c>
      <c r="P63" s="1273">
        <v>1350000.0</v>
      </c>
      <c r="Q63" s="1238">
        <f t="shared" si="30"/>
        <v>1417500</v>
      </c>
      <c r="R63" s="1222"/>
      <c r="S63" s="1222"/>
      <c r="T63" s="1222"/>
      <c r="U63" s="1222"/>
      <c r="V63" s="1222"/>
      <c r="W63" s="1222"/>
      <c r="X63" s="1222"/>
      <c r="Y63" s="1222"/>
      <c r="Z63" s="1222"/>
      <c r="AA63" s="1222"/>
      <c r="AB63" s="1222"/>
      <c r="AC63" s="1222"/>
    </row>
    <row r="64" ht="17.25" customHeight="1">
      <c r="A64" s="1164"/>
      <c r="B64" s="1270" t="s">
        <v>11519</v>
      </c>
      <c r="C64" s="1271" t="s">
        <v>11623</v>
      </c>
      <c r="D64" s="1270" t="s">
        <v>11624</v>
      </c>
      <c r="E64" s="1272">
        <v>224000.0</v>
      </c>
      <c r="F64" s="1272">
        <f t="shared" si="28"/>
        <v>248640</v>
      </c>
      <c r="G64" s="1234">
        <f t="shared" si="29"/>
        <v>288504</v>
      </c>
      <c r="H64" s="1272">
        <f>G64*1.407</f>
        <v>405925.128</v>
      </c>
      <c r="I64" s="1272"/>
      <c r="J64" s="1273">
        <v>385000.0</v>
      </c>
      <c r="K64" s="1272">
        <f>G64*1.773</f>
        <v>511517.592</v>
      </c>
      <c r="L64" s="1273">
        <v>485000.0</v>
      </c>
      <c r="M64" s="1272">
        <f>G64*2.175</f>
        <v>627496.2</v>
      </c>
      <c r="N64" s="1273">
        <v>595000.0</v>
      </c>
      <c r="O64" s="1272">
        <f>G64*2.376</f>
        <v>685485.504</v>
      </c>
      <c r="P64" s="1273">
        <v>650000.0</v>
      </c>
      <c r="Q64" s="1238">
        <f t="shared" si="30"/>
        <v>682500</v>
      </c>
      <c r="R64" s="1222"/>
      <c r="S64" s="1222"/>
      <c r="T64" s="1222"/>
      <c r="U64" s="1222"/>
      <c r="V64" s="1222"/>
      <c r="W64" s="1222"/>
      <c r="X64" s="1222"/>
      <c r="Y64" s="1222"/>
      <c r="Z64" s="1222"/>
      <c r="AA64" s="1222"/>
      <c r="AB64" s="1222"/>
      <c r="AC64" s="1222"/>
    </row>
    <row r="65" ht="17.25" customHeight="1">
      <c r="A65" s="1164"/>
      <c r="B65" s="1270" t="s">
        <v>11532</v>
      </c>
      <c r="C65" s="1271" t="s">
        <v>11625</v>
      </c>
      <c r="D65" s="1270" t="s">
        <v>11626</v>
      </c>
      <c r="E65" s="1272">
        <v>458000.0</v>
      </c>
      <c r="F65" s="1272">
        <f t="shared" si="28"/>
        <v>508380</v>
      </c>
      <c r="G65" s="1234">
        <f t="shared" si="29"/>
        <v>574218</v>
      </c>
      <c r="H65" s="1272">
        <f>G65*1.278</f>
        <v>733850.604</v>
      </c>
      <c r="I65" s="1272"/>
      <c r="J65" s="1273">
        <v>715000.0</v>
      </c>
      <c r="K65" s="1272">
        <f>G65*1.546</f>
        <v>887741.028</v>
      </c>
      <c r="L65" s="1273">
        <v>865000.0</v>
      </c>
      <c r="M65" s="1272">
        <f>G65*1.743</f>
        <v>1000861.974</v>
      </c>
      <c r="N65" s="1273">
        <v>975000.0</v>
      </c>
      <c r="O65" s="1272">
        <f>G65*1.877</f>
        <v>1077807.186</v>
      </c>
      <c r="P65" s="1273">
        <v>1050000.0</v>
      </c>
      <c r="Q65" s="1238">
        <f t="shared" si="30"/>
        <v>1102500</v>
      </c>
      <c r="R65" s="1222"/>
      <c r="S65" s="1222"/>
      <c r="T65" s="1222"/>
      <c r="U65" s="1222"/>
      <c r="V65" s="1222"/>
      <c r="W65" s="1222"/>
      <c r="X65" s="1222"/>
      <c r="Y65" s="1222"/>
      <c r="Z65" s="1222"/>
      <c r="AA65" s="1222"/>
      <c r="AB65" s="1222"/>
      <c r="AC65" s="1222"/>
    </row>
    <row r="66" ht="17.25" customHeight="1">
      <c r="A66" s="1164"/>
      <c r="B66" s="1270" t="s">
        <v>11532</v>
      </c>
      <c r="C66" s="1271" t="s">
        <v>11627</v>
      </c>
      <c r="D66" s="1270" t="s">
        <v>11628</v>
      </c>
      <c r="E66" s="1272">
        <v>299000.0</v>
      </c>
      <c r="F66" s="1272">
        <f t="shared" si="28"/>
        <v>331890</v>
      </c>
      <c r="G66" s="1234">
        <f t="shared" si="29"/>
        <v>380079</v>
      </c>
      <c r="H66" s="1272">
        <f>G66*1.506</f>
        <v>572398.974</v>
      </c>
      <c r="I66" s="1272"/>
      <c r="J66" s="1273">
        <v>550000.0</v>
      </c>
      <c r="K66" s="1272">
        <f>G66*1.575</f>
        <v>598624.425</v>
      </c>
      <c r="L66" s="1273">
        <v>575000.0</v>
      </c>
      <c r="M66" s="1272">
        <f>G66*1.711</f>
        <v>650315.169</v>
      </c>
      <c r="N66" s="1273">
        <v>625000.0</v>
      </c>
      <c r="O66" s="1272">
        <f>G66*1.862</f>
        <v>707707.098</v>
      </c>
      <c r="P66" s="1273">
        <v>680000.0</v>
      </c>
      <c r="Q66" s="1238">
        <f t="shared" si="30"/>
        <v>714000</v>
      </c>
      <c r="R66" s="1222"/>
      <c r="S66" s="1222"/>
      <c r="T66" s="1280"/>
      <c r="U66" s="1280"/>
      <c r="V66" s="1222"/>
      <c r="W66" s="1222"/>
      <c r="X66" s="1222"/>
      <c r="Y66" s="1222"/>
      <c r="Z66" s="1222"/>
      <c r="AA66" s="1222"/>
      <c r="AB66" s="1222"/>
      <c r="AC66" s="1222"/>
    </row>
    <row r="67" ht="17.25" customHeight="1">
      <c r="A67" s="1164"/>
      <c r="B67" s="1270" t="s">
        <v>11532</v>
      </c>
      <c r="C67" s="1271" t="s">
        <v>11629</v>
      </c>
      <c r="D67" s="1270" t="s">
        <v>11630</v>
      </c>
      <c r="E67" s="1272">
        <v>548000.0</v>
      </c>
      <c r="F67" s="1272">
        <f t="shared" si="28"/>
        <v>608280</v>
      </c>
      <c r="G67" s="1234">
        <f t="shared" si="29"/>
        <v>684108</v>
      </c>
      <c r="H67" s="1272">
        <f>G67*1.232</f>
        <v>842821.056</v>
      </c>
      <c r="I67" s="1272"/>
      <c r="J67" s="1273">
        <v>825000.0</v>
      </c>
      <c r="K67" s="1272">
        <f>G67* 1.382</f>
        <v>945437.256</v>
      </c>
      <c r="L67" s="1273">
        <v>925000.0</v>
      </c>
      <c r="M67" s="1272">
        <f>G67*1.606</f>
        <v>1098677.448</v>
      </c>
      <c r="N67" s="1273">
        <f t="shared" ref="N67:N68" si="31">L67+150000</f>
        <v>1075000</v>
      </c>
      <c r="O67" s="1272">
        <f>G67*1.868</f>
        <v>1277913.744</v>
      </c>
      <c r="P67" s="1273">
        <v>1250000.0</v>
      </c>
      <c r="Q67" s="1238">
        <f t="shared" si="30"/>
        <v>1312500</v>
      </c>
      <c r="R67" s="1222"/>
      <c r="S67" s="1222"/>
      <c r="T67" s="1280"/>
      <c r="U67" s="1280"/>
      <c r="V67" s="1222"/>
      <c r="W67" s="1222"/>
      <c r="X67" s="1222"/>
      <c r="Y67" s="1222"/>
      <c r="Z67" s="1222"/>
      <c r="AA67" s="1222"/>
      <c r="AB67" s="1222"/>
      <c r="AC67" s="1222"/>
    </row>
    <row r="68" ht="17.25" customHeight="1">
      <c r="A68" s="1164"/>
      <c r="B68" s="1270" t="s">
        <v>11532</v>
      </c>
      <c r="C68" s="1278" t="s">
        <v>11631</v>
      </c>
      <c r="D68" s="1270" t="s">
        <v>11632</v>
      </c>
      <c r="E68" s="1279">
        <v>601000.0</v>
      </c>
      <c r="F68" s="1279">
        <f t="shared" si="28"/>
        <v>667110</v>
      </c>
      <c r="G68" s="1234">
        <f t="shared" si="29"/>
        <v>748821</v>
      </c>
      <c r="H68" s="1276">
        <f>G68*1.199</f>
        <v>897836.379</v>
      </c>
      <c r="I68" s="1276"/>
      <c r="J68" s="1277">
        <v>880000.0</v>
      </c>
      <c r="K68" s="1272">
        <f>G68*1.403</f>
        <v>1050595.863</v>
      </c>
      <c r="L68" s="1273">
        <v>1030000.0</v>
      </c>
      <c r="M68" s="1272">
        <f>G68*1.608</f>
        <v>1204104.168</v>
      </c>
      <c r="N68" s="1273">
        <f t="shared" si="31"/>
        <v>1180000</v>
      </c>
      <c r="O68" s="1272">
        <f>G68*1.88</f>
        <v>1407783.48</v>
      </c>
      <c r="P68" s="1273">
        <v>1380000.0</v>
      </c>
      <c r="Q68" s="1238">
        <f t="shared" si="30"/>
        <v>1449000</v>
      </c>
      <c r="R68" s="1222"/>
      <c r="S68" s="1222"/>
      <c r="T68" s="1280"/>
      <c r="U68" s="1280"/>
      <c r="V68" s="1222"/>
      <c r="W68" s="1222"/>
      <c r="X68" s="1222"/>
      <c r="Y68" s="1222"/>
      <c r="Z68" s="1222"/>
      <c r="AA68" s="1222"/>
      <c r="AB68" s="1222"/>
      <c r="AC68" s="1222"/>
    </row>
    <row r="69" ht="17.25" customHeight="1">
      <c r="A69" s="129"/>
      <c r="B69" s="1270" t="s">
        <v>11532</v>
      </c>
      <c r="C69" s="1278" t="s">
        <v>11633</v>
      </c>
      <c r="D69" s="1270" t="s">
        <v>11634</v>
      </c>
      <c r="E69" s="1279">
        <v>484000.0</v>
      </c>
      <c r="F69" s="1272">
        <f t="shared" si="28"/>
        <v>537240</v>
      </c>
      <c r="G69" s="1234">
        <f t="shared" si="29"/>
        <v>605964</v>
      </c>
      <c r="H69" s="1276">
        <f>G69*1.116</f>
        <v>676255.824</v>
      </c>
      <c r="I69" s="1276"/>
      <c r="J69" s="1277">
        <v>660000.0</v>
      </c>
      <c r="K69" s="1272">
        <f>G69* 1.302</f>
        <v>788965.128</v>
      </c>
      <c r="L69" s="1277">
        <v>770000.0</v>
      </c>
      <c r="M69" s="1272">
        <f>G69*1.607</f>
        <v>973784.148</v>
      </c>
      <c r="N69" s="1273">
        <v>950000.0</v>
      </c>
      <c r="O69" s="1272">
        <f>G69*1.861</f>
        <v>1127699.004</v>
      </c>
      <c r="P69" s="1273">
        <v>1100000.0</v>
      </c>
      <c r="Q69" s="1238">
        <f t="shared" si="30"/>
        <v>1155000</v>
      </c>
      <c r="R69" s="1222"/>
      <c r="S69" s="1222"/>
      <c r="T69" s="1280"/>
      <c r="U69" s="1280"/>
      <c r="V69" s="1222"/>
      <c r="W69" s="1222"/>
      <c r="X69" s="1222"/>
      <c r="Y69" s="1222"/>
      <c r="Z69" s="1222"/>
      <c r="AA69" s="1222"/>
      <c r="AB69" s="1222"/>
      <c r="AC69" s="1222"/>
    </row>
    <row r="70" ht="15.75" customHeight="1">
      <c r="A70" s="1222"/>
      <c r="B70" s="1222"/>
      <c r="C70" s="1222"/>
      <c r="D70" s="1222"/>
      <c r="E70" s="1241"/>
      <c r="F70" s="1241"/>
      <c r="G70" s="1252"/>
      <c r="H70" s="1222"/>
      <c r="I70" s="1222"/>
      <c r="J70" s="1222"/>
      <c r="K70" s="1222"/>
      <c r="L70" s="1222"/>
      <c r="M70" s="1241"/>
      <c r="N70" s="1222"/>
      <c r="O70" s="1222"/>
      <c r="P70" s="1222"/>
      <c r="Q70" s="1222"/>
      <c r="R70" s="1222"/>
      <c r="S70" s="1222"/>
      <c r="T70" s="1222"/>
      <c r="U70" s="1222"/>
      <c r="V70" s="1222"/>
      <c r="W70" s="1222"/>
      <c r="X70" s="1222"/>
      <c r="Y70" s="1222"/>
      <c r="Z70" s="1222"/>
      <c r="AA70" s="1222"/>
      <c r="AB70" s="1222"/>
      <c r="AC70" s="1222"/>
    </row>
    <row r="71" ht="15.75" customHeight="1">
      <c r="A71" s="1281" t="s">
        <v>11635</v>
      </c>
      <c r="B71" s="1282" t="s">
        <v>11454</v>
      </c>
      <c r="C71" s="1282" t="s">
        <v>11564</v>
      </c>
      <c r="D71" s="1283" t="s">
        <v>11456</v>
      </c>
      <c r="E71" s="1261"/>
      <c r="F71" s="1261"/>
      <c r="G71" s="1234"/>
      <c r="H71" s="1263"/>
      <c r="I71" s="1263"/>
      <c r="J71" s="1284" t="s">
        <v>11636</v>
      </c>
      <c r="K71" s="1263"/>
      <c r="L71" s="1285" t="s">
        <v>11637</v>
      </c>
      <c r="M71" s="1261"/>
      <c r="N71" s="1286" t="s">
        <v>11638</v>
      </c>
      <c r="O71" s="1263"/>
      <c r="P71" s="1287" t="s">
        <v>11639</v>
      </c>
      <c r="Q71" s="1263"/>
      <c r="R71" s="1263"/>
      <c r="S71" s="1263"/>
      <c r="T71" s="1263" t="s">
        <v>11640</v>
      </c>
      <c r="U71" s="1222"/>
      <c r="V71" s="1222"/>
      <c r="W71" s="1222"/>
      <c r="X71" s="1222"/>
      <c r="Y71" s="1222"/>
      <c r="Z71" s="1222"/>
      <c r="AA71" s="1222"/>
      <c r="AB71" s="1222"/>
      <c r="AC71" s="1222"/>
    </row>
    <row r="72" ht="15.75" customHeight="1">
      <c r="A72" s="1164"/>
      <c r="B72" s="129"/>
      <c r="C72" s="129"/>
      <c r="D72" s="1283"/>
      <c r="E72" s="1288" t="s">
        <v>11641</v>
      </c>
      <c r="F72" s="1288" t="s">
        <v>11642</v>
      </c>
      <c r="G72" s="1234"/>
      <c r="H72" s="1289" t="s">
        <v>11643</v>
      </c>
      <c r="I72" s="1289"/>
      <c r="J72" s="1290" t="s">
        <v>11572</v>
      </c>
      <c r="K72" s="1291" t="s">
        <v>11644</v>
      </c>
      <c r="L72" s="1292" t="s">
        <v>11645</v>
      </c>
      <c r="M72" s="1291" t="s">
        <v>11646</v>
      </c>
      <c r="N72" s="1293" t="s">
        <v>11576</v>
      </c>
      <c r="O72" s="1294" t="s">
        <v>11647</v>
      </c>
      <c r="P72" s="1294" t="s">
        <v>11648</v>
      </c>
      <c r="Q72" s="1295"/>
      <c r="R72" s="1295"/>
      <c r="S72" s="1296" t="s">
        <v>11649</v>
      </c>
      <c r="T72" s="1297" t="s">
        <v>11379</v>
      </c>
      <c r="U72" s="1222"/>
      <c r="V72" s="1222"/>
      <c r="W72" s="1222"/>
      <c r="X72" s="1222"/>
      <c r="Y72" s="1222"/>
      <c r="Z72" s="1222"/>
      <c r="AA72" s="1222"/>
      <c r="AB72" s="1222"/>
      <c r="AC72" s="1222"/>
    </row>
    <row r="73" ht="15.75" customHeight="1">
      <c r="A73" s="1164"/>
      <c r="B73" s="1298" t="s">
        <v>11650</v>
      </c>
      <c r="C73" s="1299" t="s">
        <v>11651</v>
      </c>
      <c r="D73" s="1300" t="s">
        <v>11652</v>
      </c>
      <c r="E73" s="1272">
        <v>539000.0</v>
      </c>
      <c r="F73" s="1272">
        <f t="shared" ref="F73:F231" si="32">E73*1.11</f>
        <v>598290</v>
      </c>
      <c r="G73" s="1234">
        <f t="shared" ref="G73:G204" si="33">(F73*1.1)+15000</f>
        <v>673119</v>
      </c>
      <c r="H73" s="1301">
        <f>G73*3.52</f>
        <v>2369378.88</v>
      </c>
      <c r="I73" s="1301"/>
      <c r="J73" s="1272">
        <f>P73*80%</f>
        <v>2369378.88</v>
      </c>
      <c r="K73" s="1272">
        <f>G73*3.74</f>
        <v>2517465.06</v>
      </c>
      <c r="L73" s="1272">
        <f t="shared" ref="L73:L75" si="34">P73*85%</f>
        <v>2517465.06</v>
      </c>
      <c r="M73" s="1272">
        <f>G73*3.96</f>
        <v>2665551.24</v>
      </c>
      <c r="N73" s="1272">
        <f>P73*90%</f>
        <v>2665551.24</v>
      </c>
      <c r="O73" s="1272">
        <f>G73*4.4</f>
        <v>2961723.6</v>
      </c>
      <c r="P73" s="1301">
        <f>G73*4.4</f>
        <v>2961723.6</v>
      </c>
      <c r="Q73" s="1302"/>
      <c r="R73" s="1302"/>
      <c r="S73" s="1302">
        <v>800000.0</v>
      </c>
      <c r="T73" s="1301" t="s">
        <v>11653</v>
      </c>
      <c r="U73" s="1222"/>
      <c r="V73" s="1222"/>
      <c r="W73" s="1222"/>
      <c r="X73" s="1222"/>
      <c r="Y73" s="1222"/>
      <c r="Z73" s="1222"/>
      <c r="AA73" s="1222"/>
      <c r="AB73" s="1222"/>
      <c r="AC73" s="1222"/>
    </row>
    <row r="74" ht="15.75" customHeight="1">
      <c r="A74" s="1164"/>
      <c r="B74" s="1298" t="s">
        <v>11579</v>
      </c>
      <c r="C74" s="1298" t="s">
        <v>11654</v>
      </c>
      <c r="D74" s="1300" t="s">
        <v>11655</v>
      </c>
      <c r="E74" s="1272">
        <v>515000.0</v>
      </c>
      <c r="F74" s="1272">
        <f t="shared" si="32"/>
        <v>571650</v>
      </c>
      <c r="G74" s="1234">
        <f t="shared" si="33"/>
        <v>643815</v>
      </c>
      <c r="H74" s="1301">
        <f>G74*1.749</f>
        <v>1126032.435</v>
      </c>
      <c r="I74" s="1301"/>
      <c r="J74" s="1272">
        <f>P74*79.5%</f>
        <v>1126032.435</v>
      </c>
      <c r="K74" s="1272">
        <f t="shared" ref="K74:K75" si="35">G74*1.87</f>
        <v>1203934.05</v>
      </c>
      <c r="L74" s="1272">
        <f t="shared" si="34"/>
        <v>1203934.05</v>
      </c>
      <c r="M74" s="1272">
        <f>G74*1.923</f>
        <v>1238056.245</v>
      </c>
      <c r="N74" s="1272">
        <f>P74*87.45%</f>
        <v>1238635.679</v>
      </c>
      <c r="O74" s="1272">
        <f t="shared" ref="O74:O75" si="36">G74*2.2</f>
        <v>1416393</v>
      </c>
      <c r="P74" s="1301">
        <f t="shared" ref="P74:P75" si="37">G74*2.2</f>
        <v>1416393</v>
      </c>
      <c r="Q74" s="1302"/>
      <c r="R74" s="1302"/>
      <c r="S74" s="1302">
        <v>500000.0</v>
      </c>
      <c r="T74" s="1301" t="s">
        <v>11653</v>
      </c>
      <c r="U74" s="1222"/>
      <c r="V74" s="1222"/>
      <c r="W74" s="1222"/>
      <c r="X74" s="1222"/>
      <c r="Y74" s="1222"/>
      <c r="Z74" s="1222"/>
      <c r="AA74" s="1222"/>
      <c r="AB74" s="1222"/>
      <c r="AC74" s="1222"/>
    </row>
    <row r="75" ht="15.75" customHeight="1">
      <c r="A75" s="1164"/>
      <c r="B75" s="1303" t="s">
        <v>11579</v>
      </c>
      <c r="C75" s="1303" t="s">
        <v>11656</v>
      </c>
      <c r="D75" s="1304" t="s">
        <v>11657</v>
      </c>
      <c r="E75" s="1279">
        <v>526000.0</v>
      </c>
      <c r="F75" s="1272">
        <f t="shared" si="32"/>
        <v>583860</v>
      </c>
      <c r="G75" s="1234">
        <f t="shared" si="33"/>
        <v>657246</v>
      </c>
      <c r="H75" s="1301">
        <f>G75*1.551</f>
        <v>1019388.546</v>
      </c>
      <c r="I75" s="1301"/>
      <c r="J75" s="1272">
        <f>P75*70.5%</f>
        <v>1019388.546</v>
      </c>
      <c r="K75" s="1272">
        <f t="shared" si="35"/>
        <v>1229050.02</v>
      </c>
      <c r="L75" s="1272">
        <f t="shared" si="34"/>
        <v>1229050.02</v>
      </c>
      <c r="M75" s="1272">
        <f>G75*1.98</f>
        <v>1301347.08</v>
      </c>
      <c r="N75" s="1272">
        <f>P75*90%</f>
        <v>1301347.08</v>
      </c>
      <c r="O75" s="1272">
        <f t="shared" si="36"/>
        <v>1445941.2</v>
      </c>
      <c r="P75" s="1301">
        <f t="shared" si="37"/>
        <v>1445941.2</v>
      </c>
      <c r="Q75" s="1302"/>
      <c r="R75" s="1302"/>
      <c r="S75" s="1302" t="s">
        <v>10136</v>
      </c>
      <c r="T75" s="1301"/>
      <c r="U75" s="1222"/>
      <c r="V75" s="1222"/>
      <c r="W75" s="1222"/>
      <c r="X75" s="1222"/>
      <c r="Y75" s="1222"/>
      <c r="Z75" s="1222"/>
      <c r="AA75" s="1222"/>
      <c r="AB75" s="1222"/>
      <c r="AC75" s="1222"/>
    </row>
    <row r="76" ht="15.75" customHeight="1">
      <c r="A76" s="1164"/>
      <c r="B76" s="1298" t="s">
        <v>11579</v>
      </c>
      <c r="C76" s="1298" t="s">
        <v>11580</v>
      </c>
      <c r="D76" s="1300" t="s">
        <v>11658</v>
      </c>
      <c r="E76" s="1272">
        <v>603000.0</v>
      </c>
      <c r="F76" s="1272">
        <f t="shared" si="32"/>
        <v>669330</v>
      </c>
      <c r="G76" s="1234">
        <f t="shared" si="33"/>
        <v>751263</v>
      </c>
      <c r="H76" s="1305"/>
      <c r="I76" s="1305"/>
      <c r="J76" s="1305"/>
      <c r="K76" s="1305"/>
      <c r="L76" s="1305"/>
      <c r="M76" s="1305"/>
      <c r="N76" s="1305"/>
      <c r="O76" s="1305"/>
      <c r="P76" s="1305"/>
      <c r="Q76" s="1302"/>
      <c r="R76" s="1302"/>
      <c r="S76" s="1302" t="s">
        <v>10136</v>
      </c>
      <c r="T76" s="1301"/>
      <c r="U76" s="1222"/>
      <c r="V76" s="1222"/>
      <c r="W76" s="1222"/>
      <c r="X76" s="1222"/>
      <c r="Y76" s="1222"/>
      <c r="Z76" s="1222"/>
      <c r="AA76" s="1222"/>
      <c r="AB76" s="1222"/>
      <c r="AC76" s="1222"/>
    </row>
    <row r="77" ht="15.75" customHeight="1">
      <c r="A77" s="1164"/>
      <c r="B77" s="1298" t="s">
        <v>11579</v>
      </c>
      <c r="C77" s="1299" t="s">
        <v>11582</v>
      </c>
      <c r="D77" s="1300" t="s">
        <v>11659</v>
      </c>
      <c r="E77" s="1272">
        <v>662000.0</v>
      </c>
      <c r="F77" s="1272">
        <f t="shared" si="32"/>
        <v>734820</v>
      </c>
      <c r="G77" s="1234">
        <f t="shared" si="33"/>
        <v>823302</v>
      </c>
      <c r="H77" s="1305"/>
      <c r="I77" s="1305"/>
      <c r="J77" s="1305"/>
      <c r="K77" s="1305"/>
      <c r="L77" s="1305"/>
      <c r="M77" s="1305"/>
      <c r="N77" s="1305"/>
      <c r="O77" s="1305"/>
      <c r="P77" s="1305"/>
      <c r="Q77" s="1302"/>
      <c r="R77" s="1302"/>
      <c r="S77" s="1302">
        <v>1200000.0</v>
      </c>
      <c r="T77" s="1301" t="s">
        <v>11653</v>
      </c>
      <c r="U77" s="1222"/>
      <c r="V77" s="1222"/>
      <c r="W77" s="1222"/>
      <c r="X77" s="1222"/>
      <c r="Y77" s="1222"/>
      <c r="Z77" s="1222"/>
      <c r="AA77" s="1222"/>
      <c r="AB77" s="1222"/>
      <c r="AC77" s="1222"/>
    </row>
    <row r="78" ht="15.75" customHeight="1">
      <c r="A78" s="1164"/>
      <c r="B78" s="1298" t="s">
        <v>11587</v>
      </c>
      <c r="C78" s="1298" t="s">
        <v>11588</v>
      </c>
      <c r="D78" s="1300" t="s">
        <v>11660</v>
      </c>
      <c r="E78" s="1272">
        <v>431000.0</v>
      </c>
      <c r="F78" s="1272">
        <f t="shared" si="32"/>
        <v>478410</v>
      </c>
      <c r="G78" s="1234">
        <f t="shared" si="33"/>
        <v>541251</v>
      </c>
      <c r="H78" s="1305"/>
      <c r="I78" s="1305"/>
      <c r="J78" s="1305"/>
      <c r="K78" s="1305"/>
      <c r="L78" s="1305"/>
      <c r="M78" s="1305"/>
      <c r="N78" s="1305"/>
      <c r="O78" s="1305"/>
      <c r="P78" s="1305"/>
      <c r="Q78" s="1302"/>
      <c r="R78" s="1302"/>
      <c r="S78" s="1302" t="s">
        <v>10136</v>
      </c>
      <c r="T78" s="1301"/>
      <c r="U78" s="1222"/>
      <c r="V78" s="1222"/>
      <c r="W78" s="1222"/>
      <c r="X78" s="1222"/>
      <c r="Y78" s="1222"/>
      <c r="Z78" s="1222"/>
      <c r="AA78" s="1222"/>
      <c r="AB78" s="1222"/>
      <c r="AC78" s="1222"/>
    </row>
    <row r="79" ht="15.75" customHeight="1">
      <c r="A79" s="1164"/>
      <c r="B79" s="1298" t="s">
        <v>11661</v>
      </c>
      <c r="C79" s="1298" t="s">
        <v>11585</v>
      </c>
      <c r="D79" s="1300" t="s">
        <v>11662</v>
      </c>
      <c r="E79" s="1272">
        <v>589000.0</v>
      </c>
      <c r="F79" s="1272">
        <f t="shared" si="32"/>
        <v>653790</v>
      </c>
      <c r="G79" s="1234">
        <f t="shared" si="33"/>
        <v>734169</v>
      </c>
      <c r="H79" s="1305"/>
      <c r="I79" s="1305"/>
      <c r="J79" s="1305"/>
      <c r="K79" s="1305"/>
      <c r="L79" s="1305"/>
      <c r="M79" s="1305"/>
      <c r="N79" s="1305"/>
      <c r="O79" s="1305"/>
      <c r="P79" s="1305"/>
      <c r="Q79" s="1302"/>
      <c r="R79" s="1302"/>
      <c r="S79" s="1302" t="s">
        <v>10136</v>
      </c>
      <c r="T79" s="1301"/>
      <c r="U79" s="1222"/>
      <c r="V79" s="1222"/>
      <c r="W79" s="1222"/>
      <c r="X79" s="1222"/>
      <c r="Y79" s="1222"/>
      <c r="Z79" s="1222"/>
      <c r="AA79" s="1222"/>
      <c r="AB79" s="1222"/>
      <c r="AC79" s="1222"/>
    </row>
    <row r="80" ht="15.75" customHeight="1">
      <c r="A80" s="1164"/>
      <c r="B80" s="1298" t="s">
        <v>11584</v>
      </c>
      <c r="C80" s="1299" t="s">
        <v>11663</v>
      </c>
      <c r="D80" s="1300" t="s">
        <v>11664</v>
      </c>
      <c r="E80" s="1272">
        <v>541000.0</v>
      </c>
      <c r="F80" s="1272">
        <f t="shared" si="32"/>
        <v>600510</v>
      </c>
      <c r="G80" s="1234">
        <f t="shared" si="33"/>
        <v>675561</v>
      </c>
      <c r="H80" s="1301">
        <f>G80*1.92</f>
        <v>1297077.12</v>
      </c>
      <c r="I80" s="1301"/>
      <c r="J80" s="1272">
        <f>P80*80%</f>
        <v>1297077.12</v>
      </c>
      <c r="K80" s="1272">
        <f>G80*2.04</f>
        <v>1378144.44</v>
      </c>
      <c r="L80" s="1272">
        <f t="shared" ref="L80:L82" si="38">P80*85%</f>
        <v>1378144.44</v>
      </c>
      <c r="M80" s="1272">
        <f>G80*2.16</f>
        <v>1459211.76</v>
      </c>
      <c r="N80" s="1272">
        <f t="shared" ref="N80:N83" si="39">P80*90%</f>
        <v>1459211.76</v>
      </c>
      <c r="O80" s="1272">
        <f>G80*2.4</f>
        <v>1621346.4</v>
      </c>
      <c r="P80" s="1301">
        <f>G80*2.4</f>
        <v>1621346.4</v>
      </c>
      <c r="Q80" s="1302"/>
      <c r="R80" s="1302"/>
      <c r="S80" s="1302">
        <v>600000.0</v>
      </c>
      <c r="T80" s="1301" t="s">
        <v>11665</v>
      </c>
      <c r="U80" s="1222"/>
      <c r="V80" s="1222"/>
      <c r="W80" s="1222"/>
      <c r="X80" s="1222"/>
      <c r="Y80" s="1222"/>
      <c r="Z80" s="1222"/>
      <c r="AA80" s="1222"/>
      <c r="AB80" s="1222"/>
      <c r="AC80" s="1222"/>
    </row>
    <row r="81" ht="15.75" customHeight="1">
      <c r="A81" s="1164"/>
      <c r="B81" s="1298" t="s">
        <v>11584</v>
      </c>
      <c r="C81" s="1298" t="s">
        <v>11666</v>
      </c>
      <c r="D81" s="1300" t="s">
        <v>11667</v>
      </c>
      <c r="E81" s="1272">
        <v>525000.0</v>
      </c>
      <c r="F81" s="1272">
        <f t="shared" si="32"/>
        <v>582750</v>
      </c>
      <c r="G81" s="1234">
        <f t="shared" si="33"/>
        <v>656025</v>
      </c>
      <c r="H81" s="1301">
        <f>G81*1.44</f>
        <v>944676</v>
      </c>
      <c r="I81" s="1301"/>
      <c r="J81" s="1272">
        <f>P81*72%</f>
        <v>944676</v>
      </c>
      <c r="K81" s="1272">
        <f>G81*1.7</f>
        <v>1115242.5</v>
      </c>
      <c r="L81" s="1272">
        <f t="shared" si="38"/>
        <v>1115242.5</v>
      </c>
      <c r="M81" s="1276">
        <f>G81*1.8</f>
        <v>1180845</v>
      </c>
      <c r="N81" s="1272">
        <f t="shared" si="39"/>
        <v>1180845</v>
      </c>
      <c r="O81" s="1272">
        <f>G81*2</f>
        <v>1312050</v>
      </c>
      <c r="P81" s="1301">
        <f>G81*2</f>
        <v>1312050</v>
      </c>
      <c r="Q81" s="1302"/>
      <c r="R81" s="1302"/>
      <c r="S81" s="1302" t="s">
        <v>10136</v>
      </c>
      <c r="T81" s="1301"/>
      <c r="U81" s="1222"/>
      <c r="V81" s="1222"/>
      <c r="W81" s="1222"/>
      <c r="X81" s="1222"/>
      <c r="Y81" s="1222"/>
      <c r="Z81" s="1222"/>
      <c r="AA81" s="1222"/>
      <c r="AB81" s="1222"/>
      <c r="AC81" s="1222"/>
    </row>
    <row r="82" ht="15.75" customHeight="1">
      <c r="A82" s="1164"/>
      <c r="B82" s="1306" t="s">
        <v>112</v>
      </c>
      <c r="C82" s="1306" t="s">
        <v>11476</v>
      </c>
      <c r="D82" s="1307" t="s">
        <v>11668</v>
      </c>
      <c r="E82" s="1276">
        <v>465000.0</v>
      </c>
      <c r="F82" s="1272">
        <f t="shared" si="32"/>
        <v>516150</v>
      </c>
      <c r="G82" s="1234">
        <f t="shared" si="33"/>
        <v>582765</v>
      </c>
      <c r="H82" s="1308"/>
      <c r="I82" s="1308"/>
      <c r="J82" s="1309">
        <f>P82*80%</f>
        <v>0</v>
      </c>
      <c r="K82" s="1309"/>
      <c r="L82" s="1309">
        <f t="shared" si="38"/>
        <v>0</v>
      </c>
      <c r="M82" s="1309"/>
      <c r="N82" s="1309">
        <f t="shared" si="39"/>
        <v>0</v>
      </c>
      <c r="O82" s="1309"/>
      <c r="P82" s="1310"/>
      <c r="Q82" s="1311"/>
      <c r="R82" s="1311"/>
      <c r="S82" s="1311"/>
      <c r="T82" s="1310"/>
      <c r="U82" s="1222"/>
      <c r="V82" s="1222"/>
      <c r="W82" s="1222"/>
      <c r="X82" s="1222"/>
      <c r="Y82" s="1222"/>
      <c r="Z82" s="1222"/>
      <c r="AA82" s="1222"/>
      <c r="AB82" s="1222"/>
      <c r="AC82" s="1222"/>
    </row>
    <row r="83" ht="15.75" customHeight="1">
      <c r="A83" s="1164"/>
      <c r="B83" s="1303" t="s">
        <v>112</v>
      </c>
      <c r="C83" s="1303" t="s">
        <v>11669</v>
      </c>
      <c r="D83" s="1304" t="s">
        <v>11670</v>
      </c>
      <c r="E83" s="1272">
        <v>191000.0</v>
      </c>
      <c r="F83" s="1272">
        <f t="shared" si="32"/>
        <v>212010</v>
      </c>
      <c r="G83" s="1234">
        <f t="shared" si="33"/>
        <v>248211</v>
      </c>
      <c r="H83" s="1301">
        <f>G83*1.4</f>
        <v>347495.4</v>
      </c>
      <c r="I83" s="1301"/>
      <c r="J83" s="1272">
        <f>P83*70%</f>
        <v>347495.4</v>
      </c>
      <c r="K83" s="1272">
        <f t="shared" ref="K83:K84" si="40">G83*1.6</f>
        <v>397137.6</v>
      </c>
      <c r="L83" s="1272">
        <f t="shared" ref="L83:L84" si="41">P83*80%</f>
        <v>397137.6</v>
      </c>
      <c r="M83" s="1272">
        <f>G83*1.8</f>
        <v>446779.8</v>
      </c>
      <c r="N83" s="1272">
        <f t="shared" si="39"/>
        <v>446779.8</v>
      </c>
      <c r="O83" s="1272">
        <f t="shared" ref="O83:O86" si="42">G83*2</f>
        <v>496422</v>
      </c>
      <c r="P83" s="1301">
        <f t="shared" ref="P83:P86" si="43">G83*2</f>
        <v>496422</v>
      </c>
      <c r="Q83" s="1302"/>
      <c r="R83" s="1302"/>
      <c r="S83" s="1302">
        <v>350000.0</v>
      </c>
      <c r="T83" s="1301" t="s">
        <v>11671</v>
      </c>
      <c r="U83" s="1222"/>
      <c r="V83" s="1222"/>
      <c r="W83" s="1222"/>
      <c r="X83" s="1222"/>
      <c r="Y83" s="1222"/>
      <c r="Z83" s="1222"/>
      <c r="AA83" s="1222"/>
      <c r="AB83" s="1222"/>
      <c r="AC83" s="1222"/>
    </row>
    <row r="84" ht="15.75" customHeight="1">
      <c r="A84" s="1164"/>
      <c r="B84" s="1298" t="s">
        <v>112</v>
      </c>
      <c r="C84" s="1298" t="s">
        <v>11672</v>
      </c>
      <c r="D84" s="1300" t="s">
        <v>11673</v>
      </c>
      <c r="E84" s="1272">
        <v>665000.0</v>
      </c>
      <c r="F84" s="1272">
        <f t="shared" si="32"/>
        <v>738150</v>
      </c>
      <c r="G84" s="1234">
        <f t="shared" si="33"/>
        <v>826965</v>
      </c>
      <c r="H84" s="1312">
        <f>G84* 1.3</f>
        <v>1075054.5</v>
      </c>
      <c r="I84" s="1312"/>
      <c r="J84" s="1276">
        <f>P84*65%</f>
        <v>1075054.5</v>
      </c>
      <c r="K84" s="1276">
        <f t="shared" si="40"/>
        <v>1323144</v>
      </c>
      <c r="L84" s="1276">
        <f t="shared" si="41"/>
        <v>1323144</v>
      </c>
      <c r="M84" s="1276">
        <f>G84*1.7</f>
        <v>1405840.5</v>
      </c>
      <c r="N84" s="1272">
        <f>P84*85%</f>
        <v>1405840.5</v>
      </c>
      <c r="O84" s="1272">
        <f t="shared" si="42"/>
        <v>1653930</v>
      </c>
      <c r="P84" s="1301">
        <f t="shared" si="43"/>
        <v>1653930</v>
      </c>
      <c r="Q84" s="1302"/>
      <c r="R84" s="1302"/>
      <c r="S84" s="1302" t="s">
        <v>10136</v>
      </c>
      <c r="T84" s="1301"/>
      <c r="U84" s="1222"/>
      <c r="V84" s="1222"/>
      <c r="W84" s="1222"/>
      <c r="X84" s="1222"/>
      <c r="Y84" s="1222"/>
      <c r="Z84" s="1222"/>
      <c r="AA84" s="1222"/>
      <c r="AB84" s="1222"/>
      <c r="AC84" s="1222"/>
    </row>
    <row r="85" ht="15.75" customHeight="1">
      <c r="A85" s="1164"/>
      <c r="B85" s="1298" t="s">
        <v>112</v>
      </c>
      <c r="C85" s="1298" t="s">
        <v>11674</v>
      </c>
      <c r="D85" s="1300" t="s">
        <v>11675</v>
      </c>
      <c r="E85" s="1272">
        <v>506000.0</v>
      </c>
      <c r="F85" s="1272">
        <f t="shared" si="32"/>
        <v>561660</v>
      </c>
      <c r="G85" s="1234">
        <f t="shared" si="33"/>
        <v>632826</v>
      </c>
      <c r="H85" s="1301">
        <f t="shared" ref="H85:H86" si="44">G85*1.6</f>
        <v>1012521.6</v>
      </c>
      <c r="I85" s="1301"/>
      <c r="J85" s="1272">
        <f t="shared" ref="J85:J86" si="45">P85*80%</f>
        <v>1012521.6</v>
      </c>
      <c r="K85" s="1272">
        <f t="shared" ref="K85:K86" si="46">G85*1.7</f>
        <v>1075804.2</v>
      </c>
      <c r="L85" s="1272">
        <f t="shared" ref="L85:L86" si="47">P85*85%</f>
        <v>1075804.2</v>
      </c>
      <c r="M85" s="1272">
        <f>G85*1.8</f>
        <v>1139086.8</v>
      </c>
      <c r="N85" s="1272">
        <f>P85*90%</f>
        <v>1139086.8</v>
      </c>
      <c r="O85" s="1272">
        <f t="shared" si="42"/>
        <v>1265652</v>
      </c>
      <c r="P85" s="1301">
        <f t="shared" si="43"/>
        <v>1265652</v>
      </c>
      <c r="Q85" s="1302"/>
      <c r="R85" s="1302"/>
      <c r="S85" s="1302" t="s">
        <v>10136</v>
      </c>
      <c r="T85" s="1301"/>
      <c r="U85" s="1222"/>
      <c r="V85" s="1222"/>
      <c r="W85" s="1222"/>
      <c r="X85" s="1222"/>
      <c r="Y85" s="1222"/>
      <c r="Z85" s="1222"/>
      <c r="AA85" s="1222"/>
      <c r="AB85" s="1222"/>
      <c r="AC85" s="1222"/>
    </row>
    <row r="86" ht="15.75" customHeight="1">
      <c r="A86" s="1164"/>
      <c r="B86" s="1298" t="s">
        <v>112</v>
      </c>
      <c r="C86" s="1298" t="s">
        <v>11676</v>
      </c>
      <c r="D86" s="1300" t="s">
        <v>11677</v>
      </c>
      <c r="E86" s="1272">
        <v>457000.0</v>
      </c>
      <c r="F86" s="1272">
        <f t="shared" si="32"/>
        <v>507270</v>
      </c>
      <c r="G86" s="1234">
        <f t="shared" si="33"/>
        <v>572997</v>
      </c>
      <c r="H86" s="1301">
        <f t="shared" si="44"/>
        <v>916795.2</v>
      </c>
      <c r="I86" s="1301"/>
      <c r="J86" s="1272">
        <f t="shared" si="45"/>
        <v>916795.2</v>
      </c>
      <c r="K86" s="1272">
        <f t="shared" si="46"/>
        <v>974094.9</v>
      </c>
      <c r="L86" s="1272">
        <f t="shared" si="47"/>
        <v>974094.9</v>
      </c>
      <c r="M86" s="1272">
        <f>G86*1.79</f>
        <v>1025664.63</v>
      </c>
      <c r="N86" s="1272">
        <f>P86*89.5%</f>
        <v>1025664.63</v>
      </c>
      <c r="O86" s="1272">
        <f t="shared" si="42"/>
        <v>1145994</v>
      </c>
      <c r="P86" s="1301">
        <f t="shared" si="43"/>
        <v>1145994</v>
      </c>
      <c r="Q86" s="1302"/>
      <c r="R86" s="1302"/>
      <c r="S86" s="1302" t="s">
        <v>10136</v>
      </c>
      <c r="T86" s="1301"/>
      <c r="U86" s="1222"/>
      <c r="V86" s="1222"/>
      <c r="W86" s="1222"/>
      <c r="X86" s="1222"/>
      <c r="Y86" s="1222"/>
      <c r="Z86" s="1222"/>
      <c r="AA86" s="1222"/>
      <c r="AB86" s="1222"/>
      <c r="AC86" s="1222"/>
    </row>
    <row r="87" ht="15.75" customHeight="1">
      <c r="A87" s="1164"/>
      <c r="B87" s="1298" t="s">
        <v>11595</v>
      </c>
      <c r="C87" s="1299" t="s">
        <v>11596</v>
      </c>
      <c r="D87" s="1300" t="s">
        <v>11678</v>
      </c>
      <c r="E87" s="1272">
        <v>523000.0</v>
      </c>
      <c r="F87" s="1272">
        <f t="shared" si="32"/>
        <v>580530</v>
      </c>
      <c r="G87" s="1234">
        <f t="shared" si="33"/>
        <v>653583</v>
      </c>
      <c r="H87" s="1305"/>
      <c r="I87" s="1305"/>
      <c r="J87" s="1305"/>
      <c r="K87" s="1305"/>
      <c r="L87" s="1305"/>
      <c r="M87" s="1305"/>
      <c r="N87" s="1305"/>
      <c r="O87" s="1305"/>
      <c r="P87" s="1305"/>
      <c r="Q87" s="1302"/>
      <c r="R87" s="1302"/>
      <c r="S87" s="1302">
        <v>600000.0</v>
      </c>
      <c r="T87" s="1301" t="s">
        <v>11653</v>
      </c>
      <c r="U87" s="1222"/>
      <c r="V87" s="1222"/>
      <c r="W87" s="1222"/>
      <c r="X87" s="1222"/>
      <c r="Y87" s="1222"/>
      <c r="Z87" s="1222"/>
      <c r="AA87" s="1222"/>
      <c r="AB87" s="1222"/>
      <c r="AC87" s="1222"/>
    </row>
    <row r="88" ht="15.75" customHeight="1">
      <c r="A88" s="1164"/>
      <c r="B88" s="1298" t="s">
        <v>11595</v>
      </c>
      <c r="C88" s="1298" t="s">
        <v>11591</v>
      </c>
      <c r="D88" s="1300" t="s">
        <v>11679</v>
      </c>
      <c r="E88" s="1275">
        <v>492000.0</v>
      </c>
      <c r="F88" s="1272">
        <f t="shared" si="32"/>
        <v>546120</v>
      </c>
      <c r="G88" s="1234">
        <f t="shared" si="33"/>
        <v>615732</v>
      </c>
      <c r="H88" s="1305"/>
      <c r="I88" s="1305"/>
      <c r="J88" s="1305"/>
      <c r="K88" s="1305"/>
      <c r="L88" s="1305"/>
      <c r="M88" s="1305"/>
      <c r="N88" s="1305"/>
      <c r="O88" s="1305"/>
      <c r="P88" s="1305"/>
      <c r="Q88" s="1302"/>
      <c r="R88" s="1302"/>
      <c r="S88" s="1302" t="s">
        <v>10136</v>
      </c>
      <c r="T88" s="1301"/>
      <c r="U88" s="1222"/>
      <c r="V88" s="1222"/>
      <c r="W88" s="1222"/>
      <c r="X88" s="1222"/>
      <c r="Y88" s="1222"/>
      <c r="Z88" s="1222"/>
      <c r="AA88" s="1222"/>
      <c r="AB88" s="1222"/>
      <c r="AC88" s="1222"/>
    </row>
    <row r="89" ht="15.75" customHeight="1">
      <c r="A89" s="1164"/>
      <c r="B89" s="1298" t="s">
        <v>11595</v>
      </c>
      <c r="C89" s="1298" t="s">
        <v>11680</v>
      </c>
      <c r="D89" s="1300" t="s">
        <v>11681</v>
      </c>
      <c r="E89" s="1313">
        <v>541000.0</v>
      </c>
      <c r="F89" s="1272">
        <f t="shared" si="32"/>
        <v>600510</v>
      </c>
      <c r="G89" s="1234">
        <f t="shared" si="33"/>
        <v>675561</v>
      </c>
      <c r="H89" s="1301">
        <f>G89*1.72</f>
        <v>1161964.92</v>
      </c>
      <c r="I89" s="1301"/>
      <c r="J89" s="1272">
        <f>P89*80%</f>
        <v>1161964.92</v>
      </c>
      <c r="K89" s="1272">
        <f>G89*1.827</f>
        <v>1234249.947</v>
      </c>
      <c r="L89" s="1272">
        <f>P89*85%</f>
        <v>1234587.728</v>
      </c>
      <c r="M89" s="1272">
        <f>G89</f>
        <v>675561</v>
      </c>
      <c r="N89" s="1272">
        <f>P89*90%</f>
        <v>1307210.535</v>
      </c>
      <c r="O89" s="1272">
        <f>G89*2.15</f>
        <v>1452456.15</v>
      </c>
      <c r="P89" s="1301">
        <f>G89*2.15</f>
        <v>1452456.15</v>
      </c>
      <c r="Q89" s="1302"/>
      <c r="R89" s="1302"/>
      <c r="S89" s="1302" t="s">
        <v>10136</v>
      </c>
      <c r="T89" s="1301"/>
      <c r="U89" s="1222"/>
      <c r="V89" s="1222"/>
      <c r="W89" s="1222"/>
      <c r="X89" s="1222"/>
      <c r="Y89" s="1222"/>
      <c r="Z89" s="1222"/>
      <c r="AA89" s="1222"/>
      <c r="AB89" s="1222"/>
      <c r="AC89" s="1222"/>
    </row>
    <row r="90" ht="15.75" customHeight="1">
      <c r="A90" s="1164"/>
      <c r="B90" s="1298" t="s">
        <v>11590</v>
      </c>
      <c r="C90" s="1298" t="s">
        <v>11593</v>
      </c>
      <c r="D90" s="1300" t="s">
        <v>11682</v>
      </c>
      <c r="E90" s="1272">
        <v>603000.0</v>
      </c>
      <c r="F90" s="1272">
        <f t="shared" si="32"/>
        <v>669330</v>
      </c>
      <c r="G90" s="1234">
        <f t="shared" si="33"/>
        <v>751263</v>
      </c>
      <c r="H90" s="1305"/>
      <c r="I90" s="1305"/>
      <c r="J90" s="1305"/>
      <c r="K90" s="1305"/>
      <c r="L90" s="1305"/>
      <c r="M90" s="1305"/>
      <c r="N90" s="1305"/>
      <c r="O90" s="1305"/>
      <c r="P90" s="1305"/>
      <c r="Q90" s="1302"/>
      <c r="R90" s="1302"/>
      <c r="S90" s="1302" t="s">
        <v>10136</v>
      </c>
      <c r="T90" s="1301"/>
      <c r="U90" s="1222"/>
      <c r="V90" s="1222"/>
      <c r="W90" s="1222"/>
      <c r="X90" s="1222"/>
      <c r="Y90" s="1222"/>
      <c r="Z90" s="1222"/>
      <c r="AA90" s="1222"/>
      <c r="AB90" s="1222"/>
      <c r="AC90" s="1222"/>
    </row>
    <row r="91" ht="15.75" customHeight="1">
      <c r="A91" s="1164"/>
      <c r="B91" s="1298" t="s">
        <v>11590</v>
      </c>
      <c r="C91" s="1298" t="s">
        <v>11683</v>
      </c>
      <c r="D91" s="1300" t="s">
        <v>11684</v>
      </c>
      <c r="E91" s="1272">
        <v>467000.0</v>
      </c>
      <c r="F91" s="1272">
        <f t="shared" si="32"/>
        <v>518370</v>
      </c>
      <c r="G91" s="1234">
        <f t="shared" si="33"/>
        <v>585207</v>
      </c>
      <c r="H91" s="1301">
        <f>G91*1.728</f>
        <v>1011237.696</v>
      </c>
      <c r="I91" s="1301"/>
      <c r="J91" s="1272">
        <f>P91*72%</f>
        <v>1011237.696</v>
      </c>
      <c r="K91" s="1272">
        <f>G91*2.04</f>
        <v>1193822.28</v>
      </c>
      <c r="L91" s="1272">
        <f t="shared" ref="L91:L99" si="48">P91*85%</f>
        <v>1193822.28</v>
      </c>
      <c r="M91" s="1272">
        <f>G91*2.16</f>
        <v>1264047.12</v>
      </c>
      <c r="N91" s="1272">
        <f t="shared" ref="N91:N99" si="49">P91*90%</f>
        <v>1264047.12</v>
      </c>
      <c r="O91" s="1272">
        <f>G91*2.4</f>
        <v>1404496.8</v>
      </c>
      <c r="P91" s="1301">
        <f>G91*2.4</f>
        <v>1404496.8</v>
      </c>
      <c r="Q91" s="1302"/>
      <c r="R91" s="1302"/>
      <c r="S91" s="1302" t="s">
        <v>10136</v>
      </c>
      <c r="T91" s="1301"/>
      <c r="U91" s="1222"/>
      <c r="V91" s="1222"/>
      <c r="W91" s="1222"/>
      <c r="X91" s="1222"/>
      <c r="Y91" s="1222"/>
      <c r="Z91" s="1222"/>
      <c r="AA91" s="1222"/>
      <c r="AB91" s="1222"/>
      <c r="AC91" s="1222"/>
    </row>
    <row r="92" ht="15.75" customHeight="1">
      <c r="A92" s="1164"/>
      <c r="B92" s="1298" t="s">
        <v>11590</v>
      </c>
      <c r="C92" s="1299" t="s">
        <v>11685</v>
      </c>
      <c r="D92" s="1300" t="s">
        <v>11686</v>
      </c>
      <c r="E92" s="1272">
        <v>543000.0</v>
      </c>
      <c r="F92" s="1272">
        <f t="shared" si="32"/>
        <v>602730</v>
      </c>
      <c r="G92" s="1234">
        <f t="shared" si="33"/>
        <v>678003</v>
      </c>
      <c r="H92" s="1301">
        <f t="shared" ref="H92:H93" si="50">G92*2.4</f>
        <v>1627207.2</v>
      </c>
      <c r="I92" s="1301"/>
      <c r="J92" s="1272">
        <f t="shared" ref="J92:J99" si="51">P92*80%</f>
        <v>1627207.2</v>
      </c>
      <c r="K92" s="1272">
        <f t="shared" ref="K92:K93" si="52">G92*2.55</f>
        <v>1728907.65</v>
      </c>
      <c r="L92" s="1272">
        <f t="shared" si="48"/>
        <v>1728907.65</v>
      </c>
      <c r="M92" s="1272">
        <f t="shared" ref="M92:M93" si="53">G92*2.7</f>
        <v>1830608.1</v>
      </c>
      <c r="N92" s="1272">
        <f t="shared" si="49"/>
        <v>1830608.1</v>
      </c>
      <c r="O92" s="1272">
        <f t="shared" ref="O92:O93" si="54">G92*3</f>
        <v>2034009</v>
      </c>
      <c r="P92" s="1301">
        <f t="shared" ref="P92:P93" si="55">G92*3</f>
        <v>2034009</v>
      </c>
      <c r="Q92" s="1302"/>
      <c r="R92" s="1302"/>
      <c r="S92" s="1302">
        <v>600000.0</v>
      </c>
      <c r="T92" s="1301" t="s">
        <v>11653</v>
      </c>
      <c r="U92" s="1222"/>
      <c r="V92" s="1222"/>
      <c r="W92" s="1222"/>
      <c r="X92" s="1222"/>
      <c r="Y92" s="1222"/>
      <c r="Z92" s="1222"/>
      <c r="AA92" s="1222"/>
      <c r="AB92" s="1222"/>
      <c r="AC92" s="1222"/>
    </row>
    <row r="93" ht="15.75" customHeight="1">
      <c r="A93" s="1164"/>
      <c r="B93" s="1298" t="s">
        <v>11590</v>
      </c>
      <c r="C93" s="1299" t="s">
        <v>11687</v>
      </c>
      <c r="D93" s="1300" t="s">
        <v>11688</v>
      </c>
      <c r="E93" s="1272">
        <v>539000.0</v>
      </c>
      <c r="F93" s="1272">
        <f t="shared" si="32"/>
        <v>598290</v>
      </c>
      <c r="G93" s="1234">
        <f t="shared" si="33"/>
        <v>673119</v>
      </c>
      <c r="H93" s="1301">
        <f t="shared" si="50"/>
        <v>1615485.6</v>
      </c>
      <c r="I93" s="1301"/>
      <c r="J93" s="1272">
        <f t="shared" si="51"/>
        <v>1615485.6</v>
      </c>
      <c r="K93" s="1272">
        <f t="shared" si="52"/>
        <v>1716453.45</v>
      </c>
      <c r="L93" s="1272">
        <f t="shared" si="48"/>
        <v>1716453.45</v>
      </c>
      <c r="M93" s="1272">
        <f t="shared" si="53"/>
        <v>1817421.3</v>
      </c>
      <c r="N93" s="1272">
        <f t="shared" si="49"/>
        <v>1817421.3</v>
      </c>
      <c r="O93" s="1272">
        <f t="shared" si="54"/>
        <v>2019357</v>
      </c>
      <c r="P93" s="1301">
        <f t="shared" si="55"/>
        <v>2019357</v>
      </c>
      <c r="Q93" s="1302"/>
      <c r="R93" s="1302"/>
      <c r="S93" s="1302">
        <v>600000.0</v>
      </c>
      <c r="T93" s="1301" t="s">
        <v>11653</v>
      </c>
      <c r="U93" s="1222"/>
      <c r="V93" s="1222"/>
      <c r="W93" s="1222"/>
      <c r="X93" s="1222"/>
      <c r="Y93" s="1222"/>
      <c r="Z93" s="1222"/>
      <c r="AA93" s="1222"/>
      <c r="AB93" s="1222"/>
      <c r="AC93" s="1222"/>
    </row>
    <row r="94" ht="15.75" customHeight="1">
      <c r="A94" s="1164"/>
      <c r="B94" s="1306" t="s">
        <v>11551</v>
      </c>
      <c r="C94" s="1306" t="s">
        <v>11552</v>
      </c>
      <c r="D94" s="1307" t="s">
        <v>11689</v>
      </c>
      <c r="E94" s="1276">
        <v>913000.0</v>
      </c>
      <c r="F94" s="1272">
        <f t="shared" si="32"/>
        <v>1013430</v>
      </c>
      <c r="G94" s="1234">
        <f t="shared" si="33"/>
        <v>1129773</v>
      </c>
      <c r="H94" s="1308"/>
      <c r="I94" s="1308"/>
      <c r="J94" s="1309">
        <f t="shared" si="51"/>
        <v>0</v>
      </c>
      <c r="K94" s="1309"/>
      <c r="L94" s="1309">
        <f t="shared" si="48"/>
        <v>0</v>
      </c>
      <c r="M94" s="1309"/>
      <c r="N94" s="1309">
        <f t="shared" si="49"/>
        <v>0</v>
      </c>
      <c r="O94" s="1309"/>
      <c r="P94" s="1310"/>
      <c r="Q94" s="1311"/>
      <c r="R94" s="1311"/>
      <c r="S94" s="1311"/>
      <c r="T94" s="1310"/>
      <c r="U94" s="1222"/>
      <c r="V94" s="1222"/>
      <c r="W94" s="1222"/>
      <c r="X94" s="1222"/>
      <c r="Y94" s="1222"/>
      <c r="Z94" s="1222"/>
      <c r="AA94" s="1222"/>
      <c r="AB94" s="1222"/>
      <c r="AC94" s="1222"/>
    </row>
    <row r="95" ht="15.75" customHeight="1">
      <c r="A95" s="1164"/>
      <c r="B95" s="1314" t="s">
        <v>11551</v>
      </c>
      <c r="C95" s="1315" t="s">
        <v>11690</v>
      </c>
      <c r="D95" s="1316" t="s">
        <v>11691</v>
      </c>
      <c r="E95" s="1272">
        <v>179000.0</v>
      </c>
      <c r="F95" s="1272">
        <f t="shared" si="32"/>
        <v>198690</v>
      </c>
      <c r="G95" s="1234">
        <f t="shared" si="33"/>
        <v>233559</v>
      </c>
      <c r="H95" s="1301">
        <f>G95*1.8</f>
        <v>420406.2</v>
      </c>
      <c r="I95" s="1301"/>
      <c r="J95" s="1272">
        <f t="shared" si="51"/>
        <v>420406.2</v>
      </c>
      <c r="K95" s="1272">
        <f>G95*1.912</f>
        <v>446564.808</v>
      </c>
      <c r="L95" s="1272">
        <f t="shared" si="48"/>
        <v>446681.5875</v>
      </c>
      <c r="M95" s="1272">
        <f>G95*2.025</f>
        <v>472956.975</v>
      </c>
      <c r="N95" s="1272">
        <f t="shared" si="49"/>
        <v>472956.975</v>
      </c>
      <c r="O95" s="1272">
        <f>G95*2.25</f>
        <v>525507.75</v>
      </c>
      <c r="P95" s="1301">
        <f>G95*2.25</f>
        <v>525507.75</v>
      </c>
      <c r="Q95" s="1302"/>
      <c r="R95" s="1302"/>
      <c r="S95" s="1302" t="s">
        <v>10136</v>
      </c>
      <c r="T95" s="1301"/>
      <c r="U95" s="1222"/>
      <c r="V95" s="1222"/>
      <c r="W95" s="1222"/>
      <c r="X95" s="1222"/>
      <c r="Y95" s="1222"/>
      <c r="Z95" s="1222"/>
      <c r="AA95" s="1222"/>
      <c r="AB95" s="1222"/>
      <c r="AC95" s="1222"/>
    </row>
    <row r="96" ht="15.75" customHeight="1">
      <c r="A96" s="1164"/>
      <c r="B96" s="1306" t="s">
        <v>11551</v>
      </c>
      <c r="C96" s="1306" t="s">
        <v>11555</v>
      </c>
      <c r="D96" s="1307" t="s">
        <v>11692</v>
      </c>
      <c r="E96" s="1276">
        <v>450000.0</v>
      </c>
      <c r="F96" s="1272">
        <f t="shared" si="32"/>
        <v>499500</v>
      </c>
      <c r="G96" s="1234">
        <f t="shared" si="33"/>
        <v>564450</v>
      </c>
      <c r="H96" s="1308"/>
      <c r="I96" s="1308"/>
      <c r="J96" s="1309">
        <f t="shared" si="51"/>
        <v>0</v>
      </c>
      <c r="K96" s="1309"/>
      <c r="L96" s="1309">
        <f t="shared" si="48"/>
        <v>0</v>
      </c>
      <c r="M96" s="1309"/>
      <c r="N96" s="1309">
        <f t="shared" si="49"/>
        <v>0</v>
      </c>
      <c r="O96" s="1309"/>
      <c r="P96" s="1310"/>
      <c r="Q96" s="1311"/>
      <c r="R96" s="1311"/>
      <c r="S96" s="1311"/>
      <c r="T96" s="1310"/>
      <c r="U96" s="1222"/>
      <c r="V96" s="1222"/>
      <c r="W96" s="1222"/>
      <c r="X96" s="1222"/>
      <c r="Y96" s="1222"/>
      <c r="Z96" s="1222"/>
      <c r="AA96" s="1222"/>
      <c r="AB96" s="1222"/>
      <c r="AC96" s="1222"/>
    </row>
    <row r="97" ht="15.75" customHeight="1">
      <c r="A97" s="1164"/>
      <c r="B97" s="1298" t="s">
        <v>11495</v>
      </c>
      <c r="C97" s="1298" t="s">
        <v>11693</v>
      </c>
      <c r="D97" s="1300" t="s">
        <v>11694</v>
      </c>
      <c r="E97" s="1272">
        <v>623000.0</v>
      </c>
      <c r="F97" s="1272">
        <f t="shared" si="32"/>
        <v>691530</v>
      </c>
      <c r="G97" s="1234">
        <f t="shared" si="33"/>
        <v>775683</v>
      </c>
      <c r="H97" s="1301">
        <f>G97*1.6</f>
        <v>1241092.8</v>
      </c>
      <c r="I97" s="1301"/>
      <c r="J97" s="1272">
        <f t="shared" si="51"/>
        <v>1241092.8</v>
      </c>
      <c r="K97" s="1272">
        <f>G97*1.7</f>
        <v>1318661.1</v>
      </c>
      <c r="L97" s="1272">
        <f t="shared" si="48"/>
        <v>1318661.1</v>
      </c>
      <c r="M97" s="1272">
        <f>G97*1.8</f>
        <v>1396229.4</v>
      </c>
      <c r="N97" s="1272">
        <f t="shared" si="49"/>
        <v>1396229.4</v>
      </c>
      <c r="O97" s="1272">
        <f>G97*2</f>
        <v>1551366</v>
      </c>
      <c r="P97" s="1301">
        <f>G97*2</f>
        <v>1551366</v>
      </c>
      <c r="Q97" s="1302"/>
      <c r="R97" s="1302"/>
      <c r="S97" s="1302" t="s">
        <v>10136</v>
      </c>
      <c r="T97" s="1301"/>
      <c r="U97" s="1222"/>
      <c r="V97" s="1222"/>
      <c r="W97" s="1222"/>
      <c r="X97" s="1222"/>
      <c r="Y97" s="1222"/>
      <c r="Z97" s="1222"/>
      <c r="AA97" s="1222"/>
      <c r="AB97" s="1222"/>
      <c r="AC97" s="1222"/>
    </row>
    <row r="98" ht="15.75" customHeight="1">
      <c r="A98" s="1164"/>
      <c r="B98" s="1317" t="s">
        <v>11495</v>
      </c>
      <c r="C98" s="1306" t="s">
        <v>11496</v>
      </c>
      <c r="D98" s="1318" t="s">
        <v>11695</v>
      </c>
      <c r="E98" s="1276">
        <v>453000.0</v>
      </c>
      <c r="F98" s="1272">
        <f t="shared" si="32"/>
        <v>502830</v>
      </c>
      <c r="G98" s="1234">
        <f t="shared" si="33"/>
        <v>568113</v>
      </c>
      <c r="H98" s="1308"/>
      <c r="I98" s="1308"/>
      <c r="J98" s="1309">
        <f t="shared" si="51"/>
        <v>0</v>
      </c>
      <c r="K98" s="1309"/>
      <c r="L98" s="1309">
        <f t="shared" si="48"/>
        <v>0</v>
      </c>
      <c r="M98" s="1309"/>
      <c r="N98" s="1309">
        <f t="shared" si="49"/>
        <v>0</v>
      </c>
      <c r="O98" s="1309"/>
      <c r="P98" s="1310"/>
      <c r="Q98" s="1311"/>
      <c r="R98" s="1311"/>
      <c r="S98" s="1311"/>
      <c r="T98" s="1310"/>
      <c r="U98" s="1222"/>
      <c r="V98" s="1222"/>
      <c r="W98" s="1222"/>
      <c r="X98" s="1222"/>
      <c r="Y98" s="1222"/>
      <c r="Z98" s="1222"/>
      <c r="AA98" s="1222"/>
      <c r="AB98" s="1222"/>
      <c r="AC98" s="1222"/>
    </row>
    <row r="99" ht="15.75" customHeight="1">
      <c r="A99" s="1164"/>
      <c r="B99" s="1298" t="s">
        <v>11495</v>
      </c>
      <c r="C99" s="1298" t="s">
        <v>11696</v>
      </c>
      <c r="D99" s="1300" t="s">
        <v>11697</v>
      </c>
      <c r="E99" s="1279">
        <v>481000.0</v>
      </c>
      <c r="F99" s="1279">
        <f t="shared" si="32"/>
        <v>533910</v>
      </c>
      <c r="G99" s="1234">
        <f t="shared" si="33"/>
        <v>602301</v>
      </c>
      <c r="H99" s="1301">
        <f>G99*1.6</f>
        <v>963681.6</v>
      </c>
      <c r="I99" s="1301"/>
      <c r="J99" s="1272">
        <f t="shared" si="51"/>
        <v>963681.6</v>
      </c>
      <c r="K99" s="1272">
        <f>G99*1.7</f>
        <v>1023911.7</v>
      </c>
      <c r="L99" s="1272">
        <f t="shared" si="48"/>
        <v>1023911.7</v>
      </c>
      <c r="M99" s="1272">
        <f>G99*1.8</f>
        <v>1084141.8</v>
      </c>
      <c r="N99" s="1272">
        <f t="shared" si="49"/>
        <v>1084141.8</v>
      </c>
      <c r="O99" s="1272">
        <f>G99*2</f>
        <v>1204602</v>
      </c>
      <c r="P99" s="1301">
        <f>G99*2</f>
        <v>1204602</v>
      </c>
      <c r="Q99" s="1302"/>
      <c r="R99" s="1302"/>
      <c r="S99" s="1302" t="s">
        <v>10136</v>
      </c>
      <c r="T99" s="1301"/>
      <c r="U99" s="1222"/>
      <c r="V99" s="1222"/>
      <c r="W99" s="1222"/>
      <c r="X99" s="1222"/>
      <c r="Y99" s="1222"/>
      <c r="Z99" s="1222"/>
      <c r="AA99" s="1222"/>
      <c r="AB99" s="1222"/>
      <c r="AC99" s="1222"/>
    </row>
    <row r="100" ht="15.75" customHeight="1">
      <c r="A100" s="1164"/>
      <c r="B100" s="1298" t="s">
        <v>11495</v>
      </c>
      <c r="C100" s="1298" t="s">
        <v>11602</v>
      </c>
      <c r="D100" s="1300" t="s">
        <v>11603</v>
      </c>
      <c r="E100" s="1272">
        <v>546000.0</v>
      </c>
      <c r="F100" s="1272">
        <f t="shared" si="32"/>
        <v>606060</v>
      </c>
      <c r="G100" s="1234">
        <f t="shared" si="33"/>
        <v>681666</v>
      </c>
      <c r="H100" s="1305"/>
      <c r="I100" s="1305"/>
      <c r="J100" s="1305"/>
      <c r="K100" s="1305"/>
      <c r="L100" s="1305"/>
      <c r="M100" s="1305"/>
      <c r="N100" s="1305"/>
      <c r="O100" s="1305"/>
      <c r="P100" s="1305"/>
      <c r="Q100" s="1302"/>
      <c r="R100" s="1302"/>
      <c r="S100" s="1302" t="s">
        <v>10136</v>
      </c>
      <c r="T100" s="1301"/>
      <c r="U100" s="1222"/>
      <c r="V100" s="1222"/>
      <c r="W100" s="1222"/>
      <c r="X100" s="1222"/>
      <c r="Y100" s="1222"/>
      <c r="Z100" s="1222"/>
      <c r="AA100" s="1222"/>
      <c r="AB100" s="1222"/>
      <c r="AC100" s="1222"/>
    </row>
    <row r="101" ht="15.75" customHeight="1">
      <c r="A101" s="1164"/>
      <c r="B101" s="1298" t="s">
        <v>11495</v>
      </c>
      <c r="C101" s="1298" t="s">
        <v>11698</v>
      </c>
      <c r="D101" s="1300" t="s">
        <v>11699</v>
      </c>
      <c r="E101" s="1272">
        <v>496000.0</v>
      </c>
      <c r="F101" s="1272">
        <f t="shared" si="32"/>
        <v>550560</v>
      </c>
      <c r="G101" s="1234">
        <f t="shared" si="33"/>
        <v>620616</v>
      </c>
      <c r="H101" s="1301">
        <f>G101*2.1</f>
        <v>1303293.6</v>
      </c>
      <c r="I101" s="1301"/>
      <c r="J101" s="1272">
        <f>P101*70%</f>
        <v>1303293.6</v>
      </c>
      <c r="K101" s="1272">
        <f>G101*2.46</f>
        <v>1526715.36</v>
      </c>
      <c r="L101" s="1272">
        <f>P101*82%</f>
        <v>1526715.36</v>
      </c>
      <c r="M101" s="1272">
        <f>G101*2.7</f>
        <v>1675663.2</v>
      </c>
      <c r="N101" s="1272">
        <f t="shared" ref="N101:N104" si="56">P101*90%</f>
        <v>1675663.2</v>
      </c>
      <c r="O101" s="1272">
        <f>G101*3</f>
        <v>1861848</v>
      </c>
      <c r="P101" s="1301">
        <f>G101*3</f>
        <v>1861848</v>
      </c>
      <c r="Q101" s="1302"/>
      <c r="R101" s="1302"/>
      <c r="S101" s="1302" t="s">
        <v>10136</v>
      </c>
      <c r="T101" s="1301"/>
      <c r="U101" s="1222"/>
      <c r="V101" s="1222"/>
      <c r="W101" s="1222"/>
      <c r="X101" s="1222"/>
      <c r="Y101" s="1222"/>
      <c r="Z101" s="1222"/>
      <c r="AA101" s="1222"/>
      <c r="AB101" s="1222"/>
      <c r="AC101" s="1222"/>
    </row>
    <row r="102" ht="15.75" customHeight="1">
      <c r="A102" s="1164"/>
      <c r="B102" s="1298" t="s">
        <v>11495</v>
      </c>
      <c r="C102" s="1298" t="s">
        <v>11700</v>
      </c>
      <c r="D102" s="1300" t="s">
        <v>11701</v>
      </c>
      <c r="E102" s="1272">
        <v>535000.0</v>
      </c>
      <c r="F102" s="1272">
        <f t="shared" si="32"/>
        <v>593850</v>
      </c>
      <c r="G102" s="1234">
        <f t="shared" si="33"/>
        <v>668235</v>
      </c>
      <c r="H102" s="1301">
        <f>G102*1.5015</f>
        <v>1003354.853</v>
      </c>
      <c r="I102" s="1301"/>
      <c r="J102" s="1272">
        <f>P102*77%</f>
        <v>1003354.853</v>
      </c>
      <c r="K102" s="1272">
        <f>G102*1.657</f>
        <v>1107265.395</v>
      </c>
      <c r="L102" s="1272">
        <f t="shared" ref="L102:L104" si="57">P102*85%</f>
        <v>1107599.513</v>
      </c>
      <c r="M102" s="1272">
        <f>G102*1.755</f>
        <v>1172752.425</v>
      </c>
      <c r="N102" s="1272">
        <f t="shared" si="56"/>
        <v>1172752.425</v>
      </c>
      <c r="O102" s="1276">
        <f>G102*1.95</f>
        <v>1303058.25</v>
      </c>
      <c r="P102" s="1312">
        <f>G102*1.95</f>
        <v>1303058.25</v>
      </c>
      <c r="Q102" s="1302"/>
      <c r="R102" s="1302"/>
      <c r="S102" s="1302" t="s">
        <v>10136</v>
      </c>
      <c r="T102" s="1301"/>
      <c r="U102" s="1222"/>
      <c r="V102" s="1222"/>
      <c r="W102" s="1222"/>
      <c r="X102" s="1222"/>
      <c r="Y102" s="1222"/>
      <c r="Z102" s="1222"/>
      <c r="AA102" s="1222"/>
      <c r="AB102" s="1222"/>
      <c r="AC102" s="1222"/>
    </row>
    <row r="103" ht="15.75" customHeight="1">
      <c r="A103" s="1164"/>
      <c r="B103" s="1298" t="s">
        <v>11495</v>
      </c>
      <c r="C103" s="1298" t="s">
        <v>11702</v>
      </c>
      <c r="D103" s="1300" t="s">
        <v>11703</v>
      </c>
      <c r="E103" s="1272">
        <v>543000.0</v>
      </c>
      <c r="F103" s="1272">
        <f t="shared" si="32"/>
        <v>602730</v>
      </c>
      <c r="G103" s="1234">
        <f t="shared" si="33"/>
        <v>678003</v>
      </c>
      <c r="H103" s="1301">
        <f>G103*1.5</f>
        <v>1017004.5</v>
      </c>
      <c r="I103" s="1301"/>
      <c r="J103" s="1272">
        <f>P103*75%</f>
        <v>1017004.5</v>
      </c>
      <c r="K103" s="1272">
        <f>G103*1.7</f>
        <v>1152605.1</v>
      </c>
      <c r="L103" s="1272">
        <f t="shared" si="57"/>
        <v>1152605.1</v>
      </c>
      <c r="M103" s="1272">
        <f>G103*1.8</f>
        <v>1220405.4</v>
      </c>
      <c r="N103" s="1272">
        <f t="shared" si="56"/>
        <v>1220405.4</v>
      </c>
      <c r="O103" s="1272">
        <f>G103*2</f>
        <v>1356006</v>
      </c>
      <c r="P103" s="1301">
        <f>G103*2</f>
        <v>1356006</v>
      </c>
      <c r="Q103" s="1302"/>
      <c r="R103" s="1302"/>
      <c r="S103" s="1302" t="s">
        <v>10136</v>
      </c>
      <c r="T103" s="1301"/>
      <c r="U103" s="1222"/>
      <c r="V103" s="1222"/>
      <c r="W103" s="1222"/>
      <c r="X103" s="1222"/>
      <c r="Y103" s="1222"/>
      <c r="Z103" s="1222"/>
      <c r="AA103" s="1222"/>
      <c r="AB103" s="1222"/>
      <c r="AC103" s="1222"/>
    </row>
    <row r="104" ht="15.75" customHeight="1">
      <c r="A104" s="1164"/>
      <c r="B104" s="1298" t="s">
        <v>11495</v>
      </c>
      <c r="C104" s="1299" t="s">
        <v>11704</v>
      </c>
      <c r="D104" s="1300" t="s">
        <v>11705</v>
      </c>
      <c r="E104" s="1272">
        <v>527000.0</v>
      </c>
      <c r="F104" s="1272">
        <f t="shared" si="32"/>
        <v>584970</v>
      </c>
      <c r="G104" s="1234">
        <f t="shared" si="33"/>
        <v>658467</v>
      </c>
      <c r="H104" s="1301">
        <f>G104*3.6</f>
        <v>2370481.2</v>
      </c>
      <c r="I104" s="1301"/>
      <c r="J104" s="1272">
        <f>P104*80%</f>
        <v>2370481.2</v>
      </c>
      <c r="K104" s="1272">
        <f>G104*3.825</f>
        <v>2518636.275</v>
      </c>
      <c r="L104" s="1272">
        <f t="shared" si="57"/>
        <v>2518636.275</v>
      </c>
      <c r="M104" s="1272">
        <f>G104*4.05</f>
        <v>2666791.35</v>
      </c>
      <c r="N104" s="1272">
        <f t="shared" si="56"/>
        <v>2666791.35</v>
      </c>
      <c r="O104" s="1272">
        <f>G104*4.5</f>
        <v>2963101.5</v>
      </c>
      <c r="P104" s="1301">
        <f>G104*4.5</f>
        <v>2963101.5</v>
      </c>
      <c r="Q104" s="1302"/>
      <c r="R104" s="1302"/>
      <c r="S104" s="1302">
        <v>600000.0</v>
      </c>
      <c r="T104" s="1301" t="s">
        <v>11706</v>
      </c>
      <c r="U104" s="1222"/>
      <c r="V104" s="1222"/>
      <c r="W104" s="1222"/>
      <c r="X104" s="1222"/>
      <c r="Y104" s="1222"/>
      <c r="Z104" s="1222"/>
      <c r="AA104" s="1222"/>
      <c r="AB104" s="1222"/>
      <c r="AC104" s="1222"/>
    </row>
    <row r="105" ht="15.75" customHeight="1">
      <c r="A105" s="1164"/>
      <c r="B105" s="1303" t="s">
        <v>11495</v>
      </c>
      <c r="C105" s="1303" t="s">
        <v>11600</v>
      </c>
      <c r="D105" s="1304" t="s">
        <v>11707</v>
      </c>
      <c r="E105" s="1279">
        <v>612000.0</v>
      </c>
      <c r="F105" s="1272">
        <f t="shared" si="32"/>
        <v>679320</v>
      </c>
      <c r="G105" s="1234">
        <f t="shared" si="33"/>
        <v>762252</v>
      </c>
      <c r="H105" s="1305"/>
      <c r="I105" s="1305"/>
      <c r="J105" s="1305"/>
      <c r="K105" s="1305"/>
      <c r="L105" s="1305"/>
      <c r="M105" s="1305"/>
      <c r="N105" s="1305"/>
      <c r="O105" s="1305"/>
      <c r="P105" s="1305"/>
      <c r="Q105" s="1302"/>
      <c r="R105" s="1302"/>
      <c r="S105" s="1302" t="s">
        <v>10136</v>
      </c>
      <c r="T105" s="1301"/>
      <c r="U105" s="1222"/>
      <c r="V105" s="1222"/>
      <c r="W105" s="1222"/>
      <c r="X105" s="1222"/>
      <c r="Y105" s="1222"/>
      <c r="Z105" s="1222"/>
      <c r="AA105" s="1222"/>
      <c r="AB105" s="1222"/>
      <c r="AC105" s="1222"/>
    </row>
    <row r="106" ht="15.75" customHeight="1">
      <c r="A106" s="1164"/>
      <c r="B106" s="1298" t="s">
        <v>11495</v>
      </c>
      <c r="C106" s="1298" t="s">
        <v>11598</v>
      </c>
      <c r="D106" s="1300" t="s">
        <v>11708</v>
      </c>
      <c r="E106" s="1272">
        <v>595000.0</v>
      </c>
      <c r="F106" s="1272">
        <f t="shared" si="32"/>
        <v>660450</v>
      </c>
      <c r="G106" s="1234">
        <f t="shared" si="33"/>
        <v>741495</v>
      </c>
      <c r="H106" s="1305"/>
      <c r="I106" s="1305"/>
      <c r="J106" s="1305"/>
      <c r="K106" s="1305"/>
      <c r="L106" s="1305"/>
      <c r="M106" s="1305"/>
      <c r="N106" s="1305"/>
      <c r="O106" s="1305"/>
      <c r="P106" s="1305"/>
      <c r="Q106" s="1302"/>
      <c r="R106" s="1302"/>
      <c r="S106" s="1302" t="s">
        <v>10136</v>
      </c>
      <c r="T106" s="1301"/>
      <c r="U106" s="1222"/>
      <c r="V106" s="1222"/>
      <c r="W106" s="1222"/>
      <c r="X106" s="1222"/>
      <c r="Y106" s="1222"/>
      <c r="Z106" s="1222"/>
      <c r="AA106" s="1222"/>
      <c r="AB106" s="1222"/>
      <c r="AC106" s="1222"/>
    </row>
    <row r="107" ht="15.75" customHeight="1">
      <c r="A107" s="1164"/>
      <c r="B107" s="1298" t="s">
        <v>11495</v>
      </c>
      <c r="C107" s="1298" t="s">
        <v>11709</v>
      </c>
      <c r="D107" s="1300" t="s">
        <v>11710</v>
      </c>
      <c r="E107" s="1279">
        <v>824000.0</v>
      </c>
      <c r="F107" s="1279">
        <f t="shared" si="32"/>
        <v>914640</v>
      </c>
      <c r="G107" s="1234">
        <f t="shared" si="33"/>
        <v>1021104</v>
      </c>
      <c r="H107" s="1301">
        <f>G107* 1.35</f>
        <v>1378490.4</v>
      </c>
      <c r="I107" s="1301"/>
      <c r="J107" s="1272">
        <f>P107*75%</f>
        <v>1378490.4</v>
      </c>
      <c r="K107" s="1276">
        <f>G107*1.44</f>
        <v>1470389.76</v>
      </c>
      <c r="L107" s="1276">
        <f>P107*80%</f>
        <v>1470389.76</v>
      </c>
      <c r="M107" s="1276">
        <f>G107*1.485</f>
        <v>1516339.44</v>
      </c>
      <c r="N107" s="1276">
        <f>P107*82.5%</f>
        <v>1516339.44</v>
      </c>
      <c r="O107" s="1276">
        <f>G107*1.8</f>
        <v>1837987.2</v>
      </c>
      <c r="P107" s="1312">
        <f>G107*1.8</f>
        <v>1837987.2</v>
      </c>
      <c r="Q107" s="1302"/>
      <c r="R107" s="1302"/>
      <c r="S107" s="1302" t="s">
        <v>10136</v>
      </c>
      <c r="T107" s="1301"/>
      <c r="U107" s="1222"/>
      <c r="V107" s="1222"/>
      <c r="W107" s="1222"/>
      <c r="X107" s="1222"/>
      <c r="Y107" s="1222"/>
      <c r="Z107" s="1222"/>
      <c r="AA107" s="1222"/>
      <c r="AB107" s="1222"/>
      <c r="AC107" s="1222"/>
    </row>
    <row r="108" ht="15.75" customHeight="1">
      <c r="A108" s="1164"/>
      <c r="B108" s="1317" t="s">
        <v>11495</v>
      </c>
      <c r="C108" s="1306" t="s">
        <v>11711</v>
      </c>
      <c r="D108" s="1318" t="s">
        <v>11712</v>
      </c>
      <c r="E108" s="1319">
        <v>546000.0</v>
      </c>
      <c r="F108" s="1272">
        <f t="shared" si="32"/>
        <v>606060</v>
      </c>
      <c r="G108" s="1234">
        <f t="shared" si="33"/>
        <v>681666</v>
      </c>
      <c r="H108" s="1308"/>
      <c r="I108" s="1308"/>
      <c r="J108" s="1309">
        <f t="shared" ref="J108:J110" si="58">P108*80%</f>
        <v>0</v>
      </c>
      <c r="K108" s="1309"/>
      <c r="L108" s="1309">
        <f t="shared" ref="L108:L111" si="59">P108*85%</f>
        <v>0</v>
      </c>
      <c r="M108" s="1309"/>
      <c r="N108" s="1309">
        <f t="shared" ref="N108:N111" si="60">P108*90%</f>
        <v>0</v>
      </c>
      <c r="O108" s="1309"/>
      <c r="P108" s="1310"/>
      <c r="Q108" s="1311"/>
      <c r="R108" s="1311"/>
      <c r="S108" s="1311"/>
      <c r="T108" s="1310"/>
      <c r="U108" s="1222"/>
      <c r="V108" s="1222"/>
      <c r="W108" s="1222"/>
      <c r="X108" s="1222"/>
      <c r="Y108" s="1222"/>
      <c r="Z108" s="1222"/>
      <c r="AA108" s="1222"/>
      <c r="AB108" s="1222"/>
      <c r="AC108" s="1222"/>
    </row>
    <row r="109" ht="15.75" customHeight="1">
      <c r="A109" s="1164"/>
      <c r="B109" s="1317" t="s">
        <v>11495</v>
      </c>
      <c r="C109" s="1306" t="s">
        <v>11500</v>
      </c>
      <c r="D109" s="1318" t="s">
        <v>11713</v>
      </c>
      <c r="E109" s="1319">
        <v>627000.0</v>
      </c>
      <c r="F109" s="1272">
        <f t="shared" si="32"/>
        <v>695970</v>
      </c>
      <c r="G109" s="1234">
        <f t="shared" si="33"/>
        <v>780567</v>
      </c>
      <c r="H109" s="1308"/>
      <c r="I109" s="1308"/>
      <c r="J109" s="1309">
        <f t="shared" si="58"/>
        <v>0</v>
      </c>
      <c r="K109" s="1309"/>
      <c r="L109" s="1309">
        <f t="shared" si="59"/>
        <v>0</v>
      </c>
      <c r="M109" s="1309"/>
      <c r="N109" s="1309">
        <f t="shared" si="60"/>
        <v>0</v>
      </c>
      <c r="O109" s="1309"/>
      <c r="P109" s="1310"/>
      <c r="Q109" s="1311"/>
      <c r="R109" s="1311"/>
      <c r="S109" s="1311"/>
      <c r="T109" s="1310"/>
      <c r="U109" s="1222"/>
      <c r="V109" s="1222"/>
      <c r="W109" s="1222"/>
      <c r="X109" s="1222"/>
      <c r="Y109" s="1222"/>
      <c r="Z109" s="1222"/>
      <c r="AA109" s="1222"/>
      <c r="AB109" s="1222"/>
      <c r="AC109" s="1222"/>
    </row>
    <row r="110" ht="15.75" customHeight="1">
      <c r="A110" s="1164"/>
      <c r="B110" s="1317" t="s">
        <v>11495</v>
      </c>
      <c r="C110" s="1317" t="s">
        <v>11502</v>
      </c>
      <c r="D110" s="1318" t="s">
        <v>11714</v>
      </c>
      <c r="E110" s="1319">
        <v>549000.0</v>
      </c>
      <c r="F110" s="1272">
        <f t="shared" si="32"/>
        <v>609390</v>
      </c>
      <c r="G110" s="1234">
        <f t="shared" si="33"/>
        <v>685329</v>
      </c>
      <c r="H110" s="1308"/>
      <c r="I110" s="1308"/>
      <c r="J110" s="1309">
        <f t="shared" si="58"/>
        <v>0</v>
      </c>
      <c r="K110" s="1309"/>
      <c r="L110" s="1309">
        <f t="shared" si="59"/>
        <v>0</v>
      </c>
      <c r="M110" s="1309"/>
      <c r="N110" s="1309">
        <f t="shared" si="60"/>
        <v>0</v>
      </c>
      <c r="O110" s="1309"/>
      <c r="P110" s="1310"/>
      <c r="Q110" s="1311"/>
      <c r="R110" s="1311"/>
      <c r="S110" s="1311"/>
      <c r="T110" s="1310"/>
      <c r="U110" s="1222"/>
      <c r="V110" s="1222"/>
      <c r="W110" s="1222"/>
      <c r="X110" s="1222"/>
      <c r="Y110" s="1222"/>
      <c r="Z110" s="1222"/>
      <c r="AA110" s="1222"/>
      <c r="AB110" s="1222"/>
      <c r="AC110" s="1222"/>
    </row>
    <row r="111" ht="15.75" customHeight="1">
      <c r="A111" s="1164"/>
      <c r="B111" s="1298" t="s">
        <v>11604</v>
      </c>
      <c r="C111" s="1298" t="s">
        <v>11715</v>
      </c>
      <c r="D111" s="1300" t="s">
        <v>11716</v>
      </c>
      <c r="E111" s="1272">
        <v>567000.0</v>
      </c>
      <c r="F111" s="1272">
        <f t="shared" si="32"/>
        <v>629370</v>
      </c>
      <c r="G111" s="1234">
        <f t="shared" si="33"/>
        <v>707307</v>
      </c>
      <c r="H111" s="1301">
        <f>G111*1.44</f>
        <v>1018522.08</v>
      </c>
      <c r="I111" s="1301"/>
      <c r="J111" s="1272">
        <f>P111*72%</f>
        <v>1018522.08</v>
      </c>
      <c r="K111" s="1272">
        <f>G111*1.7</f>
        <v>1202421.9</v>
      </c>
      <c r="L111" s="1272">
        <f t="shared" si="59"/>
        <v>1202421.9</v>
      </c>
      <c r="M111" s="1272">
        <f>G111*1.8</f>
        <v>1273152.6</v>
      </c>
      <c r="N111" s="1272">
        <f t="shared" si="60"/>
        <v>1273152.6</v>
      </c>
      <c r="O111" s="1272">
        <f>G111*2</f>
        <v>1414614</v>
      </c>
      <c r="P111" s="1301">
        <f>G111*2</f>
        <v>1414614</v>
      </c>
      <c r="Q111" s="1302"/>
      <c r="R111" s="1302"/>
      <c r="S111" s="1302" t="s">
        <v>10136</v>
      </c>
      <c r="T111" s="1301"/>
      <c r="U111" s="1222"/>
      <c r="V111" s="1222"/>
      <c r="W111" s="1222"/>
      <c r="X111" s="1222"/>
      <c r="Y111" s="1222"/>
      <c r="Z111" s="1222"/>
      <c r="AA111" s="1222"/>
      <c r="AB111" s="1222"/>
      <c r="AC111" s="1222"/>
    </row>
    <row r="112" ht="15.75" customHeight="1">
      <c r="A112" s="1164"/>
      <c r="B112" s="1298" t="s">
        <v>11604</v>
      </c>
      <c r="C112" s="1298" t="s">
        <v>11605</v>
      </c>
      <c r="D112" s="1300" t="s">
        <v>11717</v>
      </c>
      <c r="E112" s="1272">
        <v>460000.0</v>
      </c>
      <c r="F112" s="1272">
        <f t="shared" si="32"/>
        <v>510600</v>
      </c>
      <c r="G112" s="1234">
        <f t="shared" si="33"/>
        <v>576660</v>
      </c>
      <c r="H112" s="1305"/>
      <c r="I112" s="1305"/>
      <c r="J112" s="1305"/>
      <c r="K112" s="1305"/>
      <c r="L112" s="1305"/>
      <c r="M112" s="1305"/>
      <c r="N112" s="1305"/>
      <c r="O112" s="1305"/>
      <c r="P112" s="1305"/>
      <c r="Q112" s="1302"/>
      <c r="R112" s="1302"/>
      <c r="S112" s="1302" t="s">
        <v>10136</v>
      </c>
      <c r="T112" s="1301"/>
      <c r="U112" s="1222"/>
      <c r="V112" s="1222"/>
      <c r="W112" s="1222"/>
      <c r="X112" s="1222"/>
      <c r="Y112" s="1222"/>
      <c r="Z112" s="1222"/>
      <c r="AA112" s="1222"/>
      <c r="AB112" s="1222"/>
      <c r="AC112" s="1222"/>
    </row>
    <row r="113" ht="15.75" customHeight="1">
      <c r="A113" s="1164"/>
      <c r="B113" s="1298" t="s">
        <v>11604</v>
      </c>
      <c r="C113" s="1298" t="s">
        <v>11718</v>
      </c>
      <c r="D113" s="1300" t="s">
        <v>11719</v>
      </c>
      <c r="E113" s="1272">
        <v>624000.0</v>
      </c>
      <c r="F113" s="1272">
        <f t="shared" si="32"/>
        <v>692640</v>
      </c>
      <c r="G113" s="1234">
        <f t="shared" si="33"/>
        <v>776904</v>
      </c>
      <c r="H113" s="1301">
        <f>G113*1.56</f>
        <v>1211970.24</v>
      </c>
      <c r="I113" s="1301"/>
      <c r="J113" s="1272">
        <f>P113*78%</f>
        <v>1211970.24</v>
      </c>
      <c r="K113" s="1272">
        <f>G113*1.7</f>
        <v>1320736.8</v>
      </c>
      <c r="L113" s="1272">
        <f t="shared" ref="L113:L119" si="61">P113*85%</f>
        <v>1320736.8</v>
      </c>
      <c r="M113" s="1272">
        <f>G113*1.8</f>
        <v>1398427.2</v>
      </c>
      <c r="N113" s="1272">
        <f t="shared" ref="N113:N119" si="62">P113*90%</f>
        <v>1398427.2</v>
      </c>
      <c r="O113" s="1272">
        <f>G113*2</f>
        <v>1553808</v>
      </c>
      <c r="P113" s="1301">
        <f>G113*2</f>
        <v>1553808</v>
      </c>
      <c r="Q113" s="1302"/>
      <c r="R113" s="1302"/>
      <c r="S113" s="1302" t="s">
        <v>10136</v>
      </c>
      <c r="T113" s="1301"/>
      <c r="U113" s="1222"/>
      <c r="V113" s="1222"/>
      <c r="W113" s="1222"/>
      <c r="X113" s="1222"/>
      <c r="Y113" s="1222"/>
      <c r="Z113" s="1222"/>
      <c r="AA113" s="1222"/>
      <c r="AB113" s="1222"/>
      <c r="AC113" s="1222"/>
    </row>
    <row r="114" ht="15.75" customHeight="1">
      <c r="A114" s="1164"/>
      <c r="B114" s="1298" t="s">
        <v>11604</v>
      </c>
      <c r="C114" s="1298" t="s">
        <v>11720</v>
      </c>
      <c r="D114" s="1300" t="s">
        <v>11721</v>
      </c>
      <c r="E114" s="1272">
        <v>504000.0</v>
      </c>
      <c r="F114" s="1272">
        <f t="shared" si="32"/>
        <v>559440</v>
      </c>
      <c r="G114" s="1234">
        <f t="shared" si="33"/>
        <v>630384</v>
      </c>
      <c r="H114" s="1301">
        <f>G114*1.62</f>
        <v>1021222.08</v>
      </c>
      <c r="I114" s="1301"/>
      <c r="J114" s="1272">
        <f>P114*79%</f>
        <v>1020906.888</v>
      </c>
      <c r="K114" s="1272">
        <f>G114*1.742</f>
        <v>1098128.928</v>
      </c>
      <c r="L114" s="1272">
        <f t="shared" si="61"/>
        <v>1098444.12</v>
      </c>
      <c r="M114" s="1272">
        <f>G114*1.845</f>
        <v>1163058.48</v>
      </c>
      <c r="N114" s="1272">
        <f t="shared" si="62"/>
        <v>1163058.48</v>
      </c>
      <c r="O114" s="1272">
        <f>G114*2.05</f>
        <v>1292287.2</v>
      </c>
      <c r="P114" s="1301">
        <f>G114*2.05</f>
        <v>1292287.2</v>
      </c>
      <c r="Q114" s="1302"/>
      <c r="R114" s="1302"/>
      <c r="S114" s="1302" t="s">
        <v>10136</v>
      </c>
      <c r="T114" s="1301"/>
      <c r="U114" s="1222"/>
      <c r="V114" s="1222"/>
      <c r="W114" s="1222"/>
      <c r="X114" s="1222"/>
      <c r="Y114" s="1222"/>
      <c r="Z114" s="1222"/>
      <c r="AA114" s="1222"/>
      <c r="AB114" s="1222"/>
      <c r="AC114" s="1222"/>
    </row>
    <row r="115" ht="15.75" customHeight="1">
      <c r="A115" s="1164"/>
      <c r="B115" s="1320" t="s">
        <v>11604</v>
      </c>
      <c r="C115" s="1321" t="s">
        <v>11722</v>
      </c>
      <c r="D115" s="1304" t="s">
        <v>11723</v>
      </c>
      <c r="E115" s="1272">
        <v>549000.0</v>
      </c>
      <c r="F115" s="1272">
        <f t="shared" si="32"/>
        <v>609390</v>
      </c>
      <c r="G115" s="1234">
        <f t="shared" si="33"/>
        <v>685329</v>
      </c>
      <c r="H115" s="1301">
        <f>G115*2.36</f>
        <v>1617376.44</v>
      </c>
      <c r="I115" s="1301"/>
      <c r="J115" s="1272">
        <f>P115*80%</f>
        <v>1617376.44</v>
      </c>
      <c r="K115" s="1272">
        <f>G115*2.507</f>
        <v>1718119.803</v>
      </c>
      <c r="L115" s="1272">
        <f t="shared" si="61"/>
        <v>1718462.468</v>
      </c>
      <c r="M115" s="1272">
        <f>G115*2.655</f>
        <v>1819548.495</v>
      </c>
      <c r="N115" s="1272">
        <f t="shared" si="62"/>
        <v>1819548.495</v>
      </c>
      <c r="O115" s="1272">
        <f>G115*2.95</f>
        <v>2021720.55</v>
      </c>
      <c r="P115" s="1301">
        <f>G115*2.95</f>
        <v>2021720.55</v>
      </c>
      <c r="Q115" s="1302"/>
      <c r="R115" s="1302"/>
      <c r="S115" s="1302">
        <v>600000.0</v>
      </c>
      <c r="T115" s="1301" t="s">
        <v>11665</v>
      </c>
      <c r="U115" s="1222"/>
      <c r="V115" s="1222"/>
      <c r="W115" s="1222"/>
      <c r="X115" s="1222"/>
      <c r="Y115" s="1222"/>
      <c r="Z115" s="1222"/>
      <c r="AA115" s="1222"/>
      <c r="AB115" s="1222"/>
      <c r="AC115" s="1222"/>
    </row>
    <row r="116" ht="15.75" customHeight="1">
      <c r="A116" s="1164"/>
      <c r="B116" s="1298" t="s">
        <v>11607</v>
      </c>
      <c r="C116" s="1298" t="s">
        <v>11724</v>
      </c>
      <c r="D116" s="1300" t="s">
        <v>11725</v>
      </c>
      <c r="E116" s="1272">
        <v>530000.0</v>
      </c>
      <c r="F116" s="1272">
        <f t="shared" si="32"/>
        <v>588300</v>
      </c>
      <c r="G116" s="1234">
        <f t="shared" si="33"/>
        <v>662130</v>
      </c>
      <c r="H116" s="1301">
        <f>G116*1.54</f>
        <v>1019680.2</v>
      </c>
      <c r="I116" s="1301"/>
      <c r="J116" s="1272">
        <f>P116*70%</f>
        <v>1019680.2</v>
      </c>
      <c r="K116" s="1272">
        <f>G116*1.87</f>
        <v>1238183.1</v>
      </c>
      <c r="L116" s="1272">
        <f t="shared" si="61"/>
        <v>1238183.1</v>
      </c>
      <c r="M116" s="1272">
        <f>G116*1.98</f>
        <v>1311017.4</v>
      </c>
      <c r="N116" s="1272">
        <f t="shared" si="62"/>
        <v>1311017.4</v>
      </c>
      <c r="O116" s="1272">
        <f>G116*2.2</f>
        <v>1456686</v>
      </c>
      <c r="P116" s="1301">
        <f>G116*2.2</f>
        <v>1456686</v>
      </c>
      <c r="Q116" s="1302"/>
      <c r="R116" s="1302"/>
      <c r="S116" s="1302" t="s">
        <v>10136</v>
      </c>
      <c r="T116" s="1301"/>
      <c r="U116" s="1222"/>
      <c r="V116" s="1222"/>
      <c r="W116" s="1222"/>
      <c r="X116" s="1222"/>
      <c r="Y116" s="1222"/>
      <c r="Z116" s="1222"/>
      <c r="AA116" s="1222"/>
      <c r="AB116" s="1222"/>
      <c r="AC116" s="1222"/>
    </row>
    <row r="117" ht="15.75" customHeight="1">
      <c r="A117" s="1164"/>
      <c r="B117" s="1298" t="s">
        <v>11607</v>
      </c>
      <c r="C117" s="1298" t="s">
        <v>11726</v>
      </c>
      <c r="D117" s="1300" t="s">
        <v>11727</v>
      </c>
      <c r="E117" s="1272">
        <v>506000.0</v>
      </c>
      <c r="F117" s="1272">
        <f t="shared" si="32"/>
        <v>561660</v>
      </c>
      <c r="G117" s="1234">
        <f t="shared" si="33"/>
        <v>632826</v>
      </c>
      <c r="H117" s="1301">
        <f>G117*1.4</f>
        <v>885956.4</v>
      </c>
      <c r="I117" s="1301"/>
      <c r="J117" s="1276">
        <f t="shared" ref="J117:J119" si="63">P117*80%</f>
        <v>885956.4</v>
      </c>
      <c r="K117" s="1276">
        <f>G117*1.4875</f>
        <v>941328.675</v>
      </c>
      <c r="L117" s="1276">
        <f t="shared" si="61"/>
        <v>941328.675</v>
      </c>
      <c r="M117" s="1276">
        <f>G117*1.575</f>
        <v>996700.95</v>
      </c>
      <c r="N117" s="1276">
        <f t="shared" si="62"/>
        <v>996700.95</v>
      </c>
      <c r="O117" s="1276">
        <f>G117*1.75</f>
        <v>1107445.5</v>
      </c>
      <c r="P117" s="1312">
        <f>G117*1.75</f>
        <v>1107445.5</v>
      </c>
      <c r="Q117" s="1302"/>
      <c r="R117" s="1302"/>
      <c r="S117" s="1302">
        <v>400000.0</v>
      </c>
      <c r="T117" s="1301" t="s">
        <v>11665</v>
      </c>
      <c r="U117" s="1222"/>
      <c r="V117" s="1222"/>
      <c r="W117" s="1222"/>
      <c r="X117" s="1222"/>
      <c r="Y117" s="1222"/>
      <c r="Z117" s="1222"/>
      <c r="AA117" s="1222"/>
      <c r="AB117" s="1222"/>
      <c r="AC117" s="1222"/>
    </row>
    <row r="118" ht="15.75" customHeight="1">
      <c r="A118" s="1164"/>
      <c r="B118" s="1322" t="s">
        <v>11607</v>
      </c>
      <c r="C118" s="1303" t="s">
        <v>11728</v>
      </c>
      <c r="D118" s="1304" t="s">
        <v>11729</v>
      </c>
      <c r="E118" s="1272">
        <v>585000.0</v>
      </c>
      <c r="F118" s="1272">
        <f t="shared" si="32"/>
        <v>649350</v>
      </c>
      <c r="G118" s="1234">
        <f t="shared" si="33"/>
        <v>729285</v>
      </c>
      <c r="H118" s="1301">
        <f>G118*1.24</f>
        <v>904313.4</v>
      </c>
      <c r="I118" s="1301"/>
      <c r="J118" s="1276">
        <f t="shared" si="63"/>
        <v>904313.4</v>
      </c>
      <c r="K118" s="1276">
        <f>G118*1.3175</f>
        <v>960832.9875</v>
      </c>
      <c r="L118" s="1276">
        <f t="shared" si="61"/>
        <v>960832.9875</v>
      </c>
      <c r="M118" s="1276">
        <f>G118*1.395</f>
        <v>1017352.575</v>
      </c>
      <c r="N118" s="1276">
        <f t="shared" si="62"/>
        <v>1017352.575</v>
      </c>
      <c r="O118" s="1276">
        <f>G118*1.55</f>
        <v>1130391.75</v>
      </c>
      <c r="P118" s="1312">
        <f>G118*1.55</f>
        <v>1130391.75</v>
      </c>
      <c r="Q118" s="1302"/>
      <c r="R118" s="1302"/>
      <c r="S118" s="1302">
        <v>600000.0</v>
      </c>
      <c r="T118" s="1301" t="s">
        <v>11653</v>
      </c>
      <c r="U118" s="1222"/>
      <c r="V118" s="1222"/>
      <c r="W118" s="1222"/>
      <c r="X118" s="1222"/>
      <c r="Y118" s="1222"/>
      <c r="Z118" s="1222"/>
      <c r="AA118" s="1222"/>
      <c r="AB118" s="1222"/>
      <c r="AC118" s="1222"/>
    </row>
    <row r="119" ht="15.75" customHeight="1">
      <c r="A119" s="1164"/>
      <c r="B119" s="1322" t="s">
        <v>11607</v>
      </c>
      <c r="C119" s="1321" t="s">
        <v>11730</v>
      </c>
      <c r="D119" s="1304" t="s">
        <v>11731</v>
      </c>
      <c r="E119" s="1272">
        <v>579000.0</v>
      </c>
      <c r="F119" s="1272">
        <f t="shared" si="32"/>
        <v>642690</v>
      </c>
      <c r="G119" s="1234">
        <f t="shared" si="33"/>
        <v>721959</v>
      </c>
      <c r="H119" s="1301">
        <f>G119*3.36</f>
        <v>2425782.24</v>
      </c>
      <c r="I119" s="1301"/>
      <c r="J119" s="1272">
        <f t="shared" si="63"/>
        <v>2425782.24</v>
      </c>
      <c r="K119" s="1272">
        <f>G119*3.57</f>
        <v>2577393.63</v>
      </c>
      <c r="L119" s="1272">
        <f t="shared" si="61"/>
        <v>2577393.63</v>
      </c>
      <c r="M119" s="1272">
        <f>G119*3.78</f>
        <v>2729005.02</v>
      </c>
      <c r="N119" s="1272">
        <f t="shared" si="62"/>
        <v>2729005.02</v>
      </c>
      <c r="O119" s="1272">
        <f>G119*4.2</f>
        <v>3032227.8</v>
      </c>
      <c r="P119" s="1301">
        <f>G119*4.2</f>
        <v>3032227.8</v>
      </c>
      <c r="Q119" s="1302"/>
      <c r="R119" s="1302"/>
      <c r="S119" s="1302">
        <v>600000.0</v>
      </c>
      <c r="T119" s="1301" t="s">
        <v>11653</v>
      </c>
      <c r="U119" s="1222"/>
      <c r="V119" s="1222"/>
      <c r="W119" s="1222"/>
      <c r="X119" s="1222"/>
      <c r="Y119" s="1222"/>
      <c r="Z119" s="1222"/>
      <c r="AA119" s="1222"/>
      <c r="AB119" s="1222"/>
      <c r="AC119" s="1222"/>
    </row>
    <row r="120" ht="15.75" customHeight="1">
      <c r="A120" s="1164"/>
      <c r="B120" s="1298" t="s">
        <v>11607</v>
      </c>
      <c r="C120" s="1298" t="s">
        <v>11608</v>
      </c>
      <c r="D120" s="1300" t="s">
        <v>11732</v>
      </c>
      <c r="E120" s="1272">
        <v>370000.0</v>
      </c>
      <c r="F120" s="1272">
        <f t="shared" si="32"/>
        <v>410700</v>
      </c>
      <c r="G120" s="1234">
        <f t="shared" si="33"/>
        <v>466770</v>
      </c>
      <c r="H120" s="1305"/>
      <c r="I120" s="1305"/>
      <c r="J120" s="1305"/>
      <c r="K120" s="1305"/>
      <c r="L120" s="1305"/>
      <c r="M120" s="1305"/>
      <c r="N120" s="1305"/>
      <c r="O120" s="1305"/>
      <c r="P120" s="1305"/>
      <c r="Q120" s="1302"/>
      <c r="R120" s="1302"/>
      <c r="S120" s="1302">
        <v>500000.0</v>
      </c>
      <c r="T120" s="1301" t="s">
        <v>11665</v>
      </c>
      <c r="U120" s="1222"/>
      <c r="V120" s="1222"/>
      <c r="W120" s="1222"/>
      <c r="X120" s="1222"/>
      <c r="Y120" s="1222"/>
      <c r="Z120" s="1222"/>
      <c r="AA120" s="1222"/>
      <c r="AB120" s="1222"/>
      <c r="AC120" s="1222"/>
    </row>
    <row r="121" ht="15.75" customHeight="1">
      <c r="A121" s="1164"/>
      <c r="B121" s="1298" t="s">
        <v>11607</v>
      </c>
      <c r="C121" s="1298" t="s">
        <v>11733</v>
      </c>
      <c r="D121" s="1300" t="s">
        <v>11734</v>
      </c>
      <c r="E121" s="1272">
        <v>582000.0</v>
      </c>
      <c r="F121" s="1272">
        <f t="shared" si="32"/>
        <v>646020</v>
      </c>
      <c r="G121" s="1234">
        <f t="shared" si="33"/>
        <v>725622</v>
      </c>
      <c r="H121" s="1301">
        <f>G121*1.24</f>
        <v>899771.28</v>
      </c>
      <c r="I121" s="1301"/>
      <c r="J121" s="1276">
        <f>P121*80%</f>
        <v>899771.28</v>
      </c>
      <c r="K121" s="1276">
        <f>G121*1.3175</f>
        <v>956006.985</v>
      </c>
      <c r="L121" s="1276">
        <f t="shared" ref="L121:L122" si="64">P121*85%</f>
        <v>956006.985</v>
      </c>
      <c r="M121" s="1276">
        <f>G121*1.395</f>
        <v>1012242.69</v>
      </c>
      <c r="N121" s="1276">
        <f>P121*90%</f>
        <v>1012242.69</v>
      </c>
      <c r="O121" s="1276">
        <f>G121*1.55</f>
        <v>1124714.1</v>
      </c>
      <c r="P121" s="1312">
        <f>G121*1.55</f>
        <v>1124714.1</v>
      </c>
      <c r="Q121" s="1302"/>
      <c r="R121" s="1302"/>
      <c r="S121" s="1302">
        <v>600000.0</v>
      </c>
      <c r="T121" s="1301" t="s">
        <v>11653</v>
      </c>
      <c r="U121" s="1222"/>
      <c r="V121" s="1222"/>
      <c r="W121" s="1222"/>
      <c r="X121" s="1222"/>
      <c r="Y121" s="1222"/>
      <c r="Z121" s="1222"/>
      <c r="AA121" s="1222"/>
      <c r="AB121" s="1222"/>
      <c r="AC121" s="1222"/>
    </row>
    <row r="122" ht="15.75" customHeight="1">
      <c r="A122" s="1164"/>
      <c r="B122" s="1298" t="s">
        <v>11610</v>
      </c>
      <c r="C122" s="1298" t="s">
        <v>11735</v>
      </c>
      <c r="D122" s="1300" t="s">
        <v>11736</v>
      </c>
      <c r="E122" s="1272">
        <v>389000.0</v>
      </c>
      <c r="F122" s="1272">
        <f t="shared" si="32"/>
        <v>431790</v>
      </c>
      <c r="G122" s="1234">
        <f t="shared" si="33"/>
        <v>489969</v>
      </c>
      <c r="H122" s="1301">
        <f>G122*2.1021</f>
        <v>1029963.835</v>
      </c>
      <c r="I122" s="1301"/>
      <c r="J122" s="1272">
        <f>P122*78%</f>
        <v>1029963.835</v>
      </c>
      <c r="K122" s="1272">
        <f>G122*2.291</f>
        <v>1122518.979</v>
      </c>
      <c r="L122" s="1272">
        <f t="shared" si="64"/>
        <v>1122396.487</v>
      </c>
      <c r="M122" s="1272">
        <f>G122*2.29</f>
        <v>1122029.01</v>
      </c>
      <c r="N122" s="1272">
        <f>P122*85%</f>
        <v>1122396.487</v>
      </c>
      <c r="O122" s="1272">
        <f>G122*2.695</f>
        <v>1320466.455</v>
      </c>
      <c r="P122" s="1301">
        <f>G122*2.695</f>
        <v>1320466.455</v>
      </c>
      <c r="Q122" s="1302"/>
      <c r="R122" s="1302"/>
      <c r="S122" s="1302" t="s">
        <v>10136</v>
      </c>
      <c r="T122" s="1301"/>
      <c r="U122" s="1222"/>
      <c r="V122" s="1222"/>
      <c r="W122" s="1222"/>
      <c r="X122" s="1222"/>
      <c r="Y122" s="1222"/>
      <c r="Z122" s="1222"/>
      <c r="AA122" s="1222"/>
      <c r="AB122" s="1222"/>
      <c r="AC122" s="1222"/>
    </row>
    <row r="123" ht="15.75" customHeight="1">
      <c r="A123" s="1164"/>
      <c r="B123" s="1298" t="s">
        <v>11610</v>
      </c>
      <c r="C123" s="1298" t="s">
        <v>11611</v>
      </c>
      <c r="D123" s="1300" t="s">
        <v>11737</v>
      </c>
      <c r="E123" s="1272">
        <v>553000.0</v>
      </c>
      <c r="F123" s="1272">
        <f t="shared" si="32"/>
        <v>613830</v>
      </c>
      <c r="G123" s="1234">
        <f t="shared" si="33"/>
        <v>690213</v>
      </c>
      <c r="H123" s="1305"/>
      <c r="I123" s="1305"/>
      <c r="J123" s="1305"/>
      <c r="K123" s="1305"/>
      <c r="L123" s="1305"/>
      <c r="M123" s="1305"/>
      <c r="N123" s="1305"/>
      <c r="O123" s="1305"/>
      <c r="P123" s="1305"/>
      <c r="Q123" s="1302"/>
      <c r="R123" s="1302"/>
      <c r="S123" s="1302" t="s">
        <v>10136</v>
      </c>
      <c r="T123" s="1301"/>
      <c r="U123" s="1222"/>
      <c r="V123" s="1222"/>
      <c r="W123" s="1222"/>
      <c r="X123" s="1222"/>
      <c r="Y123" s="1222"/>
      <c r="Z123" s="1222"/>
      <c r="AA123" s="1222"/>
      <c r="AB123" s="1222"/>
      <c r="AC123" s="1222"/>
    </row>
    <row r="124" ht="15.75" customHeight="1">
      <c r="A124" s="1164"/>
      <c r="B124" s="1298" t="s">
        <v>11613</v>
      </c>
      <c r="C124" s="1298" t="s">
        <v>11738</v>
      </c>
      <c r="D124" s="1300" t="s">
        <v>11739</v>
      </c>
      <c r="E124" s="1323">
        <v>879000.0</v>
      </c>
      <c r="F124" s="1272">
        <f t="shared" si="32"/>
        <v>975690</v>
      </c>
      <c r="G124" s="1234">
        <f t="shared" si="33"/>
        <v>1088259</v>
      </c>
      <c r="H124" s="1301">
        <f>G124* 1.46</f>
        <v>1588858.14</v>
      </c>
      <c r="I124" s="1301"/>
      <c r="J124" s="1272">
        <f>P124*67%</f>
        <v>1589511.095</v>
      </c>
      <c r="K124" s="1272">
        <f>G124*1.853</f>
        <v>2016543.927</v>
      </c>
      <c r="L124" s="1272">
        <f t="shared" ref="L124:L128" si="65">P124*85%</f>
        <v>2016543.927</v>
      </c>
      <c r="M124" s="1272">
        <f>G124*1.962</f>
        <v>2135164.158</v>
      </c>
      <c r="N124" s="1272">
        <f t="shared" ref="N124:N128" si="66">P124*90%</f>
        <v>2135164.158</v>
      </c>
      <c r="O124" s="1272">
        <f>G124*2.18</f>
        <v>2372404.62</v>
      </c>
      <c r="P124" s="1301">
        <f>G124*2.18</f>
        <v>2372404.62</v>
      </c>
      <c r="Q124" s="1302"/>
      <c r="R124" s="1302"/>
      <c r="S124" s="1302" t="s">
        <v>10136</v>
      </c>
      <c r="T124" s="1301"/>
      <c r="U124" s="1222"/>
      <c r="V124" s="1222"/>
      <c r="W124" s="1222"/>
      <c r="X124" s="1222"/>
      <c r="Y124" s="1222"/>
      <c r="Z124" s="1222"/>
      <c r="AA124" s="1222"/>
      <c r="AB124" s="1222"/>
      <c r="AC124" s="1222"/>
    </row>
    <row r="125" ht="15.75" customHeight="1">
      <c r="A125" s="1164"/>
      <c r="B125" s="1298" t="s">
        <v>11613</v>
      </c>
      <c r="C125" s="1298" t="s">
        <v>11740</v>
      </c>
      <c r="D125" s="1300" t="s">
        <v>11741</v>
      </c>
      <c r="E125" s="1323">
        <v>535000.0</v>
      </c>
      <c r="F125" s="1272">
        <f t="shared" si="32"/>
        <v>593850</v>
      </c>
      <c r="G125" s="1234">
        <f t="shared" si="33"/>
        <v>668235</v>
      </c>
      <c r="H125" s="1301">
        <f>G125*1.657</f>
        <v>1107265.395</v>
      </c>
      <c r="I125" s="1301"/>
      <c r="J125" s="1272">
        <f>P125*75%</f>
        <v>1107599.513</v>
      </c>
      <c r="K125" s="1272">
        <f>G125*1.878</f>
        <v>1254945.33</v>
      </c>
      <c r="L125" s="1272">
        <f t="shared" si="65"/>
        <v>1255279.448</v>
      </c>
      <c r="M125" s="1272">
        <f>G125*1.989</f>
        <v>1329119.415</v>
      </c>
      <c r="N125" s="1272">
        <f t="shared" si="66"/>
        <v>1329119.415</v>
      </c>
      <c r="O125" s="1272">
        <f>G125*2.21</f>
        <v>1476799.35</v>
      </c>
      <c r="P125" s="1301">
        <f>G125*2.21</f>
        <v>1476799.35</v>
      </c>
      <c r="Q125" s="1302"/>
      <c r="R125" s="1302"/>
      <c r="S125" s="1302" t="s">
        <v>10136</v>
      </c>
      <c r="T125" s="1301"/>
      <c r="U125" s="1222"/>
      <c r="V125" s="1222"/>
      <c r="W125" s="1222"/>
      <c r="X125" s="1222"/>
      <c r="Y125" s="1222"/>
      <c r="Z125" s="1222"/>
      <c r="AA125" s="1222"/>
      <c r="AB125" s="1222"/>
      <c r="AC125" s="1222"/>
    </row>
    <row r="126" ht="15.75" customHeight="1">
      <c r="A126" s="1164"/>
      <c r="B126" s="1298" t="s">
        <v>11613</v>
      </c>
      <c r="C126" s="1298" t="s">
        <v>11742</v>
      </c>
      <c r="D126" s="1300" t="s">
        <v>11743</v>
      </c>
      <c r="E126" s="1323">
        <v>767000.0</v>
      </c>
      <c r="F126" s="1272">
        <f t="shared" si="32"/>
        <v>851370</v>
      </c>
      <c r="G126" s="1234">
        <f t="shared" si="33"/>
        <v>951507</v>
      </c>
      <c r="H126" s="1301">
        <f>G126*1.36</f>
        <v>1294049.52</v>
      </c>
      <c r="I126" s="1301"/>
      <c r="J126" s="1276">
        <f t="shared" ref="J126:J127" si="67">P126*80%</f>
        <v>1294049.52</v>
      </c>
      <c r="K126" s="1276">
        <f>G126*1.445</f>
        <v>1374927.615</v>
      </c>
      <c r="L126" s="1276">
        <f t="shared" si="65"/>
        <v>1374927.615</v>
      </c>
      <c r="M126" s="1276">
        <f>G126*1.53</f>
        <v>1455805.71</v>
      </c>
      <c r="N126" s="1276">
        <f t="shared" si="66"/>
        <v>1455805.71</v>
      </c>
      <c r="O126" s="1276">
        <f>G126*1.7</f>
        <v>1617561.9</v>
      </c>
      <c r="P126" s="1312">
        <f>G126*1.7</f>
        <v>1617561.9</v>
      </c>
      <c r="Q126" s="1302"/>
      <c r="R126" s="1302"/>
      <c r="S126" s="1302" t="s">
        <v>10136</v>
      </c>
      <c r="T126" s="1301"/>
      <c r="U126" s="1222"/>
      <c r="V126" s="1222"/>
      <c r="W126" s="1222"/>
      <c r="X126" s="1222"/>
      <c r="Y126" s="1222"/>
      <c r="Z126" s="1222"/>
      <c r="AA126" s="1222"/>
      <c r="AB126" s="1222"/>
      <c r="AC126" s="1222"/>
    </row>
    <row r="127" ht="15.75" customHeight="1">
      <c r="A127" s="1164"/>
      <c r="B127" s="1298" t="s">
        <v>11613</v>
      </c>
      <c r="C127" s="1298" t="s">
        <v>11744</v>
      </c>
      <c r="D127" s="1300" t="s">
        <v>11745</v>
      </c>
      <c r="E127" s="1323">
        <v>805000.0</v>
      </c>
      <c r="F127" s="1272">
        <f t="shared" si="32"/>
        <v>893550</v>
      </c>
      <c r="G127" s="1234">
        <f t="shared" si="33"/>
        <v>997905</v>
      </c>
      <c r="H127" s="1301">
        <f>G127*1.296</f>
        <v>1293284.88</v>
      </c>
      <c r="I127" s="1301"/>
      <c r="J127" s="1276">
        <f t="shared" si="67"/>
        <v>1293284.88</v>
      </c>
      <c r="K127" s="1276">
        <f>G127*1.377</f>
        <v>1374115.185</v>
      </c>
      <c r="L127" s="1276">
        <f t="shared" si="65"/>
        <v>1374115.185</v>
      </c>
      <c r="M127" s="1276">
        <f>G127*1.458</f>
        <v>1454945.49</v>
      </c>
      <c r="N127" s="1276">
        <f t="shared" si="66"/>
        <v>1454945.49</v>
      </c>
      <c r="O127" s="1276">
        <f>G127*1.62</f>
        <v>1616606.1</v>
      </c>
      <c r="P127" s="1312">
        <f>G127*1.62</f>
        <v>1616606.1</v>
      </c>
      <c r="Q127" s="1302"/>
      <c r="R127" s="1302"/>
      <c r="S127" s="1302">
        <v>600000.0</v>
      </c>
      <c r="T127" s="1301" t="s">
        <v>11653</v>
      </c>
      <c r="U127" s="1222"/>
      <c r="V127" s="1222"/>
      <c r="W127" s="1222"/>
      <c r="X127" s="1222"/>
      <c r="Y127" s="1222"/>
      <c r="Z127" s="1222"/>
      <c r="AA127" s="1222"/>
      <c r="AB127" s="1222"/>
      <c r="AC127" s="1222"/>
    </row>
    <row r="128" ht="15.75" customHeight="1">
      <c r="A128" s="1164"/>
      <c r="B128" s="1298" t="s">
        <v>11613</v>
      </c>
      <c r="C128" s="1298" t="s">
        <v>11746</v>
      </c>
      <c r="D128" s="1300" t="s">
        <v>11747</v>
      </c>
      <c r="E128" s="1272">
        <v>624000.0</v>
      </c>
      <c r="F128" s="1272">
        <f t="shared" si="32"/>
        <v>692640</v>
      </c>
      <c r="G128" s="1234">
        <f t="shared" si="33"/>
        <v>776904</v>
      </c>
      <c r="H128" s="1301">
        <f>G128*1.4</f>
        <v>1087665.6</v>
      </c>
      <c r="I128" s="1301"/>
      <c r="J128" s="1272">
        <f>P128*70%</f>
        <v>1087665.6</v>
      </c>
      <c r="K128" s="1272">
        <f>G128*1.7</f>
        <v>1320736.8</v>
      </c>
      <c r="L128" s="1272">
        <f t="shared" si="65"/>
        <v>1320736.8</v>
      </c>
      <c r="M128" s="1272">
        <f>G128*1.8</f>
        <v>1398427.2</v>
      </c>
      <c r="N128" s="1272">
        <f t="shared" si="66"/>
        <v>1398427.2</v>
      </c>
      <c r="O128" s="1272">
        <f>G128*2</f>
        <v>1553808</v>
      </c>
      <c r="P128" s="1301">
        <f>G128*2</f>
        <v>1553808</v>
      </c>
      <c r="Q128" s="1302"/>
      <c r="R128" s="1302"/>
      <c r="S128" s="1302" t="s">
        <v>10136</v>
      </c>
      <c r="T128" s="1301"/>
      <c r="U128" s="1222"/>
      <c r="V128" s="1222"/>
      <c r="W128" s="1222"/>
      <c r="X128" s="1222"/>
      <c r="Y128" s="1222"/>
      <c r="Z128" s="1222"/>
      <c r="AA128" s="1222"/>
      <c r="AB128" s="1222"/>
      <c r="AC128" s="1222"/>
    </row>
    <row r="129" ht="15.75" customHeight="1">
      <c r="A129" s="1164"/>
      <c r="B129" s="1298" t="s">
        <v>11613</v>
      </c>
      <c r="C129" s="1298" t="s">
        <v>11614</v>
      </c>
      <c r="D129" s="1300" t="s">
        <v>11748</v>
      </c>
      <c r="E129" s="1272">
        <v>501000.0</v>
      </c>
      <c r="F129" s="1272">
        <f t="shared" si="32"/>
        <v>556110</v>
      </c>
      <c r="G129" s="1234">
        <f t="shared" si="33"/>
        <v>626721</v>
      </c>
      <c r="H129" s="1305"/>
      <c r="I129" s="1305"/>
      <c r="J129" s="1305"/>
      <c r="K129" s="1305"/>
      <c r="L129" s="1305"/>
      <c r="M129" s="1305"/>
      <c r="N129" s="1305"/>
      <c r="O129" s="1305"/>
      <c r="P129" s="1305"/>
      <c r="Q129" s="1302"/>
      <c r="R129" s="1302"/>
      <c r="S129" s="1302" t="s">
        <v>10136</v>
      </c>
      <c r="T129" s="1301"/>
      <c r="U129" s="1222"/>
      <c r="V129" s="1222"/>
      <c r="W129" s="1222"/>
      <c r="X129" s="1222"/>
      <c r="Y129" s="1222"/>
      <c r="Z129" s="1222"/>
      <c r="AA129" s="1222"/>
      <c r="AB129" s="1222"/>
      <c r="AC129" s="1222"/>
    </row>
    <row r="130" ht="15.75" customHeight="1">
      <c r="A130" s="1164"/>
      <c r="B130" s="1298" t="s">
        <v>11613</v>
      </c>
      <c r="C130" s="1298" t="s">
        <v>11749</v>
      </c>
      <c r="D130" s="1300" t="s">
        <v>11750</v>
      </c>
      <c r="E130" s="1272">
        <v>819000.0</v>
      </c>
      <c r="F130" s="1272">
        <f t="shared" si="32"/>
        <v>909090</v>
      </c>
      <c r="G130" s="1234">
        <f t="shared" si="33"/>
        <v>1014999</v>
      </c>
      <c r="H130" s="1301">
        <f>G130*1.584</f>
        <v>1607758.416</v>
      </c>
      <c r="I130" s="1301"/>
      <c r="J130" s="1272">
        <f t="shared" ref="J130:J131" si="68">P130*80%</f>
        <v>1607758.416</v>
      </c>
      <c r="K130" s="1272">
        <f>G130*1.683</f>
        <v>1708243.317</v>
      </c>
      <c r="L130" s="1272">
        <f t="shared" ref="L130:L138" si="69">P130*85%</f>
        <v>1708243.317</v>
      </c>
      <c r="M130" s="1272">
        <f>G130*1.782</f>
        <v>1808728.218</v>
      </c>
      <c r="N130" s="1272">
        <f t="shared" ref="N130:N132" si="70">P130*90%</f>
        <v>1808728.218</v>
      </c>
      <c r="O130" s="1272">
        <f>G130*1.98</f>
        <v>2009698.02</v>
      </c>
      <c r="P130" s="1301">
        <f>G130*1.98</f>
        <v>2009698.02</v>
      </c>
      <c r="Q130" s="1302"/>
      <c r="R130" s="1302"/>
      <c r="S130" s="1302" t="s">
        <v>10136</v>
      </c>
      <c r="T130" s="1301"/>
      <c r="U130" s="1222"/>
      <c r="V130" s="1222"/>
      <c r="W130" s="1222"/>
      <c r="X130" s="1222"/>
      <c r="Y130" s="1222"/>
      <c r="Z130" s="1222"/>
      <c r="AA130" s="1222"/>
      <c r="AB130" s="1222"/>
      <c r="AC130" s="1222"/>
    </row>
    <row r="131" ht="15.75" customHeight="1">
      <c r="A131" s="1164"/>
      <c r="B131" s="1298" t="s">
        <v>11613</v>
      </c>
      <c r="C131" s="1299" t="s">
        <v>11751</v>
      </c>
      <c r="D131" s="1300" t="s">
        <v>11752</v>
      </c>
      <c r="E131" s="1272">
        <v>460000.0</v>
      </c>
      <c r="F131" s="1272">
        <f t="shared" si="32"/>
        <v>510600</v>
      </c>
      <c r="G131" s="1234">
        <f t="shared" si="33"/>
        <v>576660</v>
      </c>
      <c r="H131" s="1301">
        <f>G131*3.2</f>
        <v>1845312</v>
      </c>
      <c r="I131" s="1301"/>
      <c r="J131" s="1272">
        <f t="shared" si="68"/>
        <v>1845312</v>
      </c>
      <c r="K131" s="1272">
        <f>G131*3.4</f>
        <v>1960644</v>
      </c>
      <c r="L131" s="1272">
        <f t="shared" si="69"/>
        <v>1960644</v>
      </c>
      <c r="M131" s="1272">
        <f>G131*3.6</f>
        <v>2075976</v>
      </c>
      <c r="N131" s="1272">
        <f t="shared" si="70"/>
        <v>2075976</v>
      </c>
      <c r="O131" s="1272">
        <f>G131*4</f>
        <v>2306640</v>
      </c>
      <c r="P131" s="1301">
        <f>G131*4</f>
        <v>2306640</v>
      </c>
      <c r="Q131" s="1302"/>
      <c r="R131" s="1302"/>
      <c r="S131" s="1302">
        <v>600000.0</v>
      </c>
      <c r="T131" s="1301" t="s">
        <v>11653</v>
      </c>
      <c r="U131" s="1222"/>
      <c r="V131" s="1222"/>
      <c r="W131" s="1222"/>
      <c r="X131" s="1222"/>
      <c r="Y131" s="1222"/>
      <c r="Z131" s="1222"/>
      <c r="AA131" s="1222"/>
      <c r="AB131" s="1222"/>
      <c r="AC131" s="1222"/>
    </row>
    <row r="132" ht="15.75" customHeight="1">
      <c r="A132" s="1164"/>
      <c r="B132" s="1298" t="s">
        <v>11613</v>
      </c>
      <c r="C132" s="1299" t="s">
        <v>11753</v>
      </c>
      <c r="D132" s="1300" t="s">
        <v>11754</v>
      </c>
      <c r="E132" s="1272">
        <v>642000.0</v>
      </c>
      <c r="F132" s="1272">
        <f t="shared" si="32"/>
        <v>712620</v>
      </c>
      <c r="G132" s="1234">
        <f t="shared" si="33"/>
        <v>798882</v>
      </c>
      <c r="H132" s="1301">
        <f>G132*2.45</f>
        <v>1957260.9</v>
      </c>
      <c r="I132" s="1301"/>
      <c r="J132" s="1272">
        <f>P132*70%</f>
        <v>1957260.9</v>
      </c>
      <c r="K132" s="1272">
        <f>G132*2.975</f>
        <v>2376673.95</v>
      </c>
      <c r="L132" s="1272">
        <f t="shared" si="69"/>
        <v>2376673.95</v>
      </c>
      <c r="M132" s="1272">
        <f>G132*3.15</f>
        <v>2516478.3</v>
      </c>
      <c r="N132" s="1272">
        <f t="shared" si="70"/>
        <v>2516478.3</v>
      </c>
      <c r="O132" s="1272">
        <f>G132*3.5</f>
        <v>2796087</v>
      </c>
      <c r="P132" s="1301">
        <f>G132*3.5</f>
        <v>2796087</v>
      </c>
      <c r="Q132" s="1302"/>
      <c r="R132" s="1302"/>
      <c r="S132" s="1302">
        <v>600000.0</v>
      </c>
      <c r="T132" s="1301" t="s">
        <v>11653</v>
      </c>
      <c r="U132" s="1222"/>
      <c r="V132" s="1222"/>
      <c r="W132" s="1222"/>
      <c r="X132" s="1222"/>
      <c r="Y132" s="1222"/>
      <c r="Z132" s="1222"/>
      <c r="AA132" s="1222"/>
      <c r="AB132" s="1222"/>
      <c r="AC132" s="1222"/>
    </row>
    <row r="133" ht="15.75" customHeight="1">
      <c r="A133" s="1164"/>
      <c r="B133" s="1298" t="s">
        <v>11613</v>
      </c>
      <c r="C133" s="1298" t="s">
        <v>11755</v>
      </c>
      <c r="D133" s="1300" t="s">
        <v>11756</v>
      </c>
      <c r="E133" s="1272">
        <v>669000.0</v>
      </c>
      <c r="F133" s="1272">
        <f t="shared" si="32"/>
        <v>742590</v>
      </c>
      <c r="G133" s="1234">
        <f t="shared" si="33"/>
        <v>831849</v>
      </c>
      <c r="H133" s="1301">
        <f>G133*1.58</f>
        <v>1314321.42</v>
      </c>
      <c r="I133" s="1301"/>
      <c r="J133" s="1272">
        <f>P133*79%</f>
        <v>1314321.42</v>
      </c>
      <c r="K133" s="1272">
        <f t="shared" ref="K133:K134" si="71">G133*1.7</f>
        <v>1414143.3</v>
      </c>
      <c r="L133" s="1272">
        <f t="shared" si="69"/>
        <v>1414143.3</v>
      </c>
      <c r="M133" s="1272">
        <f>G133*1.76</f>
        <v>1464054.24</v>
      </c>
      <c r="N133" s="1272">
        <f>P133*88%</f>
        <v>1464054.24</v>
      </c>
      <c r="O133" s="1272">
        <f t="shared" ref="O133:O134" si="72">G133*2</f>
        <v>1663698</v>
      </c>
      <c r="P133" s="1301">
        <f t="shared" ref="P133:P134" si="73">G133*2</f>
        <v>1663698</v>
      </c>
      <c r="Q133" s="1302"/>
      <c r="R133" s="1302"/>
      <c r="S133" s="1302" t="s">
        <v>10136</v>
      </c>
      <c r="T133" s="1301"/>
      <c r="U133" s="1222"/>
      <c r="V133" s="1222"/>
      <c r="W133" s="1222"/>
      <c r="X133" s="1222"/>
      <c r="Y133" s="1222"/>
      <c r="Z133" s="1222"/>
      <c r="AA133" s="1222"/>
      <c r="AB133" s="1222"/>
      <c r="AC133" s="1222"/>
    </row>
    <row r="134" ht="15.75" customHeight="1">
      <c r="A134" s="1164"/>
      <c r="B134" s="1298" t="s">
        <v>11613</v>
      </c>
      <c r="C134" s="1303" t="s">
        <v>11757</v>
      </c>
      <c r="D134" s="1300" t="s">
        <v>11758</v>
      </c>
      <c r="E134" s="1279">
        <v>490000.0</v>
      </c>
      <c r="F134" s="1272">
        <f t="shared" si="32"/>
        <v>543900</v>
      </c>
      <c r="G134" s="1234">
        <f t="shared" si="33"/>
        <v>613290</v>
      </c>
      <c r="H134" s="1301">
        <f>G134*1.6</f>
        <v>981264</v>
      </c>
      <c r="I134" s="1301"/>
      <c r="J134" s="1272">
        <f>P134*80%</f>
        <v>981264</v>
      </c>
      <c r="K134" s="1272">
        <f t="shared" si="71"/>
        <v>1042593</v>
      </c>
      <c r="L134" s="1272">
        <f t="shared" si="69"/>
        <v>1042593</v>
      </c>
      <c r="M134" s="1272">
        <f>G134*1.8</f>
        <v>1103922</v>
      </c>
      <c r="N134" s="1272">
        <f t="shared" ref="N134:N138" si="74">P134*90%</f>
        <v>1103922</v>
      </c>
      <c r="O134" s="1272">
        <f t="shared" si="72"/>
        <v>1226580</v>
      </c>
      <c r="P134" s="1301">
        <f t="shared" si="73"/>
        <v>1226580</v>
      </c>
      <c r="Q134" s="1302"/>
      <c r="R134" s="1302"/>
      <c r="S134" s="1302" t="s">
        <v>10136</v>
      </c>
      <c r="T134" s="1301"/>
      <c r="U134" s="1222"/>
      <c r="V134" s="1222"/>
      <c r="W134" s="1222"/>
      <c r="X134" s="1222"/>
      <c r="Y134" s="1222"/>
      <c r="Z134" s="1222"/>
      <c r="AA134" s="1222"/>
      <c r="AB134" s="1222"/>
      <c r="AC134" s="1222"/>
    </row>
    <row r="135" ht="15.75" customHeight="1">
      <c r="A135" s="1164"/>
      <c r="B135" s="1298" t="s">
        <v>11613</v>
      </c>
      <c r="C135" s="1298" t="s">
        <v>11759</v>
      </c>
      <c r="D135" s="1300" t="s">
        <v>11760</v>
      </c>
      <c r="E135" s="1272">
        <v>477000.0</v>
      </c>
      <c r="F135" s="1272">
        <f t="shared" si="32"/>
        <v>529470</v>
      </c>
      <c r="G135" s="1234">
        <f t="shared" si="33"/>
        <v>597417</v>
      </c>
      <c r="H135" s="1301">
        <f>G135*1.6985</f>
        <v>1014712.775</v>
      </c>
      <c r="I135" s="1301"/>
      <c r="J135" s="1272">
        <f>P135*79%</f>
        <v>1014712.775</v>
      </c>
      <c r="K135" s="1272">
        <f>G135*1.827</f>
        <v>1091480.859</v>
      </c>
      <c r="L135" s="1272">
        <f t="shared" si="69"/>
        <v>1091779.568</v>
      </c>
      <c r="M135" s="1272">
        <f>G135*1.935</f>
        <v>1156001.895</v>
      </c>
      <c r="N135" s="1272">
        <f t="shared" si="74"/>
        <v>1156001.895</v>
      </c>
      <c r="O135" s="1272">
        <f>G135*2.15</f>
        <v>1284446.55</v>
      </c>
      <c r="P135" s="1301">
        <f>G135*2.15</f>
        <v>1284446.55</v>
      </c>
      <c r="Q135" s="1302"/>
      <c r="R135" s="1302"/>
      <c r="S135" s="1302" t="s">
        <v>10136</v>
      </c>
      <c r="T135" s="1301"/>
      <c r="U135" s="1222"/>
      <c r="V135" s="1222"/>
      <c r="W135" s="1222"/>
      <c r="X135" s="1222"/>
      <c r="Y135" s="1222"/>
      <c r="Z135" s="1222"/>
      <c r="AA135" s="1222"/>
      <c r="AB135" s="1222"/>
      <c r="AC135" s="1222"/>
    </row>
    <row r="136" ht="15.75" customHeight="1">
      <c r="A136" s="1164"/>
      <c r="B136" s="1298" t="s">
        <v>11761</v>
      </c>
      <c r="C136" s="1299" t="s">
        <v>11762</v>
      </c>
      <c r="D136" s="1300" t="s">
        <v>11763</v>
      </c>
      <c r="E136" s="1272">
        <v>481000.0</v>
      </c>
      <c r="F136" s="1272">
        <f t="shared" si="32"/>
        <v>533910</v>
      </c>
      <c r="G136" s="1234">
        <f t="shared" si="33"/>
        <v>602301</v>
      </c>
      <c r="H136" s="1301">
        <f>G136*2.4</f>
        <v>1445522.4</v>
      </c>
      <c r="I136" s="1301"/>
      <c r="J136" s="1272">
        <f t="shared" ref="J136:J138" si="75">P136*80%</f>
        <v>1445522.4</v>
      </c>
      <c r="K136" s="1272">
        <f>G136*2.55</f>
        <v>1535867.55</v>
      </c>
      <c r="L136" s="1272">
        <f t="shared" si="69"/>
        <v>1535867.55</v>
      </c>
      <c r="M136" s="1272">
        <f>G136*2.7</f>
        <v>1626212.7</v>
      </c>
      <c r="N136" s="1272">
        <f t="shared" si="74"/>
        <v>1626212.7</v>
      </c>
      <c r="O136" s="1272">
        <f>G136*3</f>
        <v>1806903</v>
      </c>
      <c r="P136" s="1301">
        <f>G136*3</f>
        <v>1806903</v>
      </c>
      <c r="Q136" s="1302"/>
      <c r="R136" s="1302"/>
      <c r="S136" s="1302">
        <v>600000.0</v>
      </c>
      <c r="T136" s="1301" t="s">
        <v>11653</v>
      </c>
      <c r="U136" s="1222"/>
      <c r="V136" s="1222"/>
      <c r="W136" s="1222"/>
      <c r="X136" s="1222"/>
      <c r="Y136" s="1222"/>
      <c r="Z136" s="1222"/>
      <c r="AA136" s="1222"/>
      <c r="AB136" s="1222"/>
      <c r="AC136" s="1222"/>
    </row>
    <row r="137" ht="15.75" customHeight="1">
      <c r="A137" s="1164"/>
      <c r="B137" s="1298" t="s">
        <v>11761</v>
      </c>
      <c r="C137" s="1324" t="s">
        <v>11764</v>
      </c>
      <c r="D137" s="1300" t="s">
        <v>11765</v>
      </c>
      <c r="E137" s="1272">
        <v>422000.0</v>
      </c>
      <c r="F137" s="1272">
        <f t="shared" si="32"/>
        <v>468420</v>
      </c>
      <c r="G137" s="1234">
        <f t="shared" si="33"/>
        <v>530262</v>
      </c>
      <c r="H137" s="1301">
        <f>G137*3.6</f>
        <v>1908943.2</v>
      </c>
      <c r="I137" s="1301"/>
      <c r="J137" s="1272">
        <f t="shared" si="75"/>
        <v>1908943.2</v>
      </c>
      <c r="K137" s="1272">
        <f>G137*3.825</f>
        <v>2028252.15</v>
      </c>
      <c r="L137" s="1272">
        <f t="shared" si="69"/>
        <v>2028252.15</v>
      </c>
      <c r="M137" s="1272">
        <f>G137*4.05</f>
        <v>2147561.1</v>
      </c>
      <c r="N137" s="1272">
        <f t="shared" si="74"/>
        <v>2147561.1</v>
      </c>
      <c r="O137" s="1272">
        <f>G137*4.5</f>
        <v>2386179</v>
      </c>
      <c r="P137" s="1301">
        <f>G137*4.5</f>
        <v>2386179</v>
      </c>
      <c r="Q137" s="1302"/>
      <c r="R137" s="1302"/>
      <c r="S137" s="1302">
        <v>600000.0</v>
      </c>
      <c r="T137" s="1301" t="s">
        <v>11653</v>
      </c>
      <c r="U137" s="1222"/>
      <c r="V137" s="1222"/>
      <c r="W137" s="1222"/>
      <c r="X137" s="1222"/>
      <c r="Y137" s="1222"/>
      <c r="Z137" s="1222"/>
      <c r="AA137" s="1222"/>
      <c r="AB137" s="1222"/>
      <c r="AC137" s="1222"/>
    </row>
    <row r="138" ht="15.75" customHeight="1">
      <c r="A138" s="1164"/>
      <c r="B138" s="1298" t="s">
        <v>11761</v>
      </c>
      <c r="C138" s="1299" t="s">
        <v>11766</v>
      </c>
      <c r="D138" s="1325" t="s">
        <v>11767</v>
      </c>
      <c r="E138" s="1272">
        <v>483000.0</v>
      </c>
      <c r="F138" s="1272">
        <f t="shared" si="32"/>
        <v>536130</v>
      </c>
      <c r="G138" s="1234">
        <f t="shared" si="33"/>
        <v>604743</v>
      </c>
      <c r="H138" s="1301">
        <f>G138*3.2</f>
        <v>1935177.6</v>
      </c>
      <c r="I138" s="1301"/>
      <c r="J138" s="1272">
        <f t="shared" si="75"/>
        <v>1935177.6</v>
      </c>
      <c r="K138" s="1272">
        <f>G138*3.4</f>
        <v>2056126.2</v>
      </c>
      <c r="L138" s="1272">
        <f t="shared" si="69"/>
        <v>2056126.2</v>
      </c>
      <c r="M138" s="1272">
        <f>G138*3.6</f>
        <v>2177074.8</v>
      </c>
      <c r="N138" s="1272">
        <f t="shared" si="74"/>
        <v>2177074.8</v>
      </c>
      <c r="O138" s="1272">
        <f>G138*4</f>
        <v>2418972</v>
      </c>
      <c r="P138" s="1301">
        <f>G138*4</f>
        <v>2418972</v>
      </c>
      <c r="Q138" s="1302"/>
      <c r="R138" s="1302"/>
      <c r="S138" s="1302">
        <v>600000.0</v>
      </c>
      <c r="T138" s="1301" t="s">
        <v>11653</v>
      </c>
      <c r="U138" s="1222"/>
      <c r="V138" s="1222"/>
      <c r="W138" s="1222"/>
      <c r="X138" s="1222"/>
      <c r="Y138" s="1222"/>
      <c r="Z138" s="1222"/>
      <c r="AA138" s="1222"/>
      <c r="AB138" s="1222"/>
      <c r="AC138" s="1222"/>
    </row>
    <row r="139" ht="15.75" customHeight="1">
      <c r="A139" s="1164"/>
      <c r="B139" s="1298" t="s">
        <v>11616</v>
      </c>
      <c r="C139" s="1299" t="s">
        <v>11617</v>
      </c>
      <c r="D139" s="1300" t="s">
        <v>11768</v>
      </c>
      <c r="E139" s="1272">
        <v>487000.0</v>
      </c>
      <c r="F139" s="1272">
        <f t="shared" si="32"/>
        <v>540570</v>
      </c>
      <c r="G139" s="1234">
        <f t="shared" si="33"/>
        <v>609627</v>
      </c>
      <c r="H139" s="1305"/>
      <c r="I139" s="1305"/>
      <c r="J139" s="1305"/>
      <c r="K139" s="1305"/>
      <c r="L139" s="1305"/>
      <c r="M139" s="1305"/>
      <c r="N139" s="1305"/>
      <c r="O139" s="1305"/>
      <c r="P139" s="1305"/>
      <c r="Q139" s="1302"/>
      <c r="R139" s="1302"/>
      <c r="S139" s="1302" t="s">
        <v>10136</v>
      </c>
      <c r="T139" s="1301"/>
      <c r="U139" s="1222"/>
      <c r="V139" s="1222"/>
      <c r="W139" s="1222"/>
      <c r="X139" s="1222"/>
      <c r="Y139" s="1222"/>
      <c r="Z139" s="1222"/>
      <c r="AA139" s="1222"/>
      <c r="AB139" s="1222"/>
      <c r="AC139" s="1222"/>
    </row>
    <row r="140" ht="15.75" customHeight="1">
      <c r="A140" s="1164"/>
      <c r="B140" s="1298" t="s">
        <v>11616</v>
      </c>
      <c r="C140" s="1298" t="s">
        <v>11769</v>
      </c>
      <c r="D140" s="1300" t="s">
        <v>11770</v>
      </c>
      <c r="E140" s="1272">
        <v>918000.0</v>
      </c>
      <c r="F140" s="1272">
        <f t="shared" si="32"/>
        <v>1018980</v>
      </c>
      <c r="G140" s="1234">
        <f t="shared" si="33"/>
        <v>1135878</v>
      </c>
      <c r="H140" s="1301">
        <f>G140*2.135</f>
        <v>2425099.53</v>
      </c>
      <c r="I140" s="1301"/>
      <c r="J140" s="1272">
        <f t="shared" ref="J140:J141" si="76">P140*70%</f>
        <v>2425099.53</v>
      </c>
      <c r="K140" s="1272">
        <f>G140*2.44</f>
        <v>2771542.32</v>
      </c>
      <c r="L140" s="1272">
        <f>P140*80%</f>
        <v>2771542.32</v>
      </c>
      <c r="M140" s="1272">
        <f>G140*2.745</f>
        <v>3117985.11</v>
      </c>
      <c r="N140" s="1272">
        <f t="shared" ref="N140:N145" si="77">P140*90%</f>
        <v>3117985.11</v>
      </c>
      <c r="O140" s="1272">
        <f>G140*3.05</f>
        <v>3464427.9</v>
      </c>
      <c r="P140" s="1301">
        <f>G140*3.05</f>
        <v>3464427.9</v>
      </c>
      <c r="Q140" s="1302"/>
      <c r="R140" s="1302"/>
      <c r="S140" s="1302" t="s">
        <v>10136</v>
      </c>
      <c r="T140" s="1301"/>
      <c r="U140" s="1222"/>
      <c r="V140" s="1222"/>
      <c r="W140" s="1222"/>
      <c r="X140" s="1222"/>
      <c r="Y140" s="1222"/>
      <c r="Z140" s="1222"/>
      <c r="AA140" s="1222"/>
      <c r="AB140" s="1222"/>
      <c r="AC140" s="1222"/>
    </row>
    <row r="141" ht="15.75" customHeight="1">
      <c r="A141" s="1164"/>
      <c r="B141" s="1298" t="s">
        <v>11616</v>
      </c>
      <c r="C141" s="1298" t="s">
        <v>11771</v>
      </c>
      <c r="D141" s="1300" t="s">
        <v>11772</v>
      </c>
      <c r="E141" s="1323">
        <v>692000.0</v>
      </c>
      <c r="F141" s="1272">
        <f t="shared" si="32"/>
        <v>768120</v>
      </c>
      <c r="G141" s="1234">
        <f t="shared" si="33"/>
        <v>859932</v>
      </c>
      <c r="H141" s="1301">
        <f>G141*2.555</f>
        <v>2197126.26</v>
      </c>
      <c r="I141" s="1301"/>
      <c r="J141" s="1272">
        <f t="shared" si="76"/>
        <v>2197126.26</v>
      </c>
      <c r="K141" s="1272">
        <f>G141*3.102</f>
        <v>2667509.064</v>
      </c>
      <c r="L141" s="1272">
        <f t="shared" ref="L141:L145" si="78">P141*85%</f>
        <v>2667939.03</v>
      </c>
      <c r="M141" s="1272">
        <f>G141*3.285</f>
        <v>2824876.62</v>
      </c>
      <c r="N141" s="1272">
        <f t="shared" si="77"/>
        <v>2824876.62</v>
      </c>
      <c r="O141" s="1272">
        <f>G141*3.65</f>
        <v>3138751.8</v>
      </c>
      <c r="P141" s="1301">
        <f>G141*3.65</f>
        <v>3138751.8</v>
      </c>
      <c r="Q141" s="1302"/>
      <c r="R141" s="1302"/>
      <c r="S141" s="1302" t="s">
        <v>10136</v>
      </c>
      <c r="T141" s="1301"/>
      <c r="U141" s="1222"/>
      <c r="V141" s="1222"/>
      <c r="W141" s="1222"/>
      <c r="X141" s="1222"/>
      <c r="Y141" s="1222"/>
      <c r="Z141" s="1222"/>
      <c r="AA141" s="1222"/>
      <c r="AB141" s="1222"/>
      <c r="AC141" s="1222"/>
    </row>
    <row r="142" ht="15.75" customHeight="1">
      <c r="A142" s="1164"/>
      <c r="B142" s="1298" t="s">
        <v>11616</v>
      </c>
      <c r="C142" s="1299" t="s">
        <v>11773</v>
      </c>
      <c r="D142" s="1300" t="s">
        <v>11774</v>
      </c>
      <c r="E142" s="1323">
        <v>399000.0</v>
      </c>
      <c r="F142" s="1272">
        <f t="shared" si="32"/>
        <v>442890</v>
      </c>
      <c r="G142" s="1234">
        <f t="shared" si="33"/>
        <v>502179</v>
      </c>
      <c r="H142" s="1301">
        <f>G142*3.45</f>
        <v>1732517.55</v>
      </c>
      <c r="I142" s="1301"/>
      <c r="J142" s="1272">
        <f>P142*69%</f>
        <v>1732517.55</v>
      </c>
      <c r="K142" s="1272">
        <f>G142*4.25</f>
        <v>2134260.75</v>
      </c>
      <c r="L142" s="1272">
        <f t="shared" si="78"/>
        <v>2134260.75</v>
      </c>
      <c r="M142" s="1272">
        <f>G142*4.5</f>
        <v>2259805.5</v>
      </c>
      <c r="N142" s="1272">
        <f t="shared" si="77"/>
        <v>2259805.5</v>
      </c>
      <c r="O142" s="1272">
        <f>G142*5</f>
        <v>2510895</v>
      </c>
      <c r="P142" s="1301">
        <f>G142*5</f>
        <v>2510895</v>
      </c>
      <c r="Q142" s="1302"/>
      <c r="R142" s="1302"/>
      <c r="S142" s="1302">
        <v>600000.0</v>
      </c>
      <c r="T142" s="1301" t="s">
        <v>11775</v>
      </c>
      <c r="U142" s="1222"/>
      <c r="V142" s="1222"/>
      <c r="W142" s="1222"/>
      <c r="X142" s="1222"/>
      <c r="Y142" s="1222"/>
      <c r="Z142" s="1222"/>
      <c r="AA142" s="1222"/>
      <c r="AB142" s="1222"/>
      <c r="AC142" s="1222"/>
    </row>
    <row r="143" ht="15.75" customHeight="1">
      <c r="A143" s="1164"/>
      <c r="B143" s="1298" t="s">
        <v>11616</v>
      </c>
      <c r="C143" s="1298" t="s">
        <v>11776</v>
      </c>
      <c r="D143" s="1300" t="s">
        <v>11777</v>
      </c>
      <c r="E143" s="1323">
        <v>612000.0</v>
      </c>
      <c r="F143" s="1272">
        <f t="shared" si="32"/>
        <v>679320</v>
      </c>
      <c r="G143" s="1234">
        <f t="shared" si="33"/>
        <v>762252</v>
      </c>
      <c r="H143" s="1301">
        <f>G143*2.911</f>
        <v>2218915.572</v>
      </c>
      <c r="I143" s="1301"/>
      <c r="J143" s="1272">
        <f>P143*71%</f>
        <v>2218915.572</v>
      </c>
      <c r="K143" s="1272">
        <f>G143*3.485</f>
        <v>2656448.22</v>
      </c>
      <c r="L143" s="1272">
        <f t="shared" si="78"/>
        <v>2656448.22</v>
      </c>
      <c r="M143" s="1272">
        <f>G143*3.69</f>
        <v>2812709.88</v>
      </c>
      <c r="N143" s="1272">
        <f t="shared" si="77"/>
        <v>2812709.88</v>
      </c>
      <c r="O143" s="1272">
        <f>G143*4.1</f>
        <v>3125233.2</v>
      </c>
      <c r="P143" s="1301">
        <f>G143*4.1</f>
        <v>3125233.2</v>
      </c>
      <c r="Q143" s="1302"/>
      <c r="R143" s="1302"/>
      <c r="S143" s="1302" t="s">
        <v>10136</v>
      </c>
      <c r="T143" s="1301"/>
      <c r="U143" s="1222"/>
      <c r="V143" s="1222"/>
      <c r="W143" s="1222"/>
      <c r="X143" s="1222"/>
      <c r="Y143" s="1222"/>
      <c r="Z143" s="1222"/>
      <c r="AA143" s="1222"/>
      <c r="AB143" s="1222"/>
      <c r="AC143" s="1222"/>
    </row>
    <row r="144" ht="15.75" customHeight="1">
      <c r="A144" s="1164"/>
      <c r="B144" s="1298" t="s">
        <v>11504</v>
      </c>
      <c r="C144" s="1298" t="s">
        <v>11778</v>
      </c>
      <c r="D144" s="1300" t="s">
        <v>11779</v>
      </c>
      <c r="E144" s="1272">
        <v>478000.0</v>
      </c>
      <c r="F144" s="1272">
        <f t="shared" si="32"/>
        <v>530580</v>
      </c>
      <c r="G144" s="1234">
        <f t="shared" si="33"/>
        <v>598638</v>
      </c>
      <c r="H144" s="1301">
        <f>G144*1.5375</f>
        <v>920405.925</v>
      </c>
      <c r="I144" s="1301"/>
      <c r="J144" s="1272">
        <f>P144*75%</f>
        <v>920405.925</v>
      </c>
      <c r="K144" s="1272">
        <f>G144*1.742</f>
        <v>1042827.396</v>
      </c>
      <c r="L144" s="1272">
        <f t="shared" si="78"/>
        <v>1043126.715</v>
      </c>
      <c r="M144" s="1272">
        <f>G144*1.845</f>
        <v>1104487.11</v>
      </c>
      <c r="N144" s="1272">
        <f t="shared" si="77"/>
        <v>1104487.11</v>
      </c>
      <c r="O144" s="1272">
        <f>G144*2.05</f>
        <v>1227207.9</v>
      </c>
      <c r="P144" s="1301">
        <f>G144*2.05</f>
        <v>1227207.9</v>
      </c>
      <c r="Q144" s="1302"/>
      <c r="R144" s="1302"/>
      <c r="S144" s="1302" t="s">
        <v>10136</v>
      </c>
      <c r="T144" s="1301"/>
      <c r="U144" s="1222"/>
      <c r="V144" s="1222"/>
      <c r="W144" s="1222"/>
      <c r="X144" s="1222"/>
      <c r="Y144" s="1222"/>
      <c r="Z144" s="1222"/>
      <c r="AA144" s="1222"/>
      <c r="AB144" s="1222"/>
      <c r="AC144" s="1222"/>
    </row>
    <row r="145" ht="15.75" customHeight="1">
      <c r="A145" s="1164"/>
      <c r="B145" s="1298" t="s">
        <v>11504</v>
      </c>
      <c r="C145" s="1298" t="s">
        <v>11780</v>
      </c>
      <c r="D145" s="1300" t="s">
        <v>11781</v>
      </c>
      <c r="E145" s="1272">
        <v>508000.0</v>
      </c>
      <c r="F145" s="1272">
        <f t="shared" si="32"/>
        <v>563880</v>
      </c>
      <c r="G145" s="1234">
        <f t="shared" si="33"/>
        <v>635268</v>
      </c>
      <c r="H145" s="1301">
        <f>G145*1.596</f>
        <v>1013887.728</v>
      </c>
      <c r="I145" s="1301"/>
      <c r="J145" s="1272">
        <f>P145*76%</f>
        <v>1013887.728</v>
      </c>
      <c r="K145" s="1272">
        <f>G145*1.785</f>
        <v>1133953.38</v>
      </c>
      <c r="L145" s="1272">
        <f t="shared" si="78"/>
        <v>1133953.38</v>
      </c>
      <c r="M145" s="1272">
        <f>G145*1.89</f>
        <v>1200656.52</v>
      </c>
      <c r="N145" s="1272">
        <f t="shared" si="77"/>
        <v>1200656.52</v>
      </c>
      <c r="O145" s="1272">
        <f>G145*2.1</f>
        <v>1334062.8</v>
      </c>
      <c r="P145" s="1301">
        <f>G145*2.1</f>
        <v>1334062.8</v>
      </c>
      <c r="Q145" s="1302"/>
      <c r="R145" s="1302"/>
      <c r="S145" s="1302" t="s">
        <v>10136</v>
      </c>
      <c r="T145" s="1301"/>
      <c r="U145" s="1222"/>
      <c r="V145" s="1222"/>
      <c r="W145" s="1222"/>
      <c r="X145" s="1222"/>
      <c r="Y145" s="1222"/>
      <c r="Z145" s="1222"/>
      <c r="AA145" s="1222"/>
      <c r="AB145" s="1222"/>
      <c r="AC145" s="1222"/>
    </row>
    <row r="146" ht="15.75" customHeight="1">
      <c r="A146" s="1164"/>
      <c r="B146" s="1298" t="s">
        <v>11504</v>
      </c>
      <c r="C146" s="1303" t="s">
        <v>11619</v>
      </c>
      <c r="D146" s="1300" t="s">
        <v>11782</v>
      </c>
      <c r="E146" s="1279">
        <v>356000.0</v>
      </c>
      <c r="F146" s="1272">
        <f t="shared" si="32"/>
        <v>395160</v>
      </c>
      <c r="G146" s="1234">
        <f t="shared" si="33"/>
        <v>449676</v>
      </c>
      <c r="H146" s="1305"/>
      <c r="I146" s="1305"/>
      <c r="J146" s="1305"/>
      <c r="K146" s="1305"/>
      <c r="L146" s="1305"/>
      <c r="M146" s="1305"/>
      <c r="N146" s="1305"/>
      <c r="O146" s="1305"/>
      <c r="P146" s="1305"/>
      <c r="Q146" s="1302"/>
      <c r="R146" s="1302"/>
      <c r="S146" s="1302" t="s">
        <v>10136</v>
      </c>
      <c r="T146" s="1301"/>
      <c r="U146" s="1222"/>
      <c r="V146" s="1222"/>
      <c r="W146" s="1222"/>
      <c r="X146" s="1222"/>
      <c r="Y146" s="1222"/>
      <c r="Z146" s="1222"/>
      <c r="AA146" s="1222"/>
      <c r="AB146" s="1222"/>
      <c r="AC146" s="1222"/>
    </row>
    <row r="147" ht="15.75" customHeight="1">
      <c r="A147" s="1164"/>
      <c r="B147" s="1298" t="s">
        <v>11504</v>
      </c>
      <c r="C147" s="1298" t="s">
        <v>11783</v>
      </c>
      <c r="D147" s="1300" t="s">
        <v>11784</v>
      </c>
      <c r="E147" s="1272">
        <v>467000.0</v>
      </c>
      <c r="F147" s="1272">
        <f t="shared" si="32"/>
        <v>518370</v>
      </c>
      <c r="G147" s="1234">
        <f t="shared" si="33"/>
        <v>585207</v>
      </c>
      <c r="H147" s="1301">
        <f>G147*1.7925</f>
        <v>1048983.548</v>
      </c>
      <c r="I147" s="1301"/>
      <c r="J147" s="1272">
        <f>P147*75%</f>
        <v>1048983.548</v>
      </c>
      <c r="K147" s="1272">
        <f>G147*2.031</f>
        <v>1188555.417</v>
      </c>
      <c r="L147" s="1272">
        <f t="shared" ref="L147:L158" si="79">P147*85%</f>
        <v>1188848.021</v>
      </c>
      <c r="M147" s="1272">
        <f>G147*2.151</f>
        <v>1258780.257</v>
      </c>
      <c r="N147" s="1272">
        <f t="shared" ref="N147:N158" si="80">P147*90%</f>
        <v>1258780.257</v>
      </c>
      <c r="O147" s="1272">
        <f>G147*2.39</f>
        <v>1398644.73</v>
      </c>
      <c r="P147" s="1301">
        <f>G147*2.39</f>
        <v>1398644.73</v>
      </c>
      <c r="Q147" s="1302"/>
      <c r="R147" s="1302"/>
      <c r="S147" s="1302" t="s">
        <v>10136</v>
      </c>
      <c r="T147" s="1301"/>
      <c r="U147" s="1222"/>
      <c r="V147" s="1222"/>
      <c r="W147" s="1222"/>
      <c r="X147" s="1222"/>
      <c r="Y147" s="1222"/>
      <c r="Z147" s="1222"/>
      <c r="AA147" s="1222"/>
      <c r="AB147" s="1222"/>
      <c r="AC147" s="1222"/>
    </row>
    <row r="148" ht="15.75" customHeight="1">
      <c r="A148" s="1164"/>
      <c r="B148" s="1317" t="s">
        <v>11504</v>
      </c>
      <c r="C148" s="1306" t="s">
        <v>11785</v>
      </c>
      <c r="D148" s="1318" t="s">
        <v>11786</v>
      </c>
      <c r="E148" s="1276">
        <v>640000.0</v>
      </c>
      <c r="F148" s="1272">
        <f t="shared" si="32"/>
        <v>710400</v>
      </c>
      <c r="G148" s="1234">
        <f t="shared" si="33"/>
        <v>796440</v>
      </c>
      <c r="H148" s="1308"/>
      <c r="I148" s="1308"/>
      <c r="J148" s="1309">
        <f t="shared" ref="J148:J159" si="81">P148*80%</f>
        <v>0</v>
      </c>
      <c r="K148" s="1309"/>
      <c r="L148" s="1309">
        <f t="shared" si="79"/>
        <v>0</v>
      </c>
      <c r="M148" s="1309"/>
      <c r="N148" s="1309">
        <f t="shared" si="80"/>
        <v>0</v>
      </c>
      <c r="O148" s="1309"/>
      <c r="P148" s="1310"/>
      <c r="Q148" s="1311"/>
      <c r="R148" s="1311"/>
      <c r="S148" s="1311"/>
      <c r="T148" s="1310"/>
      <c r="U148" s="1222"/>
      <c r="V148" s="1222"/>
      <c r="W148" s="1222"/>
      <c r="X148" s="1222"/>
      <c r="Y148" s="1222"/>
      <c r="Z148" s="1222"/>
      <c r="AA148" s="1222"/>
      <c r="AB148" s="1222"/>
      <c r="AC148" s="1222"/>
    </row>
    <row r="149" ht="15.75" customHeight="1">
      <c r="A149" s="1164"/>
      <c r="B149" s="1317" t="s">
        <v>11504</v>
      </c>
      <c r="C149" s="1306" t="s">
        <v>11509</v>
      </c>
      <c r="D149" s="1318" t="s">
        <v>11787</v>
      </c>
      <c r="E149" s="1276">
        <v>572000.0</v>
      </c>
      <c r="F149" s="1272">
        <f t="shared" si="32"/>
        <v>634920</v>
      </c>
      <c r="G149" s="1234">
        <f t="shared" si="33"/>
        <v>713412</v>
      </c>
      <c r="H149" s="1308"/>
      <c r="I149" s="1308"/>
      <c r="J149" s="1309">
        <f t="shared" si="81"/>
        <v>0</v>
      </c>
      <c r="K149" s="1309"/>
      <c r="L149" s="1309">
        <f t="shared" si="79"/>
        <v>0</v>
      </c>
      <c r="M149" s="1309"/>
      <c r="N149" s="1309">
        <f t="shared" si="80"/>
        <v>0</v>
      </c>
      <c r="O149" s="1309"/>
      <c r="P149" s="1310"/>
      <c r="Q149" s="1311"/>
      <c r="R149" s="1311"/>
      <c r="S149" s="1311"/>
      <c r="T149" s="1310"/>
      <c r="U149" s="1222"/>
      <c r="V149" s="1222"/>
      <c r="W149" s="1222"/>
      <c r="X149" s="1222"/>
      <c r="Y149" s="1222"/>
      <c r="Z149" s="1222"/>
      <c r="AA149" s="1222"/>
      <c r="AB149" s="1222"/>
      <c r="AC149" s="1222"/>
    </row>
    <row r="150" ht="15.75" customHeight="1">
      <c r="A150" s="1164"/>
      <c r="B150" s="1306" t="s">
        <v>11504</v>
      </c>
      <c r="C150" s="1306" t="s">
        <v>11557</v>
      </c>
      <c r="D150" s="1307" t="s">
        <v>11788</v>
      </c>
      <c r="E150" s="1276">
        <v>657000.0</v>
      </c>
      <c r="F150" s="1272">
        <f t="shared" si="32"/>
        <v>729270</v>
      </c>
      <c r="G150" s="1234">
        <f t="shared" si="33"/>
        <v>817197</v>
      </c>
      <c r="H150" s="1308"/>
      <c r="I150" s="1308"/>
      <c r="J150" s="1309">
        <f t="shared" si="81"/>
        <v>0</v>
      </c>
      <c r="K150" s="1309"/>
      <c r="L150" s="1309">
        <f t="shared" si="79"/>
        <v>0</v>
      </c>
      <c r="M150" s="1309"/>
      <c r="N150" s="1309">
        <f t="shared" si="80"/>
        <v>0</v>
      </c>
      <c r="O150" s="1309"/>
      <c r="P150" s="1310"/>
      <c r="Q150" s="1311"/>
      <c r="R150" s="1311"/>
      <c r="S150" s="1311"/>
      <c r="T150" s="1310"/>
      <c r="U150" s="1222"/>
      <c r="V150" s="1222"/>
      <c r="W150" s="1222"/>
      <c r="X150" s="1222"/>
      <c r="Y150" s="1222"/>
      <c r="Z150" s="1222"/>
      <c r="AA150" s="1222"/>
      <c r="AB150" s="1222"/>
      <c r="AC150" s="1222"/>
    </row>
    <row r="151" ht="15.75" customHeight="1">
      <c r="A151" s="1164"/>
      <c r="B151" s="1306" t="s">
        <v>11504</v>
      </c>
      <c r="C151" s="1306" t="s">
        <v>11561</v>
      </c>
      <c r="D151" s="1307" t="s">
        <v>11789</v>
      </c>
      <c r="E151" s="1276">
        <v>400000.0</v>
      </c>
      <c r="F151" s="1272">
        <f t="shared" si="32"/>
        <v>444000</v>
      </c>
      <c r="G151" s="1234">
        <f t="shared" si="33"/>
        <v>503400</v>
      </c>
      <c r="H151" s="1308"/>
      <c r="I151" s="1308"/>
      <c r="J151" s="1309">
        <f t="shared" si="81"/>
        <v>0</v>
      </c>
      <c r="K151" s="1309"/>
      <c r="L151" s="1309">
        <f t="shared" si="79"/>
        <v>0</v>
      </c>
      <c r="M151" s="1309"/>
      <c r="N151" s="1309">
        <f t="shared" si="80"/>
        <v>0</v>
      </c>
      <c r="O151" s="1309"/>
      <c r="P151" s="1310"/>
      <c r="Q151" s="1311"/>
      <c r="R151" s="1311"/>
      <c r="S151" s="1311"/>
      <c r="T151" s="1310"/>
      <c r="U151" s="1222"/>
      <c r="V151" s="1222"/>
      <c r="W151" s="1222"/>
      <c r="X151" s="1222"/>
      <c r="Y151" s="1222"/>
      <c r="Z151" s="1222"/>
      <c r="AA151" s="1222"/>
      <c r="AB151" s="1222"/>
      <c r="AC151" s="1222"/>
    </row>
    <row r="152" ht="15.75" customHeight="1">
      <c r="A152" s="1164"/>
      <c r="B152" s="1306" t="s">
        <v>11504</v>
      </c>
      <c r="C152" s="1306" t="s">
        <v>11559</v>
      </c>
      <c r="D152" s="1307" t="s">
        <v>11790</v>
      </c>
      <c r="E152" s="1276">
        <v>402000.0</v>
      </c>
      <c r="F152" s="1272">
        <f t="shared" si="32"/>
        <v>446220</v>
      </c>
      <c r="G152" s="1234">
        <f t="shared" si="33"/>
        <v>505842</v>
      </c>
      <c r="H152" s="1308"/>
      <c r="I152" s="1308"/>
      <c r="J152" s="1309">
        <f t="shared" si="81"/>
        <v>0</v>
      </c>
      <c r="K152" s="1309"/>
      <c r="L152" s="1309">
        <f t="shared" si="79"/>
        <v>0</v>
      </c>
      <c r="M152" s="1309"/>
      <c r="N152" s="1309">
        <f t="shared" si="80"/>
        <v>0</v>
      </c>
      <c r="O152" s="1309"/>
      <c r="P152" s="1310"/>
      <c r="Q152" s="1311"/>
      <c r="R152" s="1311"/>
      <c r="S152" s="1311"/>
      <c r="T152" s="1310"/>
      <c r="U152" s="1222"/>
      <c r="V152" s="1222"/>
      <c r="W152" s="1222"/>
      <c r="X152" s="1222"/>
      <c r="Y152" s="1222"/>
      <c r="Z152" s="1222"/>
      <c r="AA152" s="1222"/>
      <c r="AB152" s="1222"/>
      <c r="AC152" s="1222"/>
    </row>
    <row r="153" ht="15.75" customHeight="1">
      <c r="A153" s="1164"/>
      <c r="B153" s="1298" t="s">
        <v>11504</v>
      </c>
      <c r="C153" s="1298" t="s">
        <v>11513</v>
      </c>
      <c r="D153" s="1300" t="s">
        <v>11791</v>
      </c>
      <c r="E153" s="1276">
        <v>673000.0</v>
      </c>
      <c r="F153" s="1272">
        <f t="shared" si="32"/>
        <v>747030</v>
      </c>
      <c r="G153" s="1234">
        <f t="shared" si="33"/>
        <v>836733</v>
      </c>
      <c r="H153" s="1308"/>
      <c r="I153" s="1308"/>
      <c r="J153" s="1309">
        <f t="shared" si="81"/>
        <v>0</v>
      </c>
      <c r="K153" s="1309"/>
      <c r="L153" s="1309">
        <f t="shared" si="79"/>
        <v>0</v>
      </c>
      <c r="M153" s="1309"/>
      <c r="N153" s="1309">
        <f t="shared" si="80"/>
        <v>0</v>
      </c>
      <c r="O153" s="1309"/>
      <c r="P153" s="1310"/>
      <c r="Q153" s="1311"/>
      <c r="R153" s="1311"/>
      <c r="S153" s="1311"/>
      <c r="T153" s="1310"/>
      <c r="U153" s="1222"/>
      <c r="V153" s="1222"/>
      <c r="W153" s="1222"/>
      <c r="X153" s="1222"/>
      <c r="Y153" s="1222"/>
      <c r="Z153" s="1222"/>
      <c r="AA153" s="1222"/>
      <c r="AB153" s="1222"/>
      <c r="AC153" s="1222"/>
    </row>
    <row r="154" ht="15.75" customHeight="1">
      <c r="A154" s="1164"/>
      <c r="B154" s="1298" t="s">
        <v>11792</v>
      </c>
      <c r="C154" s="1299" t="s">
        <v>11793</v>
      </c>
      <c r="D154" s="1300" t="s">
        <v>11794</v>
      </c>
      <c r="E154" s="1272">
        <v>214000.0</v>
      </c>
      <c r="F154" s="1272">
        <f t="shared" si="32"/>
        <v>237540</v>
      </c>
      <c r="G154" s="1234">
        <f t="shared" si="33"/>
        <v>276294</v>
      </c>
      <c r="H154" s="1301">
        <f>G154*8.8</f>
        <v>2431387.2</v>
      </c>
      <c r="I154" s="1301"/>
      <c r="J154" s="1272">
        <f t="shared" si="81"/>
        <v>2431387.2</v>
      </c>
      <c r="K154" s="1272">
        <f>G154*9.35</f>
        <v>2583348.9</v>
      </c>
      <c r="L154" s="1272">
        <f t="shared" si="79"/>
        <v>2583348.9</v>
      </c>
      <c r="M154" s="1272">
        <f>G154*9.9</f>
        <v>2735310.6</v>
      </c>
      <c r="N154" s="1272">
        <f t="shared" si="80"/>
        <v>2735310.6</v>
      </c>
      <c r="O154" s="1272">
        <f>G154*11</f>
        <v>3039234</v>
      </c>
      <c r="P154" s="1301">
        <f>G154*11</f>
        <v>3039234</v>
      </c>
      <c r="Q154" s="1302"/>
      <c r="R154" s="1302"/>
      <c r="S154" s="1302">
        <v>800000.0</v>
      </c>
      <c r="T154" s="1301" t="s">
        <v>11795</v>
      </c>
      <c r="U154" s="1222"/>
      <c r="V154" s="1222"/>
      <c r="W154" s="1222"/>
      <c r="X154" s="1222"/>
      <c r="Y154" s="1222"/>
      <c r="Z154" s="1222"/>
      <c r="AA154" s="1222"/>
      <c r="AB154" s="1222"/>
      <c r="AC154" s="1222"/>
    </row>
    <row r="155" ht="15.75" customHeight="1">
      <c r="A155" s="1164"/>
      <c r="B155" s="1298" t="s">
        <v>11515</v>
      </c>
      <c r="C155" s="1299" t="s">
        <v>11796</v>
      </c>
      <c r="D155" s="1300" t="s">
        <v>11797</v>
      </c>
      <c r="E155" s="1272">
        <v>501000.0</v>
      </c>
      <c r="F155" s="1272">
        <f t="shared" si="32"/>
        <v>556110</v>
      </c>
      <c r="G155" s="1234">
        <f t="shared" si="33"/>
        <v>626721</v>
      </c>
      <c r="H155" s="1301">
        <f>G155*2.8</f>
        <v>1754818.8</v>
      </c>
      <c r="I155" s="1301"/>
      <c r="J155" s="1272">
        <f t="shared" si="81"/>
        <v>1754818.8</v>
      </c>
      <c r="K155" s="1272">
        <f>G155*2.975</f>
        <v>1864494.975</v>
      </c>
      <c r="L155" s="1272">
        <f t="shared" si="79"/>
        <v>1864494.975</v>
      </c>
      <c r="M155" s="1272">
        <f>G155*3.15</f>
        <v>1974171.15</v>
      </c>
      <c r="N155" s="1272">
        <f t="shared" si="80"/>
        <v>1974171.15</v>
      </c>
      <c r="O155" s="1272">
        <f>G155*3.5</f>
        <v>2193523.5</v>
      </c>
      <c r="P155" s="1301">
        <f>G155*3.5</f>
        <v>2193523.5</v>
      </c>
      <c r="Q155" s="1302"/>
      <c r="R155" s="1302"/>
      <c r="S155" s="1302">
        <v>600000.0</v>
      </c>
      <c r="T155" s="1301" t="s">
        <v>11653</v>
      </c>
      <c r="U155" s="1222"/>
      <c r="V155" s="1222"/>
      <c r="W155" s="1222"/>
      <c r="X155" s="1222"/>
      <c r="Y155" s="1222"/>
      <c r="Z155" s="1222"/>
      <c r="AA155" s="1222"/>
      <c r="AB155" s="1222"/>
      <c r="AC155" s="1222"/>
    </row>
    <row r="156" ht="15.75" customHeight="1">
      <c r="A156" s="1164"/>
      <c r="B156" s="1298" t="s">
        <v>11515</v>
      </c>
      <c r="C156" s="1299" t="s">
        <v>11798</v>
      </c>
      <c r="D156" s="1300" t="s">
        <v>11799</v>
      </c>
      <c r="E156" s="1272">
        <v>531000.0</v>
      </c>
      <c r="F156" s="1272">
        <f t="shared" si="32"/>
        <v>589410</v>
      </c>
      <c r="G156" s="1234">
        <f t="shared" si="33"/>
        <v>663351</v>
      </c>
      <c r="H156" s="1301">
        <f t="shared" ref="H156:H157" si="82">G156*2.72</f>
        <v>1804314.72</v>
      </c>
      <c r="I156" s="1301"/>
      <c r="J156" s="1272">
        <f t="shared" si="81"/>
        <v>1804314.72</v>
      </c>
      <c r="K156" s="1272">
        <f t="shared" ref="K156:K157" si="83">G156*2.89</f>
        <v>1917084.39</v>
      </c>
      <c r="L156" s="1272">
        <f t="shared" si="79"/>
        <v>1917084.39</v>
      </c>
      <c r="M156" s="1272">
        <f t="shared" ref="M156:M157" si="84">G156*3.06</f>
        <v>2029854.06</v>
      </c>
      <c r="N156" s="1272">
        <f t="shared" si="80"/>
        <v>2029854.06</v>
      </c>
      <c r="O156" s="1272">
        <f t="shared" ref="O156:O157" si="85">G156*3.4</f>
        <v>2255393.4</v>
      </c>
      <c r="P156" s="1301">
        <f t="shared" ref="P156:P157" si="86">G156*3.4</f>
        <v>2255393.4</v>
      </c>
      <c r="Q156" s="1302"/>
      <c r="R156" s="1302"/>
      <c r="S156" s="1302">
        <v>600000.0</v>
      </c>
      <c r="T156" s="1301" t="s">
        <v>11653</v>
      </c>
      <c r="U156" s="1222"/>
      <c r="V156" s="1222"/>
      <c r="W156" s="1222"/>
      <c r="X156" s="1222"/>
      <c r="Y156" s="1222"/>
      <c r="Z156" s="1222"/>
      <c r="AA156" s="1222"/>
      <c r="AB156" s="1222"/>
      <c r="AC156" s="1222"/>
    </row>
    <row r="157" ht="15.75" customHeight="1">
      <c r="A157" s="1164"/>
      <c r="B157" s="1298" t="s">
        <v>11515</v>
      </c>
      <c r="C157" s="1299" t="s">
        <v>11800</v>
      </c>
      <c r="D157" s="1300" t="s">
        <v>11801</v>
      </c>
      <c r="E157" s="1272">
        <v>531000.0</v>
      </c>
      <c r="F157" s="1272">
        <f t="shared" si="32"/>
        <v>589410</v>
      </c>
      <c r="G157" s="1234">
        <f t="shared" si="33"/>
        <v>663351</v>
      </c>
      <c r="H157" s="1301">
        <f t="shared" si="82"/>
        <v>1804314.72</v>
      </c>
      <c r="I157" s="1301"/>
      <c r="J157" s="1272">
        <f t="shared" si="81"/>
        <v>1804314.72</v>
      </c>
      <c r="K157" s="1272">
        <f t="shared" si="83"/>
        <v>1917084.39</v>
      </c>
      <c r="L157" s="1272">
        <f t="shared" si="79"/>
        <v>1917084.39</v>
      </c>
      <c r="M157" s="1272">
        <f t="shared" si="84"/>
        <v>2029854.06</v>
      </c>
      <c r="N157" s="1272">
        <f t="shared" si="80"/>
        <v>2029854.06</v>
      </c>
      <c r="O157" s="1272">
        <f t="shared" si="85"/>
        <v>2255393.4</v>
      </c>
      <c r="P157" s="1301">
        <f t="shared" si="86"/>
        <v>2255393.4</v>
      </c>
      <c r="Q157" s="1302"/>
      <c r="R157" s="1302"/>
      <c r="S157" s="1302">
        <v>600000.0</v>
      </c>
      <c r="T157" s="1301" t="s">
        <v>11653</v>
      </c>
      <c r="U157" s="1222"/>
      <c r="V157" s="1222"/>
      <c r="W157" s="1222"/>
      <c r="X157" s="1222"/>
      <c r="Y157" s="1222"/>
      <c r="Z157" s="1222"/>
      <c r="AA157" s="1222"/>
      <c r="AB157" s="1222"/>
      <c r="AC157" s="1222"/>
    </row>
    <row r="158" ht="15.75" customHeight="1">
      <c r="A158" s="1164"/>
      <c r="B158" s="1298" t="s">
        <v>11515</v>
      </c>
      <c r="C158" s="1298" t="s">
        <v>11802</v>
      </c>
      <c r="D158" s="1300" t="s">
        <v>11803</v>
      </c>
      <c r="E158" s="1272">
        <v>483000.0</v>
      </c>
      <c r="F158" s="1272">
        <f t="shared" si="32"/>
        <v>536130</v>
      </c>
      <c r="G158" s="1234">
        <f t="shared" si="33"/>
        <v>604743</v>
      </c>
      <c r="H158" s="1301">
        <f>G158*1.84</f>
        <v>1112727.12</v>
      </c>
      <c r="I158" s="1301"/>
      <c r="J158" s="1272">
        <f t="shared" si="81"/>
        <v>1112727.12</v>
      </c>
      <c r="K158" s="1272">
        <f>G158*1.955</f>
        <v>1182272.565</v>
      </c>
      <c r="L158" s="1272">
        <f t="shared" si="79"/>
        <v>1182272.565</v>
      </c>
      <c r="M158" s="1272">
        <f>G158*2.07</f>
        <v>1251818.01</v>
      </c>
      <c r="N158" s="1272">
        <f t="shared" si="80"/>
        <v>1251818.01</v>
      </c>
      <c r="O158" s="1272">
        <f>G158*2.3</f>
        <v>1390908.9</v>
      </c>
      <c r="P158" s="1301">
        <f>G158*2.3</f>
        <v>1390908.9</v>
      </c>
      <c r="Q158" s="1302"/>
      <c r="R158" s="1302"/>
      <c r="S158" s="1302" t="s">
        <v>10136</v>
      </c>
      <c r="T158" s="1301"/>
      <c r="U158" s="1222"/>
      <c r="V158" s="1222"/>
      <c r="W158" s="1222"/>
      <c r="X158" s="1222"/>
      <c r="Y158" s="1222"/>
      <c r="Z158" s="1222"/>
      <c r="AA158" s="1222"/>
      <c r="AB158" s="1222"/>
      <c r="AC158" s="1222"/>
    </row>
    <row r="159" ht="15.75" customHeight="1">
      <c r="A159" s="1164"/>
      <c r="B159" s="1298" t="s">
        <v>11515</v>
      </c>
      <c r="C159" s="1298" t="s">
        <v>11804</v>
      </c>
      <c r="D159" s="1300" t="s">
        <v>11805</v>
      </c>
      <c r="E159" s="1272">
        <v>604000.0</v>
      </c>
      <c r="F159" s="1272">
        <f t="shared" si="32"/>
        <v>670440</v>
      </c>
      <c r="G159" s="1234">
        <f t="shared" si="33"/>
        <v>752484</v>
      </c>
      <c r="H159" s="1301">
        <f>G159*1.6</f>
        <v>1203974.4</v>
      </c>
      <c r="I159" s="1301"/>
      <c r="J159" s="1272">
        <f t="shared" si="81"/>
        <v>1203974.4</v>
      </c>
      <c r="K159" s="1272">
        <f>G159*1.66</f>
        <v>1249123.44</v>
      </c>
      <c r="L159" s="1272">
        <f>P159*83%</f>
        <v>1249123.44</v>
      </c>
      <c r="M159" s="1272">
        <f>G159*1.7</f>
        <v>1279222.8</v>
      </c>
      <c r="N159" s="1272">
        <f>P159*85%</f>
        <v>1279222.8</v>
      </c>
      <c r="O159" s="1272">
        <f t="shared" ref="O159:O160" si="87">G159*2</f>
        <v>1504968</v>
      </c>
      <c r="P159" s="1301">
        <f t="shared" ref="P159:P160" si="88">G159*2</f>
        <v>1504968</v>
      </c>
      <c r="Q159" s="1302"/>
      <c r="R159" s="1302"/>
      <c r="S159" s="1302" t="s">
        <v>10136</v>
      </c>
      <c r="T159" s="1301"/>
      <c r="U159" s="1222"/>
      <c r="V159" s="1222"/>
      <c r="W159" s="1222"/>
      <c r="X159" s="1222"/>
      <c r="Y159" s="1222"/>
      <c r="Z159" s="1222"/>
      <c r="AA159" s="1222"/>
      <c r="AB159" s="1222"/>
      <c r="AC159" s="1222"/>
    </row>
    <row r="160" ht="15.75" customHeight="1">
      <c r="A160" s="1164"/>
      <c r="B160" s="1298" t="s">
        <v>11515</v>
      </c>
      <c r="C160" s="1298" t="s">
        <v>11806</v>
      </c>
      <c r="D160" s="1325" t="s">
        <v>11807</v>
      </c>
      <c r="E160" s="1272">
        <v>811000.0</v>
      </c>
      <c r="F160" s="1272">
        <f t="shared" si="32"/>
        <v>900210</v>
      </c>
      <c r="G160" s="1234">
        <f t="shared" si="33"/>
        <v>1005231</v>
      </c>
      <c r="H160" s="1301">
        <f>G160*1.5</f>
        <v>1507846.5</v>
      </c>
      <c r="I160" s="1301"/>
      <c r="J160" s="1272">
        <f>P160*75%</f>
        <v>1507846.5</v>
      </c>
      <c r="K160" s="1272">
        <f>G160*1.7</f>
        <v>1708892.7</v>
      </c>
      <c r="L160" s="1272">
        <f>P160*85%</f>
        <v>1708892.7</v>
      </c>
      <c r="M160" s="1272">
        <f>G160*1.8</f>
        <v>1809415.8</v>
      </c>
      <c r="N160" s="1272">
        <f>P160*90%</f>
        <v>1809415.8</v>
      </c>
      <c r="O160" s="1272">
        <f t="shared" si="87"/>
        <v>2010462</v>
      </c>
      <c r="P160" s="1301">
        <f t="shared" si="88"/>
        <v>2010462</v>
      </c>
      <c r="Q160" s="1302"/>
      <c r="R160" s="1302"/>
      <c r="S160" s="1302" t="s">
        <v>10136</v>
      </c>
      <c r="T160" s="1301"/>
      <c r="U160" s="1222"/>
      <c r="V160" s="1222"/>
      <c r="W160" s="1222"/>
      <c r="X160" s="1222"/>
      <c r="Y160" s="1222"/>
      <c r="Z160" s="1222"/>
      <c r="AA160" s="1222"/>
      <c r="AB160" s="1222"/>
      <c r="AC160" s="1222"/>
    </row>
    <row r="161" ht="15.75" customHeight="1">
      <c r="A161" s="1164"/>
      <c r="B161" s="1298" t="s">
        <v>11515</v>
      </c>
      <c r="C161" s="1298" t="s">
        <v>11621</v>
      </c>
      <c r="D161" s="1300" t="s">
        <v>11808</v>
      </c>
      <c r="E161" s="1272">
        <v>576000.0</v>
      </c>
      <c r="F161" s="1272">
        <f t="shared" si="32"/>
        <v>639360</v>
      </c>
      <c r="G161" s="1234">
        <f t="shared" si="33"/>
        <v>718296</v>
      </c>
      <c r="H161" s="1305"/>
      <c r="I161" s="1305"/>
      <c r="J161" s="1305"/>
      <c r="K161" s="1305"/>
      <c r="L161" s="1305"/>
      <c r="M161" s="1305"/>
      <c r="N161" s="1305"/>
      <c r="O161" s="1305"/>
      <c r="P161" s="1305"/>
      <c r="Q161" s="1302"/>
      <c r="R161" s="1302"/>
      <c r="S161" s="1302" t="s">
        <v>10136</v>
      </c>
      <c r="T161" s="1301"/>
      <c r="U161" s="1222"/>
      <c r="V161" s="1222"/>
      <c r="W161" s="1222"/>
      <c r="X161" s="1222"/>
      <c r="Y161" s="1222"/>
      <c r="Z161" s="1222"/>
      <c r="AA161" s="1222"/>
      <c r="AB161" s="1222"/>
      <c r="AC161" s="1222"/>
    </row>
    <row r="162" ht="15.75" customHeight="1">
      <c r="A162" s="1164"/>
      <c r="B162" s="1317" t="s">
        <v>11515</v>
      </c>
      <c r="C162" s="1306" t="s">
        <v>11516</v>
      </c>
      <c r="D162" s="1318" t="s">
        <v>11809</v>
      </c>
      <c r="E162" s="1276">
        <v>499000.0</v>
      </c>
      <c r="F162" s="1272">
        <f t="shared" si="32"/>
        <v>553890</v>
      </c>
      <c r="G162" s="1234">
        <f t="shared" si="33"/>
        <v>624279</v>
      </c>
      <c r="H162" s="1308"/>
      <c r="I162" s="1308"/>
      <c r="J162" s="1309">
        <f t="shared" ref="J162:J163" si="89">P162*80%</f>
        <v>0</v>
      </c>
      <c r="K162" s="1309"/>
      <c r="L162" s="1309">
        <f t="shared" ref="L162:L163" si="90">P162*85%</f>
        <v>0</v>
      </c>
      <c r="M162" s="1309"/>
      <c r="N162" s="1309">
        <f t="shared" ref="N162:N184" si="91">P162*90%</f>
        <v>0</v>
      </c>
      <c r="O162" s="1309"/>
      <c r="P162" s="1310"/>
      <c r="Q162" s="1311"/>
      <c r="R162" s="1311"/>
      <c r="S162" s="1311"/>
      <c r="T162" s="1310"/>
      <c r="U162" s="1222"/>
      <c r="V162" s="1222"/>
      <c r="W162" s="1222"/>
      <c r="X162" s="1222"/>
      <c r="Y162" s="1222"/>
      <c r="Z162" s="1222"/>
      <c r="AA162" s="1222"/>
      <c r="AB162" s="1222"/>
      <c r="AC162" s="1222"/>
    </row>
    <row r="163" ht="15.75" customHeight="1">
      <c r="A163" s="1164"/>
      <c r="B163" s="1298" t="s">
        <v>11515</v>
      </c>
      <c r="C163" s="1299" t="s">
        <v>11810</v>
      </c>
      <c r="D163" s="1300" t="s">
        <v>11811</v>
      </c>
      <c r="E163" s="1272">
        <v>633000.0</v>
      </c>
      <c r="F163" s="1272">
        <f t="shared" si="32"/>
        <v>702630</v>
      </c>
      <c r="G163" s="1234">
        <f t="shared" si="33"/>
        <v>787893</v>
      </c>
      <c r="H163" s="1301">
        <f>G163*3.08</f>
        <v>2426710.44</v>
      </c>
      <c r="I163" s="1301"/>
      <c r="J163" s="1272">
        <f t="shared" si="89"/>
        <v>2426710.44</v>
      </c>
      <c r="K163" s="1326">
        <f>G163*3.272</f>
        <v>2577985.896</v>
      </c>
      <c r="L163" s="1272">
        <f t="shared" si="90"/>
        <v>2578379.843</v>
      </c>
      <c r="M163" s="1272">
        <f>G163*3.465</f>
        <v>2730049.245</v>
      </c>
      <c r="N163" s="1272">
        <f t="shared" si="91"/>
        <v>2730049.245</v>
      </c>
      <c r="O163" s="1272">
        <f>G163*3.85</f>
        <v>3033388.05</v>
      </c>
      <c r="P163" s="1301">
        <f>G163*3.85</f>
        <v>3033388.05</v>
      </c>
      <c r="Q163" s="1302"/>
      <c r="R163" s="1302"/>
      <c r="S163" s="1302">
        <v>600000.0</v>
      </c>
      <c r="T163" s="1301" t="s">
        <v>11653</v>
      </c>
      <c r="U163" s="1222"/>
      <c r="V163" s="1222"/>
      <c r="W163" s="1222"/>
      <c r="X163" s="1222"/>
      <c r="Y163" s="1222"/>
      <c r="Z163" s="1222"/>
      <c r="AA163" s="1222"/>
      <c r="AB163" s="1222"/>
      <c r="AC163" s="1222"/>
    </row>
    <row r="164" ht="15.75" customHeight="1">
      <c r="A164" s="1164"/>
      <c r="B164" s="1298" t="s">
        <v>11515</v>
      </c>
      <c r="C164" s="1298" t="s">
        <v>11812</v>
      </c>
      <c r="D164" s="1300" t="s">
        <v>11813</v>
      </c>
      <c r="E164" s="1272">
        <v>501000.0</v>
      </c>
      <c r="F164" s="1272">
        <f t="shared" si="32"/>
        <v>556110</v>
      </c>
      <c r="G164" s="1234">
        <f t="shared" si="33"/>
        <v>626721</v>
      </c>
      <c r="H164" s="1301">
        <f>G164*1.736</f>
        <v>1087987.656</v>
      </c>
      <c r="I164" s="1301"/>
      <c r="J164" s="1272">
        <f>P164*62%</f>
        <v>1087987.656</v>
      </c>
      <c r="K164" s="1272">
        <f>G164*2.1</f>
        <v>1316114.1</v>
      </c>
      <c r="L164" s="1272">
        <f>P164*75%</f>
        <v>1316114.1</v>
      </c>
      <c r="M164" s="1272">
        <f>G164*2.52</f>
        <v>1579336.92</v>
      </c>
      <c r="N164" s="1272">
        <f t="shared" si="91"/>
        <v>1579336.92</v>
      </c>
      <c r="O164" s="1272">
        <f>G164*2.8</f>
        <v>1754818.8</v>
      </c>
      <c r="P164" s="1301">
        <f>G164*2.8</f>
        <v>1754818.8</v>
      </c>
      <c r="Q164" s="1302"/>
      <c r="R164" s="1302"/>
      <c r="S164" s="1302" t="s">
        <v>10136</v>
      </c>
      <c r="T164" s="1301"/>
      <c r="U164" s="1222"/>
      <c r="V164" s="1222"/>
      <c r="W164" s="1222"/>
      <c r="X164" s="1222"/>
      <c r="Y164" s="1222"/>
      <c r="Z164" s="1222"/>
      <c r="AA164" s="1222"/>
      <c r="AB164" s="1222"/>
      <c r="AC164" s="1222"/>
    </row>
    <row r="165" ht="15.75" customHeight="1">
      <c r="A165" s="1164"/>
      <c r="B165" s="1298" t="s">
        <v>11515</v>
      </c>
      <c r="C165" s="1298" t="s">
        <v>11814</v>
      </c>
      <c r="D165" s="1300" t="s">
        <v>11815</v>
      </c>
      <c r="E165" s="1272">
        <v>809000.0</v>
      </c>
      <c r="F165" s="1272">
        <f t="shared" si="32"/>
        <v>897990</v>
      </c>
      <c r="G165" s="1234">
        <f t="shared" si="33"/>
        <v>1002789</v>
      </c>
      <c r="H165" s="1301">
        <f>G165*1.414</f>
        <v>1417943.646</v>
      </c>
      <c r="I165" s="1301"/>
      <c r="J165" s="1272">
        <f>P165*70%</f>
        <v>1417943.646</v>
      </c>
      <c r="K165" s="1301">
        <f>G165*1.616</f>
        <v>1620507.024</v>
      </c>
      <c r="L165" s="1272">
        <f>P165*80%</f>
        <v>1620507.024</v>
      </c>
      <c r="M165" s="1272">
        <f>G165*1.818</f>
        <v>1823070.402</v>
      </c>
      <c r="N165" s="1272">
        <f t="shared" si="91"/>
        <v>1823070.402</v>
      </c>
      <c r="O165" s="1272">
        <f>G165*2.02</f>
        <v>2025633.78</v>
      </c>
      <c r="P165" s="1301">
        <f>G165*2.02</f>
        <v>2025633.78</v>
      </c>
      <c r="Q165" s="1302"/>
      <c r="R165" s="1302"/>
      <c r="S165" s="1302" t="s">
        <v>10136</v>
      </c>
      <c r="T165" s="1301"/>
      <c r="U165" s="1222"/>
      <c r="V165" s="1222"/>
      <c r="W165" s="1222"/>
      <c r="X165" s="1222"/>
      <c r="Y165" s="1222"/>
      <c r="Z165" s="1222"/>
      <c r="AA165" s="1222"/>
      <c r="AB165" s="1222"/>
      <c r="AC165" s="1222"/>
    </row>
    <row r="166" ht="15.75" customHeight="1">
      <c r="A166" s="1164"/>
      <c r="B166" s="1298" t="s">
        <v>11515</v>
      </c>
      <c r="C166" s="1298" t="s">
        <v>11816</v>
      </c>
      <c r="D166" s="1300" t="s">
        <v>11817</v>
      </c>
      <c r="E166" s="1272">
        <v>481000.0</v>
      </c>
      <c r="F166" s="1272">
        <f t="shared" si="32"/>
        <v>533910</v>
      </c>
      <c r="G166" s="1234">
        <f t="shared" si="33"/>
        <v>602301</v>
      </c>
      <c r="H166" s="1301">
        <f>G166*1.56</f>
        <v>939589.56</v>
      </c>
      <c r="I166" s="1301"/>
      <c r="J166" s="1272">
        <f>P166*80%</f>
        <v>939589.56</v>
      </c>
      <c r="K166" s="1272">
        <f>G166*1.657</f>
        <v>998012.757</v>
      </c>
      <c r="L166" s="1272">
        <f t="shared" ref="L166:L172" si="92">P166*85%</f>
        <v>998313.9075</v>
      </c>
      <c r="M166" s="1272">
        <f>G166*1.755</f>
        <v>1057038.255</v>
      </c>
      <c r="N166" s="1272">
        <f t="shared" si="91"/>
        <v>1057038.255</v>
      </c>
      <c r="O166" s="1272">
        <f>G166*1.95</f>
        <v>1174486.95</v>
      </c>
      <c r="P166" s="1301">
        <f>G166*1.95</f>
        <v>1174486.95</v>
      </c>
      <c r="Q166" s="1302"/>
      <c r="R166" s="1302"/>
      <c r="S166" s="1302" t="s">
        <v>10136</v>
      </c>
      <c r="T166" s="1301"/>
      <c r="U166" s="1222"/>
      <c r="V166" s="1222"/>
      <c r="W166" s="1222"/>
      <c r="X166" s="1222"/>
      <c r="Y166" s="1222"/>
      <c r="Z166" s="1222"/>
      <c r="AA166" s="1222"/>
      <c r="AB166" s="1222"/>
      <c r="AC166" s="1222"/>
    </row>
    <row r="167" ht="15.75" customHeight="1">
      <c r="A167" s="1164"/>
      <c r="B167" s="1298" t="s">
        <v>11515</v>
      </c>
      <c r="C167" s="1299" t="s">
        <v>11818</v>
      </c>
      <c r="D167" s="1300" t="s">
        <v>11819</v>
      </c>
      <c r="E167" s="1323">
        <v>458000.0</v>
      </c>
      <c r="F167" s="1272">
        <f t="shared" si="32"/>
        <v>508380</v>
      </c>
      <c r="G167" s="1234">
        <f t="shared" si="33"/>
        <v>574218</v>
      </c>
      <c r="H167" s="1301">
        <f>G167*3.16</f>
        <v>1814528.88</v>
      </c>
      <c r="I167" s="1301"/>
      <c r="J167" s="1272">
        <f>P167*79%</f>
        <v>1814528.88</v>
      </c>
      <c r="K167" s="1272">
        <f>G167*3.4</f>
        <v>1952341.2</v>
      </c>
      <c r="L167" s="1272">
        <f t="shared" si="92"/>
        <v>1952341.2</v>
      </c>
      <c r="M167" s="1272">
        <f>G167*3.6</f>
        <v>2067184.8</v>
      </c>
      <c r="N167" s="1272">
        <f t="shared" si="91"/>
        <v>2067184.8</v>
      </c>
      <c r="O167" s="1272">
        <f>G167*4</f>
        <v>2296872</v>
      </c>
      <c r="P167" s="1301">
        <f>G167*4</f>
        <v>2296872</v>
      </c>
      <c r="Q167" s="1302"/>
      <c r="R167" s="1302"/>
      <c r="S167" s="1302">
        <v>600000.0</v>
      </c>
      <c r="T167" s="1301" t="s">
        <v>11795</v>
      </c>
      <c r="U167" s="1222"/>
      <c r="V167" s="1222"/>
      <c r="W167" s="1222"/>
      <c r="X167" s="1222"/>
      <c r="Y167" s="1222"/>
      <c r="Z167" s="1222"/>
      <c r="AA167" s="1222"/>
      <c r="AB167" s="1222"/>
      <c r="AC167" s="1222"/>
    </row>
    <row r="168" ht="15.75" customHeight="1">
      <c r="A168" s="1164"/>
      <c r="B168" s="1298" t="s">
        <v>11515</v>
      </c>
      <c r="C168" s="1298" t="s">
        <v>11820</v>
      </c>
      <c r="D168" s="1325" t="s">
        <v>11821</v>
      </c>
      <c r="E168" s="1323">
        <v>462000.0</v>
      </c>
      <c r="F168" s="1272">
        <f t="shared" si="32"/>
        <v>512820</v>
      </c>
      <c r="G168" s="1234">
        <f t="shared" si="33"/>
        <v>579102</v>
      </c>
      <c r="H168" s="1301">
        <f>G168*1.68</f>
        <v>972891.36</v>
      </c>
      <c r="I168" s="1301"/>
      <c r="J168" s="1272">
        <f>P168*80%</f>
        <v>972891.36</v>
      </c>
      <c r="K168" s="1272">
        <f>G168*1.785</f>
        <v>1033697.07</v>
      </c>
      <c r="L168" s="1272">
        <f t="shared" si="92"/>
        <v>1033697.07</v>
      </c>
      <c r="M168" s="1272">
        <f>G168*1.89</f>
        <v>1094502.78</v>
      </c>
      <c r="N168" s="1272">
        <f t="shared" si="91"/>
        <v>1094502.78</v>
      </c>
      <c r="O168" s="1272">
        <f>G168*2.1</f>
        <v>1216114.2</v>
      </c>
      <c r="P168" s="1301">
        <f>G168*2.1</f>
        <v>1216114.2</v>
      </c>
      <c r="Q168" s="1302"/>
      <c r="R168" s="1302"/>
      <c r="S168" s="1302" t="s">
        <v>10136</v>
      </c>
      <c r="T168" s="1301"/>
      <c r="U168" s="1222"/>
      <c r="V168" s="1222"/>
      <c r="W168" s="1222"/>
      <c r="X168" s="1222"/>
      <c r="Y168" s="1222"/>
      <c r="Z168" s="1222"/>
      <c r="AA168" s="1222"/>
      <c r="AB168" s="1222"/>
      <c r="AC168" s="1222"/>
    </row>
    <row r="169" ht="15.75" customHeight="1">
      <c r="A169" s="1164"/>
      <c r="B169" s="1298" t="s">
        <v>11515</v>
      </c>
      <c r="C169" s="1298" t="s">
        <v>11822</v>
      </c>
      <c r="D169" s="1300" t="s">
        <v>11823</v>
      </c>
      <c r="E169" s="1323">
        <v>567000.0</v>
      </c>
      <c r="F169" s="1272">
        <f t="shared" si="32"/>
        <v>629370</v>
      </c>
      <c r="G169" s="1234">
        <f t="shared" si="33"/>
        <v>707307</v>
      </c>
      <c r="H169" s="1301">
        <f>G169*1.568</f>
        <v>1109057.376</v>
      </c>
      <c r="I169" s="1301"/>
      <c r="J169" s="1272">
        <f>P169*74%</f>
        <v>1109623.222</v>
      </c>
      <c r="K169" s="1272">
        <f>G169*1.802</f>
        <v>1274567.214</v>
      </c>
      <c r="L169" s="1272">
        <f t="shared" si="92"/>
        <v>1274567.214</v>
      </c>
      <c r="M169" s="1272">
        <f>G169*1.908</f>
        <v>1349541.756</v>
      </c>
      <c r="N169" s="1272">
        <f t="shared" si="91"/>
        <v>1349541.756</v>
      </c>
      <c r="O169" s="1272">
        <f>G169*2.12</f>
        <v>1499490.84</v>
      </c>
      <c r="P169" s="1301">
        <f>G169*2.12</f>
        <v>1499490.84</v>
      </c>
      <c r="Q169" s="1302"/>
      <c r="R169" s="1302"/>
      <c r="S169" s="1302" t="s">
        <v>10136</v>
      </c>
      <c r="T169" s="1301"/>
      <c r="U169" s="1222"/>
      <c r="V169" s="1222"/>
      <c r="W169" s="1222"/>
      <c r="X169" s="1222"/>
      <c r="Y169" s="1222"/>
      <c r="Z169" s="1222"/>
      <c r="AA169" s="1222"/>
      <c r="AB169" s="1222"/>
      <c r="AC169" s="1222"/>
    </row>
    <row r="170" ht="15.75" customHeight="1">
      <c r="A170" s="1164"/>
      <c r="B170" s="1298" t="s">
        <v>11515</v>
      </c>
      <c r="C170" s="1298" t="s">
        <v>11824</v>
      </c>
      <c r="D170" s="1300" t="s">
        <v>11825</v>
      </c>
      <c r="E170" s="1323">
        <v>568000.0</v>
      </c>
      <c r="F170" s="1272">
        <f t="shared" si="32"/>
        <v>630480</v>
      </c>
      <c r="G170" s="1234">
        <f t="shared" si="33"/>
        <v>708528</v>
      </c>
      <c r="H170" s="1301">
        <f>G170*1.545</f>
        <v>1094675.76</v>
      </c>
      <c r="I170" s="1301"/>
      <c r="J170" s="1272">
        <f>P170*75%</f>
        <v>1094675.76</v>
      </c>
      <c r="K170" s="1272">
        <f>G170*1.751</f>
        <v>1240632.528</v>
      </c>
      <c r="L170" s="1272">
        <f t="shared" si="92"/>
        <v>1240632.528</v>
      </c>
      <c r="M170" s="1272">
        <f>G170*1.854</f>
        <v>1313610.912</v>
      </c>
      <c r="N170" s="1272">
        <f t="shared" si="91"/>
        <v>1313610.912</v>
      </c>
      <c r="O170" s="1272">
        <f>G170*2.06</f>
        <v>1459567.68</v>
      </c>
      <c r="P170" s="1301">
        <f>G170*2.06</f>
        <v>1459567.68</v>
      </c>
      <c r="Q170" s="1302"/>
      <c r="R170" s="1302"/>
      <c r="S170" s="1302" t="s">
        <v>10136</v>
      </c>
      <c r="T170" s="1301"/>
      <c r="U170" s="1222"/>
      <c r="V170" s="1222"/>
      <c r="W170" s="1222"/>
      <c r="X170" s="1222"/>
      <c r="Y170" s="1222"/>
      <c r="Z170" s="1222"/>
      <c r="AA170" s="1222"/>
      <c r="AB170" s="1222"/>
      <c r="AC170" s="1222"/>
    </row>
    <row r="171" ht="15.75" customHeight="1">
      <c r="A171" s="1164"/>
      <c r="B171" s="1320" t="s">
        <v>11826</v>
      </c>
      <c r="C171" s="1321" t="s">
        <v>11827</v>
      </c>
      <c r="D171" s="1304" t="s">
        <v>11828</v>
      </c>
      <c r="E171" s="1272">
        <v>1150000.0</v>
      </c>
      <c r="F171" s="1272">
        <f t="shared" si="32"/>
        <v>1276500</v>
      </c>
      <c r="G171" s="1234">
        <f t="shared" si="33"/>
        <v>1419150</v>
      </c>
      <c r="H171" s="1301">
        <f>G171*1.28</f>
        <v>1816512</v>
      </c>
      <c r="I171" s="1301"/>
      <c r="J171" s="1272">
        <f t="shared" ref="J171:J172" si="93">P171*80%</f>
        <v>1816512</v>
      </c>
      <c r="K171" s="1272">
        <f>G171*1.36</f>
        <v>1930044</v>
      </c>
      <c r="L171" s="1272">
        <f t="shared" si="92"/>
        <v>1930044</v>
      </c>
      <c r="M171" s="1272">
        <f>G171*1.44</f>
        <v>2043576</v>
      </c>
      <c r="N171" s="1272">
        <f t="shared" si="91"/>
        <v>2043576</v>
      </c>
      <c r="O171" s="1276">
        <f>G171*1.6</f>
        <v>2270640</v>
      </c>
      <c r="P171" s="1312">
        <f>G171*1.6</f>
        <v>2270640</v>
      </c>
      <c r="Q171" s="1302"/>
      <c r="R171" s="1302"/>
      <c r="S171" s="1302" t="s">
        <v>10136</v>
      </c>
      <c r="T171" s="1301"/>
      <c r="U171" s="1222"/>
      <c r="V171" s="1222"/>
      <c r="W171" s="1222"/>
      <c r="X171" s="1222"/>
      <c r="Y171" s="1222"/>
      <c r="Z171" s="1222"/>
      <c r="AA171" s="1222"/>
      <c r="AB171" s="1222"/>
      <c r="AC171" s="1222"/>
    </row>
    <row r="172" ht="15.75" customHeight="1">
      <c r="A172" s="1164"/>
      <c r="B172" s="1317" t="s">
        <v>11519</v>
      </c>
      <c r="C172" s="1317" t="s">
        <v>11526</v>
      </c>
      <c r="D172" s="1318" t="s">
        <v>11829</v>
      </c>
      <c r="E172" s="1276">
        <v>440000.0</v>
      </c>
      <c r="F172" s="1272">
        <f t="shared" si="32"/>
        <v>488400</v>
      </c>
      <c r="G172" s="1234">
        <f t="shared" si="33"/>
        <v>552240</v>
      </c>
      <c r="H172" s="1308"/>
      <c r="I172" s="1308"/>
      <c r="J172" s="1309">
        <f t="shared" si="93"/>
        <v>0</v>
      </c>
      <c r="K172" s="1309"/>
      <c r="L172" s="1309">
        <f t="shared" si="92"/>
        <v>0</v>
      </c>
      <c r="M172" s="1309"/>
      <c r="N172" s="1309">
        <f t="shared" si="91"/>
        <v>0</v>
      </c>
      <c r="O172" s="1309"/>
      <c r="P172" s="1310"/>
      <c r="Q172" s="1311"/>
      <c r="R172" s="1311"/>
      <c r="S172" s="1311"/>
      <c r="T172" s="1310"/>
      <c r="U172" s="1222"/>
      <c r="V172" s="1222"/>
      <c r="W172" s="1222"/>
      <c r="X172" s="1222"/>
      <c r="Y172" s="1222"/>
      <c r="Z172" s="1222"/>
      <c r="AA172" s="1222"/>
      <c r="AB172" s="1222"/>
      <c r="AC172" s="1222"/>
    </row>
    <row r="173" ht="15.75" customHeight="1">
      <c r="A173" s="1164"/>
      <c r="B173" s="1320" t="s">
        <v>11519</v>
      </c>
      <c r="C173" s="1303" t="s">
        <v>11830</v>
      </c>
      <c r="D173" s="1304" t="s">
        <v>11831</v>
      </c>
      <c r="E173" s="1272">
        <v>184000.0</v>
      </c>
      <c r="F173" s="1272">
        <f t="shared" si="32"/>
        <v>204240</v>
      </c>
      <c r="G173" s="1234">
        <f t="shared" si="33"/>
        <v>239664</v>
      </c>
      <c r="H173" s="1301">
        <f>G173*1.4</f>
        <v>335529.6</v>
      </c>
      <c r="I173" s="1301"/>
      <c r="J173" s="1272">
        <f>P173*70%</f>
        <v>335529.6</v>
      </c>
      <c r="K173" s="1272">
        <f>G173*1.6</f>
        <v>383462.4</v>
      </c>
      <c r="L173" s="1272">
        <f>P173*80%</f>
        <v>383462.4</v>
      </c>
      <c r="M173" s="1272">
        <f>G173*1.8</f>
        <v>431395.2</v>
      </c>
      <c r="N173" s="1272">
        <f t="shared" si="91"/>
        <v>431395.2</v>
      </c>
      <c r="O173" s="1272">
        <f>G173*2</f>
        <v>479328</v>
      </c>
      <c r="P173" s="1301">
        <f>G173*2</f>
        <v>479328</v>
      </c>
      <c r="Q173" s="1302"/>
      <c r="R173" s="1302"/>
      <c r="S173" s="1302" t="s">
        <v>10136</v>
      </c>
      <c r="T173" s="1301"/>
      <c r="U173" s="1222"/>
      <c r="V173" s="1222"/>
      <c r="W173" s="1222"/>
      <c r="X173" s="1222"/>
      <c r="Y173" s="1222"/>
      <c r="Z173" s="1222"/>
      <c r="AA173" s="1222"/>
      <c r="AB173" s="1222"/>
      <c r="AC173" s="1222"/>
    </row>
    <row r="174" ht="15.75" customHeight="1">
      <c r="A174" s="1164"/>
      <c r="B174" s="1298" t="s">
        <v>11519</v>
      </c>
      <c r="C174" s="1303" t="s">
        <v>11832</v>
      </c>
      <c r="D174" s="1300" t="s">
        <v>11833</v>
      </c>
      <c r="E174" s="1279">
        <v>539000.0</v>
      </c>
      <c r="F174" s="1272">
        <f t="shared" si="32"/>
        <v>598290</v>
      </c>
      <c r="G174" s="1234">
        <f t="shared" si="33"/>
        <v>673119</v>
      </c>
      <c r="H174" s="1301">
        <f>G174*1.89</f>
        <v>1272194.91</v>
      </c>
      <c r="I174" s="1301"/>
      <c r="J174" s="1272">
        <f>P174*75%</f>
        <v>1272194.91</v>
      </c>
      <c r="K174" s="1272">
        <f>G174*2.142</f>
        <v>1441820.898</v>
      </c>
      <c r="L174" s="1272">
        <f t="shared" ref="L174:L183" si="94">P174*85%</f>
        <v>1441820.898</v>
      </c>
      <c r="M174" s="1272">
        <f>G174*2.268</f>
        <v>1526633.892</v>
      </c>
      <c r="N174" s="1272">
        <f t="shared" si="91"/>
        <v>1526633.892</v>
      </c>
      <c r="O174" s="1272">
        <f>G174*2.52</f>
        <v>1696259.88</v>
      </c>
      <c r="P174" s="1301">
        <f>G174*2.52</f>
        <v>1696259.88</v>
      </c>
      <c r="Q174" s="1302"/>
      <c r="R174" s="1302"/>
      <c r="S174" s="1302" t="s">
        <v>10136</v>
      </c>
      <c r="T174" s="1301"/>
      <c r="U174" s="1222"/>
      <c r="V174" s="1222"/>
      <c r="W174" s="1222"/>
      <c r="X174" s="1222"/>
      <c r="Y174" s="1222"/>
      <c r="Z174" s="1222"/>
      <c r="AA174" s="1222"/>
      <c r="AB174" s="1222"/>
      <c r="AC174" s="1222"/>
    </row>
    <row r="175" ht="15.75" customHeight="1">
      <c r="A175" s="1164"/>
      <c r="B175" s="1320" t="s">
        <v>11519</v>
      </c>
      <c r="C175" s="1321" t="s">
        <v>11834</v>
      </c>
      <c r="D175" s="1304" t="s">
        <v>11835</v>
      </c>
      <c r="E175" s="1272">
        <v>49000.0</v>
      </c>
      <c r="F175" s="1272">
        <f t="shared" si="32"/>
        <v>54390</v>
      </c>
      <c r="G175" s="1234">
        <f t="shared" si="33"/>
        <v>74829</v>
      </c>
      <c r="H175" s="1301">
        <f>G175*2.64</f>
        <v>197548.56</v>
      </c>
      <c r="I175" s="1301"/>
      <c r="J175" s="1272">
        <f t="shared" ref="J175:J179" si="95">P175*80%</f>
        <v>197548.56</v>
      </c>
      <c r="K175" s="1272">
        <f>G175*2.805</f>
        <v>209895.345</v>
      </c>
      <c r="L175" s="1272">
        <f t="shared" si="94"/>
        <v>209895.345</v>
      </c>
      <c r="M175" s="1272">
        <f>G175*2.97</f>
        <v>222242.13</v>
      </c>
      <c r="N175" s="1272">
        <f t="shared" si="91"/>
        <v>222242.13</v>
      </c>
      <c r="O175" s="1272">
        <f>G175*3.3</f>
        <v>246935.7</v>
      </c>
      <c r="P175" s="1301">
        <f>G175*3.3</f>
        <v>246935.7</v>
      </c>
      <c r="Q175" s="1302"/>
      <c r="R175" s="1302"/>
      <c r="S175" s="1302" t="s">
        <v>93</v>
      </c>
      <c r="T175" s="1301"/>
      <c r="U175" s="1222"/>
      <c r="V175" s="1222"/>
      <c r="W175" s="1222"/>
      <c r="X175" s="1222"/>
      <c r="Y175" s="1222"/>
      <c r="Z175" s="1222"/>
      <c r="AA175" s="1222"/>
      <c r="AB175" s="1222"/>
      <c r="AC175" s="1222"/>
    </row>
    <row r="176" ht="15.75" customHeight="1">
      <c r="A176" s="1164"/>
      <c r="B176" s="1317" t="s">
        <v>11519</v>
      </c>
      <c r="C176" s="1317" t="s">
        <v>11528</v>
      </c>
      <c r="D176" s="1318" t="s">
        <v>11836</v>
      </c>
      <c r="E176" s="1276">
        <v>411000.0</v>
      </c>
      <c r="F176" s="1272">
        <f t="shared" si="32"/>
        <v>456210</v>
      </c>
      <c r="G176" s="1234">
        <f t="shared" si="33"/>
        <v>516831</v>
      </c>
      <c r="H176" s="1308"/>
      <c r="I176" s="1308"/>
      <c r="J176" s="1309">
        <f t="shared" si="95"/>
        <v>0</v>
      </c>
      <c r="K176" s="1309"/>
      <c r="L176" s="1309">
        <f t="shared" si="94"/>
        <v>0</v>
      </c>
      <c r="M176" s="1309"/>
      <c r="N176" s="1309">
        <f t="shared" si="91"/>
        <v>0</v>
      </c>
      <c r="O176" s="1309"/>
      <c r="P176" s="1310"/>
      <c r="Q176" s="1311"/>
      <c r="R176" s="1311"/>
      <c r="S176" s="1311"/>
      <c r="T176" s="1310"/>
      <c r="U176" s="1222"/>
      <c r="V176" s="1222"/>
      <c r="W176" s="1222"/>
      <c r="X176" s="1222"/>
      <c r="Y176" s="1222"/>
      <c r="Z176" s="1222"/>
      <c r="AA176" s="1222"/>
      <c r="AB176" s="1222"/>
      <c r="AC176" s="1222"/>
    </row>
    <row r="177" ht="15.75" customHeight="1">
      <c r="A177" s="1164"/>
      <c r="B177" s="1298" t="s">
        <v>11519</v>
      </c>
      <c r="C177" s="1298" t="s">
        <v>11530</v>
      </c>
      <c r="D177" s="1300" t="s">
        <v>11837</v>
      </c>
      <c r="E177" s="1272">
        <v>505000.0</v>
      </c>
      <c r="F177" s="1272">
        <f t="shared" si="32"/>
        <v>560550</v>
      </c>
      <c r="G177" s="1234">
        <f t="shared" si="33"/>
        <v>631605</v>
      </c>
      <c r="H177" s="1308"/>
      <c r="I177" s="1308"/>
      <c r="J177" s="1309">
        <f t="shared" si="95"/>
        <v>0</v>
      </c>
      <c r="K177" s="1309"/>
      <c r="L177" s="1309">
        <f t="shared" si="94"/>
        <v>0</v>
      </c>
      <c r="M177" s="1309"/>
      <c r="N177" s="1309">
        <f t="shared" si="91"/>
        <v>0</v>
      </c>
      <c r="O177" s="1309"/>
      <c r="P177" s="1310"/>
      <c r="Q177" s="1311"/>
      <c r="R177" s="1311"/>
      <c r="S177" s="1311"/>
      <c r="T177" s="1310"/>
      <c r="U177" s="1222"/>
      <c r="V177" s="1222"/>
      <c r="W177" s="1222"/>
      <c r="X177" s="1222"/>
      <c r="Y177" s="1222"/>
      <c r="Z177" s="1222"/>
      <c r="AA177" s="1222"/>
      <c r="AB177" s="1222"/>
      <c r="AC177" s="1222"/>
    </row>
    <row r="178" ht="15.75" customHeight="1">
      <c r="A178" s="1164"/>
      <c r="B178" s="1320" t="s">
        <v>11519</v>
      </c>
      <c r="C178" s="1303" t="s">
        <v>11528</v>
      </c>
      <c r="D178" s="1300" t="s">
        <v>11838</v>
      </c>
      <c r="E178" s="1327">
        <v>85000.0</v>
      </c>
      <c r="F178" s="1272">
        <f t="shared" si="32"/>
        <v>94350</v>
      </c>
      <c r="G178" s="1234">
        <f t="shared" si="33"/>
        <v>118785</v>
      </c>
      <c r="H178" s="1301">
        <f>G178*1.76</f>
        <v>209061.6</v>
      </c>
      <c r="I178" s="1301"/>
      <c r="J178" s="1276">
        <f t="shared" si="95"/>
        <v>209061.6</v>
      </c>
      <c r="K178" s="1272">
        <f>G178*1.87</f>
        <v>222127.95</v>
      </c>
      <c r="L178" s="1272">
        <f t="shared" si="94"/>
        <v>222127.95</v>
      </c>
      <c r="M178" s="1272">
        <f>G178*1.98</f>
        <v>235194.3</v>
      </c>
      <c r="N178" s="1272">
        <f t="shared" si="91"/>
        <v>235194.3</v>
      </c>
      <c r="O178" s="1272">
        <f>G178*2.2</f>
        <v>261327</v>
      </c>
      <c r="P178" s="1301">
        <f>G178*2.2</f>
        <v>261327</v>
      </c>
      <c r="Q178" s="1302"/>
      <c r="R178" s="1302"/>
      <c r="S178" s="1302" t="s">
        <v>11839</v>
      </c>
      <c r="T178" s="1301"/>
      <c r="U178" s="1222"/>
      <c r="V178" s="1222"/>
      <c r="W178" s="1222"/>
      <c r="X178" s="1222"/>
      <c r="Y178" s="1222"/>
      <c r="Z178" s="1222"/>
      <c r="AA178" s="1222"/>
      <c r="AB178" s="1222"/>
      <c r="AC178" s="1222"/>
    </row>
    <row r="179" ht="15.75" customHeight="1">
      <c r="A179" s="1164"/>
      <c r="B179" s="1320" t="s">
        <v>11519</v>
      </c>
      <c r="C179" s="1303" t="s">
        <v>11528</v>
      </c>
      <c r="D179" s="1300" t="s">
        <v>11840</v>
      </c>
      <c r="E179" s="1327">
        <v>94000.0</v>
      </c>
      <c r="F179" s="1272">
        <f t="shared" si="32"/>
        <v>104340</v>
      </c>
      <c r="G179" s="1234">
        <f t="shared" si="33"/>
        <v>129774</v>
      </c>
      <c r="H179" s="1301">
        <f>G179*1.6</f>
        <v>207638.4</v>
      </c>
      <c r="I179" s="1301"/>
      <c r="J179" s="1276">
        <f t="shared" si="95"/>
        <v>207638.4</v>
      </c>
      <c r="K179" s="1272">
        <f>G179*1.7</f>
        <v>220615.8</v>
      </c>
      <c r="L179" s="1272">
        <f t="shared" si="94"/>
        <v>220615.8</v>
      </c>
      <c r="M179" s="1272">
        <f>G179*1.8</f>
        <v>233593.2</v>
      </c>
      <c r="N179" s="1272">
        <f t="shared" si="91"/>
        <v>233593.2</v>
      </c>
      <c r="O179" s="1272">
        <f>G179*2</f>
        <v>259548</v>
      </c>
      <c r="P179" s="1301">
        <f>G179*2</f>
        <v>259548</v>
      </c>
      <c r="Q179" s="1302"/>
      <c r="R179" s="1302"/>
      <c r="S179" s="1302" t="s">
        <v>11839</v>
      </c>
      <c r="T179" s="1301"/>
      <c r="U179" s="1222"/>
      <c r="V179" s="1222"/>
      <c r="W179" s="1222"/>
      <c r="X179" s="1222"/>
      <c r="Y179" s="1222"/>
      <c r="Z179" s="1222"/>
      <c r="AA179" s="1222"/>
      <c r="AB179" s="1222"/>
      <c r="AC179" s="1222"/>
    </row>
    <row r="180" ht="15.75" customHeight="1">
      <c r="A180" s="1164"/>
      <c r="B180" s="1298" t="s">
        <v>11519</v>
      </c>
      <c r="C180" s="1298" t="s">
        <v>11841</v>
      </c>
      <c r="D180" s="1300" t="s">
        <v>11842</v>
      </c>
      <c r="E180" s="1272">
        <v>490000.0</v>
      </c>
      <c r="F180" s="1272">
        <f t="shared" si="32"/>
        <v>543900</v>
      </c>
      <c r="G180" s="1234">
        <f t="shared" si="33"/>
        <v>613290</v>
      </c>
      <c r="H180" s="1301">
        <f>G180*1.638</f>
        <v>1004569.02</v>
      </c>
      <c r="I180" s="1301"/>
      <c r="J180" s="1272">
        <f>P180*78%</f>
        <v>1004569.02</v>
      </c>
      <c r="K180" s="1272">
        <f>G180*1.785</f>
        <v>1094722.65</v>
      </c>
      <c r="L180" s="1272">
        <f t="shared" si="94"/>
        <v>1094722.65</v>
      </c>
      <c r="M180" s="1272">
        <f>G180*1.89</f>
        <v>1159118.1</v>
      </c>
      <c r="N180" s="1272">
        <f t="shared" si="91"/>
        <v>1159118.1</v>
      </c>
      <c r="O180" s="1272">
        <f>G180*2.1</f>
        <v>1287909</v>
      </c>
      <c r="P180" s="1301">
        <f>G180*2.1</f>
        <v>1287909</v>
      </c>
      <c r="Q180" s="1302"/>
      <c r="R180" s="1302"/>
      <c r="S180" s="1302" t="s">
        <v>10136</v>
      </c>
      <c r="T180" s="1301"/>
      <c r="U180" s="1222"/>
      <c r="V180" s="1222"/>
      <c r="W180" s="1222"/>
      <c r="X180" s="1222"/>
      <c r="Y180" s="1222"/>
      <c r="Z180" s="1222"/>
      <c r="AA180" s="1222"/>
      <c r="AB180" s="1222"/>
      <c r="AC180" s="1222"/>
    </row>
    <row r="181" ht="15.75" customHeight="1">
      <c r="A181" s="1164"/>
      <c r="B181" s="1317" t="s">
        <v>11519</v>
      </c>
      <c r="C181" s="1317" t="s">
        <v>11520</v>
      </c>
      <c r="D181" s="1318" t="s">
        <v>11843</v>
      </c>
      <c r="E181" s="1276">
        <v>359000.0</v>
      </c>
      <c r="F181" s="1272">
        <f t="shared" si="32"/>
        <v>398490</v>
      </c>
      <c r="G181" s="1234">
        <f t="shared" si="33"/>
        <v>453339</v>
      </c>
      <c r="H181" s="1308"/>
      <c r="I181" s="1308"/>
      <c r="J181" s="1309">
        <f t="shared" ref="J181:J183" si="96">P181*80%</f>
        <v>0</v>
      </c>
      <c r="K181" s="1309"/>
      <c r="L181" s="1309">
        <f t="shared" si="94"/>
        <v>0</v>
      </c>
      <c r="M181" s="1309"/>
      <c r="N181" s="1309">
        <f t="shared" si="91"/>
        <v>0</v>
      </c>
      <c r="O181" s="1309"/>
      <c r="P181" s="1310"/>
      <c r="Q181" s="1311"/>
      <c r="R181" s="1311"/>
      <c r="S181" s="1311"/>
      <c r="T181" s="1310"/>
      <c r="U181" s="1222"/>
      <c r="V181" s="1222"/>
      <c r="W181" s="1222"/>
      <c r="X181" s="1222"/>
      <c r="Y181" s="1222"/>
      <c r="Z181" s="1222"/>
      <c r="AA181" s="1222"/>
      <c r="AB181" s="1222"/>
      <c r="AC181" s="1222"/>
    </row>
    <row r="182" ht="15.75" customHeight="1">
      <c r="A182" s="1164"/>
      <c r="B182" s="1320" t="s">
        <v>11519</v>
      </c>
      <c r="C182" s="1303" t="s">
        <v>11844</v>
      </c>
      <c r="D182" s="1304" t="s">
        <v>11845</v>
      </c>
      <c r="E182" s="1328">
        <v>49000.0</v>
      </c>
      <c r="F182" s="1272">
        <f t="shared" si="32"/>
        <v>54390</v>
      </c>
      <c r="G182" s="1234">
        <f t="shared" si="33"/>
        <v>74829</v>
      </c>
      <c r="H182" s="1301">
        <f>G182*2.64</f>
        <v>197548.56</v>
      </c>
      <c r="I182" s="1301"/>
      <c r="J182" s="1272">
        <f t="shared" si="96"/>
        <v>197548.56</v>
      </c>
      <c r="K182" s="1272">
        <f>G182*2.805</f>
        <v>209895.345</v>
      </c>
      <c r="L182" s="1272">
        <f t="shared" si="94"/>
        <v>209895.345</v>
      </c>
      <c r="M182" s="1272">
        <f>G182*2.97</f>
        <v>222242.13</v>
      </c>
      <c r="N182" s="1272">
        <f t="shared" si="91"/>
        <v>222242.13</v>
      </c>
      <c r="O182" s="1272">
        <f>G182*3.3</f>
        <v>246935.7</v>
      </c>
      <c r="P182" s="1301">
        <f>G182*3.3</f>
        <v>246935.7</v>
      </c>
      <c r="Q182" s="1302"/>
      <c r="R182" s="1302"/>
      <c r="S182" s="1302" t="s">
        <v>93</v>
      </c>
      <c r="T182" s="1301"/>
      <c r="U182" s="1222"/>
      <c r="V182" s="1222"/>
      <c r="W182" s="1222"/>
      <c r="X182" s="1222"/>
      <c r="Y182" s="1222"/>
      <c r="Z182" s="1222"/>
      <c r="AA182" s="1222"/>
      <c r="AB182" s="1222"/>
      <c r="AC182" s="1222"/>
    </row>
    <row r="183" ht="15.75" customHeight="1">
      <c r="A183" s="1164"/>
      <c r="B183" s="1317" t="s">
        <v>11519</v>
      </c>
      <c r="C183" s="1317" t="s">
        <v>11522</v>
      </c>
      <c r="D183" s="1318" t="s">
        <v>11846</v>
      </c>
      <c r="E183" s="1272">
        <v>418000.0</v>
      </c>
      <c r="F183" s="1272">
        <f t="shared" si="32"/>
        <v>463980</v>
      </c>
      <c r="G183" s="1234">
        <f t="shared" si="33"/>
        <v>525378</v>
      </c>
      <c r="H183" s="1308"/>
      <c r="I183" s="1308"/>
      <c r="J183" s="1309">
        <f t="shared" si="96"/>
        <v>0</v>
      </c>
      <c r="K183" s="1309"/>
      <c r="L183" s="1309">
        <f t="shared" si="94"/>
        <v>0</v>
      </c>
      <c r="M183" s="1309"/>
      <c r="N183" s="1309">
        <f t="shared" si="91"/>
        <v>0</v>
      </c>
      <c r="O183" s="1309"/>
      <c r="P183" s="1310"/>
      <c r="Q183" s="1311"/>
      <c r="R183" s="1311"/>
      <c r="S183" s="1311"/>
      <c r="T183" s="1310"/>
      <c r="U183" s="1222"/>
      <c r="V183" s="1222"/>
      <c r="W183" s="1222"/>
      <c r="X183" s="1222"/>
      <c r="Y183" s="1222"/>
      <c r="Z183" s="1222"/>
      <c r="AA183" s="1222"/>
      <c r="AB183" s="1222"/>
      <c r="AC183" s="1222"/>
    </row>
    <row r="184" ht="15.75" customHeight="1">
      <c r="A184" s="1164"/>
      <c r="B184" s="1298" t="s">
        <v>11519</v>
      </c>
      <c r="C184" s="1298" t="s">
        <v>11847</v>
      </c>
      <c r="D184" s="1300" t="s">
        <v>11848</v>
      </c>
      <c r="E184" s="1272">
        <v>409000.0</v>
      </c>
      <c r="F184" s="1272">
        <f t="shared" si="32"/>
        <v>453990</v>
      </c>
      <c r="G184" s="1234">
        <f t="shared" si="33"/>
        <v>514389</v>
      </c>
      <c r="H184" s="1301">
        <f>G184*2.287</f>
        <v>1176407.643</v>
      </c>
      <c r="I184" s="1301"/>
      <c r="J184" s="1272">
        <f>P184*75%</f>
        <v>1176664.838</v>
      </c>
      <c r="K184" s="1272">
        <f>G184*2.44</f>
        <v>1255109.16</v>
      </c>
      <c r="L184" s="1272">
        <f>P184*80%</f>
        <v>1255109.16</v>
      </c>
      <c r="M184" s="1272">
        <f>G184*2.745</f>
        <v>1411997.805</v>
      </c>
      <c r="N184" s="1272">
        <f t="shared" si="91"/>
        <v>1411997.805</v>
      </c>
      <c r="O184" s="1272">
        <f>G184*3.05</f>
        <v>1568886.45</v>
      </c>
      <c r="P184" s="1301">
        <f>G184*3.05</f>
        <v>1568886.45</v>
      </c>
      <c r="Q184" s="1302"/>
      <c r="R184" s="1302"/>
      <c r="S184" s="1302" t="s">
        <v>10136</v>
      </c>
      <c r="T184" s="1301"/>
      <c r="U184" s="1222"/>
      <c r="V184" s="1222"/>
      <c r="W184" s="1222"/>
      <c r="X184" s="1222"/>
      <c r="Y184" s="1222"/>
      <c r="Z184" s="1222"/>
      <c r="AA184" s="1222"/>
      <c r="AB184" s="1222"/>
      <c r="AC184" s="1222"/>
    </row>
    <row r="185" ht="15.75" customHeight="1">
      <c r="A185" s="1164"/>
      <c r="B185" s="1298" t="s">
        <v>11519</v>
      </c>
      <c r="C185" s="1299" t="s">
        <v>11623</v>
      </c>
      <c r="D185" s="1300" t="s">
        <v>11849</v>
      </c>
      <c r="E185" s="1272">
        <v>224000.0</v>
      </c>
      <c r="F185" s="1272">
        <f t="shared" si="32"/>
        <v>248640</v>
      </c>
      <c r="G185" s="1234">
        <f t="shared" si="33"/>
        <v>288504</v>
      </c>
      <c r="H185" s="1305"/>
      <c r="I185" s="1305"/>
      <c r="J185" s="1305"/>
      <c r="K185" s="1305"/>
      <c r="L185" s="1305"/>
      <c r="M185" s="1305"/>
      <c r="N185" s="1305"/>
      <c r="O185" s="1305"/>
      <c r="P185" s="1305"/>
      <c r="Q185" s="1302"/>
      <c r="R185" s="1302"/>
      <c r="S185" s="1302">
        <v>600000.0</v>
      </c>
      <c r="T185" s="1301" t="s">
        <v>11795</v>
      </c>
      <c r="U185" s="1222"/>
      <c r="V185" s="1222"/>
      <c r="W185" s="1222"/>
      <c r="X185" s="1222"/>
      <c r="Y185" s="1222"/>
      <c r="Z185" s="1222"/>
      <c r="AA185" s="1222"/>
      <c r="AB185" s="1222"/>
      <c r="AC185" s="1222"/>
    </row>
    <row r="186" ht="15.75" customHeight="1">
      <c r="A186" s="1164"/>
      <c r="B186" s="1317" t="s">
        <v>11519</v>
      </c>
      <c r="C186" s="1317" t="s">
        <v>11524</v>
      </c>
      <c r="D186" s="1318" t="s">
        <v>11850</v>
      </c>
      <c r="E186" s="1276">
        <v>403000.0</v>
      </c>
      <c r="F186" s="1272">
        <f t="shared" si="32"/>
        <v>447330</v>
      </c>
      <c r="G186" s="1234">
        <f t="shared" si="33"/>
        <v>507063</v>
      </c>
      <c r="H186" s="1308"/>
      <c r="I186" s="1308"/>
      <c r="J186" s="1309">
        <f>P186*80%</f>
        <v>0</v>
      </c>
      <c r="K186" s="1309"/>
      <c r="L186" s="1309">
        <f t="shared" ref="L186:L190" si="97">P186*85%</f>
        <v>0</v>
      </c>
      <c r="M186" s="1309"/>
      <c r="N186" s="1309">
        <f t="shared" ref="N186:N192" si="98">P186*90%</f>
        <v>0</v>
      </c>
      <c r="O186" s="1309"/>
      <c r="P186" s="1310"/>
      <c r="Q186" s="1311"/>
      <c r="R186" s="1311"/>
      <c r="S186" s="1311"/>
      <c r="T186" s="1310"/>
      <c r="U186" s="1222"/>
      <c r="V186" s="1222"/>
      <c r="W186" s="1222"/>
      <c r="X186" s="1222"/>
      <c r="Y186" s="1222"/>
      <c r="Z186" s="1222"/>
      <c r="AA186" s="1222"/>
      <c r="AB186" s="1222"/>
      <c r="AC186" s="1222"/>
    </row>
    <row r="187" ht="15.75" customHeight="1">
      <c r="A187" s="1164"/>
      <c r="B187" s="1298" t="s">
        <v>11519</v>
      </c>
      <c r="C187" s="1298" t="s">
        <v>11851</v>
      </c>
      <c r="D187" s="1300" t="s">
        <v>11852</v>
      </c>
      <c r="E187" s="1323">
        <v>520000.0</v>
      </c>
      <c r="F187" s="1272">
        <f t="shared" si="32"/>
        <v>577200</v>
      </c>
      <c r="G187" s="1234">
        <f t="shared" si="33"/>
        <v>649920</v>
      </c>
      <c r="H187" s="1301">
        <f>G187*1.566</f>
        <v>1017774.72</v>
      </c>
      <c r="I187" s="1301"/>
      <c r="J187" s="1272">
        <f>P187*58%</f>
        <v>1017774.72</v>
      </c>
      <c r="K187" s="1272">
        <f>G187*2.295</f>
        <v>1491566.4</v>
      </c>
      <c r="L187" s="1272">
        <f t="shared" si="97"/>
        <v>1491566.4</v>
      </c>
      <c r="M187" s="1272">
        <f>G187*2.43</f>
        <v>1579305.6</v>
      </c>
      <c r="N187" s="1272">
        <f t="shared" si="98"/>
        <v>1579305.6</v>
      </c>
      <c r="O187" s="1272">
        <f>G187*2.7</f>
        <v>1754784</v>
      </c>
      <c r="P187" s="1301">
        <f>G187*2.7</f>
        <v>1754784</v>
      </c>
      <c r="Q187" s="1302"/>
      <c r="R187" s="1302"/>
      <c r="S187" s="1302" t="s">
        <v>10136</v>
      </c>
      <c r="T187" s="1301"/>
      <c r="U187" s="1222"/>
      <c r="V187" s="1222"/>
      <c r="W187" s="1222"/>
      <c r="X187" s="1222"/>
      <c r="Y187" s="1222"/>
      <c r="Z187" s="1222"/>
      <c r="AA187" s="1222"/>
      <c r="AB187" s="1222"/>
      <c r="AC187" s="1222"/>
    </row>
    <row r="188" ht="15.75" customHeight="1">
      <c r="A188" s="1164"/>
      <c r="B188" s="1298" t="s">
        <v>11519</v>
      </c>
      <c r="C188" s="1298" t="s">
        <v>11853</v>
      </c>
      <c r="D188" s="1300" t="s">
        <v>11854</v>
      </c>
      <c r="E188" s="1323">
        <v>492000.0</v>
      </c>
      <c r="F188" s="1272">
        <f t="shared" si="32"/>
        <v>546120</v>
      </c>
      <c r="G188" s="1234">
        <f t="shared" si="33"/>
        <v>615732</v>
      </c>
      <c r="H188" s="1301">
        <f>G188*1.612</f>
        <v>992559.984</v>
      </c>
      <c r="I188" s="1301"/>
      <c r="J188" s="1272">
        <f>P188*75%</f>
        <v>992867.85</v>
      </c>
      <c r="K188" s="1272">
        <f>G188*1.827</f>
        <v>1124942.364</v>
      </c>
      <c r="L188" s="1272">
        <f t="shared" si="97"/>
        <v>1125250.23</v>
      </c>
      <c r="M188" s="1272">
        <f>G188*1.935</f>
        <v>1191441.42</v>
      </c>
      <c r="N188" s="1272">
        <f t="shared" si="98"/>
        <v>1191441.42</v>
      </c>
      <c r="O188" s="1272">
        <f>G188*2.15</f>
        <v>1323823.8</v>
      </c>
      <c r="P188" s="1301">
        <f>G188*2.15</f>
        <v>1323823.8</v>
      </c>
      <c r="Q188" s="1302"/>
      <c r="R188" s="1302"/>
      <c r="S188" s="1302" t="s">
        <v>10136</v>
      </c>
      <c r="T188" s="1301"/>
      <c r="U188" s="1222"/>
      <c r="V188" s="1222"/>
      <c r="W188" s="1222"/>
      <c r="X188" s="1222"/>
      <c r="Y188" s="1222"/>
      <c r="Z188" s="1222"/>
      <c r="AA188" s="1222"/>
      <c r="AB188" s="1222"/>
      <c r="AC188" s="1222"/>
    </row>
    <row r="189" ht="15.75" customHeight="1">
      <c r="A189" s="1164"/>
      <c r="B189" s="1298" t="s">
        <v>11519</v>
      </c>
      <c r="C189" s="1298" t="s">
        <v>11855</v>
      </c>
      <c r="D189" s="1300" t="s">
        <v>11856</v>
      </c>
      <c r="E189" s="1272">
        <v>387000.0</v>
      </c>
      <c r="F189" s="1272">
        <f t="shared" si="32"/>
        <v>429570</v>
      </c>
      <c r="G189" s="1234">
        <f t="shared" si="33"/>
        <v>487527</v>
      </c>
      <c r="H189" s="1301">
        <f>G189*2.04</f>
        <v>994555.08</v>
      </c>
      <c r="I189" s="1301"/>
      <c r="J189" s="1272">
        <f t="shared" ref="J189:J190" si="99">P189*80%</f>
        <v>994555.08</v>
      </c>
      <c r="K189" s="1272">
        <f>G189*2.167</f>
        <v>1056471.009</v>
      </c>
      <c r="L189" s="1272">
        <f t="shared" si="97"/>
        <v>1056714.773</v>
      </c>
      <c r="M189" s="1272">
        <f>G189*2.295</f>
        <v>1118874.465</v>
      </c>
      <c r="N189" s="1272">
        <f t="shared" si="98"/>
        <v>1118874.465</v>
      </c>
      <c r="O189" s="1272">
        <f>G189*2.55</f>
        <v>1243193.85</v>
      </c>
      <c r="P189" s="1301">
        <f>G189*2.55</f>
        <v>1243193.85</v>
      </c>
      <c r="Q189" s="1302"/>
      <c r="R189" s="1302"/>
      <c r="S189" s="1302" t="s">
        <v>10136</v>
      </c>
      <c r="T189" s="1301"/>
      <c r="U189" s="1222"/>
      <c r="V189" s="1222"/>
      <c r="W189" s="1222"/>
      <c r="X189" s="1222"/>
      <c r="Y189" s="1222"/>
      <c r="Z189" s="1222"/>
      <c r="AA189" s="1222"/>
      <c r="AB189" s="1222"/>
      <c r="AC189" s="1222"/>
    </row>
    <row r="190" ht="15.75" customHeight="1">
      <c r="A190" s="1164"/>
      <c r="B190" s="1329" t="s">
        <v>11857</v>
      </c>
      <c r="C190" s="1306" t="s">
        <v>11487</v>
      </c>
      <c r="D190" s="1330" t="s">
        <v>11858</v>
      </c>
      <c r="E190" s="1276">
        <v>333000.0</v>
      </c>
      <c r="F190" s="1272">
        <f t="shared" si="32"/>
        <v>369630</v>
      </c>
      <c r="G190" s="1234">
        <f t="shared" si="33"/>
        <v>421593</v>
      </c>
      <c r="H190" s="1308"/>
      <c r="I190" s="1308"/>
      <c r="J190" s="1309">
        <f t="shared" si="99"/>
        <v>0</v>
      </c>
      <c r="K190" s="1309"/>
      <c r="L190" s="1309">
        <f t="shared" si="97"/>
        <v>0</v>
      </c>
      <c r="M190" s="1309"/>
      <c r="N190" s="1309">
        <f t="shared" si="98"/>
        <v>0</v>
      </c>
      <c r="O190" s="1309"/>
      <c r="P190" s="1310"/>
      <c r="Q190" s="1311"/>
      <c r="R190" s="1311"/>
      <c r="S190" s="1311"/>
      <c r="T190" s="1310"/>
      <c r="U190" s="1222"/>
      <c r="V190" s="1222"/>
      <c r="W190" s="1222"/>
      <c r="X190" s="1222"/>
      <c r="Y190" s="1222"/>
      <c r="Z190" s="1222"/>
      <c r="AA190" s="1222"/>
      <c r="AB190" s="1222"/>
      <c r="AC190" s="1222"/>
    </row>
    <row r="191" ht="15.75" customHeight="1">
      <c r="A191" s="1164"/>
      <c r="B191" s="1303" t="s">
        <v>11857</v>
      </c>
      <c r="C191" s="1321" t="s">
        <v>11859</v>
      </c>
      <c r="D191" s="1304" t="s">
        <v>11860</v>
      </c>
      <c r="E191" s="1272">
        <v>230000.0</v>
      </c>
      <c r="F191" s="1272">
        <f t="shared" si="32"/>
        <v>255300</v>
      </c>
      <c r="G191" s="1234">
        <f t="shared" si="33"/>
        <v>295830</v>
      </c>
      <c r="H191" s="1301">
        <f>G191*1.4</f>
        <v>414162</v>
      </c>
      <c r="I191" s="1301"/>
      <c r="J191" s="1272">
        <f>P191*70%</f>
        <v>414162</v>
      </c>
      <c r="K191" s="1272">
        <f>G191*1.6</f>
        <v>473328</v>
      </c>
      <c r="L191" s="1272">
        <f>P191*80%</f>
        <v>473328</v>
      </c>
      <c r="M191" s="1272">
        <f>G191*1.8</f>
        <v>532494</v>
      </c>
      <c r="N191" s="1272">
        <f t="shared" si="98"/>
        <v>532494</v>
      </c>
      <c r="O191" s="1272">
        <f>G191*2</f>
        <v>591660</v>
      </c>
      <c r="P191" s="1301">
        <f>G191*2</f>
        <v>591660</v>
      </c>
      <c r="Q191" s="1302"/>
      <c r="R191" s="1302"/>
      <c r="S191" s="1302">
        <v>350000.0</v>
      </c>
      <c r="T191" s="1301" t="s">
        <v>11671</v>
      </c>
      <c r="U191" s="1222"/>
      <c r="V191" s="1222"/>
      <c r="W191" s="1222"/>
      <c r="X191" s="1222"/>
      <c r="Y191" s="1222"/>
      <c r="Z191" s="1222"/>
      <c r="AA191" s="1222"/>
      <c r="AB191" s="1222"/>
      <c r="AC191" s="1222"/>
    </row>
    <row r="192" ht="15.75" customHeight="1">
      <c r="A192" s="1164"/>
      <c r="B192" s="1329" t="s">
        <v>11857</v>
      </c>
      <c r="C192" s="1306" t="s">
        <v>11479</v>
      </c>
      <c r="D192" s="1330" t="s">
        <v>11861</v>
      </c>
      <c r="E192" s="1276">
        <v>400000.0</v>
      </c>
      <c r="F192" s="1272">
        <f t="shared" si="32"/>
        <v>444000</v>
      </c>
      <c r="G192" s="1234">
        <f t="shared" si="33"/>
        <v>503400</v>
      </c>
      <c r="H192" s="1308"/>
      <c r="I192" s="1308"/>
      <c r="J192" s="1309">
        <f>P192*80%</f>
        <v>0</v>
      </c>
      <c r="K192" s="1309"/>
      <c r="L192" s="1309">
        <f>P192*85%</f>
        <v>0</v>
      </c>
      <c r="M192" s="1309"/>
      <c r="N192" s="1309">
        <f t="shared" si="98"/>
        <v>0</v>
      </c>
      <c r="O192" s="1309"/>
      <c r="P192" s="1310"/>
      <c r="Q192" s="1311"/>
      <c r="R192" s="1311"/>
      <c r="S192" s="1311"/>
      <c r="T192" s="1310"/>
      <c r="U192" s="1222"/>
      <c r="V192" s="1222"/>
      <c r="W192" s="1222"/>
      <c r="X192" s="1222"/>
      <c r="Y192" s="1222"/>
      <c r="Z192" s="1222"/>
      <c r="AA192" s="1222"/>
      <c r="AB192" s="1222"/>
      <c r="AC192" s="1222"/>
    </row>
    <row r="193" ht="15.75" customHeight="1">
      <c r="A193" s="1164"/>
      <c r="B193" s="1303" t="s">
        <v>11857</v>
      </c>
      <c r="C193" s="1303" t="s">
        <v>11479</v>
      </c>
      <c r="D193" s="1304" t="s">
        <v>11861</v>
      </c>
      <c r="E193" s="1272">
        <v>52000.0</v>
      </c>
      <c r="F193" s="1272">
        <f t="shared" si="32"/>
        <v>57720</v>
      </c>
      <c r="G193" s="1234">
        <f t="shared" si="33"/>
        <v>78492</v>
      </c>
      <c r="H193" s="1301">
        <f>G193*3.6</f>
        <v>282571.2</v>
      </c>
      <c r="I193" s="1301"/>
      <c r="J193" s="1272">
        <f>P193*60%</f>
        <v>282571.2</v>
      </c>
      <c r="K193" s="1272">
        <f>G193*4.2</f>
        <v>329666.4</v>
      </c>
      <c r="L193" s="1272">
        <f>P193*70%</f>
        <v>329666.4</v>
      </c>
      <c r="M193" s="1272">
        <f>G193*4.8</f>
        <v>376761.6</v>
      </c>
      <c r="N193" s="1272">
        <f>P193*80%</f>
        <v>376761.6</v>
      </c>
      <c r="O193" s="1272">
        <f>G193*6</f>
        <v>470952</v>
      </c>
      <c r="P193" s="1301">
        <f>G193*6</f>
        <v>470952</v>
      </c>
      <c r="Q193" s="1302"/>
      <c r="R193" s="1302"/>
      <c r="S193" s="1302">
        <v>300000.0</v>
      </c>
      <c r="T193" s="1301" t="s">
        <v>11671</v>
      </c>
      <c r="U193" s="1222"/>
      <c r="V193" s="1222"/>
      <c r="W193" s="1222"/>
      <c r="X193" s="1222"/>
      <c r="Y193" s="1222"/>
      <c r="Z193" s="1222"/>
      <c r="AA193" s="1222"/>
      <c r="AB193" s="1222"/>
      <c r="AC193" s="1222"/>
    </row>
    <row r="194" ht="15.75" customHeight="1">
      <c r="A194" s="1164"/>
      <c r="B194" s="1329" t="s">
        <v>11857</v>
      </c>
      <c r="C194" s="1306" t="s">
        <v>11481</v>
      </c>
      <c r="D194" s="1330" t="s">
        <v>11862</v>
      </c>
      <c r="E194" s="1276">
        <v>400000.0</v>
      </c>
      <c r="F194" s="1272">
        <f t="shared" si="32"/>
        <v>444000</v>
      </c>
      <c r="G194" s="1234">
        <f t="shared" si="33"/>
        <v>503400</v>
      </c>
      <c r="H194" s="1308"/>
      <c r="I194" s="1308"/>
      <c r="J194" s="1309">
        <f>P194*80%</f>
        <v>0</v>
      </c>
      <c r="K194" s="1309"/>
      <c r="L194" s="1309">
        <f t="shared" ref="L194:L196" si="100">P194*85%</f>
        <v>0</v>
      </c>
      <c r="M194" s="1309"/>
      <c r="N194" s="1309">
        <f t="shared" ref="N194:N206" si="101">P194*90%</f>
        <v>0</v>
      </c>
      <c r="O194" s="1309"/>
      <c r="P194" s="1310"/>
      <c r="Q194" s="1311"/>
      <c r="R194" s="1311"/>
      <c r="S194" s="1311"/>
      <c r="T194" s="1310"/>
      <c r="U194" s="1222"/>
      <c r="V194" s="1222"/>
      <c r="W194" s="1222"/>
      <c r="X194" s="1222"/>
      <c r="Y194" s="1222"/>
      <c r="Z194" s="1222"/>
      <c r="AA194" s="1222"/>
      <c r="AB194" s="1222"/>
      <c r="AC194" s="1222"/>
    </row>
    <row r="195" ht="15.75" customHeight="1">
      <c r="A195" s="1164"/>
      <c r="B195" s="1303" t="s">
        <v>11857</v>
      </c>
      <c r="C195" s="1303" t="s">
        <v>11863</v>
      </c>
      <c r="D195" s="1304" t="s">
        <v>11864</v>
      </c>
      <c r="E195" s="1272">
        <v>69000.0</v>
      </c>
      <c r="F195" s="1272">
        <f t="shared" si="32"/>
        <v>76590</v>
      </c>
      <c r="G195" s="1234">
        <f t="shared" si="33"/>
        <v>99249</v>
      </c>
      <c r="H195" s="1301">
        <f t="shared" ref="H195:H196" si="102">G195*2.1</f>
        <v>208422.9</v>
      </c>
      <c r="I195" s="1301"/>
      <c r="J195" s="1276">
        <f t="shared" ref="J195:J197" si="103">P195*70%</f>
        <v>208422.9</v>
      </c>
      <c r="K195" s="1272">
        <f t="shared" ref="K195:K196" si="104">G195*2.55</f>
        <v>253084.95</v>
      </c>
      <c r="L195" s="1272">
        <f t="shared" si="100"/>
        <v>253084.95</v>
      </c>
      <c r="M195" s="1272">
        <f t="shared" ref="M195:M196" si="105">G195*2.7</f>
        <v>267972.3</v>
      </c>
      <c r="N195" s="1272">
        <f t="shared" si="101"/>
        <v>267972.3</v>
      </c>
      <c r="O195" s="1272">
        <f t="shared" ref="O195:O196" si="106">G195*3</f>
        <v>297747</v>
      </c>
      <c r="P195" s="1301">
        <f t="shared" ref="P195:P196" si="107">G195*3</f>
        <v>297747</v>
      </c>
      <c r="Q195" s="1302"/>
      <c r="R195" s="1302"/>
      <c r="S195" s="1302">
        <v>300000.0</v>
      </c>
      <c r="T195" s="1301" t="s">
        <v>11671</v>
      </c>
      <c r="U195" s="1222"/>
      <c r="V195" s="1222"/>
      <c r="W195" s="1222"/>
      <c r="X195" s="1222"/>
      <c r="Y195" s="1222"/>
      <c r="Z195" s="1222"/>
      <c r="AA195" s="1222"/>
      <c r="AB195" s="1222"/>
      <c r="AC195" s="1222"/>
    </row>
    <row r="196" ht="15.75" customHeight="1">
      <c r="A196" s="1164"/>
      <c r="B196" s="1303" t="s">
        <v>11857</v>
      </c>
      <c r="C196" s="1303" t="s">
        <v>11865</v>
      </c>
      <c r="D196" s="1304" t="s">
        <v>11866</v>
      </c>
      <c r="E196" s="1272">
        <v>69000.0</v>
      </c>
      <c r="F196" s="1272">
        <f t="shared" si="32"/>
        <v>76590</v>
      </c>
      <c r="G196" s="1234">
        <f t="shared" si="33"/>
        <v>99249</v>
      </c>
      <c r="H196" s="1301">
        <f t="shared" si="102"/>
        <v>208422.9</v>
      </c>
      <c r="I196" s="1301"/>
      <c r="J196" s="1276">
        <f t="shared" si="103"/>
        <v>208422.9</v>
      </c>
      <c r="K196" s="1272">
        <f t="shared" si="104"/>
        <v>253084.95</v>
      </c>
      <c r="L196" s="1272">
        <f t="shared" si="100"/>
        <v>253084.95</v>
      </c>
      <c r="M196" s="1272">
        <f t="shared" si="105"/>
        <v>267972.3</v>
      </c>
      <c r="N196" s="1272">
        <f t="shared" si="101"/>
        <v>267972.3</v>
      </c>
      <c r="O196" s="1272">
        <f t="shared" si="106"/>
        <v>297747</v>
      </c>
      <c r="P196" s="1301">
        <f t="shared" si="107"/>
        <v>297747</v>
      </c>
      <c r="Q196" s="1302"/>
      <c r="R196" s="1302"/>
      <c r="S196" s="1302">
        <v>300000.0</v>
      </c>
      <c r="T196" s="1301" t="s">
        <v>11671</v>
      </c>
      <c r="U196" s="1222"/>
      <c r="V196" s="1222"/>
      <c r="W196" s="1222"/>
      <c r="X196" s="1222"/>
      <c r="Y196" s="1222"/>
      <c r="Z196" s="1222"/>
      <c r="AA196" s="1222"/>
      <c r="AB196" s="1222"/>
      <c r="AC196" s="1222"/>
    </row>
    <row r="197" ht="15.75" customHeight="1">
      <c r="A197" s="1164"/>
      <c r="B197" s="1303" t="s">
        <v>11857</v>
      </c>
      <c r="C197" s="1303" t="s">
        <v>11867</v>
      </c>
      <c r="D197" s="1304" t="s">
        <v>11868</v>
      </c>
      <c r="E197" s="1272">
        <v>238000.0</v>
      </c>
      <c r="F197" s="1272">
        <f t="shared" si="32"/>
        <v>264180</v>
      </c>
      <c r="G197" s="1234">
        <f t="shared" si="33"/>
        <v>305598</v>
      </c>
      <c r="H197" s="1301">
        <f>G197*1.4</f>
        <v>427837.2</v>
      </c>
      <c r="I197" s="1301"/>
      <c r="J197" s="1272">
        <f t="shared" si="103"/>
        <v>427837.2</v>
      </c>
      <c r="K197" s="1272">
        <f>G197*1.6</f>
        <v>488956.8</v>
      </c>
      <c r="L197" s="1272">
        <f>P197*80%</f>
        <v>488956.8</v>
      </c>
      <c r="M197" s="1272">
        <f>G197*1.8</f>
        <v>550076.4</v>
      </c>
      <c r="N197" s="1272">
        <f t="shared" si="101"/>
        <v>550076.4</v>
      </c>
      <c r="O197" s="1272">
        <f>G197*2</f>
        <v>611196</v>
      </c>
      <c r="P197" s="1301">
        <f>G197*2</f>
        <v>611196</v>
      </c>
      <c r="Q197" s="1302"/>
      <c r="R197" s="1302"/>
      <c r="S197" s="1302">
        <v>350000.0</v>
      </c>
      <c r="T197" s="1301" t="s">
        <v>11671</v>
      </c>
      <c r="U197" s="1222"/>
      <c r="V197" s="1222"/>
      <c r="W197" s="1222"/>
      <c r="X197" s="1222"/>
      <c r="Y197" s="1222"/>
      <c r="Z197" s="1222"/>
      <c r="AA197" s="1222"/>
      <c r="AB197" s="1222"/>
      <c r="AC197" s="1222"/>
    </row>
    <row r="198" ht="15.75" customHeight="1">
      <c r="A198" s="1164"/>
      <c r="B198" s="1329" t="s">
        <v>11857</v>
      </c>
      <c r="C198" s="1306" t="s">
        <v>11483</v>
      </c>
      <c r="D198" s="1330" t="s">
        <v>11869</v>
      </c>
      <c r="E198" s="1276">
        <v>400000.0</v>
      </c>
      <c r="F198" s="1272">
        <f t="shared" si="32"/>
        <v>444000</v>
      </c>
      <c r="G198" s="1234">
        <f t="shared" si="33"/>
        <v>503400</v>
      </c>
      <c r="H198" s="1308"/>
      <c r="I198" s="1308"/>
      <c r="J198" s="1309">
        <f t="shared" ref="J198:J200" si="108">P198*80%</f>
        <v>0</v>
      </c>
      <c r="K198" s="1309"/>
      <c r="L198" s="1309">
        <f t="shared" ref="L198:L200" si="109">P198*85%</f>
        <v>0</v>
      </c>
      <c r="M198" s="1309"/>
      <c r="N198" s="1309">
        <f t="shared" si="101"/>
        <v>0</v>
      </c>
      <c r="O198" s="1309"/>
      <c r="P198" s="1310"/>
      <c r="Q198" s="1311"/>
      <c r="R198" s="1311"/>
      <c r="S198" s="1311"/>
      <c r="T198" s="1310"/>
      <c r="U198" s="1222"/>
      <c r="V198" s="1222"/>
      <c r="W198" s="1222"/>
      <c r="X198" s="1222"/>
      <c r="Y198" s="1222"/>
      <c r="Z198" s="1222"/>
      <c r="AA198" s="1222"/>
      <c r="AB198" s="1222"/>
      <c r="AC198" s="1222"/>
    </row>
    <row r="199" ht="15.75" customHeight="1">
      <c r="A199" s="1164"/>
      <c r="B199" s="1329" t="s">
        <v>11857</v>
      </c>
      <c r="C199" s="1331" t="s">
        <v>11870</v>
      </c>
      <c r="D199" s="1330" t="s">
        <v>11871</v>
      </c>
      <c r="E199" s="1276">
        <v>495000.0</v>
      </c>
      <c r="F199" s="1272">
        <f t="shared" si="32"/>
        <v>549450</v>
      </c>
      <c r="G199" s="1234">
        <f t="shared" si="33"/>
        <v>619395</v>
      </c>
      <c r="H199" s="1308"/>
      <c r="I199" s="1308"/>
      <c r="J199" s="1309">
        <f t="shared" si="108"/>
        <v>0</v>
      </c>
      <c r="K199" s="1309"/>
      <c r="L199" s="1309">
        <f t="shared" si="109"/>
        <v>0</v>
      </c>
      <c r="M199" s="1309"/>
      <c r="N199" s="1309">
        <f t="shared" si="101"/>
        <v>0</v>
      </c>
      <c r="O199" s="1309"/>
      <c r="P199" s="1310"/>
      <c r="Q199" s="1311"/>
      <c r="R199" s="1311"/>
      <c r="S199" s="1311"/>
      <c r="T199" s="1310"/>
      <c r="U199" s="1222"/>
      <c r="V199" s="1222"/>
      <c r="W199" s="1222"/>
      <c r="X199" s="1222"/>
      <c r="Y199" s="1222"/>
      <c r="Z199" s="1222"/>
      <c r="AA199" s="1222"/>
      <c r="AB199" s="1222"/>
      <c r="AC199" s="1222"/>
    </row>
    <row r="200" ht="15.75" customHeight="1">
      <c r="A200" s="1164"/>
      <c r="B200" s="1329" t="s">
        <v>11857</v>
      </c>
      <c r="C200" s="1306" t="s">
        <v>11489</v>
      </c>
      <c r="D200" s="1330" t="s">
        <v>11872</v>
      </c>
      <c r="E200" s="1276">
        <v>413000.0</v>
      </c>
      <c r="F200" s="1272">
        <f t="shared" si="32"/>
        <v>458430</v>
      </c>
      <c r="G200" s="1234">
        <f t="shared" si="33"/>
        <v>519273</v>
      </c>
      <c r="H200" s="1308"/>
      <c r="I200" s="1308"/>
      <c r="J200" s="1309">
        <f t="shared" si="108"/>
        <v>0</v>
      </c>
      <c r="K200" s="1309"/>
      <c r="L200" s="1309">
        <f t="shared" si="109"/>
        <v>0</v>
      </c>
      <c r="M200" s="1309"/>
      <c r="N200" s="1309">
        <f t="shared" si="101"/>
        <v>0</v>
      </c>
      <c r="O200" s="1309"/>
      <c r="P200" s="1310"/>
      <c r="Q200" s="1311"/>
      <c r="R200" s="1311"/>
      <c r="S200" s="1311"/>
      <c r="T200" s="1310"/>
      <c r="U200" s="1222"/>
      <c r="V200" s="1222"/>
      <c r="W200" s="1222"/>
      <c r="X200" s="1222"/>
      <c r="Y200" s="1222"/>
      <c r="Z200" s="1222"/>
      <c r="AA200" s="1222"/>
      <c r="AB200" s="1222"/>
      <c r="AC200" s="1222"/>
    </row>
    <row r="201" ht="15.75" customHeight="1">
      <c r="A201" s="1164"/>
      <c r="B201" s="1303" t="s">
        <v>11857</v>
      </c>
      <c r="C201" s="1303" t="s">
        <v>11873</v>
      </c>
      <c r="D201" s="1304" t="s">
        <v>11874</v>
      </c>
      <c r="E201" s="1272">
        <v>245000.0</v>
      </c>
      <c r="F201" s="1272">
        <f t="shared" si="32"/>
        <v>271950</v>
      </c>
      <c r="G201" s="1234">
        <f t="shared" si="33"/>
        <v>314145</v>
      </c>
      <c r="H201" s="1301">
        <f>G201*1.4</f>
        <v>439803</v>
      </c>
      <c r="I201" s="1301"/>
      <c r="J201" s="1272">
        <f>P201*70%</f>
        <v>439803</v>
      </c>
      <c r="K201" s="1272">
        <f>G201*1.6</f>
        <v>502632</v>
      </c>
      <c r="L201" s="1272">
        <f>P201*80%</f>
        <v>502632</v>
      </c>
      <c r="M201" s="1272">
        <f>G201*1.8</f>
        <v>565461</v>
      </c>
      <c r="N201" s="1272">
        <f t="shared" si="101"/>
        <v>565461</v>
      </c>
      <c r="O201" s="1272">
        <f>G201*2</f>
        <v>628290</v>
      </c>
      <c r="P201" s="1301">
        <f>G201*2</f>
        <v>628290</v>
      </c>
      <c r="Q201" s="1302"/>
      <c r="R201" s="1302"/>
      <c r="S201" s="1302">
        <v>350000.0</v>
      </c>
      <c r="T201" s="1301" t="s">
        <v>11671</v>
      </c>
      <c r="U201" s="1222"/>
      <c r="V201" s="1222"/>
      <c r="W201" s="1222"/>
      <c r="X201" s="1222"/>
      <c r="Y201" s="1222"/>
      <c r="Z201" s="1222"/>
      <c r="AA201" s="1222"/>
      <c r="AB201" s="1222"/>
      <c r="AC201" s="1222"/>
    </row>
    <row r="202" ht="15.75" customHeight="1">
      <c r="A202" s="1164"/>
      <c r="B202" s="1303" t="s">
        <v>11857</v>
      </c>
      <c r="C202" s="1303" t="s">
        <v>11875</v>
      </c>
      <c r="D202" s="1304" t="s">
        <v>11876</v>
      </c>
      <c r="E202" s="1272">
        <v>103000.0</v>
      </c>
      <c r="F202" s="1272">
        <f t="shared" si="32"/>
        <v>114330</v>
      </c>
      <c r="G202" s="1234">
        <f t="shared" si="33"/>
        <v>140763</v>
      </c>
      <c r="H202" s="1301">
        <f>G202*1.567</f>
        <v>220575.621</v>
      </c>
      <c r="I202" s="1301"/>
      <c r="J202" s="1272">
        <f>P202*49%</f>
        <v>220716.384</v>
      </c>
      <c r="K202" s="1272">
        <f>G202*2.72</f>
        <v>382875.36</v>
      </c>
      <c r="L202" s="1272">
        <f t="shared" ref="L202:L205" si="110">P202*85%</f>
        <v>382875.36</v>
      </c>
      <c r="M202" s="1272">
        <f>G202*2.88</f>
        <v>405397.44</v>
      </c>
      <c r="N202" s="1272">
        <f t="shared" si="101"/>
        <v>405397.44</v>
      </c>
      <c r="O202" s="1272">
        <f>G202*3.2</f>
        <v>450441.6</v>
      </c>
      <c r="P202" s="1301">
        <f>G202*3.2</f>
        <v>450441.6</v>
      </c>
      <c r="Q202" s="1302"/>
      <c r="R202" s="1302"/>
      <c r="S202" s="1302">
        <v>200000.0</v>
      </c>
      <c r="T202" s="1301"/>
      <c r="U202" s="1222"/>
      <c r="V202" s="1222"/>
      <c r="W202" s="1222"/>
      <c r="X202" s="1222"/>
      <c r="Y202" s="1222"/>
      <c r="Z202" s="1222"/>
      <c r="AA202" s="1222"/>
      <c r="AB202" s="1222"/>
      <c r="AC202" s="1222"/>
    </row>
    <row r="203" ht="15.75" customHeight="1">
      <c r="A203" s="1164"/>
      <c r="B203" s="1303" t="s">
        <v>11857</v>
      </c>
      <c r="C203" s="1303" t="s">
        <v>11877</v>
      </c>
      <c r="D203" s="1304" t="s">
        <v>11878</v>
      </c>
      <c r="E203" s="1272">
        <v>52000.0</v>
      </c>
      <c r="F203" s="1272">
        <f t="shared" si="32"/>
        <v>57720</v>
      </c>
      <c r="G203" s="1234">
        <f t="shared" si="33"/>
        <v>78492</v>
      </c>
      <c r="H203" s="1301">
        <f>G203*3</f>
        <v>235476</v>
      </c>
      <c r="I203" s="1301"/>
      <c r="J203" s="1272">
        <f>P203*50%</f>
        <v>235476</v>
      </c>
      <c r="K203" s="1272">
        <f>G203*5.1</f>
        <v>400309.2</v>
      </c>
      <c r="L203" s="1272">
        <f t="shared" si="110"/>
        <v>400309.2</v>
      </c>
      <c r="M203" s="1272">
        <f>G203*5.4</f>
        <v>423856.8</v>
      </c>
      <c r="N203" s="1272">
        <f t="shared" si="101"/>
        <v>423856.8</v>
      </c>
      <c r="O203" s="1272">
        <f>G203*6</f>
        <v>470952</v>
      </c>
      <c r="P203" s="1301">
        <f>G203*6</f>
        <v>470952</v>
      </c>
      <c r="Q203" s="1302"/>
      <c r="R203" s="1302"/>
      <c r="S203" s="1302">
        <v>200000.0</v>
      </c>
      <c r="T203" s="1301" t="s">
        <v>11671</v>
      </c>
      <c r="U203" s="1222"/>
      <c r="V203" s="1222"/>
      <c r="W203" s="1222"/>
      <c r="X203" s="1222"/>
      <c r="Y203" s="1222"/>
      <c r="Z203" s="1222"/>
      <c r="AA203" s="1222"/>
      <c r="AB203" s="1222"/>
      <c r="AC203" s="1222"/>
    </row>
    <row r="204" ht="15.75" customHeight="1">
      <c r="A204" s="1164"/>
      <c r="B204" s="1329" t="s">
        <v>11857</v>
      </c>
      <c r="C204" s="1306" t="s">
        <v>11491</v>
      </c>
      <c r="D204" s="1330" t="s">
        <v>11879</v>
      </c>
      <c r="E204" s="1276">
        <v>466000.0</v>
      </c>
      <c r="F204" s="1272">
        <f t="shared" si="32"/>
        <v>517260</v>
      </c>
      <c r="G204" s="1234">
        <f t="shared" si="33"/>
        <v>583986</v>
      </c>
      <c r="H204" s="1308"/>
      <c r="I204" s="1308"/>
      <c r="J204" s="1309">
        <f t="shared" ref="J204:J205" si="111">P204*80%</f>
        <v>0</v>
      </c>
      <c r="K204" s="1309"/>
      <c r="L204" s="1309">
        <f t="shared" si="110"/>
        <v>0</v>
      </c>
      <c r="M204" s="1309"/>
      <c r="N204" s="1309">
        <f t="shared" si="101"/>
        <v>0</v>
      </c>
      <c r="O204" s="1309"/>
      <c r="P204" s="1310"/>
      <c r="Q204" s="1311"/>
      <c r="R204" s="1311"/>
      <c r="S204" s="1311"/>
      <c r="T204" s="1310"/>
      <c r="U204" s="1222"/>
      <c r="V204" s="1222"/>
      <c r="W204" s="1222"/>
      <c r="X204" s="1222"/>
      <c r="Y204" s="1222"/>
      <c r="Z204" s="1222"/>
      <c r="AA204" s="1222"/>
      <c r="AB204" s="1222"/>
      <c r="AC204" s="1222"/>
    </row>
    <row r="205" ht="15.75" hidden="1" customHeight="1">
      <c r="A205" s="1164"/>
      <c r="B205" s="1329" t="s">
        <v>11857</v>
      </c>
      <c r="C205" s="1306" t="s">
        <v>11493</v>
      </c>
      <c r="D205" s="1330" t="s">
        <v>11880</v>
      </c>
      <c r="E205" s="1276">
        <v>475000.0</v>
      </c>
      <c r="F205" s="1272">
        <f t="shared" si="32"/>
        <v>527250</v>
      </c>
      <c r="G205" s="1332">
        <f>F205*1.1</f>
        <v>579975</v>
      </c>
      <c r="H205" s="1308"/>
      <c r="I205" s="1308"/>
      <c r="J205" s="1309">
        <f t="shared" si="111"/>
        <v>0</v>
      </c>
      <c r="K205" s="1309"/>
      <c r="L205" s="1309">
        <f t="shared" si="110"/>
        <v>0</v>
      </c>
      <c r="M205" s="1309"/>
      <c r="N205" s="1309">
        <f t="shared" si="101"/>
        <v>0</v>
      </c>
      <c r="O205" s="1309"/>
      <c r="P205" s="1310"/>
      <c r="Q205" s="1311"/>
      <c r="R205" s="1311"/>
      <c r="S205" s="1311"/>
      <c r="T205" s="1310"/>
      <c r="U205" s="1222"/>
      <c r="V205" s="1222"/>
      <c r="W205" s="1222"/>
      <c r="X205" s="1222"/>
      <c r="Y205" s="1222"/>
      <c r="Z205" s="1222"/>
      <c r="AA205" s="1222"/>
      <c r="AB205" s="1222"/>
      <c r="AC205" s="1222"/>
    </row>
    <row r="206" ht="15.75" customHeight="1">
      <c r="A206" s="1164"/>
      <c r="B206" s="1333" t="s">
        <v>11857</v>
      </c>
      <c r="C206" s="1303" t="s">
        <v>11881</v>
      </c>
      <c r="D206" s="1334" t="s">
        <v>11882</v>
      </c>
      <c r="E206" s="1272">
        <v>350000.0</v>
      </c>
      <c r="F206" s="1272">
        <f t="shared" si="32"/>
        <v>388500</v>
      </c>
      <c r="G206" s="1234">
        <f t="shared" ref="G206:G231" si="112">(F206*1.1)+15000</f>
        <v>442350</v>
      </c>
      <c r="H206" s="1301">
        <f>G206*1.75</f>
        <v>774112.5</v>
      </c>
      <c r="I206" s="1301"/>
      <c r="J206" s="1272">
        <f>P206*70%</f>
        <v>774112.5</v>
      </c>
      <c r="K206" s="1272">
        <f>G206*2</f>
        <v>884700</v>
      </c>
      <c r="L206" s="1272">
        <f>P206*80%</f>
        <v>884700</v>
      </c>
      <c r="M206" s="1272">
        <f>G206*2.25</f>
        <v>995287.5</v>
      </c>
      <c r="N206" s="1272">
        <f t="shared" si="101"/>
        <v>995287.5</v>
      </c>
      <c r="O206" s="1272">
        <f>G206*2.5</f>
        <v>1105875</v>
      </c>
      <c r="P206" s="1301">
        <f>G206*2.5</f>
        <v>1105875</v>
      </c>
      <c r="Q206" s="1302"/>
      <c r="R206" s="1302"/>
      <c r="S206" s="1302">
        <v>400000.0</v>
      </c>
      <c r="T206" s="1301" t="s">
        <v>11671</v>
      </c>
      <c r="U206" s="1222"/>
      <c r="V206" s="1222"/>
      <c r="W206" s="1222"/>
      <c r="X206" s="1222"/>
      <c r="Y206" s="1222"/>
      <c r="Z206" s="1222"/>
      <c r="AA206" s="1222"/>
      <c r="AB206" s="1222"/>
      <c r="AC206" s="1222"/>
    </row>
    <row r="207" ht="15.75" customHeight="1">
      <c r="A207" s="1164"/>
      <c r="B207" s="1298" t="s">
        <v>11532</v>
      </c>
      <c r="C207" s="1298" t="s">
        <v>11629</v>
      </c>
      <c r="D207" s="1300" t="s">
        <v>11883</v>
      </c>
      <c r="E207" s="1272">
        <v>548000.0</v>
      </c>
      <c r="F207" s="1272">
        <f t="shared" si="32"/>
        <v>608280</v>
      </c>
      <c r="G207" s="1234">
        <f t="shared" si="112"/>
        <v>684108</v>
      </c>
      <c r="H207" s="1305"/>
      <c r="I207" s="1305"/>
      <c r="J207" s="1305"/>
      <c r="K207" s="1305"/>
      <c r="L207" s="1335"/>
      <c r="M207" s="1335"/>
      <c r="N207" s="1305"/>
      <c r="O207" s="1305"/>
      <c r="P207" s="1305"/>
      <c r="Q207" s="1302"/>
      <c r="R207" s="1302"/>
      <c r="S207" s="1302" t="s">
        <v>10136</v>
      </c>
      <c r="T207" s="1301"/>
      <c r="U207" s="1222"/>
      <c r="V207" s="1222"/>
      <c r="W207" s="1222"/>
      <c r="X207" s="1222"/>
      <c r="Y207" s="1222"/>
      <c r="Z207" s="1222"/>
      <c r="AA207" s="1222"/>
      <c r="AB207" s="1222"/>
      <c r="AC207" s="1222"/>
    </row>
    <row r="208" ht="15.75" customHeight="1">
      <c r="A208" s="1164"/>
      <c r="B208" s="1333" t="s">
        <v>11532</v>
      </c>
      <c r="C208" s="1303" t="s">
        <v>11631</v>
      </c>
      <c r="D208" s="1334" t="s">
        <v>11884</v>
      </c>
      <c r="E208" s="1279">
        <v>601000.0</v>
      </c>
      <c r="F208" s="1279">
        <f t="shared" si="32"/>
        <v>667110</v>
      </c>
      <c r="G208" s="1234">
        <f t="shared" si="112"/>
        <v>748821</v>
      </c>
      <c r="H208" s="1305"/>
      <c r="I208" s="1305"/>
      <c r="J208" s="1305"/>
      <c r="K208" s="1305"/>
      <c r="L208" s="1305"/>
      <c r="M208" s="1305"/>
      <c r="N208" s="1305"/>
      <c r="O208" s="1305"/>
      <c r="P208" s="1305"/>
      <c r="Q208" s="1302"/>
      <c r="R208" s="1302"/>
      <c r="S208" s="1302" t="s">
        <v>10136</v>
      </c>
      <c r="T208" s="1301"/>
      <c r="U208" s="1222"/>
      <c r="V208" s="1222"/>
      <c r="W208" s="1222"/>
      <c r="X208" s="1222"/>
      <c r="Y208" s="1222"/>
      <c r="Z208" s="1222"/>
      <c r="AA208" s="1222"/>
      <c r="AB208" s="1222"/>
      <c r="AC208" s="1222"/>
    </row>
    <row r="209" ht="15.75" customHeight="1">
      <c r="A209" s="1164"/>
      <c r="B209" s="1298" t="s">
        <v>11532</v>
      </c>
      <c r="C209" s="1299" t="s">
        <v>11885</v>
      </c>
      <c r="D209" s="1325" t="s">
        <v>11886</v>
      </c>
      <c r="E209" s="1272">
        <v>377000.0</v>
      </c>
      <c r="F209" s="1272">
        <f t="shared" si="32"/>
        <v>418470</v>
      </c>
      <c r="G209" s="1234">
        <f t="shared" si="112"/>
        <v>475317</v>
      </c>
      <c r="H209" s="1301">
        <f>G209*3.76</f>
        <v>1787191.92</v>
      </c>
      <c r="I209" s="1301"/>
      <c r="J209" s="1272">
        <f>P209*80%</f>
        <v>1787191.92</v>
      </c>
      <c r="K209" s="1272">
        <f>G209*3.995</f>
        <v>1898891.415</v>
      </c>
      <c r="L209" s="1272">
        <f t="shared" ref="L209:L210" si="113">P209*85%</f>
        <v>1898891.415</v>
      </c>
      <c r="M209" s="1272">
        <f>G209*4.23</f>
        <v>2010590.91</v>
      </c>
      <c r="N209" s="1272">
        <f t="shared" ref="N209:N215" si="114">P209*90%</f>
        <v>2010590.91</v>
      </c>
      <c r="O209" s="1272">
        <f>G209*4.7</f>
        <v>2233989.9</v>
      </c>
      <c r="P209" s="1301">
        <f>G209*4.7</f>
        <v>2233989.9</v>
      </c>
      <c r="Q209" s="1302"/>
      <c r="R209" s="1302"/>
      <c r="S209" s="1302">
        <v>600000.0</v>
      </c>
      <c r="T209" s="1301" t="s">
        <v>11653</v>
      </c>
      <c r="U209" s="1222"/>
      <c r="V209" s="1222"/>
      <c r="W209" s="1222"/>
      <c r="X209" s="1222"/>
      <c r="Y209" s="1222"/>
      <c r="Z209" s="1222"/>
      <c r="AA209" s="1222"/>
      <c r="AB209" s="1222"/>
      <c r="AC209" s="1222"/>
    </row>
    <row r="210" ht="15.75" customHeight="1">
      <c r="A210" s="1164"/>
      <c r="B210" s="1333" t="s">
        <v>11532</v>
      </c>
      <c r="C210" s="1303" t="s">
        <v>11887</v>
      </c>
      <c r="D210" s="1334" t="s">
        <v>11888</v>
      </c>
      <c r="E210" s="1279">
        <v>499000.0</v>
      </c>
      <c r="F210" s="1272">
        <f t="shared" si="32"/>
        <v>553890</v>
      </c>
      <c r="G210" s="1234">
        <f t="shared" si="112"/>
        <v>624279</v>
      </c>
      <c r="H210" s="1301">
        <f>G210*1.621</f>
        <v>1011956.259</v>
      </c>
      <c r="I210" s="1301"/>
      <c r="J210" s="1272">
        <f>P210*69%</f>
        <v>1012268.399</v>
      </c>
      <c r="K210" s="1272">
        <f>G210*1.997</f>
        <v>1246685.163</v>
      </c>
      <c r="L210" s="1272">
        <f t="shared" si="113"/>
        <v>1246997.303</v>
      </c>
      <c r="M210" s="1272">
        <f>G210*2.115</f>
        <v>1320350.085</v>
      </c>
      <c r="N210" s="1272">
        <f t="shared" si="114"/>
        <v>1320350.085</v>
      </c>
      <c r="O210" s="1272">
        <f>G210*2.35</f>
        <v>1467055.65</v>
      </c>
      <c r="P210" s="1301">
        <f>G210*2.35</f>
        <v>1467055.65</v>
      </c>
      <c r="Q210" s="1302"/>
      <c r="R210" s="1302"/>
      <c r="S210" s="1302" t="s">
        <v>10136</v>
      </c>
      <c r="T210" s="1301"/>
      <c r="U210" s="1222"/>
      <c r="V210" s="1222"/>
      <c r="W210" s="1222"/>
      <c r="X210" s="1222"/>
      <c r="Y210" s="1222"/>
      <c r="Z210" s="1222"/>
      <c r="AA210" s="1222"/>
      <c r="AB210" s="1222"/>
      <c r="AC210" s="1222"/>
    </row>
    <row r="211" ht="15.75" customHeight="1">
      <c r="A211" s="1164"/>
      <c r="B211" s="1333" t="s">
        <v>11532</v>
      </c>
      <c r="C211" s="1303" t="s">
        <v>11889</v>
      </c>
      <c r="D211" s="1334" t="s">
        <v>11890</v>
      </c>
      <c r="E211" s="1279">
        <v>483000.0</v>
      </c>
      <c r="F211" s="1272">
        <f t="shared" si="32"/>
        <v>536130</v>
      </c>
      <c r="G211" s="1234">
        <f t="shared" si="112"/>
        <v>604743</v>
      </c>
      <c r="H211" s="1301">
        <f>G211*1.861</f>
        <v>1125426.723</v>
      </c>
      <c r="I211" s="1301"/>
      <c r="J211" s="1272">
        <f>P211*73%</f>
        <v>1125729.095</v>
      </c>
      <c r="K211" s="1272">
        <f>G211*2.039</f>
        <v>1233070.977</v>
      </c>
      <c r="L211" s="1336">
        <f>P211*80%</f>
        <v>1233675.72</v>
      </c>
      <c r="M211" s="1272">
        <f>G211*2.295</f>
        <v>1387885.185</v>
      </c>
      <c r="N211" s="1272">
        <f t="shared" si="114"/>
        <v>1387885.185</v>
      </c>
      <c r="O211" s="1272">
        <f>G211*2.55</f>
        <v>1542094.65</v>
      </c>
      <c r="P211" s="1301">
        <f>G211*2.55</f>
        <v>1542094.65</v>
      </c>
      <c r="Q211" s="1302"/>
      <c r="R211" s="1302"/>
      <c r="S211" s="1302" t="s">
        <v>10136</v>
      </c>
      <c r="T211" s="1301"/>
      <c r="U211" s="1222"/>
      <c r="V211" s="1222"/>
      <c r="W211" s="1222"/>
      <c r="X211" s="1222"/>
      <c r="Y211" s="1222"/>
      <c r="Z211" s="1222"/>
      <c r="AA211" s="1222"/>
      <c r="AB211" s="1222"/>
      <c r="AC211" s="1222"/>
    </row>
    <row r="212" ht="15.75" customHeight="1">
      <c r="A212" s="1164"/>
      <c r="B212" s="1333" t="s">
        <v>11532</v>
      </c>
      <c r="C212" s="1303" t="s">
        <v>11891</v>
      </c>
      <c r="D212" s="1334" t="s">
        <v>11892</v>
      </c>
      <c r="E212" s="1279">
        <v>501000.0</v>
      </c>
      <c r="F212" s="1272">
        <f t="shared" si="32"/>
        <v>556110</v>
      </c>
      <c r="G212" s="1234">
        <f t="shared" si="112"/>
        <v>626721</v>
      </c>
      <c r="H212" s="1301">
        <f>G212*1.621</f>
        <v>1015914.741</v>
      </c>
      <c r="I212" s="1301"/>
      <c r="J212" s="1272">
        <f>P212*69%</f>
        <v>1016228.102</v>
      </c>
      <c r="K212" s="1272">
        <f>G212*1.997</f>
        <v>1251561.837</v>
      </c>
      <c r="L212" s="1272">
        <f t="shared" ref="L212:L215" si="115">P212*85%</f>
        <v>1251875.198</v>
      </c>
      <c r="M212" s="1272">
        <f>G212*2.193</f>
        <v>1374399.153</v>
      </c>
      <c r="N212" s="1272">
        <f t="shared" si="114"/>
        <v>1325514.915</v>
      </c>
      <c r="O212" s="1272">
        <f>G212*2.35</f>
        <v>1472794.35</v>
      </c>
      <c r="P212" s="1301">
        <f>G212*2.35</f>
        <v>1472794.35</v>
      </c>
      <c r="Q212" s="1302"/>
      <c r="R212" s="1302"/>
      <c r="S212" s="1302" t="s">
        <v>10136</v>
      </c>
      <c r="T212" s="1301"/>
      <c r="U212" s="1222"/>
      <c r="V212" s="1222"/>
      <c r="W212" s="1222"/>
      <c r="X212" s="1222"/>
      <c r="Y212" s="1222"/>
      <c r="Z212" s="1222"/>
      <c r="AA212" s="1222"/>
      <c r="AB212" s="1222"/>
      <c r="AC212" s="1222"/>
    </row>
    <row r="213" ht="15.75" customHeight="1">
      <c r="A213" s="1164"/>
      <c r="B213" s="1298" t="s">
        <v>11532</v>
      </c>
      <c r="C213" s="1299" t="s">
        <v>11893</v>
      </c>
      <c r="D213" s="1300" t="s">
        <v>11894</v>
      </c>
      <c r="E213" s="1272">
        <v>514000.0</v>
      </c>
      <c r="F213" s="1272">
        <f t="shared" si="32"/>
        <v>570540</v>
      </c>
      <c r="G213" s="1234">
        <f t="shared" si="112"/>
        <v>642594</v>
      </c>
      <c r="H213" s="1301">
        <f>G213*2.832</f>
        <v>1819826.208</v>
      </c>
      <c r="I213" s="1301"/>
      <c r="J213" s="1272">
        <f t="shared" ref="J213:J215" si="116">P213*80%</f>
        <v>1819826.208</v>
      </c>
      <c r="K213" s="1272">
        <f>G213*3.009</f>
        <v>1933565.346</v>
      </c>
      <c r="L213" s="1272">
        <f t="shared" si="115"/>
        <v>1933565.346</v>
      </c>
      <c r="M213" s="1272">
        <f>G213*3.186</f>
        <v>2047304.484</v>
      </c>
      <c r="N213" s="1272">
        <f t="shared" si="114"/>
        <v>2047304.484</v>
      </c>
      <c r="O213" s="1272">
        <f>G213*3.54</f>
        <v>2274782.76</v>
      </c>
      <c r="P213" s="1301">
        <f>G213*3.54</f>
        <v>2274782.76</v>
      </c>
      <c r="Q213" s="1302"/>
      <c r="R213" s="1302"/>
      <c r="S213" s="1302" t="s">
        <v>10136</v>
      </c>
      <c r="T213" s="1301"/>
      <c r="U213" s="1222"/>
      <c r="V213" s="1222"/>
      <c r="W213" s="1222"/>
      <c r="X213" s="1222"/>
      <c r="Y213" s="1222"/>
      <c r="Z213" s="1222"/>
      <c r="AA213" s="1222"/>
      <c r="AB213" s="1222"/>
      <c r="AC213" s="1222"/>
    </row>
    <row r="214" ht="15.75" customHeight="1">
      <c r="A214" s="1164"/>
      <c r="B214" s="1298" t="s">
        <v>11532</v>
      </c>
      <c r="C214" s="1299" t="s">
        <v>11895</v>
      </c>
      <c r="D214" s="1300" t="s">
        <v>11896</v>
      </c>
      <c r="E214" s="1272">
        <v>495000.0</v>
      </c>
      <c r="F214" s="1272">
        <f t="shared" si="32"/>
        <v>549450</v>
      </c>
      <c r="G214" s="1234">
        <f t="shared" si="112"/>
        <v>619395</v>
      </c>
      <c r="H214" s="1301">
        <f>G214*2.56</f>
        <v>1585651.2</v>
      </c>
      <c r="I214" s="1301"/>
      <c r="J214" s="1272">
        <f t="shared" si="116"/>
        <v>1585651.2</v>
      </c>
      <c r="K214" s="1272">
        <f>G214*2.72</f>
        <v>1684754.4</v>
      </c>
      <c r="L214" s="1272">
        <f t="shared" si="115"/>
        <v>1684754.4</v>
      </c>
      <c r="M214" s="1272">
        <f>G214*2.88</f>
        <v>1783857.6</v>
      </c>
      <c r="N214" s="1272">
        <f t="shared" si="114"/>
        <v>1783857.6</v>
      </c>
      <c r="O214" s="1272">
        <f>G214*3.2</f>
        <v>1982064</v>
      </c>
      <c r="P214" s="1301">
        <f>G214*3.2</f>
        <v>1982064</v>
      </c>
      <c r="Q214" s="1302"/>
      <c r="R214" s="1302"/>
      <c r="S214" s="1302">
        <v>600000.0</v>
      </c>
      <c r="T214" s="1301" t="s">
        <v>11653</v>
      </c>
      <c r="U214" s="1222"/>
      <c r="V214" s="1222"/>
      <c r="W214" s="1222"/>
      <c r="X214" s="1222"/>
      <c r="Y214" s="1222"/>
      <c r="Z214" s="1222"/>
      <c r="AA214" s="1222"/>
      <c r="AB214" s="1222"/>
      <c r="AC214" s="1222"/>
    </row>
    <row r="215" ht="15.75" customHeight="1">
      <c r="A215" s="1164"/>
      <c r="B215" s="1298" t="s">
        <v>11532</v>
      </c>
      <c r="C215" s="1299" t="s">
        <v>11897</v>
      </c>
      <c r="D215" s="1300" t="s">
        <v>11898</v>
      </c>
      <c r="E215" s="1272">
        <v>509000.0</v>
      </c>
      <c r="F215" s="1272">
        <f t="shared" si="32"/>
        <v>564990</v>
      </c>
      <c r="G215" s="1234">
        <f t="shared" si="112"/>
        <v>636489</v>
      </c>
      <c r="H215" s="1301">
        <f>G215*2.96</f>
        <v>1884007.44</v>
      </c>
      <c r="I215" s="1301"/>
      <c r="J215" s="1272">
        <f t="shared" si="116"/>
        <v>1884007.44</v>
      </c>
      <c r="K215" s="1272">
        <f>G215*3.145</f>
        <v>2001757.905</v>
      </c>
      <c r="L215" s="1272">
        <f t="shared" si="115"/>
        <v>2001757.905</v>
      </c>
      <c r="M215" s="1272">
        <f>G215*3.33</f>
        <v>2119508.37</v>
      </c>
      <c r="N215" s="1272">
        <f t="shared" si="114"/>
        <v>2119508.37</v>
      </c>
      <c r="O215" s="1272">
        <f>G215*3.7</f>
        <v>2355009.3</v>
      </c>
      <c r="P215" s="1301">
        <f>G215*3.7</f>
        <v>2355009.3</v>
      </c>
      <c r="Q215" s="1302"/>
      <c r="R215" s="1302"/>
      <c r="S215" s="1302">
        <v>600000.0</v>
      </c>
      <c r="T215" s="1301" t="s">
        <v>11653</v>
      </c>
      <c r="U215" s="1222"/>
      <c r="V215" s="1222"/>
      <c r="W215" s="1222"/>
      <c r="X215" s="1222"/>
      <c r="Y215" s="1222"/>
      <c r="Z215" s="1222"/>
      <c r="AA215" s="1222"/>
      <c r="AB215" s="1222"/>
      <c r="AC215" s="1222"/>
    </row>
    <row r="216" ht="15.75" customHeight="1">
      <c r="A216" s="1164"/>
      <c r="B216" s="1298" t="s">
        <v>11532</v>
      </c>
      <c r="C216" s="1298" t="s">
        <v>11627</v>
      </c>
      <c r="D216" s="1300" t="s">
        <v>11899</v>
      </c>
      <c r="E216" s="1272">
        <v>299000.0</v>
      </c>
      <c r="F216" s="1272">
        <f t="shared" si="32"/>
        <v>331890</v>
      </c>
      <c r="G216" s="1234">
        <f t="shared" si="112"/>
        <v>380079</v>
      </c>
      <c r="H216" s="1305"/>
      <c r="I216" s="1305"/>
      <c r="J216" s="1337"/>
      <c r="K216" s="1337"/>
      <c r="L216" s="1305"/>
      <c r="M216" s="1305"/>
      <c r="N216" s="1305"/>
      <c r="O216" s="1305"/>
      <c r="P216" s="1305"/>
      <c r="Q216" s="1302"/>
      <c r="R216" s="1302"/>
      <c r="S216" s="1302" t="s">
        <v>10136</v>
      </c>
      <c r="T216" s="1301"/>
      <c r="U216" s="1222"/>
      <c r="V216" s="1222"/>
      <c r="W216" s="1222"/>
      <c r="X216" s="1222"/>
      <c r="Y216" s="1222"/>
      <c r="Z216" s="1222"/>
      <c r="AA216" s="1222"/>
      <c r="AB216" s="1222"/>
      <c r="AC216" s="1222"/>
    </row>
    <row r="217" ht="15.75" customHeight="1">
      <c r="A217" s="1164"/>
      <c r="B217" s="1298" t="s">
        <v>11532</v>
      </c>
      <c r="C217" s="1299" t="s">
        <v>11900</v>
      </c>
      <c r="D217" s="1300" t="s">
        <v>11901</v>
      </c>
      <c r="E217" s="1272">
        <v>527000.0</v>
      </c>
      <c r="F217" s="1272">
        <f t="shared" si="32"/>
        <v>584970</v>
      </c>
      <c r="G217" s="1234">
        <f t="shared" si="112"/>
        <v>658467</v>
      </c>
      <c r="H217" s="1301">
        <f>G217*2.72</f>
        <v>1791030.24</v>
      </c>
      <c r="I217" s="1301"/>
      <c r="J217" s="1272">
        <f>P217*80%</f>
        <v>1791030.24</v>
      </c>
      <c r="K217" s="1272">
        <f>G217*2.89</f>
        <v>1902969.63</v>
      </c>
      <c r="L217" s="1272">
        <f>P217*85%</f>
        <v>1902969.63</v>
      </c>
      <c r="M217" s="1272">
        <f>G217*3.06</f>
        <v>2014909.02</v>
      </c>
      <c r="N217" s="1272">
        <f>P217*90%</f>
        <v>2014909.02</v>
      </c>
      <c r="O217" s="1272">
        <f>G217*3.4</f>
        <v>2238787.8</v>
      </c>
      <c r="P217" s="1301">
        <f>G217*3.4</f>
        <v>2238787.8</v>
      </c>
      <c r="Q217" s="1302"/>
      <c r="R217" s="1302"/>
      <c r="S217" s="1302">
        <v>600000.0</v>
      </c>
      <c r="T217" s="1301" t="s">
        <v>11653</v>
      </c>
      <c r="U217" s="1222"/>
      <c r="V217" s="1222"/>
      <c r="W217" s="1222"/>
      <c r="X217" s="1222"/>
      <c r="Y217" s="1222"/>
      <c r="Z217" s="1222"/>
      <c r="AA217" s="1222"/>
      <c r="AB217" s="1222"/>
      <c r="AC217" s="1222"/>
    </row>
    <row r="218" ht="15.75" customHeight="1">
      <c r="A218" s="1164"/>
      <c r="B218" s="1298" t="s">
        <v>11532</v>
      </c>
      <c r="C218" s="1299" t="s">
        <v>11625</v>
      </c>
      <c r="D218" s="1300" t="s">
        <v>11902</v>
      </c>
      <c r="E218" s="1272">
        <v>458000.0</v>
      </c>
      <c r="F218" s="1272">
        <f t="shared" si="32"/>
        <v>508380</v>
      </c>
      <c r="G218" s="1234">
        <f t="shared" si="112"/>
        <v>574218</v>
      </c>
      <c r="H218" s="1305"/>
      <c r="I218" s="1305"/>
      <c r="J218" s="1305"/>
      <c r="K218" s="1305"/>
      <c r="L218" s="1305"/>
      <c r="M218" s="1305"/>
      <c r="N218" s="1305"/>
      <c r="O218" s="1305"/>
      <c r="P218" s="1305"/>
      <c r="Q218" s="1302"/>
      <c r="R218" s="1302"/>
      <c r="S218" s="1302" t="s">
        <v>10136</v>
      </c>
      <c r="T218" s="1301"/>
      <c r="U218" s="1222"/>
      <c r="V218" s="1222"/>
      <c r="W218" s="1222"/>
      <c r="X218" s="1222"/>
      <c r="Y218" s="1222"/>
      <c r="Z218" s="1222"/>
      <c r="AA218" s="1222"/>
      <c r="AB218" s="1222"/>
      <c r="AC218" s="1222"/>
    </row>
    <row r="219" ht="15.75" customHeight="1">
      <c r="A219" s="1164"/>
      <c r="B219" s="1329" t="s">
        <v>11532</v>
      </c>
      <c r="C219" s="1306" t="s">
        <v>11533</v>
      </c>
      <c r="D219" s="1330" t="s">
        <v>11903</v>
      </c>
      <c r="E219" s="1276">
        <v>491000.0</v>
      </c>
      <c r="F219" s="1272">
        <f t="shared" si="32"/>
        <v>545010</v>
      </c>
      <c r="G219" s="1234">
        <f t="shared" si="112"/>
        <v>614511</v>
      </c>
      <c r="H219" s="1308"/>
      <c r="I219" s="1308"/>
      <c r="J219" s="1309">
        <f t="shared" ref="J219:J225" si="117">P219*80%</f>
        <v>0</v>
      </c>
      <c r="K219" s="1309"/>
      <c r="L219" s="1309">
        <f t="shared" ref="L219:L225" si="118">P219*85%</f>
        <v>0</v>
      </c>
      <c r="M219" s="1309"/>
      <c r="N219" s="1309">
        <f t="shared" ref="N219:N225" si="119">P219*90%</f>
        <v>0</v>
      </c>
      <c r="O219" s="1309"/>
      <c r="P219" s="1310"/>
      <c r="Q219" s="1311"/>
      <c r="R219" s="1311"/>
      <c r="S219" s="1311"/>
      <c r="T219" s="1310"/>
      <c r="U219" s="1222"/>
      <c r="V219" s="1222"/>
      <c r="W219" s="1222"/>
      <c r="X219" s="1222"/>
      <c r="Y219" s="1222"/>
      <c r="Z219" s="1222"/>
      <c r="AA219" s="1222"/>
      <c r="AB219" s="1222"/>
      <c r="AC219" s="1222"/>
    </row>
    <row r="220" ht="15.75" customHeight="1">
      <c r="A220" s="1164"/>
      <c r="B220" s="1329" t="s">
        <v>11532</v>
      </c>
      <c r="C220" s="1306" t="s">
        <v>11535</v>
      </c>
      <c r="D220" s="1330" t="s">
        <v>11904</v>
      </c>
      <c r="E220" s="1276">
        <v>665000.0</v>
      </c>
      <c r="F220" s="1272">
        <f t="shared" si="32"/>
        <v>738150</v>
      </c>
      <c r="G220" s="1234">
        <f t="shared" si="112"/>
        <v>826965</v>
      </c>
      <c r="H220" s="1308"/>
      <c r="I220" s="1308"/>
      <c r="J220" s="1309">
        <f t="shared" si="117"/>
        <v>0</v>
      </c>
      <c r="K220" s="1309"/>
      <c r="L220" s="1309">
        <f t="shared" si="118"/>
        <v>0</v>
      </c>
      <c r="M220" s="1309"/>
      <c r="N220" s="1309">
        <f t="shared" si="119"/>
        <v>0</v>
      </c>
      <c r="O220" s="1309"/>
      <c r="P220" s="1310"/>
      <c r="Q220" s="1311"/>
      <c r="R220" s="1311"/>
      <c r="S220" s="1311"/>
      <c r="T220" s="1310"/>
      <c r="U220" s="1222"/>
      <c r="V220" s="1222"/>
      <c r="W220" s="1222"/>
      <c r="X220" s="1222"/>
      <c r="Y220" s="1222"/>
      <c r="Z220" s="1222"/>
      <c r="AA220" s="1222"/>
      <c r="AB220" s="1222"/>
      <c r="AC220" s="1222"/>
    </row>
    <row r="221" ht="15.75" customHeight="1">
      <c r="A221" s="1164"/>
      <c r="B221" s="1329" t="s">
        <v>11532</v>
      </c>
      <c r="C221" s="1306" t="s">
        <v>11547</v>
      </c>
      <c r="D221" s="1330" t="s">
        <v>11905</v>
      </c>
      <c r="E221" s="1276">
        <v>508000.0</v>
      </c>
      <c r="F221" s="1272">
        <f t="shared" si="32"/>
        <v>563880</v>
      </c>
      <c r="G221" s="1234">
        <f t="shared" si="112"/>
        <v>635268</v>
      </c>
      <c r="H221" s="1308"/>
      <c r="I221" s="1308"/>
      <c r="J221" s="1309">
        <f t="shared" si="117"/>
        <v>0</v>
      </c>
      <c r="K221" s="1309"/>
      <c r="L221" s="1309">
        <f t="shared" si="118"/>
        <v>0</v>
      </c>
      <c r="M221" s="1309"/>
      <c r="N221" s="1309">
        <f t="shared" si="119"/>
        <v>0</v>
      </c>
      <c r="O221" s="1309"/>
      <c r="P221" s="1310"/>
      <c r="Q221" s="1311"/>
      <c r="R221" s="1311"/>
      <c r="S221" s="1311"/>
      <c r="T221" s="1310"/>
      <c r="U221" s="1222"/>
      <c r="V221" s="1222"/>
      <c r="W221" s="1222"/>
      <c r="X221" s="1222"/>
      <c r="Y221" s="1222"/>
      <c r="Z221" s="1222"/>
      <c r="AA221" s="1222"/>
      <c r="AB221" s="1222"/>
      <c r="AC221" s="1222"/>
    </row>
    <row r="222" ht="15.75" customHeight="1">
      <c r="A222" s="1164"/>
      <c r="B222" s="1329" t="s">
        <v>11532</v>
      </c>
      <c r="C222" s="1306" t="s">
        <v>11549</v>
      </c>
      <c r="D222" s="1330" t="s">
        <v>11906</v>
      </c>
      <c r="E222" s="1276">
        <v>586000.0</v>
      </c>
      <c r="F222" s="1272">
        <f t="shared" si="32"/>
        <v>650460</v>
      </c>
      <c r="G222" s="1234">
        <f t="shared" si="112"/>
        <v>730506</v>
      </c>
      <c r="H222" s="1308"/>
      <c r="I222" s="1308"/>
      <c r="J222" s="1309">
        <f t="shared" si="117"/>
        <v>0</v>
      </c>
      <c r="K222" s="1309"/>
      <c r="L222" s="1309">
        <f t="shared" si="118"/>
        <v>0</v>
      </c>
      <c r="M222" s="1309"/>
      <c r="N222" s="1309">
        <f t="shared" si="119"/>
        <v>0</v>
      </c>
      <c r="O222" s="1309"/>
      <c r="P222" s="1310"/>
      <c r="Q222" s="1311"/>
      <c r="R222" s="1311"/>
      <c r="S222" s="1311"/>
      <c r="T222" s="1310"/>
      <c r="U222" s="1222"/>
      <c r="V222" s="1222"/>
      <c r="W222" s="1222"/>
      <c r="X222" s="1222"/>
      <c r="Y222" s="1222"/>
      <c r="Z222" s="1222"/>
      <c r="AA222" s="1222"/>
      <c r="AB222" s="1222"/>
      <c r="AC222" s="1222"/>
    </row>
    <row r="223" ht="15.75" customHeight="1">
      <c r="A223" s="1164"/>
      <c r="B223" s="1298" t="s">
        <v>11532</v>
      </c>
      <c r="C223" s="1299" t="s">
        <v>11907</v>
      </c>
      <c r="D223" s="1300" t="s">
        <v>11908</v>
      </c>
      <c r="E223" s="1272">
        <v>412000.0</v>
      </c>
      <c r="F223" s="1272">
        <f t="shared" si="32"/>
        <v>457320</v>
      </c>
      <c r="G223" s="1234">
        <f t="shared" si="112"/>
        <v>518052</v>
      </c>
      <c r="H223" s="1301">
        <f>G223*1.584</f>
        <v>820594.368</v>
      </c>
      <c r="I223" s="1301"/>
      <c r="J223" s="1272">
        <f t="shared" si="117"/>
        <v>820594.368</v>
      </c>
      <c r="K223" s="1272">
        <f>G223*1.683</f>
        <v>871881.516</v>
      </c>
      <c r="L223" s="1272">
        <f t="shared" si="118"/>
        <v>871881.516</v>
      </c>
      <c r="M223" s="1272">
        <f>G223*1.782</f>
        <v>923168.664</v>
      </c>
      <c r="N223" s="1272">
        <f t="shared" si="119"/>
        <v>923168.664</v>
      </c>
      <c r="O223" s="1272">
        <f>G223*1.98</f>
        <v>1025742.96</v>
      </c>
      <c r="P223" s="1301">
        <f>G223*1.98</f>
        <v>1025742.96</v>
      </c>
      <c r="Q223" s="1302"/>
      <c r="R223" s="1302"/>
      <c r="S223" s="1302">
        <v>500000.0</v>
      </c>
      <c r="T223" s="1301" t="s">
        <v>11795</v>
      </c>
      <c r="U223" s="1222"/>
      <c r="V223" s="1222"/>
      <c r="W223" s="1222"/>
      <c r="X223" s="1222"/>
      <c r="Y223" s="1222"/>
      <c r="Z223" s="1222"/>
      <c r="AA223" s="1222"/>
      <c r="AB223" s="1222"/>
      <c r="AC223" s="1222"/>
    </row>
    <row r="224" ht="15.75" customHeight="1">
      <c r="A224" s="1164"/>
      <c r="B224" s="1298" t="s">
        <v>11532</v>
      </c>
      <c r="C224" s="1298" t="s">
        <v>11909</v>
      </c>
      <c r="D224" s="1300" t="s">
        <v>11910</v>
      </c>
      <c r="E224" s="1272">
        <v>459000.0</v>
      </c>
      <c r="F224" s="1272">
        <f t="shared" si="32"/>
        <v>509490</v>
      </c>
      <c r="G224" s="1234">
        <f t="shared" si="112"/>
        <v>575439</v>
      </c>
      <c r="H224" s="1301">
        <f>G224*1.56</f>
        <v>897684.84</v>
      </c>
      <c r="I224" s="1301"/>
      <c r="J224" s="1272">
        <f t="shared" si="117"/>
        <v>897684.84</v>
      </c>
      <c r="K224" s="1272">
        <f>G224*1.657</f>
        <v>953502.423</v>
      </c>
      <c r="L224" s="1272">
        <f t="shared" si="118"/>
        <v>953790.1425</v>
      </c>
      <c r="M224" s="1272">
        <f>G224*1.755</f>
        <v>1009895.445</v>
      </c>
      <c r="N224" s="1272">
        <f t="shared" si="119"/>
        <v>1009895.445</v>
      </c>
      <c r="O224" s="1272">
        <f>G224*1.95</f>
        <v>1122106.05</v>
      </c>
      <c r="P224" s="1301">
        <f>G224*1.95</f>
        <v>1122106.05</v>
      </c>
      <c r="Q224" s="1302"/>
      <c r="R224" s="1302"/>
      <c r="S224" s="1302" t="s">
        <v>10136</v>
      </c>
      <c r="T224" s="1301"/>
      <c r="U224" s="1222"/>
      <c r="V224" s="1222"/>
      <c r="W224" s="1222"/>
      <c r="X224" s="1222"/>
      <c r="Y224" s="1222"/>
      <c r="Z224" s="1222"/>
      <c r="AA224" s="1222"/>
      <c r="AB224" s="1222"/>
      <c r="AC224" s="1222"/>
    </row>
    <row r="225" ht="15.75" customHeight="1">
      <c r="A225" s="1164"/>
      <c r="B225" s="1298" t="s">
        <v>11532</v>
      </c>
      <c r="C225" s="1298" t="s">
        <v>11911</v>
      </c>
      <c r="D225" s="1300" t="s">
        <v>11912</v>
      </c>
      <c r="E225" s="1272">
        <v>444000.0</v>
      </c>
      <c r="F225" s="1272">
        <f t="shared" si="32"/>
        <v>492840</v>
      </c>
      <c r="G225" s="1234">
        <f t="shared" si="112"/>
        <v>557124</v>
      </c>
      <c r="H225" s="1301">
        <f>G225*1.632</f>
        <v>909226.368</v>
      </c>
      <c r="I225" s="1301"/>
      <c r="J225" s="1272">
        <f t="shared" si="117"/>
        <v>909226.368</v>
      </c>
      <c r="K225" s="1272">
        <f>G225*1.734</f>
        <v>966053.016</v>
      </c>
      <c r="L225" s="1272">
        <f t="shared" si="118"/>
        <v>966053.016</v>
      </c>
      <c r="M225" s="1272">
        <f>G225*1.836</f>
        <v>1022879.664</v>
      </c>
      <c r="N225" s="1272">
        <f t="shared" si="119"/>
        <v>1022879.664</v>
      </c>
      <c r="O225" s="1272">
        <f>G225*2.04</f>
        <v>1136532.96</v>
      </c>
      <c r="P225" s="1301">
        <f>G225*2.04</f>
        <v>1136532.96</v>
      </c>
      <c r="Q225" s="1302"/>
      <c r="R225" s="1302"/>
      <c r="S225" s="1302" t="s">
        <v>10136</v>
      </c>
      <c r="T225" s="1301"/>
      <c r="U225" s="1222"/>
      <c r="V225" s="1222"/>
      <c r="W225" s="1222"/>
      <c r="X225" s="1222"/>
      <c r="Y225" s="1222"/>
      <c r="Z225" s="1222"/>
      <c r="AA225" s="1222"/>
      <c r="AB225" s="1222"/>
      <c r="AC225" s="1222"/>
    </row>
    <row r="226" ht="15.75" customHeight="1">
      <c r="A226" s="1164"/>
      <c r="B226" s="1333" t="s">
        <v>11532</v>
      </c>
      <c r="C226" s="1303" t="s">
        <v>11633</v>
      </c>
      <c r="D226" s="1334" t="s">
        <v>11913</v>
      </c>
      <c r="E226" s="1279">
        <v>484000.0</v>
      </c>
      <c r="F226" s="1272">
        <f t="shared" si="32"/>
        <v>537240</v>
      </c>
      <c r="G226" s="1234">
        <f t="shared" si="112"/>
        <v>605964</v>
      </c>
      <c r="H226" s="1305"/>
      <c r="I226" s="1305"/>
      <c r="J226" s="1305"/>
      <c r="K226" s="1305"/>
      <c r="L226" s="1305"/>
      <c r="M226" s="1305"/>
      <c r="N226" s="1305"/>
      <c r="O226" s="1305"/>
      <c r="P226" s="1305"/>
      <c r="Q226" s="1302"/>
      <c r="R226" s="1302"/>
      <c r="S226" s="1302" t="s">
        <v>10136</v>
      </c>
      <c r="T226" s="1301"/>
      <c r="U226" s="1222"/>
      <c r="V226" s="1222"/>
      <c r="W226" s="1222"/>
      <c r="X226" s="1222"/>
      <c r="Y226" s="1222"/>
      <c r="Z226" s="1222"/>
      <c r="AA226" s="1222"/>
      <c r="AB226" s="1222"/>
      <c r="AC226" s="1222"/>
    </row>
    <row r="227" ht="15.75" customHeight="1">
      <c r="A227" s="1164"/>
      <c r="B227" s="1329" t="s">
        <v>11532</v>
      </c>
      <c r="C227" s="1306" t="s">
        <v>11537</v>
      </c>
      <c r="D227" s="1330" t="s">
        <v>11914</v>
      </c>
      <c r="E227" s="1276">
        <v>486000.0</v>
      </c>
      <c r="F227" s="1272">
        <f t="shared" si="32"/>
        <v>539460</v>
      </c>
      <c r="G227" s="1234">
        <f t="shared" si="112"/>
        <v>608406</v>
      </c>
      <c r="H227" s="1308"/>
      <c r="I227" s="1308"/>
      <c r="J227" s="1309">
        <f t="shared" ref="J227:J230" si="120">P227*80%</f>
        <v>0</v>
      </c>
      <c r="K227" s="1309"/>
      <c r="L227" s="1309">
        <f t="shared" ref="L227:L231" si="121">P227*85%</f>
        <v>0</v>
      </c>
      <c r="M227" s="1309"/>
      <c r="N227" s="1309">
        <f t="shared" ref="N227:N231" si="122">P227*90%</f>
        <v>0</v>
      </c>
      <c r="O227" s="1309"/>
      <c r="P227" s="1310"/>
      <c r="Q227" s="1311"/>
      <c r="R227" s="1311"/>
      <c r="S227" s="1311"/>
      <c r="T227" s="1310"/>
      <c r="U227" s="1222"/>
      <c r="V227" s="1222"/>
      <c r="W227" s="1222"/>
      <c r="X227" s="1222"/>
      <c r="Y227" s="1222"/>
      <c r="Z227" s="1222"/>
      <c r="AA227" s="1222"/>
      <c r="AB227" s="1222"/>
      <c r="AC227" s="1222"/>
    </row>
    <row r="228" ht="15.75" customHeight="1">
      <c r="A228" s="1164"/>
      <c r="B228" s="1329" t="s">
        <v>11532</v>
      </c>
      <c r="C228" s="1306" t="s">
        <v>11539</v>
      </c>
      <c r="D228" s="1330" t="s">
        <v>11915</v>
      </c>
      <c r="E228" s="1276">
        <v>491000.0</v>
      </c>
      <c r="F228" s="1272">
        <f t="shared" si="32"/>
        <v>545010</v>
      </c>
      <c r="G228" s="1234">
        <f t="shared" si="112"/>
        <v>614511</v>
      </c>
      <c r="H228" s="1308"/>
      <c r="I228" s="1308"/>
      <c r="J228" s="1309">
        <f t="shared" si="120"/>
        <v>0</v>
      </c>
      <c r="K228" s="1309"/>
      <c r="L228" s="1309">
        <f t="shared" si="121"/>
        <v>0</v>
      </c>
      <c r="M228" s="1309"/>
      <c r="N228" s="1309">
        <f t="shared" si="122"/>
        <v>0</v>
      </c>
      <c r="O228" s="1309"/>
      <c r="P228" s="1310"/>
      <c r="Q228" s="1311"/>
      <c r="R228" s="1311"/>
      <c r="S228" s="1311"/>
      <c r="T228" s="1310"/>
      <c r="U228" s="1222"/>
      <c r="V228" s="1222"/>
      <c r="W228" s="1222"/>
      <c r="X228" s="1222"/>
      <c r="Y228" s="1222"/>
      <c r="Z228" s="1222"/>
      <c r="AA228" s="1222"/>
      <c r="AB228" s="1222"/>
      <c r="AC228" s="1222"/>
    </row>
    <row r="229" ht="15.75" customHeight="1">
      <c r="A229" s="1164"/>
      <c r="B229" s="1329" t="s">
        <v>11532</v>
      </c>
      <c r="C229" s="1306" t="s">
        <v>11541</v>
      </c>
      <c r="D229" s="1330" t="s">
        <v>11916</v>
      </c>
      <c r="E229" s="1276">
        <v>599000.0</v>
      </c>
      <c r="F229" s="1272">
        <f t="shared" si="32"/>
        <v>664890</v>
      </c>
      <c r="G229" s="1234">
        <f t="shared" si="112"/>
        <v>746379</v>
      </c>
      <c r="H229" s="1308"/>
      <c r="I229" s="1308"/>
      <c r="J229" s="1309">
        <f t="shared" si="120"/>
        <v>0</v>
      </c>
      <c r="K229" s="1309"/>
      <c r="L229" s="1309">
        <f t="shared" si="121"/>
        <v>0</v>
      </c>
      <c r="M229" s="1309"/>
      <c r="N229" s="1309">
        <f t="shared" si="122"/>
        <v>0</v>
      </c>
      <c r="O229" s="1309"/>
      <c r="P229" s="1310"/>
      <c r="Q229" s="1311"/>
      <c r="R229" s="1311"/>
      <c r="S229" s="1311"/>
      <c r="T229" s="1310"/>
      <c r="U229" s="1222"/>
      <c r="V229" s="1222"/>
      <c r="W229" s="1222"/>
      <c r="X229" s="1222"/>
      <c r="Y229" s="1222"/>
      <c r="Z229" s="1222"/>
      <c r="AA229" s="1222"/>
      <c r="AB229" s="1222"/>
      <c r="AC229" s="1222"/>
    </row>
    <row r="230" ht="15.75" customHeight="1">
      <c r="A230" s="1164"/>
      <c r="B230" s="1329" t="s">
        <v>11532</v>
      </c>
      <c r="C230" s="1306" t="s">
        <v>11543</v>
      </c>
      <c r="D230" s="1330" t="s">
        <v>11917</v>
      </c>
      <c r="E230" s="1276">
        <v>557000.0</v>
      </c>
      <c r="F230" s="1272">
        <f t="shared" si="32"/>
        <v>618270</v>
      </c>
      <c r="G230" s="1234">
        <f t="shared" si="112"/>
        <v>695097</v>
      </c>
      <c r="H230" s="1308"/>
      <c r="I230" s="1308"/>
      <c r="J230" s="1309">
        <f t="shared" si="120"/>
        <v>0</v>
      </c>
      <c r="K230" s="1309"/>
      <c r="L230" s="1309">
        <f t="shared" si="121"/>
        <v>0</v>
      </c>
      <c r="M230" s="1309"/>
      <c r="N230" s="1309">
        <f t="shared" si="122"/>
        <v>0</v>
      </c>
      <c r="O230" s="1309"/>
      <c r="P230" s="1310"/>
      <c r="Q230" s="1311"/>
      <c r="R230" s="1311"/>
      <c r="S230" s="1311"/>
      <c r="T230" s="1310"/>
      <c r="U230" s="1222"/>
      <c r="V230" s="1222"/>
      <c r="W230" s="1222"/>
      <c r="X230" s="1222"/>
      <c r="Y230" s="1222"/>
      <c r="Z230" s="1222"/>
      <c r="AA230" s="1222"/>
      <c r="AB230" s="1222"/>
      <c r="AC230" s="1222"/>
    </row>
    <row r="231" ht="15.75" customHeight="1">
      <c r="A231" s="129"/>
      <c r="B231" s="1298" t="s">
        <v>11918</v>
      </c>
      <c r="C231" s="1298" t="s">
        <v>11919</v>
      </c>
      <c r="D231" s="1300" t="s">
        <v>11920</v>
      </c>
      <c r="E231" s="1272">
        <v>409000.0</v>
      </c>
      <c r="F231" s="1272">
        <f t="shared" si="32"/>
        <v>453990</v>
      </c>
      <c r="G231" s="1234">
        <f t="shared" si="112"/>
        <v>514389</v>
      </c>
      <c r="H231" s="1301">
        <f>G231*1.886</f>
        <v>970137.654</v>
      </c>
      <c r="I231" s="1301"/>
      <c r="J231" s="1272">
        <f>P231*82%</f>
        <v>970137.654</v>
      </c>
      <c r="K231" s="1272">
        <f>G231*1.955</f>
        <v>1005630.495</v>
      </c>
      <c r="L231" s="1272">
        <f t="shared" si="121"/>
        <v>1005630.495</v>
      </c>
      <c r="M231" s="1272">
        <f>G231*2.07</f>
        <v>1064785.23</v>
      </c>
      <c r="N231" s="1272">
        <f t="shared" si="122"/>
        <v>1064785.23</v>
      </c>
      <c r="O231" s="1272">
        <f>G231*2.3</f>
        <v>1183094.7</v>
      </c>
      <c r="P231" s="1301">
        <f>G231*2.3</f>
        <v>1183094.7</v>
      </c>
      <c r="Q231" s="1302"/>
      <c r="R231" s="1302"/>
      <c r="S231" s="1302" t="s">
        <v>10136</v>
      </c>
      <c r="T231" s="1301"/>
      <c r="U231" s="1222"/>
      <c r="V231" s="1222"/>
      <c r="W231" s="1222"/>
      <c r="X231" s="1222"/>
      <c r="Y231" s="1222"/>
      <c r="Z231" s="1222"/>
      <c r="AA231" s="1222"/>
      <c r="AB231" s="1222"/>
      <c r="AC231" s="1222"/>
    </row>
    <row r="232" ht="15.75" customHeight="1">
      <c r="A232" s="1222"/>
      <c r="B232" s="1222"/>
      <c r="C232" s="1222"/>
      <c r="D232" s="1222"/>
      <c r="E232" s="1222"/>
      <c r="F232" s="1222"/>
      <c r="G232" s="1222"/>
      <c r="H232" s="1241"/>
      <c r="I232" s="1241"/>
      <c r="J232" s="1241"/>
      <c r="K232" s="1241"/>
      <c r="L232" s="1222"/>
      <c r="M232" s="1222"/>
      <c r="N232" s="1222"/>
      <c r="O232" s="1222"/>
      <c r="P232" s="1241"/>
      <c r="Q232" s="1222"/>
      <c r="R232" s="1222"/>
      <c r="S232" s="1222"/>
      <c r="T232" s="1222"/>
      <c r="U232" s="1241"/>
      <c r="V232" s="1241"/>
      <c r="W232" s="1222"/>
      <c r="X232" s="1222"/>
      <c r="Y232" s="1222"/>
      <c r="Z232" s="1222"/>
      <c r="AA232" s="1222"/>
      <c r="AB232" s="1222"/>
      <c r="AC232" s="1222"/>
    </row>
    <row r="233" ht="15.75" customHeight="1">
      <c r="A233" s="1222"/>
      <c r="B233" s="1222"/>
      <c r="C233" s="1222"/>
      <c r="D233" s="1222"/>
      <c r="E233" s="1222"/>
      <c r="F233" s="1222"/>
      <c r="G233" s="1222"/>
      <c r="H233" s="1241"/>
      <c r="I233" s="1241"/>
      <c r="J233" s="1241"/>
      <c r="K233" s="1241"/>
      <c r="L233" s="1222"/>
      <c r="M233" s="1222"/>
      <c r="N233" s="1222"/>
      <c r="O233" s="1222"/>
      <c r="P233" s="1241"/>
      <c r="Q233" s="1222"/>
      <c r="R233" s="1222"/>
      <c r="S233" s="1222"/>
      <c r="T233" s="1222"/>
      <c r="U233" s="1222"/>
      <c r="V233" s="1222"/>
      <c r="W233" s="1222"/>
      <c r="X233" s="1222"/>
      <c r="Y233" s="1222"/>
      <c r="Z233" s="1222"/>
      <c r="AA233" s="1222"/>
      <c r="AB233" s="1222"/>
      <c r="AC233" s="1222"/>
    </row>
    <row r="234" ht="15.75" customHeight="1">
      <c r="A234" s="1222"/>
      <c r="B234" s="1222"/>
      <c r="C234" s="1222"/>
      <c r="D234" s="1222"/>
      <c r="E234" s="1222"/>
      <c r="F234" s="1222"/>
      <c r="G234" s="1222"/>
      <c r="H234" s="1241"/>
      <c r="I234" s="1241"/>
      <c r="J234" s="1241"/>
      <c r="K234" s="1241"/>
      <c r="L234" s="1222"/>
      <c r="M234" s="1222"/>
      <c r="N234" s="1222"/>
      <c r="O234" s="1222"/>
      <c r="P234" s="1241"/>
      <c r="Q234" s="1222"/>
      <c r="R234" s="1222"/>
      <c r="S234" s="1222"/>
      <c r="T234" s="1222"/>
      <c r="U234" s="1222"/>
      <c r="V234" s="1222"/>
      <c r="W234" s="1222"/>
      <c r="X234" s="1222"/>
      <c r="Y234" s="1222"/>
      <c r="Z234" s="1222"/>
      <c r="AA234" s="1222"/>
      <c r="AB234" s="1222"/>
      <c r="AC234" s="1222"/>
    </row>
    <row r="235" ht="15.75" customHeight="1">
      <c r="A235" s="1222"/>
      <c r="B235" s="1222"/>
      <c r="C235" s="1222"/>
      <c r="D235" s="1222"/>
      <c r="E235" s="1222"/>
      <c r="F235" s="1222"/>
      <c r="G235" s="1222"/>
      <c r="H235" s="1241"/>
      <c r="I235" s="1241"/>
      <c r="J235" s="1241"/>
      <c r="K235" s="1241"/>
      <c r="L235" s="1222"/>
      <c r="M235" s="1222"/>
      <c r="N235" s="1222"/>
      <c r="O235" s="1222"/>
      <c r="P235" s="1241"/>
      <c r="Q235" s="1222"/>
      <c r="R235" s="1222"/>
      <c r="S235" s="1222"/>
      <c r="T235" s="1222"/>
      <c r="U235" s="1222"/>
      <c r="V235" s="1222"/>
      <c r="W235" s="1222"/>
      <c r="X235" s="1222"/>
      <c r="Y235" s="1222"/>
      <c r="Z235" s="1222"/>
      <c r="AA235" s="1222"/>
      <c r="AB235" s="1222"/>
      <c r="AC235" s="1222"/>
    </row>
    <row r="236" ht="15.75" customHeight="1">
      <c r="A236" s="1222"/>
      <c r="B236" s="1222"/>
      <c r="C236" s="1222"/>
      <c r="D236" s="1222"/>
      <c r="E236" s="1222"/>
      <c r="F236" s="1222"/>
      <c r="G236" s="1222"/>
      <c r="H236" s="1241"/>
      <c r="I236" s="1241"/>
      <c r="J236" s="1241"/>
      <c r="K236" s="1241"/>
      <c r="L236" s="1222"/>
      <c r="M236" s="1222"/>
      <c r="N236" s="1222"/>
      <c r="O236" s="1222"/>
      <c r="P236" s="1241"/>
      <c r="Q236" s="1222"/>
      <c r="R236" s="1222"/>
      <c r="S236" s="1222"/>
      <c r="T236" s="1222"/>
      <c r="U236" s="1222"/>
      <c r="V236" s="1222"/>
      <c r="W236" s="1222"/>
      <c r="X236" s="1222"/>
      <c r="Y236" s="1222"/>
      <c r="Z236" s="1222"/>
      <c r="AA236" s="1222"/>
      <c r="AB236" s="1222"/>
      <c r="AC236" s="1222"/>
    </row>
    <row r="237" ht="15.75" customHeight="1">
      <c r="A237" s="1222"/>
      <c r="B237" s="1222"/>
      <c r="C237" s="1222"/>
      <c r="D237" s="1222"/>
      <c r="E237" s="1222"/>
      <c r="F237" s="1222"/>
      <c r="G237" s="1222"/>
      <c r="H237" s="1241"/>
      <c r="I237" s="1241"/>
      <c r="J237" s="1241"/>
      <c r="K237" s="1241"/>
      <c r="L237" s="1222"/>
      <c r="M237" s="1222"/>
      <c r="N237" s="1222"/>
      <c r="O237" s="1222"/>
      <c r="P237" s="1241"/>
      <c r="Q237" s="1222"/>
      <c r="R237" s="1222"/>
      <c r="S237" s="1222"/>
      <c r="T237" s="1222"/>
      <c r="U237" s="1222"/>
      <c r="V237" s="1222"/>
      <c r="W237" s="1222"/>
      <c r="X237" s="1222"/>
      <c r="Y237" s="1222"/>
      <c r="Z237" s="1222"/>
      <c r="AA237" s="1222"/>
      <c r="AB237" s="1222"/>
      <c r="AC237" s="1222"/>
    </row>
    <row r="238" ht="15.75" customHeight="1">
      <c r="A238" s="1222"/>
      <c r="B238" s="1222"/>
      <c r="C238" s="1222"/>
      <c r="D238" s="1222"/>
      <c r="E238" s="1222"/>
      <c r="F238" s="1222"/>
      <c r="G238" s="1222"/>
      <c r="H238" s="1241"/>
      <c r="I238" s="1241"/>
      <c r="J238" s="1241"/>
      <c r="K238" s="1241"/>
      <c r="L238" s="1222"/>
      <c r="M238" s="1222"/>
      <c r="N238" s="1222"/>
      <c r="O238" s="1222"/>
      <c r="P238" s="1241"/>
      <c r="Q238" s="1222"/>
      <c r="R238" s="1222"/>
      <c r="S238" s="1222"/>
      <c r="T238" s="1222"/>
      <c r="U238" s="1222"/>
      <c r="V238" s="1222"/>
      <c r="W238" s="1222"/>
      <c r="X238" s="1222"/>
      <c r="Y238" s="1222"/>
      <c r="Z238" s="1222"/>
      <c r="AA238" s="1222"/>
      <c r="AB238" s="1222"/>
      <c r="AC238" s="1222"/>
    </row>
    <row r="239" ht="15.75" customHeight="1">
      <c r="A239" s="1222"/>
      <c r="B239" s="1222"/>
      <c r="C239" s="1222"/>
      <c r="D239" s="1222"/>
      <c r="E239" s="1222"/>
      <c r="F239" s="1222"/>
      <c r="G239" s="1222"/>
      <c r="H239" s="1241"/>
      <c r="I239" s="1241"/>
      <c r="J239" s="1241"/>
      <c r="K239" s="1241"/>
      <c r="L239" s="1222"/>
      <c r="M239" s="1222"/>
      <c r="N239" s="1222"/>
      <c r="O239" s="1222"/>
      <c r="P239" s="1241"/>
      <c r="Q239" s="1222"/>
      <c r="R239" s="1222"/>
      <c r="S239" s="1222"/>
      <c r="T239" s="1222"/>
      <c r="U239" s="1222"/>
      <c r="V239" s="1222"/>
      <c r="W239" s="1222"/>
      <c r="X239" s="1222"/>
      <c r="Y239" s="1222"/>
      <c r="Z239" s="1222"/>
      <c r="AA239" s="1222"/>
      <c r="AB239" s="1222"/>
      <c r="AC239" s="1222"/>
    </row>
    <row r="240" ht="15.75" customHeight="1">
      <c r="A240" s="1222"/>
      <c r="B240" s="1222"/>
      <c r="C240" s="1222"/>
      <c r="D240" s="1222"/>
      <c r="E240" s="1222"/>
      <c r="F240" s="1222"/>
      <c r="G240" s="1222"/>
      <c r="H240" s="1241"/>
      <c r="I240" s="1241"/>
      <c r="J240" s="1241"/>
      <c r="K240" s="1241"/>
      <c r="L240" s="1222"/>
      <c r="M240" s="1222"/>
      <c r="N240" s="1222"/>
      <c r="O240" s="1222"/>
      <c r="P240" s="1241"/>
      <c r="Q240" s="1222"/>
      <c r="R240" s="1222"/>
      <c r="S240" s="1222"/>
      <c r="T240" s="1222"/>
      <c r="U240" s="1222"/>
      <c r="V240" s="1222"/>
      <c r="W240" s="1222"/>
      <c r="X240" s="1222"/>
      <c r="Y240" s="1222"/>
      <c r="Z240" s="1222"/>
      <c r="AA240" s="1222"/>
      <c r="AB240" s="1222"/>
      <c r="AC240" s="1222"/>
    </row>
    <row r="241" ht="15.75" customHeight="1">
      <c r="A241" s="1222"/>
      <c r="B241" s="1222"/>
      <c r="C241" s="1222"/>
      <c r="D241" s="1222"/>
      <c r="E241" s="1222"/>
      <c r="F241" s="1222"/>
      <c r="G241" s="1222"/>
      <c r="H241" s="1241"/>
      <c r="I241" s="1241"/>
      <c r="J241" s="1241"/>
      <c r="K241" s="1241"/>
      <c r="L241" s="1222"/>
      <c r="M241" s="1222"/>
      <c r="N241" s="1222"/>
      <c r="O241" s="1222"/>
      <c r="P241" s="1241"/>
      <c r="Q241" s="1222"/>
      <c r="R241" s="1222"/>
      <c r="S241" s="1222"/>
      <c r="T241" s="1222"/>
      <c r="U241" s="1222"/>
      <c r="V241" s="1222"/>
      <c r="W241" s="1222"/>
      <c r="X241" s="1222"/>
      <c r="Y241" s="1222"/>
      <c r="Z241" s="1222"/>
      <c r="AA241" s="1222"/>
      <c r="AB241" s="1222"/>
      <c r="AC241" s="1222"/>
    </row>
    <row r="242" ht="15.75" customHeight="1">
      <c r="A242" s="1222"/>
      <c r="B242" s="1222"/>
      <c r="C242" s="1222"/>
      <c r="D242" s="1222"/>
      <c r="E242" s="1222"/>
      <c r="F242" s="1222"/>
      <c r="G242" s="1222"/>
      <c r="H242" s="1241"/>
      <c r="I242" s="1241"/>
      <c r="J242" s="1241"/>
      <c r="K242" s="1241"/>
      <c r="L242" s="1222"/>
      <c r="M242" s="1222"/>
      <c r="N242" s="1222"/>
      <c r="O242" s="1222"/>
      <c r="P242" s="1241"/>
      <c r="Q242" s="1222"/>
      <c r="R242" s="1222"/>
      <c r="S242" s="1222"/>
      <c r="T242" s="1222"/>
      <c r="U242" s="1222"/>
      <c r="V242" s="1222"/>
      <c r="W242" s="1222"/>
      <c r="X242" s="1222"/>
      <c r="Y242" s="1222"/>
      <c r="Z242" s="1222"/>
      <c r="AA242" s="1222"/>
      <c r="AB242" s="1222"/>
      <c r="AC242" s="1222"/>
    </row>
    <row r="243" ht="15.75" customHeight="1">
      <c r="A243" s="1222"/>
      <c r="B243" s="1222"/>
      <c r="C243" s="1222"/>
      <c r="D243" s="1222"/>
      <c r="E243" s="1222"/>
      <c r="F243" s="1222"/>
      <c r="G243" s="1222"/>
      <c r="H243" s="1241"/>
      <c r="I243" s="1241"/>
      <c r="J243" s="1241"/>
      <c r="K243" s="1241"/>
      <c r="L243" s="1222"/>
      <c r="M243" s="1222"/>
      <c r="N243" s="1222"/>
      <c r="O243" s="1222"/>
      <c r="P243" s="1241"/>
      <c r="Q243" s="1222"/>
      <c r="R243" s="1222"/>
      <c r="S243" s="1222"/>
      <c r="T243" s="1222"/>
      <c r="U243" s="1222"/>
      <c r="V243" s="1222"/>
      <c r="W243" s="1222"/>
      <c r="X243" s="1222"/>
      <c r="Y243" s="1222"/>
      <c r="Z243" s="1222"/>
      <c r="AA243" s="1222"/>
      <c r="AB243" s="1222"/>
      <c r="AC243" s="1222"/>
    </row>
    <row r="244" ht="15.75" customHeight="1">
      <c r="A244" s="1222"/>
      <c r="B244" s="1222"/>
      <c r="C244" s="1222"/>
      <c r="D244" s="1222"/>
      <c r="E244" s="1222"/>
      <c r="F244" s="1222"/>
      <c r="G244" s="1222"/>
      <c r="H244" s="1241"/>
      <c r="I244" s="1241"/>
      <c r="J244" s="1241"/>
      <c r="K244" s="1241"/>
      <c r="L244" s="1222"/>
      <c r="M244" s="1222"/>
      <c r="N244" s="1222"/>
      <c r="O244" s="1222"/>
      <c r="P244" s="1241"/>
      <c r="Q244" s="1222"/>
      <c r="R244" s="1222"/>
      <c r="S244" s="1222"/>
      <c r="T244" s="1222"/>
      <c r="U244" s="1222"/>
      <c r="V244" s="1222"/>
      <c r="W244" s="1222"/>
      <c r="X244" s="1222"/>
      <c r="Y244" s="1222"/>
      <c r="Z244" s="1222"/>
      <c r="AA244" s="1222"/>
      <c r="AB244" s="1222"/>
      <c r="AC244" s="1222"/>
    </row>
    <row r="245" ht="15.75" customHeight="1">
      <c r="A245" s="1222"/>
      <c r="B245" s="1222"/>
      <c r="C245" s="1222"/>
      <c r="D245" s="1222"/>
      <c r="E245" s="1222"/>
      <c r="F245" s="1222"/>
      <c r="G245" s="1222"/>
      <c r="H245" s="1241"/>
      <c r="I245" s="1241"/>
      <c r="J245" s="1241"/>
      <c r="K245" s="1241"/>
      <c r="L245" s="1222"/>
      <c r="M245" s="1222"/>
      <c r="N245" s="1222"/>
      <c r="O245" s="1222"/>
      <c r="P245" s="1241"/>
      <c r="Q245" s="1222"/>
      <c r="R245" s="1222"/>
      <c r="S245" s="1222"/>
      <c r="T245" s="1222"/>
      <c r="U245" s="1222"/>
      <c r="V245" s="1222"/>
      <c r="W245" s="1222"/>
      <c r="X245" s="1222"/>
      <c r="Y245" s="1222"/>
      <c r="Z245" s="1222"/>
      <c r="AA245" s="1222"/>
      <c r="AB245" s="1222"/>
      <c r="AC245" s="1222"/>
    </row>
    <row r="246" ht="15.75" customHeight="1">
      <c r="A246" s="1222"/>
      <c r="B246" s="1222"/>
      <c r="C246" s="1222"/>
      <c r="D246" s="1222"/>
      <c r="E246" s="1222"/>
      <c r="F246" s="1222"/>
      <c r="G246" s="1222"/>
      <c r="H246" s="1241"/>
      <c r="I246" s="1241"/>
      <c r="J246" s="1241"/>
      <c r="K246" s="1241"/>
      <c r="L246" s="1222"/>
      <c r="M246" s="1222"/>
      <c r="N246" s="1222"/>
      <c r="O246" s="1222"/>
      <c r="P246" s="1241"/>
      <c r="Q246" s="1222"/>
      <c r="R246" s="1222"/>
      <c r="S246" s="1222"/>
      <c r="T246" s="1222"/>
      <c r="U246" s="1222"/>
      <c r="V246" s="1222"/>
      <c r="W246" s="1222"/>
      <c r="X246" s="1222"/>
      <c r="Y246" s="1222"/>
      <c r="Z246" s="1222"/>
      <c r="AA246" s="1222"/>
      <c r="AB246" s="1222"/>
      <c r="AC246" s="1222"/>
    </row>
    <row r="247" ht="15.75" customHeight="1">
      <c r="A247" s="1222"/>
      <c r="B247" s="1222"/>
      <c r="C247" s="1222"/>
      <c r="D247" s="1222"/>
      <c r="E247" s="1222"/>
      <c r="F247" s="1222"/>
      <c r="G247" s="1222"/>
      <c r="H247" s="1241"/>
      <c r="I247" s="1241"/>
      <c r="J247" s="1241"/>
      <c r="K247" s="1241"/>
      <c r="L247" s="1222"/>
      <c r="M247" s="1222"/>
      <c r="N247" s="1222"/>
      <c r="O247" s="1222"/>
      <c r="P247" s="1241"/>
      <c r="Q247" s="1222"/>
      <c r="R247" s="1222"/>
      <c r="S247" s="1222"/>
      <c r="T247" s="1222"/>
      <c r="U247" s="1222"/>
      <c r="V247" s="1222"/>
      <c r="W247" s="1222"/>
      <c r="X247" s="1222"/>
      <c r="Y247" s="1222"/>
      <c r="Z247" s="1222"/>
      <c r="AA247" s="1222"/>
      <c r="AB247" s="1222"/>
      <c r="AC247" s="1222"/>
    </row>
    <row r="248" ht="15.75" customHeight="1">
      <c r="A248" s="1222"/>
      <c r="B248" s="1222"/>
      <c r="C248" s="1222"/>
      <c r="D248" s="1222"/>
      <c r="E248" s="1222"/>
      <c r="F248" s="1222"/>
      <c r="G248" s="1222"/>
      <c r="H248" s="1241"/>
      <c r="I248" s="1241"/>
      <c r="J248" s="1241"/>
      <c r="K248" s="1241"/>
      <c r="L248" s="1222"/>
      <c r="M248" s="1222"/>
      <c r="N248" s="1222"/>
      <c r="O248" s="1222"/>
      <c r="P248" s="1241"/>
      <c r="Q248" s="1222"/>
      <c r="R248" s="1222"/>
      <c r="S248" s="1222"/>
      <c r="T248" s="1222"/>
      <c r="U248" s="1222"/>
      <c r="V248" s="1222"/>
      <c r="W248" s="1222"/>
      <c r="X248" s="1222"/>
      <c r="Y248" s="1222"/>
      <c r="Z248" s="1222"/>
      <c r="AA248" s="1222"/>
      <c r="AB248" s="1222"/>
      <c r="AC248" s="1222"/>
    </row>
    <row r="249" ht="15.75" customHeight="1">
      <c r="A249" s="1222"/>
      <c r="B249" s="1222"/>
      <c r="C249" s="1222"/>
      <c r="D249" s="1222"/>
      <c r="E249" s="1222"/>
      <c r="F249" s="1222"/>
      <c r="G249" s="1222"/>
      <c r="H249" s="1241"/>
      <c r="I249" s="1241"/>
      <c r="J249" s="1241"/>
      <c r="K249" s="1241"/>
      <c r="L249" s="1222"/>
      <c r="M249" s="1222"/>
      <c r="N249" s="1222"/>
      <c r="O249" s="1222"/>
      <c r="P249" s="1241"/>
      <c r="Q249" s="1222"/>
      <c r="R249" s="1222"/>
      <c r="S249" s="1222"/>
      <c r="T249" s="1222"/>
      <c r="U249" s="1222"/>
      <c r="V249" s="1222"/>
      <c r="W249" s="1222"/>
      <c r="X249" s="1222"/>
      <c r="Y249" s="1222"/>
      <c r="Z249" s="1222"/>
      <c r="AA249" s="1222"/>
      <c r="AB249" s="1222"/>
      <c r="AC249" s="1222"/>
    </row>
    <row r="250" ht="15.75" customHeight="1">
      <c r="A250" s="1222"/>
      <c r="B250" s="1222"/>
      <c r="C250" s="1222"/>
      <c r="D250" s="1222"/>
      <c r="E250" s="1222"/>
      <c r="F250" s="1222"/>
      <c r="G250" s="1222"/>
      <c r="H250" s="1241"/>
      <c r="I250" s="1241"/>
      <c r="J250" s="1241"/>
      <c r="K250" s="1241"/>
      <c r="L250" s="1222"/>
      <c r="M250" s="1222"/>
      <c r="N250" s="1222"/>
      <c r="O250" s="1222"/>
      <c r="P250" s="1241"/>
      <c r="Q250" s="1222"/>
      <c r="R250" s="1222"/>
      <c r="S250" s="1222"/>
      <c r="T250" s="1222"/>
      <c r="U250" s="1222"/>
      <c r="V250" s="1222"/>
      <c r="W250" s="1222"/>
      <c r="X250" s="1222"/>
      <c r="Y250" s="1222"/>
      <c r="Z250" s="1222"/>
      <c r="AA250" s="1222"/>
      <c r="AB250" s="1222"/>
      <c r="AC250" s="1222"/>
    </row>
    <row r="251" ht="15.75" customHeight="1">
      <c r="A251" s="1222"/>
      <c r="B251" s="1222"/>
      <c r="C251" s="1222"/>
      <c r="D251" s="1222"/>
      <c r="E251" s="1222"/>
      <c r="F251" s="1222"/>
      <c r="G251" s="1222"/>
      <c r="H251" s="1241"/>
      <c r="I251" s="1241"/>
      <c r="J251" s="1241"/>
      <c r="K251" s="1241"/>
      <c r="L251" s="1222"/>
      <c r="M251" s="1222"/>
      <c r="N251" s="1222"/>
      <c r="O251" s="1222"/>
      <c r="P251" s="1241"/>
      <c r="Q251" s="1222"/>
      <c r="R251" s="1222"/>
      <c r="S251" s="1222"/>
      <c r="T251" s="1222"/>
      <c r="U251" s="1222"/>
      <c r="V251" s="1222"/>
      <c r="W251" s="1222"/>
      <c r="X251" s="1222"/>
      <c r="Y251" s="1222"/>
      <c r="Z251" s="1222"/>
      <c r="AA251" s="1222"/>
      <c r="AB251" s="1222"/>
      <c r="AC251" s="1222"/>
    </row>
    <row r="252" ht="15.75" customHeight="1">
      <c r="A252" s="1222"/>
      <c r="B252" s="1222"/>
      <c r="C252" s="1222"/>
      <c r="D252" s="1222"/>
      <c r="E252" s="1222"/>
      <c r="F252" s="1222"/>
      <c r="G252" s="1222"/>
      <c r="H252" s="1241"/>
      <c r="I252" s="1241"/>
      <c r="J252" s="1241"/>
      <c r="K252" s="1241"/>
      <c r="L252" s="1222"/>
      <c r="M252" s="1222"/>
      <c r="N252" s="1222"/>
      <c r="O252" s="1222"/>
      <c r="P252" s="1241"/>
      <c r="Q252" s="1222"/>
      <c r="R252" s="1222"/>
      <c r="S252" s="1222"/>
      <c r="T252" s="1222"/>
      <c r="U252" s="1222"/>
      <c r="V252" s="1222"/>
      <c r="W252" s="1222"/>
      <c r="X252" s="1222"/>
      <c r="Y252" s="1222"/>
      <c r="Z252" s="1222"/>
      <c r="AA252" s="1222"/>
      <c r="AB252" s="1222"/>
      <c r="AC252" s="1222"/>
    </row>
    <row r="253" ht="15.75" customHeight="1">
      <c r="A253" s="1222"/>
      <c r="B253" s="1222"/>
      <c r="C253" s="1222"/>
      <c r="D253" s="1222"/>
      <c r="E253" s="1222"/>
      <c r="F253" s="1222"/>
      <c r="G253" s="1222"/>
      <c r="H253" s="1241"/>
      <c r="I253" s="1241"/>
      <c r="J253" s="1241"/>
      <c r="K253" s="1241"/>
      <c r="L253" s="1222"/>
      <c r="M253" s="1222"/>
      <c r="N253" s="1222"/>
      <c r="O253" s="1222"/>
      <c r="P253" s="1241"/>
      <c r="Q253" s="1222"/>
      <c r="R253" s="1222"/>
      <c r="S253" s="1222"/>
      <c r="T253" s="1222"/>
      <c r="U253" s="1222"/>
      <c r="V253" s="1222"/>
      <c r="W253" s="1222"/>
      <c r="X253" s="1222"/>
      <c r="Y253" s="1222"/>
      <c r="Z253" s="1222"/>
      <c r="AA253" s="1222"/>
      <c r="AB253" s="1222"/>
      <c r="AC253" s="1222"/>
    </row>
    <row r="254" ht="15.75" customHeight="1">
      <c r="A254" s="1222"/>
      <c r="B254" s="1222"/>
      <c r="C254" s="1222"/>
      <c r="D254" s="1222"/>
      <c r="E254" s="1222"/>
      <c r="F254" s="1222"/>
      <c r="G254" s="1222"/>
      <c r="H254" s="1241"/>
      <c r="I254" s="1241"/>
      <c r="J254" s="1241"/>
      <c r="K254" s="1241"/>
      <c r="L254" s="1222"/>
      <c r="M254" s="1222"/>
      <c r="N254" s="1222"/>
      <c r="O254" s="1222"/>
      <c r="P254" s="1241"/>
      <c r="Q254" s="1222"/>
      <c r="R254" s="1222"/>
      <c r="S254" s="1222"/>
      <c r="T254" s="1222"/>
      <c r="U254" s="1222"/>
      <c r="V254" s="1222"/>
      <c r="W254" s="1222"/>
      <c r="X254" s="1222"/>
      <c r="Y254" s="1222"/>
      <c r="Z254" s="1222"/>
      <c r="AA254" s="1222"/>
      <c r="AB254" s="1222"/>
      <c r="AC254" s="1222"/>
    </row>
    <row r="255" ht="15.75" customHeight="1">
      <c r="A255" s="1222"/>
      <c r="B255" s="1222"/>
      <c r="C255" s="1222"/>
      <c r="D255" s="1222"/>
      <c r="E255" s="1222"/>
      <c r="F255" s="1222"/>
      <c r="G255" s="1222"/>
      <c r="H255" s="1241"/>
      <c r="I255" s="1241"/>
      <c r="J255" s="1241"/>
      <c r="K255" s="1241"/>
      <c r="L255" s="1222"/>
      <c r="M255" s="1222"/>
      <c r="N255" s="1222"/>
      <c r="O255" s="1222"/>
      <c r="P255" s="1241"/>
      <c r="Q255" s="1222"/>
      <c r="R255" s="1222"/>
      <c r="S255" s="1222"/>
      <c r="T255" s="1222"/>
      <c r="U255" s="1222"/>
      <c r="V255" s="1222"/>
      <c r="W255" s="1222"/>
      <c r="X255" s="1222"/>
      <c r="Y255" s="1222"/>
      <c r="Z255" s="1222"/>
      <c r="AA255" s="1222"/>
      <c r="AB255" s="1222"/>
      <c r="AC255" s="1222"/>
    </row>
    <row r="256" ht="15.75" customHeight="1">
      <c r="A256" s="1222"/>
      <c r="B256" s="1222"/>
      <c r="C256" s="1222"/>
      <c r="D256" s="1222"/>
      <c r="E256" s="1222"/>
      <c r="F256" s="1222"/>
      <c r="G256" s="1222"/>
      <c r="H256" s="1241"/>
      <c r="I256" s="1241"/>
      <c r="J256" s="1241"/>
      <c r="K256" s="1241"/>
      <c r="L256" s="1222"/>
      <c r="M256" s="1222"/>
      <c r="N256" s="1222"/>
      <c r="O256" s="1222"/>
      <c r="P256" s="1241"/>
      <c r="Q256" s="1222"/>
      <c r="R256" s="1222"/>
      <c r="S256" s="1222"/>
      <c r="T256" s="1222"/>
      <c r="U256" s="1222"/>
      <c r="V256" s="1222"/>
      <c r="W256" s="1222"/>
      <c r="X256" s="1222"/>
      <c r="Y256" s="1222"/>
      <c r="Z256" s="1222"/>
      <c r="AA256" s="1222"/>
      <c r="AB256" s="1222"/>
      <c r="AC256" s="1222"/>
    </row>
    <row r="257" ht="15.75" customHeight="1">
      <c r="A257" s="1222"/>
      <c r="B257" s="1222"/>
      <c r="C257" s="1222"/>
      <c r="D257" s="1222"/>
      <c r="E257" s="1222"/>
      <c r="F257" s="1222"/>
      <c r="G257" s="1222"/>
      <c r="H257" s="1241"/>
      <c r="I257" s="1241"/>
      <c r="J257" s="1241"/>
      <c r="K257" s="1241"/>
      <c r="L257" s="1222"/>
      <c r="M257" s="1222"/>
      <c r="N257" s="1222"/>
      <c r="O257" s="1222"/>
      <c r="P257" s="1241"/>
      <c r="Q257" s="1222"/>
      <c r="R257" s="1222"/>
      <c r="S257" s="1222"/>
      <c r="T257" s="1222"/>
      <c r="U257" s="1222"/>
      <c r="V257" s="1222"/>
      <c r="W257" s="1222"/>
      <c r="X257" s="1222"/>
      <c r="Y257" s="1222"/>
      <c r="Z257" s="1222"/>
      <c r="AA257" s="1222"/>
      <c r="AB257" s="1222"/>
      <c r="AC257" s="1222"/>
    </row>
    <row r="258" ht="15.75" customHeight="1">
      <c r="A258" s="1222"/>
      <c r="B258" s="1222"/>
      <c r="C258" s="1222"/>
      <c r="D258" s="1222"/>
      <c r="E258" s="1222"/>
      <c r="F258" s="1222"/>
      <c r="G258" s="1222"/>
      <c r="H258" s="1241"/>
      <c r="I258" s="1241"/>
      <c r="J258" s="1241"/>
      <c r="K258" s="1241"/>
      <c r="L258" s="1222"/>
      <c r="M258" s="1222"/>
      <c r="N258" s="1222"/>
      <c r="O258" s="1222"/>
      <c r="P258" s="1241"/>
      <c r="Q258" s="1222"/>
      <c r="R258" s="1222"/>
      <c r="S258" s="1222"/>
      <c r="T258" s="1222"/>
      <c r="U258" s="1222"/>
      <c r="V258" s="1222"/>
      <c r="W258" s="1222"/>
      <c r="X258" s="1222"/>
      <c r="Y258" s="1222"/>
      <c r="Z258" s="1222"/>
      <c r="AA258" s="1222"/>
      <c r="AB258" s="1222"/>
      <c r="AC258" s="1222"/>
    </row>
    <row r="259" ht="15.75" customHeight="1">
      <c r="A259" s="1222"/>
      <c r="B259" s="1222"/>
      <c r="C259" s="1222"/>
      <c r="D259" s="1222"/>
      <c r="E259" s="1222"/>
      <c r="F259" s="1222"/>
      <c r="G259" s="1222"/>
      <c r="H259" s="1241"/>
      <c r="I259" s="1241"/>
      <c r="J259" s="1241"/>
      <c r="K259" s="1241"/>
      <c r="L259" s="1222"/>
      <c r="M259" s="1222"/>
      <c r="N259" s="1222"/>
      <c r="O259" s="1222"/>
      <c r="P259" s="1241"/>
      <c r="Q259" s="1222"/>
      <c r="R259" s="1222"/>
      <c r="S259" s="1222"/>
      <c r="T259" s="1222"/>
      <c r="U259" s="1222"/>
      <c r="V259" s="1222"/>
      <c r="W259" s="1222"/>
      <c r="X259" s="1222"/>
      <c r="Y259" s="1222"/>
      <c r="Z259" s="1222"/>
      <c r="AA259" s="1222"/>
      <c r="AB259" s="1222"/>
      <c r="AC259" s="1222"/>
    </row>
    <row r="260" ht="15.75" customHeight="1">
      <c r="A260" s="1222"/>
      <c r="B260" s="1222"/>
      <c r="C260" s="1222"/>
      <c r="D260" s="1222"/>
      <c r="E260" s="1222"/>
      <c r="F260" s="1222"/>
      <c r="G260" s="1222"/>
      <c r="H260" s="1241"/>
      <c r="I260" s="1241"/>
      <c r="J260" s="1241"/>
      <c r="K260" s="1241"/>
      <c r="L260" s="1222"/>
      <c r="M260" s="1222"/>
      <c r="N260" s="1222"/>
      <c r="O260" s="1222"/>
      <c r="P260" s="1241"/>
      <c r="Q260" s="1222"/>
      <c r="R260" s="1222"/>
      <c r="S260" s="1222"/>
      <c r="T260" s="1222"/>
      <c r="U260" s="1222"/>
      <c r="V260" s="1222"/>
      <c r="W260" s="1222"/>
      <c r="X260" s="1222"/>
      <c r="Y260" s="1222"/>
      <c r="Z260" s="1222"/>
      <c r="AA260" s="1222"/>
      <c r="AB260" s="1222"/>
      <c r="AC260" s="1222"/>
    </row>
    <row r="261" ht="15.75" customHeight="1">
      <c r="A261" s="1222"/>
      <c r="B261" s="1222"/>
      <c r="C261" s="1222"/>
      <c r="D261" s="1222"/>
      <c r="E261" s="1222"/>
      <c r="F261" s="1222"/>
      <c r="G261" s="1222"/>
      <c r="H261" s="1241"/>
      <c r="I261" s="1241"/>
      <c r="J261" s="1241"/>
      <c r="K261" s="1241"/>
      <c r="L261" s="1222"/>
      <c r="M261" s="1222"/>
      <c r="N261" s="1222"/>
      <c r="O261" s="1222"/>
      <c r="P261" s="1241"/>
      <c r="Q261" s="1222"/>
      <c r="R261" s="1222"/>
      <c r="S261" s="1222"/>
      <c r="T261" s="1222"/>
      <c r="U261" s="1222"/>
      <c r="V261" s="1222"/>
      <c r="W261" s="1222"/>
      <c r="X261" s="1222"/>
      <c r="Y261" s="1222"/>
      <c r="Z261" s="1222"/>
      <c r="AA261" s="1222"/>
      <c r="AB261" s="1222"/>
      <c r="AC261" s="1222"/>
    </row>
    <row r="262" ht="15.75" customHeight="1">
      <c r="A262" s="1222"/>
      <c r="B262" s="1222"/>
      <c r="C262" s="1222"/>
      <c r="D262" s="1222"/>
      <c r="E262" s="1222"/>
      <c r="F262" s="1222"/>
      <c r="G262" s="1222"/>
      <c r="H262" s="1241"/>
      <c r="I262" s="1241"/>
      <c r="J262" s="1241"/>
      <c r="K262" s="1241"/>
      <c r="L262" s="1222"/>
      <c r="M262" s="1222"/>
      <c r="N262" s="1222"/>
      <c r="O262" s="1222"/>
      <c r="P262" s="1241"/>
      <c r="Q262" s="1222"/>
      <c r="R262" s="1222"/>
      <c r="S262" s="1222"/>
      <c r="T262" s="1222"/>
      <c r="U262" s="1222"/>
      <c r="V262" s="1222"/>
      <c r="W262" s="1222"/>
      <c r="X262" s="1222"/>
      <c r="Y262" s="1222"/>
      <c r="Z262" s="1222"/>
      <c r="AA262" s="1222"/>
      <c r="AB262" s="1222"/>
      <c r="AC262" s="1222"/>
    </row>
    <row r="263" ht="15.75" customHeight="1">
      <c r="A263" s="1222"/>
      <c r="B263" s="1222"/>
      <c r="C263" s="1222"/>
      <c r="D263" s="1222"/>
      <c r="E263" s="1222"/>
      <c r="F263" s="1222"/>
      <c r="G263" s="1222"/>
      <c r="H263" s="1241"/>
      <c r="I263" s="1241"/>
      <c r="J263" s="1241"/>
      <c r="K263" s="1241"/>
      <c r="L263" s="1222"/>
      <c r="M263" s="1222"/>
      <c r="N263" s="1222"/>
      <c r="O263" s="1222"/>
      <c r="P263" s="1241"/>
      <c r="Q263" s="1222"/>
      <c r="R263" s="1222"/>
      <c r="S263" s="1222"/>
      <c r="T263" s="1222"/>
      <c r="U263" s="1222"/>
      <c r="V263" s="1222"/>
      <c r="W263" s="1222"/>
      <c r="X263" s="1222"/>
      <c r="Y263" s="1222"/>
      <c r="Z263" s="1222"/>
      <c r="AA263" s="1222"/>
      <c r="AB263" s="1222"/>
      <c r="AC263" s="1222"/>
    </row>
    <row r="264" ht="15.75" customHeight="1">
      <c r="A264" s="1222"/>
      <c r="B264" s="1222"/>
      <c r="C264" s="1222"/>
      <c r="D264" s="1222"/>
      <c r="E264" s="1222"/>
      <c r="F264" s="1222"/>
      <c r="G264" s="1222"/>
      <c r="H264" s="1241"/>
      <c r="I264" s="1241"/>
      <c r="J264" s="1241"/>
      <c r="K264" s="1241"/>
      <c r="L264" s="1222"/>
      <c r="M264" s="1222"/>
      <c r="N264" s="1222"/>
      <c r="O264" s="1222"/>
      <c r="P264" s="1241"/>
      <c r="Q264" s="1222"/>
      <c r="R264" s="1222"/>
      <c r="S264" s="1222"/>
      <c r="T264" s="1222"/>
      <c r="U264" s="1222"/>
      <c r="V264" s="1222"/>
      <c r="W264" s="1222"/>
      <c r="X264" s="1222"/>
      <c r="Y264" s="1222"/>
      <c r="Z264" s="1222"/>
      <c r="AA264" s="1222"/>
      <c r="AB264" s="1222"/>
      <c r="AC264" s="1222"/>
    </row>
    <row r="265" ht="15.75" customHeight="1">
      <c r="A265" s="1222"/>
      <c r="B265" s="1222"/>
      <c r="C265" s="1222"/>
      <c r="D265" s="1222"/>
      <c r="E265" s="1222"/>
      <c r="F265" s="1222"/>
      <c r="G265" s="1222"/>
      <c r="H265" s="1241"/>
      <c r="I265" s="1241"/>
      <c r="J265" s="1241"/>
      <c r="K265" s="1241"/>
      <c r="L265" s="1222"/>
      <c r="M265" s="1222"/>
      <c r="N265" s="1222"/>
      <c r="O265" s="1222"/>
      <c r="P265" s="1241"/>
      <c r="Q265" s="1222"/>
      <c r="R265" s="1222"/>
      <c r="S265" s="1222"/>
      <c r="T265" s="1222"/>
      <c r="U265" s="1222"/>
      <c r="V265" s="1222"/>
      <c r="W265" s="1222"/>
      <c r="X265" s="1222"/>
      <c r="Y265" s="1222"/>
      <c r="Z265" s="1222"/>
      <c r="AA265" s="1222"/>
      <c r="AB265" s="1222"/>
      <c r="AC265" s="1222"/>
    </row>
    <row r="266" ht="15.75" customHeight="1">
      <c r="A266" s="1222"/>
      <c r="B266" s="1222"/>
      <c r="C266" s="1222"/>
      <c r="D266" s="1222"/>
      <c r="E266" s="1222"/>
      <c r="F266" s="1222"/>
      <c r="G266" s="1222"/>
      <c r="H266" s="1241"/>
      <c r="I266" s="1241"/>
      <c r="J266" s="1241"/>
      <c r="K266" s="1241"/>
      <c r="L266" s="1222"/>
      <c r="M266" s="1222"/>
      <c r="N266" s="1222"/>
      <c r="O266" s="1222"/>
      <c r="P266" s="1241"/>
      <c r="Q266" s="1222"/>
      <c r="R266" s="1222"/>
      <c r="S266" s="1222"/>
      <c r="T266" s="1222"/>
      <c r="U266" s="1222"/>
      <c r="V266" s="1222"/>
      <c r="W266" s="1222"/>
      <c r="X266" s="1222"/>
      <c r="Y266" s="1222"/>
      <c r="Z266" s="1222"/>
      <c r="AA266" s="1222"/>
      <c r="AB266" s="1222"/>
      <c r="AC266" s="1222"/>
    </row>
    <row r="267" ht="15.75" customHeight="1">
      <c r="A267" s="1222"/>
      <c r="B267" s="1222"/>
      <c r="C267" s="1222"/>
      <c r="D267" s="1222"/>
      <c r="E267" s="1222"/>
      <c r="F267" s="1222"/>
      <c r="G267" s="1222"/>
      <c r="H267" s="1241"/>
      <c r="I267" s="1241"/>
      <c r="J267" s="1241"/>
      <c r="K267" s="1241"/>
      <c r="L267" s="1222"/>
      <c r="M267" s="1222"/>
      <c r="N267" s="1222"/>
      <c r="O267" s="1222"/>
      <c r="P267" s="1241"/>
      <c r="Q267" s="1222"/>
      <c r="R267" s="1222"/>
      <c r="S267" s="1222"/>
      <c r="T267" s="1222"/>
      <c r="U267" s="1222"/>
      <c r="V267" s="1222"/>
      <c r="W267" s="1222"/>
      <c r="X267" s="1222"/>
      <c r="Y267" s="1222"/>
      <c r="Z267" s="1222"/>
      <c r="AA267" s="1222"/>
      <c r="AB267" s="1222"/>
      <c r="AC267" s="1222"/>
    </row>
    <row r="268" ht="15.75" customHeight="1">
      <c r="A268" s="1222"/>
      <c r="B268" s="1222"/>
      <c r="C268" s="1222"/>
      <c r="D268" s="1222"/>
      <c r="E268" s="1222"/>
      <c r="F268" s="1222"/>
      <c r="G268" s="1222"/>
      <c r="H268" s="1241"/>
      <c r="I268" s="1241"/>
      <c r="J268" s="1241"/>
      <c r="K268" s="1241"/>
      <c r="L268" s="1222"/>
      <c r="M268" s="1222"/>
      <c r="N268" s="1222"/>
      <c r="O268" s="1222"/>
      <c r="P268" s="1241"/>
      <c r="Q268" s="1222"/>
      <c r="R268" s="1222"/>
      <c r="S268" s="1222"/>
      <c r="T268" s="1222"/>
      <c r="U268" s="1222"/>
      <c r="V268" s="1222"/>
      <c r="W268" s="1222"/>
      <c r="X268" s="1222"/>
      <c r="Y268" s="1222"/>
      <c r="Z268" s="1222"/>
      <c r="AA268" s="1222"/>
      <c r="AB268" s="1222"/>
      <c r="AC268" s="1222"/>
    </row>
    <row r="269" ht="15.75" customHeight="1">
      <c r="A269" s="1222"/>
      <c r="B269" s="1222"/>
      <c r="C269" s="1222"/>
      <c r="D269" s="1222"/>
      <c r="E269" s="1222"/>
      <c r="F269" s="1222"/>
      <c r="G269" s="1222"/>
      <c r="H269" s="1241"/>
      <c r="I269" s="1241"/>
      <c r="J269" s="1241"/>
      <c r="K269" s="1241"/>
      <c r="L269" s="1222"/>
      <c r="M269" s="1222"/>
      <c r="N269" s="1222"/>
      <c r="O269" s="1222"/>
      <c r="P269" s="1241"/>
      <c r="Q269" s="1222"/>
      <c r="R269" s="1222"/>
      <c r="S269" s="1222"/>
      <c r="T269" s="1222"/>
      <c r="U269" s="1222"/>
      <c r="V269" s="1222"/>
      <c r="W269" s="1222"/>
      <c r="X269" s="1222"/>
      <c r="Y269" s="1222"/>
      <c r="Z269" s="1222"/>
      <c r="AA269" s="1222"/>
      <c r="AB269" s="1222"/>
      <c r="AC269" s="1222"/>
    </row>
    <row r="270" ht="15.75" customHeight="1">
      <c r="A270" s="1222"/>
      <c r="B270" s="1222"/>
      <c r="C270" s="1222"/>
      <c r="D270" s="1222"/>
      <c r="E270" s="1222"/>
      <c r="F270" s="1222"/>
      <c r="G270" s="1222"/>
      <c r="H270" s="1241"/>
      <c r="I270" s="1241"/>
      <c r="J270" s="1241"/>
      <c r="K270" s="1241"/>
      <c r="L270" s="1222"/>
      <c r="M270" s="1222"/>
      <c r="N270" s="1222"/>
      <c r="O270" s="1222"/>
      <c r="P270" s="1241"/>
      <c r="Q270" s="1222"/>
      <c r="R270" s="1222"/>
      <c r="S270" s="1222"/>
      <c r="T270" s="1222"/>
      <c r="U270" s="1222"/>
      <c r="V270" s="1222"/>
      <c r="W270" s="1222"/>
      <c r="X270" s="1222"/>
      <c r="Y270" s="1222"/>
      <c r="Z270" s="1222"/>
      <c r="AA270" s="1222"/>
      <c r="AB270" s="1222"/>
      <c r="AC270" s="1222"/>
    </row>
    <row r="271" ht="15.75" customHeight="1">
      <c r="A271" s="1222"/>
      <c r="B271" s="1222"/>
      <c r="C271" s="1222"/>
      <c r="D271" s="1222"/>
      <c r="E271" s="1222"/>
      <c r="F271" s="1222"/>
      <c r="G271" s="1222"/>
      <c r="H271" s="1241"/>
      <c r="I271" s="1241"/>
      <c r="J271" s="1241"/>
      <c r="K271" s="1241"/>
      <c r="L271" s="1222"/>
      <c r="M271" s="1222"/>
      <c r="N271" s="1222"/>
      <c r="O271" s="1222"/>
      <c r="P271" s="1241"/>
      <c r="Q271" s="1222"/>
      <c r="R271" s="1222"/>
      <c r="S271" s="1222"/>
      <c r="T271" s="1222"/>
      <c r="U271" s="1222"/>
      <c r="V271" s="1222"/>
      <c r="W271" s="1222"/>
      <c r="X271" s="1222"/>
      <c r="Y271" s="1222"/>
      <c r="Z271" s="1222"/>
      <c r="AA271" s="1222"/>
      <c r="AB271" s="1222"/>
      <c r="AC271" s="1222"/>
    </row>
    <row r="272" ht="15.75" customHeight="1">
      <c r="A272" s="1222"/>
      <c r="B272" s="1222"/>
      <c r="C272" s="1222"/>
      <c r="D272" s="1222"/>
      <c r="E272" s="1222"/>
      <c r="F272" s="1222"/>
      <c r="G272" s="1222"/>
      <c r="H272" s="1241"/>
      <c r="I272" s="1241"/>
      <c r="J272" s="1241"/>
      <c r="K272" s="1241"/>
      <c r="L272" s="1222"/>
      <c r="M272" s="1222"/>
      <c r="N272" s="1222"/>
      <c r="O272" s="1222"/>
      <c r="P272" s="1241"/>
      <c r="Q272" s="1222"/>
      <c r="R272" s="1222"/>
      <c r="S272" s="1222"/>
      <c r="T272" s="1222"/>
      <c r="U272" s="1222"/>
      <c r="V272" s="1222"/>
      <c r="W272" s="1222"/>
      <c r="X272" s="1222"/>
      <c r="Y272" s="1222"/>
      <c r="Z272" s="1222"/>
      <c r="AA272" s="1222"/>
      <c r="AB272" s="1222"/>
      <c r="AC272" s="1222"/>
    </row>
    <row r="273" ht="15.75" customHeight="1">
      <c r="A273" s="1222"/>
      <c r="B273" s="1222"/>
      <c r="C273" s="1222"/>
      <c r="D273" s="1222"/>
      <c r="E273" s="1222"/>
      <c r="F273" s="1222"/>
      <c r="G273" s="1222"/>
      <c r="H273" s="1241"/>
      <c r="I273" s="1241"/>
      <c r="J273" s="1241"/>
      <c r="K273" s="1241"/>
      <c r="L273" s="1222"/>
      <c r="M273" s="1222"/>
      <c r="N273" s="1222"/>
      <c r="O273" s="1222"/>
      <c r="P273" s="1241"/>
      <c r="Q273" s="1222"/>
      <c r="R273" s="1222"/>
      <c r="S273" s="1222"/>
      <c r="T273" s="1222"/>
      <c r="U273" s="1222"/>
      <c r="V273" s="1222"/>
      <c r="W273" s="1222"/>
      <c r="X273" s="1222"/>
      <c r="Y273" s="1222"/>
      <c r="Z273" s="1222"/>
      <c r="AA273" s="1222"/>
      <c r="AB273" s="1222"/>
      <c r="AC273" s="1222"/>
    </row>
    <row r="274" ht="15.75" customHeight="1">
      <c r="A274" s="1222"/>
      <c r="B274" s="1222"/>
      <c r="C274" s="1222"/>
      <c r="D274" s="1222"/>
      <c r="E274" s="1222"/>
      <c r="F274" s="1222"/>
      <c r="G274" s="1222"/>
      <c r="H274" s="1241"/>
      <c r="I274" s="1241"/>
      <c r="J274" s="1241"/>
      <c r="K274" s="1241"/>
      <c r="L274" s="1222"/>
      <c r="M274" s="1222"/>
      <c r="N274" s="1222"/>
      <c r="O274" s="1222"/>
      <c r="P274" s="1241"/>
      <c r="Q274" s="1222"/>
      <c r="R274" s="1222"/>
      <c r="S274" s="1222"/>
      <c r="T274" s="1222"/>
      <c r="U274" s="1222"/>
      <c r="V274" s="1222"/>
      <c r="W274" s="1222"/>
      <c r="X274" s="1222"/>
      <c r="Y274" s="1222"/>
      <c r="Z274" s="1222"/>
      <c r="AA274" s="1222"/>
      <c r="AB274" s="1222"/>
      <c r="AC274" s="1222"/>
    </row>
    <row r="275" ht="15.75" customHeight="1">
      <c r="A275" s="1222"/>
      <c r="B275" s="1222"/>
      <c r="C275" s="1222"/>
      <c r="D275" s="1222"/>
      <c r="E275" s="1222"/>
      <c r="F275" s="1222"/>
      <c r="G275" s="1222"/>
      <c r="H275" s="1241"/>
      <c r="I275" s="1241"/>
      <c r="J275" s="1241"/>
      <c r="K275" s="1241"/>
      <c r="L275" s="1222"/>
      <c r="M275" s="1222"/>
      <c r="N275" s="1222"/>
      <c r="O275" s="1222"/>
      <c r="P275" s="1241"/>
      <c r="Q275" s="1222"/>
      <c r="R275" s="1222"/>
      <c r="S275" s="1222"/>
      <c r="T275" s="1222"/>
      <c r="U275" s="1222"/>
      <c r="V275" s="1222"/>
      <c r="W275" s="1222"/>
      <c r="X275" s="1222"/>
      <c r="Y275" s="1222"/>
      <c r="Z275" s="1222"/>
      <c r="AA275" s="1222"/>
      <c r="AB275" s="1222"/>
      <c r="AC275" s="1222"/>
    </row>
    <row r="276" ht="15.75" customHeight="1">
      <c r="A276" s="1222"/>
      <c r="B276" s="1222"/>
      <c r="C276" s="1222"/>
      <c r="D276" s="1222"/>
      <c r="E276" s="1222"/>
      <c r="F276" s="1222"/>
      <c r="G276" s="1222"/>
      <c r="H276" s="1241"/>
      <c r="I276" s="1241"/>
      <c r="J276" s="1241"/>
      <c r="K276" s="1241"/>
      <c r="L276" s="1222"/>
      <c r="M276" s="1222"/>
      <c r="N276" s="1222"/>
      <c r="O276" s="1222"/>
      <c r="P276" s="1241"/>
      <c r="Q276" s="1222"/>
      <c r="R276" s="1222"/>
      <c r="S276" s="1222"/>
      <c r="T276" s="1222"/>
      <c r="U276" s="1222"/>
      <c r="V276" s="1222"/>
      <c r="W276" s="1222"/>
      <c r="X276" s="1222"/>
      <c r="Y276" s="1222"/>
      <c r="Z276" s="1222"/>
      <c r="AA276" s="1222"/>
      <c r="AB276" s="1222"/>
      <c r="AC276" s="1222"/>
    </row>
    <row r="277" ht="15.75" customHeight="1">
      <c r="A277" s="1222"/>
      <c r="B277" s="1222"/>
      <c r="C277" s="1222"/>
      <c r="D277" s="1222"/>
      <c r="E277" s="1222"/>
      <c r="F277" s="1222"/>
      <c r="G277" s="1222"/>
      <c r="H277" s="1241"/>
      <c r="I277" s="1241"/>
      <c r="J277" s="1241"/>
      <c r="K277" s="1241"/>
      <c r="L277" s="1222"/>
      <c r="M277" s="1222"/>
      <c r="N277" s="1222"/>
      <c r="O277" s="1222"/>
      <c r="P277" s="1241"/>
      <c r="Q277" s="1222"/>
      <c r="R277" s="1222"/>
      <c r="S277" s="1222"/>
      <c r="T277" s="1222"/>
      <c r="U277" s="1222"/>
      <c r="V277" s="1222"/>
      <c r="W277" s="1222"/>
      <c r="X277" s="1222"/>
      <c r="Y277" s="1222"/>
      <c r="Z277" s="1222"/>
      <c r="AA277" s="1222"/>
      <c r="AB277" s="1222"/>
      <c r="AC277" s="1222"/>
    </row>
    <row r="278" ht="15.75" customHeight="1">
      <c r="A278" s="1222"/>
      <c r="B278" s="1222"/>
      <c r="C278" s="1222"/>
      <c r="D278" s="1222"/>
      <c r="E278" s="1222"/>
      <c r="F278" s="1222"/>
      <c r="G278" s="1222"/>
      <c r="H278" s="1241"/>
      <c r="I278" s="1241"/>
      <c r="J278" s="1241"/>
      <c r="K278" s="1241"/>
      <c r="L278" s="1222"/>
      <c r="M278" s="1222"/>
      <c r="N278" s="1222"/>
      <c r="O278" s="1222"/>
      <c r="P278" s="1241"/>
      <c r="Q278" s="1222"/>
      <c r="R278" s="1222"/>
      <c r="S278" s="1222"/>
      <c r="T278" s="1222"/>
      <c r="U278" s="1222"/>
      <c r="V278" s="1222"/>
      <c r="W278" s="1222"/>
      <c r="X278" s="1222"/>
      <c r="Y278" s="1222"/>
      <c r="Z278" s="1222"/>
      <c r="AA278" s="1222"/>
      <c r="AB278" s="1222"/>
      <c r="AC278" s="1222"/>
    </row>
    <row r="279" ht="15.75" customHeight="1">
      <c r="A279" s="1222"/>
      <c r="B279" s="1222"/>
      <c r="C279" s="1222"/>
      <c r="D279" s="1222"/>
      <c r="E279" s="1222"/>
      <c r="F279" s="1222"/>
      <c r="G279" s="1222"/>
      <c r="H279" s="1241"/>
      <c r="I279" s="1241"/>
      <c r="J279" s="1241"/>
      <c r="K279" s="1241"/>
      <c r="L279" s="1222"/>
      <c r="M279" s="1222"/>
      <c r="N279" s="1222"/>
      <c r="O279" s="1222"/>
      <c r="P279" s="1241"/>
      <c r="Q279" s="1222"/>
      <c r="R279" s="1222"/>
      <c r="S279" s="1222"/>
      <c r="T279" s="1222"/>
      <c r="U279" s="1222"/>
      <c r="V279" s="1222"/>
      <c r="W279" s="1222"/>
      <c r="X279" s="1222"/>
      <c r="Y279" s="1222"/>
      <c r="Z279" s="1222"/>
      <c r="AA279" s="1222"/>
      <c r="AB279" s="1222"/>
      <c r="AC279" s="1222"/>
    </row>
    <row r="280" ht="15.75" customHeight="1">
      <c r="A280" s="1222"/>
      <c r="B280" s="1222"/>
      <c r="C280" s="1222"/>
      <c r="D280" s="1222"/>
      <c r="E280" s="1222"/>
      <c r="F280" s="1222"/>
      <c r="G280" s="1222"/>
      <c r="H280" s="1241"/>
      <c r="I280" s="1241"/>
      <c r="J280" s="1241"/>
      <c r="K280" s="1241"/>
      <c r="L280" s="1222"/>
      <c r="M280" s="1222"/>
      <c r="N280" s="1222"/>
      <c r="O280" s="1222"/>
      <c r="P280" s="1241"/>
      <c r="Q280" s="1222"/>
      <c r="R280" s="1222"/>
      <c r="S280" s="1222"/>
      <c r="T280" s="1222"/>
      <c r="U280" s="1222"/>
      <c r="V280" s="1222"/>
      <c r="W280" s="1222"/>
      <c r="X280" s="1222"/>
      <c r="Y280" s="1222"/>
      <c r="Z280" s="1222"/>
      <c r="AA280" s="1222"/>
      <c r="AB280" s="1222"/>
      <c r="AC280" s="1222"/>
    </row>
    <row r="281" ht="15.75" customHeight="1">
      <c r="A281" s="1222"/>
      <c r="B281" s="1222"/>
      <c r="C281" s="1222"/>
      <c r="D281" s="1222"/>
      <c r="E281" s="1222"/>
      <c r="F281" s="1222"/>
      <c r="G281" s="1222"/>
      <c r="H281" s="1241"/>
      <c r="I281" s="1241"/>
      <c r="J281" s="1241"/>
      <c r="K281" s="1241"/>
      <c r="L281" s="1222"/>
      <c r="M281" s="1222"/>
      <c r="N281" s="1222"/>
      <c r="O281" s="1222"/>
      <c r="P281" s="1241"/>
      <c r="Q281" s="1222"/>
      <c r="R281" s="1222"/>
      <c r="S281" s="1222"/>
      <c r="T281" s="1222"/>
      <c r="U281" s="1222"/>
      <c r="V281" s="1222"/>
      <c r="W281" s="1222"/>
      <c r="X281" s="1222"/>
      <c r="Y281" s="1222"/>
      <c r="Z281" s="1222"/>
      <c r="AA281" s="1222"/>
      <c r="AB281" s="1222"/>
      <c r="AC281" s="1222"/>
    </row>
    <row r="282" ht="15.75" customHeight="1">
      <c r="A282" s="1222"/>
      <c r="B282" s="1222"/>
      <c r="C282" s="1222"/>
      <c r="D282" s="1222"/>
      <c r="E282" s="1222"/>
      <c r="F282" s="1222"/>
      <c r="G282" s="1222"/>
      <c r="H282" s="1241"/>
      <c r="I282" s="1241"/>
      <c r="J282" s="1241"/>
      <c r="K282" s="1241"/>
      <c r="L282" s="1222"/>
      <c r="M282" s="1222"/>
      <c r="N282" s="1222"/>
      <c r="O282" s="1222"/>
      <c r="P282" s="1241"/>
      <c r="Q282" s="1222"/>
      <c r="R282" s="1222"/>
      <c r="S282" s="1222"/>
      <c r="T282" s="1222"/>
      <c r="U282" s="1222"/>
      <c r="V282" s="1222"/>
      <c r="W282" s="1222"/>
      <c r="X282" s="1222"/>
      <c r="Y282" s="1222"/>
      <c r="Z282" s="1222"/>
      <c r="AA282" s="1222"/>
      <c r="AB282" s="1222"/>
      <c r="AC282" s="1222"/>
    </row>
    <row r="283" ht="15.75" customHeight="1">
      <c r="A283" s="1222"/>
      <c r="B283" s="1222"/>
      <c r="C283" s="1222"/>
      <c r="D283" s="1222"/>
      <c r="E283" s="1222"/>
      <c r="F283" s="1222"/>
      <c r="G283" s="1222"/>
      <c r="H283" s="1241"/>
      <c r="I283" s="1241"/>
      <c r="J283" s="1241"/>
      <c r="K283" s="1241"/>
      <c r="L283" s="1222"/>
      <c r="M283" s="1222"/>
      <c r="N283" s="1222"/>
      <c r="O283" s="1222"/>
      <c r="P283" s="1241"/>
      <c r="Q283" s="1222"/>
      <c r="R283" s="1222"/>
      <c r="S283" s="1222"/>
      <c r="T283" s="1222"/>
      <c r="U283" s="1222"/>
      <c r="V283" s="1222"/>
      <c r="W283" s="1222"/>
      <c r="X283" s="1222"/>
      <c r="Y283" s="1222"/>
      <c r="Z283" s="1222"/>
      <c r="AA283" s="1222"/>
      <c r="AB283" s="1222"/>
      <c r="AC283" s="1222"/>
    </row>
    <row r="284" ht="15.75" customHeight="1">
      <c r="A284" s="1222"/>
      <c r="B284" s="1222"/>
      <c r="C284" s="1222"/>
      <c r="D284" s="1222"/>
      <c r="E284" s="1222"/>
      <c r="F284" s="1222"/>
      <c r="G284" s="1222"/>
      <c r="H284" s="1241"/>
      <c r="I284" s="1241"/>
      <c r="J284" s="1241"/>
      <c r="K284" s="1241"/>
      <c r="L284" s="1222"/>
      <c r="M284" s="1222"/>
      <c r="N284" s="1222"/>
      <c r="O284" s="1222"/>
      <c r="P284" s="1241"/>
      <c r="Q284" s="1222"/>
      <c r="R284" s="1222"/>
      <c r="S284" s="1222"/>
      <c r="T284" s="1222"/>
      <c r="U284" s="1222"/>
      <c r="V284" s="1222"/>
      <c r="W284" s="1222"/>
      <c r="X284" s="1222"/>
      <c r="Y284" s="1222"/>
      <c r="Z284" s="1222"/>
      <c r="AA284" s="1222"/>
      <c r="AB284" s="1222"/>
      <c r="AC284" s="1222"/>
    </row>
    <row r="285" ht="15.75" customHeight="1">
      <c r="A285" s="1222"/>
      <c r="B285" s="1222"/>
      <c r="C285" s="1222"/>
      <c r="D285" s="1222"/>
      <c r="E285" s="1222"/>
      <c r="F285" s="1222"/>
      <c r="G285" s="1222"/>
      <c r="H285" s="1241"/>
      <c r="I285" s="1241"/>
      <c r="J285" s="1241"/>
      <c r="K285" s="1241"/>
      <c r="L285" s="1222"/>
      <c r="M285" s="1222"/>
      <c r="N285" s="1222"/>
      <c r="O285" s="1222"/>
      <c r="P285" s="1241"/>
      <c r="Q285" s="1222"/>
      <c r="R285" s="1222"/>
      <c r="S285" s="1222"/>
      <c r="T285" s="1222"/>
      <c r="U285" s="1222"/>
      <c r="V285" s="1222"/>
      <c r="W285" s="1222"/>
      <c r="X285" s="1222"/>
      <c r="Y285" s="1222"/>
      <c r="Z285" s="1222"/>
      <c r="AA285" s="1222"/>
      <c r="AB285" s="1222"/>
      <c r="AC285" s="1222"/>
    </row>
    <row r="286" ht="15.75" customHeight="1">
      <c r="A286" s="1222"/>
      <c r="B286" s="1222"/>
      <c r="C286" s="1222"/>
      <c r="D286" s="1222"/>
      <c r="E286" s="1222"/>
      <c r="F286" s="1222"/>
      <c r="G286" s="1222"/>
      <c r="H286" s="1241"/>
      <c r="I286" s="1241"/>
      <c r="J286" s="1241"/>
      <c r="K286" s="1241"/>
      <c r="L286" s="1222"/>
      <c r="M286" s="1222"/>
      <c r="N286" s="1222"/>
      <c r="O286" s="1222"/>
      <c r="P286" s="1241"/>
      <c r="Q286" s="1222"/>
      <c r="R286" s="1222"/>
      <c r="S286" s="1222"/>
      <c r="T286" s="1222"/>
      <c r="U286" s="1222"/>
      <c r="V286" s="1222"/>
      <c r="W286" s="1222"/>
      <c r="X286" s="1222"/>
      <c r="Y286" s="1222"/>
      <c r="Z286" s="1222"/>
      <c r="AA286" s="1222"/>
      <c r="AB286" s="1222"/>
      <c r="AC286" s="1222"/>
    </row>
    <row r="287" ht="15.75" customHeight="1">
      <c r="A287" s="1222"/>
      <c r="B287" s="1222"/>
      <c r="C287" s="1222"/>
      <c r="D287" s="1222"/>
      <c r="E287" s="1222"/>
      <c r="F287" s="1222"/>
      <c r="G287" s="1222"/>
      <c r="H287" s="1241"/>
      <c r="I287" s="1241"/>
      <c r="J287" s="1241"/>
      <c r="K287" s="1241"/>
      <c r="L287" s="1222"/>
      <c r="M287" s="1222"/>
      <c r="N287" s="1222"/>
      <c r="O287" s="1222"/>
      <c r="P287" s="1241"/>
      <c r="Q287" s="1222"/>
      <c r="R287" s="1222"/>
      <c r="S287" s="1222"/>
      <c r="T287" s="1222"/>
      <c r="U287" s="1222"/>
      <c r="V287" s="1222"/>
      <c r="W287" s="1222"/>
      <c r="X287" s="1222"/>
      <c r="Y287" s="1222"/>
      <c r="Z287" s="1222"/>
      <c r="AA287" s="1222"/>
      <c r="AB287" s="1222"/>
      <c r="AC287" s="1222"/>
    </row>
    <row r="288" ht="15.75" customHeight="1">
      <c r="A288" s="1222"/>
      <c r="B288" s="1222"/>
      <c r="C288" s="1222"/>
      <c r="D288" s="1222"/>
      <c r="E288" s="1222"/>
      <c r="F288" s="1222"/>
      <c r="G288" s="1222"/>
      <c r="H288" s="1241"/>
      <c r="I288" s="1241"/>
      <c r="J288" s="1241"/>
      <c r="K288" s="1241"/>
      <c r="L288" s="1222"/>
      <c r="M288" s="1222"/>
      <c r="N288" s="1222"/>
      <c r="O288" s="1222"/>
      <c r="P288" s="1241"/>
      <c r="Q288" s="1222"/>
      <c r="R288" s="1222"/>
      <c r="S288" s="1222"/>
      <c r="T288" s="1222"/>
      <c r="U288" s="1222"/>
      <c r="V288" s="1222"/>
      <c r="W288" s="1222"/>
      <c r="X288" s="1222"/>
      <c r="Y288" s="1222"/>
      <c r="Z288" s="1222"/>
      <c r="AA288" s="1222"/>
      <c r="AB288" s="1222"/>
      <c r="AC288" s="1222"/>
    </row>
    <row r="289" ht="15.75" customHeight="1">
      <c r="A289" s="1222"/>
      <c r="B289" s="1222"/>
      <c r="C289" s="1222"/>
      <c r="D289" s="1222"/>
      <c r="E289" s="1222"/>
      <c r="F289" s="1222"/>
      <c r="G289" s="1222"/>
      <c r="H289" s="1241"/>
      <c r="I289" s="1241"/>
      <c r="J289" s="1241"/>
      <c r="K289" s="1241"/>
      <c r="L289" s="1222"/>
      <c r="M289" s="1222"/>
      <c r="N289" s="1222"/>
      <c r="O289" s="1222"/>
      <c r="P289" s="1241"/>
      <c r="Q289" s="1222"/>
      <c r="R289" s="1222"/>
      <c r="S289" s="1222"/>
      <c r="T289" s="1222"/>
      <c r="U289" s="1222"/>
      <c r="V289" s="1222"/>
      <c r="W289" s="1222"/>
      <c r="X289" s="1222"/>
      <c r="Y289" s="1222"/>
      <c r="Z289" s="1222"/>
      <c r="AA289" s="1222"/>
      <c r="AB289" s="1222"/>
      <c r="AC289" s="1222"/>
    </row>
    <row r="290" ht="15.75" customHeight="1">
      <c r="A290" s="1222"/>
      <c r="B290" s="1222"/>
      <c r="C290" s="1222"/>
      <c r="D290" s="1222"/>
      <c r="E290" s="1222"/>
      <c r="F290" s="1222"/>
      <c r="G290" s="1222"/>
      <c r="H290" s="1241"/>
      <c r="I290" s="1241"/>
      <c r="J290" s="1241"/>
      <c r="K290" s="1241"/>
      <c r="L290" s="1222"/>
      <c r="M290" s="1222"/>
      <c r="N290" s="1222"/>
      <c r="O290" s="1222"/>
      <c r="P290" s="1241"/>
      <c r="Q290" s="1222"/>
      <c r="R290" s="1222"/>
      <c r="S290" s="1222"/>
      <c r="T290" s="1222"/>
      <c r="U290" s="1222"/>
      <c r="V290" s="1222"/>
      <c r="W290" s="1222"/>
      <c r="X290" s="1222"/>
      <c r="Y290" s="1222"/>
      <c r="Z290" s="1222"/>
      <c r="AA290" s="1222"/>
      <c r="AB290" s="1222"/>
      <c r="AC290" s="1222"/>
    </row>
    <row r="291" ht="15.75" customHeight="1">
      <c r="A291" s="1222"/>
      <c r="B291" s="1222"/>
      <c r="C291" s="1222"/>
      <c r="D291" s="1222"/>
      <c r="E291" s="1222"/>
      <c r="F291" s="1222"/>
      <c r="G291" s="1222"/>
      <c r="H291" s="1241"/>
      <c r="I291" s="1241"/>
      <c r="J291" s="1241"/>
      <c r="K291" s="1241"/>
      <c r="L291" s="1222"/>
      <c r="M291" s="1222"/>
      <c r="N291" s="1222"/>
      <c r="O291" s="1222"/>
      <c r="P291" s="1241"/>
      <c r="Q291" s="1222"/>
      <c r="R291" s="1222"/>
      <c r="S291" s="1222"/>
      <c r="T291" s="1222"/>
      <c r="U291" s="1222"/>
      <c r="V291" s="1222"/>
      <c r="W291" s="1222"/>
      <c r="X291" s="1222"/>
      <c r="Y291" s="1222"/>
      <c r="Z291" s="1222"/>
      <c r="AA291" s="1222"/>
      <c r="AB291" s="1222"/>
      <c r="AC291" s="1222"/>
    </row>
    <row r="292" ht="15.75" customHeight="1">
      <c r="A292" s="1222"/>
      <c r="B292" s="1222"/>
      <c r="C292" s="1222"/>
      <c r="D292" s="1222"/>
      <c r="E292" s="1222"/>
      <c r="F292" s="1222"/>
      <c r="G292" s="1222"/>
      <c r="H292" s="1241"/>
      <c r="I292" s="1241"/>
      <c r="J292" s="1241"/>
      <c r="K292" s="1241"/>
      <c r="L292" s="1222"/>
      <c r="M292" s="1222"/>
      <c r="N292" s="1222"/>
      <c r="O292" s="1222"/>
      <c r="P292" s="1241"/>
      <c r="Q292" s="1222"/>
      <c r="R292" s="1222"/>
      <c r="S292" s="1222"/>
      <c r="T292" s="1222"/>
      <c r="U292" s="1222"/>
      <c r="V292" s="1222"/>
      <c r="W292" s="1222"/>
      <c r="X292" s="1222"/>
      <c r="Y292" s="1222"/>
      <c r="Z292" s="1222"/>
      <c r="AA292" s="1222"/>
      <c r="AB292" s="1222"/>
      <c r="AC292" s="1222"/>
    </row>
    <row r="293" ht="15.75" customHeight="1">
      <c r="A293" s="1222"/>
      <c r="B293" s="1222"/>
      <c r="C293" s="1222"/>
      <c r="D293" s="1222"/>
      <c r="E293" s="1222"/>
      <c r="F293" s="1222"/>
      <c r="G293" s="1222"/>
      <c r="H293" s="1241"/>
      <c r="I293" s="1241"/>
      <c r="J293" s="1241"/>
      <c r="K293" s="1241"/>
      <c r="L293" s="1222"/>
      <c r="M293" s="1222"/>
      <c r="N293" s="1222"/>
      <c r="O293" s="1222"/>
      <c r="P293" s="1241"/>
      <c r="Q293" s="1222"/>
      <c r="R293" s="1222"/>
      <c r="S293" s="1222"/>
      <c r="T293" s="1222"/>
      <c r="U293" s="1222"/>
      <c r="V293" s="1222"/>
      <c r="W293" s="1222"/>
      <c r="X293" s="1222"/>
      <c r="Y293" s="1222"/>
      <c r="Z293" s="1222"/>
      <c r="AA293" s="1222"/>
      <c r="AB293" s="1222"/>
      <c r="AC293" s="1222"/>
    </row>
    <row r="294" ht="15.75" customHeight="1">
      <c r="A294" s="1222"/>
      <c r="B294" s="1222"/>
      <c r="C294" s="1222"/>
      <c r="D294" s="1222"/>
      <c r="E294" s="1222"/>
      <c r="F294" s="1222"/>
      <c r="G294" s="1222"/>
      <c r="H294" s="1241"/>
      <c r="I294" s="1241"/>
      <c r="J294" s="1241"/>
      <c r="K294" s="1241"/>
      <c r="L294" s="1222"/>
      <c r="M294" s="1222"/>
      <c r="N294" s="1222"/>
      <c r="O294" s="1222"/>
      <c r="P294" s="1241"/>
      <c r="Q294" s="1222"/>
      <c r="R294" s="1222"/>
      <c r="S294" s="1222"/>
      <c r="T294" s="1222"/>
      <c r="U294" s="1222"/>
      <c r="V294" s="1222"/>
      <c r="W294" s="1222"/>
      <c r="X294" s="1222"/>
      <c r="Y294" s="1222"/>
      <c r="Z294" s="1222"/>
      <c r="AA294" s="1222"/>
      <c r="AB294" s="1222"/>
      <c r="AC294" s="1222"/>
    </row>
    <row r="295" ht="15.75" customHeight="1">
      <c r="A295" s="1222"/>
      <c r="B295" s="1222"/>
      <c r="C295" s="1222"/>
      <c r="D295" s="1222"/>
      <c r="E295" s="1222"/>
      <c r="F295" s="1222"/>
      <c r="G295" s="1222"/>
      <c r="H295" s="1241"/>
      <c r="I295" s="1241"/>
      <c r="J295" s="1241"/>
      <c r="K295" s="1241"/>
      <c r="L295" s="1222"/>
      <c r="M295" s="1222"/>
      <c r="N295" s="1222"/>
      <c r="O295" s="1222"/>
      <c r="P295" s="1241"/>
      <c r="Q295" s="1222"/>
      <c r="R295" s="1222"/>
      <c r="S295" s="1222"/>
      <c r="T295" s="1222"/>
      <c r="U295" s="1222"/>
      <c r="V295" s="1222"/>
      <c r="W295" s="1222"/>
      <c r="X295" s="1222"/>
      <c r="Y295" s="1222"/>
      <c r="Z295" s="1222"/>
      <c r="AA295" s="1222"/>
      <c r="AB295" s="1222"/>
      <c r="AC295" s="1222"/>
    </row>
    <row r="296" ht="15.75" customHeight="1">
      <c r="A296" s="1222"/>
      <c r="B296" s="1222"/>
      <c r="C296" s="1222"/>
      <c r="D296" s="1222"/>
      <c r="E296" s="1222"/>
      <c r="F296" s="1222"/>
      <c r="G296" s="1222"/>
      <c r="H296" s="1241"/>
      <c r="I296" s="1241"/>
      <c r="J296" s="1241"/>
      <c r="K296" s="1241"/>
      <c r="L296" s="1222"/>
      <c r="M296" s="1222"/>
      <c r="N296" s="1222"/>
      <c r="O296" s="1222"/>
      <c r="P296" s="1241"/>
      <c r="Q296" s="1222"/>
      <c r="R296" s="1222"/>
      <c r="S296" s="1222"/>
      <c r="T296" s="1222"/>
      <c r="U296" s="1222"/>
      <c r="V296" s="1222"/>
      <c r="W296" s="1222"/>
      <c r="X296" s="1222"/>
      <c r="Y296" s="1222"/>
      <c r="Z296" s="1222"/>
      <c r="AA296" s="1222"/>
      <c r="AB296" s="1222"/>
      <c r="AC296" s="1222"/>
    </row>
    <row r="297" ht="15.75" customHeight="1">
      <c r="A297" s="1222"/>
      <c r="B297" s="1222"/>
      <c r="C297" s="1222"/>
      <c r="D297" s="1222"/>
      <c r="E297" s="1222"/>
      <c r="F297" s="1222"/>
      <c r="G297" s="1222"/>
      <c r="H297" s="1241"/>
      <c r="I297" s="1241"/>
      <c r="J297" s="1241"/>
      <c r="K297" s="1241"/>
      <c r="L297" s="1222"/>
      <c r="M297" s="1222"/>
      <c r="N297" s="1222"/>
      <c r="O297" s="1222"/>
      <c r="P297" s="1241"/>
      <c r="Q297" s="1222"/>
      <c r="R297" s="1222"/>
      <c r="S297" s="1222"/>
      <c r="T297" s="1222"/>
      <c r="U297" s="1222"/>
      <c r="V297" s="1222"/>
      <c r="W297" s="1222"/>
      <c r="X297" s="1222"/>
      <c r="Y297" s="1222"/>
      <c r="Z297" s="1222"/>
      <c r="AA297" s="1222"/>
      <c r="AB297" s="1222"/>
      <c r="AC297" s="1222"/>
    </row>
    <row r="298" ht="15.75" customHeight="1">
      <c r="A298" s="1222"/>
      <c r="B298" s="1222"/>
      <c r="C298" s="1222"/>
      <c r="D298" s="1222"/>
      <c r="E298" s="1222"/>
      <c r="F298" s="1222"/>
      <c r="G298" s="1222"/>
      <c r="H298" s="1241"/>
      <c r="I298" s="1241"/>
      <c r="J298" s="1241"/>
      <c r="K298" s="1241"/>
      <c r="L298" s="1222"/>
      <c r="M298" s="1222"/>
      <c r="N298" s="1222"/>
      <c r="O298" s="1222"/>
      <c r="P298" s="1241"/>
      <c r="Q298" s="1222"/>
      <c r="R298" s="1222"/>
      <c r="S298" s="1222"/>
      <c r="T298" s="1222"/>
      <c r="U298" s="1222"/>
      <c r="V298" s="1222"/>
      <c r="W298" s="1222"/>
      <c r="X298" s="1222"/>
      <c r="Y298" s="1222"/>
      <c r="Z298" s="1222"/>
      <c r="AA298" s="1222"/>
      <c r="AB298" s="1222"/>
      <c r="AC298" s="1222"/>
    </row>
    <row r="299" ht="15.75" customHeight="1">
      <c r="A299" s="1222"/>
      <c r="B299" s="1222"/>
      <c r="C299" s="1222"/>
      <c r="D299" s="1222"/>
      <c r="E299" s="1222"/>
      <c r="F299" s="1222"/>
      <c r="G299" s="1222"/>
      <c r="H299" s="1241"/>
      <c r="I299" s="1241"/>
      <c r="J299" s="1241"/>
      <c r="K299" s="1241"/>
      <c r="L299" s="1222"/>
      <c r="M299" s="1222"/>
      <c r="N299" s="1222"/>
      <c r="O299" s="1222"/>
      <c r="P299" s="1241"/>
      <c r="Q299" s="1222"/>
      <c r="R299" s="1222"/>
      <c r="S299" s="1222"/>
      <c r="T299" s="1222"/>
      <c r="U299" s="1222"/>
      <c r="V299" s="1222"/>
      <c r="W299" s="1222"/>
      <c r="X299" s="1222"/>
      <c r="Y299" s="1222"/>
      <c r="Z299" s="1222"/>
      <c r="AA299" s="1222"/>
      <c r="AB299" s="1222"/>
      <c r="AC299" s="1222"/>
    </row>
    <row r="300" ht="15.75" customHeight="1">
      <c r="A300" s="1222"/>
      <c r="B300" s="1222"/>
      <c r="C300" s="1222"/>
      <c r="D300" s="1222"/>
      <c r="E300" s="1222"/>
      <c r="F300" s="1222"/>
      <c r="G300" s="1222"/>
      <c r="H300" s="1241"/>
      <c r="I300" s="1241"/>
      <c r="J300" s="1241"/>
      <c r="K300" s="1241"/>
      <c r="L300" s="1222"/>
      <c r="M300" s="1222"/>
      <c r="N300" s="1222"/>
      <c r="O300" s="1222"/>
      <c r="P300" s="1241"/>
      <c r="Q300" s="1222"/>
      <c r="R300" s="1222"/>
      <c r="S300" s="1222"/>
      <c r="T300" s="1222"/>
      <c r="U300" s="1222"/>
      <c r="V300" s="1222"/>
      <c r="W300" s="1222"/>
      <c r="X300" s="1222"/>
      <c r="Y300" s="1222"/>
      <c r="Z300" s="1222"/>
      <c r="AA300" s="1222"/>
      <c r="AB300" s="1222"/>
      <c r="AC300" s="1222"/>
    </row>
    <row r="301" ht="15.75" customHeight="1">
      <c r="A301" s="1222"/>
      <c r="B301" s="1222"/>
      <c r="C301" s="1222"/>
      <c r="D301" s="1222"/>
      <c r="E301" s="1222"/>
      <c r="F301" s="1222"/>
      <c r="G301" s="1222"/>
      <c r="H301" s="1241"/>
      <c r="I301" s="1241"/>
      <c r="J301" s="1241"/>
      <c r="K301" s="1241"/>
      <c r="L301" s="1222"/>
      <c r="M301" s="1222"/>
      <c r="N301" s="1222"/>
      <c r="O301" s="1222"/>
      <c r="P301" s="1241"/>
      <c r="Q301" s="1222"/>
      <c r="R301" s="1222"/>
      <c r="S301" s="1222"/>
      <c r="T301" s="1222"/>
      <c r="U301" s="1222"/>
      <c r="V301" s="1222"/>
      <c r="W301" s="1222"/>
      <c r="X301" s="1222"/>
      <c r="Y301" s="1222"/>
      <c r="Z301" s="1222"/>
      <c r="AA301" s="1222"/>
      <c r="AB301" s="1222"/>
      <c r="AC301" s="1222"/>
    </row>
    <row r="302" ht="15.75" customHeight="1">
      <c r="A302" s="1222"/>
      <c r="B302" s="1222"/>
      <c r="C302" s="1222"/>
      <c r="D302" s="1222"/>
      <c r="E302" s="1222"/>
      <c r="F302" s="1222"/>
      <c r="G302" s="1222"/>
      <c r="H302" s="1241"/>
      <c r="I302" s="1241"/>
      <c r="J302" s="1241"/>
      <c r="K302" s="1241"/>
      <c r="L302" s="1222"/>
      <c r="M302" s="1222"/>
      <c r="N302" s="1222"/>
      <c r="O302" s="1222"/>
      <c r="P302" s="1241"/>
      <c r="Q302" s="1222"/>
      <c r="R302" s="1222"/>
      <c r="S302" s="1222"/>
      <c r="T302" s="1222"/>
      <c r="U302" s="1222"/>
      <c r="V302" s="1222"/>
      <c r="W302" s="1222"/>
      <c r="X302" s="1222"/>
      <c r="Y302" s="1222"/>
      <c r="Z302" s="1222"/>
      <c r="AA302" s="1222"/>
      <c r="AB302" s="1222"/>
      <c r="AC302" s="1222"/>
    </row>
    <row r="303" ht="15.75" customHeight="1">
      <c r="A303" s="1222"/>
      <c r="B303" s="1222"/>
      <c r="C303" s="1222"/>
      <c r="D303" s="1222"/>
      <c r="E303" s="1222"/>
      <c r="F303" s="1222"/>
      <c r="G303" s="1222"/>
      <c r="H303" s="1241"/>
      <c r="I303" s="1241"/>
      <c r="J303" s="1241"/>
      <c r="K303" s="1241"/>
      <c r="L303" s="1222"/>
      <c r="M303" s="1222"/>
      <c r="N303" s="1222"/>
      <c r="O303" s="1222"/>
      <c r="P303" s="1241"/>
      <c r="Q303" s="1222"/>
      <c r="R303" s="1222"/>
      <c r="S303" s="1222"/>
      <c r="T303" s="1222"/>
      <c r="U303" s="1222"/>
      <c r="V303" s="1222"/>
      <c r="W303" s="1222"/>
      <c r="X303" s="1222"/>
      <c r="Y303" s="1222"/>
      <c r="Z303" s="1222"/>
      <c r="AA303" s="1222"/>
      <c r="AB303" s="1222"/>
      <c r="AC303" s="1222"/>
    </row>
    <row r="304" ht="15.75" customHeight="1">
      <c r="A304" s="1222"/>
      <c r="B304" s="1222"/>
      <c r="C304" s="1222"/>
      <c r="D304" s="1222"/>
      <c r="E304" s="1222"/>
      <c r="F304" s="1222"/>
      <c r="G304" s="1222"/>
      <c r="H304" s="1241"/>
      <c r="I304" s="1241"/>
      <c r="J304" s="1241"/>
      <c r="K304" s="1241"/>
      <c r="L304" s="1222"/>
      <c r="M304" s="1222"/>
      <c r="N304" s="1222"/>
      <c r="O304" s="1222"/>
      <c r="P304" s="1241"/>
      <c r="Q304" s="1222"/>
      <c r="R304" s="1222"/>
      <c r="S304" s="1222"/>
      <c r="T304" s="1222"/>
      <c r="U304" s="1222"/>
      <c r="V304" s="1222"/>
      <c r="W304" s="1222"/>
      <c r="X304" s="1222"/>
      <c r="Y304" s="1222"/>
      <c r="Z304" s="1222"/>
      <c r="AA304" s="1222"/>
      <c r="AB304" s="1222"/>
      <c r="AC304" s="1222"/>
    </row>
    <row r="305" ht="15.75" customHeight="1">
      <c r="A305" s="1222"/>
      <c r="B305" s="1222"/>
      <c r="C305" s="1222"/>
      <c r="D305" s="1222"/>
      <c r="E305" s="1222"/>
      <c r="F305" s="1222"/>
      <c r="G305" s="1222"/>
      <c r="H305" s="1241"/>
      <c r="I305" s="1241"/>
      <c r="J305" s="1241"/>
      <c r="K305" s="1241"/>
      <c r="L305" s="1222"/>
      <c r="M305" s="1222"/>
      <c r="N305" s="1222"/>
      <c r="O305" s="1222"/>
      <c r="P305" s="1241"/>
      <c r="Q305" s="1222"/>
      <c r="R305" s="1222"/>
      <c r="S305" s="1222"/>
      <c r="T305" s="1222"/>
      <c r="U305" s="1222"/>
      <c r="V305" s="1222"/>
      <c r="W305" s="1222"/>
      <c r="X305" s="1222"/>
      <c r="Y305" s="1222"/>
      <c r="Z305" s="1222"/>
      <c r="AA305" s="1222"/>
      <c r="AB305" s="1222"/>
      <c r="AC305" s="1222"/>
    </row>
    <row r="306" ht="15.75" customHeight="1">
      <c r="A306" s="1222"/>
      <c r="B306" s="1222"/>
      <c r="C306" s="1222"/>
      <c r="D306" s="1222"/>
      <c r="E306" s="1222"/>
      <c r="F306" s="1222"/>
      <c r="G306" s="1222"/>
      <c r="H306" s="1241"/>
      <c r="I306" s="1241"/>
      <c r="J306" s="1241"/>
      <c r="K306" s="1241"/>
      <c r="L306" s="1222"/>
      <c r="M306" s="1222"/>
      <c r="N306" s="1222"/>
      <c r="O306" s="1222"/>
      <c r="P306" s="1241"/>
      <c r="Q306" s="1222"/>
      <c r="R306" s="1222"/>
      <c r="S306" s="1222"/>
      <c r="T306" s="1222"/>
      <c r="U306" s="1222"/>
      <c r="V306" s="1222"/>
      <c r="W306" s="1222"/>
      <c r="X306" s="1222"/>
      <c r="Y306" s="1222"/>
      <c r="Z306" s="1222"/>
      <c r="AA306" s="1222"/>
      <c r="AB306" s="1222"/>
      <c r="AC306" s="1222"/>
    </row>
    <row r="307" ht="15.75" customHeight="1">
      <c r="A307" s="1222"/>
      <c r="B307" s="1222"/>
      <c r="C307" s="1222"/>
      <c r="D307" s="1222"/>
      <c r="E307" s="1222"/>
      <c r="F307" s="1222"/>
      <c r="G307" s="1222"/>
      <c r="H307" s="1241"/>
      <c r="I307" s="1241"/>
      <c r="J307" s="1241"/>
      <c r="K307" s="1241"/>
      <c r="L307" s="1222"/>
      <c r="M307" s="1222"/>
      <c r="N307" s="1222"/>
      <c r="O307" s="1222"/>
      <c r="P307" s="1241"/>
      <c r="Q307" s="1222"/>
      <c r="R307" s="1222"/>
      <c r="S307" s="1222"/>
      <c r="T307" s="1222"/>
      <c r="U307" s="1222"/>
      <c r="V307" s="1222"/>
      <c r="W307" s="1222"/>
      <c r="X307" s="1222"/>
      <c r="Y307" s="1222"/>
      <c r="Z307" s="1222"/>
      <c r="AA307" s="1222"/>
      <c r="AB307" s="1222"/>
      <c r="AC307" s="1222"/>
    </row>
    <row r="308" ht="15.75" customHeight="1">
      <c r="A308" s="1222"/>
      <c r="B308" s="1222"/>
      <c r="C308" s="1222"/>
      <c r="D308" s="1222"/>
      <c r="E308" s="1222"/>
      <c r="F308" s="1222"/>
      <c r="G308" s="1222"/>
      <c r="H308" s="1241"/>
      <c r="I308" s="1241"/>
      <c r="J308" s="1241"/>
      <c r="K308" s="1241"/>
      <c r="L308" s="1222"/>
      <c r="M308" s="1222"/>
      <c r="N308" s="1222"/>
      <c r="O308" s="1222"/>
      <c r="P308" s="1241"/>
      <c r="Q308" s="1222"/>
      <c r="R308" s="1222"/>
      <c r="S308" s="1222"/>
      <c r="T308" s="1222"/>
      <c r="U308" s="1222"/>
      <c r="V308" s="1222"/>
      <c r="W308" s="1222"/>
      <c r="X308" s="1222"/>
      <c r="Y308" s="1222"/>
      <c r="Z308" s="1222"/>
      <c r="AA308" s="1222"/>
      <c r="AB308" s="1222"/>
      <c r="AC308" s="1222"/>
    </row>
    <row r="309" ht="15.75" customHeight="1">
      <c r="A309" s="1222"/>
      <c r="B309" s="1222"/>
      <c r="C309" s="1222"/>
      <c r="D309" s="1222"/>
      <c r="E309" s="1222"/>
      <c r="F309" s="1222"/>
      <c r="G309" s="1222"/>
      <c r="H309" s="1241"/>
      <c r="I309" s="1241"/>
      <c r="J309" s="1241"/>
      <c r="K309" s="1241"/>
      <c r="L309" s="1222"/>
      <c r="M309" s="1222"/>
      <c r="N309" s="1222"/>
      <c r="O309" s="1222"/>
      <c r="P309" s="1241"/>
      <c r="Q309" s="1222"/>
      <c r="R309" s="1222"/>
      <c r="S309" s="1222"/>
      <c r="T309" s="1222"/>
      <c r="U309" s="1222"/>
      <c r="V309" s="1222"/>
      <c r="W309" s="1222"/>
      <c r="X309" s="1222"/>
      <c r="Y309" s="1222"/>
      <c r="Z309" s="1222"/>
      <c r="AA309" s="1222"/>
      <c r="AB309" s="1222"/>
      <c r="AC309" s="1222"/>
    </row>
    <row r="310" ht="15.75" customHeight="1">
      <c r="A310" s="1222"/>
      <c r="B310" s="1222"/>
      <c r="C310" s="1222"/>
      <c r="D310" s="1222"/>
      <c r="E310" s="1222"/>
      <c r="F310" s="1222"/>
      <c r="G310" s="1222"/>
      <c r="H310" s="1241"/>
      <c r="I310" s="1241"/>
      <c r="J310" s="1241"/>
      <c r="K310" s="1241"/>
      <c r="L310" s="1222"/>
      <c r="M310" s="1222"/>
      <c r="N310" s="1222"/>
      <c r="O310" s="1222"/>
      <c r="P310" s="1241"/>
      <c r="Q310" s="1222"/>
      <c r="R310" s="1222"/>
      <c r="S310" s="1222"/>
      <c r="T310" s="1222"/>
      <c r="U310" s="1222"/>
      <c r="V310" s="1222"/>
      <c r="W310" s="1222"/>
      <c r="X310" s="1222"/>
      <c r="Y310" s="1222"/>
      <c r="Z310" s="1222"/>
      <c r="AA310" s="1222"/>
      <c r="AB310" s="1222"/>
      <c r="AC310" s="1222"/>
    </row>
    <row r="311" ht="15.75" customHeight="1">
      <c r="A311" s="1222"/>
      <c r="B311" s="1222"/>
      <c r="C311" s="1222"/>
      <c r="D311" s="1222"/>
      <c r="E311" s="1222"/>
      <c r="F311" s="1222"/>
      <c r="G311" s="1222"/>
      <c r="H311" s="1241"/>
      <c r="I311" s="1241"/>
      <c r="J311" s="1241"/>
      <c r="K311" s="1241"/>
      <c r="L311" s="1222"/>
      <c r="M311" s="1222"/>
      <c r="N311" s="1222"/>
      <c r="O311" s="1222"/>
      <c r="P311" s="1241"/>
      <c r="Q311" s="1222"/>
      <c r="R311" s="1222"/>
      <c r="S311" s="1222"/>
      <c r="T311" s="1222"/>
      <c r="U311" s="1222"/>
      <c r="V311" s="1222"/>
      <c r="W311" s="1222"/>
      <c r="X311" s="1222"/>
      <c r="Y311" s="1222"/>
      <c r="Z311" s="1222"/>
      <c r="AA311" s="1222"/>
      <c r="AB311" s="1222"/>
      <c r="AC311" s="1222"/>
    </row>
    <row r="312" ht="15.75" customHeight="1">
      <c r="A312" s="1222"/>
      <c r="B312" s="1222"/>
      <c r="C312" s="1222"/>
      <c r="D312" s="1222"/>
      <c r="E312" s="1222"/>
      <c r="F312" s="1222"/>
      <c r="G312" s="1222"/>
      <c r="H312" s="1241"/>
      <c r="I312" s="1241"/>
      <c r="J312" s="1241"/>
      <c r="K312" s="1241"/>
      <c r="L312" s="1222"/>
      <c r="M312" s="1222"/>
      <c r="N312" s="1222"/>
      <c r="O312" s="1222"/>
      <c r="P312" s="1241"/>
      <c r="Q312" s="1222"/>
      <c r="R312" s="1222"/>
      <c r="S312" s="1222"/>
      <c r="T312" s="1222"/>
      <c r="U312" s="1222"/>
      <c r="V312" s="1222"/>
      <c r="W312" s="1222"/>
      <c r="X312" s="1222"/>
      <c r="Y312" s="1222"/>
      <c r="Z312" s="1222"/>
      <c r="AA312" s="1222"/>
      <c r="AB312" s="1222"/>
      <c r="AC312" s="1222"/>
    </row>
    <row r="313" ht="15.75" customHeight="1">
      <c r="A313" s="1222"/>
      <c r="B313" s="1222"/>
      <c r="C313" s="1222"/>
      <c r="D313" s="1222"/>
      <c r="E313" s="1222"/>
      <c r="F313" s="1222"/>
      <c r="G313" s="1222"/>
      <c r="H313" s="1241"/>
      <c r="I313" s="1241"/>
      <c r="J313" s="1241"/>
      <c r="K313" s="1241"/>
      <c r="L313" s="1222"/>
      <c r="M313" s="1222"/>
      <c r="N313" s="1222"/>
      <c r="O313" s="1222"/>
      <c r="P313" s="1241"/>
      <c r="Q313" s="1222"/>
      <c r="R313" s="1222"/>
      <c r="S313" s="1222"/>
      <c r="T313" s="1222"/>
      <c r="U313" s="1222"/>
      <c r="V313" s="1222"/>
      <c r="W313" s="1222"/>
      <c r="X313" s="1222"/>
      <c r="Y313" s="1222"/>
      <c r="Z313" s="1222"/>
      <c r="AA313" s="1222"/>
      <c r="AB313" s="1222"/>
      <c r="AC313" s="1222"/>
    </row>
    <row r="314" ht="15.75" customHeight="1">
      <c r="A314" s="1222"/>
      <c r="B314" s="1222"/>
      <c r="C314" s="1222"/>
      <c r="D314" s="1222"/>
      <c r="E314" s="1222"/>
      <c r="F314" s="1222"/>
      <c r="G314" s="1222"/>
      <c r="H314" s="1241"/>
      <c r="I314" s="1241"/>
      <c r="J314" s="1241"/>
      <c r="K314" s="1241"/>
      <c r="L314" s="1222"/>
      <c r="M314" s="1222"/>
      <c r="N314" s="1222"/>
      <c r="O314" s="1222"/>
      <c r="P314" s="1241"/>
      <c r="Q314" s="1222"/>
      <c r="R314" s="1222"/>
      <c r="S314" s="1222"/>
      <c r="T314" s="1222"/>
      <c r="U314" s="1222"/>
      <c r="V314" s="1222"/>
      <c r="W314" s="1222"/>
      <c r="X314" s="1222"/>
      <c r="Y314" s="1222"/>
      <c r="Z314" s="1222"/>
      <c r="AA314" s="1222"/>
      <c r="AB314" s="1222"/>
      <c r="AC314" s="1222"/>
    </row>
    <row r="315" ht="15.75" customHeight="1">
      <c r="A315" s="1222"/>
      <c r="B315" s="1222"/>
      <c r="C315" s="1222"/>
      <c r="D315" s="1222"/>
      <c r="E315" s="1222"/>
      <c r="F315" s="1222"/>
      <c r="G315" s="1222"/>
      <c r="H315" s="1241"/>
      <c r="I315" s="1241"/>
      <c r="J315" s="1241"/>
      <c r="K315" s="1241"/>
      <c r="L315" s="1222"/>
      <c r="M315" s="1222"/>
      <c r="N315" s="1222"/>
      <c r="O315" s="1222"/>
      <c r="P315" s="1241"/>
      <c r="Q315" s="1222"/>
      <c r="R315" s="1222"/>
      <c r="S315" s="1222"/>
      <c r="T315" s="1222"/>
      <c r="U315" s="1222"/>
      <c r="V315" s="1222"/>
      <c r="W315" s="1222"/>
      <c r="X315" s="1222"/>
      <c r="Y315" s="1222"/>
      <c r="Z315" s="1222"/>
      <c r="AA315" s="1222"/>
      <c r="AB315" s="1222"/>
      <c r="AC315" s="1222"/>
    </row>
    <row r="316" ht="15.75" customHeight="1">
      <c r="A316" s="1222"/>
      <c r="B316" s="1222"/>
      <c r="C316" s="1222"/>
      <c r="D316" s="1222"/>
      <c r="E316" s="1222"/>
      <c r="F316" s="1222"/>
      <c r="G316" s="1222"/>
      <c r="H316" s="1241"/>
      <c r="I316" s="1241"/>
      <c r="J316" s="1241"/>
      <c r="K316" s="1241"/>
      <c r="L316" s="1222"/>
      <c r="M316" s="1222"/>
      <c r="N316" s="1222"/>
      <c r="O316" s="1222"/>
      <c r="P316" s="1241"/>
      <c r="Q316" s="1222"/>
      <c r="R316" s="1222"/>
      <c r="S316" s="1222"/>
      <c r="T316" s="1222"/>
      <c r="U316" s="1222"/>
      <c r="V316" s="1222"/>
      <c r="W316" s="1222"/>
      <c r="X316" s="1222"/>
      <c r="Y316" s="1222"/>
      <c r="Z316" s="1222"/>
      <c r="AA316" s="1222"/>
      <c r="AB316" s="1222"/>
      <c r="AC316" s="1222"/>
    </row>
    <row r="317" ht="15.75" customHeight="1">
      <c r="A317" s="1222"/>
      <c r="B317" s="1222"/>
      <c r="C317" s="1222"/>
      <c r="D317" s="1222"/>
      <c r="E317" s="1222"/>
      <c r="F317" s="1222"/>
      <c r="G317" s="1222"/>
      <c r="H317" s="1241"/>
      <c r="I317" s="1241"/>
      <c r="J317" s="1241"/>
      <c r="K317" s="1241"/>
      <c r="L317" s="1222"/>
      <c r="M317" s="1222"/>
      <c r="N317" s="1222"/>
      <c r="O317" s="1222"/>
      <c r="P317" s="1241"/>
      <c r="Q317" s="1222"/>
      <c r="R317" s="1222"/>
      <c r="S317" s="1222"/>
      <c r="T317" s="1222"/>
      <c r="U317" s="1222"/>
      <c r="V317" s="1222"/>
      <c r="W317" s="1222"/>
      <c r="X317" s="1222"/>
      <c r="Y317" s="1222"/>
      <c r="Z317" s="1222"/>
      <c r="AA317" s="1222"/>
      <c r="AB317" s="1222"/>
      <c r="AC317" s="1222"/>
    </row>
    <row r="318" ht="15.75" customHeight="1">
      <c r="A318" s="1222"/>
      <c r="B318" s="1222"/>
      <c r="C318" s="1222"/>
      <c r="D318" s="1222"/>
      <c r="E318" s="1222"/>
      <c r="F318" s="1222"/>
      <c r="G318" s="1222"/>
      <c r="H318" s="1241"/>
      <c r="I318" s="1241"/>
      <c r="J318" s="1241"/>
      <c r="K318" s="1241"/>
      <c r="L318" s="1222"/>
      <c r="M318" s="1222"/>
      <c r="N318" s="1222"/>
      <c r="O318" s="1222"/>
      <c r="P318" s="1241"/>
      <c r="Q318" s="1222"/>
      <c r="R318" s="1222"/>
      <c r="S318" s="1222"/>
      <c r="T318" s="1222"/>
      <c r="U318" s="1222"/>
      <c r="V318" s="1222"/>
      <c r="W318" s="1222"/>
      <c r="X318" s="1222"/>
      <c r="Y318" s="1222"/>
      <c r="Z318" s="1222"/>
      <c r="AA318" s="1222"/>
      <c r="AB318" s="1222"/>
      <c r="AC318" s="1222"/>
    </row>
    <row r="319" ht="15.75" customHeight="1">
      <c r="A319" s="1222"/>
      <c r="B319" s="1222"/>
      <c r="C319" s="1222"/>
      <c r="D319" s="1222"/>
      <c r="E319" s="1222"/>
      <c r="F319" s="1222"/>
      <c r="G319" s="1222"/>
      <c r="H319" s="1241"/>
      <c r="I319" s="1241"/>
      <c r="J319" s="1241"/>
      <c r="K319" s="1241"/>
      <c r="L319" s="1222"/>
      <c r="M319" s="1222"/>
      <c r="N319" s="1222"/>
      <c r="O319" s="1222"/>
      <c r="P319" s="1241"/>
      <c r="Q319" s="1222"/>
      <c r="R319" s="1222"/>
      <c r="S319" s="1222"/>
      <c r="T319" s="1222"/>
      <c r="U319" s="1222"/>
      <c r="V319" s="1222"/>
      <c r="W319" s="1222"/>
      <c r="X319" s="1222"/>
      <c r="Y319" s="1222"/>
      <c r="Z319" s="1222"/>
      <c r="AA319" s="1222"/>
      <c r="AB319" s="1222"/>
      <c r="AC319" s="1222"/>
    </row>
    <row r="320" ht="15.75" customHeight="1">
      <c r="A320" s="1222"/>
      <c r="B320" s="1222"/>
      <c r="C320" s="1222"/>
      <c r="D320" s="1222"/>
      <c r="E320" s="1222"/>
      <c r="F320" s="1222"/>
      <c r="G320" s="1222"/>
      <c r="H320" s="1241"/>
      <c r="I320" s="1241"/>
      <c r="J320" s="1241"/>
      <c r="K320" s="1241"/>
      <c r="L320" s="1222"/>
      <c r="M320" s="1222"/>
      <c r="N320" s="1222"/>
      <c r="O320" s="1222"/>
      <c r="P320" s="1241"/>
      <c r="Q320" s="1222"/>
      <c r="R320" s="1222"/>
      <c r="S320" s="1222"/>
      <c r="T320" s="1222"/>
      <c r="U320" s="1222"/>
      <c r="V320" s="1222"/>
      <c r="W320" s="1222"/>
      <c r="X320" s="1222"/>
      <c r="Y320" s="1222"/>
      <c r="Z320" s="1222"/>
      <c r="AA320" s="1222"/>
      <c r="AB320" s="1222"/>
      <c r="AC320" s="1222"/>
    </row>
    <row r="321" ht="15.75" customHeight="1">
      <c r="A321" s="1222"/>
      <c r="B321" s="1222"/>
      <c r="C321" s="1222"/>
      <c r="D321" s="1222"/>
      <c r="E321" s="1222"/>
      <c r="F321" s="1222"/>
      <c r="G321" s="1222"/>
      <c r="H321" s="1241"/>
      <c r="I321" s="1241"/>
      <c r="J321" s="1241"/>
      <c r="K321" s="1241"/>
      <c r="L321" s="1222"/>
      <c r="M321" s="1222"/>
      <c r="N321" s="1222"/>
      <c r="O321" s="1222"/>
      <c r="P321" s="1241"/>
      <c r="Q321" s="1222"/>
      <c r="R321" s="1222"/>
      <c r="S321" s="1222"/>
      <c r="T321" s="1222"/>
      <c r="U321" s="1222"/>
      <c r="V321" s="1222"/>
      <c r="W321" s="1222"/>
      <c r="X321" s="1222"/>
      <c r="Y321" s="1222"/>
      <c r="Z321" s="1222"/>
      <c r="AA321" s="1222"/>
      <c r="AB321" s="1222"/>
      <c r="AC321" s="1222"/>
    </row>
    <row r="322" ht="15.75" customHeight="1">
      <c r="A322" s="1222"/>
      <c r="B322" s="1222"/>
      <c r="C322" s="1222"/>
      <c r="D322" s="1222"/>
      <c r="E322" s="1222"/>
      <c r="F322" s="1222"/>
      <c r="G322" s="1222"/>
      <c r="H322" s="1241"/>
      <c r="I322" s="1241"/>
      <c r="J322" s="1241"/>
      <c r="K322" s="1241"/>
      <c r="L322" s="1222"/>
      <c r="M322" s="1222"/>
      <c r="N322" s="1222"/>
      <c r="O322" s="1222"/>
      <c r="P322" s="1241"/>
      <c r="Q322" s="1222"/>
      <c r="R322" s="1222"/>
      <c r="S322" s="1222"/>
      <c r="T322" s="1222"/>
      <c r="U322" s="1222"/>
      <c r="V322" s="1222"/>
      <c r="W322" s="1222"/>
      <c r="X322" s="1222"/>
      <c r="Y322" s="1222"/>
      <c r="Z322" s="1222"/>
      <c r="AA322" s="1222"/>
      <c r="AB322" s="1222"/>
      <c r="AC322" s="1222"/>
    </row>
    <row r="323" ht="15.75" customHeight="1">
      <c r="A323" s="1222"/>
      <c r="B323" s="1222"/>
      <c r="C323" s="1222"/>
      <c r="D323" s="1222"/>
      <c r="E323" s="1222"/>
      <c r="F323" s="1222"/>
      <c r="G323" s="1222"/>
      <c r="H323" s="1241"/>
      <c r="I323" s="1241"/>
      <c r="J323" s="1241"/>
      <c r="K323" s="1241"/>
      <c r="L323" s="1222"/>
      <c r="M323" s="1222"/>
      <c r="N323" s="1222"/>
      <c r="O323" s="1222"/>
      <c r="P323" s="1241"/>
      <c r="Q323" s="1222"/>
      <c r="R323" s="1222"/>
      <c r="S323" s="1222"/>
      <c r="T323" s="1222"/>
      <c r="U323" s="1222"/>
      <c r="V323" s="1222"/>
      <c r="W323" s="1222"/>
      <c r="X323" s="1222"/>
      <c r="Y323" s="1222"/>
      <c r="Z323" s="1222"/>
      <c r="AA323" s="1222"/>
      <c r="AB323" s="1222"/>
      <c r="AC323" s="1222"/>
    </row>
    <row r="324" ht="15.75" customHeight="1">
      <c r="A324" s="1222"/>
      <c r="B324" s="1222"/>
      <c r="C324" s="1222"/>
      <c r="D324" s="1222"/>
      <c r="E324" s="1222"/>
      <c r="F324" s="1222"/>
      <c r="G324" s="1222"/>
      <c r="H324" s="1241"/>
      <c r="I324" s="1241"/>
      <c r="J324" s="1241"/>
      <c r="K324" s="1241"/>
      <c r="L324" s="1222"/>
      <c r="M324" s="1222"/>
      <c r="N324" s="1222"/>
      <c r="O324" s="1222"/>
      <c r="P324" s="1241"/>
      <c r="Q324" s="1222"/>
      <c r="R324" s="1222"/>
      <c r="S324" s="1222"/>
      <c r="T324" s="1222"/>
      <c r="U324" s="1222"/>
      <c r="V324" s="1222"/>
      <c r="W324" s="1222"/>
      <c r="X324" s="1222"/>
      <c r="Y324" s="1222"/>
      <c r="Z324" s="1222"/>
      <c r="AA324" s="1222"/>
      <c r="AB324" s="1222"/>
      <c r="AC324" s="1222"/>
    </row>
    <row r="325" ht="15.75" customHeight="1">
      <c r="A325" s="1222"/>
      <c r="B325" s="1222"/>
      <c r="C325" s="1222"/>
      <c r="D325" s="1222"/>
      <c r="E325" s="1222"/>
      <c r="F325" s="1222"/>
      <c r="G325" s="1222"/>
      <c r="H325" s="1241"/>
      <c r="I325" s="1241"/>
      <c r="J325" s="1241"/>
      <c r="K325" s="1241"/>
      <c r="L325" s="1222"/>
      <c r="M325" s="1222"/>
      <c r="N325" s="1222"/>
      <c r="O325" s="1222"/>
      <c r="P325" s="1241"/>
      <c r="Q325" s="1222"/>
      <c r="R325" s="1222"/>
      <c r="S325" s="1222"/>
      <c r="T325" s="1222"/>
      <c r="U325" s="1222"/>
      <c r="V325" s="1222"/>
      <c r="W325" s="1222"/>
      <c r="X325" s="1222"/>
      <c r="Y325" s="1222"/>
      <c r="Z325" s="1222"/>
      <c r="AA325" s="1222"/>
      <c r="AB325" s="1222"/>
      <c r="AC325" s="1222"/>
    </row>
    <row r="326" ht="15.75" customHeight="1">
      <c r="A326" s="1222"/>
      <c r="B326" s="1222"/>
      <c r="C326" s="1222"/>
      <c r="D326" s="1222"/>
      <c r="E326" s="1222"/>
      <c r="F326" s="1222"/>
      <c r="G326" s="1222"/>
      <c r="H326" s="1241"/>
      <c r="I326" s="1241"/>
      <c r="J326" s="1241"/>
      <c r="K326" s="1241"/>
      <c r="L326" s="1222"/>
      <c r="M326" s="1222"/>
      <c r="N326" s="1222"/>
      <c r="O326" s="1222"/>
      <c r="P326" s="1241"/>
      <c r="Q326" s="1222"/>
      <c r="R326" s="1222"/>
      <c r="S326" s="1222"/>
      <c r="T326" s="1222"/>
      <c r="U326" s="1222"/>
      <c r="V326" s="1222"/>
      <c r="W326" s="1222"/>
      <c r="X326" s="1222"/>
      <c r="Y326" s="1222"/>
      <c r="Z326" s="1222"/>
      <c r="AA326" s="1222"/>
      <c r="AB326" s="1222"/>
      <c r="AC326" s="1222"/>
    </row>
    <row r="327" ht="15.75" customHeight="1">
      <c r="A327" s="1222"/>
      <c r="B327" s="1222"/>
      <c r="C327" s="1222"/>
      <c r="D327" s="1222"/>
      <c r="E327" s="1222"/>
      <c r="F327" s="1222"/>
      <c r="G327" s="1222"/>
      <c r="H327" s="1241"/>
      <c r="I327" s="1241"/>
      <c r="J327" s="1241"/>
      <c r="K327" s="1241"/>
      <c r="L327" s="1222"/>
      <c r="M327" s="1222"/>
      <c r="N327" s="1222"/>
      <c r="O327" s="1222"/>
      <c r="P327" s="1241"/>
      <c r="Q327" s="1222"/>
      <c r="R327" s="1222"/>
      <c r="S327" s="1222"/>
      <c r="T327" s="1222"/>
      <c r="U327" s="1222"/>
      <c r="V327" s="1222"/>
      <c r="W327" s="1222"/>
      <c r="X327" s="1222"/>
      <c r="Y327" s="1222"/>
      <c r="Z327" s="1222"/>
      <c r="AA327" s="1222"/>
      <c r="AB327" s="1222"/>
      <c r="AC327" s="1222"/>
    </row>
    <row r="328" ht="15.75" customHeight="1">
      <c r="A328" s="1222"/>
      <c r="B328" s="1222"/>
      <c r="C328" s="1222"/>
      <c r="D328" s="1222"/>
      <c r="E328" s="1222"/>
      <c r="F328" s="1222"/>
      <c r="G328" s="1222"/>
      <c r="H328" s="1241"/>
      <c r="I328" s="1241"/>
      <c r="J328" s="1241"/>
      <c r="K328" s="1241"/>
      <c r="L328" s="1222"/>
      <c r="M328" s="1222"/>
      <c r="N328" s="1222"/>
      <c r="O328" s="1222"/>
      <c r="P328" s="1241"/>
      <c r="Q328" s="1222"/>
      <c r="R328" s="1222"/>
      <c r="S328" s="1222"/>
      <c r="T328" s="1222"/>
      <c r="U328" s="1222"/>
      <c r="V328" s="1222"/>
      <c r="W328" s="1222"/>
      <c r="X328" s="1222"/>
      <c r="Y328" s="1222"/>
      <c r="Z328" s="1222"/>
      <c r="AA328" s="1222"/>
      <c r="AB328" s="1222"/>
      <c r="AC328" s="1222"/>
    </row>
    <row r="329" ht="15.75" customHeight="1">
      <c r="A329" s="1222"/>
      <c r="B329" s="1222"/>
      <c r="C329" s="1222"/>
      <c r="D329" s="1222"/>
      <c r="E329" s="1222"/>
      <c r="F329" s="1222"/>
      <c r="G329" s="1222"/>
      <c r="H329" s="1241"/>
      <c r="I329" s="1241"/>
      <c r="J329" s="1241"/>
      <c r="K329" s="1241"/>
      <c r="L329" s="1222"/>
      <c r="M329" s="1222"/>
      <c r="N329" s="1222"/>
      <c r="O329" s="1222"/>
      <c r="P329" s="1241"/>
      <c r="Q329" s="1222"/>
      <c r="R329" s="1222"/>
      <c r="S329" s="1222"/>
      <c r="T329" s="1222"/>
      <c r="U329" s="1222"/>
      <c r="V329" s="1222"/>
      <c r="W329" s="1222"/>
      <c r="X329" s="1222"/>
      <c r="Y329" s="1222"/>
      <c r="Z329" s="1222"/>
      <c r="AA329" s="1222"/>
      <c r="AB329" s="1222"/>
      <c r="AC329" s="1222"/>
    </row>
    <row r="330" ht="15.75" customHeight="1">
      <c r="A330" s="1222"/>
      <c r="B330" s="1222"/>
      <c r="C330" s="1222"/>
      <c r="D330" s="1222"/>
      <c r="E330" s="1222"/>
      <c r="F330" s="1222"/>
      <c r="G330" s="1222"/>
      <c r="H330" s="1241"/>
      <c r="I330" s="1241"/>
      <c r="J330" s="1241"/>
      <c r="K330" s="1241"/>
      <c r="L330" s="1222"/>
      <c r="M330" s="1222"/>
      <c r="N330" s="1222"/>
      <c r="O330" s="1222"/>
      <c r="P330" s="1241"/>
      <c r="Q330" s="1222"/>
      <c r="R330" s="1222"/>
      <c r="S330" s="1222"/>
      <c r="T330" s="1222"/>
      <c r="U330" s="1222"/>
      <c r="V330" s="1222"/>
      <c r="W330" s="1222"/>
      <c r="X330" s="1222"/>
      <c r="Y330" s="1222"/>
      <c r="Z330" s="1222"/>
      <c r="AA330" s="1222"/>
      <c r="AB330" s="1222"/>
      <c r="AC330" s="1222"/>
    </row>
    <row r="331" ht="15.75" customHeight="1">
      <c r="A331" s="1222"/>
      <c r="B331" s="1222"/>
      <c r="C331" s="1222"/>
      <c r="D331" s="1222"/>
      <c r="E331" s="1222"/>
      <c r="F331" s="1222"/>
      <c r="G331" s="1222"/>
      <c r="H331" s="1241"/>
      <c r="I331" s="1241"/>
      <c r="J331" s="1241"/>
      <c r="K331" s="1241"/>
      <c r="L331" s="1222"/>
      <c r="M331" s="1222"/>
      <c r="N331" s="1222"/>
      <c r="O331" s="1222"/>
      <c r="P331" s="1241"/>
      <c r="Q331" s="1222"/>
      <c r="R331" s="1222"/>
      <c r="S331" s="1222"/>
      <c r="T331" s="1222"/>
      <c r="U331" s="1222"/>
      <c r="V331" s="1222"/>
      <c r="W331" s="1222"/>
      <c r="X331" s="1222"/>
      <c r="Y331" s="1222"/>
      <c r="Z331" s="1222"/>
      <c r="AA331" s="1222"/>
      <c r="AB331" s="1222"/>
      <c r="AC331" s="1222"/>
    </row>
    <row r="332" ht="15.75" customHeight="1">
      <c r="A332" s="1222"/>
      <c r="B332" s="1222"/>
      <c r="C332" s="1222"/>
      <c r="D332" s="1222"/>
      <c r="E332" s="1222"/>
      <c r="F332" s="1222"/>
      <c r="G332" s="1222"/>
      <c r="H332" s="1241"/>
      <c r="I332" s="1241"/>
      <c r="J332" s="1241"/>
      <c r="K332" s="1241"/>
      <c r="L332" s="1222"/>
      <c r="M332" s="1222"/>
      <c r="N332" s="1222"/>
      <c r="O332" s="1222"/>
      <c r="P332" s="1241"/>
      <c r="Q332" s="1222"/>
      <c r="R332" s="1222"/>
      <c r="S332" s="1222"/>
      <c r="T332" s="1222"/>
      <c r="U332" s="1222"/>
      <c r="V332" s="1222"/>
      <c r="W332" s="1222"/>
      <c r="X332" s="1222"/>
      <c r="Y332" s="1222"/>
      <c r="Z332" s="1222"/>
      <c r="AA332" s="1222"/>
      <c r="AB332" s="1222"/>
      <c r="AC332" s="1222"/>
    </row>
    <row r="333" ht="15.75" customHeight="1">
      <c r="A333" s="1222"/>
      <c r="B333" s="1222"/>
      <c r="C333" s="1222"/>
      <c r="D333" s="1222"/>
      <c r="E333" s="1222"/>
      <c r="F333" s="1222"/>
      <c r="G333" s="1222"/>
      <c r="H333" s="1241"/>
      <c r="I333" s="1241"/>
      <c r="J333" s="1241"/>
      <c r="K333" s="1241"/>
      <c r="L333" s="1222"/>
      <c r="M333" s="1222"/>
      <c r="N333" s="1222"/>
      <c r="O333" s="1222"/>
      <c r="P333" s="1241"/>
      <c r="Q333" s="1222"/>
      <c r="R333" s="1222"/>
      <c r="S333" s="1222"/>
      <c r="T333" s="1222"/>
      <c r="U333" s="1222"/>
      <c r="V333" s="1222"/>
      <c r="W333" s="1222"/>
      <c r="X333" s="1222"/>
      <c r="Y333" s="1222"/>
      <c r="Z333" s="1222"/>
      <c r="AA333" s="1222"/>
      <c r="AB333" s="1222"/>
      <c r="AC333" s="1222"/>
    </row>
    <row r="334" ht="15.75" customHeight="1">
      <c r="A334" s="1222"/>
      <c r="B334" s="1222"/>
      <c r="C334" s="1222"/>
      <c r="D334" s="1222"/>
      <c r="E334" s="1222"/>
      <c r="F334" s="1222"/>
      <c r="G334" s="1222"/>
      <c r="H334" s="1241"/>
      <c r="I334" s="1241"/>
      <c r="J334" s="1241"/>
      <c r="K334" s="1241"/>
      <c r="L334" s="1222"/>
      <c r="M334" s="1222"/>
      <c r="N334" s="1222"/>
      <c r="O334" s="1222"/>
      <c r="P334" s="1241"/>
      <c r="Q334" s="1222"/>
      <c r="R334" s="1222"/>
      <c r="S334" s="1222"/>
      <c r="T334" s="1222"/>
      <c r="U334" s="1222"/>
      <c r="V334" s="1222"/>
      <c r="W334" s="1222"/>
      <c r="X334" s="1222"/>
      <c r="Y334" s="1222"/>
      <c r="Z334" s="1222"/>
      <c r="AA334" s="1222"/>
      <c r="AB334" s="1222"/>
      <c r="AC334" s="1222"/>
    </row>
    <row r="335" ht="15.75" customHeight="1">
      <c r="A335" s="1222"/>
      <c r="B335" s="1222"/>
      <c r="C335" s="1222"/>
      <c r="D335" s="1222"/>
      <c r="E335" s="1222"/>
      <c r="F335" s="1222"/>
      <c r="G335" s="1222"/>
      <c r="H335" s="1241"/>
      <c r="I335" s="1241"/>
      <c r="J335" s="1241"/>
      <c r="K335" s="1241"/>
      <c r="L335" s="1222"/>
      <c r="M335" s="1222"/>
      <c r="N335" s="1222"/>
      <c r="O335" s="1222"/>
      <c r="P335" s="1241"/>
      <c r="Q335" s="1222"/>
      <c r="R335" s="1222"/>
      <c r="S335" s="1222"/>
      <c r="T335" s="1222"/>
      <c r="U335" s="1222"/>
      <c r="V335" s="1222"/>
      <c r="W335" s="1222"/>
      <c r="X335" s="1222"/>
      <c r="Y335" s="1222"/>
      <c r="Z335" s="1222"/>
      <c r="AA335" s="1222"/>
      <c r="AB335" s="1222"/>
      <c r="AC335" s="1222"/>
    </row>
    <row r="336" ht="15.75" customHeight="1">
      <c r="A336" s="1222"/>
      <c r="B336" s="1222"/>
      <c r="C336" s="1222"/>
      <c r="D336" s="1222"/>
      <c r="E336" s="1222"/>
      <c r="F336" s="1222"/>
      <c r="G336" s="1222"/>
      <c r="H336" s="1241"/>
      <c r="I336" s="1241"/>
      <c r="J336" s="1241"/>
      <c r="K336" s="1241"/>
      <c r="L336" s="1222"/>
      <c r="M336" s="1222"/>
      <c r="N336" s="1222"/>
      <c r="O336" s="1222"/>
      <c r="P336" s="1241"/>
      <c r="Q336" s="1222"/>
      <c r="R336" s="1222"/>
      <c r="S336" s="1222"/>
      <c r="T336" s="1222"/>
      <c r="U336" s="1222"/>
      <c r="V336" s="1222"/>
      <c r="W336" s="1222"/>
      <c r="X336" s="1222"/>
      <c r="Y336" s="1222"/>
      <c r="Z336" s="1222"/>
      <c r="AA336" s="1222"/>
      <c r="AB336" s="1222"/>
      <c r="AC336" s="1222"/>
    </row>
    <row r="337" ht="15.75" customHeight="1">
      <c r="A337" s="1222"/>
      <c r="B337" s="1222"/>
      <c r="C337" s="1222"/>
      <c r="D337" s="1222"/>
      <c r="E337" s="1222"/>
      <c r="F337" s="1222"/>
      <c r="G337" s="1222"/>
      <c r="H337" s="1241"/>
      <c r="I337" s="1241"/>
      <c r="J337" s="1241"/>
      <c r="K337" s="1241"/>
      <c r="L337" s="1222"/>
      <c r="M337" s="1222"/>
      <c r="N337" s="1222"/>
      <c r="O337" s="1222"/>
      <c r="P337" s="1241"/>
      <c r="Q337" s="1222"/>
      <c r="R337" s="1222"/>
      <c r="S337" s="1222"/>
      <c r="T337" s="1222"/>
      <c r="U337" s="1222"/>
      <c r="V337" s="1222"/>
      <c r="W337" s="1222"/>
      <c r="X337" s="1222"/>
      <c r="Y337" s="1222"/>
      <c r="Z337" s="1222"/>
      <c r="AA337" s="1222"/>
      <c r="AB337" s="1222"/>
      <c r="AC337" s="1222"/>
    </row>
    <row r="338" ht="15.75" customHeight="1">
      <c r="A338" s="1222"/>
      <c r="B338" s="1222"/>
      <c r="C338" s="1222"/>
      <c r="D338" s="1222"/>
      <c r="E338" s="1222"/>
      <c r="F338" s="1222"/>
      <c r="G338" s="1222"/>
      <c r="H338" s="1241"/>
      <c r="I338" s="1241"/>
      <c r="J338" s="1241"/>
      <c r="K338" s="1241"/>
      <c r="L338" s="1222"/>
      <c r="M338" s="1222"/>
      <c r="N338" s="1222"/>
      <c r="O338" s="1222"/>
      <c r="P338" s="1241"/>
      <c r="Q338" s="1222"/>
      <c r="R338" s="1222"/>
      <c r="S338" s="1222"/>
      <c r="T338" s="1222"/>
      <c r="U338" s="1222"/>
      <c r="V338" s="1222"/>
      <c r="W338" s="1222"/>
      <c r="X338" s="1222"/>
      <c r="Y338" s="1222"/>
      <c r="Z338" s="1222"/>
      <c r="AA338" s="1222"/>
      <c r="AB338" s="1222"/>
      <c r="AC338" s="1222"/>
    </row>
    <row r="339" ht="15.75" customHeight="1">
      <c r="A339" s="1222"/>
      <c r="B339" s="1222"/>
      <c r="C339" s="1222"/>
      <c r="D339" s="1222"/>
      <c r="E339" s="1222"/>
      <c r="F339" s="1222"/>
      <c r="G339" s="1222"/>
      <c r="H339" s="1241"/>
      <c r="I339" s="1241"/>
      <c r="J339" s="1241"/>
      <c r="K339" s="1241"/>
      <c r="L339" s="1222"/>
      <c r="M339" s="1222"/>
      <c r="N339" s="1222"/>
      <c r="O339" s="1222"/>
      <c r="P339" s="1241"/>
      <c r="Q339" s="1222"/>
      <c r="R339" s="1222"/>
      <c r="S339" s="1222"/>
      <c r="T339" s="1222"/>
      <c r="U339" s="1222"/>
      <c r="V339" s="1222"/>
      <c r="W339" s="1222"/>
      <c r="X339" s="1222"/>
      <c r="Y339" s="1222"/>
      <c r="Z339" s="1222"/>
      <c r="AA339" s="1222"/>
      <c r="AB339" s="1222"/>
      <c r="AC339" s="1222"/>
    </row>
    <row r="340" ht="15.75" customHeight="1">
      <c r="A340" s="1222"/>
      <c r="B340" s="1222"/>
      <c r="C340" s="1222"/>
      <c r="D340" s="1222"/>
      <c r="E340" s="1222"/>
      <c r="F340" s="1222"/>
      <c r="G340" s="1222"/>
      <c r="H340" s="1241"/>
      <c r="I340" s="1241"/>
      <c r="J340" s="1241"/>
      <c r="K340" s="1241"/>
      <c r="L340" s="1222"/>
      <c r="M340" s="1222"/>
      <c r="N340" s="1222"/>
      <c r="O340" s="1222"/>
      <c r="P340" s="1241"/>
      <c r="Q340" s="1222"/>
      <c r="R340" s="1222"/>
      <c r="S340" s="1222"/>
      <c r="T340" s="1222"/>
      <c r="U340" s="1222"/>
      <c r="V340" s="1222"/>
      <c r="W340" s="1222"/>
      <c r="X340" s="1222"/>
      <c r="Y340" s="1222"/>
      <c r="Z340" s="1222"/>
      <c r="AA340" s="1222"/>
      <c r="AB340" s="1222"/>
      <c r="AC340" s="1222"/>
    </row>
    <row r="341" ht="15.75" customHeight="1">
      <c r="A341" s="1222"/>
      <c r="B341" s="1222"/>
      <c r="C341" s="1222"/>
      <c r="D341" s="1222"/>
      <c r="E341" s="1222"/>
      <c r="F341" s="1222"/>
      <c r="G341" s="1222"/>
      <c r="H341" s="1241"/>
      <c r="I341" s="1241"/>
      <c r="J341" s="1241"/>
      <c r="K341" s="1241"/>
      <c r="L341" s="1222"/>
      <c r="M341" s="1222"/>
      <c r="N341" s="1222"/>
      <c r="O341" s="1222"/>
      <c r="P341" s="1241"/>
      <c r="Q341" s="1222"/>
      <c r="R341" s="1222"/>
      <c r="S341" s="1222"/>
      <c r="T341" s="1222"/>
      <c r="U341" s="1222"/>
      <c r="V341" s="1222"/>
      <c r="W341" s="1222"/>
      <c r="X341" s="1222"/>
      <c r="Y341" s="1222"/>
      <c r="Z341" s="1222"/>
      <c r="AA341" s="1222"/>
      <c r="AB341" s="1222"/>
      <c r="AC341" s="1222"/>
    </row>
    <row r="342" ht="15.75" customHeight="1">
      <c r="A342" s="1222"/>
      <c r="B342" s="1222"/>
      <c r="C342" s="1222"/>
      <c r="D342" s="1222"/>
      <c r="E342" s="1222"/>
      <c r="F342" s="1222"/>
      <c r="G342" s="1222"/>
      <c r="H342" s="1241"/>
      <c r="I342" s="1241"/>
      <c r="J342" s="1241"/>
      <c r="K342" s="1241"/>
      <c r="L342" s="1222"/>
      <c r="M342" s="1222"/>
      <c r="N342" s="1222"/>
      <c r="O342" s="1222"/>
      <c r="P342" s="1241"/>
      <c r="Q342" s="1222"/>
      <c r="R342" s="1222"/>
      <c r="S342" s="1222"/>
      <c r="T342" s="1222"/>
      <c r="U342" s="1222"/>
      <c r="V342" s="1222"/>
      <c r="W342" s="1222"/>
      <c r="X342" s="1222"/>
      <c r="Y342" s="1222"/>
      <c r="Z342" s="1222"/>
      <c r="AA342" s="1222"/>
      <c r="AB342" s="1222"/>
      <c r="AC342" s="1222"/>
    </row>
    <row r="343" ht="15.75" customHeight="1">
      <c r="A343" s="1222"/>
      <c r="B343" s="1222"/>
      <c r="C343" s="1222"/>
      <c r="D343" s="1222"/>
      <c r="E343" s="1222"/>
      <c r="F343" s="1222"/>
      <c r="G343" s="1222"/>
      <c r="H343" s="1241"/>
      <c r="I343" s="1241"/>
      <c r="J343" s="1241"/>
      <c r="K343" s="1241"/>
      <c r="L343" s="1222"/>
      <c r="M343" s="1222"/>
      <c r="N343" s="1222"/>
      <c r="O343" s="1222"/>
      <c r="P343" s="1241"/>
      <c r="Q343" s="1222"/>
      <c r="R343" s="1222"/>
      <c r="S343" s="1222"/>
      <c r="T343" s="1222"/>
      <c r="U343" s="1222"/>
      <c r="V343" s="1222"/>
      <c r="W343" s="1222"/>
      <c r="X343" s="1222"/>
      <c r="Y343" s="1222"/>
      <c r="Z343" s="1222"/>
      <c r="AA343" s="1222"/>
      <c r="AB343" s="1222"/>
      <c r="AC343" s="1222"/>
    </row>
    <row r="344" ht="15.75" customHeight="1">
      <c r="A344" s="1222"/>
      <c r="B344" s="1222"/>
      <c r="C344" s="1222"/>
      <c r="D344" s="1222"/>
      <c r="E344" s="1222"/>
      <c r="F344" s="1222"/>
      <c r="G344" s="1222"/>
      <c r="H344" s="1241"/>
      <c r="I344" s="1241"/>
      <c r="J344" s="1241"/>
      <c r="K344" s="1241"/>
      <c r="L344" s="1222"/>
      <c r="M344" s="1222"/>
      <c r="N344" s="1222"/>
      <c r="O344" s="1222"/>
      <c r="P344" s="1241"/>
      <c r="Q344" s="1222"/>
      <c r="R344" s="1222"/>
      <c r="S344" s="1222"/>
      <c r="T344" s="1222"/>
      <c r="U344" s="1222"/>
      <c r="V344" s="1222"/>
      <c r="W344" s="1222"/>
      <c r="X344" s="1222"/>
      <c r="Y344" s="1222"/>
      <c r="Z344" s="1222"/>
      <c r="AA344" s="1222"/>
      <c r="AB344" s="1222"/>
      <c r="AC344" s="1222"/>
    </row>
    <row r="345" ht="15.75" customHeight="1">
      <c r="A345" s="1222"/>
      <c r="B345" s="1222"/>
      <c r="C345" s="1222"/>
      <c r="D345" s="1222"/>
      <c r="E345" s="1222"/>
      <c r="F345" s="1222"/>
      <c r="G345" s="1222"/>
      <c r="H345" s="1241"/>
      <c r="I345" s="1241"/>
      <c r="J345" s="1241"/>
      <c r="K345" s="1241"/>
      <c r="L345" s="1222"/>
      <c r="M345" s="1222"/>
      <c r="N345" s="1222"/>
      <c r="O345" s="1222"/>
      <c r="P345" s="1241"/>
      <c r="Q345" s="1222"/>
      <c r="R345" s="1222"/>
      <c r="S345" s="1222"/>
      <c r="T345" s="1222"/>
      <c r="U345" s="1222"/>
      <c r="V345" s="1222"/>
      <c r="W345" s="1222"/>
      <c r="X345" s="1222"/>
      <c r="Y345" s="1222"/>
      <c r="Z345" s="1222"/>
      <c r="AA345" s="1222"/>
      <c r="AB345" s="1222"/>
      <c r="AC345" s="1222"/>
    </row>
    <row r="346" ht="15.75" customHeight="1">
      <c r="A346" s="1222"/>
      <c r="B346" s="1222"/>
      <c r="C346" s="1222"/>
      <c r="D346" s="1222"/>
      <c r="E346" s="1222"/>
      <c r="F346" s="1222"/>
      <c r="G346" s="1222"/>
      <c r="H346" s="1241"/>
      <c r="I346" s="1241"/>
      <c r="J346" s="1241"/>
      <c r="K346" s="1241"/>
      <c r="L346" s="1222"/>
      <c r="M346" s="1222"/>
      <c r="N346" s="1222"/>
      <c r="O346" s="1222"/>
      <c r="P346" s="1241"/>
      <c r="Q346" s="1222"/>
      <c r="R346" s="1222"/>
      <c r="S346" s="1222"/>
      <c r="T346" s="1222"/>
      <c r="U346" s="1222"/>
      <c r="V346" s="1222"/>
      <c r="W346" s="1222"/>
      <c r="X346" s="1222"/>
      <c r="Y346" s="1222"/>
      <c r="Z346" s="1222"/>
      <c r="AA346" s="1222"/>
      <c r="AB346" s="1222"/>
      <c r="AC346" s="1222"/>
    </row>
    <row r="347" ht="15.75" customHeight="1">
      <c r="A347" s="1222"/>
      <c r="B347" s="1222"/>
      <c r="C347" s="1222"/>
      <c r="D347" s="1222"/>
      <c r="E347" s="1222"/>
      <c r="F347" s="1222"/>
      <c r="G347" s="1222"/>
      <c r="H347" s="1241"/>
      <c r="I347" s="1241"/>
      <c r="J347" s="1241"/>
      <c r="K347" s="1241"/>
      <c r="L347" s="1222"/>
      <c r="M347" s="1222"/>
      <c r="N347" s="1222"/>
      <c r="O347" s="1222"/>
      <c r="P347" s="1241"/>
      <c r="Q347" s="1222"/>
      <c r="R347" s="1222"/>
      <c r="S347" s="1222"/>
      <c r="T347" s="1222"/>
      <c r="U347" s="1222"/>
      <c r="V347" s="1222"/>
      <c r="W347" s="1222"/>
      <c r="X347" s="1222"/>
      <c r="Y347" s="1222"/>
      <c r="Z347" s="1222"/>
      <c r="AA347" s="1222"/>
      <c r="AB347" s="1222"/>
      <c r="AC347" s="1222"/>
    </row>
    <row r="348" ht="15.75" customHeight="1">
      <c r="A348" s="1222"/>
      <c r="B348" s="1222"/>
      <c r="C348" s="1222"/>
      <c r="D348" s="1222"/>
      <c r="E348" s="1222"/>
      <c r="F348" s="1222"/>
      <c r="G348" s="1222"/>
      <c r="H348" s="1241"/>
      <c r="I348" s="1241"/>
      <c r="J348" s="1241"/>
      <c r="K348" s="1241"/>
      <c r="L348" s="1222"/>
      <c r="M348" s="1222"/>
      <c r="N348" s="1222"/>
      <c r="O348" s="1222"/>
      <c r="P348" s="1241"/>
      <c r="Q348" s="1222"/>
      <c r="R348" s="1222"/>
      <c r="S348" s="1222"/>
      <c r="T348" s="1222"/>
      <c r="U348" s="1222"/>
      <c r="V348" s="1222"/>
      <c r="W348" s="1222"/>
      <c r="X348" s="1222"/>
      <c r="Y348" s="1222"/>
      <c r="Z348" s="1222"/>
      <c r="AA348" s="1222"/>
      <c r="AB348" s="1222"/>
      <c r="AC348" s="1222"/>
    </row>
    <row r="349" ht="15.75" customHeight="1">
      <c r="A349" s="1222"/>
      <c r="B349" s="1222"/>
      <c r="C349" s="1222"/>
      <c r="D349" s="1222"/>
      <c r="E349" s="1222"/>
      <c r="F349" s="1222"/>
      <c r="G349" s="1222"/>
      <c r="H349" s="1241"/>
      <c r="I349" s="1241"/>
      <c r="J349" s="1241"/>
      <c r="K349" s="1241"/>
      <c r="L349" s="1222"/>
      <c r="M349" s="1222"/>
      <c r="N349" s="1222"/>
      <c r="O349" s="1222"/>
      <c r="P349" s="1241"/>
      <c r="Q349" s="1222"/>
      <c r="R349" s="1222"/>
      <c r="S349" s="1222"/>
      <c r="T349" s="1222"/>
      <c r="U349" s="1222"/>
      <c r="V349" s="1222"/>
      <c r="W349" s="1222"/>
      <c r="X349" s="1222"/>
      <c r="Y349" s="1222"/>
      <c r="Z349" s="1222"/>
      <c r="AA349" s="1222"/>
      <c r="AB349" s="1222"/>
      <c r="AC349" s="1222"/>
    </row>
    <row r="350" ht="15.75" customHeight="1">
      <c r="A350" s="1222"/>
      <c r="B350" s="1222"/>
      <c r="C350" s="1222"/>
      <c r="D350" s="1222"/>
      <c r="E350" s="1222"/>
      <c r="F350" s="1222"/>
      <c r="G350" s="1222"/>
      <c r="H350" s="1241"/>
      <c r="I350" s="1241"/>
      <c r="J350" s="1241"/>
      <c r="K350" s="1241"/>
      <c r="L350" s="1222"/>
      <c r="M350" s="1222"/>
      <c r="N350" s="1222"/>
      <c r="O350" s="1222"/>
      <c r="P350" s="1241"/>
      <c r="Q350" s="1222"/>
      <c r="R350" s="1222"/>
      <c r="S350" s="1222"/>
      <c r="T350" s="1222"/>
      <c r="U350" s="1222"/>
      <c r="V350" s="1222"/>
      <c r="W350" s="1222"/>
      <c r="X350" s="1222"/>
      <c r="Y350" s="1222"/>
      <c r="Z350" s="1222"/>
      <c r="AA350" s="1222"/>
      <c r="AB350" s="1222"/>
      <c r="AC350" s="1222"/>
    </row>
    <row r="351" ht="15.75" customHeight="1">
      <c r="A351" s="1222"/>
      <c r="B351" s="1222"/>
      <c r="C351" s="1222"/>
      <c r="D351" s="1222"/>
      <c r="E351" s="1222"/>
      <c r="F351" s="1222"/>
      <c r="G351" s="1222"/>
      <c r="H351" s="1241"/>
      <c r="I351" s="1241"/>
      <c r="J351" s="1241"/>
      <c r="K351" s="1241"/>
      <c r="L351" s="1222"/>
      <c r="M351" s="1222"/>
      <c r="N351" s="1222"/>
      <c r="O351" s="1222"/>
      <c r="P351" s="1241"/>
      <c r="Q351" s="1222"/>
      <c r="R351" s="1222"/>
      <c r="S351" s="1222"/>
      <c r="T351" s="1222"/>
      <c r="U351" s="1222"/>
      <c r="V351" s="1222"/>
      <c r="W351" s="1222"/>
      <c r="X351" s="1222"/>
      <c r="Y351" s="1222"/>
      <c r="Z351" s="1222"/>
      <c r="AA351" s="1222"/>
      <c r="AB351" s="1222"/>
      <c r="AC351" s="1222"/>
    </row>
    <row r="352" ht="15.75" customHeight="1">
      <c r="A352" s="1222"/>
      <c r="B352" s="1222"/>
      <c r="C352" s="1222"/>
      <c r="D352" s="1222"/>
      <c r="E352" s="1222"/>
      <c r="F352" s="1222"/>
      <c r="G352" s="1222"/>
      <c r="H352" s="1241"/>
      <c r="I352" s="1241"/>
      <c r="J352" s="1241"/>
      <c r="K352" s="1241"/>
      <c r="L352" s="1222"/>
      <c r="M352" s="1222"/>
      <c r="N352" s="1222"/>
      <c r="O352" s="1222"/>
      <c r="P352" s="1241"/>
      <c r="Q352" s="1222"/>
      <c r="R352" s="1222"/>
      <c r="S352" s="1222"/>
      <c r="T352" s="1222"/>
      <c r="U352" s="1222"/>
      <c r="V352" s="1222"/>
      <c r="W352" s="1222"/>
      <c r="X352" s="1222"/>
      <c r="Y352" s="1222"/>
      <c r="Z352" s="1222"/>
      <c r="AA352" s="1222"/>
      <c r="AB352" s="1222"/>
      <c r="AC352" s="1222"/>
    </row>
    <row r="353" ht="15.75" customHeight="1">
      <c r="A353" s="1222"/>
      <c r="B353" s="1222"/>
      <c r="C353" s="1222"/>
      <c r="D353" s="1222"/>
      <c r="E353" s="1222"/>
      <c r="F353" s="1222"/>
      <c r="G353" s="1222"/>
      <c r="H353" s="1241"/>
      <c r="I353" s="1241"/>
      <c r="J353" s="1241"/>
      <c r="K353" s="1241"/>
      <c r="L353" s="1222"/>
      <c r="M353" s="1222"/>
      <c r="N353" s="1222"/>
      <c r="O353" s="1222"/>
      <c r="P353" s="1241"/>
      <c r="Q353" s="1222"/>
      <c r="R353" s="1222"/>
      <c r="S353" s="1222"/>
      <c r="T353" s="1222"/>
      <c r="U353" s="1222"/>
      <c r="V353" s="1222"/>
      <c r="W353" s="1222"/>
      <c r="X353" s="1222"/>
      <c r="Y353" s="1222"/>
      <c r="Z353" s="1222"/>
      <c r="AA353" s="1222"/>
      <c r="AB353" s="1222"/>
      <c r="AC353" s="1222"/>
    </row>
    <row r="354" ht="15.75" customHeight="1">
      <c r="A354" s="1222"/>
      <c r="B354" s="1222"/>
      <c r="C354" s="1222"/>
      <c r="D354" s="1222"/>
      <c r="E354" s="1222"/>
      <c r="F354" s="1222"/>
      <c r="G354" s="1222"/>
      <c r="H354" s="1241"/>
      <c r="I354" s="1241"/>
      <c r="J354" s="1241"/>
      <c r="K354" s="1241"/>
      <c r="L354" s="1222"/>
      <c r="M354" s="1222"/>
      <c r="N354" s="1222"/>
      <c r="O354" s="1222"/>
      <c r="P354" s="1241"/>
      <c r="Q354" s="1222"/>
      <c r="R354" s="1222"/>
      <c r="S354" s="1222"/>
      <c r="T354" s="1222"/>
      <c r="U354" s="1222"/>
      <c r="V354" s="1222"/>
      <c r="W354" s="1222"/>
      <c r="X354" s="1222"/>
      <c r="Y354" s="1222"/>
      <c r="Z354" s="1222"/>
      <c r="AA354" s="1222"/>
      <c r="AB354" s="1222"/>
      <c r="AC354" s="1222"/>
    </row>
    <row r="355" ht="15.75" customHeight="1">
      <c r="A355" s="1222"/>
      <c r="B355" s="1222"/>
      <c r="C355" s="1222"/>
      <c r="D355" s="1222"/>
      <c r="E355" s="1222"/>
      <c r="F355" s="1222"/>
      <c r="G355" s="1222"/>
      <c r="H355" s="1241"/>
      <c r="I355" s="1241"/>
      <c r="J355" s="1241"/>
      <c r="K355" s="1241"/>
      <c r="L355" s="1222"/>
      <c r="M355" s="1222"/>
      <c r="N355" s="1222"/>
      <c r="O355" s="1222"/>
      <c r="P355" s="1241"/>
      <c r="Q355" s="1222"/>
      <c r="R355" s="1222"/>
      <c r="S355" s="1222"/>
      <c r="T355" s="1222"/>
      <c r="U355" s="1222"/>
      <c r="V355" s="1222"/>
      <c r="W355" s="1222"/>
      <c r="X355" s="1222"/>
      <c r="Y355" s="1222"/>
      <c r="Z355" s="1222"/>
      <c r="AA355" s="1222"/>
      <c r="AB355" s="1222"/>
      <c r="AC355" s="1222"/>
    </row>
    <row r="356" ht="15.75" customHeight="1">
      <c r="A356" s="1222"/>
      <c r="B356" s="1222"/>
      <c r="C356" s="1222"/>
      <c r="D356" s="1222"/>
      <c r="E356" s="1222"/>
      <c r="F356" s="1222"/>
      <c r="G356" s="1222"/>
      <c r="H356" s="1241"/>
      <c r="I356" s="1241"/>
      <c r="J356" s="1241"/>
      <c r="K356" s="1241"/>
      <c r="L356" s="1222"/>
      <c r="M356" s="1222"/>
      <c r="N356" s="1222"/>
      <c r="O356" s="1222"/>
      <c r="P356" s="1241"/>
      <c r="Q356" s="1222"/>
      <c r="R356" s="1222"/>
      <c r="S356" s="1222"/>
      <c r="T356" s="1222"/>
      <c r="U356" s="1222"/>
      <c r="V356" s="1222"/>
      <c r="W356" s="1222"/>
      <c r="X356" s="1222"/>
      <c r="Y356" s="1222"/>
      <c r="Z356" s="1222"/>
      <c r="AA356" s="1222"/>
      <c r="AB356" s="1222"/>
      <c r="AC356" s="1222"/>
    </row>
    <row r="357" ht="15.75" customHeight="1">
      <c r="A357" s="1222"/>
      <c r="B357" s="1222"/>
      <c r="C357" s="1222"/>
      <c r="D357" s="1222"/>
      <c r="E357" s="1222"/>
      <c r="F357" s="1222"/>
      <c r="G357" s="1222"/>
      <c r="H357" s="1241"/>
      <c r="I357" s="1241"/>
      <c r="J357" s="1241"/>
      <c r="K357" s="1241"/>
      <c r="L357" s="1222"/>
      <c r="M357" s="1222"/>
      <c r="N357" s="1222"/>
      <c r="O357" s="1222"/>
      <c r="P357" s="1241"/>
      <c r="Q357" s="1222"/>
      <c r="R357" s="1222"/>
      <c r="S357" s="1222"/>
      <c r="T357" s="1222"/>
      <c r="U357" s="1222"/>
      <c r="V357" s="1222"/>
      <c r="W357" s="1222"/>
      <c r="X357" s="1222"/>
      <c r="Y357" s="1222"/>
      <c r="Z357" s="1222"/>
      <c r="AA357" s="1222"/>
      <c r="AB357" s="1222"/>
      <c r="AC357" s="1222"/>
    </row>
    <row r="358" ht="15.75" customHeight="1">
      <c r="A358" s="1222"/>
      <c r="B358" s="1222"/>
      <c r="C358" s="1222"/>
      <c r="D358" s="1222"/>
      <c r="E358" s="1222"/>
      <c r="F358" s="1222"/>
      <c r="G358" s="1222"/>
      <c r="H358" s="1241"/>
      <c r="I358" s="1241"/>
      <c r="J358" s="1241"/>
      <c r="K358" s="1241"/>
      <c r="L358" s="1222"/>
      <c r="M358" s="1222"/>
      <c r="N358" s="1222"/>
      <c r="O358" s="1222"/>
      <c r="P358" s="1241"/>
      <c r="Q358" s="1222"/>
      <c r="R358" s="1222"/>
      <c r="S358" s="1222"/>
      <c r="T358" s="1222"/>
      <c r="U358" s="1222"/>
      <c r="V358" s="1222"/>
      <c r="W358" s="1222"/>
      <c r="X358" s="1222"/>
      <c r="Y358" s="1222"/>
      <c r="Z358" s="1222"/>
      <c r="AA358" s="1222"/>
      <c r="AB358" s="1222"/>
      <c r="AC358" s="1222"/>
    </row>
    <row r="359" ht="15.75" customHeight="1">
      <c r="A359" s="1222"/>
      <c r="B359" s="1222"/>
      <c r="C359" s="1222"/>
      <c r="D359" s="1222"/>
      <c r="E359" s="1222"/>
      <c r="F359" s="1222"/>
      <c r="G359" s="1222"/>
      <c r="H359" s="1241"/>
      <c r="I359" s="1241"/>
      <c r="J359" s="1241"/>
      <c r="K359" s="1241"/>
      <c r="L359" s="1222"/>
      <c r="M359" s="1222"/>
      <c r="N359" s="1222"/>
      <c r="O359" s="1222"/>
      <c r="P359" s="1241"/>
      <c r="Q359" s="1222"/>
      <c r="R359" s="1222"/>
      <c r="S359" s="1222"/>
      <c r="T359" s="1222"/>
      <c r="U359" s="1222"/>
      <c r="V359" s="1222"/>
      <c r="W359" s="1222"/>
      <c r="X359" s="1222"/>
      <c r="Y359" s="1222"/>
      <c r="Z359" s="1222"/>
      <c r="AA359" s="1222"/>
      <c r="AB359" s="1222"/>
      <c r="AC359" s="1222"/>
    </row>
    <row r="360" ht="15.75" customHeight="1">
      <c r="A360" s="1222"/>
      <c r="B360" s="1222"/>
      <c r="C360" s="1222"/>
      <c r="D360" s="1222"/>
      <c r="E360" s="1222"/>
      <c r="F360" s="1222"/>
      <c r="G360" s="1222"/>
      <c r="H360" s="1241"/>
      <c r="I360" s="1241"/>
      <c r="J360" s="1241"/>
      <c r="K360" s="1241"/>
      <c r="L360" s="1222"/>
      <c r="M360" s="1222"/>
      <c r="N360" s="1222"/>
      <c r="O360" s="1222"/>
      <c r="P360" s="1241"/>
      <c r="Q360" s="1222"/>
      <c r="R360" s="1222"/>
      <c r="S360" s="1222"/>
      <c r="T360" s="1222"/>
      <c r="U360" s="1222"/>
      <c r="V360" s="1222"/>
      <c r="W360" s="1222"/>
      <c r="X360" s="1222"/>
      <c r="Y360" s="1222"/>
      <c r="Z360" s="1222"/>
      <c r="AA360" s="1222"/>
      <c r="AB360" s="1222"/>
      <c r="AC360" s="1222"/>
    </row>
    <row r="361" ht="15.75" customHeight="1">
      <c r="A361" s="1222"/>
      <c r="B361" s="1222"/>
      <c r="C361" s="1222"/>
      <c r="D361" s="1222"/>
      <c r="E361" s="1222"/>
      <c r="F361" s="1222"/>
      <c r="G361" s="1222"/>
      <c r="H361" s="1241"/>
      <c r="I361" s="1241"/>
      <c r="J361" s="1241"/>
      <c r="K361" s="1241"/>
      <c r="L361" s="1222"/>
      <c r="M361" s="1222"/>
      <c r="N361" s="1222"/>
      <c r="O361" s="1222"/>
      <c r="P361" s="1241"/>
      <c r="Q361" s="1222"/>
      <c r="R361" s="1222"/>
      <c r="S361" s="1222"/>
      <c r="T361" s="1222"/>
      <c r="U361" s="1222"/>
      <c r="V361" s="1222"/>
      <c r="W361" s="1222"/>
      <c r="X361" s="1222"/>
      <c r="Y361" s="1222"/>
      <c r="Z361" s="1222"/>
      <c r="AA361" s="1222"/>
      <c r="AB361" s="1222"/>
      <c r="AC361" s="1222"/>
    </row>
    <row r="362" ht="15.75" customHeight="1">
      <c r="A362" s="1222"/>
      <c r="B362" s="1222"/>
      <c r="C362" s="1222"/>
      <c r="D362" s="1222"/>
      <c r="E362" s="1222"/>
      <c r="F362" s="1222"/>
      <c r="G362" s="1222"/>
      <c r="H362" s="1241"/>
      <c r="I362" s="1241"/>
      <c r="J362" s="1241"/>
      <c r="K362" s="1241"/>
      <c r="L362" s="1222"/>
      <c r="M362" s="1222"/>
      <c r="N362" s="1222"/>
      <c r="O362" s="1222"/>
      <c r="P362" s="1241"/>
      <c r="Q362" s="1222"/>
      <c r="R362" s="1222"/>
      <c r="S362" s="1222"/>
      <c r="T362" s="1222"/>
      <c r="U362" s="1222"/>
      <c r="V362" s="1222"/>
      <c r="W362" s="1222"/>
      <c r="X362" s="1222"/>
      <c r="Y362" s="1222"/>
      <c r="Z362" s="1222"/>
      <c r="AA362" s="1222"/>
      <c r="AB362" s="1222"/>
      <c r="AC362" s="1222"/>
    </row>
    <row r="363" ht="15.75" customHeight="1">
      <c r="A363" s="1222"/>
      <c r="B363" s="1222"/>
      <c r="C363" s="1222"/>
      <c r="D363" s="1222"/>
      <c r="E363" s="1222"/>
      <c r="F363" s="1222"/>
      <c r="G363" s="1222"/>
      <c r="H363" s="1241"/>
      <c r="I363" s="1241"/>
      <c r="J363" s="1241"/>
      <c r="K363" s="1241"/>
      <c r="L363" s="1222"/>
      <c r="M363" s="1222"/>
      <c r="N363" s="1222"/>
      <c r="O363" s="1222"/>
      <c r="P363" s="1241"/>
      <c r="Q363" s="1222"/>
      <c r="R363" s="1222"/>
      <c r="S363" s="1222"/>
      <c r="T363" s="1222"/>
      <c r="U363" s="1222"/>
      <c r="V363" s="1222"/>
      <c r="W363" s="1222"/>
      <c r="X363" s="1222"/>
      <c r="Y363" s="1222"/>
      <c r="Z363" s="1222"/>
      <c r="AA363" s="1222"/>
      <c r="AB363" s="1222"/>
      <c r="AC363" s="1222"/>
    </row>
    <row r="364" ht="15.75" customHeight="1">
      <c r="A364" s="1222"/>
      <c r="B364" s="1222"/>
      <c r="C364" s="1222"/>
      <c r="D364" s="1222"/>
      <c r="E364" s="1222"/>
      <c r="F364" s="1222"/>
      <c r="G364" s="1222"/>
      <c r="H364" s="1241"/>
      <c r="I364" s="1241"/>
      <c r="J364" s="1241"/>
      <c r="K364" s="1241"/>
      <c r="L364" s="1222"/>
      <c r="M364" s="1222"/>
      <c r="N364" s="1222"/>
      <c r="O364" s="1222"/>
      <c r="P364" s="1241"/>
      <c r="Q364" s="1222"/>
      <c r="R364" s="1222"/>
      <c r="S364" s="1222"/>
      <c r="T364" s="1222"/>
      <c r="U364" s="1222"/>
      <c r="V364" s="1222"/>
      <c r="W364" s="1222"/>
      <c r="X364" s="1222"/>
      <c r="Y364" s="1222"/>
      <c r="Z364" s="1222"/>
      <c r="AA364" s="1222"/>
      <c r="AB364" s="1222"/>
      <c r="AC364" s="1222"/>
    </row>
    <row r="365" ht="15.75" customHeight="1">
      <c r="A365" s="1222"/>
      <c r="B365" s="1222"/>
      <c r="C365" s="1222"/>
      <c r="D365" s="1222"/>
      <c r="E365" s="1222"/>
      <c r="F365" s="1222"/>
      <c r="G365" s="1222"/>
      <c r="H365" s="1241"/>
      <c r="I365" s="1241"/>
      <c r="J365" s="1241"/>
      <c r="K365" s="1241"/>
      <c r="L365" s="1222"/>
      <c r="M365" s="1222"/>
      <c r="N365" s="1222"/>
      <c r="O365" s="1222"/>
      <c r="P365" s="1241"/>
      <c r="Q365" s="1222"/>
      <c r="R365" s="1222"/>
      <c r="S365" s="1222"/>
      <c r="T365" s="1222"/>
      <c r="U365" s="1222"/>
      <c r="V365" s="1222"/>
      <c r="W365" s="1222"/>
      <c r="X365" s="1222"/>
      <c r="Y365" s="1222"/>
      <c r="Z365" s="1222"/>
      <c r="AA365" s="1222"/>
      <c r="AB365" s="1222"/>
      <c r="AC365" s="1222"/>
    </row>
    <row r="366" ht="15.75" customHeight="1">
      <c r="A366" s="1222"/>
      <c r="B366" s="1222"/>
      <c r="C366" s="1222"/>
      <c r="D366" s="1222"/>
      <c r="E366" s="1222"/>
      <c r="F366" s="1222"/>
      <c r="G366" s="1222"/>
      <c r="H366" s="1241"/>
      <c r="I366" s="1241"/>
      <c r="J366" s="1241"/>
      <c r="K366" s="1241"/>
      <c r="L366" s="1222"/>
      <c r="M366" s="1222"/>
      <c r="N366" s="1222"/>
      <c r="O366" s="1222"/>
      <c r="P366" s="1241"/>
      <c r="Q366" s="1222"/>
      <c r="R366" s="1222"/>
      <c r="S366" s="1222"/>
      <c r="T366" s="1222"/>
      <c r="U366" s="1222"/>
      <c r="V366" s="1222"/>
      <c r="W366" s="1222"/>
      <c r="X366" s="1222"/>
      <c r="Y366" s="1222"/>
      <c r="Z366" s="1222"/>
      <c r="AA366" s="1222"/>
      <c r="AB366" s="1222"/>
      <c r="AC366" s="1222"/>
    </row>
    <row r="367" ht="15.75" customHeight="1">
      <c r="A367" s="1222"/>
      <c r="B367" s="1222"/>
      <c r="C367" s="1222"/>
      <c r="D367" s="1222"/>
      <c r="E367" s="1222"/>
      <c r="F367" s="1222"/>
      <c r="G367" s="1222"/>
      <c r="H367" s="1241"/>
      <c r="I367" s="1241"/>
      <c r="J367" s="1241"/>
      <c r="K367" s="1241"/>
      <c r="L367" s="1222"/>
      <c r="M367" s="1222"/>
      <c r="N367" s="1222"/>
      <c r="O367" s="1222"/>
      <c r="P367" s="1241"/>
      <c r="Q367" s="1222"/>
      <c r="R367" s="1222"/>
      <c r="S367" s="1222"/>
      <c r="T367" s="1222"/>
      <c r="U367" s="1222"/>
      <c r="V367" s="1222"/>
      <c r="W367" s="1222"/>
      <c r="X367" s="1222"/>
      <c r="Y367" s="1222"/>
      <c r="Z367" s="1222"/>
      <c r="AA367" s="1222"/>
      <c r="AB367" s="1222"/>
      <c r="AC367" s="1222"/>
    </row>
    <row r="368" ht="15.75" customHeight="1">
      <c r="A368" s="1222"/>
      <c r="B368" s="1222"/>
      <c r="C368" s="1222"/>
      <c r="D368" s="1222"/>
      <c r="E368" s="1222"/>
      <c r="F368" s="1222"/>
      <c r="G368" s="1222"/>
      <c r="H368" s="1241"/>
      <c r="I368" s="1241"/>
      <c r="J368" s="1241"/>
      <c r="K368" s="1241"/>
      <c r="L368" s="1222"/>
      <c r="M368" s="1222"/>
      <c r="N368" s="1222"/>
      <c r="O368" s="1222"/>
      <c r="P368" s="1241"/>
      <c r="Q368" s="1222"/>
      <c r="R368" s="1222"/>
      <c r="S368" s="1222"/>
      <c r="T368" s="1222"/>
      <c r="U368" s="1222"/>
      <c r="V368" s="1222"/>
      <c r="W368" s="1222"/>
      <c r="X368" s="1222"/>
      <c r="Y368" s="1222"/>
      <c r="Z368" s="1222"/>
      <c r="AA368" s="1222"/>
      <c r="AB368" s="1222"/>
      <c r="AC368" s="1222"/>
    </row>
    <row r="369" ht="15.75" customHeight="1">
      <c r="A369" s="1222"/>
      <c r="B369" s="1222"/>
      <c r="C369" s="1222"/>
      <c r="D369" s="1222"/>
      <c r="E369" s="1222"/>
      <c r="F369" s="1222"/>
      <c r="G369" s="1222"/>
      <c r="H369" s="1241"/>
      <c r="I369" s="1241"/>
      <c r="J369" s="1241"/>
      <c r="K369" s="1241"/>
      <c r="L369" s="1222"/>
      <c r="M369" s="1222"/>
      <c r="N369" s="1222"/>
      <c r="O369" s="1222"/>
      <c r="P369" s="1241"/>
      <c r="Q369" s="1222"/>
      <c r="R369" s="1222"/>
      <c r="S369" s="1222"/>
      <c r="T369" s="1222"/>
      <c r="U369" s="1222"/>
      <c r="V369" s="1222"/>
      <c r="W369" s="1222"/>
      <c r="X369" s="1222"/>
      <c r="Y369" s="1222"/>
      <c r="Z369" s="1222"/>
      <c r="AA369" s="1222"/>
      <c r="AB369" s="1222"/>
      <c r="AC369" s="1222"/>
    </row>
    <row r="370" ht="15.75" customHeight="1">
      <c r="A370" s="1222"/>
      <c r="B370" s="1222"/>
      <c r="C370" s="1222"/>
      <c r="D370" s="1222"/>
      <c r="E370" s="1222"/>
      <c r="F370" s="1222"/>
      <c r="G370" s="1222"/>
      <c r="H370" s="1241"/>
      <c r="I370" s="1241"/>
      <c r="J370" s="1241"/>
      <c r="K370" s="1241"/>
      <c r="L370" s="1222"/>
      <c r="M370" s="1222"/>
      <c r="N370" s="1222"/>
      <c r="O370" s="1222"/>
      <c r="P370" s="1241"/>
      <c r="Q370" s="1222"/>
      <c r="R370" s="1222"/>
      <c r="S370" s="1222"/>
      <c r="T370" s="1222"/>
      <c r="U370" s="1222"/>
      <c r="V370" s="1222"/>
      <c r="W370" s="1222"/>
      <c r="X370" s="1222"/>
      <c r="Y370" s="1222"/>
      <c r="Z370" s="1222"/>
      <c r="AA370" s="1222"/>
      <c r="AB370" s="1222"/>
      <c r="AC370" s="1222"/>
    </row>
    <row r="371" ht="15.75" customHeight="1">
      <c r="A371" s="1222"/>
      <c r="B371" s="1222"/>
      <c r="C371" s="1222"/>
      <c r="D371" s="1222"/>
      <c r="E371" s="1222"/>
      <c r="F371" s="1222"/>
      <c r="G371" s="1222"/>
      <c r="H371" s="1241"/>
      <c r="I371" s="1241"/>
      <c r="J371" s="1241"/>
      <c r="K371" s="1241"/>
      <c r="L371" s="1222"/>
      <c r="M371" s="1222"/>
      <c r="N371" s="1222"/>
      <c r="O371" s="1222"/>
      <c r="P371" s="1241"/>
      <c r="Q371" s="1222"/>
      <c r="R371" s="1222"/>
      <c r="S371" s="1222"/>
      <c r="T371" s="1222"/>
      <c r="U371" s="1222"/>
      <c r="V371" s="1222"/>
      <c r="W371" s="1222"/>
      <c r="X371" s="1222"/>
      <c r="Y371" s="1222"/>
      <c r="Z371" s="1222"/>
      <c r="AA371" s="1222"/>
      <c r="AB371" s="1222"/>
      <c r="AC371" s="1222"/>
    </row>
    <row r="372" ht="15.75" customHeight="1">
      <c r="A372" s="1222"/>
      <c r="B372" s="1222"/>
      <c r="C372" s="1222"/>
      <c r="D372" s="1222"/>
      <c r="E372" s="1222"/>
      <c r="F372" s="1222"/>
      <c r="G372" s="1222"/>
      <c r="H372" s="1241"/>
      <c r="I372" s="1241"/>
      <c r="J372" s="1241"/>
      <c r="K372" s="1241"/>
      <c r="L372" s="1222"/>
      <c r="M372" s="1222"/>
      <c r="N372" s="1222"/>
      <c r="O372" s="1222"/>
      <c r="P372" s="1241"/>
      <c r="Q372" s="1222"/>
      <c r="R372" s="1222"/>
      <c r="S372" s="1222"/>
      <c r="T372" s="1222"/>
      <c r="U372" s="1222"/>
      <c r="V372" s="1222"/>
      <c r="W372" s="1222"/>
      <c r="X372" s="1222"/>
      <c r="Y372" s="1222"/>
      <c r="Z372" s="1222"/>
      <c r="AA372" s="1222"/>
      <c r="AB372" s="1222"/>
      <c r="AC372" s="1222"/>
    </row>
    <row r="373" ht="15.75" customHeight="1">
      <c r="A373" s="1222"/>
      <c r="B373" s="1222"/>
      <c r="C373" s="1222"/>
      <c r="D373" s="1222"/>
      <c r="E373" s="1222"/>
      <c r="F373" s="1222"/>
      <c r="G373" s="1222"/>
      <c r="H373" s="1241"/>
      <c r="I373" s="1241"/>
      <c r="J373" s="1241"/>
      <c r="K373" s="1241"/>
      <c r="L373" s="1222"/>
      <c r="M373" s="1222"/>
      <c r="N373" s="1222"/>
      <c r="O373" s="1222"/>
      <c r="P373" s="1241"/>
      <c r="Q373" s="1222"/>
      <c r="R373" s="1222"/>
      <c r="S373" s="1222"/>
      <c r="T373" s="1222"/>
      <c r="U373" s="1222"/>
      <c r="V373" s="1222"/>
      <c r="W373" s="1222"/>
      <c r="X373" s="1222"/>
      <c r="Y373" s="1222"/>
      <c r="Z373" s="1222"/>
      <c r="AA373" s="1222"/>
      <c r="AB373" s="1222"/>
      <c r="AC373" s="1222"/>
    </row>
    <row r="374" ht="15.75" customHeight="1">
      <c r="A374" s="1222"/>
      <c r="B374" s="1222"/>
      <c r="C374" s="1222"/>
      <c r="D374" s="1222"/>
      <c r="E374" s="1222"/>
      <c r="F374" s="1222"/>
      <c r="G374" s="1222"/>
      <c r="H374" s="1241"/>
      <c r="I374" s="1241"/>
      <c r="J374" s="1241"/>
      <c r="K374" s="1241"/>
      <c r="L374" s="1222"/>
      <c r="M374" s="1222"/>
      <c r="N374" s="1222"/>
      <c r="O374" s="1222"/>
      <c r="P374" s="1241"/>
      <c r="Q374" s="1222"/>
      <c r="R374" s="1222"/>
      <c r="S374" s="1222"/>
      <c r="T374" s="1222"/>
      <c r="U374" s="1222"/>
      <c r="V374" s="1222"/>
      <c r="W374" s="1222"/>
      <c r="X374" s="1222"/>
      <c r="Y374" s="1222"/>
      <c r="Z374" s="1222"/>
      <c r="AA374" s="1222"/>
      <c r="AB374" s="1222"/>
      <c r="AC374" s="1222"/>
    </row>
    <row r="375" ht="15.75" customHeight="1">
      <c r="A375" s="1222"/>
      <c r="B375" s="1222"/>
      <c r="C375" s="1222"/>
      <c r="D375" s="1222"/>
      <c r="E375" s="1222"/>
      <c r="F375" s="1222"/>
      <c r="G375" s="1222"/>
      <c r="H375" s="1241"/>
      <c r="I375" s="1241"/>
      <c r="J375" s="1241"/>
      <c r="K375" s="1241"/>
      <c r="L375" s="1222"/>
      <c r="M375" s="1222"/>
      <c r="N375" s="1222"/>
      <c r="O375" s="1222"/>
      <c r="P375" s="1241"/>
      <c r="Q375" s="1222"/>
      <c r="R375" s="1222"/>
      <c r="S375" s="1222"/>
      <c r="T375" s="1222"/>
      <c r="U375" s="1222"/>
      <c r="V375" s="1222"/>
      <c r="W375" s="1222"/>
      <c r="X375" s="1222"/>
      <c r="Y375" s="1222"/>
      <c r="Z375" s="1222"/>
      <c r="AA375" s="1222"/>
      <c r="AB375" s="1222"/>
      <c r="AC375" s="1222"/>
    </row>
    <row r="376" ht="15.75" customHeight="1">
      <c r="A376" s="1222"/>
      <c r="B376" s="1222"/>
      <c r="C376" s="1222"/>
      <c r="D376" s="1222"/>
      <c r="E376" s="1222"/>
      <c r="F376" s="1222"/>
      <c r="G376" s="1222"/>
      <c r="H376" s="1241"/>
      <c r="I376" s="1241"/>
      <c r="J376" s="1241"/>
      <c r="K376" s="1241"/>
      <c r="L376" s="1222"/>
      <c r="M376" s="1222"/>
      <c r="N376" s="1222"/>
      <c r="O376" s="1222"/>
      <c r="P376" s="1241"/>
      <c r="Q376" s="1222"/>
      <c r="R376" s="1222"/>
      <c r="S376" s="1222"/>
      <c r="T376" s="1222"/>
      <c r="U376" s="1222"/>
      <c r="V376" s="1222"/>
      <c r="W376" s="1222"/>
      <c r="X376" s="1222"/>
      <c r="Y376" s="1222"/>
      <c r="Z376" s="1222"/>
      <c r="AA376" s="1222"/>
      <c r="AB376" s="1222"/>
      <c r="AC376" s="1222"/>
    </row>
    <row r="377" ht="15.75" customHeight="1">
      <c r="A377" s="1222"/>
      <c r="B377" s="1222"/>
      <c r="C377" s="1222"/>
      <c r="D377" s="1222"/>
      <c r="E377" s="1222"/>
      <c r="F377" s="1222"/>
      <c r="G377" s="1222"/>
      <c r="H377" s="1241"/>
      <c r="I377" s="1241"/>
      <c r="J377" s="1241"/>
      <c r="K377" s="1241"/>
      <c r="L377" s="1222"/>
      <c r="M377" s="1222"/>
      <c r="N377" s="1222"/>
      <c r="O377" s="1222"/>
      <c r="P377" s="1241"/>
      <c r="Q377" s="1222"/>
      <c r="R377" s="1222"/>
      <c r="S377" s="1222"/>
      <c r="T377" s="1222"/>
      <c r="U377" s="1222"/>
      <c r="V377" s="1222"/>
      <c r="W377" s="1222"/>
      <c r="X377" s="1222"/>
      <c r="Y377" s="1222"/>
      <c r="Z377" s="1222"/>
      <c r="AA377" s="1222"/>
      <c r="AB377" s="1222"/>
      <c r="AC377" s="1222"/>
    </row>
    <row r="378" ht="15.75" customHeight="1">
      <c r="A378" s="1222"/>
      <c r="B378" s="1222"/>
      <c r="C378" s="1222"/>
      <c r="D378" s="1222"/>
      <c r="E378" s="1222"/>
      <c r="F378" s="1222"/>
      <c r="G378" s="1222"/>
      <c r="H378" s="1241"/>
      <c r="I378" s="1241"/>
      <c r="J378" s="1241"/>
      <c r="K378" s="1241"/>
      <c r="L378" s="1222"/>
      <c r="M378" s="1222"/>
      <c r="N378" s="1222"/>
      <c r="O378" s="1222"/>
      <c r="P378" s="1241"/>
      <c r="Q378" s="1222"/>
      <c r="R378" s="1222"/>
      <c r="S378" s="1222"/>
      <c r="T378" s="1222"/>
      <c r="U378" s="1222"/>
      <c r="V378" s="1222"/>
      <c r="W378" s="1222"/>
      <c r="X378" s="1222"/>
      <c r="Y378" s="1222"/>
      <c r="Z378" s="1222"/>
      <c r="AA378" s="1222"/>
      <c r="AB378" s="1222"/>
      <c r="AC378" s="1222"/>
    </row>
    <row r="379" ht="15.75" customHeight="1">
      <c r="A379" s="1222"/>
      <c r="B379" s="1222"/>
      <c r="C379" s="1222"/>
      <c r="D379" s="1222"/>
      <c r="E379" s="1222"/>
      <c r="F379" s="1222"/>
      <c r="G379" s="1222"/>
      <c r="H379" s="1241"/>
      <c r="I379" s="1241"/>
      <c r="J379" s="1241"/>
      <c r="K379" s="1241"/>
      <c r="L379" s="1222"/>
      <c r="M379" s="1222"/>
      <c r="N379" s="1222"/>
      <c r="O379" s="1222"/>
      <c r="P379" s="1241"/>
      <c r="Q379" s="1222"/>
      <c r="R379" s="1222"/>
      <c r="S379" s="1222"/>
      <c r="T379" s="1222"/>
      <c r="U379" s="1222"/>
      <c r="V379" s="1222"/>
      <c r="W379" s="1222"/>
      <c r="X379" s="1222"/>
      <c r="Y379" s="1222"/>
      <c r="Z379" s="1222"/>
      <c r="AA379" s="1222"/>
      <c r="AB379" s="1222"/>
      <c r="AC379" s="1222"/>
    </row>
    <row r="380" ht="15.75" customHeight="1">
      <c r="A380" s="1222"/>
      <c r="B380" s="1222"/>
      <c r="C380" s="1222"/>
      <c r="D380" s="1222"/>
      <c r="E380" s="1222"/>
      <c r="F380" s="1222"/>
      <c r="G380" s="1222"/>
      <c r="H380" s="1241"/>
      <c r="I380" s="1241"/>
      <c r="J380" s="1241"/>
      <c r="K380" s="1241"/>
      <c r="L380" s="1222"/>
      <c r="M380" s="1222"/>
      <c r="N380" s="1222"/>
      <c r="O380" s="1222"/>
      <c r="P380" s="1241"/>
      <c r="Q380" s="1222"/>
      <c r="R380" s="1222"/>
      <c r="S380" s="1222"/>
      <c r="T380" s="1222"/>
      <c r="U380" s="1222"/>
      <c r="V380" s="1222"/>
      <c r="W380" s="1222"/>
      <c r="X380" s="1222"/>
      <c r="Y380" s="1222"/>
      <c r="Z380" s="1222"/>
      <c r="AA380" s="1222"/>
      <c r="AB380" s="1222"/>
      <c r="AC380" s="1222"/>
    </row>
    <row r="381" ht="15.75" customHeight="1">
      <c r="A381" s="1222"/>
      <c r="B381" s="1222"/>
      <c r="C381" s="1222"/>
      <c r="D381" s="1222"/>
      <c r="E381" s="1222"/>
      <c r="F381" s="1222"/>
      <c r="G381" s="1222"/>
      <c r="H381" s="1241"/>
      <c r="I381" s="1241"/>
      <c r="J381" s="1241"/>
      <c r="K381" s="1241"/>
      <c r="L381" s="1222"/>
      <c r="M381" s="1222"/>
      <c r="N381" s="1222"/>
      <c r="O381" s="1222"/>
      <c r="P381" s="1241"/>
      <c r="Q381" s="1222"/>
      <c r="R381" s="1222"/>
      <c r="S381" s="1222"/>
      <c r="T381" s="1222"/>
      <c r="U381" s="1222"/>
      <c r="V381" s="1222"/>
      <c r="W381" s="1222"/>
      <c r="X381" s="1222"/>
      <c r="Y381" s="1222"/>
      <c r="Z381" s="1222"/>
      <c r="AA381" s="1222"/>
      <c r="AB381" s="1222"/>
      <c r="AC381" s="1222"/>
    </row>
    <row r="382" ht="15.75" customHeight="1">
      <c r="A382" s="1222"/>
      <c r="B382" s="1222"/>
      <c r="C382" s="1222"/>
      <c r="D382" s="1222"/>
      <c r="E382" s="1222"/>
      <c r="F382" s="1222"/>
      <c r="G382" s="1222"/>
      <c r="H382" s="1241"/>
      <c r="I382" s="1241"/>
      <c r="J382" s="1241"/>
      <c r="K382" s="1241"/>
      <c r="L382" s="1222"/>
      <c r="M382" s="1222"/>
      <c r="N382" s="1222"/>
      <c r="O382" s="1222"/>
      <c r="P382" s="1241"/>
      <c r="Q382" s="1222"/>
      <c r="R382" s="1222"/>
      <c r="S382" s="1222"/>
      <c r="T382" s="1222"/>
      <c r="U382" s="1222"/>
      <c r="V382" s="1222"/>
      <c r="W382" s="1222"/>
      <c r="X382" s="1222"/>
      <c r="Y382" s="1222"/>
      <c r="Z382" s="1222"/>
      <c r="AA382" s="1222"/>
      <c r="AB382" s="1222"/>
      <c r="AC382" s="1222"/>
    </row>
    <row r="383" ht="15.75" customHeight="1">
      <c r="A383" s="1222"/>
      <c r="B383" s="1222"/>
      <c r="C383" s="1222"/>
      <c r="D383" s="1222"/>
      <c r="E383" s="1222"/>
      <c r="F383" s="1222"/>
      <c r="G383" s="1222"/>
      <c r="H383" s="1241"/>
      <c r="I383" s="1241"/>
      <c r="J383" s="1241"/>
      <c r="K383" s="1241"/>
      <c r="L383" s="1222"/>
      <c r="M383" s="1222"/>
      <c r="N383" s="1222"/>
      <c r="O383" s="1222"/>
      <c r="P383" s="1241"/>
      <c r="Q383" s="1222"/>
      <c r="R383" s="1222"/>
      <c r="S383" s="1222"/>
      <c r="T383" s="1222"/>
      <c r="U383" s="1222"/>
      <c r="V383" s="1222"/>
      <c r="W383" s="1222"/>
      <c r="X383" s="1222"/>
      <c r="Y383" s="1222"/>
      <c r="Z383" s="1222"/>
      <c r="AA383" s="1222"/>
      <c r="AB383" s="1222"/>
      <c r="AC383" s="1222"/>
    </row>
    <row r="384" ht="15.75" customHeight="1">
      <c r="A384" s="1222"/>
      <c r="B384" s="1222"/>
      <c r="C384" s="1222"/>
      <c r="D384" s="1222"/>
      <c r="E384" s="1222"/>
      <c r="F384" s="1222"/>
      <c r="G384" s="1222"/>
      <c r="H384" s="1241"/>
      <c r="I384" s="1241"/>
      <c r="J384" s="1241"/>
      <c r="K384" s="1241"/>
      <c r="L384" s="1222"/>
      <c r="M384" s="1222"/>
      <c r="N384" s="1222"/>
      <c r="O384" s="1222"/>
      <c r="P384" s="1241"/>
      <c r="Q384" s="1222"/>
      <c r="R384" s="1222"/>
      <c r="S384" s="1222"/>
      <c r="T384" s="1222"/>
      <c r="U384" s="1222"/>
      <c r="V384" s="1222"/>
      <c r="W384" s="1222"/>
      <c r="X384" s="1222"/>
      <c r="Y384" s="1222"/>
      <c r="Z384" s="1222"/>
      <c r="AA384" s="1222"/>
      <c r="AB384" s="1222"/>
      <c r="AC384" s="1222"/>
    </row>
    <row r="385" ht="15.75" customHeight="1">
      <c r="A385" s="1222"/>
      <c r="B385" s="1222"/>
      <c r="C385" s="1222"/>
      <c r="D385" s="1222"/>
      <c r="E385" s="1222"/>
      <c r="F385" s="1222"/>
      <c r="G385" s="1222"/>
      <c r="H385" s="1241"/>
      <c r="I385" s="1241"/>
      <c r="J385" s="1241"/>
      <c r="K385" s="1241"/>
      <c r="L385" s="1222"/>
      <c r="M385" s="1222"/>
      <c r="N385" s="1222"/>
      <c r="O385" s="1222"/>
      <c r="P385" s="1241"/>
      <c r="Q385" s="1222"/>
      <c r="R385" s="1222"/>
      <c r="S385" s="1222"/>
      <c r="T385" s="1222"/>
      <c r="U385" s="1222"/>
      <c r="V385" s="1222"/>
      <c r="W385" s="1222"/>
      <c r="X385" s="1222"/>
      <c r="Y385" s="1222"/>
      <c r="Z385" s="1222"/>
      <c r="AA385" s="1222"/>
      <c r="AB385" s="1222"/>
      <c r="AC385" s="1222"/>
    </row>
    <row r="386" ht="15.75" customHeight="1">
      <c r="A386" s="1222"/>
      <c r="B386" s="1222"/>
      <c r="C386" s="1222"/>
      <c r="D386" s="1222"/>
      <c r="E386" s="1222"/>
      <c r="F386" s="1222"/>
      <c r="G386" s="1222"/>
      <c r="H386" s="1241"/>
      <c r="I386" s="1241"/>
      <c r="J386" s="1241"/>
      <c r="K386" s="1241"/>
      <c r="L386" s="1222"/>
      <c r="M386" s="1222"/>
      <c r="N386" s="1222"/>
      <c r="O386" s="1222"/>
      <c r="P386" s="1241"/>
      <c r="Q386" s="1222"/>
      <c r="R386" s="1222"/>
      <c r="S386" s="1222"/>
      <c r="T386" s="1222"/>
      <c r="U386" s="1222"/>
      <c r="V386" s="1222"/>
      <c r="W386" s="1222"/>
      <c r="X386" s="1222"/>
      <c r="Y386" s="1222"/>
      <c r="Z386" s="1222"/>
      <c r="AA386" s="1222"/>
      <c r="AB386" s="1222"/>
      <c r="AC386" s="1222"/>
    </row>
    <row r="387" ht="15.75" customHeight="1">
      <c r="A387" s="1222"/>
      <c r="B387" s="1222"/>
      <c r="C387" s="1222"/>
      <c r="D387" s="1222"/>
      <c r="E387" s="1222"/>
      <c r="F387" s="1222"/>
      <c r="G387" s="1222"/>
      <c r="H387" s="1241"/>
      <c r="I387" s="1241"/>
      <c r="J387" s="1241"/>
      <c r="K387" s="1241"/>
      <c r="L387" s="1222"/>
      <c r="M387" s="1222"/>
      <c r="N387" s="1222"/>
      <c r="O387" s="1222"/>
      <c r="P387" s="1241"/>
      <c r="Q387" s="1222"/>
      <c r="R387" s="1222"/>
      <c r="S387" s="1222"/>
      <c r="T387" s="1222"/>
      <c r="U387" s="1222"/>
      <c r="V387" s="1222"/>
      <c r="W387" s="1222"/>
      <c r="X387" s="1222"/>
      <c r="Y387" s="1222"/>
      <c r="Z387" s="1222"/>
      <c r="AA387" s="1222"/>
      <c r="AB387" s="1222"/>
      <c r="AC387" s="1222"/>
    </row>
    <row r="388" ht="15.75" customHeight="1">
      <c r="A388" s="1222"/>
      <c r="B388" s="1222"/>
      <c r="C388" s="1222"/>
      <c r="D388" s="1222"/>
      <c r="E388" s="1222"/>
      <c r="F388" s="1222"/>
      <c r="G388" s="1222"/>
      <c r="H388" s="1241"/>
      <c r="I388" s="1241"/>
      <c r="J388" s="1241"/>
      <c r="K388" s="1241"/>
      <c r="L388" s="1222"/>
      <c r="M388" s="1222"/>
      <c r="N388" s="1222"/>
      <c r="O388" s="1222"/>
      <c r="P388" s="1241"/>
      <c r="Q388" s="1222"/>
      <c r="R388" s="1222"/>
      <c r="S388" s="1222"/>
      <c r="T388" s="1222"/>
      <c r="U388" s="1222"/>
      <c r="V388" s="1222"/>
      <c r="W388" s="1222"/>
      <c r="X388" s="1222"/>
      <c r="Y388" s="1222"/>
      <c r="Z388" s="1222"/>
      <c r="AA388" s="1222"/>
      <c r="AB388" s="1222"/>
      <c r="AC388" s="1222"/>
    </row>
    <row r="389" ht="15.75" customHeight="1">
      <c r="A389" s="1222"/>
      <c r="B389" s="1222"/>
      <c r="C389" s="1222"/>
      <c r="D389" s="1222"/>
      <c r="E389" s="1222"/>
      <c r="F389" s="1222"/>
      <c r="G389" s="1222"/>
      <c r="H389" s="1241"/>
      <c r="I389" s="1241"/>
      <c r="J389" s="1241"/>
      <c r="K389" s="1241"/>
      <c r="L389" s="1222"/>
      <c r="M389" s="1222"/>
      <c r="N389" s="1222"/>
      <c r="O389" s="1222"/>
      <c r="P389" s="1241"/>
      <c r="Q389" s="1222"/>
      <c r="R389" s="1222"/>
      <c r="S389" s="1222"/>
      <c r="T389" s="1222"/>
      <c r="U389" s="1222"/>
      <c r="V389" s="1222"/>
      <c r="W389" s="1222"/>
      <c r="X389" s="1222"/>
      <c r="Y389" s="1222"/>
      <c r="Z389" s="1222"/>
      <c r="AA389" s="1222"/>
      <c r="AB389" s="1222"/>
      <c r="AC389" s="1222"/>
    </row>
    <row r="390" ht="15.75" customHeight="1">
      <c r="A390" s="1222"/>
      <c r="B390" s="1222"/>
      <c r="C390" s="1222"/>
      <c r="D390" s="1222"/>
      <c r="E390" s="1222"/>
      <c r="F390" s="1222"/>
      <c r="G390" s="1222"/>
      <c r="H390" s="1241"/>
      <c r="I390" s="1241"/>
      <c r="J390" s="1241"/>
      <c r="K390" s="1241"/>
      <c r="L390" s="1222"/>
      <c r="M390" s="1222"/>
      <c r="N390" s="1222"/>
      <c r="O390" s="1222"/>
      <c r="P390" s="1241"/>
      <c r="Q390" s="1222"/>
      <c r="R390" s="1222"/>
      <c r="S390" s="1222"/>
      <c r="T390" s="1222"/>
      <c r="U390" s="1222"/>
      <c r="V390" s="1222"/>
      <c r="W390" s="1222"/>
      <c r="X390" s="1222"/>
      <c r="Y390" s="1222"/>
      <c r="Z390" s="1222"/>
      <c r="AA390" s="1222"/>
      <c r="AB390" s="1222"/>
      <c r="AC390" s="1222"/>
    </row>
    <row r="391" ht="15.75" customHeight="1">
      <c r="A391" s="1222"/>
      <c r="B391" s="1222"/>
      <c r="C391" s="1222"/>
      <c r="D391" s="1222"/>
      <c r="E391" s="1222"/>
      <c r="F391" s="1222"/>
      <c r="G391" s="1222"/>
      <c r="H391" s="1241"/>
      <c r="I391" s="1241"/>
      <c r="J391" s="1241"/>
      <c r="K391" s="1241"/>
      <c r="L391" s="1222"/>
      <c r="M391" s="1222"/>
      <c r="N391" s="1222"/>
      <c r="O391" s="1222"/>
      <c r="P391" s="1241"/>
      <c r="Q391" s="1222"/>
      <c r="R391" s="1222"/>
      <c r="S391" s="1222"/>
      <c r="T391" s="1222"/>
      <c r="U391" s="1222"/>
      <c r="V391" s="1222"/>
      <c r="W391" s="1222"/>
      <c r="X391" s="1222"/>
      <c r="Y391" s="1222"/>
      <c r="Z391" s="1222"/>
      <c r="AA391" s="1222"/>
      <c r="AB391" s="1222"/>
      <c r="AC391" s="1222"/>
    </row>
    <row r="392" ht="15.75" customHeight="1">
      <c r="A392" s="1222"/>
      <c r="B392" s="1222"/>
      <c r="C392" s="1222"/>
      <c r="D392" s="1222"/>
      <c r="E392" s="1222"/>
      <c r="F392" s="1222"/>
      <c r="G392" s="1222"/>
      <c r="H392" s="1241"/>
      <c r="I392" s="1241"/>
      <c r="J392" s="1241"/>
      <c r="K392" s="1241"/>
      <c r="L392" s="1222"/>
      <c r="M392" s="1222"/>
      <c r="N392" s="1222"/>
      <c r="O392" s="1222"/>
      <c r="P392" s="1241"/>
      <c r="Q392" s="1222"/>
      <c r="R392" s="1222"/>
      <c r="S392" s="1222"/>
      <c r="T392" s="1222"/>
      <c r="U392" s="1222"/>
      <c r="V392" s="1222"/>
      <c r="W392" s="1222"/>
      <c r="X392" s="1222"/>
      <c r="Y392" s="1222"/>
      <c r="Z392" s="1222"/>
      <c r="AA392" s="1222"/>
      <c r="AB392" s="1222"/>
      <c r="AC392" s="1222"/>
    </row>
    <row r="393" ht="15.75" customHeight="1">
      <c r="A393" s="1222"/>
      <c r="B393" s="1222"/>
      <c r="C393" s="1222"/>
      <c r="D393" s="1222"/>
      <c r="E393" s="1222"/>
      <c r="F393" s="1222"/>
      <c r="G393" s="1222"/>
      <c r="H393" s="1241"/>
      <c r="I393" s="1241"/>
      <c r="J393" s="1241"/>
      <c r="K393" s="1241"/>
      <c r="L393" s="1222"/>
      <c r="M393" s="1222"/>
      <c r="N393" s="1222"/>
      <c r="O393" s="1222"/>
      <c r="P393" s="1241"/>
      <c r="Q393" s="1222"/>
      <c r="R393" s="1222"/>
      <c r="S393" s="1222"/>
      <c r="T393" s="1222"/>
      <c r="U393" s="1222"/>
      <c r="V393" s="1222"/>
      <c r="W393" s="1222"/>
      <c r="X393" s="1222"/>
      <c r="Y393" s="1222"/>
      <c r="Z393" s="1222"/>
      <c r="AA393" s="1222"/>
      <c r="AB393" s="1222"/>
      <c r="AC393" s="1222"/>
    </row>
    <row r="394" ht="15.75" customHeight="1">
      <c r="A394" s="1222"/>
      <c r="B394" s="1222"/>
      <c r="C394" s="1222"/>
      <c r="D394" s="1222"/>
      <c r="E394" s="1222"/>
      <c r="F394" s="1222"/>
      <c r="G394" s="1222"/>
      <c r="H394" s="1241"/>
      <c r="I394" s="1241"/>
      <c r="J394" s="1241"/>
      <c r="K394" s="1241"/>
      <c r="L394" s="1222"/>
      <c r="M394" s="1222"/>
      <c r="N394" s="1222"/>
      <c r="O394" s="1222"/>
      <c r="P394" s="1241"/>
      <c r="Q394" s="1222"/>
      <c r="R394" s="1222"/>
      <c r="S394" s="1222"/>
      <c r="T394" s="1222"/>
      <c r="U394" s="1222"/>
      <c r="V394" s="1222"/>
      <c r="W394" s="1222"/>
      <c r="X394" s="1222"/>
      <c r="Y394" s="1222"/>
      <c r="Z394" s="1222"/>
      <c r="AA394" s="1222"/>
      <c r="AB394" s="1222"/>
      <c r="AC394" s="1222"/>
    </row>
    <row r="395" ht="15.75" customHeight="1">
      <c r="A395" s="1222"/>
      <c r="B395" s="1222"/>
      <c r="C395" s="1222"/>
      <c r="D395" s="1222"/>
      <c r="E395" s="1222"/>
      <c r="F395" s="1222"/>
      <c r="G395" s="1222"/>
      <c r="H395" s="1241"/>
      <c r="I395" s="1241"/>
      <c r="J395" s="1241"/>
      <c r="K395" s="1241"/>
      <c r="L395" s="1222"/>
      <c r="M395" s="1222"/>
      <c r="N395" s="1222"/>
      <c r="O395" s="1222"/>
      <c r="P395" s="1241"/>
      <c r="Q395" s="1222"/>
      <c r="R395" s="1222"/>
      <c r="S395" s="1222"/>
      <c r="T395" s="1222"/>
      <c r="U395" s="1222"/>
      <c r="V395" s="1222"/>
      <c r="W395" s="1222"/>
      <c r="X395" s="1222"/>
      <c r="Y395" s="1222"/>
      <c r="Z395" s="1222"/>
      <c r="AA395" s="1222"/>
      <c r="AB395" s="1222"/>
      <c r="AC395" s="1222"/>
    </row>
    <row r="396" ht="15.75" customHeight="1">
      <c r="A396" s="1222"/>
      <c r="B396" s="1222"/>
      <c r="C396" s="1222"/>
      <c r="D396" s="1222"/>
      <c r="E396" s="1222"/>
      <c r="F396" s="1222"/>
      <c r="G396" s="1222"/>
      <c r="H396" s="1241"/>
      <c r="I396" s="1241"/>
      <c r="J396" s="1241"/>
      <c r="K396" s="1241"/>
      <c r="L396" s="1222"/>
      <c r="M396" s="1222"/>
      <c r="N396" s="1222"/>
      <c r="O396" s="1222"/>
      <c r="P396" s="1241"/>
      <c r="Q396" s="1222"/>
      <c r="R396" s="1222"/>
      <c r="S396" s="1222"/>
      <c r="T396" s="1222"/>
      <c r="U396" s="1222"/>
      <c r="V396" s="1222"/>
      <c r="W396" s="1222"/>
      <c r="X396" s="1222"/>
      <c r="Y396" s="1222"/>
      <c r="Z396" s="1222"/>
      <c r="AA396" s="1222"/>
      <c r="AB396" s="1222"/>
      <c r="AC396" s="1222"/>
    </row>
    <row r="397" ht="15.75" customHeight="1">
      <c r="A397" s="1222"/>
      <c r="B397" s="1222"/>
      <c r="C397" s="1222"/>
      <c r="D397" s="1222"/>
      <c r="E397" s="1222"/>
      <c r="F397" s="1222"/>
      <c r="G397" s="1222"/>
      <c r="H397" s="1241"/>
      <c r="I397" s="1241"/>
      <c r="J397" s="1241"/>
      <c r="K397" s="1241"/>
      <c r="L397" s="1222"/>
      <c r="M397" s="1222"/>
      <c r="N397" s="1222"/>
      <c r="O397" s="1222"/>
      <c r="P397" s="1241"/>
      <c r="Q397" s="1222"/>
      <c r="R397" s="1222"/>
      <c r="S397" s="1222"/>
      <c r="T397" s="1222"/>
      <c r="U397" s="1222"/>
      <c r="V397" s="1222"/>
      <c r="W397" s="1222"/>
      <c r="X397" s="1222"/>
      <c r="Y397" s="1222"/>
      <c r="Z397" s="1222"/>
      <c r="AA397" s="1222"/>
      <c r="AB397" s="1222"/>
      <c r="AC397" s="1222"/>
    </row>
    <row r="398" ht="15.75" customHeight="1">
      <c r="A398" s="1222"/>
      <c r="B398" s="1222"/>
      <c r="C398" s="1222"/>
      <c r="D398" s="1222"/>
      <c r="E398" s="1222"/>
      <c r="F398" s="1222"/>
      <c r="G398" s="1222"/>
      <c r="H398" s="1241"/>
      <c r="I398" s="1241"/>
      <c r="J398" s="1241"/>
      <c r="K398" s="1241"/>
      <c r="L398" s="1222"/>
      <c r="M398" s="1222"/>
      <c r="N398" s="1222"/>
      <c r="O398" s="1222"/>
      <c r="P398" s="1241"/>
      <c r="Q398" s="1222"/>
      <c r="R398" s="1222"/>
      <c r="S398" s="1222"/>
      <c r="T398" s="1222"/>
      <c r="U398" s="1222"/>
      <c r="V398" s="1222"/>
      <c r="W398" s="1222"/>
      <c r="X398" s="1222"/>
      <c r="Y398" s="1222"/>
      <c r="Z398" s="1222"/>
      <c r="AA398" s="1222"/>
      <c r="AB398" s="1222"/>
      <c r="AC398" s="1222"/>
    </row>
    <row r="399" ht="15.75" customHeight="1">
      <c r="A399" s="1222"/>
      <c r="B399" s="1222"/>
      <c r="C399" s="1222"/>
      <c r="D399" s="1222"/>
      <c r="E399" s="1222"/>
      <c r="F399" s="1222"/>
      <c r="G399" s="1222"/>
      <c r="H399" s="1241"/>
      <c r="I399" s="1241"/>
      <c r="J399" s="1241"/>
      <c r="K399" s="1241"/>
      <c r="L399" s="1222"/>
      <c r="M399" s="1222"/>
      <c r="N399" s="1222"/>
      <c r="O399" s="1222"/>
      <c r="P399" s="1241"/>
      <c r="Q399" s="1222"/>
      <c r="R399" s="1222"/>
      <c r="S399" s="1222"/>
      <c r="T399" s="1222"/>
      <c r="U399" s="1222"/>
      <c r="V399" s="1222"/>
      <c r="W399" s="1222"/>
      <c r="X399" s="1222"/>
      <c r="Y399" s="1222"/>
      <c r="Z399" s="1222"/>
      <c r="AA399" s="1222"/>
      <c r="AB399" s="1222"/>
      <c r="AC399" s="1222"/>
    </row>
    <row r="400" ht="15.75" customHeight="1">
      <c r="A400" s="1222"/>
      <c r="B400" s="1222"/>
      <c r="C400" s="1222"/>
      <c r="D400" s="1222"/>
      <c r="E400" s="1222"/>
      <c r="F400" s="1222"/>
      <c r="G400" s="1222"/>
      <c r="H400" s="1241"/>
      <c r="I400" s="1241"/>
      <c r="J400" s="1241"/>
      <c r="K400" s="1241"/>
      <c r="L400" s="1222"/>
      <c r="M400" s="1222"/>
      <c r="N400" s="1222"/>
      <c r="O400" s="1222"/>
      <c r="P400" s="1241"/>
      <c r="Q400" s="1222"/>
      <c r="R400" s="1222"/>
      <c r="S400" s="1222"/>
      <c r="T400" s="1222"/>
      <c r="U400" s="1222"/>
      <c r="V400" s="1222"/>
      <c r="W400" s="1222"/>
      <c r="X400" s="1222"/>
      <c r="Y400" s="1222"/>
      <c r="Z400" s="1222"/>
      <c r="AA400" s="1222"/>
      <c r="AB400" s="1222"/>
      <c r="AC400" s="1222"/>
    </row>
    <row r="401" ht="15.75" customHeight="1">
      <c r="A401" s="1222"/>
      <c r="B401" s="1222"/>
      <c r="C401" s="1222"/>
      <c r="D401" s="1222"/>
      <c r="E401" s="1222"/>
      <c r="F401" s="1222"/>
      <c r="G401" s="1222"/>
      <c r="H401" s="1241"/>
      <c r="I401" s="1241"/>
      <c r="J401" s="1241"/>
      <c r="K401" s="1241"/>
      <c r="L401" s="1222"/>
      <c r="M401" s="1222"/>
      <c r="N401" s="1222"/>
      <c r="O401" s="1222"/>
      <c r="P401" s="1241"/>
      <c r="Q401" s="1222"/>
      <c r="R401" s="1222"/>
      <c r="S401" s="1222"/>
      <c r="T401" s="1222"/>
      <c r="U401" s="1222"/>
      <c r="V401" s="1222"/>
      <c r="W401" s="1222"/>
      <c r="X401" s="1222"/>
      <c r="Y401" s="1222"/>
      <c r="Z401" s="1222"/>
      <c r="AA401" s="1222"/>
      <c r="AB401" s="1222"/>
      <c r="AC401" s="1222"/>
    </row>
    <row r="402" ht="15.75" customHeight="1">
      <c r="A402" s="1222"/>
      <c r="B402" s="1222"/>
      <c r="C402" s="1222"/>
      <c r="D402" s="1222"/>
      <c r="E402" s="1222"/>
      <c r="F402" s="1222"/>
      <c r="G402" s="1222"/>
      <c r="H402" s="1241"/>
      <c r="I402" s="1241"/>
      <c r="J402" s="1241"/>
      <c r="K402" s="1241"/>
      <c r="L402" s="1222"/>
      <c r="M402" s="1222"/>
      <c r="N402" s="1222"/>
      <c r="O402" s="1222"/>
      <c r="P402" s="1241"/>
      <c r="Q402" s="1222"/>
      <c r="R402" s="1222"/>
      <c r="S402" s="1222"/>
      <c r="T402" s="1222"/>
      <c r="U402" s="1222"/>
      <c r="V402" s="1222"/>
      <c r="W402" s="1222"/>
      <c r="X402" s="1222"/>
      <c r="Y402" s="1222"/>
      <c r="Z402" s="1222"/>
      <c r="AA402" s="1222"/>
      <c r="AB402" s="1222"/>
      <c r="AC402" s="1222"/>
    </row>
    <row r="403" ht="15.75" customHeight="1">
      <c r="A403" s="1222"/>
      <c r="B403" s="1222"/>
      <c r="C403" s="1222"/>
      <c r="D403" s="1222"/>
      <c r="E403" s="1222"/>
      <c r="F403" s="1222"/>
      <c r="G403" s="1222"/>
      <c r="H403" s="1241"/>
      <c r="I403" s="1241"/>
      <c r="J403" s="1241"/>
      <c r="K403" s="1241"/>
      <c r="L403" s="1222"/>
      <c r="M403" s="1222"/>
      <c r="N403" s="1222"/>
      <c r="O403" s="1222"/>
      <c r="P403" s="1241"/>
      <c r="Q403" s="1222"/>
      <c r="R403" s="1222"/>
      <c r="S403" s="1222"/>
      <c r="T403" s="1222"/>
      <c r="U403" s="1222"/>
      <c r="V403" s="1222"/>
      <c r="W403" s="1222"/>
      <c r="X403" s="1222"/>
      <c r="Y403" s="1222"/>
      <c r="Z403" s="1222"/>
      <c r="AA403" s="1222"/>
      <c r="AB403" s="1222"/>
      <c r="AC403" s="1222"/>
    </row>
    <row r="404" ht="15.75" customHeight="1">
      <c r="A404" s="1222"/>
      <c r="B404" s="1222"/>
      <c r="C404" s="1222"/>
      <c r="D404" s="1222"/>
      <c r="E404" s="1222"/>
      <c r="F404" s="1222"/>
      <c r="G404" s="1222"/>
      <c r="H404" s="1241"/>
      <c r="I404" s="1241"/>
      <c r="J404" s="1241"/>
      <c r="K404" s="1241"/>
      <c r="L404" s="1222"/>
      <c r="M404" s="1222"/>
      <c r="N404" s="1222"/>
      <c r="O404" s="1222"/>
      <c r="P404" s="1241"/>
      <c r="Q404" s="1222"/>
      <c r="R404" s="1222"/>
      <c r="S404" s="1222"/>
      <c r="T404" s="1222"/>
      <c r="U404" s="1222"/>
      <c r="V404" s="1222"/>
      <c r="W404" s="1222"/>
      <c r="X404" s="1222"/>
      <c r="Y404" s="1222"/>
      <c r="Z404" s="1222"/>
      <c r="AA404" s="1222"/>
      <c r="AB404" s="1222"/>
      <c r="AC404" s="1222"/>
    </row>
    <row r="405" ht="15.75" customHeight="1">
      <c r="A405" s="1222"/>
      <c r="B405" s="1222"/>
      <c r="C405" s="1222"/>
      <c r="D405" s="1222"/>
      <c r="E405" s="1222"/>
      <c r="F405" s="1222"/>
      <c r="G405" s="1222"/>
      <c r="H405" s="1241"/>
      <c r="I405" s="1241"/>
      <c r="J405" s="1241"/>
      <c r="K405" s="1241"/>
      <c r="L405" s="1222"/>
      <c r="M405" s="1222"/>
      <c r="N405" s="1222"/>
      <c r="O405" s="1222"/>
      <c r="P405" s="1241"/>
      <c r="Q405" s="1222"/>
      <c r="R405" s="1222"/>
      <c r="S405" s="1222"/>
      <c r="T405" s="1222"/>
      <c r="U405" s="1222"/>
      <c r="V405" s="1222"/>
      <c r="W405" s="1222"/>
      <c r="X405" s="1222"/>
      <c r="Y405" s="1222"/>
      <c r="Z405" s="1222"/>
      <c r="AA405" s="1222"/>
      <c r="AB405" s="1222"/>
      <c r="AC405" s="1222"/>
    </row>
    <row r="406" ht="15.75" customHeight="1">
      <c r="A406" s="1222"/>
      <c r="B406" s="1222"/>
      <c r="C406" s="1222"/>
      <c r="D406" s="1222"/>
      <c r="E406" s="1222"/>
      <c r="F406" s="1222"/>
      <c r="G406" s="1222"/>
      <c r="H406" s="1241"/>
      <c r="I406" s="1241"/>
      <c r="J406" s="1241"/>
      <c r="K406" s="1241"/>
      <c r="L406" s="1222"/>
      <c r="M406" s="1222"/>
      <c r="N406" s="1222"/>
      <c r="O406" s="1222"/>
      <c r="P406" s="1241"/>
      <c r="Q406" s="1222"/>
      <c r="R406" s="1222"/>
      <c r="S406" s="1222"/>
      <c r="T406" s="1222"/>
      <c r="U406" s="1222"/>
      <c r="V406" s="1222"/>
      <c r="W406" s="1222"/>
      <c r="X406" s="1222"/>
      <c r="Y406" s="1222"/>
      <c r="Z406" s="1222"/>
      <c r="AA406" s="1222"/>
      <c r="AB406" s="1222"/>
      <c r="AC406" s="1222"/>
    </row>
    <row r="407" ht="15.75" customHeight="1">
      <c r="A407" s="1222"/>
      <c r="B407" s="1222"/>
      <c r="C407" s="1222"/>
      <c r="D407" s="1222"/>
      <c r="E407" s="1222"/>
      <c r="F407" s="1222"/>
      <c r="G407" s="1222"/>
      <c r="H407" s="1241"/>
      <c r="I407" s="1241"/>
      <c r="J407" s="1241"/>
      <c r="K407" s="1241"/>
      <c r="L407" s="1222"/>
      <c r="M407" s="1222"/>
      <c r="N407" s="1222"/>
      <c r="O407" s="1222"/>
      <c r="P407" s="1241"/>
      <c r="Q407" s="1222"/>
      <c r="R407" s="1222"/>
      <c r="S407" s="1222"/>
      <c r="T407" s="1222"/>
      <c r="U407" s="1222"/>
      <c r="V407" s="1222"/>
      <c r="W407" s="1222"/>
      <c r="X407" s="1222"/>
      <c r="Y407" s="1222"/>
      <c r="Z407" s="1222"/>
      <c r="AA407" s="1222"/>
      <c r="AB407" s="1222"/>
      <c r="AC407" s="1222"/>
    </row>
    <row r="408" ht="15.75" customHeight="1">
      <c r="A408" s="1222"/>
      <c r="B408" s="1222"/>
      <c r="C408" s="1222"/>
      <c r="D408" s="1222"/>
      <c r="E408" s="1222"/>
      <c r="F408" s="1222"/>
      <c r="G408" s="1222"/>
      <c r="H408" s="1241"/>
      <c r="I408" s="1241"/>
      <c r="J408" s="1241"/>
      <c r="K408" s="1241"/>
      <c r="L408" s="1222"/>
      <c r="M408" s="1222"/>
      <c r="N408" s="1222"/>
      <c r="O408" s="1222"/>
      <c r="P408" s="1241"/>
      <c r="Q408" s="1222"/>
      <c r="R408" s="1222"/>
      <c r="S408" s="1222"/>
      <c r="T408" s="1222"/>
      <c r="U408" s="1222"/>
      <c r="V408" s="1222"/>
      <c r="W408" s="1222"/>
      <c r="X408" s="1222"/>
      <c r="Y408" s="1222"/>
      <c r="Z408" s="1222"/>
      <c r="AA408" s="1222"/>
      <c r="AB408" s="1222"/>
      <c r="AC408" s="1222"/>
    </row>
    <row r="409" ht="15.75" customHeight="1">
      <c r="A409" s="1222"/>
      <c r="B409" s="1222"/>
      <c r="C409" s="1222"/>
      <c r="D409" s="1222"/>
      <c r="E409" s="1222"/>
      <c r="F409" s="1222"/>
      <c r="G409" s="1222"/>
      <c r="H409" s="1241"/>
      <c r="I409" s="1241"/>
      <c r="J409" s="1241"/>
      <c r="K409" s="1241"/>
      <c r="L409" s="1222"/>
      <c r="M409" s="1222"/>
      <c r="N409" s="1222"/>
      <c r="O409" s="1222"/>
      <c r="P409" s="1241"/>
      <c r="Q409" s="1222"/>
      <c r="R409" s="1222"/>
      <c r="S409" s="1222"/>
      <c r="T409" s="1222"/>
      <c r="U409" s="1222"/>
      <c r="V409" s="1222"/>
      <c r="W409" s="1222"/>
      <c r="X409" s="1222"/>
      <c r="Y409" s="1222"/>
      <c r="Z409" s="1222"/>
      <c r="AA409" s="1222"/>
      <c r="AB409" s="1222"/>
      <c r="AC409" s="1222"/>
    </row>
    <row r="410" ht="15.75" customHeight="1">
      <c r="A410" s="1222"/>
      <c r="B410" s="1222"/>
      <c r="C410" s="1222"/>
      <c r="D410" s="1222"/>
      <c r="E410" s="1222"/>
      <c r="F410" s="1222"/>
      <c r="G410" s="1222"/>
      <c r="H410" s="1241"/>
      <c r="I410" s="1241"/>
      <c r="J410" s="1241"/>
      <c r="K410" s="1241"/>
      <c r="L410" s="1222"/>
      <c r="M410" s="1222"/>
      <c r="N410" s="1222"/>
      <c r="O410" s="1222"/>
      <c r="P410" s="1241"/>
      <c r="Q410" s="1222"/>
      <c r="R410" s="1222"/>
      <c r="S410" s="1222"/>
      <c r="T410" s="1222"/>
      <c r="U410" s="1222"/>
      <c r="V410" s="1222"/>
      <c r="W410" s="1222"/>
      <c r="X410" s="1222"/>
      <c r="Y410" s="1222"/>
      <c r="Z410" s="1222"/>
      <c r="AA410" s="1222"/>
      <c r="AB410" s="1222"/>
      <c r="AC410" s="1222"/>
    </row>
    <row r="411" ht="15.75" customHeight="1">
      <c r="A411" s="1222"/>
      <c r="B411" s="1222"/>
      <c r="C411" s="1222"/>
      <c r="D411" s="1222"/>
      <c r="E411" s="1222"/>
      <c r="F411" s="1222"/>
      <c r="G411" s="1222"/>
      <c r="H411" s="1241"/>
      <c r="I411" s="1241"/>
      <c r="J411" s="1241"/>
      <c r="K411" s="1241"/>
      <c r="L411" s="1222"/>
      <c r="M411" s="1222"/>
      <c r="N411" s="1222"/>
      <c r="O411" s="1222"/>
      <c r="P411" s="1241"/>
      <c r="Q411" s="1222"/>
      <c r="R411" s="1222"/>
      <c r="S411" s="1222"/>
      <c r="T411" s="1222"/>
      <c r="U411" s="1222"/>
      <c r="V411" s="1222"/>
      <c r="W411" s="1222"/>
      <c r="X411" s="1222"/>
      <c r="Y411" s="1222"/>
      <c r="Z411" s="1222"/>
      <c r="AA411" s="1222"/>
      <c r="AB411" s="1222"/>
      <c r="AC411" s="1222"/>
    </row>
    <row r="412" ht="15.75" customHeight="1">
      <c r="A412" s="1222"/>
      <c r="B412" s="1222"/>
      <c r="C412" s="1222"/>
      <c r="D412" s="1222"/>
      <c r="E412" s="1222"/>
      <c r="F412" s="1222"/>
      <c r="G412" s="1222"/>
      <c r="H412" s="1241"/>
      <c r="I412" s="1241"/>
      <c r="J412" s="1241"/>
      <c r="K412" s="1241"/>
      <c r="L412" s="1222"/>
      <c r="M412" s="1222"/>
      <c r="N412" s="1222"/>
      <c r="O412" s="1222"/>
      <c r="P412" s="1241"/>
      <c r="Q412" s="1222"/>
      <c r="R412" s="1222"/>
      <c r="S412" s="1222"/>
      <c r="T412" s="1222"/>
      <c r="U412" s="1222"/>
      <c r="V412" s="1222"/>
      <c r="W412" s="1222"/>
      <c r="X412" s="1222"/>
      <c r="Y412" s="1222"/>
      <c r="Z412" s="1222"/>
      <c r="AA412" s="1222"/>
      <c r="AB412" s="1222"/>
      <c r="AC412" s="1222"/>
    </row>
    <row r="413" ht="15.75" customHeight="1">
      <c r="A413" s="1222"/>
      <c r="B413" s="1222"/>
      <c r="C413" s="1222"/>
      <c r="D413" s="1222"/>
      <c r="E413" s="1222"/>
      <c r="F413" s="1222"/>
      <c r="G413" s="1222"/>
      <c r="H413" s="1241"/>
      <c r="I413" s="1241"/>
      <c r="J413" s="1241"/>
      <c r="K413" s="1241"/>
      <c r="L413" s="1222"/>
      <c r="M413" s="1222"/>
      <c r="N413" s="1222"/>
      <c r="O413" s="1222"/>
      <c r="P413" s="1241"/>
      <c r="Q413" s="1222"/>
      <c r="R413" s="1222"/>
      <c r="S413" s="1222"/>
      <c r="T413" s="1222"/>
      <c r="U413" s="1222"/>
      <c r="V413" s="1222"/>
      <c r="W413" s="1222"/>
      <c r="X413" s="1222"/>
      <c r="Y413" s="1222"/>
      <c r="Z413" s="1222"/>
      <c r="AA413" s="1222"/>
      <c r="AB413" s="1222"/>
      <c r="AC413" s="1222"/>
    </row>
    <row r="414" ht="15.75" customHeight="1">
      <c r="A414" s="1222"/>
      <c r="B414" s="1222"/>
      <c r="C414" s="1222"/>
      <c r="D414" s="1222"/>
      <c r="E414" s="1222"/>
      <c r="F414" s="1222"/>
      <c r="G414" s="1222"/>
      <c r="H414" s="1241"/>
      <c r="I414" s="1241"/>
      <c r="J414" s="1241"/>
      <c r="K414" s="1241"/>
      <c r="L414" s="1222"/>
      <c r="M414" s="1222"/>
      <c r="N414" s="1222"/>
      <c r="O414" s="1222"/>
      <c r="P414" s="1241"/>
      <c r="Q414" s="1222"/>
      <c r="R414" s="1222"/>
      <c r="S414" s="1222"/>
      <c r="T414" s="1222"/>
      <c r="U414" s="1222"/>
      <c r="V414" s="1222"/>
      <c r="W414" s="1222"/>
      <c r="X414" s="1222"/>
      <c r="Y414" s="1222"/>
      <c r="Z414" s="1222"/>
      <c r="AA414" s="1222"/>
      <c r="AB414" s="1222"/>
      <c r="AC414" s="1222"/>
    </row>
    <row r="415" ht="15.75" customHeight="1">
      <c r="A415" s="1222"/>
      <c r="B415" s="1222"/>
      <c r="C415" s="1222"/>
      <c r="D415" s="1222"/>
      <c r="E415" s="1222"/>
      <c r="F415" s="1222"/>
      <c r="G415" s="1222"/>
      <c r="H415" s="1241"/>
      <c r="I415" s="1241"/>
      <c r="J415" s="1241"/>
      <c r="K415" s="1241"/>
      <c r="L415" s="1222"/>
      <c r="M415" s="1222"/>
      <c r="N415" s="1222"/>
      <c r="O415" s="1222"/>
      <c r="P415" s="1241"/>
      <c r="Q415" s="1222"/>
      <c r="R415" s="1222"/>
      <c r="S415" s="1222"/>
      <c r="T415" s="1222"/>
      <c r="U415" s="1222"/>
      <c r="V415" s="1222"/>
      <c r="W415" s="1222"/>
      <c r="X415" s="1222"/>
      <c r="Y415" s="1222"/>
      <c r="Z415" s="1222"/>
      <c r="AA415" s="1222"/>
      <c r="AB415" s="1222"/>
      <c r="AC415" s="1222"/>
    </row>
    <row r="416" ht="15.75" customHeight="1">
      <c r="A416" s="1222"/>
      <c r="B416" s="1222"/>
      <c r="C416" s="1222"/>
      <c r="D416" s="1222"/>
      <c r="E416" s="1222"/>
      <c r="F416" s="1222"/>
      <c r="G416" s="1222"/>
      <c r="H416" s="1241"/>
      <c r="I416" s="1241"/>
      <c r="J416" s="1241"/>
      <c r="K416" s="1241"/>
      <c r="L416" s="1222"/>
      <c r="M416" s="1222"/>
      <c r="N416" s="1222"/>
      <c r="O416" s="1222"/>
      <c r="P416" s="1241"/>
      <c r="Q416" s="1222"/>
      <c r="R416" s="1222"/>
      <c r="S416" s="1222"/>
      <c r="T416" s="1222"/>
      <c r="U416" s="1222"/>
      <c r="V416" s="1222"/>
      <c r="W416" s="1222"/>
      <c r="X416" s="1222"/>
      <c r="Y416" s="1222"/>
      <c r="Z416" s="1222"/>
      <c r="AA416" s="1222"/>
      <c r="AB416" s="1222"/>
      <c r="AC416" s="1222"/>
    </row>
    <row r="417" ht="15.75" customHeight="1">
      <c r="A417" s="1222"/>
      <c r="B417" s="1222"/>
      <c r="C417" s="1222"/>
      <c r="D417" s="1222"/>
      <c r="E417" s="1222"/>
      <c r="F417" s="1222"/>
      <c r="G417" s="1222"/>
      <c r="H417" s="1241"/>
      <c r="I417" s="1241"/>
      <c r="J417" s="1241"/>
      <c r="K417" s="1241"/>
      <c r="L417" s="1222"/>
      <c r="M417" s="1222"/>
      <c r="N417" s="1222"/>
      <c r="O417" s="1222"/>
      <c r="P417" s="1241"/>
      <c r="Q417" s="1222"/>
      <c r="R417" s="1222"/>
      <c r="S417" s="1222"/>
      <c r="T417" s="1222"/>
      <c r="U417" s="1222"/>
      <c r="V417" s="1222"/>
      <c r="W417" s="1222"/>
      <c r="X417" s="1222"/>
      <c r="Y417" s="1222"/>
      <c r="Z417" s="1222"/>
      <c r="AA417" s="1222"/>
      <c r="AB417" s="1222"/>
      <c r="AC417" s="1222"/>
    </row>
    <row r="418" ht="15.75" customHeight="1">
      <c r="A418" s="1222"/>
      <c r="B418" s="1222"/>
      <c r="C418" s="1222"/>
      <c r="D418" s="1222"/>
      <c r="E418" s="1222"/>
      <c r="F418" s="1222"/>
      <c r="G418" s="1222"/>
      <c r="H418" s="1241"/>
      <c r="I418" s="1241"/>
      <c r="J418" s="1241"/>
      <c r="K418" s="1241"/>
      <c r="L418" s="1222"/>
      <c r="M418" s="1222"/>
      <c r="N418" s="1222"/>
      <c r="O418" s="1222"/>
      <c r="P418" s="1241"/>
      <c r="Q418" s="1222"/>
      <c r="R418" s="1222"/>
      <c r="S418" s="1222"/>
      <c r="T418" s="1222"/>
      <c r="U418" s="1222"/>
      <c r="V418" s="1222"/>
      <c r="W418" s="1222"/>
      <c r="X418" s="1222"/>
      <c r="Y418" s="1222"/>
      <c r="Z418" s="1222"/>
      <c r="AA418" s="1222"/>
      <c r="AB418" s="1222"/>
      <c r="AC418" s="1222"/>
    </row>
    <row r="419" ht="15.75" customHeight="1">
      <c r="A419" s="1222"/>
      <c r="B419" s="1222"/>
      <c r="C419" s="1222"/>
      <c r="D419" s="1222"/>
      <c r="E419" s="1222"/>
      <c r="F419" s="1222"/>
      <c r="G419" s="1222"/>
      <c r="H419" s="1241"/>
      <c r="I419" s="1241"/>
      <c r="J419" s="1241"/>
      <c r="K419" s="1241"/>
      <c r="L419" s="1222"/>
      <c r="M419" s="1222"/>
      <c r="N419" s="1222"/>
      <c r="O419" s="1222"/>
      <c r="P419" s="1241"/>
      <c r="Q419" s="1222"/>
      <c r="R419" s="1222"/>
      <c r="S419" s="1222"/>
      <c r="T419" s="1222"/>
      <c r="U419" s="1222"/>
      <c r="V419" s="1222"/>
      <c r="W419" s="1222"/>
      <c r="X419" s="1222"/>
      <c r="Y419" s="1222"/>
      <c r="Z419" s="1222"/>
      <c r="AA419" s="1222"/>
      <c r="AB419" s="1222"/>
      <c r="AC419" s="1222"/>
    </row>
    <row r="420" ht="15.75" customHeight="1">
      <c r="A420" s="1222"/>
      <c r="B420" s="1222"/>
      <c r="C420" s="1222"/>
      <c r="D420" s="1222"/>
      <c r="E420" s="1222"/>
      <c r="F420" s="1222"/>
      <c r="G420" s="1222"/>
      <c r="H420" s="1241"/>
      <c r="I420" s="1241"/>
      <c r="J420" s="1241"/>
      <c r="K420" s="1241"/>
      <c r="L420" s="1222"/>
      <c r="M420" s="1222"/>
      <c r="N420" s="1222"/>
      <c r="O420" s="1222"/>
      <c r="P420" s="1241"/>
      <c r="Q420" s="1222"/>
      <c r="R420" s="1222"/>
      <c r="S420" s="1222"/>
      <c r="T420" s="1222"/>
      <c r="U420" s="1222"/>
      <c r="V420" s="1222"/>
      <c r="W420" s="1222"/>
      <c r="X420" s="1222"/>
      <c r="Y420" s="1222"/>
      <c r="Z420" s="1222"/>
      <c r="AA420" s="1222"/>
      <c r="AB420" s="1222"/>
      <c r="AC420" s="1222"/>
    </row>
    <row r="421" ht="15.75" customHeight="1">
      <c r="A421" s="1222"/>
      <c r="B421" s="1222"/>
      <c r="C421" s="1222"/>
      <c r="D421" s="1222"/>
      <c r="E421" s="1222"/>
      <c r="F421" s="1222"/>
      <c r="G421" s="1222"/>
      <c r="H421" s="1241"/>
      <c r="I421" s="1241"/>
      <c r="J421" s="1241"/>
      <c r="K421" s="1241"/>
      <c r="L421" s="1222"/>
      <c r="M421" s="1222"/>
      <c r="N421" s="1222"/>
      <c r="O421" s="1222"/>
      <c r="P421" s="1241"/>
      <c r="Q421" s="1222"/>
      <c r="R421" s="1222"/>
      <c r="S421" s="1222"/>
      <c r="T421" s="1222"/>
      <c r="U421" s="1222"/>
      <c r="V421" s="1222"/>
      <c r="W421" s="1222"/>
      <c r="X421" s="1222"/>
      <c r="Y421" s="1222"/>
      <c r="Z421" s="1222"/>
      <c r="AA421" s="1222"/>
      <c r="AB421" s="1222"/>
      <c r="AC421" s="1222"/>
    </row>
    <row r="422" ht="15.75" customHeight="1">
      <c r="A422" s="1222"/>
      <c r="B422" s="1222"/>
      <c r="C422" s="1222"/>
      <c r="D422" s="1222"/>
      <c r="E422" s="1222"/>
      <c r="F422" s="1222"/>
      <c r="G422" s="1222"/>
      <c r="H422" s="1241"/>
      <c r="I422" s="1241"/>
      <c r="J422" s="1241"/>
      <c r="K422" s="1241"/>
      <c r="L422" s="1222"/>
      <c r="M422" s="1222"/>
      <c r="N422" s="1222"/>
      <c r="O422" s="1222"/>
      <c r="P422" s="1241"/>
      <c r="Q422" s="1222"/>
      <c r="R422" s="1222"/>
      <c r="S422" s="1222"/>
      <c r="T422" s="1222"/>
      <c r="U422" s="1222"/>
      <c r="V422" s="1222"/>
      <c r="W422" s="1222"/>
      <c r="X422" s="1222"/>
      <c r="Y422" s="1222"/>
      <c r="Z422" s="1222"/>
      <c r="AA422" s="1222"/>
      <c r="AB422" s="1222"/>
      <c r="AC422" s="1222"/>
    </row>
    <row r="423" ht="15.75" customHeight="1">
      <c r="A423" s="1222"/>
      <c r="B423" s="1222"/>
      <c r="C423" s="1222"/>
      <c r="D423" s="1222"/>
      <c r="E423" s="1222"/>
      <c r="F423" s="1222"/>
      <c r="G423" s="1222"/>
      <c r="H423" s="1241"/>
      <c r="I423" s="1241"/>
      <c r="J423" s="1241"/>
      <c r="K423" s="1241"/>
      <c r="L423" s="1222"/>
      <c r="M423" s="1222"/>
      <c r="N423" s="1222"/>
      <c r="O423" s="1222"/>
      <c r="P423" s="1241"/>
      <c r="Q423" s="1222"/>
      <c r="R423" s="1222"/>
      <c r="S423" s="1222"/>
      <c r="T423" s="1222"/>
      <c r="U423" s="1222"/>
      <c r="V423" s="1222"/>
      <c r="W423" s="1222"/>
      <c r="X423" s="1222"/>
      <c r="Y423" s="1222"/>
      <c r="Z423" s="1222"/>
      <c r="AA423" s="1222"/>
      <c r="AB423" s="1222"/>
      <c r="AC423" s="1222"/>
    </row>
    <row r="424" ht="15.75" customHeight="1">
      <c r="A424" s="1222"/>
      <c r="B424" s="1222"/>
      <c r="C424" s="1222"/>
      <c r="D424" s="1222"/>
      <c r="E424" s="1222"/>
      <c r="F424" s="1222"/>
      <c r="G424" s="1222"/>
      <c r="H424" s="1241"/>
      <c r="I424" s="1241"/>
      <c r="J424" s="1241"/>
      <c r="K424" s="1241"/>
      <c r="L424" s="1222"/>
      <c r="M424" s="1222"/>
      <c r="N424" s="1222"/>
      <c r="O424" s="1222"/>
      <c r="P424" s="1241"/>
      <c r="Q424" s="1222"/>
      <c r="R424" s="1222"/>
      <c r="S424" s="1222"/>
      <c r="T424" s="1222"/>
      <c r="U424" s="1222"/>
      <c r="V424" s="1222"/>
      <c r="W424" s="1222"/>
      <c r="X424" s="1222"/>
      <c r="Y424" s="1222"/>
      <c r="Z424" s="1222"/>
      <c r="AA424" s="1222"/>
      <c r="AB424" s="1222"/>
      <c r="AC424" s="1222"/>
    </row>
    <row r="425" ht="15.75" customHeight="1">
      <c r="A425" s="1222"/>
      <c r="B425" s="1222"/>
      <c r="C425" s="1222"/>
      <c r="D425" s="1222"/>
      <c r="E425" s="1222"/>
      <c r="F425" s="1222"/>
      <c r="G425" s="1222"/>
      <c r="H425" s="1241"/>
      <c r="I425" s="1241"/>
      <c r="J425" s="1241"/>
      <c r="K425" s="1241"/>
      <c r="L425" s="1222"/>
      <c r="M425" s="1222"/>
      <c r="N425" s="1222"/>
      <c r="O425" s="1222"/>
      <c r="P425" s="1241"/>
      <c r="Q425" s="1222"/>
      <c r="R425" s="1222"/>
      <c r="S425" s="1222"/>
      <c r="T425" s="1222"/>
      <c r="U425" s="1222"/>
      <c r="V425" s="1222"/>
      <c r="W425" s="1222"/>
      <c r="X425" s="1222"/>
      <c r="Y425" s="1222"/>
      <c r="Z425" s="1222"/>
      <c r="AA425" s="1222"/>
      <c r="AB425" s="1222"/>
      <c r="AC425" s="1222"/>
    </row>
    <row r="426" ht="15.75" customHeight="1">
      <c r="A426" s="1222"/>
      <c r="B426" s="1222"/>
      <c r="C426" s="1222"/>
      <c r="D426" s="1222"/>
      <c r="E426" s="1222"/>
      <c r="F426" s="1222"/>
      <c r="G426" s="1222"/>
      <c r="H426" s="1241"/>
      <c r="I426" s="1241"/>
      <c r="J426" s="1241"/>
      <c r="K426" s="1241"/>
      <c r="L426" s="1222"/>
      <c r="M426" s="1222"/>
      <c r="N426" s="1222"/>
      <c r="O426" s="1222"/>
      <c r="P426" s="1241"/>
      <c r="Q426" s="1222"/>
      <c r="R426" s="1222"/>
      <c r="S426" s="1222"/>
      <c r="T426" s="1222"/>
      <c r="U426" s="1222"/>
      <c r="V426" s="1222"/>
      <c r="W426" s="1222"/>
      <c r="X426" s="1222"/>
      <c r="Y426" s="1222"/>
      <c r="Z426" s="1222"/>
      <c r="AA426" s="1222"/>
      <c r="AB426" s="1222"/>
      <c r="AC426" s="1222"/>
    </row>
    <row r="427" ht="15.75" customHeight="1">
      <c r="A427" s="1222"/>
      <c r="B427" s="1222"/>
      <c r="C427" s="1222"/>
      <c r="D427" s="1222"/>
      <c r="E427" s="1222"/>
      <c r="F427" s="1222"/>
      <c r="G427" s="1222"/>
      <c r="H427" s="1241"/>
      <c r="I427" s="1241"/>
      <c r="J427" s="1241"/>
      <c r="K427" s="1241"/>
      <c r="L427" s="1222"/>
      <c r="M427" s="1222"/>
      <c r="N427" s="1222"/>
      <c r="O427" s="1222"/>
      <c r="P427" s="1241"/>
      <c r="Q427" s="1222"/>
      <c r="R427" s="1222"/>
      <c r="S427" s="1222"/>
      <c r="T427" s="1222"/>
      <c r="U427" s="1222"/>
      <c r="V427" s="1222"/>
      <c r="W427" s="1222"/>
      <c r="X427" s="1222"/>
      <c r="Y427" s="1222"/>
      <c r="Z427" s="1222"/>
      <c r="AA427" s="1222"/>
      <c r="AB427" s="1222"/>
      <c r="AC427" s="1222"/>
    </row>
    <row r="428" ht="15.75" customHeight="1">
      <c r="A428" s="1222"/>
      <c r="B428" s="1222"/>
      <c r="C428" s="1222"/>
      <c r="D428" s="1222"/>
      <c r="E428" s="1222"/>
      <c r="F428" s="1222"/>
      <c r="G428" s="1222"/>
      <c r="H428" s="1241"/>
      <c r="I428" s="1241"/>
      <c r="J428" s="1241"/>
      <c r="K428" s="1241"/>
      <c r="L428" s="1222"/>
      <c r="M428" s="1222"/>
      <c r="N428" s="1222"/>
      <c r="O428" s="1222"/>
      <c r="P428" s="1241"/>
      <c r="Q428" s="1222"/>
      <c r="R428" s="1222"/>
      <c r="S428" s="1222"/>
      <c r="T428" s="1222"/>
      <c r="U428" s="1222"/>
      <c r="V428" s="1222"/>
      <c r="W428" s="1222"/>
      <c r="X428" s="1222"/>
      <c r="Y428" s="1222"/>
      <c r="Z428" s="1222"/>
      <c r="AA428" s="1222"/>
      <c r="AB428" s="1222"/>
      <c r="AC428" s="1222"/>
    </row>
    <row r="429" ht="15.75" customHeight="1">
      <c r="A429" s="1222"/>
      <c r="B429" s="1222"/>
      <c r="C429" s="1222"/>
      <c r="D429" s="1222"/>
      <c r="E429" s="1222"/>
      <c r="F429" s="1222"/>
      <c r="G429" s="1222"/>
      <c r="H429" s="1241"/>
      <c r="I429" s="1241"/>
      <c r="J429" s="1241"/>
      <c r="K429" s="1241"/>
      <c r="L429" s="1222"/>
      <c r="M429" s="1222"/>
      <c r="N429" s="1222"/>
      <c r="O429" s="1222"/>
      <c r="P429" s="1241"/>
      <c r="Q429" s="1222"/>
      <c r="R429" s="1222"/>
      <c r="S429" s="1222"/>
      <c r="T429" s="1222"/>
      <c r="U429" s="1222"/>
      <c r="V429" s="1222"/>
      <c r="W429" s="1222"/>
      <c r="X429" s="1222"/>
      <c r="Y429" s="1222"/>
      <c r="Z429" s="1222"/>
      <c r="AA429" s="1222"/>
      <c r="AB429" s="1222"/>
      <c r="AC429" s="1222"/>
    </row>
    <row r="430" ht="15.75" customHeight="1">
      <c r="A430" s="1222"/>
      <c r="B430" s="1222"/>
      <c r="C430" s="1222"/>
      <c r="D430" s="1222"/>
      <c r="E430" s="1222"/>
      <c r="F430" s="1222"/>
      <c r="G430" s="1222"/>
      <c r="H430" s="1241"/>
      <c r="I430" s="1241"/>
      <c r="J430" s="1241"/>
      <c r="K430" s="1241"/>
      <c r="L430" s="1222"/>
      <c r="M430" s="1222"/>
      <c r="N430" s="1222"/>
      <c r="O430" s="1222"/>
      <c r="P430" s="1241"/>
      <c r="Q430" s="1222"/>
      <c r="R430" s="1222"/>
      <c r="S430" s="1222"/>
      <c r="T430" s="1222"/>
      <c r="U430" s="1222"/>
      <c r="V430" s="1222"/>
      <c r="W430" s="1222"/>
      <c r="X430" s="1222"/>
      <c r="Y430" s="1222"/>
      <c r="Z430" s="1222"/>
      <c r="AA430" s="1222"/>
      <c r="AB430" s="1222"/>
      <c r="AC430" s="1222"/>
    </row>
    <row r="431" ht="15.75" customHeight="1">
      <c r="A431" s="1222"/>
      <c r="B431" s="1222"/>
      <c r="C431" s="1222"/>
      <c r="D431" s="1222"/>
      <c r="E431" s="1222"/>
      <c r="F431" s="1222"/>
      <c r="G431" s="1222"/>
      <c r="H431" s="1241"/>
      <c r="I431" s="1241"/>
      <c r="J431" s="1241"/>
      <c r="K431" s="1241"/>
      <c r="L431" s="1222"/>
      <c r="M431" s="1222"/>
      <c r="N431" s="1222"/>
      <c r="O431" s="1222"/>
      <c r="P431" s="1241"/>
      <c r="Q431" s="1222"/>
      <c r="R431" s="1222"/>
      <c r="S431" s="1222"/>
      <c r="T431" s="1222"/>
      <c r="U431" s="1222"/>
      <c r="V431" s="1222"/>
      <c r="W431" s="1222"/>
      <c r="X431" s="1222"/>
      <c r="Y431" s="1222"/>
      <c r="Z431" s="1222"/>
      <c r="AA431" s="1222"/>
      <c r="AB431" s="1222"/>
      <c r="AC431" s="1222"/>
    </row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D$1:$D$232">
    <filterColumn colId="0">
      <filters blank="1">
        <filter val="CARENS1/CARENS2 2000-07 FHC"/>
        <filter val="CAMRY4 2011-17 FHC"/>
        <filter val="SPLASH 2010- FHN"/>
        <filter val="AVANZA4/XENIA4/TA21 FHN"/>
        <filter val="TRITON2 2015-"/>
        <filter val="CONFERO 2016- FHC"/>
        <filter val="LC FJ70 1984 FHC"/>
        <filter val="FUTURA/SS 1991-2018 FH0"/>
        <filter val="AGYA/AYLA 2013-"/>
        <filter val="TRUCK FE300 1994"/>
        <filter val="HZJ78/79 2002-07 FHN"/>
        <filter val="INNOVA2 2015- FHN"/>
        <filter val="YARIS1 2005-13"/>
        <filter val="PATROL 1980  FHC0"/>
        <filter val="KIJANGKAPSUL 510T FHN"/>
        <filter val="INFINITY/MAXIMA 1996- FHG"/>
        <filter val="XTRAIL2T31 2007-13FHC"/>
        <filter val="SOLUNA 1997-03 FHN"/>
        <filter val="BALENO1 1995-01 FHG"/>
        <filter val="ALTIS 2000-06 FHG"/>
        <filter val="AVANZA1/XENIA1 2003-11/TA04"/>
        <filter val="LIVINA 2007-18"/>
        <filter val="APV 2004- FHN"/>
        <filter val="CRV3 ADA CAT RS FHN"/>
        <filter val="RANGER1 2002-11 FHN"/>
        <filter val="MIGHTY TRUCK FH0"/>
        <filter val="COROLLAGREAT 1988-94 FHC"/>
        <filter val="MINI SEDAN 1961-66 FHC0"/>
        <filter val="CIVICFERIO 1996-00 FHC"/>
        <filter val="QQ 2007- FHC"/>
        <filter val="TARUNA 1999-07 FHN"/>
        <filter val="KIJANGKAPSULEFI 2002-04 FHN"/>
        <filter val="ERTIGA1 2013-17"/>
        <filter val="GRANDMAX 2008- AR"/>
        <filter val="RANGER 2012- FHN"/>
        <filter val="JAZZ1 2001-07 FHN"/>
        <filter val="MIRAGE 2014- FHN"/>
        <filter val="GRANDCHEROOKE 1196- FHC"/>
        <filter val="CALYA/SIGRA 2016-"/>
        <filter val="MARCH 2011- FHN"/>
        <filter val="BRV 2015 FHN"/>
        <filter val="RIOUB 2012-17 FHN"/>
        <filter val="PAJEROSPORT1 2006-15 FHN"/>
        <filter val="CEDRIC 1987-04FHN"/>
        <filter val="W202 C180 FHC"/>
        <filter val="PAJEROSPORT1 2006-15"/>
        <filter val="TIMOR 1992- FHN"/>
        <filter val="APV 2004- AR"/>
        <filter val="CALYA/SIGRA 2016- FHN"/>
        <filter val="TROOPER 1990 FH0"/>
        <filter val="E46 FHG"/>
        <filter val="NAVARAD40 2005-2010 FHN"/>
        <filter val="FIESTA 2008- FHN"/>
        <filter val="LIVINA 2018-"/>
        <filter val="E34 1987-96 FHG"/>
        <filter val="LASER 323 1989-94 FHC"/>
        <filter val="ERTIGA2 2018- RDL/R"/>
        <filter val="HINO LOUHAN FH0"/>
        <filter val="KUDA 1998 FHC0"/>
        <filter val="AVANZA2/XENIA2/TA11 2011-20 AR"/>
        <filter val="JAZZ2 2008-12"/>
        <filter val="CAMRY4 2011-16 FHC"/>
        <filter val="F700/CANTER 2007- FH0"/>
        <filter val="L300 FHC"/>
        <filter val="SPIN 2012 FHN"/>
        <filter val="RIO TAXI 2000-05 FHN"/>
        <filter val="HINO-DYNA DUTRO 2004- FH0"/>
        <filter val="CITYZ 1996-02 FHG"/>
        <filter val="JIMNYKATANA 1986-91 FH0"/>
        <filter val="FUTURANEWCARRYNEW 2019- FHN"/>
        <filter val="CRESSIDA 1976-92 FHG"/>
        <filter val="W211 2002-09 FHG"/>
        <filter val="AVANZA2/XENIA2 2011-15/TA11"/>
        <filter val="LOUHAN FDL/R"/>
        <filter val="NEWCITY 2002-08 FHN"/>
        <filter val="KARIMUNWAGONR 2014- FHN"/>
        <filter val="ACCORDCIELO 1993-97 FHC"/>
        <filter val="YARIS 2006-12 FHN"/>
        <filter val="JAZZ3 2014- FHN"/>
        <filter val="CORONA AT19 1993-94 FHC"/>
        <filter val="VIOS1 2002-07 FHN"/>
        <filter val="RANGER/EVEREST 2002-06 FHN"/>
        <filter val="L300 1980- FH0"/>
        <filter val="TRUCK LOUHAN"/>
        <filter val="SIRION2 2011-18 FHN"/>
        <filter val="RIOTAXI 2000-05 FHN"/>
        <filter val="RUSH1/TERIOS1 2007-18 FHN"/>
        <filter val="FUTURANEW/CARRYNEW 2019-"/>
        <filter val="W202 1993- FHC"/>
        <filter val="LANCEREVO3 1993- FHG"/>
        <filter val="CRV4 2012-16 FHC"/>
        <filter val="D-MAX1 2003-14 FHN"/>
        <filter val="TRUCK FK40 FH0"/>
        <filter val="SERENA2/C24 FHN"/>
        <filter val="TYPE MOBIL"/>
        <filter val="XTRAIL1T30 2004-08 FHC"/>
        <filter val="E46 1997-06 FHG"/>
        <filter val="JIMNYKATANA FHG/C"/>
        <filter val="APV 2004-"/>
        <filter val="GRANDLIVINA FHN"/>
        <filter val="PANTHER1 1991-00 FH0"/>
        <filter val="AVANZA2/XENIA2/TA11 2011-20 SWL"/>
        <filter val="FOCUSPOLISI 2004-11 FHN"/>
        <filter val="AVANZA2/XENIA2/TA11 2011-20 SWR"/>
        <filter val="E87 2004-13 FHG"/>
        <filter val="JAZZ2 2008-13 FHN"/>
        <filter val="SERENA2C24 1999-12 FHN"/>
        <filter val="JAZZ1 2001-07"/>
        <filter val="XPANDER 2018- FHN"/>
        <filter val="CALYA/SIGRA 2016- FDL/R"/>
        <filter val="E36 1990 - 2000 FHG"/>
        <filter val="LIATA/LANTIS/FAMILIA FHN"/>
        <filter val="AVANZA3/XENIA3 2015-20/TA15"/>
        <filter val="BRIO1/BRIO2/MOBILIO 2014- FHN"/>
        <filter val="FUTURA 1991-18 FDL/R"/>
        <filter val="ALTIS1 2000-07 FHG"/>
        <filter val="KIJANGSUPER/GRAND K125 FHN"/>
        <filter val="INTERPLAY 1992-97 FHG"/>
        <filter val="SWIFT2 2011- FHN"/>
        <filter val="PAJEROSPORT2 2015- FHN"/>
        <filter val="RUSH2/TERIOS2 2018- AR"/>
        <filter val="E87 FHG"/>
        <filter val="FORTUNER2/HILUX3 2015- FHG"/>
        <filter val="ERTIGA2 2018- FDL/R"/>
        <filter val="FORTUNER1/HILUX2 2005-15 FHG"/>
        <filter val="A4 SEDAN 1994-01 FHG"/>
        <filter val="TRUCK FIGTHER/FK40"/>
        <filter val="ESTEEM 1989-90 FHG"/>
        <filter val="ERTIGA1 2013-17 FHN"/>
        <filter val="NAVARAD23 2015-FHC"/>
        <filter val="FUTURA/T120SS 1991-18"/>
        <filter val="COROLLAALLNEW 1996- FHC"/>
        <filter val="INNOVA2 2015-"/>
        <filter val="SENTRA/SUNNY 1991- FHC"/>
        <filter val="AGYA/AYLA 2013- AR"/>
        <filter val="LATIO 2015- FHC"/>
        <filter val="CIVICGRAND 4D 1987-91 FHG"/>
        <filter val="CHEROKEE 1994-96 FHC"/>
        <filter val="LC FJ40 FHC"/>
        <filter val="CARRY 1991-17 FDL/R"/>
        <filter val="CRV4 2013-17 FHN"/>
        <filter val="VIOS3 2013-"/>
        <filter val="AVANZA3/XENIA3/TA15 2015-20 FHN"/>
        <filter val="CEFIRO 1988-FHG"/>
        <filter val="PANTHER2 2000-FHN"/>
        <filter val="YARIS3 2018-"/>
        <filter val="ACCENT/EXCEL 1994-00 FHN"/>
        <filter val="AGYA/AYLA 2013- FHN"/>
        <filter val="FE300/RAGASA 1994 FH0"/>
        <filter val="AVANZA1/XENIA1/TA04 2003-11 FHN"/>
        <filter val="MX6 1987-92 COUPE/HB FHG"/>
        <filter val="KARIMUNWAGONR"/>
        <filter val="VIOS2 2007-13"/>
        <filter val="TRUCK FE700"/>
        <filter val="ELF/NKR 1993-17 FH0"/>
        <filter val="ERTIGA2 2018-"/>
        <filter val="XPANDER 2018-"/>
        <filter val="QQ FHC"/>
        <filter val="HRV 2015- FHC"/>
        <filter val="ATOZ FHN"/>
        <filter val="PAJEROSPORT2 2015-"/>
        <filter val="FORTUNER2/HILUX3 2015-"/>
        <filter val="JUKE 2010-19 FHN"/>
        <filter val="COROLLA KE70 1983-87/DX FHC0"/>
        <filter val="GETZ 2002-11 FHC"/>
        <filter val="ATOZ 1997-14 FHN"/>
        <filter val="VITARA/ESCUDOYA7 1988-98 FHN"/>
        <filter val="VIOS3 2013-/YARIS2 2013-/YARIS3 2018- FHN"/>
        <filter val="FRONTIERD22 1997-04 FHN"/>
        <filter val="W203 1997-FHC"/>
        <filter val="W123 1976-86 FHC"/>
        <filter val="NPR SERIES 1994 FHN"/>
        <filter val="GRANDMAX 2008 - FHN"/>
        <filter val="TRUCK DUTRO/ NEWDYNA2004-"/>
        <filter val="AVEOT250/BARINA 2005-11 FHN"/>
        <filter val="ERTIGA2 2018- FHN"/>
        <filter val="VIOS1 2002-07"/>
        <filter val="LC FJ70 1984- FHC0"/>
        <filter val="CERATO 2004-09 FHN"/>
        <filter val="YARIS2 2013-17"/>
        <filter val="TRAVELLO 2004- FHN"/>
        <filter val="RUSH1/TERIOS1 2006-17"/>
        <filter val="TELSTAR TX5 1990-92 FHC"/>
        <filter val="CRV3 2007 - 2011 FHC"/>
        <filter val="AVANZA4/XENIA4 2021-/TA21 NONRS"/>
        <filter val="CIVICGRAND 2D/NOUVA 1998-FHC"/>
        <filter val="UD QUESTER FHN"/>
        <filter val="GRANDMAX 2008-"/>
        <filter val="FORTUNER1/HILUX2 2005-15"/>
        <filter val="GRAND CHEROKEE 1996 FHC"/>
        <filter val="JAZZ3 2013-"/>
        <filter val="PICANTO1 2004-10 FHC"/>
        <filter val="ELFNEW/ELF NLR558 2017- FHN"/>
        <filter val="LIATA/LANTIS/FAMILIA 1995 FHN"/>
        <filter val="LC FJ40/45 1976-84 FHC0"/>
        <filter val="SPORTAGE1 1993-05 FHC"/>
        <filter val="W210 1995-03 RSFHC"/>
        <filter val="PANTHER1 1990- FHN"/>
        <filter val="TRITON 2006-15"/>
        <filter val="TERRANO 1986-95 FHC"/>
        <filter val="GRANDESCUDO 2001 FHN"/>
        <filter val="SIRION1 2007-11 FHN"/>
        <filter val="MOBILIO 2014-"/>
        <filter val="VERNA/AVEGA FHC"/>
        <filter val="AVANZA2/XENIA2/TA11 2011-15 FHN"/>
        <filter val="PICANTO2 2012-17 FHN"/>
        <filter val="AVEOT250/LOVA/KALOS FHN"/>
        <filter val="CALYA/SIGRA 2016- SWL/R"/>
        <filter val="CORONA AT17 1988 FHC"/>
        <filter val="VIOS2 2007-13 FHN"/>
        <filter val="FOCUS 2004-11 FHN"/>
        <filter val="TELSTAR 1992- FHC"/>
        <filter val="PREGIO 2004- FHN"/>
        <filter val="SPORTAGE2 2004-10 FHC"/>
        <filter val="VISTO 2001- FHG"/>
        <filter val="SOLUNA FHN"/>
        <filter val="TIPE &amp; PART"/>
        <filter val="INNOVA1 2005-14"/>
        <filter val="INNOVA1 2005-14 FHN"/>
        <filter val="COROLLATWINCAMKE92 1988 FHC"/>
        <filter val="CALYA/SIGRA 2016- AR"/>
      </filters>
    </filterColumn>
  </autoFilter>
  <mergeCells count="9">
    <mergeCell ref="B71:B72"/>
    <mergeCell ref="C71:C72"/>
    <mergeCell ref="A1:A43"/>
    <mergeCell ref="B1:B2"/>
    <mergeCell ref="C1:C2"/>
    <mergeCell ref="A45:A69"/>
    <mergeCell ref="B45:B46"/>
    <mergeCell ref="C45:C46"/>
    <mergeCell ref="A71:A231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8" max="8" width="54.86"/>
  </cols>
  <sheetData>
    <row r="1">
      <c r="A1" s="1338" t="s">
        <v>11921</v>
      </c>
      <c r="B1" s="1339" t="s">
        <v>11922</v>
      </c>
      <c r="C1" s="1340" t="s">
        <v>11923</v>
      </c>
      <c r="D1" s="1340" t="s">
        <v>11924</v>
      </c>
      <c r="E1" s="1340" t="s">
        <v>4</v>
      </c>
      <c r="F1" s="1340" t="s">
        <v>11925</v>
      </c>
      <c r="G1" s="1339" t="s">
        <v>11926</v>
      </c>
      <c r="H1" s="1340" t="s">
        <v>2</v>
      </c>
      <c r="I1" s="1340" t="s">
        <v>5</v>
      </c>
      <c r="J1" s="1340" t="s">
        <v>11927</v>
      </c>
      <c r="K1" s="1340" t="s">
        <v>11928</v>
      </c>
    </row>
    <row r="2">
      <c r="A2" s="1341" t="s">
        <v>11650</v>
      </c>
      <c r="B2" s="1342" t="s">
        <v>11650</v>
      </c>
      <c r="C2" s="1343"/>
      <c r="D2" s="1343"/>
      <c r="E2" s="1343"/>
      <c r="F2" s="1343"/>
      <c r="G2" s="1343"/>
      <c r="H2" s="1342" t="s">
        <v>11650</v>
      </c>
      <c r="I2" s="1343"/>
      <c r="J2" s="1343"/>
      <c r="K2" s="1343"/>
    </row>
    <row r="3">
      <c r="A3" s="1344" t="s">
        <v>5154</v>
      </c>
      <c r="B3" s="1345" t="s">
        <v>11929</v>
      </c>
      <c r="C3" s="1346" t="s">
        <v>5154</v>
      </c>
      <c r="D3" s="1346" t="s">
        <v>1324</v>
      </c>
      <c r="E3" s="1346" t="s">
        <v>11930</v>
      </c>
      <c r="F3" s="1346" t="s">
        <v>11931</v>
      </c>
      <c r="G3" s="1345" t="s">
        <v>60</v>
      </c>
      <c r="H3" s="1345" t="s">
        <v>1325</v>
      </c>
      <c r="I3" s="1345" t="s">
        <v>745</v>
      </c>
      <c r="J3" s="1347"/>
      <c r="K3" s="1348">
        <v>4681000.0</v>
      </c>
    </row>
    <row r="4">
      <c r="A4" s="1344" t="s">
        <v>5154</v>
      </c>
      <c r="B4" s="1345" t="s">
        <v>11932</v>
      </c>
      <c r="C4" s="1346" t="s">
        <v>5154</v>
      </c>
      <c r="D4" s="1346" t="s">
        <v>1326</v>
      </c>
      <c r="E4" s="1346" t="s">
        <v>11930</v>
      </c>
      <c r="F4" s="1346" t="s">
        <v>11931</v>
      </c>
      <c r="G4" s="1345" t="s">
        <v>60</v>
      </c>
      <c r="H4" s="1345" t="s">
        <v>1327</v>
      </c>
      <c r="I4" s="1349" t="s">
        <v>745</v>
      </c>
      <c r="J4" s="1350"/>
      <c r="K4" s="1348">
        <v>4681000.0</v>
      </c>
    </row>
    <row r="5">
      <c r="A5" s="1344" t="s">
        <v>5154</v>
      </c>
      <c r="B5" s="1345" t="s">
        <v>11933</v>
      </c>
      <c r="C5" s="1346" t="s">
        <v>5154</v>
      </c>
      <c r="D5" s="1346" t="s">
        <v>1328</v>
      </c>
      <c r="E5" s="1346" t="s">
        <v>11930</v>
      </c>
      <c r="F5" s="1346" t="s">
        <v>11931</v>
      </c>
      <c r="G5" s="1345" t="s">
        <v>60</v>
      </c>
      <c r="H5" s="1345" t="s">
        <v>1329</v>
      </c>
      <c r="I5" s="1349" t="s">
        <v>137</v>
      </c>
      <c r="J5" s="1350"/>
      <c r="K5" s="1348">
        <v>4681000.0</v>
      </c>
    </row>
    <row r="6">
      <c r="A6" s="1344" t="s">
        <v>5154</v>
      </c>
      <c r="B6" s="1345" t="s">
        <v>11934</v>
      </c>
      <c r="C6" s="1346" t="s">
        <v>5154</v>
      </c>
      <c r="D6" s="1346" t="s">
        <v>1330</v>
      </c>
      <c r="E6" s="1346" t="s">
        <v>11930</v>
      </c>
      <c r="F6" s="1351" t="s">
        <v>11931</v>
      </c>
      <c r="G6" s="1345" t="s">
        <v>60</v>
      </c>
      <c r="H6" s="1345" t="s">
        <v>11935</v>
      </c>
      <c r="I6" s="1349" t="s">
        <v>314</v>
      </c>
      <c r="J6" s="1350"/>
      <c r="K6" s="1348">
        <v>4681000.0</v>
      </c>
    </row>
    <row r="7">
      <c r="A7" s="1352" t="s">
        <v>5154</v>
      </c>
      <c r="B7" s="1345" t="s">
        <v>11936</v>
      </c>
      <c r="C7" s="1346" t="s">
        <v>5154</v>
      </c>
      <c r="D7" s="1346" t="s">
        <v>2441</v>
      </c>
      <c r="E7" s="1346" t="s">
        <v>11930</v>
      </c>
      <c r="F7" s="1346" t="s">
        <v>11931</v>
      </c>
      <c r="G7" s="1349" t="s">
        <v>60</v>
      </c>
      <c r="H7" s="1345" t="s">
        <v>11937</v>
      </c>
      <c r="I7" s="1349" t="s">
        <v>124</v>
      </c>
      <c r="J7" s="1350"/>
      <c r="K7" s="1348">
        <v>4681000.0</v>
      </c>
    </row>
    <row r="8">
      <c r="A8" s="1344" t="s">
        <v>11938</v>
      </c>
      <c r="B8" s="1345" t="s">
        <v>11939</v>
      </c>
      <c r="C8" s="1346" t="s">
        <v>5154</v>
      </c>
      <c r="D8" s="1346" t="s">
        <v>1763</v>
      </c>
      <c r="E8" s="1346" t="s">
        <v>11940</v>
      </c>
      <c r="F8" s="1346" t="s">
        <v>11931</v>
      </c>
      <c r="G8" s="1345" t="s">
        <v>60</v>
      </c>
      <c r="H8" s="1349" t="s">
        <v>11941</v>
      </c>
      <c r="I8" s="1349" t="s">
        <v>124</v>
      </c>
      <c r="J8" s="1350"/>
      <c r="K8" s="1348">
        <v>4681000.0</v>
      </c>
    </row>
    <row r="9">
      <c r="A9" s="1344" t="s">
        <v>11942</v>
      </c>
      <c r="B9" s="1345" t="s">
        <v>5154</v>
      </c>
      <c r="C9" s="1346" t="s">
        <v>5154</v>
      </c>
      <c r="D9" s="1346" t="s">
        <v>125</v>
      </c>
      <c r="E9" s="1346" t="s">
        <v>11943</v>
      </c>
      <c r="F9" s="1346" t="s">
        <v>11944</v>
      </c>
      <c r="G9" s="1345" t="s">
        <v>62</v>
      </c>
      <c r="H9" s="1345" t="s">
        <v>122</v>
      </c>
      <c r="I9" s="1349" t="s">
        <v>1509</v>
      </c>
      <c r="J9" s="1350"/>
      <c r="K9" s="1348">
        <v>3373000.0</v>
      </c>
    </row>
    <row r="10">
      <c r="A10" s="1344" t="s">
        <v>5154</v>
      </c>
      <c r="B10" s="1345" t="s">
        <v>11945</v>
      </c>
      <c r="C10" s="1346" t="s">
        <v>5154</v>
      </c>
      <c r="D10" s="1346" t="s">
        <v>1332</v>
      </c>
      <c r="E10" s="1346" t="s">
        <v>11930</v>
      </c>
      <c r="F10" s="1346" t="s">
        <v>11931</v>
      </c>
      <c r="G10" s="1345" t="s">
        <v>60</v>
      </c>
      <c r="H10" s="1345" t="s">
        <v>1333</v>
      </c>
      <c r="I10" s="1349" t="s">
        <v>196</v>
      </c>
      <c r="J10" s="1350"/>
      <c r="K10" s="1348">
        <v>6282000.0</v>
      </c>
    </row>
    <row r="11">
      <c r="A11" s="1344" t="s">
        <v>5154</v>
      </c>
      <c r="B11" s="1345" t="s">
        <v>11946</v>
      </c>
      <c r="C11" s="1346" t="s">
        <v>5154</v>
      </c>
      <c r="D11" s="1351" t="s">
        <v>11947</v>
      </c>
      <c r="E11" s="1346" t="s">
        <v>11930</v>
      </c>
      <c r="F11" s="1346" t="s">
        <v>11944</v>
      </c>
      <c r="G11" s="1349" t="s">
        <v>62</v>
      </c>
      <c r="H11" s="1345" t="s">
        <v>1333</v>
      </c>
      <c r="I11" s="1349" t="s">
        <v>1442</v>
      </c>
      <c r="J11" s="1350"/>
      <c r="K11" s="1348">
        <v>3300000.0</v>
      </c>
    </row>
    <row r="12">
      <c r="A12" s="1344" t="s">
        <v>11948</v>
      </c>
      <c r="B12" s="1345" t="s">
        <v>11949</v>
      </c>
      <c r="C12" s="1346" t="s">
        <v>5154</v>
      </c>
      <c r="D12" s="1346" t="s">
        <v>127</v>
      </c>
      <c r="E12" s="1346" t="s">
        <v>11940</v>
      </c>
      <c r="F12" s="1346" t="s">
        <v>11931</v>
      </c>
      <c r="G12" s="1345" t="s">
        <v>60</v>
      </c>
      <c r="H12" s="1345" t="s">
        <v>128</v>
      </c>
      <c r="I12" s="1349" t="s">
        <v>124</v>
      </c>
      <c r="J12" s="1350"/>
      <c r="K12" s="1348">
        <v>6282000.0</v>
      </c>
    </row>
    <row r="13">
      <c r="A13" s="1344" t="s">
        <v>11950</v>
      </c>
      <c r="B13" s="1345" t="s">
        <v>5154</v>
      </c>
      <c r="C13" s="1346" t="s">
        <v>5154</v>
      </c>
      <c r="D13" s="1346" t="s">
        <v>129</v>
      </c>
      <c r="E13" s="1346" t="s">
        <v>11943</v>
      </c>
      <c r="F13" s="1346" t="s">
        <v>11944</v>
      </c>
      <c r="G13" s="1345" t="s">
        <v>62</v>
      </c>
      <c r="H13" s="1345" t="s">
        <v>128</v>
      </c>
      <c r="I13" s="1349" t="s">
        <v>11951</v>
      </c>
      <c r="J13" s="1350"/>
      <c r="K13" s="1348">
        <v>3373000.0</v>
      </c>
    </row>
    <row r="14">
      <c r="A14" s="1344" t="s">
        <v>5154</v>
      </c>
      <c r="B14" s="1345" t="s">
        <v>11952</v>
      </c>
      <c r="C14" s="1346" t="s">
        <v>5154</v>
      </c>
      <c r="D14" s="1346" t="s">
        <v>2644</v>
      </c>
      <c r="E14" s="1346" t="s">
        <v>11930</v>
      </c>
      <c r="F14" s="1351" t="s">
        <v>11931</v>
      </c>
      <c r="G14" s="1349" t="s">
        <v>60</v>
      </c>
      <c r="H14" s="1345" t="s">
        <v>11953</v>
      </c>
      <c r="I14" s="1349" t="s">
        <v>124</v>
      </c>
      <c r="J14" s="1350"/>
      <c r="K14" s="1348">
        <v>4681000.0</v>
      </c>
    </row>
    <row r="15">
      <c r="A15" s="1344" t="s">
        <v>5154</v>
      </c>
      <c r="B15" s="1345" t="s">
        <v>11954</v>
      </c>
      <c r="C15" s="1346" t="s">
        <v>5154</v>
      </c>
      <c r="D15" s="1346" t="s">
        <v>1334</v>
      </c>
      <c r="E15" s="1346" t="s">
        <v>11930</v>
      </c>
      <c r="F15" s="1346" t="s">
        <v>11931</v>
      </c>
      <c r="G15" s="1345" t="s">
        <v>60</v>
      </c>
      <c r="H15" s="1345" t="s">
        <v>1335</v>
      </c>
      <c r="I15" s="1349" t="s">
        <v>124</v>
      </c>
      <c r="J15" s="1350"/>
      <c r="K15" s="1348">
        <v>5543000.0</v>
      </c>
    </row>
    <row r="16">
      <c r="A16" s="1344" t="s">
        <v>5154</v>
      </c>
      <c r="B16" s="1345" t="s">
        <v>11955</v>
      </c>
      <c r="C16" s="1346" t="s">
        <v>5154</v>
      </c>
      <c r="D16" s="1346" t="s">
        <v>1336</v>
      </c>
      <c r="E16" s="1346" t="s">
        <v>11930</v>
      </c>
      <c r="F16" s="1346" t="s">
        <v>11944</v>
      </c>
      <c r="G16" s="1345" t="s">
        <v>62</v>
      </c>
      <c r="H16" s="1345" t="s">
        <v>1337</v>
      </c>
      <c r="I16" s="1349" t="s">
        <v>1442</v>
      </c>
      <c r="J16" s="1350"/>
      <c r="K16" s="1348">
        <v>5886000.0</v>
      </c>
    </row>
    <row r="17">
      <c r="A17" s="1344" t="s">
        <v>5154</v>
      </c>
      <c r="B17" s="1345" t="s">
        <v>11956</v>
      </c>
      <c r="C17" s="1346" t="s">
        <v>5154</v>
      </c>
      <c r="D17" s="1346" t="s">
        <v>1338</v>
      </c>
      <c r="E17" s="1346" t="s">
        <v>11930</v>
      </c>
      <c r="F17" s="1346" t="s">
        <v>11931</v>
      </c>
      <c r="G17" s="1345" t="s">
        <v>60</v>
      </c>
      <c r="H17" s="1345" t="s">
        <v>1339</v>
      </c>
      <c r="I17" s="1349" t="s">
        <v>124</v>
      </c>
      <c r="J17" s="1350"/>
      <c r="K17" s="1348">
        <v>9853000.0</v>
      </c>
    </row>
    <row r="18">
      <c r="A18" s="1344" t="s">
        <v>5154</v>
      </c>
      <c r="B18" s="1345" t="s">
        <v>11957</v>
      </c>
      <c r="C18" s="1346" t="s">
        <v>5154</v>
      </c>
      <c r="D18" s="1346" t="s">
        <v>1340</v>
      </c>
      <c r="E18" s="1346" t="s">
        <v>11930</v>
      </c>
      <c r="F18" s="1346" t="s">
        <v>11931</v>
      </c>
      <c r="G18" s="1345" t="s">
        <v>60</v>
      </c>
      <c r="H18" s="1345" t="s">
        <v>11958</v>
      </c>
      <c r="I18" s="1345" t="s">
        <v>124</v>
      </c>
      <c r="J18" s="1347"/>
      <c r="K18" s="1348">
        <v>9853000.0</v>
      </c>
    </row>
    <row r="19">
      <c r="A19" s="1341" t="s">
        <v>11579</v>
      </c>
      <c r="B19" s="1342" t="s">
        <v>11579</v>
      </c>
      <c r="C19" s="1343"/>
      <c r="D19" s="1343"/>
      <c r="E19" s="1343"/>
      <c r="F19" s="1343"/>
      <c r="G19" s="1343"/>
      <c r="H19" s="1342" t="s">
        <v>11579</v>
      </c>
      <c r="I19" s="1343"/>
      <c r="J19" s="1343"/>
      <c r="K19" s="1343"/>
    </row>
    <row r="20">
      <c r="A20" s="1344" t="s">
        <v>11959</v>
      </c>
      <c r="B20" s="1345" t="s">
        <v>11960</v>
      </c>
      <c r="C20" s="1346" t="s">
        <v>5154</v>
      </c>
      <c r="D20" s="1346" t="s">
        <v>131</v>
      </c>
      <c r="E20" s="1346" t="s">
        <v>11940</v>
      </c>
      <c r="F20" s="1346" t="s">
        <v>11931</v>
      </c>
      <c r="G20" s="1345" t="s">
        <v>60</v>
      </c>
      <c r="H20" s="1345" t="s">
        <v>132</v>
      </c>
      <c r="I20" s="1350"/>
      <c r="J20" s="1350"/>
      <c r="K20" s="1348">
        <v>1457000.0</v>
      </c>
    </row>
    <row r="21">
      <c r="A21" s="1344" t="s">
        <v>11961</v>
      </c>
      <c r="B21" s="1345" t="s">
        <v>5154</v>
      </c>
      <c r="C21" s="1346" t="s">
        <v>5154</v>
      </c>
      <c r="D21" s="1346" t="s">
        <v>133</v>
      </c>
      <c r="E21" s="1346" t="s">
        <v>11943</v>
      </c>
      <c r="F21" s="1346" t="s">
        <v>11944</v>
      </c>
      <c r="G21" s="1345" t="s">
        <v>62</v>
      </c>
      <c r="H21" s="1345" t="s">
        <v>132</v>
      </c>
      <c r="I21" s="1349" t="s">
        <v>11962</v>
      </c>
      <c r="J21" s="1350"/>
      <c r="K21" s="1348">
        <v>1500000.0</v>
      </c>
    </row>
    <row r="22">
      <c r="A22" s="1344" t="s">
        <v>11963</v>
      </c>
      <c r="B22" s="1345" t="s">
        <v>11964</v>
      </c>
      <c r="C22" s="1346" t="s">
        <v>5154</v>
      </c>
      <c r="D22" s="1346" t="s">
        <v>135</v>
      </c>
      <c r="E22" s="1346" t="s">
        <v>11940</v>
      </c>
      <c r="F22" s="1346" t="s">
        <v>11931</v>
      </c>
      <c r="G22" s="1345" t="s">
        <v>60</v>
      </c>
      <c r="H22" s="1345" t="s">
        <v>136</v>
      </c>
      <c r="I22" s="1349" t="s">
        <v>137</v>
      </c>
      <c r="J22" s="1350"/>
      <c r="K22" s="1348">
        <v>1514000.0</v>
      </c>
    </row>
    <row r="23">
      <c r="A23" s="1344" t="s">
        <v>11965</v>
      </c>
      <c r="B23" s="1345" t="s">
        <v>11966</v>
      </c>
      <c r="C23" s="1346" t="s">
        <v>5154</v>
      </c>
      <c r="D23" s="1346" t="s">
        <v>138</v>
      </c>
      <c r="E23" s="1346" t="s">
        <v>11940</v>
      </c>
      <c r="F23" s="1346" t="s">
        <v>11944</v>
      </c>
      <c r="G23" s="1345" t="s">
        <v>62</v>
      </c>
      <c r="H23" s="1345" t="s">
        <v>136</v>
      </c>
      <c r="I23" s="1349" t="s">
        <v>1442</v>
      </c>
      <c r="J23" s="1350"/>
      <c r="K23" s="1348">
        <v>2083000.0</v>
      </c>
    </row>
    <row r="24">
      <c r="A24" s="1344" t="s">
        <v>11967</v>
      </c>
      <c r="B24" s="1345" t="s">
        <v>11968</v>
      </c>
      <c r="C24" s="1346" t="s">
        <v>5154</v>
      </c>
      <c r="D24" s="1346" t="s">
        <v>139</v>
      </c>
      <c r="E24" s="1346" t="s">
        <v>11940</v>
      </c>
      <c r="F24" s="1346" t="s">
        <v>11969</v>
      </c>
      <c r="G24" s="1345" t="s">
        <v>140</v>
      </c>
      <c r="H24" s="1345" t="s">
        <v>136</v>
      </c>
      <c r="I24" s="1350"/>
      <c r="J24" s="1350"/>
      <c r="K24" s="1348">
        <v>725000.0</v>
      </c>
    </row>
    <row r="25">
      <c r="A25" s="1344" t="s">
        <v>11970</v>
      </c>
      <c r="B25" s="1345" t="s">
        <v>11971</v>
      </c>
      <c r="C25" s="1346" t="s">
        <v>5154</v>
      </c>
      <c r="D25" s="1346" t="s">
        <v>141</v>
      </c>
      <c r="E25" s="1346" t="s">
        <v>11940</v>
      </c>
      <c r="F25" s="1346" t="s">
        <v>11969</v>
      </c>
      <c r="G25" s="1345" t="s">
        <v>142</v>
      </c>
      <c r="H25" s="1345" t="s">
        <v>136</v>
      </c>
      <c r="I25" s="1350"/>
      <c r="J25" s="1350"/>
      <c r="K25" s="1348">
        <v>725000.0</v>
      </c>
    </row>
    <row r="26">
      <c r="A26" s="1344" t="s">
        <v>11972</v>
      </c>
      <c r="B26" s="1345" t="s">
        <v>5154</v>
      </c>
      <c r="C26" s="1346" t="s">
        <v>5154</v>
      </c>
      <c r="D26" s="1346" t="s">
        <v>143</v>
      </c>
      <c r="E26" s="1346" t="s">
        <v>11943</v>
      </c>
      <c r="F26" s="1346" t="s">
        <v>11969</v>
      </c>
      <c r="G26" s="1345" t="s">
        <v>144</v>
      </c>
      <c r="H26" s="1345" t="s">
        <v>136</v>
      </c>
      <c r="I26" s="1350"/>
      <c r="J26" s="1350"/>
      <c r="K26" s="1348">
        <v>644000.0</v>
      </c>
    </row>
    <row r="27">
      <c r="A27" s="1344" t="s">
        <v>11973</v>
      </c>
      <c r="B27" s="1345" t="s">
        <v>5154</v>
      </c>
      <c r="C27" s="1346" t="s">
        <v>5154</v>
      </c>
      <c r="D27" s="1346" t="s">
        <v>145</v>
      </c>
      <c r="E27" s="1346" t="s">
        <v>11943</v>
      </c>
      <c r="F27" s="1346" t="s">
        <v>11969</v>
      </c>
      <c r="G27" s="1345" t="s">
        <v>146</v>
      </c>
      <c r="H27" s="1345" t="s">
        <v>136</v>
      </c>
      <c r="I27" s="1350"/>
      <c r="J27" s="1350"/>
      <c r="K27" s="1348">
        <v>644000.0</v>
      </c>
    </row>
    <row r="28">
      <c r="A28" s="1344" t="s">
        <v>11974</v>
      </c>
      <c r="B28" s="1345" t="s">
        <v>5154</v>
      </c>
      <c r="C28" s="1346" t="s">
        <v>5154</v>
      </c>
      <c r="D28" s="1346" t="s">
        <v>147</v>
      </c>
      <c r="E28" s="1346" t="s">
        <v>11943</v>
      </c>
      <c r="F28" s="1346" t="s">
        <v>11931</v>
      </c>
      <c r="G28" s="1345" t="s">
        <v>60</v>
      </c>
      <c r="H28" s="1345" t="s">
        <v>148</v>
      </c>
      <c r="I28" s="1349" t="s">
        <v>90</v>
      </c>
      <c r="J28" s="1350"/>
      <c r="K28" s="1348">
        <v>2241000.0</v>
      </c>
    </row>
    <row r="29">
      <c r="A29" s="1344" t="s">
        <v>11975</v>
      </c>
      <c r="B29" s="1345" t="s">
        <v>11976</v>
      </c>
      <c r="C29" s="1346" t="s">
        <v>5154</v>
      </c>
      <c r="D29" s="1346" t="s">
        <v>149</v>
      </c>
      <c r="E29" s="1346" t="s">
        <v>11940</v>
      </c>
      <c r="F29" s="1346" t="s">
        <v>11931</v>
      </c>
      <c r="G29" s="1345" t="s">
        <v>60</v>
      </c>
      <c r="H29" s="1345" t="s">
        <v>148</v>
      </c>
      <c r="I29" s="1349" t="s">
        <v>137</v>
      </c>
      <c r="J29" s="1350"/>
      <c r="K29" s="1348">
        <v>1805000.0</v>
      </c>
    </row>
    <row r="30">
      <c r="A30" s="1344" t="s">
        <v>11977</v>
      </c>
      <c r="B30" s="1345" t="s">
        <v>5154</v>
      </c>
      <c r="C30" s="1346" t="s">
        <v>5154</v>
      </c>
      <c r="D30" s="1346" t="s">
        <v>150</v>
      </c>
      <c r="E30" s="1346" t="s">
        <v>11943</v>
      </c>
      <c r="F30" s="1346" t="s">
        <v>11944</v>
      </c>
      <c r="G30" s="1345" t="s">
        <v>62</v>
      </c>
      <c r="H30" s="1345" t="s">
        <v>148</v>
      </c>
      <c r="I30" s="1349" t="s">
        <v>1442</v>
      </c>
      <c r="J30" s="1350"/>
      <c r="K30" s="1348">
        <v>2142000.0</v>
      </c>
    </row>
    <row r="31">
      <c r="A31" s="1344" t="s">
        <v>11978</v>
      </c>
      <c r="B31" s="1345" t="s">
        <v>5154</v>
      </c>
      <c r="C31" s="1346" t="s">
        <v>5154</v>
      </c>
      <c r="D31" s="1346" t="s">
        <v>151</v>
      </c>
      <c r="E31" s="1346" t="s">
        <v>11943</v>
      </c>
      <c r="F31" s="1346" t="s">
        <v>11969</v>
      </c>
      <c r="G31" s="1345" t="s">
        <v>140</v>
      </c>
      <c r="H31" s="1345" t="s">
        <v>148</v>
      </c>
      <c r="I31" s="1349" t="s">
        <v>152</v>
      </c>
      <c r="J31" s="1350"/>
      <c r="K31" s="1348">
        <v>725000.0</v>
      </c>
    </row>
    <row r="32">
      <c r="A32" s="1344" t="s">
        <v>11979</v>
      </c>
      <c r="B32" s="1345" t="s">
        <v>5154</v>
      </c>
      <c r="C32" s="1346" t="s">
        <v>5154</v>
      </c>
      <c r="D32" s="1346" t="s">
        <v>153</v>
      </c>
      <c r="E32" s="1346" t="s">
        <v>11943</v>
      </c>
      <c r="F32" s="1346" t="s">
        <v>11969</v>
      </c>
      <c r="G32" s="1345" t="s">
        <v>142</v>
      </c>
      <c r="H32" s="1345" t="s">
        <v>148</v>
      </c>
      <c r="I32" s="1349" t="s">
        <v>152</v>
      </c>
      <c r="J32" s="1350"/>
      <c r="K32" s="1348">
        <v>725000.0</v>
      </c>
    </row>
    <row r="33">
      <c r="A33" s="1344" t="s">
        <v>11980</v>
      </c>
      <c r="B33" s="1345" t="s">
        <v>5154</v>
      </c>
      <c r="C33" s="1346" t="s">
        <v>5154</v>
      </c>
      <c r="D33" s="1346" t="s">
        <v>154</v>
      </c>
      <c r="E33" s="1346" t="s">
        <v>11943</v>
      </c>
      <c r="F33" s="1346" t="s">
        <v>11969</v>
      </c>
      <c r="G33" s="1345" t="s">
        <v>144</v>
      </c>
      <c r="H33" s="1345" t="s">
        <v>148</v>
      </c>
      <c r="I33" s="1349" t="s">
        <v>155</v>
      </c>
      <c r="J33" s="1350"/>
      <c r="K33" s="1348">
        <v>644000.0</v>
      </c>
    </row>
    <row r="34">
      <c r="A34" s="1344" t="s">
        <v>11981</v>
      </c>
      <c r="B34" s="1345" t="s">
        <v>5154</v>
      </c>
      <c r="C34" s="1346" t="s">
        <v>5154</v>
      </c>
      <c r="D34" s="1346" t="s">
        <v>156</v>
      </c>
      <c r="E34" s="1346" t="s">
        <v>11943</v>
      </c>
      <c r="F34" s="1346" t="s">
        <v>11969</v>
      </c>
      <c r="G34" s="1345" t="s">
        <v>146</v>
      </c>
      <c r="H34" s="1345" t="s">
        <v>148</v>
      </c>
      <c r="I34" s="1349" t="s">
        <v>155</v>
      </c>
      <c r="J34" s="1350"/>
      <c r="K34" s="1348">
        <v>644000.0</v>
      </c>
    </row>
    <row r="35">
      <c r="A35" s="1344" t="s">
        <v>11982</v>
      </c>
      <c r="B35" s="1345" t="s">
        <v>11983</v>
      </c>
      <c r="C35" s="1346" t="s">
        <v>5154</v>
      </c>
      <c r="D35" s="1346" t="s">
        <v>157</v>
      </c>
      <c r="E35" s="1346" t="s">
        <v>11940</v>
      </c>
      <c r="F35" s="1346" t="s">
        <v>11931</v>
      </c>
      <c r="G35" s="1345" t="s">
        <v>60</v>
      </c>
      <c r="H35" s="1345" t="s">
        <v>11984</v>
      </c>
      <c r="I35" s="1349" t="s">
        <v>137</v>
      </c>
      <c r="J35" s="1350"/>
      <c r="K35" s="1348">
        <v>5880000.0</v>
      </c>
    </row>
    <row r="36">
      <c r="A36" s="1344" t="s">
        <v>11985</v>
      </c>
      <c r="B36" s="1345" t="s">
        <v>11986</v>
      </c>
      <c r="C36" s="1346" t="s">
        <v>5154</v>
      </c>
      <c r="D36" s="1346" t="s">
        <v>159</v>
      </c>
      <c r="E36" s="1346" t="s">
        <v>11940</v>
      </c>
      <c r="F36" s="1346" t="s">
        <v>11931</v>
      </c>
      <c r="G36" s="1345" t="s">
        <v>60</v>
      </c>
      <c r="H36" s="1345" t="s">
        <v>11987</v>
      </c>
      <c r="I36" s="1349" t="s">
        <v>90</v>
      </c>
      <c r="J36" s="1350"/>
      <c r="K36" s="1348">
        <v>2576000.0</v>
      </c>
    </row>
    <row r="37">
      <c r="A37" s="1344" t="s">
        <v>11988</v>
      </c>
      <c r="B37" s="1345" t="s">
        <v>11989</v>
      </c>
      <c r="C37" s="1346" t="s">
        <v>5154</v>
      </c>
      <c r="D37" s="1346" t="s">
        <v>161</v>
      </c>
      <c r="E37" s="1346" t="s">
        <v>11940</v>
      </c>
      <c r="F37" s="1346" t="s">
        <v>11931</v>
      </c>
      <c r="G37" s="1345" t="s">
        <v>60</v>
      </c>
      <c r="H37" s="1345" t="s">
        <v>160</v>
      </c>
      <c r="I37" s="1349" t="s">
        <v>137</v>
      </c>
      <c r="J37" s="1350"/>
      <c r="K37" s="1348">
        <v>2544000.0</v>
      </c>
    </row>
    <row r="38">
      <c r="A38" s="1344" t="s">
        <v>11990</v>
      </c>
      <c r="B38" s="1345" t="s">
        <v>5154</v>
      </c>
      <c r="C38" s="1346" t="s">
        <v>5154</v>
      </c>
      <c r="D38" s="1346" t="s">
        <v>162</v>
      </c>
      <c r="E38" s="1346" t="s">
        <v>11943</v>
      </c>
      <c r="F38" s="1346" t="s">
        <v>11944</v>
      </c>
      <c r="G38" s="1345" t="s">
        <v>62</v>
      </c>
      <c r="H38" s="1345" t="s">
        <v>160</v>
      </c>
      <c r="I38" s="1349" t="s">
        <v>1442</v>
      </c>
      <c r="J38" s="1350"/>
      <c r="K38" s="1348">
        <v>2507000.0</v>
      </c>
    </row>
    <row r="39">
      <c r="A39" s="1344" t="s">
        <v>11991</v>
      </c>
      <c r="B39" s="1345" t="s">
        <v>5154</v>
      </c>
      <c r="C39" s="1346" t="s">
        <v>5154</v>
      </c>
      <c r="D39" s="1346" t="s">
        <v>163</v>
      </c>
      <c r="E39" s="1346" t="s">
        <v>11943</v>
      </c>
      <c r="F39" s="1346" t="s">
        <v>11969</v>
      </c>
      <c r="G39" s="1345" t="s">
        <v>140</v>
      </c>
      <c r="H39" s="1345" t="s">
        <v>160</v>
      </c>
      <c r="I39" s="1349" t="s">
        <v>152</v>
      </c>
      <c r="J39" s="1350"/>
      <c r="K39" s="1348">
        <v>804000.0</v>
      </c>
    </row>
    <row r="40">
      <c r="A40" s="1344" t="s">
        <v>11992</v>
      </c>
      <c r="B40" s="1345" t="s">
        <v>5154</v>
      </c>
      <c r="C40" s="1346" t="s">
        <v>5154</v>
      </c>
      <c r="D40" s="1346" t="s">
        <v>164</v>
      </c>
      <c r="E40" s="1346" t="s">
        <v>11943</v>
      </c>
      <c r="F40" s="1346" t="s">
        <v>11969</v>
      </c>
      <c r="G40" s="1345" t="s">
        <v>142</v>
      </c>
      <c r="H40" s="1345" t="s">
        <v>160</v>
      </c>
      <c r="I40" s="1349" t="s">
        <v>152</v>
      </c>
      <c r="J40" s="1350"/>
      <c r="K40" s="1348">
        <v>804000.0</v>
      </c>
    </row>
    <row r="41">
      <c r="A41" s="1344" t="s">
        <v>11993</v>
      </c>
      <c r="B41" s="1345" t="s">
        <v>5154</v>
      </c>
      <c r="C41" s="1346" t="s">
        <v>5154</v>
      </c>
      <c r="D41" s="1346" t="s">
        <v>165</v>
      </c>
      <c r="E41" s="1346" t="s">
        <v>11943</v>
      </c>
      <c r="F41" s="1346" t="s">
        <v>11969</v>
      </c>
      <c r="G41" s="1345" t="s">
        <v>144</v>
      </c>
      <c r="H41" s="1345" t="s">
        <v>160</v>
      </c>
      <c r="I41" s="1349" t="s">
        <v>155</v>
      </c>
      <c r="J41" s="1350"/>
      <c r="K41" s="1348">
        <v>804000.0</v>
      </c>
    </row>
    <row r="42">
      <c r="A42" s="1344" t="s">
        <v>11994</v>
      </c>
      <c r="B42" s="1345" t="s">
        <v>5154</v>
      </c>
      <c r="C42" s="1346" t="s">
        <v>5154</v>
      </c>
      <c r="D42" s="1346" t="s">
        <v>166</v>
      </c>
      <c r="E42" s="1346" t="s">
        <v>11943</v>
      </c>
      <c r="F42" s="1346" t="s">
        <v>11969</v>
      </c>
      <c r="G42" s="1345" t="s">
        <v>146</v>
      </c>
      <c r="H42" s="1345" t="s">
        <v>160</v>
      </c>
      <c r="I42" s="1349" t="s">
        <v>155</v>
      </c>
      <c r="J42" s="1350"/>
      <c r="K42" s="1348">
        <v>804000.0</v>
      </c>
    </row>
    <row r="43">
      <c r="A43" s="1344" t="s">
        <v>5154</v>
      </c>
      <c r="B43" s="1345" t="s">
        <v>11995</v>
      </c>
      <c r="C43" s="1346" t="s">
        <v>5154</v>
      </c>
      <c r="D43" s="1346" t="s">
        <v>1345</v>
      </c>
      <c r="E43" s="1346" t="s">
        <v>11930</v>
      </c>
      <c r="F43" s="1346" t="s">
        <v>11944</v>
      </c>
      <c r="G43" s="1345" t="s">
        <v>62</v>
      </c>
      <c r="H43" s="1345" t="s">
        <v>1346</v>
      </c>
      <c r="I43" s="1349" t="s">
        <v>1509</v>
      </c>
      <c r="J43" s="1350"/>
      <c r="K43" s="1348">
        <v>2570000.0</v>
      </c>
    </row>
    <row r="44">
      <c r="A44" s="1344" t="s">
        <v>11996</v>
      </c>
      <c r="B44" s="1345" t="s">
        <v>11997</v>
      </c>
      <c r="C44" s="1346" t="s">
        <v>5154</v>
      </c>
      <c r="D44" s="1346" t="s">
        <v>167</v>
      </c>
      <c r="E44" s="1346" t="s">
        <v>11940</v>
      </c>
      <c r="F44" s="1346" t="s">
        <v>11931</v>
      </c>
      <c r="G44" s="1345" t="s">
        <v>60</v>
      </c>
      <c r="H44" s="1345" t="s">
        <v>168</v>
      </c>
      <c r="I44" s="1349" t="s">
        <v>124</v>
      </c>
      <c r="J44" s="1350"/>
      <c r="K44" s="1348">
        <v>4202000.0</v>
      </c>
    </row>
    <row r="45">
      <c r="A45" s="1344" t="s">
        <v>11998</v>
      </c>
      <c r="B45" s="1345" t="s">
        <v>5154</v>
      </c>
      <c r="C45" s="1346" t="s">
        <v>5154</v>
      </c>
      <c r="D45" s="1346" t="s">
        <v>169</v>
      </c>
      <c r="E45" s="1346" t="s">
        <v>11943</v>
      </c>
      <c r="F45" s="1346" t="s">
        <v>11944</v>
      </c>
      <c r="G45" s="1345" t="s">
        <v>62</v>
      </c>
      <c r="H45" s="1345" t="s">
        <v>168</v>
      </c>
      <c r="I45" s="1349" t="s">
        <v>1442</v>
      </c>
      <c r="J45" s="1350"/>
      <c r="K45" s="1348">
        <v>2453000.0</v>
      </c>
    </row>
    <row r="46">
      <c r="A46" s="1344" t="s">
        <v>11999</v>
      </c>
      <c r="B46" s="1345" t="s">
        <v>12000</v>
      </c>
      <c r="C46" s="1346" t="s">
        <v>5154</v>
      </c>
      <c r="D46" s="1346" t="s">
        <v>170</v>
      </c>
      <c r="E46" s="1346" t="s">
        <v>11940</v>
      </c>
      <c r="F46" s="1346" t="s">
        <v>11969</v>
      </c>
      <c r="G46" s="1345" t="s">
        <v>140</v>
      </c>
      <c r="H46" s="1345" t="s">
        <v>168</v>
      </c>
      <c r="I46" s="1349" t="s">
        <v>152</v>
      </c>
      <c r="J46" s="1350"/>
      <c r="K46" s="1348">
        <v>804000.0</v>
      </c>
    </row>
    <row r="47">
      <c r="A47" s="1344" t="s">
        <v>12001</v>
      </c>
      <c r="B47" s="1345" t="s">
        <v>5154</v>
      </c>
      <c r="C47" s="1346" t="s">
        <v>5154</v>
      </c>
      <c r="D47" s="1346" t="s">
        <v>171</v>
      </c>
      <c r="E47" s="1346" t="s">
        <v>11943</v>
      </c>
      <c r="F47" s="1346" t="s">
        <v>11969</v>
      </c>
      <c r="G47" s="1345" t="s">
        <v>142</v>
      </c>
      <c r="H47" s="1345" t="s">
        <v>168</v>
      </c>
      <c r="I47" s="1349" t="s">
        <v>152</v>
      </c>
      <c r="J47" s="1350"/>
      <c r="K47" s="1348">
        <v>804000.0</v>
      </c>
    </row>
    <row r="48">
      <c r="A48" s="1344" t="s">
        <v>12002</v>
      </c>
      <c r="B48" s="1345" t="s">
        <v>5154</v>
      </c>
      <c r="C48" s="1346" t="s">
        <v>5154</v>
      </c>
      <c r="D48" s="1346" t="s">
        <v>172</v>
      </c>
      <c r="E48" s="1346" t="s">
        <v>11943</v>
      </c>
      <c r="F48" s="1346" t="s">
        <v>11969</v>
      </c>
      <c r="G48" s="1345" t="s">
        <v>144</v>
      </c>
      <c r="H48" s="1345" t="s">
        <v>168</v>
      </c>
      <c r="I48" s="1349" t="s">
        <v>155</v>
      </c>
      <c r="J48" s="1350"/>
      <c r="K48" s="1348">
        <v>725000.0</v>
      </c>
    </row>
    <row r="49">
      <c r="A49" s="1344" t="s">
        <v>12003</v>
      </c>
      <c r="B49" s="1345" t="s">
        <v>5154</v>
      </c>
      <c r="C49" s="1346" t="s">
        <v>5154</v>
      </c>
      <c r="D49" s="1346" t="s">
        <v>173</v>
      </c>
      <c r="E49" s="1346" t="s">
        <v>11943</v>
      </c>
      <c r="F49" s="1346" t="s">
        <v>11969</v>
      </c>
      <c r="G49" s="1345" t="s">
        <v>146</v>
      </c>
      <c r="H49" s="1345" t="s">
        <v>168</v>
      </c>
      <c r="I49" s="1349" t="s">
        <v>155</v>
      </c>
      <c r="J49" s="1350"/>
      <c r="K49" s="1348">
        <v>725000.0</v>
      </c>
    </row>
    <row r="50">
      <c r="A50" s="1344" t="s">
        <v>5154</v>
      </c>
      <c r="B50" s="1345" t="s">
        <v>12004</v>
      </c>
      <c r="C50" s="1346" t="s">
        <v>5154</v>
      </c>
      <c r="D50" s="1346" t="s">
        <v>1349</v>
      </c>
      <c r="E50" s="1346" t="s">
        <v>11930</v>
      </c>
      <c r="F50" s="1346" t="s">
        <v>11931</v>
      </c>
      <c r="G50" s="1345" t="s">
        <v>60</v>
      </c>
      <c r="H50" s="1345" t="s">
        <v>1350</v>
      </c>
      <c r="I50" s="1349" t="s">
        <v>137</v>
      </c>
      <c r="J50" s="1350"/>
      <c r="K50" s="1348">
        <v>1848000.0</v>
      </c>
    </row>
    <row r="51">
      <c r="A51" s="1344" t="s">
        <v>12005</v>
      </c>
      <c r="B51" s="1345" t="s">
        <v>5154</v>
      </c>
      <c r="C51" s="1346" t="s">
        <v>5154</v>
      </c>
      <c r="D51" s="1346" t="s">
        <v>174</v>
      </c>
      <c r="E51" s="1346" t="s">
        <v>11943</v>
      </c>
      <c r="F51" s="1346" t="s">
        <v>11931</v>
      </c>
      <c r="G51" s="1345" t="s">
        <v>60</v>
      </c>
      <c r="H51" s="1345" t="s">
        <v>175</v>
      </c>
      <c r="I51" s="1349" t="s">
        <v>90</v>
      </c>
      <c r="J51" s="1350"/>
      <c r="K51" s="1348">
        <v>2641000.0</v>
      </c>
    </row>
    <row r="52">
      <c r="A52" s="1344" t="s">
        <v>12006</v>
      </c>
      <c r="B52" s="1345" t="s">
        <v>12007</v>
      </c>
      <c r="C52" s="1346" t="s">
        <v>5154</v>
      </c>
      <c r="D52" s="1346" t="s">
        <v>176</v>
      </c>
      <c r="E52" s="1346" t="s">
        <v>11943</v>
      </c>
      <c r="F52" s="1346" t="s">
        <v>11931</v>
      </c>
      <c r="G52" s="1345" t="s">
        <v>60</v>
      </c>
      <c r="H52" s="1345" t="s">
        <v>177</v>
      </c>
      <c r="I52" s="1349" t="s">
        <v>90</v>
      </c>
      <c r="J52" s="1350"/>
      <c r="K52" s="1348">
        <v>3132000.0</v>
      </c>
    </row>
    <row r="53">
      <c r="A53" s="1344" t="s">
        <v>12008</v>
      </c>
      <c r="B53" s="1345" t="s">
        <v>12009</v>
      </c>
      <c r="C53" s="1346" t="s">
        <v>5154</v>
      </c>
      <c r="D53" s="1346" t="s">
        <v>178</v>
      </c>
      <c r="E53" s="1346" t="s">
        <v>11940</v>
      </c>
      <c r="F53" s="1346" t="s">
        <v>11944</v>
      </c>
      <c r="G53" s="1345" t="s">
        <v>62</v>
      </c>
      <c r="H53" s="1345" t="s">
        <v>179</v>
      </c>
      <c r="I53" s="1349" t="s">
        <v>1442</v>
      </c>
      <c r="J53" s="1350"/>
      <c r="K53" s="1348">
        <v>2892000.0</v>
      </c>
    </row>
    <row r="54">
      <c r="A54" s="1344" t="s">
        <v>12010</v>
      </c>
      <c r="B54" s="1345" t="s">
        <v>5154</v>
      </c>
      <c r="C54" s="1346" t="s">
        <v>5154</v>
      </c>
      <c r="D54" s="1346" t="s">
        <v>180</v>
      </c>
      <c r="E54" s="1346" t="s">
        <v>11943</v>
      </c>
      <c r="F54" s="1346" t="s">
        <v>11969</v>
      </c>
      <c r="G54" s="1345" t="s">
        <v>140</v>
      </c>
      <c r="H54" s="1345" t="s">
        <v>179</v>
      </c>
      <c r="I54" s="1350"/>
      <c r="J54" s="1350"/>
      <c r="K54" s="1348">
        <v>804000.0</v>
      </c>
    </row>
    <row r="55">
      <c r="A55" s="1344" t="s">
        <v>12011</v>
      </c>
      <c r="B55" s="1345" t="s">
        <v>5154</v>
      </c>
      <c r="C55" s="1346" t="s">
        <v>5154</v>
      </c>
      <c r="D55" s="1346" t="s">
        <v>181</v>
      </c>
      <c r="E55" s="1346" t="s">
        <v>11943</v>
      </c>
      <c r="F55" s="1346" t="s">
        <v>11969</v>
      </c>
      <c r="G55" s="1345" t="s">
        <v>142</v>
      </c>
      <c r="H55" s="1345" t="s">
        <v>179</v>
      </c>
      <c r="I55" s="1350"/>
      <c r="J55" s="1350"/>
      <c r="K55" s="1348">
        <v>804000.0</v>
      </c>
    </row>
    <row r="56">
      <c r="A56" s="1344" t="s">
        <v>12012</v>
      </c>
      <c r="B56" s="1345" t="s">
        <v>5154</v>
      </c>
      <c r="C56" s="1346" t="s">
        <v>5154</v>
      </c>
      <c r="D56" s="1346" t="s">
        <v>182</v>
      </c>
      <c r="E56" s="1346" t="s">
        <v>11943</v>
      </c>
      <c r="F56" s="1346" t="s">
        <v>11969</v>
      </c>
      <c r="G56" s="1345" t="s">
        <v>144</v>
      </c>
      <c r="H56" s="1345" t="s">
        <v>179</v>
      </c>
      <c r="I56" s="1349" t="s">
        <v>155</v>
      </c>
      <c r="J56" s="1350"/>
      <c r="K56" s="1348">
        <v>725000.0</v>
      </c>
    </row>
    <row r="57">
      <c r="A57" s="1344" t="s">
        <v>12013</v>
      </c>
      <c r="B57" s="1345" t="s">
        <v>5154</v>
      </c>
      <c r="C57" s="1346" t="s">
        <v>5154</v>
      </c>
      <c r="D57" s="1346" t="s">
        <v>183</v>
      </c>
      <c r="E57" s="1346" t="s">
        <v>11943</v>
      </c>
      <c r="F57" s="1346" t="s">
        <v>11969</v>
      </c>
      <c r="G57" s="1345" t="s">
        <v>146</v>
      </c>
      <c r="H57" s="1345" t="s">
        <v>179</v>
      </c>
      <c r="I57" s="1349" t="s">
        <v>155</v>
      </c>
      <c r="J57" s="1350"/>
      <c r="K57" s="1348">
        <v>725000.0</v>
      </c>
    </row>
    <row r="58">
      <c r="A58" s="1344" t="s">
        <v>12014</v>
      </c>
      <c r="B58" s="1345" t="s">
        <v>12015</v>
      </c>
      <c r="C58" s="1346" t="s">
        <v>5154</v>
      </c>
      <c r="D58" s="1346" t="s">
        <v>184</v>
      </c>
      <c r="E58" s="1346" t="s">
        <v>11940</v>
      </c>
      <c r="F58" s="1346" t="s">
        <v>11931</v>
      </c>
      <c r="G58" s="1345" t="s">
        <v>60</v>
      </c>
      <c r="H58" s="1345" t="s">
        <v>185</v>
      </c>
      <c r="I58" s="1349" t="s">
        <v>90</v>
      </c>
      <c r="J58" s="1350"/>
      <c r="K58" s="1348">
        <v>3865000.0</v>
      </c>
    </row>
    <row r="59">
      <c r="A59" s="1344" t="s">
        <v>5154</v>
      </c>
      <c r="B59" s="1345" t="s">
        <v>12016</v>
      </c>
      <c r="C59" s="1346" t="s">
        <v>5154</v>
      </c>
      <c r="D59" s="1346" t="s">
        <v>1351</v>
      </c>
      <c r="E59" s="1346" t="s">
        <v>11930</v>
      </c>
      <c r="F59" s="1346" t="s">
        <v>11931</v>
      </c>
      <c r="G59" s="1345" t="s">
        <v>60</v>
      </c>
      <c r="H59" s="1345" t="s">
        <v>1352</v>
      </c>
      <c r="I59" s="1345" t="s">
        <v>314</v>
      </c>
      <c r="J59" s="1347"/>
      <c r="K59" s="1348">
        <v>3865000.0</v>
      </c>
    </row>
    <row r="60">
      <c r="A60" s="1344" t="s">
        <v>5154</v>
      </c>
      <c r="B60" s="1345" t="s">
        <v>12017</v>
      </c>
      <c r="C60" s="1346" t="s">
        <v>5154</v>
      </c>
      <c r="D60" s="1346" t="s">
        <v>1353</v>
      </c>
      <c r="E60" s="1346" t="s">
        <v>11930</v>
      </c>
      <c r="F60" s="1346" t="s">
        <v>11944</v>
      </c>
      <c r="G60" s="1345" t="s">
        <v>62</v>
      </c>
      <c r="H60" s="1345" t="s">
        <v>187</v>
      </c>
      <c r="I60" s="1349" t="s">
        <v>1442</v>
      </c>
      <c r="J60" s="1350"/>
      <c r="K60" s="1348">
        <v>2916000.0</v>
      </c>
    </row>
    <row r="61">
      <c r="A61" s="1344" t="s">
        <v>12018</v>
      </c>
      <c r="B61" s="1345" t="s">
        <v>5154</v>
      </c>
      <c r="C61" s="1346" t="s">
        <v>5154</v>
      </c>
      <c r="D61" s="1346" t="s">
        <v>186</v>
      </c>
      <c r="E61" s="1346" t="s">
        <v>11943</v>
      </c>
      <c r="F61" s="1346" t="s">
        <v>11969</v>
      </c>
      <c r="G61" s="1345" t="s">
        <v>140</v>
      </c>
      <c r="H61" s="1345" t="s">
        <v>187</v>
      </c>
      <c r="I61" s="1349" t="s">
        <v>152</v>
      </c>
      <c r="J61" s="1350"/>
      <c r="K61" s="1348">
        <v>884000.0</v>
      </c>
    </row>
    <row r="62">
      <c r="A62" s="1344" t="s">
        <v>12019</v>
      </c>
      <c r="B62" s="1345" t="s">
        <v>5154</v>
      </c>
      <c r="C62" s="1346" t="s">
        <v>5154</v>
      </c>
      <c r="D62" s="1346" t="s">
        <v>12020</v>
      </c>
      <c r="E62" s="1346" t="s">
        <v>11943</v>
      </c>
      <c r="F62" s="1346" t="s">
        <v>11969</v>
      </c>
      <c r="G62" s="1345" t="s">
        <v>142</v>
      </c>
      <c r="H62" s="1345" t="s">
        <v>187</v>
      </c>
      <c r="I62" s="1349" t="s">
        <v>152</v>
      </c>
      <c r="J62" s="1350"/>
      <c r="K62" s="1348">
        <v>884000.0</v>
      </c>
    </row>
    <row r="63">
      <c r="A63" s="1344" t="s">
        <v>12021</v>
      </c>
      <c r="B63" s="1345" t="s">
        <v>5154</v>
      </c>
      <c r="C63" s="1346" t="s">
        <v>5154</v>
      </c>
      <c r="D63" s="1346" t="s">
        <v>188</v>
      </c>
      <c r="E63" s="1346" t="s">
        <v>11943</v>
      </c>
      <c r="F63" s="1346" t="s">
        <v>11969</v>
      </c>
      <c r="G63" s="1345" t="s">
        <v>144</v>
      </c>
      <c r="H63" s="1345" t="s">
        <v>187</v>
      </c>
      <c r="I63" s="1349" t="s">
        <v>155</v>
      </c>
      <c r="J63" s="1350"/>
      <c r="K63" s="1348">
        <v>804000.0</v>
      </c>
    </row>
    <row r="64">
      <c r="A64" s="1344" t="s">
        <v>12022</v>
      </c>
      <c r="B64" s="1345" t="s">
        <v>5154</v>
      </c>
      <c r="C64" s="1346" t="s">
        <v>5154</v>
      </c>
      <c r="D64" s="1346" t="s">
        <v>189</v>
      </c>
      <c r="E64" s="1346" t="s">
        <v>11943</v>
      </c>
      <c r="F64" s="1346" t="s">
        <v>11969</v>
      </c>
      <c r="G64" s="1345" t="s">
        <v>146</v>
      </c>
      <c r="H64" s="1345" t="s">
        <v>187</v>
      </c>
      <c r="I64" s="1349" t="s">
        <v>155</v>
      </c>
      <c r="J64" s="1350"/>
      <c r="K64" s="1348">
        <v>804000.0</v>
      </c>
    </row>
    <row r="65">
      <c r="A65" s="1344" t="s">
        <v>5154</v>
      </c>
      <c r="B65" s="1345" t="s">
        <v>12023</v>
      </c>
      <c r="C65" s="1346" t="s">
        <v>5154</v>
      </c>
      <c r="D65" s="1346" t="s">
        <v>1354</v>
      </c>
      <c r="E65" s="1346" t="s">
        <v>11930</v>
      </c>
      <c r="F65" s="1346" t="s">
        <v>11931</v>
      </c>
      <c r="G65" s="1345" t="s">
        <v>60</v>
      </c>
      <c r="H65" s="1345" t="s">
        <v>1355</v>
      </c>
      <c r="I65" s="1349" t="s">
        <v>314</v>
      </c>
      <c r="J65" s="1350"/>
      <c r="K65" s="1348">
        <v>8005000.0</v>
      </c>
    </row>
    <row r="66">
      <c r="A66" s="1344" t="s">
        <v>12024</v>
      </c>
      <c r="B66" s="1345" t="s">
        <v>12025</v>
      </c>
      <c r="C66" s="1346" t="s">
        <v>5154</v>
      </c>
      <c r="D66" s="1346" t="s">
        <v>190</v>
      </c>
      <c r="E66" s="1346" t="s">
        <v>11940</v>
      </c>
      <c r="F66" s="1346" t="s">
        <v>11931</v>
      </c>
      <c r="G66" s="1345" t="s">
        <v>60</v>
      </c>
      <c r="H66" s="1345" t="s">
        <v>191</v>
      </c>
      <c r="I66" s="1349" t="s">
        <v>90</v>
      </c>
      <c r="J66" s="1350"/>
      <c r="K66" s="1348">
        <v>3948000.0</v>
      </c>
    </row>
    <row r="67">
      <c r="A67" s="1344" t="s">
        <v>12026</v>
      </c>
      <c r="B67" s="1345" t="s">
        <v>12027</v>
      </c>
      <c r="C67" s="1346" t="s">
        <v>5154</v>
      </c>
      <c r="D67" s="1346" t="s">
        <v>192</v>
      </c>
      <c r="E67" s="1346" t="s">
        <v>11943</v>
      </c>
      <c r="F67" s="1346" t="s">
        <v>11944</v>
      </c>
      <c r="G67" s="1345" t="s">
        <v>62</v>
      </c>
      <c r="H67" s="1345" t="s">
        <v>193</v>
      </c>
      <c r="I67" s="1349" t="s">
        <v>1442</v>
      </c>
      <c r="J67" s="1350"/>
      <c r="K67" s="1348">
        <v>2892000.0</v>
      </c>
    </row>
    <row r="68">
      <c r="A68" s="1344" t="s">
        <v>12028</v>
      </c>
      <c r="B68" s="1345" t="s">
        <v>12029</v>
      </c>
      <c r="C68" s="1346" t="s">
        <v>5154</v>
      </c>
      <c r="D68" s="1346" t="s">
        <v>194</v>
      </c>
      <c r="E68" s="1346" t="s">
        <v>11940</v>
      </c>
      <c r="F68" s="1346" t="s">
        <v>11931</v>
      </c>
      <c r="G68" s="1345" t="s">
        <v>60</v>
      </c>
      <c r="H68" s="1345" t="s">
        <v>12030</v>
      </c>
      <c r="I68" s="1349" t="s">
        <v>196</v>
      </c>
      <c r="J68" s="1350"/>
      <c r="K68" s="1348">
        <v>3695000.0</v>
      </c>
    </row>
    <row r="69">
      <c r="A69" s="1344" t="s">
        <v>5154</v>
      </c>
      <c r="B69" s="1345" t="s">
        <v>12031</v>
      </c>
      <c r="C69" s="1346" t="s">
        <v>5154</v>
      </c>
      <c r="D69" s="1346" t="s">
        <v>12032</v>
      </c>
      <c r="E69" s="1346" t="s">
        <v>11930</v>
      </c>
      <c r="F69" s="1351" t="s">
        <v>11944</v>
      </c>
      <c r="G69" s="1349" t="s">
        <v>62</v>
      </c>
      <c r="H69" s="1345" t="s">
        <v>12033</v>
      </c>
      <c r="I69" s="1349" t="s">
        <v>1437</v>
      </c>
      <c r="J69" s="1350"/>
      <c r="K69" s="1348">
        <v>3800000.0</v>
      </c>
    </row>
    <row r="70">
      <c r="A70" s="1344" t="s">
        <v>5154</v>
      </c>
      <c r="B70" s="1345" t="s">
        <v>12034</v>
      </c>
      <c r="C70" s="1346" t="s">
        <v>5154</v>
      </c>
      <c r="D70" s="1346" t="s">
        <v>1360</v>
      </c>
      <c r="E70" s="1346" t="s">
        <v>11930</v>
      </c>
      <c r="F70" s="1346" t="s">
        <v>11931</v>
      </c>
      <c r="G70" s="1345" t="s">
        <v>60</v>
      </c>
      <c r="H70" s="1345" t="s">
        <v>1361</v>
      </c>
      <c r="I70" s="1349" t="s">
        <v>124</v>
      </c>
      <c r="J70" s="1350"/>
      <c r="K70" s="1348">
        <v>6159000.0</v>
      </c>
    </row>
    <row r="71">
      <c r="A71" s="1344" t="s">
        <v>5154</v>
      </c>
      <c r="B71" s="1345" t="s">
        <v>12035</v>
      </c>
      <c r="C71" s="1346" t="s">
        <v>5154</v>
      </c>
      <c r="D71" s="1351" t="s">
        <v>12036</v>
      </c>
      <c r="E71" s="1346" t="s">
        <v>11930</v>
      </c>
      <c r="F71" s="1351" t="s">
        <v>11944</v>
      </c>
      <c r="G71" s="1345" t="s">
        <v>62</v>
      </c>
      <c r="H71" s="1345" t="s">
        <v>12037</v>
      </c>
      <c r="I71" s="1349" t="s">
        <v>1442</v>
      </c>
      <c r="J71" s="1350"/>
      <c r="K71" s="1348">
        <v>4200000.0</v>
      </c>
    </row>
    <row r="72">
      <c r="A72" s="1344" t="s">
        <v>12038</v>
      </c>
      <c r="B72" s="1345" t="s">
        <v>12039</v>
      </c>
      <c r="C72" s="1346" t="s">
        <v>5154</v>
      </c>
      <c r="D72" s="1346" t="s">
        <v>197</v>
      </c>
      <c r="E72" s="1346" t="s">
        <v>11940</v>
      </c>
      <c r="F72" s="1346" t="s">
        <v>11931</v>
      </c>
      <c r="G72" s="1345" t="s">
        <v>60</v>
      </c>
      <c r="H72" s="1345" t="s">
        <v>198</v>
      </c>
      <c r="I72" s="1349" t="s">
        <v>90</v>
      </c>
      <c r="J72" s="1350"/>
      <c r="K72" s="1348">
        <v>4202000.0</v>
      </c>
    </row>
    <row r="73">
      <c r="A73" s="1344" t="s">
        <v>12040</v>
      </c>
      <c r="B73" s="1345" t="s">
        <v>12041</v>
      </c>
      <c r="C73" s="1346" t="s">
        <v>5154</v>
      </c>
      <c r="D73" s="1346" t="s">
        <v>199</v>
      </c>
      <c r="E73" s="1346" t="s">
        <v>11940</v>
      </c>
      <c r="F73" s="1346" t="s">
        <v>11944</v>
      </c>
      <c r="G73" s="1345" t="s">
        <v>62</v>
      </c>
      <c r="H73" s="1345" t="s">
        <v>200</v>
      </c>
      <c r="I73" s="1349" t="s">
        <v>12042</v>
      </c>
      <c r="J73" s="1350"/>
      <c r="K73" s="1348">
        <v>4282000.0</v>
      </c>
    </row>
    <row r="74">
      <c r="A74" s="1344" t="s">
        <v>12043</v>
      </c>
      <c r="B74" s="1345" t="s">
        <v>12044</v>
      </c>
      <c r="C74" s="1346" t="s">
        <v>5154</v>
      </c>
      <c r="D74" s="1346" t="s">
        <v>202</v>
      </c>
      <c r="E74" s="1346" t="s">
        <v>11943</v>
      </c>
      <c r="F74" s="1346" t="s">
        <v>11931</v>
      </c>
      <c r="G74" s="1345" t="s">
        <v>60</v>
      </c>
      <c r="H74" s="1345" t="s">
        <v>203</v>
      </c>
      <c r="I74" s="1349" t="s">
        <v>90</v>
      </c>
      <c r="J74" s="1350"/>
      <c r="K74" s="1348">
        <v>4535000.0</v>
      </c>
    </row>
    <row r="75">
      <c r="A75" s="1344" t="s">
        <v>12045</v>
      </c>
      <c r="B75" s="1345" t="s">
        <v>12046</v>
      </c>
      <c r="C75" s="1346" t="s">
        <v>5154</v>
      </c>
      <c r="D75" s="1346" t="s">
        <v>204</v>
      </c>
      <c r="E75" s="1346" t="s">
        <v>11940</v>
      </c>
      <c r="F75" s="1346" t="s">
        <v>11944</v>
      </c>
      <c r="G75" s="1345" t="s">
        <v>62</v>
      </c>
      <c r="H75" s="1345" t="s">
        <v>205</v>
      </c>
      <c r="I75" s="1349" t="s">
        <v>12047</v>
      </c>
      <c r="J75" s="1350"/>
      <c r="K75" s="1348">
        <v>3532000.0</v>
      </c>
    </row>
    <row r="76">
      <c r="A76" s="1344" t="s">
        <v>12048</v>
      </c>
      <c r="B76" s="1345" t="s">
        <v>5154</v>
      </c>
      <c r="C76" s="1346" t="s">
        <v>5154</v>
      </c>
      <c r="D76" s="1346" t="s">
        <v>207</v>
      </c>
      <c r="E76" s="1346" t="s">
        <v>11943</v>
      </c>
      <c r="F76" s="1346" t="s">
        <v>11969</v>
      </c>
      <c r="G76" s="1345" t="s">
        <v>144</v>
      </c>
      <c r="H76" s="1345" t="s">
        <v>205</v>
      </c>
      <c r="I76" s="1349" t="s">
        <v>155</v>
      </c>
      <c r="J76" s="1350"/>
      <c r="K76" s="1348">
        <v>966000.0</v>
      </c>
    </row>
    <row r="77">
      <c r="A77" s="1344" t="s">
        <v>12049</v>
      </c>
      <c r="B77" s="1345" t="s">
        <v>5154</v>
      </c>
      <c r="C77" s="1346" t="s">
        <v>5154</v>
      </c>
      <c r="D77" s="1346" t="s">
        <v>208</v>
      </c>
      <c r="E77" s="1346" t="s">
        <v>11943</v>
      </c>
      <c r="F77" s="1346" t="s">
        <v>11969</v>
      </c>
      <c r="G77" s="1345" t="s">
        <v>209</v>
      </c>
      <c r="H77" s="1345" t="s">
        <v>205</v>
      </c>
      <c r="I77" s="1349" t="s">
        <v>109</v>
      </c>
      <c r="J77" s="1350"/>
      <c r="K77" s="1348">
        <v>725000.0</v>
      </c>
    </row>
    <row r="78">
      <c r="A78" s="1344" t="s">
        <v>12050</v>
      </c>
      <c r="B78" s="1345" t="s">
        <v>12051</v>
      </c>
      <c r="C78" s="1346" t="s">
        <v>5154</v>
      </c>
      <c r="D78" s="1346" t="s">
        <v>210</v>
      </c>
      <c r="E78" s="1346" t="s">
        <v>11943</v>
      </c>
      <c r="F78" s="1346" t="s">
        <v>11931</v>
      </c>
      <c r="G78" s="1345" t="s">
        <v>60</v>
      </c>
      <c r="H78" s="1345" t="s">
        <v>211</v>
      </c>
      <c r="I78" s="1349" t="s">
        <v>196</v>
      </c>
      <c r="J78" s="1350"/>
      <c r="K78" s="1348">
        <v>4202000.0</v>
      </c>
    </row>
    <row r="79">
      <c r="A79" s="1344" t="s">
        <v>12052</v>
      </c>
      <c r="B79" s="1345" t="s">
        <v>5154</v>
      </c>
      <c r="C79" s="1346" t="s">
        <v>5154</v>
      </c>
      <c r="D79" s="1346" t="s">
        <v>212</v>
      </c>
      <c r="E79" s="1346" t="s">
        <v>11943</v>
      </c>
      <c r="F79" s="1346" t="s">
        <v>11969</v>
      </c>
      <c r="G79" s="1345" t="s">
        <v>144</v>
      </c>
      <c r="H79" s="1345" t="s">
        <v>211</v>
      </c>
      <c r="I79" s="1349" t="s">
        <v>155</v>
      </c>
      <c r="J79" s="1350"/>
      <c r="K79" s="1348">
        <v>884000.0</v>
      </c>
    </row>
    <row r="80">
      <c r="A80" s="1344" t="s">
        <v>12053</v>
      </c>
      <c r="B80" s="1345" t="s">
        <v>5154</v>
      </c>
      <c r="C80" s="1346" t="s">
        <v>5154</v>
      </c>
      <c r="D80" s="1346" t="s">
        <v>213</v>
      </c>
      <c r="E80" s="1346" t="s">
        <v>11943</v>
      </c>
      <c r="F80" s="1346" t="s">
        <v>11969</v>
      </c>
      <c r="G80" s="1345" t="s">
        <v>146</v>
      </c>
      <c r="H80" s="1345" t="s">
        <v>211</v>
      </c>
      <c r="I80" s="1349" t="s">
        <v>155</v>
      </c>
      <c r="J80" s="1350"/>
      <c r="K80" s="1348">
        <v>884000.0</v>
      </c>
    </row>
    <row r="81">
      <c r="A81" s="1344" t="s">
        <v>5154</v>
      </c>
      <c r="B81" s="1345" t="s">
        <v>12054</v>
      </c>
      <c r="C81" s="1346" t="s">
        <v>5154</v>
      </c>
      <c r="D81" s="1346" t="s">
        <v>1364</v>
      </c>
      <c r="E81" s="1346" t="s">
        <v>11930</v>
      </c>
      <c r="F81" s="1346" t="s">
        <v>11931</v>
      </c>
      <c r="G81" s="1345" t="s">
        <v>60</v>
      </c>
      <c r="H81" s="1345" t="s">
        <v>1365</v>
      </c>
      <c r="I81" s="1349" t="s">
        <v>90</v>
      </c>
      <c r="J81" s="1350"/>
      <c r="K81" s="1348">
        <v>5543000.0</v>
      </c>
    </row>
    <row r="82">
      <c r="A82" s="1344" t="s">
        <v>5154</v>
      </c>
      <c r="B82" s="1345" t="s">
        <v>12055</v>
      </c>
      <c r="C82" s="1346" t="s">
        <v>5154</v>
      </c>
      <c r="D82" s="1346" t="s">
        <v>12056</v>
      </c>
      <c r="E82" s="1346" t="s">
        <v>11930</v>
      </c>
      <c r="F82" s="1346" t="s">
        <v>11944</v>
      </c>
      <c r="G82" s="1345" t="s">
        <v>62</v>
      </c>
      <c r="H82" s="1345" t="s">
        <v>1365</v>
      </c>
      <c r="I82" s="1349" t="s">
        <v>1442</v>
      </c>
      <c r="J82" s="1350"/>
      <c r="K82" s="1348">
        <v>7063000.0</v>
      </c>
    </row>
    <row r="83">
      <c r="A83" s="1341" t="s">
        <v>12057</v>
      </c>
      <c r="B83" s="1342" t="s">
        <v>12057</v>
      </c>
      <c r="C83" s="1343"/>
      <c r="D83" s="1343"/>
      <c r="E83" s="1343"/>
      <c r="F83" s="1343"/>
      <c r="G83" s="1343"/>
      <c r="H83" s="1342" t="s">
        <v>12057</v>
      </c>
      <c r="I83" s="1343"/>
      <c r="J83" s="1343"/>
      <c r="K83" s="1343"/>
    </row>
    <row r="84">
      <c r="A84" s="1344" t="s">
        <v>12058</v>
      </c>
      <c r="B84" s="1345" t="s">
        <v>12059</v>
      </c>
      <c r="C84" s="1346" t="s">
        <v>12060</v>
      </c>
      <c r="D84" s="1346" t="s">
        <v>214</v>
      </c>
      <c r="E84" s="1346" t="s">
        <v>12061</v>
      </c>
      <c r="F84" s="1346" t="s">
        <v>11931</v>
      </c>
      <c r="G84" s="1345" t="s">
        <v>60</v>
      </c>
      <c r="H84" s="1353" t="s">
        <v>215</v>
      </c>
      <c r="I84" s="1349" t="s">
        <v>137</v>
      </c>
      <c r="J84" s="1350"/>
      <c r="K84" s="1348">
        <v>1340000.0</v>
      </c>
    </row>
    <row r="85">
      <c r="A85" s="1344" t="s">
        <v>12062</v>
      </c>
      <c r="B85" s="1345" t="s">
        <v>12063</v>
      </c>
      <c r="C85" s="1346" t="s">
        <v>5154</v>
      </c>
      <c r="D85" s="1346" t="s">
        <v>216</v>
      </c>
      <c r="E85" s="1346" t="s">
        <v>11943</v>
      </c>
      <c r="F85" s="1346" t="s">
        <v>11944</v>
      </c>
      <c r="G85" s="1345" t="s">
        <v>62</v>
      </c>
      <c r="H85" s="1353" t="s">
        <v>215</v>
      </c>
      <c r="I85" s="1349" t="s">
        <v>1442</v>
      </c>
      <c r="J85" s="1350"/>
      <c r="K85" s="1348">
        <v>1563000.0</v>
      </c>
    </row>
    <row r="86">
      <c r="A86" s="1341" t="s">
        <v>11584</v>
      </c>
      <c r="B86" s="1342" t="s">
        <v>11584</v>
      </c>
      <c r="C86" s="1343"/>
      <c r="D86" s="1343"/>
      <c r="E86" s="1343"/>
      <c r="F86" s="1343"/>
      <c r="G86" s="1343"/>
      <c r="H86" s="1342" t="s">
        <v>11584</v>
      </c>
      <c r="I86" s="1343"/>
      <c r="J86" s="1343"/>
      <c r="K86" s="1343"/>
    </row>
    <row r="87">
      <c r="A87" s="1344" t="s">
        <v>12064</v>
      </c>
      <c r="B87" s="1345" t="s">
        <v>12065</v>
      </c>
      <c r="C87" s="1346" t="s">
        <v>5154</v>
      </c>
      <c r="D87" s="1346" t="s">
        <v>217</v>
      </c>
      <c r="E87" s="1346" t="s">
        <v>11943</v>
      </c>
      <c r="F87" s="1346" t="s">
        <v>11931</v>
      </c>
      <c r="G87" s="1345" t="s">
        <v>60</v>
      </c>
      <c r="H87" s="1345" t="s">
        <v>218</v>
      </c>
      <c r="I87" s="1349" t="s">
        <v>137</v>
      </c>
      <c r="J87" s="1350"/>
      <c r="K87" s="1348">
        <v>1509000.0</v>
      </c>
    </row>
    <row r="88">
      <c r="A88" s="1344" t="s">
        <v>12066</v>
      </c>
      <c r="B88" s="1345" t="s">
        <v>12067</v>
      </c>
      <c r="C88" s="1346" t="s">
        <v>5154</v>
      </c>
      <c r="D88" s="1346" t="s">
        <v>219</v>
      </c>
      <c r="E88" s="1346" t="s">
        <v>11940</v>
      </c>
      <c r="F88" s="1346" t="s">
        <v>11969</v>
      </c>
      <c r="G88" s="1345" t="s">
        <v>140</v>
      </c>
      <c r="H88" s="1345" t="s">
        <v>220</v>
      </c>
      <c r="I88" s="1349" t="s">
        <v>152</v>
      </c>
      <c r="J88" s="1350"/>
      <c r="K88" s="1348">
        <v>644000.0</v>
      </c>
    </row>
    <row r="89">
      <c r="A89" s="1344" t="s">
        <v>12068</v>
      </c>
      <c r="B89" s="1345" t="s">
        <v>12069</v>
      </c>
      <c r="C89" s="1346" t="s">
        <v>5154</v>
      </c>
      <c r="D89" s="1346" t="s">
        <v>221</v>
      </c>
      <c r="E89" s="1346" t="s">
        <v>11940</v>
      </c>
      <c r="F89" s="1346" t="s">
        <v>11969</v>
      </c>
      <c r="G89" s="1345" t="s">
        <v>142</v>
      </c>
      <c r="H89" s="1345" t="s">
        <v>220</v>
      </c>
      <c r="I89" s="1349" t="s">
        <v>152</v>
      </c>
      <c r="J89" s="1350"/>
      <c r="K89" s="1348">
        <v>644000.0</v>
      </c>
    </row>
    <row r="90">
      <c r="A90" s="1344" t="s">
        <v>12070</v>
      </c>
      <c r="B90" s="1345" t="s">
        <v>12071</v>
      </c>
      <c r="C90" s="1346" t="s">
        <v>5154</v>
      </c>
      <c r="D90" s="1346" t="s">
        <v>222</v>
      </c>
      <c r="E90" s="1346" t="s">
        <v>11940</v>
      </c>
      <c r="F90" s="1346" t="s">
        <v>11944</v>
      </c>
      <c r="G90" s="1345" t="s">
        <v>62</v>
      </c>
      <c r="H90" s="1345" t="s">
        <v>220</v>
      </c>
      <c r="I90" s="1349" t="s">
        <v>1442</v>
      </c>
      <c r="J90" s="1350"/>
      <c r="K90" s="1348">
        <v>1771000.0</v>
      </c>
    </row>
    <row r="91">
      <c r="A91" s="1344" t="s">
        <v>5154</v>
      </c>
      <c r="B91" s="1345" t="s">
        <v>12072</v>
      </c>
      <c r="C91" s="1346" t="s">
        <v>5154</v>
      </c>
      <c r="D91" s="1346" t="s">
        <v>12073</v>
      </c>
      <c r="E91" s="1346" t="s">
        <v>11930</v>
      </c>
      <c r="F91" s="1351" t="s">
        <v>11944</v>
      </c>
      <c r="G91" s="1349" t="s">
        <v>62</v>
      </c>
      <c r="H91" s="1345" t="s">
        <v>12074</v>
      </c>
      <c r="I91" s="1349" t="s">
        <v>1442</v>
      </c>
      <c r="J91" s="1350"/>
      <c r="K91" s="1348">
        <v>1500000.0</v>
      </c>
    </row>
    <row r="92">
      <c r="A92" s="1344" t="s">
        <v>12075</v>
      </c>
      <c r="B92" s="1345" t="s">
        <v>12076</v>
      </c>
      <c r="C92" s="1346" t="s">
        <v>5154</v>
      </c>
      <c r="D92" s="1346" t="s">
        <v>223</v>
      </c>
      <c r="E92" s="1346" t="s">
        <v>11943</v>
      </c>
      <c r="F92" s="1346" t="s">
        <v>11931</v>
      </c>
      <c r="G92" s="1345" t="s">
        <v>60</v>
      </c>
      <c r="H92" s="1345" t="s">
        <v>12077</v>
      </c>
      <c r="I92" s="1349" t="s">
        <v>137</v>
      </c>
      <c r="J92" s="1350"/>
      <c r="K92" s="1348">
        <v>1552000.0</v>
      </c>
    </row>
    <row r="93">
      <c r="A93" s="1344" t="s">
        <v>5154</v>
      </c>
      <c r="B93" s="1345" t="s">
        <v>12078</v>
      </c>
      <c r="C93" s="1346" t="s">
        <v>5154</v>
      </c>
      <c r="D93" s="1346" t="s">
        <v>12079</v>
      </c>
      <c r="E93" s="1346" t="s">
        <v>11930</v>
      </c>
      <c r="F93" s="1351" t="s">
        <v>11944</v>
      </c>
      <c r="G93" s="1345" t="s">
        <v>62</v>
      </c>
      <c r="H93" s="1345" t="s">
        <v>12080</v>
      </c>
      <c r="I93" s="1345" t="s">
        <v>1442</v>
      </c>
      <c r="J93" s="1347"/>
      <c r="K93" s="1348">
        <v>1500000.0</v>
      </c>
    </row>
    <row r="94">
      <c r="A94" s="1344" t="s">
        <v>12081</v>
      </c>
      <c r="B94" s="1345" t="s">
        <v>12082</v>
      </c>
      <c r="C94" s="1346" t="s">
        <v>5154</v>
      </c>
      <c r="D94" s="1346" t="s">
        <v>225</v>
      </c>
      <c r="E94" s="1346" t="s">
        <v>11943</v>
      </c>
      <c r="F94" s="1346" t="s">
        <v>11931</v>
      </c>
      <c r="G94" s="1345" t="s">
        <v>60</v>
      </c>
      <c r="H94" s="1345" t="s">
        <v>226</v>
      </c>
      <c r="I94" s="1349" t="s">
        <v>137</v>
      </c>
      <c r="J94" s="1350"/>
      <c r="K94" s="1348">
        <v>1848000.0</v>
      </c>
    </row>
    <row r="95">
      <c r="A95" s="1344" t="s">
        <v>12083</v>
      </c>
      <c r="B95" s="1345" t="s">
        <v>12084</v>
      </c>
      <c r="C95" s="1346" t="s">
        <v>5154</v>
      </c>
      <c r="D95" s="1346" t="s">
        <v>227</v>
      </c>
      <c r="E95" s="1346" t="s">
        <v>11943</v>
      </c>
      <c r="F95" s="1346" t="s">
        <v>11944</v>
      </c>
      <c r="G95" s="1345" t="s">
        <v>62</v>
      </c>
      <c r="H95" s="1345" t="s">
        <v>226</v>
      </c>
      <c r="I95" s="1349" t="s">
        <v>1437</v>
      </c>
      <c r="J95" s="1350"/>
      <c r="K95" s="1348">
        <v>1928000.0</v>
      </c>
    </row>
    <row r="96">
      <c r="A96" s="1344" t="s">
        <v>12085</v>
      </c>
      <c r="B96" s="1345" t="s">
        <v>12086</v>
      </c>
      <c r="C96" s="1346" t="s">
        <v>5154</v>
      </c>
      <c r="D96" s="1346" t="s">
        <v>232</v>
      </c>
      <c r="E96" s="1346" t="s">
        <v>11940</v>
      </c>
      <c r="F96" s="1346" t="s">
        <v>11931</v>
      </c>
      <c r="G96" s="1345" t="s">
        <v>60</v>
      </c>
      <c r="H96" s="1345" t="s">
        <v>230</v>
      </c>
      <c r="I96" s="1349" t="s">
        <v>137</v>
      </c>
      <c r="J96" s="1350"/>
      <c r="K96" s="1348">
        <v>1813000.0</v>
      </c>
    </row>
    <row r="97">
      <c r="A97" s="1344" t="s">
        <v>12087</v>
      </c>
      <c r="B97" s="1345" t="s">
        <v>12088</v>
      </c>
      <c r="C97" s="1346" t="s">
        <v>5154</v>
      </c>
      <c r="D97" s="1346" t="s">
        <v>229</v>
      </c>
      <c r="E97" s="1346" t="s">
        <v>11940</v>
      </c>
      <c r="F97" s="1346" t="s">
        <v>11931</v>
      </c>
      <c r="G97" s="1345" t="s">
        <v>60</v>
      </c>
      <c r="H97" s="1345" t="s">
        <v>230</v>
      </c>
      <c r="I97" s="1349" t="s">
        <v>90</v>
      </c>
      <c r="J97" s="1350"/>
      <c r="K97" s="1348">
        <v>2218000.0</v>
      </c>
    </row>
    <row r="98">
      <c r="A98" s="1344" t="s">
        <v>12089</v>
      </c>
      <c r="B98" s="1345" t="s">
        <v>12090</v>
      </c>
      <c r="C98" s="1346" t="s">
        <v>5154</v>
      </c>
      <c r="D98" s="1346" t="s">
        <v>233</v>
      </c>
      <c r="E98" s="1346" t="s">
        <v>11940</v>
      </c>
      <c r="F98" s="1346" t="s">
        <v>11944</v>
      </c>
      <c r="G98" s="1345" t="s">
        <v>62</v>
      </c>
      <c r="H98" s="1345" t="s">
        <v>230</v>
      </c>
      <c r="I98" s="1349" t="s">
        <v>12091</v>
      </c>
      <c r="J98" s="1350"/>
      <c r="K98" s="1348">
        <v>1636000.0</v>
      </c>
    </row>
    <row r="99">
      <c r="A99" s="1344" t="s">
        <v>12092</v>
      </c>
      <c r="B99" s="1345" t="s">
        <v>5154</v>
      </c>
      <c r="C99" s="1346" t="s">
        <v>5154</v>
      </c>
      <c r="D99" s="1346" t="s">
        <v>235</v>
      </c>
      <c r="E99" s="1346" t="s">
        <v>11943</v>
      </c>
      <c r="F99" s="1346" t="s">
        <v>11944</v>
      </c>
      <c r="G99" s="1345" t="s">
        <v>62</v>
      </c>
      <c r="H99" s="1345" t="s">
        <v>230</v>
      </c>
      <c r="I99" s="1349" t="s">
        <v>1442</v>
      </c>
      <c r="J99" s="1350"/>
      <c r="K99" s="1348">
        <v>1507000.0</v>
      </c>
    </row>
    <row r="100">
      <c r="A100" s="1344" t="s">
        <v>12093</v>
      </c>
      <c r="B100" s="1345" t="s">
        <v>12094</v>
      </c>
      <c r="C100" s="1346" t="s">
        <v>5154</v>
      </c>
      <c r="D100" s="1346" t="s">
        <v>236</v>
      </c>
      <c r="E100" s="1346" t="s">
        <v>11940</v>
      </c>
      <c r="F100" s="1346" t="s">
        <v>11969</v>
      </c>
      <c r="G100" s="1345" t="s">
        <v>140</v>
      </c>
      <c r="H100" s="1345" t="s">
        <v>230</v>
      </c>
      <c r="I100" s="1349" t="s">
        <v>152</v>
      </c>
      <c r="J100" s="1350"/>
      <c r="K100" s="1348">
        <v>725000.0</v>
      </c>
    </row>
    <row r="101">
      <c r="A101" s="1344" t="s">
        <v>12095</v>
      </c>
      <c r="B101" s="1345" t="s">
        <v>12096</v>
      </c>
      <c r="C101" s="1346" t="s">
        <v>5154</v>
      </c>
      <c r="D101" s="1346" t="s">
        <v>237</v>
      </c>
      <c r="E101" s="1346" t="s">
        <v>11940</v>
      </c>
      <c r="F101" s="1346" t="s">
        <v>11969</v>
      </c>
      <c r="G101" s="1345" t="s">
        <v>142</v>
      </c>
      <c r="H101" s="1345" t="s">
        <v>230</v>
      </c>
      <c r="I101" s="1349" t="s">
        <v>152</v>
      </c>
      <c r="J101" s="1350"/>
      <c r="K101" s="1348">
        <v>725000.0</v>
      </c>
    </row>
    <row r="102">
      <c r="A102" s="1344" t="s">
        <v>12097</v>
      </c>
      <c r="B102" s="1345" t="s">
        <v>12098</v>
      </c>
      <c r="C102" s="1346" t="s">
        <v>5154</v>
      </c>
      <c r="D102" s="1346" t="s">
        <v>238</v>
      </c>
      <c r="E102" s="1346" t="s">
        <v>11940</v>
      </c>
      <c r="F102" s="1346" t="s">
        <v>11969</v>
      </c>
      <c r="G102" s="1345" t="s">
        <v>144</v>
      </c>
      <c r="H102" s="1345" t="s">
        <v>230</v>
      </c>
      <c r="I102" s="1349" t="s">
        <v>152</v>
      </c>
      <c r="J102" s="1350"/>
      <c r="K102" s="1348">
        <v>579000.0</v>
      </c>
    </row>
    <row r="103">
      <c r="A103" s="1344" t="s">
        <v>12099</v>
      </c>
      <c r="B103" s="1345" t="s">
        <v>12100</v>
      </c>
      <c r="C103" s="1346" t="s">
        <v>5154</v>
      </c>
      <c r="D103" s="1346" t="s">
        <v>239</v>
      </c>
      <c r="E103" s="1346" t="s">
        <v>11940</v>
      </c>
      <c r="F103" s="1346" t="s">
        <v>11969</v>
      </c>
      <c r="G103" s="1345" t="s">
        <v>146</v>
      </c>
      <c r="H103" s="1345" t="s">
        <v>230</v>
      </c>
      <c r="I103" s="1349" t="s">
        <v>152</v>
      </c>
      <c r="J103" s="1350"/>
      <c r="K103" s="1348">
        <v>579000.0</v>
      </c>
    </row>
    <row r="104">
      <c r="A104" s="1344" t="s">
        <v>12101</v>
      </c>
      <c r="B104" s="1345" t="s">
        <v>5154</v>
      </c>
      <c r="C104" s="1346" t="s">
        <v>5154</v>
      </c>
      <c r="D104" s="1346" t="s">
        <v>240</v>
      </c>
      <c r="E104" s="1346" t="s">
        <v>11943</v>
      </c>
      <c r="F104" s="1346" t="s">
        <v>11969</v>
      </c>
      <c r="G104" s="1345" t="s">
        <v>209</v>
      </c>
      <c r="H104" s="1345" t="s">
        <v>230</v>
      </c>
      <c r="I104" s="1349" t="s">
        <v>241</v>
      </c>
      <c r="J104" s="1350"/>
      <c r="K104" s="1348">
        <v>1045000.0</v>
      </c>
    </row>
    <row r="105">
      <c r="A105" s="1344" t="s">
        <v>12102</v>
      </c>
      <c r="B105" s="1345" t="s">
        <v>5154</v>
      </c>
      <c r="C105" s="1346" t="s">
        <v>5154</v>
      </c>
      <c r="D105" s="1346" t="s">
        <v>242</v>
      </c>
      <c r="E105" s="1346" t="s">
        <v>11943</v>
      </c>
      <c r="F105" s="1346" t="s">
        <v>11969</v>
      </c>
      <c r="G105" s="1345" t="s">
        <v>243</v>
      </c>
      <c r="H105" s="1345" t="s">
        <v>230</v>
      </c>
      <c r="I105" s="1349" t="s">
        <v>109</v>
      </c>
      <c r="J105" s="1350"/>
      <c r="K105" s="1348">
        <v>644000.0</v>
      </c>
    </row>
    <row r="106">
      <c r="A106" s="1344" t="s">
        <v>5154</v>
      </c>
      <c r="B106" s="1345" t="s">
        <v>12103</v>
      </c>
      <c r="C106" s="1346" t="s">
        <v>5154</v>
      </c>
      <c r="D106" s="1346" t="s">
        <v>12104</v>
      </c>
      <c r="E106" s="1346" t="s">
        <v>11930</v>
      </c>
      <c r="F106" s="1346" t="s">
        <v>11931</v>
      </c>
      <c r="G106" s="1349" t="s">
        <v>60</v>
      </c>
      <c r="H106" s="1349" t="s">
        <v>12105</v>
      </c>
      <c r="I106" s="1349" t="s">
        <v>90</v>
      </c>
      <c r="J106" s="1350"/>
      <c r="K106" s="1348">
        <v>1664000.0</v>
      </c>
    </row>
    <row r="107">
      <c r="A107" s="1344" t="s">
        <v>12106</v>
      </c>
      <c r="B107" s="1345" t="s">
        <v>12107</v>
      </c>
      <c r="C107" s="1346" t="s">
        <v>5154</v>
      </c>
      <c r="D107" s="1346" t="s">
        <v>244</v>
      </c>
      <c r="E107" s="1346" t="s">
        <v>11943</v>
      </c>
      <c r="F107" s="1346" t="s">
        <v>11931</v>
      </c>
      <c r="G107" s="1345" t="s">
        <v>60</v>
      </c>
      <c r="H107" s="1345" t="s">
        <v>245</v>
      </c>
      <c r="I107" s="1349" t="s">
        <v>137</v>
      </c>
      <c r="J107" s="1350"/>
      <c r="K107" s="1348">
        <v>1797000.0</v>
      </c>
    </row>
    <row r="108">
      <c r="A108" s="1344" t="s">
        <v>12108</v>
      </c>
      <c r="B108" s="1345" t="s">
        <v>12109</v>
      </c>
      <c r="C108" s="1346" t="s">
        <v>5154</v>
      </c>
      <c r="D108" s="1346" t="s">
        <v>246</v>
      </c>
      <c r="E108" s="1346" t="s">
        <v>11943</v>
      </c>
      <c r="F108" s="1346" t="s">
        <v>11931</v>
      </c>
      <c r="G108" s="1345" t="s">
        <v>60</v>
      </c>
      <c r="H108" s="1345" t="s">
        <v>247</v>
      </c>
      <c r="I108" s="1349" t="s">
        <v>90</v>
      </c>
      <c r="J108" s="1350"/>
      <c r="K108" s="1348">
        <v>3529000.0</v>
      </c>
    </row>
    <row r="109">
      <c r="A109" s="1344" t="s">
        <v>12110</v>
      </c>
      <c r="B109" s="1345" t="s">
        <v>12109</v>
      </c>
      <c r="C109" s="1346" t="s">
        <v>5154</v>
      </c>
      <c r="D109" s="1346" t="s">
        <v>248</v>
      </c>
      <c r="E109" s="1346" t="s">
        <v>11943</v>
      </c>
      <c r="F109" s="1346" t="s">
        <v>11931</v>
      </c>
      <c r="G109" s="1345" t="s">
        <v>60</v>
      </c>
      <c r="H109" s="1345" t="s">
        <v>247</v>
      </c>
      <c r="I109" s="1349" t="s">
        <v>137</v>
      </c>
      <c r="J109" s="1350"/>
      <c r="K109" s="1348">
        <v>3026000.0</v>
      </c>
    </row>
    <row r="110">
      <c r="A110" s="1344" t="s">
        <v>12111</v>
      </c>
      <c r="B110" s="1345" t="s">
        <v>5154</v>
      </c>
      <c r="C110" s="1346" t="s">
        <v>5154</v>
      </c>
      <c r="D110" s="1346" t="s">
        <v>249</v>
      </c>
      <c r="E110" s="1346" t="s">
        <v>11943</v>
      </c>
      <c r="F110" s="1346" t="s">
        <v>11969</v>
      </c>
      <c r="G110" s="1345" t="s">
        <v>142</v>
      </c>
      <c r="H110" s="1345" t="s">
        <v>247</v>
      </c>
      <c r="I110" s="1350"/>
      <c r="J110" s="1350"/>
      <c r="K110" s="1348">
        <v>644000.0</v>
      </c>
    </row>
    <row r="111">
      <c r="A111" s="1344" t="s">
        <v>12112</v>
      </c>
      <c r="B111" s="1345" t="s">
        <v>5154</v>
      </c>
      <c r="C111" s="1346" t="s">
        <v>5154</v>
      </c>
      <c r="D111" s="1346" t="s">
        <v>250</v>
      </c>
      <c r="E111" s="1346" t="s">
        <v>11943</v>
      </c>
      <c r="F111" s="1346" t="s">
        <v>11969</v>
      </c>
      <c r="G111" s="1345" t="s">
        <v>144</v>
      </c>
      <c r="H111" s="1345" t="s">
        <v>247</v>
      </c>
      <c r="I111" s="1350"/>
      <c r="J111" s="1350"/>
      <c r="K111" s="1348">
        <v>644000.0</v>
      </c>
    </row>
    <row r="112">
      <c r="A112" s="1344" t="s">
        <v>12113</v>
      </c>
      <c r="B112" s="1345" t="s">
        <v>12059</v>
      </c>
      <c r="C112" s="1346" t="s">
        <v>5154</v>
      </c>
      <c r="D112" s="1346" t="s">
        <v>251</v>
      </c>
      <c r="E112" s="1346" t="s">
        <v>11940</v>
      </c>
      <c r="F112" s="1346" t="s">
        <v>11931</v>
      </c>
      <c r="G112" s="1345" t="s">
        <v>60</v>
      </c>
      <c r="H112" s="1345" t="s">
        <v>12114</v>
      </c>
      <c r="I112" s="1349" t="s">
        <v>137</v>
      </c>
      <c r="J112" s="1350"/>
      <c r="K112" s="1348">
        <v>1340000.0</v>
      </c>
    </row>
    <row r="113">
      <c r="A113" s="1344" t="s">
        <v>12115</v>
      </c>
      <c r="B113" s="1345" t="s">
        <v>12116</v>
      </c>
      <c r="C113" s="1346" t="s">
        <v>5154</v>
      </c>
      <c r="D113" s="1346" t="s">
        <v>253</v>
      </c>
      <c r="E113" s="1346" t="s">
        <v>11943</v>
      </c>
      <c r="F113" s="1346" t="s">
        <v>11944</v>
      </c>
      <c r="G113" s="1345" t="s">
        <v>62</v>
      </c>
      <c r="H113" s="1345" t="s">
        <v>12114</v>
      </c>
      <c r="I113" s="1349" t="s">
        <v>1442</v>
      </c>
      <c r="J113" s="1350"/>
      <c r="K113" s="1348">
        <v>1563000.0</v>
      </c>
    </row>
    <row r="114">
      <c r="A114" s="1344" t="s">
        <v>12117</v>
      </c>
      <c r="B114" s="1345" t="s">
        <v>5154</v>
      </c>
      <c r="C114" s="1346" t="s">
        <v>5154</v>
      </c>
      <c r="D114" s="1346" t="s">
        <v>254</v>
      </c>
      <c r="E114" s="1346" t="s">
        <v>11943</v>
      </c>
      <c r="F114" s="1346" t="s">
        <v>11931</v>
      </c>
      <c r="G114" s="1345" t="s">
        <v>60</v>
      </c>
      <c r="H114" s="1345" t="s">
        <v>255</v>
      </c>
      <c r="I114" s="1349" t="s">
        <v>137</v>
      </c>
      <c r="J114" s="1350"/>
      <c r="K114" s="1348">
        <v>2334000.0</v>
      </c>
    </row>
    <row r="115">
      <c r="A115" s="1344" t="s">
        <v>12118</v>
      </c>
      <c r="B115" s="1345" t="s">
        <v>5154</v>
      </c>
      <c r="C115" s="1346" t="s">
        <v>5154</v>
      </c>
      <c r="D115" s="1346" t="s">
        <v>256</v>
      </c>
      <c r="E115" s="1346" t="s">
        <v>11943</v>
      </c>
      <c r="F115" s="1346" t="s">
        <v>11944</v>
      </c>
      <c r="G115" s="1345" t="s">
        <v>62</v>
      </c>
      <c r="H115" s="1345" t="s">
        <v>255</v>
      </c>
      <c r="I115" s="1349" t="s">
        <v>1442</v>
      </c>
      <c r="J115" s="1350"/>
      <c r="K115" s="1348">
        <v>1543000.0</v>
      </c>
    </row>
    <row r="116">
      <c r="A116" s="1344" t="s">
        <v>12119</v>
      </c>
      <c r="B116" s="1345" t="s">
        <v>5154</v>
      </c>
      <c r="C116" s="1346" t="s">
        <v>5154</v>
      </c>
      <c r="D116" s="1346" t="s">
        <v>257</v>
      </c>
      <c r="E116" s="1346" t="s">
        <v>11943</v>
      </c>
      <c r="F116" s="1346" t="s">
        <v>11969</v>
      </c>
      <c r="G116" s="1345" t="s">
        <v>140</v>
      </c>
      <c r="H116" s="1345" t="s">
        <v>255</v>
      </c>
      <c r="I116" s="1349" t="s">
        <v>152</v>
      </c>
      <c r="J116" s="1350"/>
      <c r="K116" s="1348">
        <v>644000.0</v>
      </c>
    </row>
    <row r="117">
      <c r="A117" s="1344" t="s">
        <v>12120</v>
      </c>
      <c r="B117" s="1345" t="s">
        <v>5154</v>
      </c>
      <c r="C117" s="1346" t="s">
        <v>5154</v>
      </c>
      <c r="D117" s="1346" t="s">
        <v>258</v>
      </c>
      <c r="E117" s="1346" t="s">
        <v>11943</v>
      </c>
      <c r="F117" s="1346" t="s">
        <v>11969</v>
      </c>
      <c r="G117" s="1345" t="s">
        <v>142</v>
      </c>
      <c r="H117" s="1345" t="s">
        <v>255</v>
      </c>
      <c r="I117" s="1349" t="s">
        <v>152</v>
      </c>
      <c r="J117" s="1350"/>
      <c r="K117" s="1348">
        <v>644000.0</v>
      </c>
    </row>
    <row r="118">
      <c r="A118" s="1344" t="s">
        <v>12121</v>
      </c>
      <c r="B118" s="1345" t="s">
        <v>5154</v>
      </c>
      <c r="C118" s="1346" t="s">
        <v>5154</v>
      </c>
      <c r="D118" s="1346" t="s">
        <v>259</v>
      </c>
      <c r="E118" s="1346" t="s">
        <v>11943</v>
      </c>
      <c r="F118" s="1346" t="s">
        <v>11969</v>
      </c>
      <c r="G118" s="1345" t="s">
        <v>146</v>
      </c>
      <c r="H118" s="1345" t="s">
        <v>255</v>
      </c>
      <c r="I118" s="1350"/>
      <c r="J118" s="1350"/>
      <c r="K118" s="1348">
        <v>644000.0</v>
      </c>
    </row>
    <row r="119">
      <c r="A119" s="1344" t="s">
        <v>12122</v>
      </c>
      <c r="B119" s="1345" t="s">
        <v>12123</v>
      </c>
      <c r="C119" s="1346" t="s">
        <v>5154</v>
      </c>
      <c r="D119" s="1346" t="s">
        <v>260</v>
      </c>
      <c r="E119" s="1346" t="s">
        <v>11943</v>
      </c>
      <c r="F119" s="1346" t="s">
        <v>11931</v>
      </c>
      <c r="G119" s="1345" t="s">
        <v>60</v>
      </c>
      <c r="H119" s="1345" t="s">
        <v>261</v>
      </c>
      <c r="I119" s="1349" t="s">
        <v>137</v>
      </c>
      <c r="J119" s="1350"/>
      <c r="K119" s="1348">
        <v>1587000.0</v>
      </c>
    </row>
    <row r="120">
      <c r="A120" s="1344" t="s">
        <v>12124</v>
      </c>
      <c r="B120" s="1345" t="s">
        <v>5154</v>
      </c>
      <c r="C120" s="1346" t="s">
        <v>5154</v>
      </c>
      <c r="D120" s="1346" t="s">
        <v>262</v>
      </c>
      <c r="E120" s="1346" t="s">
        <v>11943</v>
      </c>
      <c r="F120" s="1346" t="s">
        <v>11944</v>
      </c>
      <c r="G120" s="1345" t="s">
        <v>62</v>
      </c>
      <c r="H120" s="1345" t="s">
        <v>261</v>
      </c>
      <c r="I120" s="1349" t="s">
        <v>1442</v>
      </c>
      <c r="J120" s="1350"/>
      <c r="K120" s="1348">
        <v>1667000.0</v>
      </c>
    </row>
    <row r="121">
      <c r="A121" s="1344" t="s">
        <v>12125</v>
      </c>
      <c r="B121" s="1345" t="s">
        <v>5154</v>
      </c>
      <c r="C121" s="1346" t="s">
        <v>5154</v>
      </c>
      <c r="D121" s="1346" t="s">
        <v>263</v>
      </c>
      <c r="E121" s="1346" t="s">
        <v>11943</v>
      </c>
      <c r="F121" s="1346" t="s">
        <v>11969</v>
      </c>
      <c r="G121" s="1345" t="s">
        <v>140</v>
      </c>
      <c r="H121" s="1345" t="s">
        <v>261</v>
      </c>
      <c r="I121" s="1349" t="s">
        <v>152</v>
      </c>
      <c r="J121" s="1350"/>
      <c r="K121" s="1348">
        <v>644000.0</v>
      </c>
    </row>
    <row r="122">
      <c r="A122" s="1344" t="s">
        <v>12126</v>
      </c>
      <c r="B122" s="1345" t="s">
        <v>5154</v>
      </c>
      <c r="C122" s="1346" t="s">
        <v>5154</v>
      </c>
      <c r="D122" s="1346" t="s">
        <v>264</v>
      </c>
      <c r="E122" s="1346" t="s">
        <v>11943</v>
      </c>
      <c r="F122" s="1346" t="s">
        <v>11969</v>
      </c>
      <c r="G122" s="1345" t="s">
        <v>142</v>
      </c>
      <c r="H122" s="1345" t="s">
        <v>261</v>
      </c>
      <c r="I122" s="1349" t="s">
        <v>152</v>
      </c>
      <c r="J122" s="1350"/>
      <c r="K122" s="1348">
        <v>644000.0</v>
      </c>
    </row>
    <row r="123">
      <c r="A123" s="1344" t="s">
        <v>12127</v>
      </c>
      <c r="B123" s="1345" t="s">
        <v>12128</v>
      </c>
      <c r="C123" s="1346" t="s">
        <v>5154</v>
      </c>
      <c r="D123" s="1346" t="s">
        <v>265</v>
      </c>
      <c r="E123" s="1346" t="s">
        <v>11940</v>
      </c>
      <c r="F123" s="1346" t="s">
        <v>11969</v>
      </c>
      <c r="G123" s="1345" t="s">
        <v>144</v>
      </c>
      <c r="H123" s="1345" t="s">
        <v>261</v>
      </c>
      <c r="I123" s="1349" t="s">
        <v>152</v>
      </c>
      <c r="J123" s="1350"/>
      <c r="K123" s="1348">
        <v>644000.0</v>
      </c>
    </row>
    <row r="124">
      <c r="A124" s="1344" t="s">
        <v>12129</v>
      </c>
      <c r="B124" s="1345" t="s">
        <v>5154</v>
      </c>
      <c r="C124" s="1346" t="s">
        <v>5154</v>
      </c>
      <c r="D124" s="1346" t="s">
        <v>266</v>
      </c>
      <c r="E124" s="1346" t="s">
        <v>11943</v>
      </c>
      <c r="F124" s="1346" t="s">
        <v>11969</v>
      </c>
      <c r="G124" s="1345" t="s">
        <v>146</v>
      </c>
      <c r="H124" s="1345" t="s">
        <v>261</v>
      </c>
      <c r="I124" s="1349" t="s">
        <v>152</v>
      </c>
      <c r="J124" s="1350"/>
      <c r="K124" s="1348">
        <v>644000.0</v>
      </c>
    </row>
    <row r="125">
      <c r="A125" s="1344" t="s">
        <v>5154</v>
      </c>
      <c r="B125" s="1345" t="s">
        <v>12130</v>
      </c>
      <c r="C125" s="1346" t="s">
        <v>5154</v>
      </c>
      <c r="D125" s="1346" t="s">
        <v>1367</v>
      </c>
      <c r="E125" s="1346" t="s">
        <v>11930</v>
      </c>
      <c r="F125" s="1346" t="s">
        <v>11931</v>
      </c>
      <c r="G125" s="1345" t="s">
        <v>60</v>
      </c>
      <c r="H125" s="1345" t="s">
        <v>1368</v>
      </c>
      <c r="I125" s="1345" t="s">
        <v>137</v>
      </c>
      <c r="J125" s="1347"/>
      <c r="K125" s="1348">
        <v>1587000.0</v>
      </c>
    </row>
    <row r="126">
      <c r="A126" s="1344" t="s">
        <v>5154</v>
      </c>
      <c r="B126" s="1345" t="s">
        <v>12131</v>
      </c>
      <c r="C126" s="1346" t="s">
        <v>5154</v>
      </c>
      <c r="D126" s="1346" t="s">
        <v>1370</v>
      </c>
      <c r="E126" s="1346" t="s">
        <v>11930</v>
      </c>
      <c r="F126" s="1346" t="s">
        <v>11944</v>
      </c>
      <c r="G126" s="1345" t="s">
        <v>62</v>
      </c>
      <c r="H126" s="1345" t="s">
        <v>1368</v>
      </c>
      <c r="I126" s="1345" t="s">
        <v>1437</v>
      </c>
      <c r="J126" s="1347"/>
      <c r="K126" s="1348">
        <v>1691000.0</v>
      </c>
    </row>
    <row r="127">
      <c r="A127" s="1344" t="s">
        <v>12132</v>
      </c>
      <c r="B127" s="1345" t="s">
        <v>12133</v>
      </c>
      <c r="C127" s="1346" t="s">
        <v>12134</v>
      </c>
      <c r="D127" s="1346" t="s">
        <v>267</v>
      </c>
      <c r="E127" s="1346" t="s">
        <v>12061</v>
      </c>
      <c r="F127" s="1346" t="s">
        <v>11931</v>
      </c>
      <c r="G127" s="1345" t="s">
        <v>60</v>
      </c>
      <c r="H127" s="1345" t="s">
        <v>268</v>
      </c>
      <c r="I127" s="1349" t="s">
        <v>137</v>
      </c>
      <c r="J127" s="1350"/>
      <c r="K127" s="1348">
        <v>1350000.0</v>
      </c>
    </row>
    <row r="128">
      <c r="A128" s="1344" t="s">
        <v>5154</v>
      </c>
      <c r="B128" s="1345" t="s">
        <v>12135</v>
      </c>
      <c r="C128" s="1346" t="s">
        <v>5154</v>
      </c>
      <c r="D128" s="1346" t="s">
        <v>1371</v>
      </c>
      <c r="E128" s="1346" t="s">
        <v>11930</v>
      </c>
      <c r="F128" s="1346" t="s">
        <v>11944</v>
      </c>
      <c r="G128" s="1345" t="s">
        <v>62</v>
      </c>
      <c r="H128" s="1345" t="s">
        <v>268</v>
      </c>
      <c r="I128" s="1349" t="s">
        <v>1437</v>
      </c>
      <c r="J128" s="1350"/>
      <c r="K128" s="1348">
        <v>1166000.0</v>
      </c>
    </row>
    <row r="129">
      <c r="A129" s="1344" t="s">
        <v>5154</v>
      </c>
      <c r="B129" s="1345" t="s">
        <v>12136</v>
      </c>
      <c r="C129" s="1346" t="s">
        <v>5154</v>
      </c>
      <c r="D129" s="1346" t="s">
        <v>1372</v>
      </c>
      <c r="E129" s="1346" t="s">
        <v>11930</v>
      </c>
      <c r="F129" s="1346" t="s">
        <v>11931</v>
      </c>
      <c r="G129" s="1345" t="s">
        <v>60</v>
      </c>
      <c r="H129" s="1345" t="s">
        <v>1373</v>
      </c>
      <c r="I129" s="1345" t="s">
        <v>90</v>
      </c>
      <c r="J129" s="1347"/>
      <c r="K129" s="1348">
        <v>2518000.0</v>
      </c>
    </row>
    <row r="130">
      <c r="A130" s="1344" t="s">
        <v>12137</v>
      </c>
      <c r="B130" s="1345" t="s">
        <v>12138</v>
      </c>
      <c r="C130" s="1346" t="s">
        <v>5154</v>
      </c>
      <c r="D130" s="1346" t="s">
        <v>272</v>
      </c>
      <c r="E130" s="1346" t="s">
        <v>11940</v>
      </c>
      <c r="F130" s="1346" t="s">
        <v>11944</v>
      </c>
      <c r="G130" s="1345" t="s">
        <v>62</v>
      </c>
      <c r="H130" s="1345" t="s">
        <v>270</v>
      </c>
      <c r="I130" s="1349" t="s">
        <v>1437</v>
      </c>
      <c r="J130" s="1350"/>
      <c r="K130" s="1348">
        <v>1928000.0</v>
      </c>
    </row>
    <row r="131">
      <c r="A131" s="1344" t="s">
        <v>12139</v>
      </c>
      <c r="B131" s="1345" t="s">
        <v>12140</v>
      </c>
      <c r="C131" s="1346" t="s">
        <v>5154</v>
      </c>
      <c r="D131" s="1346" t="s">
        <v>269</v>
      </c>
      <c r="E131" s="1346" t="s">
        <v>11943</v>
      </c>
      <c r="F131" s="1346" t="s">
        <v>11969</v>
      </c>
      <c r="G131" s="1345" t="s">
        <v>144</v>
      </c>
      <c r="H131" s="1345" t="s">
        <v>1373</v>
      </c>
      <c r="I131" s="1350"/>
      <c r="J131" s="1350"/>
      <c r="K131" s="1348">
        <v>644000.0</v>
      </c>
    </row>
    <row r="132">
      <c r="A132" s="1344" t="s">
        <v>12141</v>
      </c>
      <c r="B132" s="1345" t="s">
        <v>12142</v>
      </c>
      <c r="C132" s="1346" t="s">
        <v>5154</v>
      </c>
      <c r="D132" s="1346" t="s">
        <v>271</v>
      </c>
      <c r="E132" s="1346" t="s">
        <v>11943</v>
      </c>
      <c r="F132" s="1346" t="s">
        <v>11969</v>
      </c>
      <c r="G132" s="1345" t="s">
        <v>146</v>
      </c>
      <c r="H132" s="1345" t="s">
        <v>1373</v>
      </c>
      <c r="I132" s="1350"/>
      <c r="J132" s="1350"/>
      <c r="K132" s="1348">
        <v>644000.0</v>
      </c>
    </row>
    <row r="133">
      <c r="A133" s="1354" t="s">
        <v>12143</v>
      </c>
      <c r="B133" s="1345" t="s">
        <v>12144</v>
      </c>
      <c r="C133" s="1346" t="s">
        <v>5154</v>
      </c>
      <c r="D133" s="1346" t="s">
        <v>274</v>
      </c>
      <c r="E133" s="1346" t="s">
        <v>11940</v>
      </c>
      <c r="F133" s="1346" t="s">
        <v>11931</v>
      </c>
      <c r="G133" s="1345" t="s">
        <v>60</v>
      </c>
      <c r="H133" s="1345" t="s">
        <v>275</v>
      </c>
      <c r="I133" s="1349" t="s">
        <v>137</v>
      </c>
      <c r="J133" s="1350"/>
      <c r="K133" s="1348">
        <v>2249000.0</v>
      </c>
    </row>
    <row r="134">
      <c r="A134" s="1344" t="s">
        <v>5154</v>
      </c>
      <c r="B134" s="1345" t="s">
        <v>12145</v>
      </c>
      <c r="C134" s="1346" t="s">
        <v>5154</v>
      </c>
      <c r="D134" s="1346" t="s">
        <v>1374</v>
      </c>
      <c r="E134" s="1346" t="s">
        <v>11930</v>
      </c>
      <c r="F134" s="1346" t="s">
        <v>11931</v>
      </c>
      <c r="G134" s="1345" t="s">
        <v>60</v>
      </c>
      <c r="H134" s="1345" t="s">
        <v>1375</v>
      </c>
      <c r="I134" s="1345" t="s">
        <v>90</v>
      </c>
      <c r="J134" s="1347"/>
      <c r="K134" s="1348">
        <v>2301000.0</v>
      </c>
    </row>
    <row r="135">
      <c r="A135" s="1344" t="s">
        <v>12146</v>
      </c>
      <c r="B135" s="1345" t="s">
        <v>12147</v>
      </c>
      <c r="C135" s="1346" t="s">
        <v>5154</v>
      </c>
      <c r="D135" s="1346" t="s">
        <v>276</v>
      </c>
      <c r="E135" s="1346" t="s">
        <v>11940</v>
      </c>
      <c r="F135" s="1346" t="s">
        <v>11944</v>
      </c>
      <c r="G135" s="1345" t="s">
        <v>62</v>
      </c>
      <c r="H135" s="1345" t="s">
        <v>277</v>
      </c>
      <c r="I135" s="1349" t="s">
        <v>1437</v>
      </c>
      <c r="J135" s="1350"/>
      <c r="K135" s="1348">
        <v>2083000.0</v>
      </c>
    </row>
    <row r="136">
      <c r="A136" s="1344" t="s">
        <v>12148</v>
      </c>
      <c r="B136" s="1345" t="s">
        <v>12149</v>
      </c>
      <c r="C136" s="1346" t="s">
        <v>5154</v>
      </c>
      <c r="D136" s="1346" t="s">
        <v>278</v>
      </c>
      <c r="E136" s="1346" t="s">
        <v>11940</v>
      </c>
      <c r="F136" s="1346" t="s">
        <v>11931</v>
      </c>
      <c r="G136" s="1345" t="s">
        <v>60</v>
      </c>
      <c r="H136" s="1345" t="s">
        <v>279</v>
      </c>
      <c r="I136" s="1349" t="s">
        <v>137</v>
      </c>
      <c r="J136" s="1350"/>
      <c r="K136" s="1348">
        <v>1913000.0</v>
      </c>
    </row>
    <row r="137">
      <c r="A137" s="1344" t="s">
        <v>12150</v>
      </c>
      <c r="B137" s="1345" t="s">
        <v>5154</v>
      </c>
      <c r="C137" s="1346" t="s">
        <v>5154</v>
      </c>
      <c r="D137" s="1346" t="s">
        <v>280</v>
      </c>
      <c r="E137" s="1346" t="s">
        <v>11943</v>
      </c>
      <c r="F137" s="1346" t="s">
        <v>11944</v>
      </c>
      <c r="G137" s="1345" t="s">
        <v>62</v>
      </c>
      <c r="H137" s="1345" t="s">
        <v>279</v>
      </c>
      <c r="I137" s="1349" t="s">
        <v>1442</v>
      </c>
      <c r="J137" s="1350"/>
      <c r="K137" s="1348">
        <v>1667000.0</v>
      </c>
    </row>
    <row r="138">
      <c r="A138" s="1355" t="s">
        <v>112</v>
      </c>
      <c r="B138" s="1356" t="s">
        <v>112</v>
      </c>
      <c r="C138" s="1343"/>
      <c r="D138" s="1343"/>
      <c r="E138" s="1343"/>
      <c r="F138" s="1343"/>
      <c r="G138" s="1343"/>
      <c r="H138" s="1342" t="s">
        <v>112</v>
      </c>
      <c r="I138" s="1343"/>
      <c r="J138" s="1343"/>
      <c r="K138" s="1343"/>
    </row>
    <row r="139">
      <c r="A139" s="1344" t="s">
        <v>12151</v>
      </c>
      <c r="B139" s="1345" t="s">
        <v>12152</v>
      </c>
      <c r="C139" s="1346" t="s">
        <v>12153</v>
      </c>
      <c r="D139" s="1346" t="s">
        <v>281</v>
      </c>
      <c r="E139" s="1346" t="s">
        <v>12061</v>
      </c>
      <c r="F139" s="1346" t="s">
        <v>11931</v>
      </c>
      <c r="G139" s="1345" t="s">
        <v>60</v>
      </c>
      <c r="H139" s="1345" t="s">
        <v>282</v>
      </c>
      <c r="I139" s="1349" t="s">
        <v>109</v>
      </c>
      <c r="J139" s="1350"/>
      <c r="K139" s="1348">
        <v>855000.0</v>
      </c>
    </row>
    <row r="140">
      <c r="A140" s="1344" t="s">
        <v>5154</v>
      </c>
      <c r="B140" s="1345" t="s">
        <v>5154</v>
      </c>
      <c r="C140" s="1346" t="s">
        <v>12154</v>
      </c>
      <c r="D140" s="1346" t="s">
        <v>1903</v>
      </c>
      <c r="E140" s="1346" t="s">
        <v>12155</v>
      </c>
      <c r="F140" s="1349" t="s">
        <v>11944</v>
      </c>
      <c r="G140" s="1345" t="s">
        <v>62</v>
      </c>
      <c r="H140" s="1345" t="s">
        <v>1904</v>
      </c>
      <c r="I140" s="1349" t="s">
        <v>109</v>
      </c>
      <c r="J140" s="1350"/>
      <c r="K140" s="1348">
        <v>462000.0</v>
      </c>
    </row>
    <row r="141">
      <c r="A141" s="1344" t="s">
        <v>5154</v>
      </c>
      <c r="B141" s="1345" t="s">
        <v>12156</v>
      </c>
      <c r="C141" s="1346" t="s">
        <v>12157</v>
      </c>
      <c r="D141" s="1346" t="s">
        <v>1377</v>
      </c>
      <c r="E141" s="1346" t="s">
        <v>12158</v>
      </c>
      <c r="F141" s="1346" t="s">
        <v>11931</v>
      </c>
      <c r="G141" s="1345" t="s">
        <v>60</v>
      </c>
      <c r="H141" s="1345" t="s">
        <v>284</v>
      </c>
      <c r="I141" s="1345" t="s">
        <v>137</v>
      </c>
      <c r="J141" s="1347"/>
      <c r="K141" s="1348">
        <v>1319000.0</v>
      </c>
    </row>
    <row r="142">
      <c r="A142" s="1344" t="s">
        <v>12159</v>
      </c>
      <c r="B142" s="1345" t="s">
        <v>12160</v>
      </c>
      <c r="C142" s="1346" t="s">
        <v>5154</v>
      </c>
      <c r="D142" s="1346" t="s">
        <v>283</v>
      </c>
      <c r="E142" s="1346" t="s">
        <v>11940</v>
      </c>
      <c r="F142" s="1346" t="s">
        <v>11944</v>
      </c>
      <c r="G142" s="1345" t="s">
        <v>62</v>
      </c>
      <c r="H142" s="1345" t="s">
        <v>284</v>
      </c>
      <c r="I142" s="1349" t="s">
        <v>1442</v>
      </c>
      <c r="J142" s="1357">
        <v>456000.0</v>
      </c>
      <c r="K142" s="1348">
        <v>922000.0</v>
      </c>
    </row>
    <row r="143">
      <c r="A143" s="1344" t="s">
        <v>5154</v>
      </c>
      <c r="B143" s="1345" t="s">
        <v>5154</v>
      </c>
      <c r="C143" s="1346" t="s">
        <v>12161</v>
      </c>
      <c r="D143" s="1346" t="s">
        <v>1905</v>
      </c>
      <c r="E143" s="1346" t="s">
        <v>12155</v>
      </c>
      <c r="F143" s="1346" t="s">
        <v>11931</v>
      </c>
      <c r="G143" s="1345" t="s">
        <v>60</v>
      </c>
      <c r="H143" s="1345" t="s">
        <v>1379</v>
      </c>
      <c r="I143" s="1350"/>
      <c r="J143" s="1350"/>
      <c r="K143" s="1348">
        <v>1439000.0</v>
      </c>
    </row>
    <row r="144">
      <c r="A144" s="1344" t="s">
        <v>5154</v>
      </c>
      <c r="B144" s="1345" t="s">
        <v>12162</v>
      </c>
      <c r="C144" s="1346" t="s">
        <v>5154</v>
      </c>
      <c r="D144" s="1346" t="s">
        <v>1378</v>
      </c>
      <c r="E144" s="1346" t="s">
        <v>11930</v>
      </c>
      <c r="F144" s="1346" t="s">
        <v>11944</v>
      </c>
      <c r="G144" s="1345" t="s">
        <v>62</v>
      </c>
      <c r="H144" s="1345" t="s">
        <v>1379</v>
      </c>
      <c r="I144" s="1349" t="s">
        <v>11951</v>
      </c>
      <c r="J144" s="1357">
        <v>421000.0</v>
      </c>
      <c r="K144" s="1348">
        <v>829000.0</v>
      </c>
    </row>
    <row r="145">
      <c r="A145" s="1344" t="s">
        <v>5154</v>
      </c>
      <c r="B145" s="1345" t="s">
        <v>12163</v>
      </c>
      <c r="C145" s="1346" t="s">
        <v>5154</v>
      </c>
      <c r="D145" s="1351" t="s">
        <v>12164</v>
      </c>
      <c r="E145" s="1346" t="s">
        <v>11930</v>
      </c>
      <c r="F145" s="1346" t="s">
        <v>11931</v>
      </c>
      <c r="G145" s="1345" t="s">
        <v>60</v>
      </c>
      <c r="H145" s="1345" t="s">
        <v>1756</v>
      </c>
      <c r="I145" s="1349" t="s">
        <v>109</v>
      </c>
      <c r="J145" s="1350"/>
      <c r="K145" s="1348">
        <v>1450000.0</v>
      </c>
    </row>
    <row r="146">
      <c r="A146" s="1344" t="s">
        <v>5154</v>
      </c>
      <c r="B146" s="1345" t="s">
        <v>5154</v>
      </c>
      <c r="C146" s="1346" t="s">
        <v>12165</v>
      </c>
      <c r="D146" s="1346" t="s">
        <v>1918</v>
      </c>
      <c r="E146" s="1346" t="s">
        <v>12155</v>
      </c>
      <c r="F146" s="1346" t="s">
        <v>11931</v>
      </c>
      <c r="G146" s="1345" t="s">
        <v>60</v>
      </c>
      <c r="H146" s="1345" t="s">
        <v>1381</v>
      </c>
      <c r="I146" s="1350"/>
      <c r="J146" s="1350"/>
      <c r="K146" s="1348">
        <v>1100000.0</v>
      </c>
    </row>
    <row r="147">
      <c r="A147" s="1344" t="s">
        <v>5154</v>
      </c>
      <c r="B147" s="1345" t="s">
        <v>12166</v>
      </c>
      <c r="C147" s="1346" t="s">
        <v>5154</v>
      </c>
      <c r="D147" s="1346" t="s">
        <v>1380</v>
      </c>
      <c r="E147" s="1346" t="s">
        <v>11930</v>
      </c>
      <c r="F147" s="1346" t="s">
        <v>11944</v>
      </c>
      <c r="G147" s="1345" t="s">
        <v>62</v>
      </c>
      <c r="H147" s="1345" t="s">
        <v>1381</v>
      </c>
      <c r="I147" s="1349" t="s">
        <v>109</v>
      </c>
      <c r="J147" s="1350"/>
      <c r="K147" s="1348">
        <v>449000.0</v>
      </c>
    </row>
    <row r="148">
      <c r="A148" s="1344" t="s">
        <v>12167</v>
      </c>
      <c r="B148" s="1345" t="s">
        <v>12168</v>
      </c>
      <c r="C148" s="1346" t="s">
        <v>5154</v>
      </c>
      <c r="D148" s="1346" t="s">
        <v>285</v>
      </c>
      <c r="E148" s="1346" t="s">
        <v>11943</v>
      </c>
      <c r="F148" s="1346" t="s">
        <v>11931</v>
      </c>
      <c r="G148" s="1345" t="s">
        <v>60</v>
      </c>
      <c r="H148" s="1345" t="s">
        <v>286</v>
      </c>
      <c r="I148" s="1349" t="s">
        <v>109</v>
      </c>
      <c r="J148" s="1350"/>
      <c r="K148" s="1348">
        <v>2691000.0</v>
      </c>
    </row>
    <row r="149">
      <c r="A149" s="1341" t="s">
        <v>12169</v>
      </c>
      <c r="B149" s="1342" t="s">
        <v>12169</v>
      </c>
      <c r="C149" s="1343"/>
      <c r="D149" s="1343"/>
      <c r="E149" s="1343"/>
      <c r="F149" s="1343"/>
      <c r="G149" s="1343"/>
      <c r="H149" s="1342" t="s">
        <v>12169</v>
      </c>
      <c r="I149" s="1343"/>
      <c r="J149" s="1343"/>
      <c r="K149" s="1343"/>
    </row>
    <row r="150">
      <c r="A150" s="1344" t="s">
        <v>12170</v>
      </c>
      <c r="B150" s="1345" t="s">
        <v>5154</v>
      </c>
      <c r="C150" s="1346" t="s">
        <v>5154</v>
      </c>
      <c r="D150" s="1346" t="s">
        <v>287</v>
      </c>
      <c r="E150" s="1346" t="s">
        <v>11943</v>
      </c>
      <c r="F150" s="1346" t="s">
        <v>11931</v>
      </c>
      <c r="G150" s="1345" t="s">
        <v>60</v>
      </c>
      <c r="H150" s="1345" t="s">
        <v>288</v>
      </c>
      <c r="I150" s="1349" t="s">
        <v>137</v>
      </c>
      <c r="J150" s="1350"/>
      <c r="K150" s="1348">
        <v>5880000.0</v>
      </c>
    </row>
    <row r="151">
      <c r="A151" s="1344" t="s">
        <v>12171</v>
      </c>
      <c r="B151" s="1345" t="s">
        <v>12172</v>
      </c>
      <c r="C151" s="1346" t="s">
        <v>5154</v>
      </c>
      <c r="D151" s="1346" t="s">
        <v>289</v>
      </c>
      <c r="E151" s="1346" t="s">
        <v>11940</v>
      </c>
      <c r="F151" s="1346" t="s">
        <v>11944</v>
      </c>
      <c r="G151" s="1345" t="s">
        <v>62</v>
      </c>
      <c r="H151" s="1345" t="s">
        <v>288</v>
      </c>
      <c r="I151" s="1349" t="s">
        <v>1442</v>
      </c>
      <c r="J151" s="1350"/>
      <c r="K151" s="1348">
        <v>4336000.0</v>
      </c>
    </row>
    <row r="152">
      <c r="A152" s="1344" t="s">
        <v>5154</v>
      </c>
      <c r="B152" s="1345" t="s">
        <v>12173</v>
      </c>
      <c r="C152" s="1346" t="s">
        <v>5154</v>
      </c>
      <c r="D152" s="1346" t="s">
        <v>12174</v>
      </c>
      <c r="E152" s="1346" t="s">
        <v>11930</v>
      </c>
      <c r="F152" s="1351" t="s">
        <v>11969</v>
      </c>
      <c r="G152" s="1349" t="s">
        <v>140</v>
      </c>
      <c r="H152" s="1345" t="s">
        <v>288</v>
      </c>
      <c r="I152" s="1350"/>
      <c r="J152" s="1350"/>
      <c r="K152" s="1358">
        <v>1100000.0</v>
      </c>
    </row>
    <row r="153">
      <c r="A153" s="1344" t="s">
        <v>5154</v>
      </c>
      <c r="B153" s="1345" t="s">
        <v>12175</v>
      </c>
      <c r="C153" s="1346" t="s">
        <v>5154</v>
      </c>
      <c r="D153" s="1346" t="s">
        <v>12176</v>
      </c>
      <c r="E153" s="1346" t="s">
        <v>11930</v>
      </c>
      <c r="F153" s="1351" t="s">
        <v>11969</v>
      </c>
      <c r="G153" s="1349" t="s">
        <v>146</v>
      </c>
      <c r="H153" s="1345" t="s">
        <v>288</v>
      </c>
      <c r="I153" s="1350"/>
      <c r="J153" s="1350"/>
      <c r="K153" s="1358">
        <v>1100000.0</v>
      </c>
    </row>
    <row r="154">
      <c r="A154" s="1341" t="s">
        <v>12177</v>
      </c>
      <c r="B154" s="1342" t="s">
        <v>12177</v>
      </c>
      <c r="C154" s="1343"/>
      <c r="D154" s="1343"/>
      <c r="E154" s="1343"/>
      <c r="F154" s="1343"/>
      <c r="G154" s="1343"/>
      <c r="H154" s="1342" t="s">
        <v>12177</v>
      </c>
      <c r="I154" s="1343"/>
      <c r="J154" s="1343"/>
      <c r="K154" s="1343"/>
    </row>
    <row r="155">
      <c r="A155" s="1344" t="s">
        <v>5154</v>
      </c>
      <c r="B155" s="1345" t="s">
        <v>12178</v>
      </c>
      <c r="C155" s="1346" t="s">
        <v>5154</v>
      </c>
      <c r="D155" s="1351" t="s">
        <v>12179</v>
      </c>
      <c r="E155" s="1346" t="s">
        <v>11930</v>
      </c>
      <c r="F155" s="1346" t="s">
        <v>11931</v>
      </c>
      <c r="G155" s="1349" t="s">
        <v>60</v>
      </c>
      <c r="H155" s="1349" t="s">
        <v>12180</v>
      </c>
      <c r="I155" s="1349" t="s">
        <v>745</v>
      </c>
      <c r="J155" s="1350"/>
      <c r="K155" s="1359">
        <v>6000000.0</v>
      </c>
    </row>
    <row r="156">
      <c r="A156" s="1341" t="s">
        <v>11590</v>
      </c>
      <c r="B156" s="1342" t="s">
        <v>11590</v>
      </c>
      <c r="C156" s="1343"/>
      <c r="D156" s="1343"/>
      <c r="E156" s="1343"/>
      <c r="F156" s="1343"/>
      <c r="G156" s="1343"/>
      <c r="H156" s="1342" t="s">
        <v>11590</v>
      </c>
      <c r="I156" s="1343"/>
      <c r="J156" s="1343"/>
      <c r="K156" s="1343"/>
    </row>
    <row r="157">
      <c r="A157" s="1344" t="s">
        <v>12181</v>
      </c>
      <c r="B157" s="1345" t="s">
        <v>12182</v>
      </c>
      <c r="C157" s="1346" t="s">
        <v>5154</v>
      </c>
      <c r="D157" s="1346" t="s">
        <v>290</v>
      </c>
      <c r="E157" s="1346" t="s">
        <v>11940</v>
      </c>
      <c r="F157" s="1346" t="s">
        <v>11931</v>
      </c>
      <c r="G157" s="1345" t="s">
        <v>60</v>
      </c>
      <c r="H157" s="1345" t="s">
        <v>291</v>
      </c>
      <c r="I157" s="1349" t="s">
        <v>137</v>
      </c>
      <c r="J157" s="1350"/>
      <c r="K157" s="1348">
        <v>2175000.0</v>
      </c>
    </row>
    <row r="158">
      <c r="A158" s="1344" t="s">
        <v>12183</v>
      </c>
      <c r="B158" s="1345" t="s">
        <v>12184</v>
      </c>
      <c r="C158" s="1346" t="s">
        <v>5154</v>
      </c>
      <c r="D158" s="1346" t="s">
        <v>292</v>
      </c>
      <c r="E158" s="1346" t="s">
        <v>11940</v>
      </c>
      <c r="F158" s="1346" t="s">
        <v>11931</v>
      </c>
      <c r="G158" s="1345" t="s">
        <v>60</v>
      </c>
      <c r="H158" s="1345" t="s">
        <v>291</v>
      </c>
      <c r="I158" s="1349" t="s">
        <v>90</v>
      </c>
      <c r="J158" s="1350"/>
      <c r="K158" s="1348">
        <v>2175000.0</v>
      </c>
    </row>
    <row r="159">
      <c r="A159" s="1344" t="s">
        <v>12185</v>
      </c>
      <c r="B159" s="1345" t="s">
        <v>12186</v>
      </c>
      <c r="C159" s="1346" t="s">
        <v>5154</v>
      </c>
      <c r="D159" s="1346" t="s">
        <v>293</v>
      </c>
      <c r="E159" s="1346" t="s">
        <v>11940</v>
      </c>
      <c r="F159" s="1346" t="s">
        <v>11944</v>
      </c>
      <c r="G159" s="1345" t="s">
        <v>62</v>
      </c>
      <c r="H159" s="1345" t="s">
        <v>291</v>
      </c>
      <c r="I159" s="1349" t="s">
        <v>1437</v>
      </c>
      <c r="J159" s="1350"/>
      <c r="K159" s="1348">
        <v>1939000.0</v>
      </c>
    </row>
    <row r="160">
      <c r="A160" s="1344" t="s">
        <v>12187</v>
      </c>
      <c r="B160" s="1345" t="s">
        <v>12188</v>
      </c>
      <c r="C160" s="1346" t="s">
        <v>5154</v>
      </c>
      <c r="D160" s="1346" t="s">
        <v>294</v>
      </c>
      <c r="E160" s="1346" t="s">
        <v>11940</v>
      </c>
      <c r="F160" s="1346" t="s">
        <v>11969</v>
      </c>
      <c r="G160" s="1345" t="s">
        <v>140</v>
      </c>
      <c r="H160" s="1345" t="s">
        <v>291</v>
      </c>
      <c r="I160" s="1350"/>
      <c r="J160" s="1350"/>
      <c r="K160" s="1348">
        <v>725000.0</v>
      </c>
    </row>
    <row r="161">
      <c r="A161" s="1344" t="s">
        <v>12189</v>
      </c>
      <c r="B161" s="1345" t="s">
        <v>12190</v>
      </c>
      <c r="C161" s="1346" t="s">
        <v>5154</v>
      </c>
      <c r="D161" s="1346" t="s">
        <v>295</v>
      </c>
      <c r="E161" s="1346" t="s">
        <v>11940</v>
      </c>
      <c r="F161" s="1346" t="s">
        <v>11969</v>
      </c>
      <c r="G161" s="1345" t="s">
        <v>142</v>
      </c>
      <c r="H161" s="1345" t="s">
        <v>291</v>
      </c>
      <c r="I161" s="1350"/>
      <c r="J161" s="1350"/>
      <c r="K161" s="1348">
        <v>725000.0</v>
      </c>
    </row>
    <row r="162">
      <c r="A162" s="1344" t="s">
        <v>12191</v>
      </c>
      <c r="B162" s="1345" t="s">
        <v>12192</v>
      </c>
      <c r="C162" s="1346" t="s">
        <v>5154</v>
      </c>
      <c r="D162" s="1346" t="s">
        <v>296</v>
      </c>
      <c r="E162" s="1346" t="s">
        <v>11940</v>
      </c>
      <c r="F162" s="1346" t="s">
        <v>11969</v>
      </c>
      <c r="G162" s="1345" t="s">
        <v>144</v>
      </c>
      <c r="H162" s="1345" t="s">
        <v>291</v>
      </c>
      <c r="I162" s="1349" t="s">
        <v>155</v>
      </c>
      <c r="J162" s="1350"/>
      <c r="K162" s="1348">
        <v>725000.0</v>
      </c>
    </row>
    <row r="163">
      <c r="A163" s="1344" t="s">
        <v>12193</v>
      </c>
      <c r="B163" s="1345" t="s">
        <v>12194</v>
      </c>
      <c r="C163" s="1346" t="s">
        <v>5154</v>
      </c>
      <c r="D163" s="1346" t="s">
        <v>297</v>
      </c>
      <c r="E163" s="1346" t="s">
        <v>11940</v>
      </c>
      <c r="F163" s="1346" t="s">
        <v>11969</v>
      </c>
      <c r="G163" s="1345" t="s">
        <v>146</v>
      </c>
      <c r="H163" s="1345" t="s">
        <v>291</v>
      </c>
      <c r="I163" s="1349" t="s">
        <v>155</v>
      </c>
      <c r="J163" s="1350"/>
      <c r="K163" s="1348">
        <v>725000.0</v>
      </c>
    </row>
    <row r="164">
      <c r="A164" s="1344" t="s">
        <v>12195</v>
      </c>
      <c r="B164" s="1345" t="s">
        <v>12196</v>
      </c>
      <c r="C164" s="1346" t="s">
        <v>5154</v>
      </c>
      <c r="D164" s="1346" t="s">
        <v>298</v>
      </c>
      <c r="E164" s="1346" t="s">
        <v>11940</v>
      </c>
      <c r="F164" s="1346" t="s">
        <v>11931</v>
      </c>
      <c r="G164" s="1345" t="s">
        <v>60</v>
      </c>
      <c r="H164" s="1345" t="s">
        <v>12197</v>
      </c>
      <c r="I164" s="1349" t="s">
        <v>137</v>
      </c>
      <c r="J164" s="1350"/>
      <c r="K164" s="1348">
        <v>1682000.0</v>
      </c>
    </row>
    <row r="165">
      <c r="A165" s="1344" t="s">
        <v>12198</v>
      </c>
      <c r="B165" s="1345" t="s">
        <v>12199</v>
      </c>
      <c r="C165" s="1346" t="s">
        <v>5154</v>
      </c>
      <c r="D165" s="1346" t="s">
        <v>300</v>
      </c>
      <c r="E165" s="1346" t="s">
        <v>11943</v>
      </c>
      <c r="F165" s="1346" t="s">
        <v>11944</v>
      </c>
      <c r="G165" s="1345" t="s">
        <v>62</v>
      </c>
      <c r="H165" s="1345" t="s">
        <v>299</v>
      </c>
      <c r="I165" s="1349" t="s">
        <v>12091</v>
      </c>
      <c r="J165" s="1350"/>
      <c r="K165" s="1348">
        <v>2180000.0</v>
      </c>
    </row>
    <row r="166">
      <c r="A166" s="1344" t="s">
        <v>5154</v>
      </c>
      <c r="B166" s="1345" t="s">
        <v>12200</v>
      </c>
      <c r="C166" s="1346" t="s">
        <v>12201</v>
      </c>
      <c r="D166" s="1346" t="s">
        <v>301</v>
      </c>
      <c r="E166" s="1346" t="s">
        <v>12158</v>
      </c>
      <c r="F166" s="1346" t="s">
        <v>11931</v>
      </c>
      <c r="G166" s="1345" t="s">
        <v>60</v>
      </c>
      <c r="H166" s="1345" t="s">
        <v>302</v>
      </c>
      <c r="I166" s="1349" t="s">
        <v>109</v>
      </c>
      <c r="J166" s="1350"/>
      <c r="K166" s="1348">
        <v>1111000.0</v>
      </c>
    </row>
    <row r="167">
      <c r="A167" s="1344" t="s">
        <v>12202</v>
      </c>
      <c r="B167" s="1345" t="s">
        <v>12203</v>
      </c>
      <c r="C167" s="1346" t="s">
        <v>5154</v>
      </c>
      <c r="D167" s="1346" t="s">
        <v>303</v>
      </c>
      <c r="E167" s="1346" t="s">
        <v>11940</v>
      </c>
      <c r="F167" s="1346" t="s">
        <v>11944</v>
      </c>
      <c r="G167" s="1345" t="s">
        <v>62</v>
      </c>
      <c r="H167" s="1345" t="s">
        <v>12204</v>
      </c>
      <c r="I167" s="1349" t="s">
        <v>1442</v>
      </c>
      <c r="J167" s="1350"/>
      <c r="K167" s="1348">
        <v>1928000.0</v>
      </c>
    </row>
    <row r="168">
      <c r="A168" s="1344" t="s">
        <v>5154</v>
      </c>
      <c r="B168" s="1345" t="s">
        <v>12205</v>
      </c>
      <c r="C168" s="1346" t="s">
        <v>5154</v>
      </c>
      <c r="D168" s="1346" t="s">
        <v>12206</v>
      </c>
      <c r="E168" s="1346" t="s">
        <v>11930</v>
      </c>
      <c r="F168" s="1351" t="s">
        <v>11931</v>
      </c>
      <c r="G168" s="1349" t="s">
        <v>60</v>
      </c>
      <c r="H168" s="1345" t="s">
        <v>12207</v>
      </c>
      <c r="I168" s="1349" t="s">
        <v>314</v>
      </c>
      <c r="J168" s="1350"/>
      <c r="K168" s="1348">
        <v>2350000.0</v>
      </c>
    </row>
    <row r="169">
      <c r="A169" s="1344" t="s">
        <v>12208</v>
      </c>
      <c r="B169" s="1345" t="s">
        <v>12209</v>
      </c>
      <c r="C169" s="1346" t="s">
        <v>12210</v>
      </c>
      <c r="D169" s="1346" t="s">
        <v>305</v>
      </c>
      <c r="E169" s="1346" t="s">
        <v>11940</v>
      </c>
      <c r="F169" s="1346" t="s">
        <v>11931</v>
      </c>
      <c r="G169" s="1345" t="s">
        <v>60</v>
      </c>
      <c r="H169" s="1345" t="s">
        <v>306</v>
      </c>
      <c r="I169" s="1349" t="s">
        <v>137</v>
      </c>
      <c r="J169" s="1350"/>
      <c r="K169" s="1348">
        <v>1302000.0</v>
      </c>
    </row>
    <row r="170">
      <c r="A170" s="1344" t="s">
        <v>12211</v>
      </c>
      <c r="B170" s="1345" t="s">
        <v>12212</v>
      </c>
      <c r="C170" s="1346" t="s">
        <v>5154</v>
      </c>
      <c r="D170" s="1346" t="s">
        <v>307</v>
      </c>
      <c r="E170" s="1346" t="s">
        <v>11940</v>
      </c>
      <c r="F170" s="1346" t="s">
        <v>11944</v>
      </c>
      <c r="G170" s="1345" t="s">
        <v>62</v>
      </c>
      <c r="H170" s="1345" t="s">
        <v>306</v>
      </c>
      <c r="I170" s="1349" t="s">
        <v>1442</v>
      </c>
      <c r="J170" s="1350"/>
      <c r="K170" s="1348">
        <v>1272000.0</v>
      </c>
    </row>
    <row r="171">
      <c r="A171" s="1344" t="s">
        <v>12213</v>
      </c>
      <c r="B171" s="1345" t="s">
        <v>12214</v>
      </c>
      <c r="C171" s="1346" t="s">
        <v>5154</v>
      </c>
      <c r="D171" s="1346" t="s">
        <v>308</v>
      </c>
      <c r="E171" s="1346" t="s">
        <v>11940</v>
      </c>
      <c r="F171" s="1346" t="s">
        <v>11969</v>
      </c>
      <c r="G171" s="1345" t="s">
        <v>140</v>
      </c>
      <c r="H171" s="1345" t="s">
        <v>306</v>
      </c>
      <c r="I171" s="1349" t="s">
        <v>155</v>
      </c>
      <c r="J171" s="1350"/>
      <c r="K171" s="1348">
        <v>660000.0</v>
      </c>
    </row>
    <row r="172">
      <c r="A172" s="1344" t="s">
        <v>12215</v>
      </c>
      <c r="B172" s="1345" t="s">
        <v>12216</v>
      </c>
      <c r="C172" s="1346" t="s">
        <v>5154</v>
      </c>
      <c r="D172" s="1346" t="s">
        <v>309</v>
      </c>
      <c r="E172" s="1346" t="s">
        <v>11940</v>
      </c>
      <c r="F172" s="1346" t="s">
        <v>11969</v>
      </c>
      <c r="G172" s="1345" t="s">
        <v>142</v>
      </c>
      <c r="H172" s="1345" t="s">
        <v>306</v>
      </c>
      <c r="I172" s="1349" t="s">
        <v>155</v>
      </c>
      <c r="J172" s="1350"/>
      <c r="K172" s="1348">
        <v>660000.0</v>
      </c>
    </row>
    <row r="173">
      <c r="A173" s="1344" t="s">
        <v>12217</v>
      </c>
      <c r="B173" s="1345" t="s">
        <v>12218</v>
      </c>
      <c r="C173" s="1346" t="s">
        <v>5154</v>
      </c>
      <c r="D173" s="1346" t="s">
        <v>310</v>
      </c>
      <c r="E173" s="1346" t="s">
        <v>11940</v>
      </c>
      <c r="F173" s="1346" t="s">
        <v>11969</v>
      </c>
      <c r="G173" s="1345" t="s">
        <v>144</v>
      </c>
      <c r="H173" s="1345" t="s">
        <v>306</v>
      </c>
      <c r="I173" s="1350"/>
      <c r="J173" s="1350"/>
      <c r="K173" s="1348">
        <v>660000.0</v>
      </c>
    </row>
    <row r="174">
      <c r="A174" s="1344" t="s">
        <v>12219</v>
      </c>
      <c r="B174" s="1345" t="s">
        <v>12220</v>
      </c>
      <c r="C174" s="1346" t="s">
        <v>5154</v>
      </c>
      <c r="D174" s="1346" t="s">
        <v>311</v>
      </c>
      <c r="E174" s="1346" t="s">
        <v>11940</v>
      </c>
      <c r="F174" s="1346" t="s">
        <v>11969</v>
      </c>
      <c r="G174" s="1345" t="s">
        <v>146</v>
      </c>
      <c r="H174" s="1345" t="s">
        <v>306</v>
      </c>
      <c r="I174" s="1350"/>
      <c r="J174" s="1350"/>
      <c r="K174" s="1348">
        <v>660000.0</v>
      </c>
    </row>
    <row r="175">
      <c r="A175" s="1344" t="s">
        <v>12221</v>
      </c>
      <c r="B175" s="1345" t="s">
        <v>12222</v>
      </c>
      <c r="C175" s="1346" t="s">
        <v>5154</v>
      </c>
      <c r="D175" s="1346" t="s">
        <v>312</v>
      </c>
      <c r="E175" s="1346" t="s">
        <v>11940</v>
      </c>
      <c r="F175" s="1346" t="s">
        <v>11931</v>
      </c>
      <c r="G175" s="1345" t="s">
        <v>60</v>
      </c>
      <c r="H175" s="1345" t="s">
        <v>313</v>
      </c>
      <c r="I175" s="1349" t="s">
        <v>314</v>
      </c>
      <c r="J175" s="1350"/>
      <c r="K175" s="1348">
        <v>2521000.0</v>
      </c>
    </row>
    <row r="176">
      <c r="A176" s="1344" t="s">
        <v>12223</v>
      </c>
      <c r="B176" s="1345" t="s">
        <v>12224</v>
      </c>
      <c r="C176" s="1346" t="s">
        <v>5154</v>
      </c>
      <c r="D176" s="1346" t="s">
        <v>315</v>
      </c>
      <c r="E176" s="1346" t="s">
        <v>11940</v>
      </c>
      <c r="F176" s="1346" t="s">
        <v>11931</v>
      </c>
      <c r="G176" s="1345" t="s">
        <v>60</v>
      </c>
      <c r="H176" s="1345" t="s">
        <v>316</v>
      </c>
      <c r="I176" s="1349" t="s">
        <v>90</v>
      </c>
      <c r="J176" s="1350"/>
      <c r="K176" s="1348">
        <v>2521000.0</v>
      </c>
    </row>
    <row r="177">
      <c r="A177" s="1344" t="s">
        <v>12225</v>
      </c>
      <c r="B177" s="1345" t="s">
        <v>12226</v>
      </c>
      <c r="C177" s="1346" t="s">
        <v>5154</v>
      </c>
      <c r="D177" s="1346" t="s">
        <v>317</v>
      </c>
      <c r="E177" s="1346" t="s">
        <v>11940</v>
      </c>
      <c r="F177" s="1346" t="s">
        <v>11931</v>
      </c>
      <c r="G177" s="1345" t="s">
        <v>60</v>
      </c>
      <c r="H177" s="1345" t="s">
        <v>318</v>
      </c>
      <c r="I177" s="1349" t="s">
        <v>137</v>
      </c>
      <c r="J177" s="1350"/>
      <c r="K177" s="1348">
        <v>2017000.0</v>
      </c>
    </row>
    <row r="178">
      <c r="A178" s="1344" t="s">
        <v>12227</v>
      </c>
      <c r="B178" s="1345" t="s">
        <v>5154</v>
      </c>
      <c r="C178" s="1346" t="s">
        <v>5154</v>
      </c>
      <c r="D178" s="1346" t="s">
        <v>319</v>
      </c>
      <c r="E178" s="1346" t="s">
        <v>11943</v>
      </c>
      <c r="F178" s="1346" t="s">
        <v>11944</v>
      </c>
      <c r="G178" s="1345" t="s">
        <v>62</v>
      </c>
      <c r="H178" s="1345" t="s">
        <v>320</v>
      </c>
      <c r="I178" s="1349" t="s">
        <v>1437</v>
      </c>
      <c r="J178" s="1350"/>
      <c r="K178" s="1348">
        <v>2708000.0</v>
      </c>
    </row>
    <row r="179">
      <c r="A179" s="1344" t="s">
        <v>12228</v>
      </c>
      <c r="B179" s="1345" t="s">
        <v>12229</v>
      </c>
      <c r="C179" s="1346" t="s">
        <v>5154</v>
      </c>
      <c r="D179" s="1346" t="s">
        <v>321</v>
      </c>
      <c r="E179" s="1346" t="s">
        <v>11940</v>
      </c>
      <c r="F179" s="1346" t="s">
        <v>11931</v>
      </c>
      <c r="G179" s="1345" t="s">
        <v>60</v>
      </c>
      <c r="H179" s="1345" t="s">
        <v>322</v>
      </c>
      <c r="I179" s="1349" t="s">
        <v>314</v>
      </c>
      <c r="J179" s="1350"/>
      <c r="K179" s="1348">
        <v>5559000.0</v>
      </c>
    </row>
    <row r="180">
      <c r="A180" s="1344" t="s">
        <v>12230</v>
      </c>
      <c r="B180" s="1345" t="s">
        <v>5154</v>
      </c>
      <c r="C180" s="1346" t="s">
        <v>5154</v>
      </c>
      <c r="D180" s="1346" t="s">
        <v>323</v>
      </c>
      <c r="E180" s="1346" t="s">
        <v>11943</v>
      </c>
      <c r="F180" s="1346" t="s">
        <v>11944</v>
      </c>
      <c r="G180" s="1345" t="s">
        <v>62</v>
      </c>
      <c r="H180" s="1345" t="s">
        <v>324</v>
      </c>
      <c r="I180" s="1349" t="s">
        <v>1437</v>
      </c>
      <c r="J180" s="1350"/>
      <c r="K180" s="1348">
        <v>2997000.0</v>
      </c>
    </row>
    <row r="181">
      <c r="A181" s="1344" t="s">
        <v>5154</v>
      </c>
      <c r="B181" s="1345" t="s">
        <v>12231</v>
      </c>
      <c r="C181" s="1346" t="s">
        <v>5154</v>
      </c>
      <c r="D181" s="1346" t="s">
        <v>1384</v>
      </c>
      <c r="E181" s="1346" t="s">
        <v>11930</v>
      </c>
      <c r="F181" s="1346" t="s">
        <v>11931</v>
      </c>
      <c r="G181" s="1345" t="s">
        <v>60</v>
      </c>
      <c r="H181" s="1345" t="s">
        <v>12232</v>
      </c>
      <c r="I181" s="1349" t="s">
        <v>90</v>
      </c>
      <c r="J181" s="1350"/>
      <c r="K181" s="1348">
        <v>8005000.0</v>
      </c>
    </row>
    <row r="182">
      <c r="A182" s="1344" t="s">
        <v>12233</v>
      </c>
      <c r="B182" s="1345" t="s">
        <v>12234</v>
      </c>
      <c r="C182" s="1346" t="s">
        <v>5154</v>
      </c>
      <c r="D182" s="1346" t="s">
        <v>325</v>
      </c>
      <c r="E182" s="1346" t="s">
        <v>11940</v>
      </c>
      <c r="F182" s="1346" t="s">
        <v>11931</v>
      </c>
      <c r="G182" s="1345" t="s">
        <v>60</v>
      </c>
      <c r="H182" s="1345" t="s">
        <v>326</v>
      </c>
      <c r="I182" s="1349" t="s">
        <v>90</v>
      </c>
      <c r="J182" s="1350"/>
      <c r="K182" s="1348">
        <v>1647000.0</v>
      </c>
    </row>
    <row r="183">
      <c r="A183" s="1344" t="s">
        <v>5154</v>
      </c>
      <c r="B183" s="1345" t="s">
        <v>12235</v>
      </c>
      <c r="C183" s="1346" t="s">
        <v>12236</v>
      </c>
      <c r="D183" s="1346" t="s">
        <v>1386</v>
      </c>
      <c r="E183" s="1346" t="s">
        <v>12158</v>
      </c>
      <c r="F183" s="1346" t="s">
        <v>11931</v>
      </c>
      <c r="G183" s="1345" t="s">
        <v>60</v>
      </c>
      <c r="H183" s="1345" t="s">
        <v>326</v>
      </c>
      <c r="I183" s="1349" t="s">
        <v>137</v>
      </c>
      <c r="J183" s="1350"/>
      <c r="K183" s="1348">
        <v>1439000.0</v>
      </c>
    </row>
    <row r="184">
      <c r="A184" s="1344" t="s">
        <v>5154</v>
      </c>
      <c r="B184" s="1345" t="s">
        <v>12237</v>
      </c>
      <c r="C184" s="1346" t="s">
        <v>5154</v>
      </c>
      <c r="D184" s="1346" t="s">
        <v>1387</v>
      </c>
      <c r="E184" s="1346" t="s">
        <v>11930</v>
      </c>
      <c r="F184" s="1346" t="s">
        <v>11944</v>
      </c>
      <c r="G184" s="1345" t="s">
        <v>62</v>
      </c>
      <c r="H184" s="1345" t="s">
        <v>326</v>
      </c>
      <c r="I184" s="1349" t="s">
        <v>1442</v>
      </c>
      <c r="J184" s="1350"/>
      <c r="K184" s="1348">
        <v>849000.0</v>
      </c>
    </row>
    <row r="185">
      <c r="A185" s="1341" t="s">
        <v>12238</v>
      </c>
      <c r="B185" s="1342" t="s">
        <v>12238</v>
      </c>
      <c r="C185" s="1343"/>
      <c r="D185" s="1343"/>
      <c r="E185" s="1343"/>
      <c r="F185" s="1343"/>
      <c r="G185" s="1343"/>
      <c r="H185" s="1342" t="s">
        <v>12238</v>
      </c>
      <c r="I185" s="1343"/>
      <c r="J185" s="1343"/>
      <c r="K185" s="1343"/>
    </row>
    <row r="186">
      <c r="A186" s="1344" t="s">
        <v>12239</v>
      </c>
      <c r="B186" s="1345" t="s">
        <v>5154</v>
      </c>
      <c r="C186" s="1346" t="s">
        <v>5154</v>
      </c>
      <c r="D186" s="1346" t="s">
        <v>327</v>
      </c>
      <c r="E186" s="1346" t="s">
        <v>11943</v>
      </c>
      <c r="F186" s="1346" t="s">
        <v>11931</v>
      </c>
      <c r="G186" s="1345" t="s">
        <v>60</v>
      </c>
      <c r="H186" s="1345" t="s">
        <v>328</v>
      </c>
      <c r="I186" s="1349" t="s">
        <v>137</v>
      </c>
      <c r="J186" s="1350"/>
      <c r="K186" s="1348">
        <v>2179000.0</v>
      </c>
    </row>
    <row r="187">
      <c r="A187" s="1344" t="s">
        <v>5154</v>
      </c>
      <c r="B187" s="1345" t="s">
        <v>12240</v>
      </c>
      <c r="C187" s="1346" t="s">
        <v>5154</v>
      </c>
      <c r="D187" s="1351" t="s">
        <v>1388</v>
      </c>
      <c r="E187" s="1346" t="s">
        <v>11930</v>
      </c>
      <c r="F187" s="1346" t="s">
        <v>11931</v>
      </c>
      <c r="G187" s="1345" t="s">
        <v>60</v>
      </c>
      <c r="H187" s="1345" t="s">
        <v>1389</v>
      </c>
      <c r="I187" s="1349" t="s">
        <v>137</v>
      </c>
      <c r="J187" s="1350"/>
      <c r="K187" s="1348">
        <v>1943000.0</v>
      </c>
    </row>
    <row r="188">
      <c r="A188" s="1344" t="s">
        <v>12241</v>
      </c>
      <c r="B188" s="1345" t="s">
        <v>12242</v>
      </c>
      <c r="C188" s="1346" t="s">
        <v>5154</v>
      </c>
      <c r="D188" s="1346" t="s">
        <v>329</v>
      </c>
      <c r="E188" s="1346" t="s">
        <v>11940</v>
      </c>
      <c r="F188" s="1346" t="s">
        <v>11931</v>
      </c>
      <c r="G188" s="1345" t="s">
        <v>60</v>
      </c>
      <c r="H188" s="1345" t="s">
        <v>330</v>
      </c>
      <c r="I188" s="1349" t="s">
        <v>137</v>
      </c>
      <c r="J188" s="1350"/>
      <c r="K188" s="1348">
        <v>2179000.0</v>
      </c>
    </row>
    <row r="189">
      <c r="A189" s="1344" t="s">
        <v>5154</v>
      </c>
      <c r="B189" s="1345" t="s">
        <v>12243</v>
      </c>
      <c r="C189" s="1346" t="s">
        <v>5154</v>
      </c>
      <c r="D189" s="1346" t="s">
        <v>1390</v>
      </c>
      <c r="E189" s="1346" t="s">
        <v>11930</v>
      </c>
      <c r="F189" s="1346" t="s">
        <v>11944</v>
      </c>
      <c r="G189" s="1345" t="s">
        <v>62</v>
      </c>
      <c r="H189" s="1345" t="s">
        <v>1391</v>
      </c>
      <c r="I189" s="1349" t="s">
        <v>1437</v>
      </c>
      <c r="J189" s="1350"/>
      <c r="K189" s="1348">
        <v>2518000.0</v>
      </c>
    </row>
    <row r="190">
      <c r="A190" s="1341" t="s">
        <v>11495</v>
      </c>
      <c r="B190" s="1342" t="s">
        <v>11495</v>
      </c>
      <c r="C190" s="1343"/>
      <c r="D190" s="1343"/>
      <c r="E190" s="1343"/>
      <c r="F190" s="1343"/>
      <c r="G190" s="1343"/>
      <c r="H190" s="1342" t="s">
        <v>11495</v>
      </c>
      <c r="I190" s="1343"/>
      <c r="J190" s="1343"/>
      <c r="K190" s="1343"/>
    </row>
    <row r="191">
      <c r="A191" s="1344" t="s">
        <v>12244</v>
      </c>
      <c r="B191" s="1345" t="s">
        <v>12245</v>
      </c>
      <c r="C191" s="1346" t="s">
        <v>5154</v>
      </c>
      <c r="D191" s="1346" t="s">
        <v>331</v>
      </c>
      <c r="E191" s="1346" t="s">
        <v>11940</v>
      </c>
      <c r="F191" s="1346" t="s">
        <v>11931</v>
      </c>
      <c r="G191" s="1345" t="s">
        <v>60</v>
      </c>
      <c r="H191" s="1345" t="s">
        <v>332</v>
      </c>
      <c r="I191" s="1349" t="s">
        <v>109</v>
      </c>
      <c r="J191" s="1350"/>
      <c r="K191" s="1348">
        <v>1373000.0</v>
      </c>
    </row>
    <row r="192">
      <c r="A192" s="1344" t="s">
        <v>12246</v>
      </c>
      <c r="B192" s="1345" t="s">
        <v>5154</v>
      </c>
      <c r="C192" s="1346" t="s">
        <v>5154</v>
      </c>
      <c r="D192" s="1346" t="s">
        <v>333</v>
      </c>
      <c r="E192" s="1346" t="s">
        <v>11943</v>
      </c>
      <c r="F192" s="1346" t="s">
        <v>11944</v>
      </c>
      <c r="G192" s="1345" t="s">
        <v>62</v>
      </c>
      <c r="H192" s="1345" t="s">
        <v>332</v>
      </c>
      <c r="I192" s="1349" t="s">
        <v>1442</v>
      </c>
      <c r="J192" s="1350"/>
      <c r="K192" s="1348">
        <v>1686000.0</v>
      </c>
    </row>
    <row r="193">
      <c r="A193" s="1344" t="s">
        <v>12247</v>
      </c>
      <c r="B193" s="1345" t="s">
        <v>5154</v>
      </c>
      <c r="C193" s="1346" t="s">
        <v>5154</v>
      </c>
      <c r="D193" s="1346" t="s">
        <v>334</v>
      </c>
      <c r="E193" s="1346" t="s">
        <v>11943</v>
      </c>
      <c r="F193" s="1346" t="s">
        <v>11969</v>
      </c>
      <c r="G193" s="1345" t="s">
        <v>140</v>
      </c>
      <c r="H193" s="1345" t="s">
        <v>332</v>
      </c>
      <c r="I193" s="1350"/>
      <c r="J193" s="1350"/>
      <c r="K193" s="1348">
        <v>579000.0</v>
      </c>
    </row>
    <row r="194">
      <c r="A194" s="1344" t="s">
        <v>12248</v>
      </c>
      <c r="B194" s="1345" t="s">
        <v>12249</v>
      </c>
      <c r="C194" s="1346" t="s">
        <v>5154</v>
      </c>
      <c r="D194" s="1346" t="s">
        <v>335</v>
      </c>
      <c r="E194" s="1346" t="s">
        <v>11940</v>
      </c>
      <c r="F194" s="1346" t="s">
        <v>11969</v>
      </c>
      <c r="G194" s="1345" t="s">
        <v>142</v>
      </c>
      <c r="H194" s="1345" t="s">
        <v>332</v>
      </c>
      <c r="I194" s="1350"/>
      <c r="J194" s="1350"/>
      <c r="K194" s="1348">
        <v>579000.0</v>
      </c>
    </row>
    <row r="195">
      <c r="A195" s="1344" t="s">
        <v>12250</v>
      </c>
      <c r="B195" s="1345" t="s">
        <v>5154</v>
      </c>
      <c r="C195" s="1346" t="s">
        <v>5154</v>
      </c>
      <c r="D195" s="1346" t="s">
        <v>336</v>
      </c>
      <c r="E195" s="1346" t="s">
        <v>11943</v>
      </c>
      <c r="F195" s="1346" t="s">
        <v>11969</v>
      </c>
      <c r="G195" s="1345" t="s">
        <v>144</v>
      </c>
      <c r="H195" s="1345" t="s">
        <v>332</v>
      </c>
      <c r="I195" s="1350"/>
      <c r="J195" s="1350"/>
      <c r="K195" s="1348">
        <v>459000.0</v>
      </c>
    </row>
    <row r="196">
      <c r="A196" s="1344" t="s">
        <v>12251</v>
      </c>
      <c r="B196" s="1345" t="s">
        <v>5154</v>
      </c>
      <c r="C196" s="1346" t="s">
        <v>5154</v>
      </c>
      <c r="D196" s="1346" t="s">
        <v>337</v>
      </c>
      <c r="E196" s="1346" t="s">
        <v>11943</v>
      </c>
      <c r="F196" s="1346" t="s">
        <v>11969</v>
      </c>
      <c r="G196" s="1345" t="s">
        <v>146</v>
      </c>
      <c r="H196" s="1345" t="s">
        <v>332</v>
      </c>
      <c r="I196" s="1350"/>
      <c r="J196" s="1350"/>
      <c r="K196" s="1348">
        <v>459000.0</v>
      </c>
    </row>
    <row r="197">
      <c r="A197" s="1344" t="s">
        <v>12252</v>
      </c>
      <c r="B197" s="1345" t="s">
        <v>12253</v>
      </c>
      <c r="C197" s="1346" t="s">
        <v>5154</v>
      </c>
      <c r="D197" s="1346" t="s">
        <v>338</v>
      </c>
      <c r="E197" s="1346" t="s">
        <v>11940</v>
      </c>
      <c r="F197" s="1346" t="s">
        <v>11931</v>
      </c>
      <c r="G197" s="1345" t="s">
        <v>60</v>
      </c>
      <c r="H197" s="1345" t="s">
        <v>339</v>
      </c>
      <c r="I197" s="1349" t="s">
        <v>109</v>
      </c>
      <c r="J197" s="1350"/>
      <c r="K197" s="1348">
        <v>1352000.0</v>
      </c>
    </row>
    <row r="198">
      <c r="A198" s="1344" t="s">
        <v>12254</v>
      </c>
      <c r="B198" s="1345" t="s">
        <v>12255</v>
      </c>
      <c r="C198" s="1346" t="s">
        <v>5154</v>
      </c>
      <c r="D198" s="1346" t="s">
        <v>340</v>
      </c>
      <c r="E198" s="1346" t="s">
        <v>11940</v>
      </c>
      <c r="F198" s="1346" t="s">
        <v>11944</v>
      </c>
      <c r="G198" s="1345" t="s">
        <v>62</v>
      </c>
      <c r="H198" s="1345" t="s">
        <v>339</v>
      </c>
      <c r="I198" s="1349" t="s">
        <v>1442</v>
      </c>
      <c r="J198" s="1350"/>
      <c r="K198" s="1348">
        <v>1458000.0</v>
      </c>
    </row>
    <row r="199">
      <c r="A199" s="1344" t="s">
        <v>12256</v>
      </c>
      <c r="B199" s="1345" t="s">
        <v>12257</v>
      </c>
      <c r="C199" s="1346" t="s">
        <v>5154</v>
      </c>
      <c r="D199" s="1346" t="s">
        <v>341</v>
      </c>
      <c r="E199" s="1346" t="s">
        <v>11940</v>
      </c>
      <c r="F199" s="1346" t="s">
        <v>11931</v>
      </c>
      <c r="G199" s="1345" t="s">
        <v>60</v>
      </c>
      <c r="H199" s="1345" t="s">
        <v>342</v>
      </c>
      <c r="I199" s="1349" t="s">
        <v>109</v>
      </c>
      <c r="J199" s="1350"/>
      <c r="K199" s="1348">
        <v>1453000.0</v>
      </c>
    </row>
    <row r="200">
      <c r="A200" s="1344" t="s">
        <v>12258</v>
      </c>
      <c r="B200" s="1345" t="s">
        <v>12259</v>
      </c>
      <c r="C200" s="1346" t="s">
        <v>5154</v>
      </c>
      <c r="D200" s="1346" t="s">
        <v>343</v>
      </c>
      <c r="E200" s="1346" t="s">
        <v>11940</v>
      </c>
      <c r="F200" s="1346" t="s">
        <v>11944</v>
      </c>
      <c r="G200" s="1345" t="s">
        <v>62</v>
      </c>
      <c r="H200" s="1345" t="s">
        <v>344</v>
      </c>
      <c r="I200" s="1349" t="s">
        <v>1442</v>
      </c>
      <c r="J200" s="1350"/>
      <c r="K200" s="1348">
        <v>1802000.0</v>
      </c>
    </row>
    <row r="201">
      <c r="A201" s="1344" t="s">
        <v>5154</v>
      </c>
      <c r="B201" s="1345" t="s">
        <v>12260</v>
      </c>
      <c r="C201" s="1346" t="s">
        <v>5154</v>
      </c>
      <c r="D201" s="1346" t="s">
        <v>1392</v>
      </c>
      <c r="E201" s="1346" t="s">
        <v>11930</v>
      </c>
      <c r="F201" s="1346" t="s">
        <v>11944</v>
      </c>
      <c r="G201" s="1345" t="s">
        <v>62</v>
      </c>
      <c r="H201" s="1345" t="s">
        <v>1393</v>
      </c>
      <c r="I201" s="1345" t="s">
        <v>1442</v>
      </c>
      <c r="J201" s="1347"/>
      <c r="K201" s="1348">
        <v>1802000.0</v>
      </c>
    </row>
    <row r="202">
      <c r="A202" s="1344" t="s">
        <v>12261</v>
      </c>
      <c r="B202" s="1345" t="s">
        <v>12262</v>
      </c>
      <c r="C202" s="1346" t="s">
        <v>5154</v>
      </c>
      <c r="D202" s="1346" t="s">
        <v>345</v>
      </c>
      <c r="E202" s="1346" t="s">
        <v>11940</v>
      </c>
      <c r="F202" s="1346" t="s">
        <v>11931</v>
      </c>
      <c r="G202" s="1345" t="s">
        <v>60</v>
      </c>
      <c r="H202" s="1345" t="s">
        <v>346</v>
      </c>
      <c r="I202" s="1349" t="s">
        <v>137</v>
      </c>
      <c r="J202" s="1350"/>
      <c r="K202" s="1348">
        <v>1645000.0</v>
      </c>
    </row>
    <row r="203">
      <c r="A203" s="1344" t="s">
        <v>12263</v>
      </c>
      <c r="B203" s="1345" t="s">
        <v>12264</v>
      </c>
      <c r="C203" s="1346" t="s">
        <v>5154</v>
      </c>
      <c r="D203" s="1346" t="s">
        <v>347</v>
      </c>
      <c r="E203" s="1346" t="s">
        <v>11940</v>
      </c>
      <c r="F203" s="1346" t="s">
        <v>11944</v>
      </c>
      <c r="G203" s="1345" t="s">
        <v>62</v>
      </c>
      <c r="H203" s="1345" t="s">
        <v>346</v>
      </c>
      <c r="I203" s="1349" t="s">
        <v>1442</v>
      </c>
      <c r="J203" s="1350"/>
      <c r="K203" s="1348">
        <v>1822000.0</v>
      </c>
    </row>
    <row r="204">
      <c r="A204" s="1344" t="s">
        <v>12265</v>
      </c>
      <c r="B204" s="1345" t="s">
        <v>5154</v>
      </c>
      <c r="C204" s="1346" t="s">
        <v>5154</v>
      </c>
      <c r="D204" s="1346" t="s">
        <v>348</v>
      </c>
      <c r="E204" s="1346" t="s">
        <v>11943</v>
      </c>
      <c r="F204" s="1346" t="s">
        <v>11969</v>
      </c>
      <c r="G204" s="1345" t="s">
        <v>144</v>
      </c>
      <c r="H204" s="1345" t="s">
        <v>346</v>
      </c>
      <c r="I204" s="1350"/>
      <c r="J204" s="1350"/>
      <c r="K204" s="1348">
        <v>522000.0</v>
      </c>
    </row>
    <row r="205">
      <c r="A205" s="1344" t="s">
        <v>12266</v>
      </c>
      <c r="B205" s="1345" t="s">
        <v>12267</v>
      </c>
      <c r="C205" s="1346" t="s">
        <v>5154</v>
      </c>
      <c r="D205" s="1346" t="s">
        <v>349</v>
      </c>
      <c r="E205" s="1346" t="s">
        <v>11940</v>
      </c>
      <c r="F205" s="1346" t="s">
        <v>11969</v>
      </c>
      <c r="G205" s="1345" t="s">
        <v>146</v>
      </c>
      <c r="H205" s="1345" t="s">
        <v>346</v>
      </c>
      <c r="I205" s="1350"/>
      <c r="J205" s="1350"/>
      <c r="K205" s="1348">
        <v>522000.0</v>
      </c>
    </row>
    <row r="206">
      <c r="A206" s="1344" t="s">
        <v>12268</v>
      </c>
      <c r="B206" s="1345" t="s">
        <v>12269</v>
      </c>
      <c r="C206" s="1346" t="s">
        <v>5154</v>
      </c>
      <c r="D206" s="1346" t="s">
        <v>350</v>
      </c>
      <c r="E206" s="1346" t="s">
        <v>11940</v>
      </c>
      <c r="F206" s="1346" t="s">
        <v>11931</v>
      </c>
      <c r="G206" s="1345" t="s">
        <v>60</v>
      </c>
      <c r="H206" s="1345" t="s">
        <v>351</v>
      </c>
      <c r="I206" s="1349" t="s">
        <v>137</v>
      </c>
      <c r="J206" s="1350"/>
      <c r="K206" s="1348">
        <v>1883000.0</v>
      </c>
    </row>
    <row r="207">
      <c r="A207" s="1344" t="s">
        <v>12270</v>
      </c>
      <c r="B207" s="1345" t="s">
        <v>12271</v>
      </c>
      <c r="C207" s="1346" t="s">
        <v>5154</v>
      </c>
      <c r="D207" s="1346" t="s">
        <v>352</v>
      </c>
      <c r="E207" s="1346" t="s">
        <v>11940</v>
      </c>
      <c r="F207" s="1346" t="s">
        <v>11944</v>
      </c>
      <c r="G207" s="1345" t="s">
        <v>62</v>
      </c>
      <c r="H207" s="1345" t="s">
        <v>351</v>
      </c>
      <c r="I207" s="1349" t="s">
        <v>1509</v>
      </c>
      <c r="J207" s="1350"/>
      <c r="K207" s="1348">
        <v>2024000.0</v>
      </c>
    </row>
    <row r="208">
      <c r="A208" s="1344" t="s">
        <v>12272</v>
      </c>
      <c r="B208" s="1345" t="s">
        <v>12273</v>
      </c>
      <c r="C208" s="1346" t="s">
        <v>5154</v>
      </c>
      <c r="D208" s="1346" t="s">
        <v>353</v>
      </c>
      <c r="E208" s="1346" t="s">
        <v>11940</v>
      </c>
      <c r="F208" s="1346" t="s">
        <v>11931</v>
      </c>
      <c r="G208" s="1345" t="s">
        <v>60</v>
      </c>
      <c r="H208" s="1345" t="s">
        <v>354</v>
      </c>
      <c r="I208" s="1349" t="s">
        <v>137</v>
      </c>
      <c r="J208" s="1350"/>
      <c r="K208" s="1348">
        <v>1905000.0</v>
      </c>
    </row>
    <row r="209">
      <c r="A209" s="1344" t="s">
        <v>5154</v>
      </c>
      <c r="B209" s="1345" t="s">
        <v>12274</v>
      </c>
      <c r="C209" s="1346" t="s">
        <v>5154</v>
      </c>
      <c r="D209" s="1346" t="s">
        <v>1394</v>
      </c>
      <c r="E209" s="1346" t="s">
        <v>11930</v>
      </c>
      <c r="F209" s="1346" t="s">
        <v>11931</v>
      </c>
      <c r="G209" s="1345" t="s">
        <v>60</v>
      </c>
      <c r="H209" s="1345" t="s">
        <v>354</v>
      </c>
      <c r="I209" s="1349" t="s">
        <v>314</v>
      </c>
      <c r="J209" s="1350"/>
      <c r="K209" s="1348">
        <v>2280000.0</v>
      </c>
    </row>
    <row r="210">
      <c r="A210" s="1344" t="s">
        <v>12275</v>
      </c>
      <c r="B210" s="1345" t="s">
        <v>12276</v>
      </c>
      <c r="C210" s="1346" t="s">
        <v>5154</v>
      </c>
      <c r="D210" s="1346" t="s">
        <v>356</v>
      </c>
      <c r="E210" s="1346" t="s">
        <v>11943</v>
      </c>
      <c r="F210" s="1346" t="s">
        <v>11944</v>
      </c>
      <c r="G210" s="1345" t="s">
        <v>62</v>
      </c>
      <c r="H210" s="1345" t="s">
        <v>354</v>
      </c>
      <c r="I210" s="1349" t="s">
        <v>1509</v>
      </c>
      <c r="J210" s="1350"/>
      <c r="K210" s="1348">
        <v>1785000.0</v>
      </c>
    </row>
    <row r="211">
      <c r="A211" s="1344" t="s">
        <v>12277</v>
      </c>
      <c r="B211" s="1345" t="s">
        <v>12278</v>
      </c>
      <c r="C211" s="1346" t="s">
        <v>5154</v>
      </c>
      <c r="D211" s="1346" t="s">
        <v>357</v>
      </c>
      <c r="E211" s="1346" t="s">
        <v>11943</v>
      </c>
      <c r="F211" s="1346" t="s">
        <v>11931</v>
      </c>
      <c r="G211" s="1345" t="s">
        <v>60</v>
      </c>
      <c r="H211" s="1345" t="s">
        <v>358</v>
      </c>
      <c r="I211" s="1349" t="s">
        <v>90</v>
      </c>
      <c r="J211" s="1350"/>
      <c r="K211" s="1348">
        <v>2464000.0</v>
      </c>
    </row>
    <row r="212">
      <c r="A212" s="1344" t="s">
        <v>12279</v>
      </c>
      <c r="B212" s="1345" t="s">
        <v>5154</v>
      </c>
      <c r="C212" s="1346" t="s">
        <v>5154</v>
      </c>
      <c r="D212" s="1346" t="s">
        <v>359</v>
      </c>
      <c r="E212" s="1346" t="s">
        <v>11943</v>
      </c>
      <c r="F212" s="1346" t="s">
        <v>11931</v>
      </c>
      <c r="G212" s="1345" t="s">
        <v>60</v>
      </c>
      <c r="H212" s="1353" t="s">
        <v>360</v>
      </c>
      <c r="I212" s="1349" t="s">
        <v>137</v>
      </c>
      <c r="J212" s="1350"/>
      <c r="K212" s="1348">
        <v>1883000.0</v>
      </c>
    </row>
    <row r="213">
      <c r="A213" s="1344" t="s">
        <v>12280</v>
      </c>
      <c r="B213" s="1345" t="s">
        <v>12281</v>
      </c>
      <c r="C213" s="1346" t="s">
        <v>5154</v>
      </c>
      <c r="D213" s="1346" t="s">
        <v>361</v>
      </c>
      <c r="E213" s="1346" t="s">
        <v>11943</v>
      </c>
      <c r="F213" s="1346" t="s">
        <v>11944</v>
      </c>
      <c r="G213" s="1345" t="s">
        <v>62</v>
      </c>
      <c r="H213" s="1345" t="s">
        <v>362</v>
      </c>
      <c r="I213" s="1349" t="s">
        <v>1509</v>
      </c>
      <c r="J213" s="1350"/>
      <c r="K213" s="1348">
        <v>1983000.0</v>
      </c>
    </row>
    <row r="214">
      <c r="A214" s="1344" t="s">
        <v>12282</v>
      </c>
      <c r="B214" s="1345" t="s">
        <v>5154</v>
      </c>
      <c r="C214" s="1346" t="s">
        <v>5154</v>
      </c>
      <c r="D214" s="1346" t="s">
        <v>363</v>
      </c>
      <c r="E214" s="1346" t="s">
        <v>11943</v>
      </c>
      <c r="F214" s="1346" t="s">
        <v>11969</v>
      </c>
      <c r="G214" s="1345" t="s">
        <v>142</v>
      </c>
      <c r="H214" s="1345" t="s">
        <v>362</v>
      </c>
      <c r="I214" s="1350"/>
      <c r="J214" s="1350"/>
      <c r="K214" s="1348">
        <v>564000.0</v>
      </c>
    </row>
    <row r="215">
      <c r="A215" s="1344" t="s">
        <v>12283</v>
      </c>
      <c r="B215" s="1345" t="s">
        <v>5154</v>
      </c>
      <c r="C215" s="1346" t="s">
        <v>5154</v>
      </c>
      <c r="D215" s="1346" t="s">
        <v>364</v>
      </c>
      <c r="E215" s="1346" t="s">
        <v>11943</v>
      </c>
      <c r="F215" s="1346" t="s">
        <v>11969</v>
      </c>
      <c r="G215" s="1345" t="s">
        <v>144</v>
      </c>
      <c r="H215" s="1345" t="s">
        <v>362</v>
      </c>
      <c r="I215" s="1350"/>
      <c r="J215" s="1350"/>
      <c r="K215" s="1348">
        <v>484000.0</v>
      </c>
    </row>
    <row r="216">
      <c r="A216" s="1344" t="s">
        <v>5154</v>
      </c>
      <c r="B216" s="1345" t="s">
        <v>12284</v>
      </c>
      <c r="C216" s="1346" t="s">
        <v>5154</v>
      </c>
      <c r="D216" s="1346" t="s">
        <v>12285</v>
      </c>
      <c r="E216" s="1346" t="s">
        <v>11930</v>
      </c>
      <c r="F216" s="1346" t="s">
        <v>11931</v>
      </c>
      <c r="G216" s="1345" t="s">
        <v>60</v>
      </c>
      <c r="H216" s="1345" t="s">
        <v>12286</v>
      </c>
      <c r="I216" s="1349" t="s">
        <v>109</v>
      </c>
      <c r="J216" s="1350"/>
      <c r="K216" s="1348">
        <v>1183000.0</v>
      </c>
    </row>
    <row r="217">
      <c r="A217" s="1344" t="s">
        <v>5154</v>
      </c>
      <c r="B217" s="1345" t="s">
        <v>12287</v>
      </c>
      <c r="C217" s="1346" t="s">
        <v>5154</v>
      </c>
      <c r="D217" s="1346" t="s">
        <v>12288</v>
      </c>
      <c r="E217" s="1346" t="s">
        <v>11930</v>
      </c>
      <c r="F217" s="1346" t="s">
        <v>11944</v>
      </c>
      <c r="G217" s="1345" t="s">
        <v>62</v>
      </c>
      <c r="H217" s="1345" t="s">
        <v>12286</v>
      </c>
      <c r="I217" s="1349" t="s">
        <v>546</v>
      </c>
      <c r="J217" s="1357">
        <v>546000.0</v>
      </c>
      <c r="K217" s="1348">
        <v>1061000.0</v>
      </c>
    </row>
    <row r="218">
      <c r="A218" s="1344" t="s">
        <v>5154</v>
      </c>
      <c r="B218" s="1345" t="s">
        <v>12289</v>
      </c>
      <c r="C218" s="1346" t="s">
        <v>5154</v>
      </c>
      <c r="D218" s="1346" t="s">
        <v>2065</v>
      </c>
      <c r="E218" s="1346" t="s">
        <v>11930</v>
      </c>
      <c r="F218" s="1346" t="s">
        <v>11931</v>
      </c>
      <c r="G218" s="1349" t="s">
        <v>60</v>
      </c>
      <c r="H218" s="1345" t="s">
        <v>12290</v>
      </c>
      <c r="I218" s="1345" t="s">
        <v>90</v>
      </c>
      <c r="J218" s="1347"/>
      <c r="K218" s="1348">
        <v>2000000.0</v>
      </c>
    </row>
    <row r="219">
      <c r="A219" s="1344" t="s">
        <v>12291</v>
      </c>
      <c r="B219" s="1345" t="s">
        <v>12292</v>
      </c>
      <c r="C219" s="1346" t="s">
        <v>12293</v>
      </c>
      <c r="D219" s="1346" t="s">
        <v>365</v>
      </c>
      <c r="E219" s="1346" t="s">
        <v>12061</v>
      </c>
      <c r="F219" s="1346" t="s">
        <v>11931</v>
      </c>
      <c r="G219" s="1345" t="s">
        <v>60</v>
      </c>
      <c r="H219" s="1345" t="s">
        <v>366</v>
      </c>
      <c r="I219" s="1349" t="s">
        <v>109</v>
      </c>
      <c r="J219" s="1350"/>
      <c r="K219" s="1348">
        <v>1042000.0</v>
      </c>
    </row>
    <row r="220">
      <c r="A220" s="1344" t="s">
        <v>5154</v>
      </c>
      <c r="B220" s="1345" t="s">
        <v>12294</v>
      </c>
      <c r="C220" s="1346" t="s">
        <v>5154</v>
      </c>
      <c r="D220" s="1346" t="s">
        <v>2494</v>
      </c>
      <c r="E220" s="1346" t="s">
        <v>11930</v>
      </c>
      <c r="F220" s="1346" t="s">
        <v>11944</v>
      </c>
      <c r="G220" s="1345" t="s">
        <v>62</v>
      </c>
      <c r="H220" s="1345" t="s">
        <v>2495</v>
      </c>
      <c r="I220" s="1349" t="s">
        <v>109</v>
      </c>
      <c r="J220" s="1350"/>
      <c r="K220" s="1348">
        <v>955000.0</v>
      </c>
    </row>
    <row r="221">
      <c r="A221" s="1344" t="s">
        <v>5154</v>
      </c>
      <c r="B221" s="1345" t="s">
        <v>12295</v>
      </c>
      <c r="C221" s="1346" t="s">
        <v>5154</v>
      </c>
      <c r="D221" s="1346" t="s">
        <v>1401</v>
      </c>
      <c r="E221" s="1346" t="s">
        <v>11930</v>
      </c>
      <c r="F221" s="1346" t="s">
        <v>11944</v>
      </c>
      <c r="G221" s="1345" t="s">
        <v>62</v>
      </c>
      <c r="H221" s="1345" t="s">
        <v>1402</v>
      </c>
      <c r="I221" s="1349" t="s">
        <v>1403</v>
      </c>
      <c r="J221" s="1350"/>
      <c r="K221" s="1348">
        <v>1018000.0</v>
      </c>
    </row>
    <row r="222">
      <c r="A222" s="1344" t="s">
        <v>5154</v>
      </c>
      <c r="B222" s="1345" t="s">
        <v>12296</v>
      </c>
      <c r="C222" s="1346" t="s">
        <v>5154</v>
      </c>
      <c r="D222" s="1346" t="s">
        <v>1404</v>
      </c>
      <c r="E222" s="1346" t="s">
        <v>11930</v>
      </c>
      <c r="F222" s="1346" t="s">
        <v>11944</v>
      </c>
      <c r="G222" s="1345" t="s">
        <v>62</v>
      </c>
      <c r="H222" s="1345" t="s">
        <v>1405</v>
      </c>
      <c r="I222" s="1349" t="s">
        <v>109</v>
      </c>
      <c r="J222" s="1350"/>
      <c r="K222" s="1348">
        <v>840000.0</v>
      </c>
    </row>
    <row r="223">
      <c r="A223" s="1344" t="s">
        <v>12297</v>
      </c>
      <c r="B223" s="1345" t="s">
        <v>12298</v>
      </c>
      <c r="C223" s="1346" t="s">
        <v>12299</v>
      </c>
      <c r="D223" s="1346" t="s">
        <v>367</v>
      </c>
      <c r="E223" s="1346" t="s">
        <v>12061</v>
      </c>
      <c r="F223" s="1346" t="s">
        <v>11931</v>
      </c>
      <c r="G223" s="1345" t="s">
        <v>60</v>
      </c>
      <c r="H223" s="1345" t="s">
        <v>368</v>
      </c>
      <c r="I223" s="1349" t="s">
        <v>109</v>
      </c>
      <c r="J223" s="1350"/>
      <c r="K223" s="1348">
        <v>1190000.0</v>
      </c>
    </row>
    <row r="224">
      <c r="A224" s="1344" t="s">
        <v>12300</v>
      </c>
      <c r="B224" s="1345" t="s">
        <v>12301</v>
      </c>
      <c r="C224" s="1346" t="s">
        <v>5154</v>
      </c>
      <c r="D224" s="1346" t="s">
        <v>369</v>
      </c>
      <c r="E224" s="1346" t="s">
        <v>11940</v>
      </c>
      <c r="F224" s="1346" t="s">
        <v>11944</v>
      </c>
      <c r="G224" s="1345" t="s">
        <v>62</v>
      </c>
      <c r="H224" s="1345" t="s">
        <v>368</v>
      </c>
      <c r="I224" s="1349" t="s">
        <v>1442</v>
      </c>
      <c r="J224" s="1350"/>
      <c r="K224" s="1348">
        <v>1672000.0</v>
      </c>
    </row>
    <row r="225">
      <c r="A225" s="1344" t="s">
        <v>12302</v>
      </c>
      <c r="B225" s="1345" t="s">
        <v>12303</v>
      </c>
      <c r="C225" s="1346" t="s">
        <v>12304</v>
      </c>
      <c r="D225" s="1346" t="s">
        <v>370</v>
      </c>
      <c r="E225" s="1346" t="s">
        <v>11940</v>
      </c>
      <c r="F225" s="1346" t="s">
        <v>11931</v>
      </c>
      <c r="G225" s="1345" t="s">
        <v>60</v>
      </c>
      <c r="H225" s="1345" t="s">
        <v>371</v>
      </c>
      <c r="I225" s="1349" t="s">
        <v>109</v>
      </c>
      <c r="J225" s="1350"/>
      <c r="K225" s="1348">
        <v>1671000.0</v>
      </c>
    </row>
    <row r="226">
      <c r="A226" s="1344" t="s">
        <v>12305</v>
      </c>
      <c r="B226" s="1345" t="s">
        <v>12306</v>
      </c>
      <c r="C226" s="1346" t="s">
        <v>5154</v>
      </c>
      <c r="D226" s="1346" t="s">
        <v>372</v>
      </c>
      <c r="E226" s="1346" t="s">
        <v>11940</v>
      </c>
      <c r="F226" s="1346" t="s">
        <v>11944</v>
      </c>
      <c r="G226" s="1345" t="s">
        <v>62</v>
      </c>
      <c r="H226" s="1345" t="s">
        <v>373</v>
      </c>
      <c r="I226" s="1349" t="s">
        <v>1442</v>
      </c>
      <c r="J226" s="1357">
        <v>769000.0</v>
      </c>
      <c r="K226" s="1348">
        <v>1543000.0</v>
      </c>
    </row>
    <row r="227">
      <c r="A227" s="1344" t="s">
        <v>12307</v>
      </c>
      <c r="B227" s="1345" t="s">
        <v>12308</v>
      </c>
      <c r="C227" s="1346" t="s">
        <v>5154</v>
      </c>
      <c r="D227" s="1346" t="s">
        <v>374</v>
      </c>
      <c r="E227" s="1346" t="s">
        <v>11940</v>
      </c>
      <c r="F227" s="1346" t="s">
        <v>11931</v>
      </c>
      <c r="G227" s="1345" t="s">
        <v>60</v>
      </c>
      <c r="H227" s="1345" t="s">
        <v>375</v>
      </c>
      <c r="I227" s="1349" t="s">
        <v>109</v>
      </c>
      <c r="J227" s="1350"/>
      <c r="K227" s="1348">
        <v>1570000.0</v>
      </c>
    </row>
    <row r="228">
      <c r="A228" s="1344" t="s">
        <v>12309</v>
      </c>
      <c r="B228" s="1345" t="s">
        <v>12310</v>
      </c>
      <c r="C228" s="1346" t="s">
        <v>5154</v>
      </c>
      <c r="D228" s="1346" t="s">
        <v>376</v>
      </c>
      <c r="E228" s="1346" t="s">
        <v>11940</v>
      </c>
      <c r="F228" s="1346" t="s">
        <v>11944</v>
      </c>
      <c r="G228" s="1345" t="s">
        <v>62</v>
      </c>
      <c r="H228" s="1345" t="s">
        <v>375</v>
      </c>
      <c r="I228" s="1349" t="s">
        <v>1442</v>
      </c>
      <c r="J228" s="1350"/>
      <c r="K228" s="1348">
        <v>1308000.0</v>
      </c>
    </row>
    <row r="229">
      <c r="A229" s="1344" t="s">
        <v>12311</v>
      </c>
      <c r="B229" s="1345" t="s">
        <v>12312</v>
      </c>
      <c r="C229" s="1346" t="s">
        <v>5154</v>
      </c>
      <c r="D229" s="1346" t="s">
        <v>377</v>
      </c>
      <c r="E229" s="1346" t="s">
        <v>11940</v>
      </c>
      <c r="F229" s="1346" t="s">
        <v>11931</v>
      </c>
      <c r="G229" s="1345" t="s">
        <v>60</v>
      </c>
      <c r="H229" s="1349" t="s">
        <v>378</v>
      </c>
      <c r="I229" s="1349" t="s">
        <v>137</v>
      </c>
      <c r="J229" s="1350"/>
      <c r="K229" s="1348">
        <v>1765000.0</v>
      </c>
    </row>
    <row r="230">
      <c r="A230" s="1344" t="s">
        <v>5154</v>
      </c>
      <c r="B230" s="1345" t="s">
        <v>12313</v>
      </c>
      <c r="C230" s="1346" t="s">
        <v>5154</v>
      </c>
      <c r="D230" s="1346" t="s">
        <v>1408</v>
      </c>
      <c r="E230" s="1346" t="s">
        <v>11930</v>
      </c>
      <c r="F230" s="1346" t="s">
        <v>11944</v>
      </c>
      <c r="G230" s="1345" t="s">
        <v>62</v>
      </c>
      <c r="H230" s="1345" t="s">
        <v>378</v>
      </c>
      <c r="I230" s="1345" t="s">
        <v>1442</v>
      </c>
      <c r="J230" s="1347"/>
      <c r="K230" s="1348">
        <v>1413000.0</v>
      </c>
    </row>
    <row r="231">
      <c r="A231" s="1344" t="s">
        <v>5154</v>
      </c>
      <c r="B231" s="1345" t="s">
        <v>12314</v>
      </c>
      <c r="C231" s="1346" t="s">
        <v>5154</v>
      </c>
      <c r="D231" s="1346" t="s">
        <v>1568</v>
      </c>
      <c r="E231" s="1346" t="s">
        <v>11930</v>
      </c>
      <c r="F231" s="1346" t="s">
        <v>11931</v>
      </c>
      <c r="G231" s="1345" t="s">
        <v>60</v>
      </c>
      <c r="H231" s="1345" t="s">
        <v>1569</v>
      </c>
      <c r="I231" s="1349" t="s">
        <v>137</v>
      </c>
      <c r="J231" s="1350"/>
      <c r="K231" s="1348">
        <v>2322000.0</v>
      </c>
    </row>
    <row r="232">
      <c r="A232" s="1344" t="s">
        <v>5154</v>
      </c>
      <c r="B232" s="1345" t="s">
        <v>5154</v>
      </c>
      <c r="C232" s="1346" t="s">
        <v>12315</v>
      </c>
      <c r="D232" s="1346" t="s">
        <v>1910</v>
      </c>
      <c r="E232" s="1346" t="s">
        <v>12155</v>
      </c>
      <c r="F232" s="1346" t="s">
        <v>11931</v>
      </c>
      <c r="G232" s="1345" t="s">
        <v>60</v>
      </c>
      <c r="H232" s="1345" t="s">
        <v>1911</v>
      </c>
      <c r="I232" s="1350"/>
      <c r="J232" s="1350"/>
      <c r="K232" s="1348">
        <v>1375000.0</v>
      </c>
    </row>
    <row r="233">
      <c r="A233" s="1344" t="s">
        <v>12316</v>
      </c>
      <c r="B233" s="1345" t="s">
        <v>12317</v>
      </c>
      <c r="C233" s="1346" t="s">
        <v>5154</v>
      </c>
      <c r="D233" s="1346" t="s">
        <v>379</v>
      </c>
      <c r="E233" s="1346" t="s">
        <v>11940</v>
      </c>
      <c r="F233" s="1346" t="s">
        <v>11931</v>
      </c>
      <c r="G233" s="1345" t="s">
        <v>60</v>
      </c>
      <c r="H233" s="1349" t="s">
        <v>380</v>
      </c>
      <c r="I233" s="1349" t="s">
        <v>137</v>
      </c>
      <c r="J233" s="1350"/>
      <c r="K233" s="1348">
        <v>1305000.0</v>
      </c>
    </row>
    <row r="234">
      <c r="A234" s="1344" t="s">
        <v>12318</v>
      </c>
      <c r="B234" s="1345" t="s">
        <v>12319</v>
      </c>
      <c r="C234" s="1346" t="s">
        <v>5154</v>
      </c>
      <c r="D234" s="1346" t="s">
        <v>381</v>
      </c>
      <c r="E234" s="1346" t="s">
        <v>11940</v>
      </c>
      <c r="F234" s="1346" t="s">
        <v>11944</v>
      </c>
      <c r="G234" s="1345" t="s">
        <v>62</v>
      </c>
      <c r="H234" s="1345" t="s">
        <v>380</v>
      </c>
      <c r="I234" s="1349" t="s">
        <v>12320</v>
      </c>
      <c r="J234" s="1350"/>
      <c r="K234" s="1348">
        <v>1776000.0</v>
      </c>
    </row>
    <row r="235">
      <c r="A235" s="1344" t="s">
        <v>12321</v>
      </c>
      <c r="B235" s="1345" t="s">
        <v>12322</v>
      </c>
      <c r="C235" s="1346" t="s">
        <v>5154</v>
      </c>
      <c r="D235" s="1346" t="s">
        <v>383</v>
      </c>
      <c r="E235" s="1346" t="s">
        <v>11940</v>
      </c>
      <c r="F235" s="1346" t="s">
        <v>11969</v>
      </c>
      <c r="G235" s="1345" t="s">
        <v>140</v>
      </c>
      <c r="H235" s="1345" t="s">
        <v>380</v>
      </c>
      <c r="I235" s="1350"/>
      <c r="J235" s="1350"/>
      <c r="K235" s="1348">
        <v>589000.0</v>
      </c>
    </row>
    <row r="236">
      <c r="A236" s="1344" t="s">
        <v>12323</v>
      </c>
      <c r="B236" s="1345" t="s">
        <v>12324</v>
      </c>
      <c r="C236" s="1346" t="s">
        <v>5154</v>
      </c>
      <c r="D236" s="1346" t="s">
        <v>384</v>
      </c>
      <c r="E236" s="1346" t="s">
        <v>11940</v>
      </c>
      <c r="F236" s="1346" t="s">
        <v>11969</v>
      </c>
      <c r="G236" s="1345" t="s">
        <v>142</v>
      </c>
      <c r="H236" s="1345" t="s">
        <v>380</v>
      </c>
      <c r="I236" s="1350"/>
      <c r="J236" s="1350"/>
      <c r="K236" s="1348">
        <v>589000.0</v>
      </c>
    </row>
    <row r="237">
      <c r="A237" s="1344" t="s">
        <v>12325</v>
      </c>
      <c r="B237" s="1345" t="s">
        <v>5154</v>
      </c>
      <c r="C237" s="1346" t="s">
        <v>5154</v>
      </c>
      <c r="D237" s="1346" t="s">
        <v>385</v>
      </c>
      <c r="E237" s="1346" t="s">
        <v>11943</v>
      </c>
      <c r="F237" s="1346" t="s">
        <v>11969</v>
      </c>
      <c r="G237" s="1345" t="s">
        <v>209</v>
      </c>
      <c r="H237" s="1345" t="s">
        <v>380</v>
      </c>
      <c r="I237" s="1349" t="s">
        <v>109</v>
      </c>
      <c r="J237" s="1350"/>
      <c r="K237" s="1348">
        <v>707000.0</v>
      </c>
    </row>
    <row r="238">
      <c r="A238" s="1344" t="s">
        <v>12326</v>
      </c>
      <c r="B238" s="1345" t="s">
        <v>5154</v>
      </c>
      <c r="C238" s="1346" t="s">
        <v>5154</v>
      </c>
      <c r="D238" s="1346" t="s">
        <v>386</v>
      </c>
      <c r="E238" s="1346" t="s">
        <v>11943</v>
      </c>
      <c r="F238" s="1346" t="s">
        <v>11969</v>
      </c>
      <c r="G238" s="1345" t="s">
        <v>243</v>
      </c>
      <c r="H238" s="1345" t="s">
        <v>380</v>
      </c>
      <c r="I238" s="1349" t="s">
        <v>109</v>
      </c>
      <c r="J238" s="1350"/>
      <c r="K238" s="1348">
        <v>707000.0</v>
      </c>
    </row>
    <row r="239">
      <c r="A239" s="1344" t="s">
        <v>12327</v>
      </c>
      <c r="B239" s="1345" t="s">
        <v>12328</v>
      </c>
      <c r="C239" s="1346" t="s">
        <v>5154</v>
      </c>
      <c r="D239" s="1346" t="s">
        <v>387</v>
      </c>
      <c r="E239" s="1346" t="s">
        <v>11940</v>
      </c>
      <c r="F239" s="1346" t="s">
        <v>11931</v>
      </c>
      <c r="G239" s="1345" t="s">
        <v>60</v>
      </c>
      <c r="H239" s="1345" t="s">
        <v>388</v>
      </c>
      <c r="I239" s="1349" t="s">
        <v>137</v>
      </c>
      <c r="J239" s="1350"/>
      <c r="K239" s="1348">
        <v>1204000.0</v>
      </c>
    </row>
    <row r="240">
      <c r="A240" s="1344" t="s">
        <v>12329</v>
      </c>
      <c r="B240" s="1345" t="s">
        <v>5154</v>
      </c>
      <c r="C240" s="1346" t="s">
        <v>5154</v>
      </c>
      <c r="D240" s="1346" t="s">
        <v>389</v>
      </c>
      <c r="E240" s="1346" t="s">
        <v>11943</v>
      </c>
      <c r="F240" s="1346" t="s">
        <v>11969</v>
      </c>
      <c r="G240" s="1345" t="s">
        <v>144</v>
      </c>
      <c r="H240" s="1345" t="s">
        <v>388</v>
      </c>
      <c r="I240" s="1350"/>
      <c r="J240" s="1350"/>
      <c r="K240" s="1348">
        <v>354000.0</v>
      </c>
    </row>
    <row r="241">
      <c r="A241" s="1344" t="s">
        <v>12330</v>
      </c>
      <c r="B241" s="1345" t="s">
        <v>12331</v>
      </c>
      <c r="C241" s="1346" t="s">
        <v>5154</v>
      </c>
      <c r="D241" s="1346" t="s">
        <v>390</v>
      </c>
      <c r="E241" s="1346" t="s">
        <v>11940</v>
      </c>
      <c r="F241" s="1346" t="s">
        <v>11944</v>
      </c>
      <c r="G241" s="1345" t="s">
        <v>62</v>
      </c>
      <c r="H241" s="1345" t="s">
        <v>388</v>
      </c>
      <c r="I241" s="1349" t="s">
        <v>1442</v>
      </c>
      <c r="J241" s="1350"/>
      <c r="K241" s="1348">
        <v>1667000.0</v>
      </c>
    </row>
    <row r="242">
      <c r="A242" s="1344" t="s">
        <v>12332</v>
      </c>
      <c r="B242" s="1345" t="s">
        <v>12333</v>
      </c>
      <c r="C242" s="1346" t="s">
        <v>5154</v>
      </c>
      <c r="D242" s="1346" t="s">
        <v>391</v>
      </c>
      <c r="E242" s="1346" t="s">
        <v>11940</v>
      </c>
      <c r="F242" s="1346" t="s">
        <v>11931</v>
      </c>
      <c r="G242" s="1345" t="s">
        <v>60</v>
      </c>
      <c r="H242" s="1345" t="s">
        <v>392</v>
      </c>
      <c r="I242" s="1349" t="s">
        <v>109</v>
      </c>
      <c r="J242" s="1350"/>
      <c r="K242" s="1348">
        <v>1220000.0</v>
      </c>
    </row>
    <row r="243">
      <c r="A243" s="1344" t="s">
        <v>12334</v>
      </c>
      <c r="B243" s="1345" t="s">
        <v>12335</v>
      </c>
      <c r="C243" s="1346" t="s">
        <v>5154</v>
      </c>
      <c r="D243" s="1346" t="s">
        <v>393</v>
      </c>
      <c r="E243" s="1346" t="s">
        <v>11940</v>
      </c>
      <c r="F243" s="1346" t="s">
        <v>11944</v>
      </c>
      <c r="G243" s="1345" t="s">
        <v>62</v>
      </c>
      <c r="H243" s="1345" t="s">
        <v>392</v>
      </c>
      <c r="I243" s="1349" t="s">
        <v>1442</v>
      </c>
      <c r="J243" s="1350"/>
      <c r="K243" s="1348">
        <v>1776000.0</v>
      </c>
    </row>
    <row r="244">
      <c r="A244" s="1344" t="s">
        <v>12336</v>
      </c>
      <c r="B244" s="1345" t="s">
        <v>5154</v>
      </c>
      <c r="C244" s="1346" t="s">
        <v>5154</v>
      </c>
      <c r="D244" s="1346" t="s">
        <v>394</v>
      </c>
      <c r="E244" s="1346" t="s">
        <v>11943</v>
      </c>
      <c r="F244" s="1346" t="s">
        <v>11969</v>
      </c>
      <c r="G244" s="1345" t="s">
        <v>146</v>
      </c>
      <c r="H244" s="1345" t="s">
        <v>392</v>
      </c>
      <c r="I244" s="1350"/>
      <c r="J244" s="1350"/>
      <c r="K244" s="1348">
        <v>354000.0</v>
      </c>
    </row>
    <row r="245">
      <c r="A245" s="1344" t="s">
        <v>12337</v>
      </c>
      <c r="B245" s="1345" t="s">
        <v>5154</v>
      </c>
      <c r="C245" s="1346" t="s">
        <v>5154</v>
      </c>
      <c r="D245" s="1346" t="s">
        <v>395</v>
      </c>
      <c r="E245" s="1346" t="s">
        <v>11943</v>
      </c>
      <c r="F245" s="1346" t="s">
        <v>11969</v>
      </c>
      <c r="G245" s="1345" t="s">
        <v>396</v>
      </c>
      <c r="H245" s="1345" t="s">
        <v>392</v>
      </c>
      <c r="I245" s="1349" t="s">
        <v>109</v>
      </c>
      <c r="J245" s="1350"/>
      <c r="K245" s="1348">
        <v>195000.0</v>
      </c>
    </row>
    <row r="246">
      <c r="A246" s="1344" t="s">
        <v>12338</v>
      </c>
      <c r="B246" s="1345" t="s">
        <v>5154</v>
      </c>
      <c r="C246" s="1346" t="s">
        <v>5154</v>
      </c>
      <c r="D246" s="1346" t="s">
        <v>397</v>
      </c>
      <c r="E246" s="1346" t="s">
        <v>11943</v>
      </c>
      <c r="F246" s="1346" t="s">
        <v>11969</v>
      </c>
      <c r="G246" s="1345" t="s">
        <v>398</v>
      </c>
      <c r="H246" s="1345" t="s">
        <v>392</v>
      </c>
      <c r="I246" s="1349" t="s">
        <v>109</v>
      </c>
      <c r="J246" s="1350"/>
      <c r="K246" s="1348">
        <v>195000.0</v>
      </c>
    </row>
    <row r="247">
      <c r="A247" s="1344" t="s">
        <v>12339</v>
      </c>
      <c r="B247" s="1345" t="s">
        <v>12340</v>
      </c>
      <c r="C247" s="1346" t="s">
        <v>5154</v>
      </c>
      <c r="D247" s="1346" t="s">
        <v>399</v>
      </c>
      <c r="E247" s="1346" t="s">
        <v>11940</v>
      </c>
      <c r="F247" s="1346" t="s">
        <v>11931</v>
      </c>
      <c r="G247" s="1345" t="s">
        <v>60</v>
      </c>
      <c r="H247" s="1345" t="s">
        <v>400</v>
      </c>
      <c r="I247" s="1349" t="s">
        <v>109</v>
      </c>
      <c r="J247" s="1350"/>
      <c r="K247" s="1348">
        <v>2118000.0</v>
      </c>
    </row>
    <row r="248">
      <c r="A248" s="1344" t="s">
        <v>12341</v>
      </c>
      <c r="B248" s="1345" t="s">
        <v>12342</v>
      </c>
      <c r="C248" s="1346" t="s">
        <v>5154</v>
      </c>
      <c r="D248" s="1346" t="s">
        <v>401</v>
      </c>
      <c r="E248" s="1346" t="s">
        <v>11940</v>
      </c>
      <c r="F248" s="1346" t="s">
        <v>11944</v>
      </c>
      <c r="G248" s="1345" t="s">
        <v>62</v>
      </c>
      <c r="H248" s="1345" t="s">
        <v>400</v>
      </c>
      <c r="I248" s="1349" t="s">
        <v>1509</v>
      </c>
      <c r="J248" s="1350"/>
      <c r="K248" s="1348">
        <v>2084000.0</v>
      </c>
    </row>
    <row r="249">
      <c r="A249" s="1344" t="s">
        <v>5154</v>
      </c>
      <c r="B249" s="1345" t="s">
        <v>12343</v>
      </c>
      <c r="C249" s="1346" t="s">
        <v>5154</v>
      </c>
      <c r="D249" s="1346" t="s">
        <v>1412</v>
      </c>
      <c r="E249" s="1346" t="s">
        <v>11930</v>
      </c>
      <c r="F249" s="1346" t="s">
        <v>11944</v>
      </c>
      <c r="G249" s="1345" t="s">
        <v>62</v>
      </c>
      <c r="H249" s="1345" t="s">
        <v>1413</v>
      </c>
      <c r="I249" s="1349" t="s">
        <v>1442</v>
      </c>
      <c r="J249" s="1350"/>
      <c r="K249" s="1348">
        <v>3297000.0</v>
      </c>
    </row>
    <row r="250">
      <c r="A250" s="1344" t="s">
        <v>12344</v>
      </c>
      <c r="B250" s="1345" t="s">
        <v>12345</v>
      </c>
      <c r="C250" s="1346" t="s">
        <v>5154</v>
      </c>
      <c r="D250" s="1346" t="s">
        <v>402</v>
      </c>
      <c r="E250" s="1346" t="s">
        <v>11940</v>
      </c>
      <c r="F250" s="1346" t="s">
        <v>11931</v>
      </c>
      <c r="G250" s="1345" t="s">
        <v>60</v>
      </c>
      <c r="H250" s="1345" t="s">
        <v>403</v>
      </c>
      <c r="I250" s="1349" t="s">
        <v>137</v>
      </c>
      <c r="J250" s="1350"/>
      <c r="K250" s="1348">
        <v>1636000.0</v>
      </c>
    </row>
    <row r="251">
      <c r="A251" s="1344" t="s">
        <v>12346</v>
      </c>
      <c r="B251" s="1345" t="s">
        <v>12347</v>
      </c>
      <c r="C251" s="1346" t="s">
        <v>5154</v>
      </c>
      <c r="D251" s="1346" t="s">
        <v>404</v>
      </c>
      <c r="E251" s="1346" t="s">
        <v>11940</v>
      </c>
      <c r="F251" s="1346" t="s">
        <v>11944</v>
      </c>
      <c r="G251" s="1345" t="s">
        <v>62</v>
      </c>
      <c r="H251" s="1345" t="s">
        <v>403</v>
      </c>
      <c r="I251" s="1349" t="s">
        <v>1442</v>
      </c>
      <c r="J251" s="1350"/>
      <c r="K251" s="1348">
        <v>1696000.0</v>
      </c>
    </row>
    <row r="252">
      <c r="A252" s="1344" t="s">
        <v>12348</v>
      </c>
      <c r="B252" s="1345" t="s">
        <v>12349</v>
      </c>
      <c r="C252" s="1346" t="s">
        <v>5154</v>
      </c>
      <c r="D252" s="1346" t="s">
        <v>405</v>
      </c>
      <c r="E252" s="1346" t="s">
        <v>11940</v>
      </c>
      <c r="F252" s="1346" t="s">
        <v>11969</v>
      </c>
      <c r="G252" s="1345" t="s">
        <v>140</v>
      </c>
      <c r="H252" s="1345" t="s">
        <v>403</v>
      </c>
      <c r="I252" s="1349" t="s">
        <v>406</v>
      </c>
      <c r="J252" s="1350"/>
      <c r="K252" s="1348">
        <v>461000.0</v>
      </c>
    </row>
    <row r="253">
      <c r="A253" s="1344" t="s">
        <v>12350</v>
      </c>
      <c r="B253" s="1345" t="s">
        <v>12351</v>
      </c>
      <c r="C253" s="1346" t="s">
        <v>5154</v>
      </c>
      <c r="D253" s="1346" t="s">
        <v>407</v>
      </c>
      <c r="E253" s="1346" t="s">
        <v>11940</v>
      </c>
      <c r="F253" s="1346" t="s">
        <v>11969</v>
      </c>
      <c r="G253" s="1345" t="s">
        <v>142</v>
      </c>
      <c r="H253" s="1345" t="s">
        <v>403</v>
      </c>
      <c r="I253" s="1349" t="s">
        <v>406</v>
      </c>
      <c r="J253" s="1350"/>
      <c r="K253" s="1348">
        <v>461000.0</v>
      </c>
    </row>
    <row r="254">
      <c r="A254" s="1344" t="s">
        <v>12352</v>
      </c>
      <c r="B254" s="1345" t="s">
        <v>5154</v>
      </c>
      <c r="C254" s="1346" t="s">
        <v>5154</v>
      </c>
      <c r="D254" s="1346" t="s">
        <v>408</v>
      </c>
      <c r="E254" s="1346" t="s">
        <v>11943</v>
      </c>
      <c r="F254" s="1346" t="s">
        <v>11969</v>
      </c>
      <c r="G254" s="1345" t="s">
        <v>409</v>
      </c>
      <c r="H254" s="1345" t="s">
        <v>403</v>
      </c>
      <c r="I254" s="1349" t="s">
        <v>109</v>
      </c>
      <c r="J254" s="1350"/>
      <c r="K254" s="1348">
        <v>211000.0</v>
      </c>
    </row>
    <row r="255">
      <c r="A255" s="1344" t="s">
        <v>12353</v>
      </c>
      <c r="B255" s="1345" t="s">
        <v>5154</v>
      </c>
      <c r="C255" s="1346" t="s">
        <v>5154</v>
      </c>
      <c r="D255" s="1346" t="s">
        <v>410</v>
      </c>
      <c r="E255" s="1346" t="s">
        <v>11943</v>
      </c>
      <c r="F255" s="1346" t="s">
        <v>11969</v>
      </c>
      <c r="G255" s="1345" t="s">
        <v>411</v>
      </c>
      <c r="H255" s="1345" t="s">
        <v>403</v>
      </c>
      <c r="I255" s="1349" t="s">
        <v>109</v>
      </c>
      <c r="J255" s="1350"/>
      <c r="K255" s="1348">
        <v>211000.0</v>
      </c>
    </row>
    <row r="256">
      <c r="A256" s="1344" t="s">
        <v>12354</v>
      </c>
      <c r="B256" s="1345" t="s">
        <v>5154</v>
      </c>
      <c r="C256" s="1346" t="s">
        <v>5154</v>
      </c>
      <c r="D256" s="1346" t="s">
        <v>412</v>
      </c>
      <c r="E256" s="1346" t="s">
        <v>11943</v>
      </c>
      <c r="F256" s="1346" t="s">
        <v>11969</v>
      </c>
      <c r="G256" s="1345" t="s">
        <v>396</v>
      </c>
      <c r="H256" s="1345" t="s">
        <v>403</v>
      </c>
      <c r="I256" s="1350"/>
      <c r="J256" s="1350"/>
      <c r="K256" s="1348">
        <v>219000.0</v>
      </c>
    </row>
    <row r="257">
      <c r="A257" s="1344" t="s">
        <v>12355</v>
      </c>
      <c r="B257" s="1345" t="s">
        <v>5154</v>
      </c>
      <c r="C257" s="1346" t="s">
        <v>5154</v>
      </c>
      <c r="D257" s="1346" t="s">
        <v>413</v>
      </c>
      <c r="E257" s="1346" t="s">
        <v>11943</v>
      </c>
      <c r="F257" s="1346" t="s">
        <v>11969</v>
      </c>
      <c r="G257" s="1345" t="s">
        <v>398</v>
      </c>
      <c r="H257" s="1345" t="s">
        <v>403</v>
      </c>
      <c r="I257" s="1350"/>
      <c r="J257" s="1350"/>
      <c r="K257" s="1348">
        <v>219000.0</v>
      </c>
    </row>
    <row r="258">
      <c r="A258" s="1344" t="s">
        <v>12356</v>
      </c>
      <c r="B258" s="1345" t="s">
        <v>12357</v>
      </c>
      <c r="C258" s="1346" t="s">
        <v>5154</v>
      </c>
      <c r="D258" s="1346" t="s">
        <v>414</v>
      </c>
      <c r="E258" s="1346" t="s">
        <v>11940</v>
      </c>
      <c r="F258" s="1346" t="s">
        <v>11931</v>
      </c>
      <c r="G258" s="1345" t="s">
        <v>60</v>
      </c>
      <c r="H258" s="1345" t="s">
        <v>415</v>
      </c>
      <c r="I258" s="1349" t="s">
        <v>137</v>
      </c>
      <c r="J258" s="1350"/>
      <c r="K258" s="1348">
        <v>1785000.0</v>
      </c>
    </row>
    <row r="259">
      <c r="A259" s="1344" t="s">
        <v>12358</v>
      </c>
      <c r="B259" s="1345" t="s">
        <v>12359</v>
      </c>
      <c r="C259" s="1346" t="s">
        <v>5154</v>
      </c>
      <c r="D259" s="1346" t="s">
        <v>416</v>
      </c>
      <c r="E259" s="1346" t="s">
        <v>11940</v>
      </c>
      <c r="F259" s="1346" t="s">
        <v>11944</v>
      </c>
      <c r="G259" s="1345" t="s">
        <v>62</v>
      </c>
      <c r="H259" s="1345" t="s">
        <v>415</v>
      </c>
      <c r="I259" s="1349" t="s">
        <v>1509</v>
      </c>
      <c r="J259" s="1350"/>
      <c r="K259" s="1348">
        <v>2119000.0</v>
      </c>
    </row>
    <row r="260">
      <c r="A260" s="1344" t="s">
        <v>5154</v>
      </c>
      <c r="B260" s="1345" t="s">
        <v>12360</v>
      </c>
      <c r="C260" s="1346" t="s">
        <v>5154</v>
      </c>
      <c r="D260" s="1346" t="s">
        <v>1414</v>
      </c>
      <c r="E260" s="1346" t="s">
        <v>11930</v>
      </c>
      <c r="F260" s="1346" t="s">
        <v>11931</v>
      </c>
      <c r="G260" s="1345" t="s">
        <v>60</v>
      </c>
      <c r="H260" s="1345" t="s">
        <v>12361</v>
      </c>
      <c r="I260" s="1349" t="s">
        <v>90</v>
      </c>
      <c r="J260" s="1350"/>
      <c r="K260" s="1348">
        <v>2341000.0</v>
      </c>
    </row>
    <row r="261">
      <c r="A261" s="1344" t="s">
        <v>5154</v>
      </c>
      <c r="B261" s="1345" t="s">
        <v>12362</v>
      </c>
      <c r="C261" s="1346" t="s">
        <v>5154</v>
      </c>
      <c r="D261" s="1346" t="s">
        <v>1605</v>
      </c>
      <c r="E261" s="1346" t="s">
        <v>11930</v>
      </c>
      <c r="F261" s="1346" t="s">
        <v>11944</v>
      </c>
      <c r="G261" s="1345" t="s">
        <v>62</v>
      </c>
      <c r="H261" s="1345" t="s">
        <v>12363</v>
      </c>
      <c r="I261" s="1349" t="s">
        <v>1509</v>
      </c>
      <c r="J261" s="1350"/>
      <c r="K261" s="1348">
        <v>2725000.0</v>
      </c>
    </row>
    <row r="262">
      <c r="A262" s="1344" t="s">
        <v>12364</v>
      </c>
      <c r="B262" s="1345" t="s">
        <v>12362</v>
      </c>
      <c r="C262" s="1346" t="s">
        <v>5154</v>
      </c>
      <c r="D262" s="1346" t="s">
        <v>417</v>
      </c>
      <c r="E262" s="1346" t="s">
        <v>11943</v>
      </c>
      <c r="F262" s="1346" t="s">
        <v>11944</v>
      </c>
      <c r="G262" s="1345" t="s">
        <v>62</v>
      </c>
      <c r="H262" s="1345" t="s">
        <v>12365</v>
      </c>
      <c r="I262" s="1349" t="s">
        <v>1509</v>
      </c>
      <c r="J262" s="1350"/>
      <c r="K262" s="1348">
        <v>2398000.0</v>
      </c>
    </row>
    <row r="263">
      <c r="A263" s="1344" t="s">
        <v>12366</v>
      </c>
      <c r="B263" s="1345" t="s">
        <v>12367</v>
      </c>
      <c r="C263" s="1346" t="s">
        <v>5154</v>
      </c>
      <c r="D263" s="1346" t="s">
        <v>419</v>
      </c>
      <c r="E263" s="1346" t="s">
        <v>11940</v>
      </c>
      <c r="F263" s="1346" t="s">
        <v>11931</v>
      </c>
      <c r="G263" s="1345" t="s">
        <v>60</v>
      </c>
      <c r="H263" s="1345" t="s">
        <v>420</v>
      </c>
      <c r="I263" s="1349" t="s">
        <v>109</v>
      </c>
      <c r="J263" s="1350"/>
      <c r="K263" s="1348">
        <v>1458000.0</v>
      </c>
    </row>
    <row r="264">
      <c r="A264" s="1344" t="s">
        <v>12368</v>
      </c>
      <c r="B264" s="1345" t="s">
        <v>12369</v>
      </c>
      <c r="C264" s="1346" t="s">
        <v>5154</v>
      </c>
      <c r="D264" s="1346" t="s">
        <v>421</v>
      </c>
      <c r="E264" s="1346" t="s">
        <v>11940</v>
      </c>
      <c r="F264" s="1346" t="s">
        <v>11944</v>
      </c>
      <c r="G264" s="1345" t="s">
        <v>62</v>
      </c>
      <c r="H264" s="1345" t="s">
        <v>420</v>
      </c>
      <c r="I264" s="1349" t="s">
        <v>12320</v>
      </c>
      <c r="J264" s="1350"/>
      <c r="K264" s="1348">
        <v>1776000.0</v>
      </c>
    </row>
    <row r="265">
      <c r="A265" s="1344" t="s">
        <v>12370</v>
      </c>
      <c r="B265" s="1345" t="s">
        <v>5154</v>
      </c>
      <c r="C265" s="1346" t="s">
        <v>5154</v>
      </c>
      <c r="D265" s="1346" t="s">
        <v>422</v>
      </c>
      <c r="E265" s="1346" t="s">
        <v>11943</v>
      </c>
      <c r="F265" s="1346" t="s">
        <v>11969</v>
      </c>
      <c r="G265" s="1345" t="s">
        <v>140</v>
      </c>
      <c r="H265" s="1345" t="s">
        <v>420</v>
      </c>
      <c r="I265" s="1350"/>
      <c r="J265" s="1350"/>
      <c r="K265" s="1348">
        <v>386000.0</v>
      </c>
    </row>
    <row r="266">
      <c r="A266" s="1344" t="s">
        <v>12371</v>
      </c>
      <c r="B266" s="1345" t="s">
        <v>5154</v>
      </c>
      <c r="C266" s="1346" t="s">
        <v>5154</v>
      </c>
      <c r="D266" s="1346" t="s">
        <v>423</v>
      </c>
      <c r="E266" s="1346" t="s">
        <v>11943</v>
      </c>
      <c r="F266" s="1346" t="s">
        <v>11969</v>
      </c>
      <c r="G266" s="1345" t="s">
        <v>142</v>
      </c>
      <c r="H266" s="1345" t="s">
        <v>420</v>
      </c>
      <c r="I266" s="1350"/>
      <c r="J266" s="1350"/>
      <c r="K266" s="1348">
        <v>386000.0</v>
      </c>
    </row>
    <row r="267">
      <c r="A267" s="1344" t="s">
        <v>12372</v>
      </c>
      <c r="B267" s="1345" t="s">
        <v>5154</v>
      </c>
      <c r="C267" s="1346" t="s">
        <v>5154</v>
      </c>
      <c r="D267" s="1346" t="s">
        <v>424</v>
      </c>
      <c r="E267" s="1346" t="s">
        <v>11943</v>
      </c>
      <c r="F267" s="1346" t="s">
        <v>11969</v>
      </c>
      <c r="G267" s="1345" t="s">
        <v>396</v>
      </c>
      <c r="H267" s="1345" t="s">
        <v>420</v>
      </c>
      <c r="I267" s="1350"/>
      <c r="J267" s="1350"/>
      <c r="K267" s="1348">
        <v>248000.0</v>
      </c>
    </row>
    <row r="268">
      <c r="A268" s="1344" t="s">
        <v>12373</v>
      </c>
      <c r="B268" s="1345" t="s">
        <v>5154</v>
      </c>
      <c r="C268" s="1346" t="s">
        <v>5154</v>
      </c>
      <c r="D268" s="1346" t="s">
        <v>425</v>
      </c>
      <c r="E268" s="1346" t="s">
        <v>11943</v>
      </c>
      <c r="F268" s="1346" t="s">
        <v>11969</v>
      </c>
      <c r="G268" s="1345" t="s">
        <v>398</v>
      </c>
      <c r="H268" s="1345" t="s">
        <v>420</v>
      </c>
      <c r="I268" s="1350"/>
      <c r="J268" s="1350"/>
      <c r="K268" s="1348">
        <v>248000.0</v>
      </c>
    </row>
    <row r="269">
      <c r="A269" s="1344" t="s">
        <v>12374</v>
      </c>
      <c r="B269" s="1345" t="s">
        <v>12375</v>
      </c>
      <c r="C269" s="1346" t="s">
        <v>5154</v>
      </c>
      <c r="D269" s="1346" t="s">
        <v>426</v>
      </c>
      <c r="E269" s="1346" t="s">
        <v>11943</v>
      </c>
      <c r="F269" s="1346" t="s">
        <v>11969</v>
      </c>
      <c r="G269" s="1345" t="s">
        <v>209</v>
      </c>
      <c r="H269" s="1345" t="s">
        <v>420</v>
      </c>
      <c r="I269" s="1349" t="s">
        <v>109</v>
      </c>
      <c r="J269" s="1350"/>
      <c r="K269" s="1348">
        <v>940000.0</v>
      </c>
    </row>
    <row r="270">
      <c r="A270" s="1344" t="s">
        <v>12376</v>
      </c>
      <c r="B270" s="1345" t="s">
        <v>12377</v>
      </c>
      <c r="C270" s="1346" t="s">
        <v>5154</v>
      </c>
      <c r="D270" s="1346" t="s">
        <v>427</v>
      </c>
      <c r="E270" s="1346" t="s">
        <v>11943</v>
      </c>
      <c r="F270" s="1346" t="s">
        <v>11969</v>
      </c>
      <c r="G270" s="1345" t="s">
        <v>243</v>
      </c>
      <c r="H270" s="1345" t="s">
        <v>420</v>
      </c>
      <c r="I270" s="1349" t="s">
        <v>109</v>
      </c>
      <c r="J270" s="1350"/>
      <c r="K270" s="1348">
        <v>940000.0</v>
      </c>
    </row>
    <row r="271">
      <c r="A271" s="1344" t="s">
        <v>12378</v>
      </c>
      <c r="B271" s="1345" t="s">
        <v>12379</v>
      </c>
      <c r="C271" s="1346" t="s">
        <v>5154</v>
      </c>
      <c r="D271" s="1346" t="s">
        <v>428</v>
      </c>
      <c r="E271" s="1346" t="s">
        <v>11940</v>
      </c>
      <c r="F271" s="1346" t="s">
        <v>11931</v>
      </c>
      <c r="G271" s="1345" t="s">
        <v>60</v>
      </c>
      <c r="H271" s="1345" t="s">
        <v>429</v>
      </c>
      <c r="I271" s="1349" t="s">
        <v>137</v>
      </c>
      <c r="J271" s="1350"/>
      <c r="K271" s="1348">
        <v>1482000.0</v>
      </c>
    </row>
    <row r="272">
      <c r="A272" s="1344" t="s">
        <v>12380</v>
      </c>
      <c r="B272" s="1345" t="s">
        <v>12381</v>
      </c>
      <c r="C272" s="1346" t="s">
        <v>5154</v>
      </c>
      <c r="D272" s="1346" t="s">
        <v>431</v>
      </c>
      <c r="E272" s="1346" t="s">
        <v>11940</v>
      </c>
      <c r="F272" s="1346" t="s">
        <v>11931</v>
      </c>
      <c r="G272" s="1345" t="s">
        <v>60</v>
      </c>
      <c r="H272" s="1345" t="s">
        <v>432</v>
      </c>
      <c r="I272" s="1349" t="s">
        <v>137</v>
      </c>
      <c r="J272" s="1350"/>
      <c r="K272" s="1348">
        <v>1482000.0</v>
      </c>
    </row>
    <row r="273">
      <c r="A273" s="1344" t="s">
        <v>12382</v>
      </c>
      <c r="B273" s="1345" t="s">
        <v>12383</v>
      </c>
      <c r="C273" s="1346" t="s">
        <v>5154</v>
      </c>
      <c r="D273" s="1346" t="s">
        <v>433</v>
      </c>
      <c r="E273" s="1346" t="s">
        <v>11940</v>
      </c>
      <c r="F273" s="1346" t="s">
        <v>11944</v>
      </c>
      <c r="G273" s="1345" t="s">
        <v>62</v>
      </c>
      <c r="H273" s="1345" t="s">
        <v>434</v>
      </c>
      <c r="I273" s="1349" t="s">
        <v>12091</v>
      </c>
      <c r="J273" s="1350"/>
      <c r="K273" s="1348">
        <v>1735000.0</v>
      </c>
    </row>
    <row r="274">
      <c r="A274" s="1344" t="s">
        <v>12384</v>
      </c>
      <c r="B274" s="1345" t="s">
        <v>5154</v>
      </c>
      <c r="C274" s="1346" t="s">
        <v>5154</v>
      </c>
      <c r="D274" s="1346" t="s">
        <v>435</v>
      </c>
      <c r="E274" s="1346" t="s">
        <v>11943</v>
      </c>
      <c r="F274" s="1346" t="s">
        <v>11969</v>
      </c>
      <c r="G274" s="1345" t="s">
        <v>144</v>
      </c>
      <c r="H274" s="1345" t="s">
        <v>434</v>
      </c>
      <c r="I274" s="1350"/>
      <c r="J274" s="1350"/>
      <c r="K274" s="1348">
        <v>313000.0</v>
      </c>
    </row>
    <row r="275">
      <c r="A275" s="1344" t="s">
        <v>12385</v>
      </c>
      <c r="B275" s="1345" t="s">
        <v>5154</v>
      </c>
      <c r="C275" s="1346" t="s">
        <v>5154</v>
      </c>
      <c r="D275" s="1346" t="s">
        <v>436</v>
      </c>
      <c r="E275" s="1346" t="s">
        <v>11943</v>
      </c>
      <c r="F275" s="1346" t="s">
        <v>11969</v>
      </c>
      <c r="G275" s="1345" t="s">
        <v>146</v>
      </c>
      <c r="H275" s="1345" t="s">
        <v>434</v>
      </c>
      <c r="I275" s="1350"/>
      <c r="J275" s="1350"/>
      <c r="K275" s="1348">
        <v>313000.0</v>
      </c>
    </row>
    <row r="276">
      <c r="A276" s="1344" t="s">
        <v>12386</v>
      </c>
      <c r="B276" s="1345" t="s">
        <v>12387</v>
      </c>
      <c r="C276" s="1346" t="s">
        <v>5154</v>
      </c>
      <c r="D276" s="1346" t="s">
        <v>437</v>
      </c>
      <c r="E276" s="1346" t="s">
        <v>11940</v>
      </c>
      <c r="F276" s="1346" t="s">
        <v>11969</v>
      </c>
      <c r="G276" s="1345" t="s">
        <v>209</v>
      </c>
      <c r="H276" s="1345" t="s">
        <v>434</v>
      </c>
      <c r="I276" s="1349" t="s">
        <v>109</v>
      </c>
      <c r="J276" s="1350"/>
      <c r="K276" s="1348">
        <v>940000.0</v>
      </c>
    </row>
    <row r="277">
      <c r="A277" s="1344" t="s">
        <v>12388</v>
      </c>
      <c r="B277" s="1345" t="s">
        <v>12389</v>
      </c>
      <c r="C277" s="1346" t="s">
        <v>5154</v>
      </c>
      <c r="D277" s="1346" t="s">
        <v>438</v>
      </c>
      <c r="E277" s="1346" t="s">
        <v>11940</v>
      </c>
      <c r="F277" s="1346" t="s">
        <v>11969</v>
      </c>
      <c r="G277" s="1345" t="s">
        <v>243</v>
      </c>
      <c r="H277" s="1345" t="s">
        <v>434</v>
      </c>
      <c r="I277" s="1349" t="s">
        <v>109</v>
      </c>
      <c r="J277" s="1350"/>
      <c r="K277" s="1348">
        <v>940000.0</v>
      </c>
    </row>
    <row r="278">
      <c r="A278" s="1344" t="s">
        <v>12390</v>
      </c>
      <c r="B278" s="1345" t="s">
        <v>12391</v>
      </c>
      <c r="C278" s="1346" t="s">
        <v>12392</v>
      </c>
      <c r="D278" s="1346" t="s">
        <v>439</v>
      </c>
      <c r="E278" s="1346" t="s">
        <v>12061</v>
      </c>
      <c r="F278" s="1346" t="s">
        <v>11931</v>
      </c>
      <c r="G278" s="1345" t="s">
        <v>60</v>
      </c>
      <c r="H278" s="1345" t="s">
        <v>440</v>
      </c>
      <c r="I278" s="1349" t="s">
        <v>137</v>
      </c>
      <c r="J278" s="1350"/>
      <c r="K278" s="1348">
        <v>1502000.0</v>
      </c>
    </row>
    <row r="279">
      <c r="A279" s="1344" t="s">
        <v>12393</v>
      </c>
      <c r="B279" s="1345" t="s">
        <v>12394</v>
      </c>
      <c r="C279" s="1346" t="s">
        <v>5154</v>
      </c>
      <c r="D279" s="1346" t="s">
        <v>441</v>
      </c>
      <c r="E279" s="1346" t="s">
        <v>11940</v>
      </c>
      <c r="F279" s="1346" t="s">
        <v>11944</v>
      </c>
      <c r="G279" s="1345" t="s">
        <v>62</v>
      </c>
      <c r="H279" s="1345" t="s">
        <v>440</v>
      </c>
      <c r="I279" s="1349" t="s">
        <v>12395</v>
      </c>
      <c r="J279" s="1357">
        <v>595000.0</v>
      </c>
      <c r="K279" s="1348">
        <v>1119000.0</v>
      </c>
    </row>
    <row r="280">
      <c r="A280" s="1344" t="s">
        <v>12396</v>
      </c>
      <c r="B280" s="1345" t="s">
        <v>12397</v>
      </c>
      <c r="C280" s="1346" t="s">
        <v>5154</v>
      </c>
      <c r="D280" s="1346" t="s">
        <v>443</v>
      </c>
      <c r="E280" s="1346" t="s">
        <v>11940</v>
      </c>
      <c r="F280" s="1346" t="s">
        <v>11969</v>
      </c>
      <c r="G280" s="1345" t="s">
        <v>209</v>
      </c>
      <c r="H280" s="1345" t="s">
        <v>440</v>
      </c>
      <c r="I280" s="1349" t="s">
        <v>109</v>
      </c>
      <c r="J280" s="1350"/>
      <c r="K280" s="1348">
        <v>407000.0</v>
      </c>
    </row>
    <row r="281">
      <c r="A281" s="1344" t="s">
        <v>12398</v>
      </c>
      <c r="B281" s="1345" t="s">
        <v>12399</v>
      </c>
      <c r="C281" s="1346" t="s">
        <v>5154</v>
      </c>
      <c r="D281" s="1346" t="s">
        <v>444</v>
      </c>
      <c r="E281" s="1346" t="s">
        <v>11940</v>
      </c>
      <c r="F281" s="1346" t="s">
        <v>11969</v>
      </c>
      <c r="G281" s="1345" t="s">
        <v>243</v>
      </c>
      <c r="H281" s="1345" t="s">
        <v>440</v>
      </c>
      <c r="I281" s="1349" t="s">
        <v>109</v>
      </c>
      <c r="J281" s="1350"/>
      <c r="K281" s="1348">
        <v>407000.0</v>
      </c>
    </row>
    <row r="282">
      <c r="A282" s="1344" t="s">
        <v>12400</v>
      </c>
      <c r="B282" s="1345" t="s">
        <v>12401</v>
      </c>
      <c r="C282" s="1346" t="s">
        <v>12402</v>
      </c>
      <c r="D282" s="1346" t="s">
        <v>445</v>
      </c>
      <c r="E282" s="1346" t="s">
        <v>12061</v>
      </c>
      <c r="F282" s="1346" t="s">
        <v>11931</v>
      </c>
      <c r="G282" s="1345" t="s">
        <v>60</v>
      </c>
      <c r="H282" s="1345" t="s">
        <v>85</v>
      </c>
      <c r="I282" s="1349" t="s">
        <v>137</v>
      </c>
      <c r="J282" s="1350"/>
      <c r="K282" s="1348">
        <v>1599000.0</v>
      </c>
    </row>
    <row r="283">
      <c r="A283" s="1344" t="s">
        <v>12403</v>
      </c>
      <c r="B283" s="1345" t="s">
        <v>12404</v>
      </c>
      <c r="C283" s="1346" t="s">
        <v>5154</v>
      </c>
      <c r="D283" s="1346" t="s">
        <v>446</v>
      </c>
      <c r="E283" s="1346" t="s">
        <v>11940</v>
      </c>
      <c r="F283" s="1346" t="s">
        <v>11944</v>
      </c>
      <c r="G283" s="1345" t="s">
        <v>62</v>
      </c>
      <c r="H283" s="1345" t="s">
        <v>447</v>
      </c>
      <c r="I283" s="1349" t="s">
        <v>1437</v>
      </c>
      <c r="J283" s="1357">
        <v>595000.0</v>
      </c>
      <c r="K283" s="1348">
        <v>1196000.0</v>
      </c>
    </row>
    <row r="284">
      <c r="A284" s="1344" t="s">
        <v>12405</v>
      </c>
      <c r="B284" s="1345" t="s">
        <v>12406</v>
      </c>
      <c r="C284" s="1346" t="s">
        <v>5154</v>
      </c>
      <c r="D284" s="1346" t="s">
        <v>448</v>
      </c>
      <c r="E284" s="1346" t="s">
        <v>11940</v>
      </c>
      <c r="F284" s="1346" t="s">
        <v>11944</v>
      </c>
      <c r="G284" s="1345" t="s">
        <v>62</v>
      </c>
      <c r="H284" s="1345" t="s">
        <v>449</v>
      </c>
      <c r="I284" s="1349" t="s">
        <v>1792</v>
      </c>
      <c r="J284" s="1357">
        <v>595000.0</v>
      </c>
      <c r="K284" s="1348">
        <v>1196000.0</v>
      </c>
    </row>
    <row r="285">
      <c r="A285" s="1344" t="s">
        <v>12407</v>
      </c>
      <c r="B285" s="1345" t="s">
        <v>5154</v>
      </c>
      <c r="C285" s="1346" t="s">
        <v>5154</v>
      </c>
      <c r="D285" s="1346" t="s">
        <v>451</v>
      </c>
      <c r="E285" s="1346" t="s">
        <v>11943</v>
      </c>
      <c r="F285" s="1346" t="s">
        <v>11969</v>
      </c>
      <c r="G285" s="1345" t="s">
        <v>140</v>
      </c>
      <c r="H285" s="1345" t="s">
        <v>85</v>
      </c>
      <c r="I285" s="1350"/>
      <c r="J285" s="1350"/>
      <c r="K285" s="1348">
        <v>309000.0</v>
      </c>
    </row>
    <row r="286">
      <c r="A286" s="1344" t="s">
        <v>12408</v>
      </c>
      <c r="B286" s="1345" t="s">
        <v>5154</v>
      </c>
      <c r="C286" s="1346" t="s">
        <v>5154</v>
      </c>
      <c r="D286" s="1346" t="s">
        <v>452</v>
      </c>
      <c r="E286" s="1346" t="s">
        <v>11943</v>
      </c>
      <c r="F286" s="1346" t="s">
        <v>11969</v>
      </c>
      <c r="G286" s="1345" t="s">
        <v>142</v>
      </c>
      <c r="H286" s="1345" t="s">
        <v>85</v>
      </c>
      <c r="I286" s="1350"/>
      <c r="J286" s="1350"/>
      <c r="K286" s="1348">
        <v>309000.0</v>
      </c>
    </row>
    <row r="287">
      <c r="A287" s="1344" t="s">
        <v>12409</v>
      </c>
      <c r="B287" s="1345" t="s">
        <v>5154</v>
      </c>
      <c r="C287" s="1346" t="s">
        <v>5154</v>
      </c>
      <c r="D287" s="1346" t="s">
        <v>453</v>
      </c>
      <c r="E287" s="1346" t="s">
        <v>11943</v>
      </c>
      <c r="F287" s="1346" t="s">
        <v>11969</v>
      </c>
      <c r="G287" s="1345" t="s">
        <v>144</v>
      </c>
      <c r="H287" s="1345" t="s">
        <v>85</v>
      </c>
      <c r="I287" s="1350"/>
      <c r="J287" s="1350"/>
      <c r="K287" s="1348">
        <v>378000.0</v>
      </c>
    </row>
    <row r="288">
      <c r="A288" s="1344" t="s">
        <v>12410</v>
      </c>
      <c r="B288" s="1345" t="s">
        <v>5154</v>
      </c>
      <c r="C288" s="1346" t="s">
        <v>5154</v>
      </c>
      <c r="D288" s="1346" t="s">
        <v>84</v>
      </c>
      <c r="E288" s="1346" t="s">
        <v>11943</v>
      </c>
      <c r="F288" s="1346" t="s">
        <v>11969</v>
      </c>
      <c r="G288" s="1345" t="s">
        <v>146</v>
      </c>
      <c r="H288" s="1345" t="s">
        <v>85</v>
      </c>
      <c r="I288" s="1350"/>
      <c r="J288" s="1350"/>
      <c r="K288" s="1348">
        <v>378000.0</v>
      </c>
    </row>
    <row r="289">
      <c r="A289" s="1344" t="s">
        <v>5154</v>
      </c>
      <c r="B289" s="1345" t="s">
        <v>12411</v>
      </c>
      <c r="C289" s="1346" t="s">
        <v>5154</v>
      </c>
      <c r="D289" s="1346" t="s">
        <v>1423</v>
      </c>
      <c r="E289" s="1346" t="s">
        <v>11930</v>
      </c>
      <c r="F289" s="1351" t="s">
        <v>11931</v>
      </c>
      <c r="G289" s="1345" t="s">
        <v>60</v>
      </c>
      <c r="H289" s="1345" t="s">
        <v>2311</v>
      </c>
      <c r="I289" s="1349" t="s">
        <v>90</v>
      </c>
      <c r="J289" s="1350"/>
      <c r="K289" s="1348">
        <v>2500000.0</v>
      </c>
    </row>
    <row r="290">
      <c r="A290" s="1344" t="s">
        <v>12412</v>
      </c>
      <c r="B290" s="1345" t="s">
        <v>12413</v>
      </c>
      <c r="C290" s="1346" t="s">
        <v>5154</v>
      </c>
      <c r="D290" s="1346" t="s">
        <v>454</v>
      </c>
      <c r="E290" s="1346" t="s">
        <v>11940</v>
      </c>
      <c r="F290" s="1346" t="s">
        <v>11931</v>
      </c>
      <c r="G290" s="1345" t="s">
        <v>60</v>
      </c>
      <c r="H290" s="1345" t="s">
        <v>2311</v>
      </c>
      <c r="I290" s="1349" t="s">
        <v>137</v>
      </c>
      <c r="J290" s="1350"/>
      <c r="K290" s="1348">
        <v>1552000.0</v>
      </c>
    </row>
    <row r="291">
      <c r="A291" s="1344" t="s">
        <v>12414</v>
      </c>
      <c r="B291" s="1345" t="s">
        <v>12415</v>
      </c>
      <c r="C291" s="1346" t="s">
        <v>5154</v>
      </c>
      <c r="D291" s="1346" t="s">
        <v>456</v>
      </c>
      <c r="E291" s="1346" t="s">
        <v>11940</v>
      </c>
      <c r="F291" s="1346" t="s">
        <v>11944</v>
      </c>
      <c r="G291" s="1345" t="s">
        <v>62</v>
      </c>
      <c r="H291" s="1345" t="s">
        <v>2311</v>
      </c>
      <c r="I291" s="1349" t="s">
        <v>1792</v>
      </c>
      <c r="J291" s="1350"/>
      <c r="K291" s="1348">
        <v>1037000.0</v>
      </c>
    </row>
    <row r="292">
      <c r="A292" s="1344" t="s">
        <v>5154</v>
      </c>
      <c r="B292" s="1345" t="s">
        <v>12416</v>
      </c>
      <c r="C292" s="1346" t="s">
        <v>5154</v>
      </c>
      <c r="D292" s="1346" t="s">
        <v>12417</v>
      </c>
      <c r="E292" s="1346" t="s">
        <v>11930</v>
      </c>
      <c r="F292" s="1351" t="s">
        <v>11931</v>
      </c>
      <c r="G292" s="1349" t="s">
        <v>60</v>
      </c>
      <c r="H292" s="1349" t="s">
        <v>12418</v>
      </c>
      <c r="I292" s="1349" t="s">
        <v>90</v>
      </c>
      <c r="J292" s="1350"/>
      <c r="K292" s="1348">
        <v>2600000.0</v>
      </c>
    </row>
    <row r="293">
      <c r="A293" s="1344" t="s">
        <v>12419</v>
      </c>
      <c r="B293" s="1345" t="s">
        <v>12420</v>
      </c>
      <c r="C293" s="1346" t="s">
        <v>5154</v>
      </c>
      <c r="D293" s="1346" t="s">
        <v>457</v>
      </c>
      <c r="E293" s="1346" t="s">
        <v>11940</v>
      </c>
      <c r="F293" s="1346" t="s">
        <v>11931</v>
      </c>
      <c r="G293" s="1345" t="s">
        <v>60</v>
      </c>
      <c r="H293" s="1345" t="s">
        <v>458</v>
      </c>
      <c r="I293" s="1349" t="s">
        <v>90</v>
      </c>
      <c r="J293" s="1350"/>
      <c r="K293" s="1348">
        <v>5263000.0</v>
      </c>
    </row>
    <row r="294">
      <c r="A294" s="1344" t="s">
        <v>12421</v>
      </c>
      <c r="B294" s="1345" t="s">
        <v>12422</v>
      </c>
      <c r="C294" s="1346" t="s">
        <v>5154</v>
      </c>
      <c r="D294" s="1346" t="s">
        <v>459</v>
      </c>
      <c r="E294" s="1346" t="s">
        <v>11940</v>
      </c>
      <c r="F294" s="1346" t="s">
        <v>11931</v>
      </c>
      <c r="G294" s="1345" t="s">
        <v>60</v>
      </c>
      <c r="H294" s="1345" t="s">
        <v>460</v>
      </c>
      <c r="I294" s="1349" t="s">
        <v>137</v>
      </c>
      <c r="J294" s="1350"/>
      <c r="K294" s="1348">
        <v>5880000.0</v>
      </c>
    </row>
    <row r="295">
      <c r="A295" s="1344" t="s">
        <v>12423</v>
      </c>
      <c r="B295" s="1345" t="s">
        <v>12424</v>
      </c>
      <c r="C295" s="1346" t="s">
        <v>5154</v>
      </c>
      <c r="D295" s="1346" t="s">
        <v>461</v>
      </c>
      <c r="E295" s="1346" t="s">
        <v>11940</v>
      </c>
      <c r="F295" s="1346" t="s">
        <v>11944</v>
      </c>
      <c r="G295" s="1345" t="s">
        <v>62</v>
      </c>
      <c r="H295" s="1345" t="s">
        <v>462</v>
      </c>
      <c r="I295" s="1349" t="s">
        <v>1437</v>
      </c>
      <c r="J295" s="1350"/>
      <c r="K295" s="1348">
        <v>4175000.0</v>
      </c>
    </row>
    <row r="296">
      <c r="A296" s="1344" t="s">
        <v>12425</v>
      </c>
      <c r="B296" s="1345" t="s">
        <v>12426</v>
      </c>
      <c r="C296" s="1346" t="s">
        <v>5154</v>
      </c>
      <c r="D296" s="1346" t="s">
        <v>463</v>
      </c>
      <c r="E296" s="1346" t="s">
        <v>11940</v>
      </c>
      <c r="F296" s="1346" t="s">
        <v>11944</v>
      </c>
      <c r="G296" s="1345" t="s">
        <v>62</v>
      </c>
      <c r="H296" s="1345" t="s">
        <v>464</v>
      </c>
      <c r="I296" s="1349" t="s">
        <v>1792</v>
      </c>
      <c r="J296" s="1350"/>
      <c r="K296" s="1348">
        <v>4497000.0</v>
      </c>
    </row>
    <row r="297">
      <c r="A297" s="1344" t="s">
        <v>12427</v>
      </c>
      <c r="B297" s="1345" t="s">
        <v>12428</v>
      </c>
      <c r="C297" s="1346" t="s">
        <v>12429</v>
      </c>
      <c r="D297" s="1346" t="s">
        <v>465</v>
      </c>
      <c r="E297" s="1346" t="s">
        <v>12061</v>
      </c>
      <c r="F297" s="1346" t="s">
        <v>11931</v>
      </c>
      <c r="G297" s="1345" t="s">
        <v>60</v>
      </c>
      <c r="H297" s="1345" t="s">
        <v>466</v>
      </c>
      <c r="I297" s="1349" t="s">
        <v>137</v>
      </c>
      <c r="J297" s="1350"/>
      <c r="K297" s="1348">
        <v>1418000.0</v>
      </c>
    </row>
    <row r="298">
      <c r="A298" s="1344" t="s">
        <v>12430</v>
      </c>
      <c r="B298" s="1345" t="s">
        <v>12431</v>
      </c>
      <c r="C298" s="1346" t="s">
        <v>5154</v>
      </c>
      <c r="D298" s="1346" t="s">
        <v>467</v>
      </c>
      <c r="E298" s="1346" t="s">
        <v>11940</v>
      </c>
      <c r="F298" s="1346" t="s">
        <v>11944</v>
      </c>
      <c r="G298" s="1345" t="s">
        <v>62</v>
      </c>
      <c r="H298" s="1345" t="s">
        <v>466</v>
      </c>
      <c r="I298" s="1349" t="s">
        <v>1442</v>
      </c>
      <c r="J298" s="1357">
        <v>637000.0</v>
      </c>
      <c r="K298" s="1348">
        <v>1196000.0</v>
      </c>
    </row>
    <row r="299">
      <c r="A299" s="1344" t="s">
        <v>12432</v>
      </c>
      <c r="B299" s="1345" t="s">
        <v>5154</v>
      </c>
      <c r="C299" s="1346" t="s">
        <v>5154</v>
      </c>
      <c r="D299" s="1346" t="s">
        <v>468</v>
      </c>
      <c r="E299" s="1346" t="s">
        <v>11943</v>
      </c>
      <c r="F299" s="1346" t="s">
        <v>11969</v>
      </c>
      <c r="G299" s="1345" t="s">
        <v>209</v>
      </c>
      <c r="H299" s="1345" t="s">
        <v>466</v>
      </c>
      <c r="I299" s="1349" t="s">
        <v>109</v>
      </c>
      <c r="J299" s="1350"/>
      <c r="K299" s="1348">
        <v>363000.0</v>
      </c>
    </row>
    <row r="300">
      <c r="A300" s="1344" t="s">
        <v>12433</v>
      </c>
      <c r="B300" s="1345" t="s">
        <v>5154</v>
      </c>
      <c r="C300" s="1346" t="s">
        <v>5154</v>
      </c>
      <c r="D300" s="1346" t="s">
        <v>469</v>
      </c>
      <c r="E300" s="1346" t="s">
        <v>11943</v>
      </c>
      <c r="F300" s="1346" t="s">
        <v>11969</v>
      </c>
      <c r="G300" s="1345" t="s">
        <v>243</v>
      </c>
      <c r="H300" s="1345" t="s">
        <v>466</v>
      </c>
      <c r="I300" s="1349" t="s">
        <v>109</v>
      </c>
      <c r="J300" s="1350"/>
      <c r="K300" s="1348">
        <v>378000.0</v>
      </c>
    </row>
    <row r="301">
      <c r="A301" s="1344" t="s">
        <v>12434</v>
      </c>
      <c r="B301" s="1345" t="s">
        <v>12435</v>
      </c>
      <c r="C301" s="1346" t="s">
        <v>5154</v>
      </c>
      <c r="D301" s="1346" t="s">
        <v>12436</v>
      </c>
      <c r="E301" s="1346" t="s">
        <v>11940</v>
      </c>
      <c r="F301" s="1346" t="s">
        <v>11931</v>
      </c>
      <c r="G301" s="1345" t="s">
        <v>60</v>
      </c>
      <c r="H301" s="1345" t="s">
        <v>471</v>
      </c>
      <c r="I301" s="1349" t="s">
        <v>137</v>
      </c>
      <c r="J301" s="1350"/>
      <c r="K301" s="1348">
        <v>1606000.0</v>
      </c>
    </row>
    <row r="302">
      <c r="A302" s="1344" t="s">
        <v>12437</v>
      </c>
      <c r="B302" s="1345" t="s">
        <v>12438</v>
      </c>
      <c r="C302" s="1346" t="s">
        <v>5154</v>
      </c>
      <c r="D302" s="1346" t="s">
        <v>12439</v>
      </c>
      <c r="E302" s="1346" t="s">
        <v>11940</v>
      </c>
      <c r="F302" s="1346" t="s">
        <v>11944</v>
      </c>
      <c r="G302" s="1345" t="s">
        <v>62</v>
      </c>
      <c r="H302" s="1345" t="s">
        <v>471</v>
      </c>
      <c r="I302" s="1349" t="s">
        <v>1437</v>
      </c>
      <c r="J302" s="1357">
        <v>510000.0</v>
      </c>
      <c r="K302" s="1348">
        <v>965000.0</v>
      </c>
    </row>
    <row r="303">
      <c r="A303" s="1344" t="s">
        <v>5154</v>
      </c>
      <c r="B303" s="1345" t="s">
        <v>12440</v>
      </c>
      <c r="C303" s="1346" t="s">
        <v>5154</v>
      </c>
      <c r="D303" s="1346" t="s">
        <v>1430</v>
      </c>
      <c r="E303" s="1346" t="s">
        <v>11930</v>
      </c>
      <c r="F303" s="1351" t="s">
        <v>11931</v>
      </c>
      <c r="G303" s="1345" t="s">
        <v>60</v>
      </c>
      <c r="H303" s="1345" t="s">
        <v>1431</v>
      </c>
      <c r="I303" s="1349" t="s">
        <v>90</v>
      </c>
      <c r="J303" s="1350"/>
      <c r="K303" s="1348">
        <v>1875000.0</v>
      </c>
    </row>
    <row r="304">
      <c r="A304" s="1344" t="s">
        <v>12441</v>
      </c>
      <c r="B304" s="1345" t="s">
        <v>12442</v>
      </c>
      <c r="C304" s="1346" t="s">
        <v>12443</v>
      </c>
      <c r="D304" s="1346" t="s">
        <v>474</v>
      </c>
      <c r="E304" s="1346" t="s">
        <v>12061</v>
      </c>
      <c r="F304" s="1346" t="s">
        <v>11931</v>
      </c>
      <c r="G304" s="1345" t="s">
        <v>60</v>
      </c>
      <c r="H304" s="1345" t="s">
        <v>475</v>
      </c>
      <c r="I304" s="1349" t="s">
        <v>109</v>
      </c>
      <c r="J304" s="1350"/>
      <c r="K304" s="1348">
        <v>1224000.0</v>
      </c>
    </row>
    <row r="305">
      <c r="A305" s="1344" t="s">
        <v>12444</v>
      </c>
      <c r="B305" s="1345" t="s">
        <v>12445</v>
      </c>
      <c r="C305" s="1346" t="s">
        <v>5154</v>
      </c>
      <c r="D305" s="1346" t="s">
        <v>476</v>
      </c>
      <c r="E305" s="1346" t="s">
        <v>11940</v>
      </c>
      <c r="F305" s="1346" t="s">
        <v>11944</v>
      </c>
      <c r="G305" s="1345" t="s">
        <v>62</v>
      </c>
      <c r="H305" s="1345" t="s">
        <v>475</v>
      </c>
      <c r="I305" s="1349" t="s">
        <v>1437</v>
      </c>
      <c r="J305" s="1357">
        <v>504000.0</v>
      </c>
      <c r="K305" s="1348">
        <v>1003000.0</v>
      </c>
    </row>
    <row r="306">
      <c r="A306" s="1344" t="s">
        <v>12446</v>
      </c>
      <c r="B306" s="1345" t="s">
        <v>5154</v>
      </c>
      <c r="C306" s="1346" t="s">
        <v>5154</v>
      </c>
      <c r="D306" s="1346" t="s">
        <v>477</v>
      </c>
      <c r="E306" s="1346" t="s">
        <v>11943</v>
      </c>
      <c r="F306" s="1346" t="s">
        <v>11969</v>
      </c>
      <c r="G306" s="1345" t="s">
        <v>140</v>
      </c>
      <c r="H306" s="1345" t="s">
        <v>475</v>
      </c>
      <c r="I306" s="1349" t="s">
        <v>478</v>
      </c>
      <c r="J306" s="1350"/>
      <c r="K306" s="1348">
        <v>393000.0</v>
      </c>
    </row>
    <row r="307">
      <c r="A307" s="1344" t="s">
        <v>12447</v>
      </c>
      <c r="B307" s="1345" t="s">
        <v>5154</v>
      </c>
      <c r="C307" s="1346" t="s">
        <v>5154</v>
      </c>
      <c r="D307" s="1346" t="s">
        <v>479</v>
      </c>
      <c r="E307" s="1346" t="s">
        <v>11943</v>
      </c>
      <c r="F307" s="1346" t="s">
        <v>11969</v>
      </c>
      <c r="G307" s="1345" t="s">
        <v>409</v>
      </c>
      <c r="H307" s="1345" t="s">
        <v>475</v>
      </c>
      <c r="I307" s="1349" t="s">
        <v>109</v>
      </c>
      <c r="J307" s="1350"/>
      <c r="K307" s="1348">
        <v>154000.0</v>
      </c>
    </row>
    <row r="308">
      <c r="A308" s="1344" t="s">
        <v>12448</v>
      </c>
      <c r="B308" s="1345" t="s">
        <v>5154</v>
      </c>
      <c r="C308" s="1346" t="s">
        <v>5154</v>
      </c>
      <c r="D308" s="1346" t="s">
        <v>480</v>
      </c>
      <c r="E308" s="1346" t="s">
        <v>11943</v>
      </c>
      <c r="F308" s="1346" t="s">
        <v>11969</v>
      </c>
      <c r="G308" s="1345" t="s">
        <v>144</v>
      </c>
      <c r="H308" s="1345" t="s">
        <v>475</v>
      </c>
      <c r="I308" s="1349" t="s">
        <v>478</v>
      </c>
      <c r="J308" s="1350"/>
      <c r="K308" s="1348">
        <v>305000.0</v>
      </c>
    </row>
    <row r="309">
      <c r="A309" s="1344" t="s">
        <v>12449</v>
      </c>
      <c r="B309" s="1345" t="s">
        <v>5154</v>
      </c>
      <c r="C309" s="1346" t="s">
        <v>5154</v>
      </c>
      <c r="D309" s="1346" t="s">
        <v>481</v>
      </c>
      <c r="E309" s="1346" t="s">
        <v>11943</v>
      </c>
      <c r="F309" s="1346" t="s">
        <v>11969</v>
      </c>
      <c r="G309" s="1345" t="s">
        <v>146</v>
      </c>
      <c r="H309" s="1345" t="s">
        <v>475</v>
      </c>
      <c r="I309" s="1349" t="s">
        <v>478</v>
      </c>
      <c r="J309" s="1350"/>
      <c r="K309" s="1348">
        <v>305000.0</v>
      </c>
    </row>
    <row r="310">
      <c r="A310" s="1344" t="s">
        <v>12450</v>
      </c>
      <c r="B310" s="1345" t="s">
        <v>12451</v>
      </c>
      <c r="C310" s="1346" t="s">
        <v>12452</v>
      </c>
      <c r="D310" s="1346" t="s">
        <v>482</v>
      </c>
      <c r="E310" s="1346" t="s">
        <v>12061</v>
      </c>
      <c r="F310" s="1346" t="s">
        <v>11931</v>
      </c>
      <c r="G310" s="1345" t="s">
        <v>60</v>
      </c>
      <c r="H310" s="1345" t="s">
        <v>483</v>
      </c>
      <c r="I310" s="1349" t="s">
        <v>137</v>
      </c>
      <c r="J310" s="1350"/>
      <c r="K310" s="1348">
        <v>1418000.0</v>
      </c>
    </row>
    <row r="311">
      <c r="A311" s="1344" t="s">
        <v>12453</v>
      </c>
      <c r="B311" s="1345" t="s">
        <v>12454</v>
      </c>
      <c r="C311" s="1346" t="s">
        <v>5154</v>
      </c>
      <c r="D311" s="1346" t="s">
        <v>484</v>
      </c>
      <c r="E311" s="1346" t="s">
        <v>11940</v>
      </c>
      <c r="F311" s="1346" t="s">
        <v>11944</v>
      </c>
      <c r="G311" s="1345" t="s">
        <v>62</v>
      </c>
      <c r="H311" s="1345" t="s">
        <v>483</v>
      </c>
      <c r="I311" s="1349" t="s">
        <v>1442</v>
      </c>
      <c r="J311" s="1357">
        <v>525000.0</v>
      </c>
      <c r="K311" s="1348">
        <v>987000.0</v>
      </c>
    </row>
    <row r="312">
      <c r="A312" s="1344" t="s">
        <v>12455</v>
      </c>
      <c r="B312" s="1345" t="s">
        <v>5154</v>
      </c>
      <c r="C312" s="1346" t="s">
        <v>5154</v>
      </c>
      <c r="D312" s="1346" t="s">
        <v>485</v>
      </c>
      <c r="E312" s="1346" t="s">
        <v>11943</v>
      </c>
      <c r="F312" s="1346" t="s">
        <v>11969</v>
      </c>
      <c r="G312" s="1345" t="s">
        <v>140</v>
      </c>
      <c r="H312" s="1345" t="s">
        <v>483</v>
      </c>
      <c r="I312" s="1350"/>
      <c r="J312" s="1350"/>
      <c r="K312" s="1348">
        <v>322000.0</v>
      </c>
    </row>
    <row r="313">
      <c r="A313" s="1344" t="s">
        <v>12456</v>
      </c>
      <c r="B313" s="1345" t="s">
        <v>5154</v>
      </c>
      <c r="C313" s="1346" t="s">
        <v>5154</v>
      </c>
      <c r="D313" s="1346" t="s">
        <v>486</v>
      </c>
      <c r="E313" s="1346" t="s">
        <v>11943</v>
      </c>
      <c r="F313" s="1346" t="s">
        <v>11969</v>
      </c>
      <c r="G313" s="1345" t="s">
        <v>209</v>
      </c>
      <c r="H313" s="1345" t="s">
        <v>483</v>
      </c>
      <c r="I313" s="1349" t="s">
        <v>109</v>
      </c>
      <c r="J313" s="1350"/>
      <c r="K313" s="1348">
        <v>279000.0</v>
      </c>
    </row>
    <row r="314">
      <c r="A314" s="1344" t="s">
        <v>12457</v>
      </c>
      <c r="B314" s="1345" t="s">
        <v>5154</v>
      </c>
      <c r="C314" s="1346" t="s">
        <v>5154</v>
      </c>
      <c r="D314" s="1346" t="s">
        <v>487</v>
      </c>
      <c r="E314" s="1346" t="s">
        <v>11943</v>
      </c>
      <c r="F314" s="1346" t="s">
        <v>11969</v>
      </c>
      <c r="G314" s="1345" t="s">
        <v>243</v>
      </c>
      <c r="H314" s="1345" t="s">
        <v>483</v>
      </c>
      <c r="I314" s="1349" t="s">
        <v>109</v>
      </c>
      <c r="J314" s="1350"/>
      <c r="K314" s="1348">
        <v>279000.0</v>
      </c>
    </row>
    <row r="315">
      <c r="A315" s="1344" t="s">
        <v>12458</v>
      </c>
      <c r="B315" s="1345" t="s">
        <v>12459</v>
      </c>
      <c r="C315" s="1346" t="s">
        <v>5154</v>
      </c>
      <c r="D315" s="1346" t="s">
        <v>488</v>
      </c>
      <c r="E315" s="1346" t="s">
        <v>11940</v>
      </c>
      <c r="F315" s="1346" t="s">
        <v>11931</v>
      </c>
      <c r="G315" s="1345" t="s">
        <v>60</v>
      </c>
      <c r="H315" s="1345" t="s">
        <v>489</v>
      </c>
      <c r="I315" s="1349" t="s">
        <v>137</v>
      </c>
      <c r="J315" s="1350"/>
      <c r="K315" s="1348">
        <v>1157000.0</v>
      </c>
    </row>
    <row r="316">
      <c r="A316" s="1344" t="s">
        <v>12460</v>
      </c>
      <c r="B316" s="1345" t="s">
        <v>12461</v>
      </c>
      <c r="C316" s="1346" t="s">
        <v>5154</v>
      </c>
      <c r="D316" s="1346" t="s">
        <v>490</v>
      </c>
      <c r="E316" s="1346" t="s">
        <v>11940</v>
      </c>
      <c r="F316" s="1346" t="s">
        <v>11944</v>
      </c>
      <c r="G316" s="1345" t="s">
        <v>62</v>
      </c>
      <c r="H316" s="1345" t="s">
        <v>489</v>
      </c>
      <c r="I316" s="1349" t="s">
        <v>1442</v>
      </c>
      <c r="J316" s="1357">
        <v>536000.0</v>
      </c>
      <c r="K316" s="1348">
        <v>1003000.0</v>
      </c>
    </row>
    <row r="317">
      <c r="A317" s="1344" t="s">
        <v>12462</v>
      </c>
      <c r="B317" s="1345" t="s">
        <v>5154</v>
      </c>
      <c r="C317" s="1346" t="s">
        <v>5154</v>
      </c>
      <c r="D317" s="1346" t="s">
        <v>491</v>
      </c>
      <c r="E317" s="1346" t="s">
        <v>11943</v>
      </c>
      <c r="F317" s="1346" t="s">
        <v>11931</v>
      </c>
      <c r="G317" s="1345" t="s">
        <v>60</v>
      </c>
      <c r="H317" s="1345" t="s">
        <v>492</v>
      </c>
      <c r="I317" s="1349" t="s">
        <v>90</v>
      </c>
      <c r="J317" s="1350"/>
      <c r="K317" s="1348">
        <v>7839000.0</v>
      </c>
    </row>
    <row r="318">
      <c r="A318" s="1344" t="s">
        <v>5154</v>
      </c>
      <c r="B318" s="1345" t="s">
        <v>12463</v>
      </c>
      <c r="C318" s="1346" t="s">
        <v>5154</v>
      </c>
      <c r="D318" s="1346" t="s">
        <v>686</v>
      </c>
      <c r="E318" s="1346" t="s">
        <v>11930</v>
      </c>
      <c r="F318" s="1346" t="s">
        <v>11944</v>
      </c>
      <c r="G318" s="1345" t="s">
        <v>62</v>
      </c>
      <c r="H318" s="1345" t="s">
        <v>687</v>
      </c>
      <c r="I318" s="1349" t="s">
        <v>109</v>
      </c>
      <c r="J318" s="1357">
        <v>478000.0</v>
      </c>
      <c r="K318" s="1348">
        <v>901000.0</v>
      </c>
    </row>
    <row r="319">
      <c r="A319" s="1344" t="s">
        <v>5154</v>
      </c>
      <c r="B319" s="1345" t="s">
        <v>12464</v>
      </c>
      <c r="C319" s="1346" t="s">
        <v>5154</v>
      </c>
      <c r="D319" s="1351" t="s">
        <v>12465</v>
      </c>
      <c r="E319" s="1346" t="s">
        <v>11930</v>
      </c>
      <c r="F319" s="1351" t="s">
        <v>11944</v>
      </c>
      <c r="G319" s="1349" t="s">
        <v>62</v>
      </c>
      <c r="H319" s="1349" t="s">
        <v>12466</v>
      </c>
      <c r="I319" s="1349" t="s">
        <v>1442</v>
      </c>
      <c r="J319" s="1350"/>
      <c r="K319" s="1348">
        <v>3200000.0</v>
      </c>
    </row>
    <row r="320">
      <c r="A320" s="1344" t="s">
        <v>12467</v>
      </c>
      <c r="B320" s="1345" t="s">
        <v>12468</v>
      </c>
      <c r="C320" s="1346" t="s">
        <v>5154</v>
      </c>
      <c r="D320" s="1346" t="s">
        <v>493</v>
      </c>
      <c r="E320" s="1346" t="s">
        <v>11940</v>
      </c>
      <c r="F320" s="1346" t="s">
        <v>11931</v>
      </c>
      <c r="G320" s="1345" t="s">
        <v>60</v>
      </c>
      <c r="H320" s="1345" t="s">
        <v>494</v>
      </c>
      <c r="I320" s="1349" t="s">
        <v>137</v>
      </c>
      <c r="J320" s="1350"/>
      <c r="K320" s="1348">
        <v>3175000.0</v>
      </c>
    </row>
    <row r="321">
      <c r="A321" s="1344" t="s">
        <v>12469</v>
      </c>
      <c r="B321" s="1345" t="s">
        <v>12470</v>
      </c>
      <c r="C321" s="1346" t="s">
        <v>5154</v>
      </c>
      <c r="D321" s="1346" t="s">
        <v>495</v>
      </c>
      <c r="E321" s="1346" t="s">
        <v>11943</v>
      </c>
      <c r="F321" s="1346" t="s">
        <v>11944</v>
      </c>
      <c r="G321" s="1345" t="s">
        <v>62</v>
      </c>
      <c r="H321" s="1345" t="s">
        <v>494</v>
      </c>
      <c r="I321" s="1349" t="s">
        <v>1437</v>
      </c>
      <c r="J321" s="1350"/>
      <c r="K321" s="1348">
        <v>3710000.0</v>
      </c>
    </row>
    <row r="322">
      <c r="A322" s="1344" t="s">
        <v>12471</v>
      </c>
      <c r="B322" s="1345" t="s">
        <v>12472</v>
      </c>
      <c r="C322" s="1346" t="s">
        <v>5154</v>
      </c>
      <c r="D322" s="1346" t="s">
        <v>496</v>
      </c>
      <c r="E322" s="1346" t="s">
        <v>11940</v>
      </c>
      <c r="F322" s="1346" t="s">
        <v>11931</v>
      </c>
      <c r="G322" s="1345" t="s">
        <v>60</v>
      </c>
      <c r="H322" s="1345" t="s">
        <v>497</v>
      </c>
      <c r="I322" s="1349" t="s">
        <v>137</v>
      </c>
      <c r="J322" s="1350"/>
      <c r="K322" s="1348">
        <v>2667000.0</v>
      </c>
    </row>
    <row r="323">
      <c r="A323" s="1344" t="s">
        <v>12473</v>
      </c>
      <c r="B323" s="1345" t="s">
        <v>12474</v>
      </c>
      <c r="C323" s="1346" t="s">
        <v>5154</v>
      </c>
      <c r="D323" s="1346" t="s">
        <v>498</v>
      </c>
      <c r="E323" s="1346" t="s">
        <v>11943</v>
      </c>
      <c r="F323" s="1346" t="s">
        <v>11944</v>
      </c>
      <c r="G323" s="1345" t="s">
        <v>62</v>
      </c>
      <c r="H323" s="1345" t="s">
        <v>497</v>
      </c>
      <c r="I323" s="1349" t="s">
        <v>1437</v>
      </c>
      <c r="J323" s="1350"/>
      <c r="K323" s="1348">
        <v>3867000.0</v>
      </c>
    </row>
    <row r="324">
      <c r="A324" s="1344" t="s">
        <v>12475</v>
      </c>
      <c r="B324" s="1345" t="s">
        <v>5154</v>
      </c>
      <c r="C324" s="1346" t="s">
        <v>5154</v>
      </c>
      <c r="D324" s="1346" t="s">
        <v>499</v>
      </c>
      <c r="E324" s="1346" t="s">
        <v>11943</v>
      </c>
      <c r="F324" s="1346" t="s">
        <v>11969</v>
      </c>
      <c r="G324" s="1345" t="s">
        <v>140</v>
      </c>
      <c r="H324" s="1345" t="s">
        <v>497</v>
      </c>
      <c r="I324" s="1350"/>
      <c r="J324" s="1350"/>
      <c r="K324" s="1348">
        <v>1045000.0</v>
      </c>
    </row>
    <row r="325">
      <c r="A325" s="1344" t="s">
        <v>12476</v>
      </c>
      <c r="B325" s="1345" t="s">
        <v>5154</v>
      </c>
      <c r="C325" s="1346" t="s">
        <v>5154</v>
      </c>
      <c r="D325" s="1346" t="s">
        <v>500</v>
      </c>
      <c r="E325" s="1346" t="s">
        <v>11943</v>
      </c>
      <c r="F325" s="1346" t="s">
        <v>11969</v>
      </c>
      <c r="G325" s="1345" t="s">
        <v>142</v>
      </c>
      <c r="H325" s="1345" t="s">
        <v>497</v>
      </c>
      <c r="I325" s="1350"/>
      <c r="J325" s="1350"/>
      <c r="K325" s="1348">
        <v>1045000.0</v>
      </c>
    </row>
    <row r="326">
      <c r="A326" s="1344" t="s">
        <v>12477</v>
      </c>
      <c r="B326" s="1345" t="s">
        <v>5154</v>
      </c>
      <c r="C326" s="1346" t="s">
        <v>5154</v>
      </c>
      <c r="D326" s="1346" t="s">
        <v>501</v>
      </c>
      <c r="E326" s="1346" t="s">
        <v>11943</v>
      </c>
      <c r="F326" s="1346" t="s">
        <v>11969</v>
      </c>
      <c r="G326" s="1345" t="s">
        <v>144</v>
      </c>
      <c r="H326" s="1345" t="s">
        <v>497</v>
      </c>
      <c r="I326" s="1350"/>
      <c r="J326" s="1350"/>
      <c r="K326" s="1348">
        <v>966000.0</v>
      </c>
    </row>
    <row r="327">
      <c r="A327" s="1344" t="s">
        <v>12478</v>
      </c>
      <c r="B327" s="1345" t="s">
        <v>5154</v>
      </c>
      <c r="C327" s="1346" t="s">
        <v>5154</v>
      </c>
      <c r="D327" s="1346" t="s">
        <v>502</v>
      </c>
      <c r="E327" s="1346" t="s">
        <v>11943</v>
      </c>
      <c r="F327" s="1346" t="s">
        <v>11969</v>
      </c>
      <c r="G327" s="1345" t="s">
        <v>146</v>
      </c>
      <c r="H327" s="1345" t="s">
        <v>497</v>
      </c>
      <c r="I327" s="1350"/>
      <c r="J327" s="1350"/>
      <c r="K327" s="1348">
        <v>966000.0</v>
      </c>
    </row>
    <row r="328">
      <c r="A328" s="1344" t="s">
        <v>12479</v>
      </c>
      <c r="B328" s="1345" t="s">
        <v>5154</v>
      </c>
      <c r="C328" s="1346" t="s">
        <v>5154</v>
      </c>
      <c r="D328" s="1346" t="s">
        <v>503</v>
      </c>
      <c r="E328" s="1346" t="s">
        <v>11943</v>
      </c>
      <c r="F328" s="1346" t="s">
        <v>11969</v>
      </c>
      <c r="G328" s="1345" t="s">
        <v>209</v>
      </c>
      <c r="H328" s="1345" t="s">
        <v>497</v>
      </c>
      <c r="I328" s="1349" t="s">
        <v>109</v>
      </c>
      <c r="J328" s="1350"/>
      <c r="K328" s="1348">
        <v>1060000.0</v>
      </c>
    </row>
    <row r="329">
      <c r="A329" s="1344" t="s">
        <v>12480</v>
      </c>
      <c r="B329" s="1345" t="s">
        <v>5154</v>
      </c>
      <c r="C329" s="1346" t="s">
        <v>5154</v>
      </c>
      <c r="D329" s="1346" t="s">
        <v>504</v>
      </c>
      <c r="E329" s="1346" t="s">
        <v>11943</v>
      </c>
      <c r="F329" s="1346" t="s">
        <v>11969</v>
      </c>
      <c r="G329" s="1345" t="s">
        <v>243</v>
      </c>
      <c r="H329" s="1345" t="s">
        <v>497</v>
      </c>
      <c r="I329" s="1349" t="s">
        <v>241</v>
      </c>
      <c r="J329" s="1350"/>
      <c r="K329" s="1348">
        <v>1286000.0</v>
      </c>
    </row>
    <row r="330">
      <c r="A330" s="1344" t="s">
        <v>12481</v>
      </c>
      <c r="B330" s="1345" t="s">
        <v>12482</v>
      </c>
      <c r="C330" s="1346" t="s">
        <v>5154</v>
      </c>
      <c r="D330" s="1346" t="s">
        <v>505</v>
      </c>
      <c r="E330" s="1346" t="s">
        <v>11940</v>
      </c>
      <c r="F330" s="1346" t="s">
        <v>11931</v>
      </c>
      <c r="G330" s="1345" t="s">
        <v>60</v>
      </c>
      <c r="H330" s="1345" t="s">
        <v>506</v>
      </c>
      <c r="I330" s="1349" t="s">
        <v>137</v>
      </c>
      <c r="J330" s="1350"/>
      <c r="K330" s="1348">
        <v>3529000.0</v>
      </c>
    </row>
    <row r="331">
      <c r="A331" s="1344" t="s">
        <v>5154</v>
      </c>
      <c r="B331" s="1345" t="s">
        <v>12483</v>
      </c>
      <c r="C331" s="1346" t="s">
        <v>5154</v>
      </c>
      <c r="D331" s="1346" t="s">
        <v>1436</v>
      </c>
      <c r="E331" s="1346" t="s">
        <v>11930</v>
      </c>
      <c r="F331" s="1346" t="s">
        <v>11944</v>
      </c>
      <c r="G331" s="1345" t="s">
        <v>62</v>
      </c>
      <c r="H331" s="1345" t="s">
        <v>506</v>
      </c>
      <c r="I331" s="1349" t="s">
        <v>1442</v>
      </c>
      <c r="J331" s="1350"/>
      <c r="K331" s="1348">
        <v>3590000.0</v>
      </c>
    </row>
    <row r="332">
      <c r="A332" s="1344" t="s">
        <v>12484</v>
      </c>
      <c r="B332" s="1345" t="s">
        <v>5154</v>
      </c>
      <c r="C332" s="1346" t="s">
        <v>5154</v>
      </c>
      <c r="D332" s="1346" t="s">
        <v>507</v>
      </c>
      <c r="E332" s="1346" t="s">
        <v>11943</v>
      </c>
      <c r="F332" s="1346" t="s">
        <v>11969</v>
      </c>
      <c r="G332" s="1345" t="s">
        <v>140</v>
      </c>
      <c r="H332" s="1345" t="s">
        <v>506</v>
      </c>
      <c r="I332" s="1350"/>
      <c r="J332" s="1350"/>
      <c r="K332" s="1348">
        <v>1045000.0</v>
      </c>
    </row>
    <row r="333">
      <c r="A333" s="1344" t="s">
        <v>12485</v>
      </c>
      <c r="B333" s="1345" t="s">
        <v>5154</v>
      </c>
      <c r="C333" s="1346" t="s">
        <v>5154</v>
      </c>
      <c r="D333" s="1346" t="s">
        <v>508</v>
      </c>
      <c r="E333" s="1346" t="s">
        <v>11943</v>
      </c>
      <c r="F333" s="1346" t="s">
        <v>11969</v>
      </c>
      <c r="G333" s="1345" t="s">
        <v>142</v>
      </c>
      <c r="H333" s="1345" t="s">
        <v>506</v>
      </c>
      <c r="I333" s="1350"/>
      <c r="J333" s="1350"/>
      <c r="K333" s="1348">
        <v>1045000.0</v>
      </c>
    </row>
    <row r="334">
      <c r="A334" s="1344" t="s">
        <v>12486</v>
      </c>
      <c r="B334" s="1345" t="s">
        <v>5154</v>
      </c>
      <c r="C334" s="1346" t="s">
        <v>5154</v>
      </c>
      <c r="D334" s="1346" t="s">
        <v>509</v>
      </c>
      <c r="E334" s="1346" t="s">
        <v>11943</v>
      </c>
      <c r="F334" s="1346" t="s">
        <v>11969</v>
      </c>
      <c r="G334" s="1345" t="s">
        <v>144</v>
      </c>
      <c r="H334" s="1345" t="s">
        <v>506</v>
      </c>
      <c r="I334" s="1350"/>
      <c r="J334" s="1350"/>
      <c r="K334" s="1348">
        <v>966000.0</v>
      </c>
    </row>
    <row r="335">
      <c r="A335" s="1344" t="s">
        <v>12487</v>
      </c>
      <c r="B335" s="1345" t="s">
        <v>5154</v>
      </c>
      <c r="C335" s="1346" t="s">
        <v>5154</v>
      </c>
      <c r="D335" s="1346" t="s">
        <v>510</v>
      </c>
      <c r="E335" s="1346" t="s">
        <v>11943</v>
      </c>
      <c r="F335" s="1346" t="s">
        <v>11969</v>
      </c>
      <c r="G335" s="1345" t="s">
        <v>146</v>
      </c>
      <c r="H335" s="1345" t="s">
        <v>506</v>
      </c>
      <c r="I335" s="1350"/>
      <c r="J335" s="1350"/>
      <c r="K335" s="1348">
        <v>966000.0</v>
      </c>
    </row>
    <row r="336">
      <c r="A336" s="1344" t="s">
        <v>12488</v>
      </c>
      <c r="B336" s="1345" t="s">
        <v>5154</v>
      </c>
      <c r="C336" s="1346" t="s">
        <v>5154</v>
      </c>
      <c r="D336" s="1346" t="s">
        <v>511</v>
      </c>
      <c r="E336" s="1346" t="s">
        <v>11943</v>
      </c>
      <c r="F336" s="1346" t="s">
        <v>11969</v>
      </c>
      <c r="G336" s="1345" t="s">
        <v>209</v>
      </c>
      <c r="H336" s="1345" t="s">
        <v>506</v>
      </c>
      <c r="I336" s="1349" t="s">
        <v>109</v>
      </c>
      <c r="J336" s="1350"/>
      <c r="K336" s="1348">
        <v>966000.0</v>
      </c>
    </row>
    <row r="337">
      <c r="A337" s="1344" t="s">
        <v>12489</v>
      </c>
      <c r="B337" s="1345" t="s">
        <v>5154</v>
      </c>
      <c r="C337" s="1346" t="s">
        <v>5154</v>
      </c>
      <c r="D337" s="1346" t="s">
        <v>512</v>
      </c>
      <c r="E337" s="1346" t="s">
        <v>11943</v>
      </c>
      <c r="F337" s="1346" t="s">
        <v>11969</v>
      </c>
      <c r="G337" s="1345" t="s">
        <v>243</v>
      </c>
      <c r="H337" s="1345" t="s">
        <v>506</v>
      </c>
      <c r="I337" s="1349" t="s">
        <v>241</v>
      </c>
      <c r="J337" s="1350"/>
      <c r="K337" s="1348">
        <v>1286000.0</v>
      </c>
    </row>
    <row r="338">
      <c r="A338" s="1344" t="s">
        <v>12490</v>
      </c>
      <c r="B338" s="1345" t="s">
        <v>12491</v>
      </c>
      <c r="C338" s="1346" t="s">
        <v>5154</v>
      </c>
      <c r="D338" s="1346" t="s">
        <v>513</v>
      </c>
      <c r="E338" s="1346" t="s">
        <v>11940</v>
      </c>
      <c r="F338" s="1346" t="s">
        <v>11931</v>
      </c>
      <c r="G338" s="1345" t="s">
        <v>60</v>
      </c>
      <c r="H338" s="1345" t="s">
        <v>514</v>
      </c>
      <c r="I338" s="1349" t="s">
        <v>137</v>
      </c>
      <c r="J338" s="1350"/>
      <c r="K338" s="1348">
        <v>3473000.0</v>
      </c>
    </row>
    <row r="339">
      <c r="A339" s="1344" t="s">
        <v>12492</v>
      </c>
      <c r="B339" s="1345" t="s">
        <v>12493</v>
      </c>
      <c r="C339" s="1346" t="s">
        <v>5154</v>
      </c>
      <c r="D339" s="1346" t="s">
        <v>515</v>
      </c>
      <c r="E339" s="1346" t="s">
        <v>11943</v>
      </c>
      <c r="F339" s="1346" t="s">
        <v>11944</v>
      </c>
      <c r="G339" s="1345" t="s">
        <v>62</v>
      </c>
      <c r="H339" s="1345" t="s">
        <v>514</v>
      </c>
      <c r="I339" s="1349" t="s">
        <v>1437</v>
      </c>
      <c r="J339" s="1350"/>
      <c r="K339" s="1348">
        <v>3345000.0</v>
      </c>
    </row>
    <row r="340">
      <c r="A340" s="1344" t="s">
        <v>12494</v>
      </c>
      <c r="B340" s="1345" t="s">
        <v>5154</v>
      </c>
      <c r="C340" s="1346" t="s">
        <v>5154</v>
      </c>
      <c r="D340" s="1346" t="s">
        <v>516</v>
      </c>
      <c r="E340" s="1346" t="s">
        <v>11943</v>
      </c>
      <c r="F340" s="1346" t="s">
        <v>11969</v>
      </c>
      <c r="G340" s="1345" t="s">
        <v>144</v>
      </c>
      <c r="H340" s="1345" t="s">
        <v>514</v>
      </c>
      <c r="I340" s="1350"/>
      <c r="J340" s="1350"/>
      <c r="K340" s="1348">
        <v>884000.0</v>
      </c>
    </row>
    <row r="341">
      <c r="A341" s="1344" t="s">
        <v>12495</v>
      </c>
      <c r="B341" s="1345" t="s">
        <v>5154</v>
      </c>
      <c r="C341" s="1346" t="s">
        <v>5154</v>
      </c>
      <c r="D341" s="1346" t="s">
        <v>517</v>
      </c>
      <c r="E341" s="1346" t="s">
        <v>11943</v>
      </c>
      <c r="F341" s="1346" t="s">
        <v>11969</v>
      </c>
      <c r="G341" s="1345" t="s">
        <v>146</v>
      </c>
      <c r="H341" s="1345" t="s">
        <v>514</v>
      </c>
      <c r="I341" s="1350"/>
      <c r="J341" s="1350"/>
      <c r="K341" s="1348">
        <v>884000.0</v>
      </c>
    </row>
    <row r="342">
      <c r="A342" s="1344" t="s">
        <v>12496</v>
      </c>
      <c r="B342" s="1345" t="s">
        <v>5154</v>
      </c>
      <c r="C342" s="1346" t="s">
        <v>5154</v>
      </c>
      <c r="D342" s="1346" t="s">
        <v>518</v>
      </c>
      <c r="E342" s="1346" t="s">
        <v>11943</v>
      </c>
      <c r="F342" s="1346" t="s">
        <v>11969</v>
      </c>
      <c r="G342" s="1345" t="s">
        <v>209</v>
      </c>
      <c r="H342" s="1345" t="s">
        <v>514</v>
      </c>
      <c r="I342" s="1349" t="s">
        <v>241</v>
      </c>
      <c r="J342" s="1350"/>
      <c r="K342" s="1348">
        <v>1286000.0</v>
      </c>
    </row>
    <row r="343">
      <c r="A343" s="1344" t="s">
        <v>12497</v>
      </c>
      <c r="B343" s="1345" t="s">
        <v>12498</v>
      </c>
      <c r="C343" s="1346" t="s">
        <v>5154</v>
      </c>
      <c r="D343" s="1346" t="s">
        <v>519</v>
      </c>
      <c r="E343" s="1346" t="s">
        <v>11940</v>
      </c>
      <c r="F343" s="1346" t="s">
        <v>11944</v>
      </c>
      <c r="G343" s="1345" t="s">
        <v>62</v>
      </c>
      <c r="H343" s="1345" t="s">
        <v>520</v>
      </c>
      <c r="I343" s="1349" t="s">
        <v>1437</v>
      </c>
      <c r="J343" s="1357">
        <v>849000.0</v>
      </c>
      <c r="K343" s="1348">
        <v>1640000.0</v>
      </c>
    </row>
    <row r="344">
      <c r="A344" s="1344" t="s">
        <v>12499</v>
      </c>
      <c r="B344" s="1345" t="s">
        <v>5154</v>
      </c>
      <c r="C344" s="1346" t="s">
        <v>5154</v>
      </c>
      <c r="D344" s="1346" t="s">
        <v>521</v>
      </c>
      <c r="E344" s="1346" t="s">
        <v>11943</v>
      </c>
      <c r="F344" s="1346" t="s">
        <v>11969</v>
      </c>
      <c r="G344" s="1345" t="s">
        <v>146</v>
      </c>
      <c r="H344" s="1345" t="s">
        <v>520</v>
      </c>
      <c r="I344" s="1350"/>
      <c r="J344" s="1350"/>
      <c r="K344" s="1348">
        <v>437000.0</v>
      </c>
    </row>
    <row r="345">
      <c r="A345" s="1344" t="s">
        <v>5154</v>
      </c>
      <c r="B345" s="1345" t="s">
        <v>12500</v>
      </c>
      <c r="C345" s="1346" t="s">
        <v>5154</v>
      </c>
      <c r="D345" s="1346" t="s">
        <v>1438</v>
      </c>
      <c r="E345" s="1346" t="s">
        <v>11930</v>
      </c>
      <c r="F345" s="1346" t="s">
        <v>11931</v>
      </c>
      <c r="G345" s="1345" t="s">
        <v>60</v>
      </c>
      <c r="H345" s="1345" t="s">
        <v>1439</v>
      </c>
      <c r="I345" s="1349" t="s">
        <v>109</v>
      </c>
      <c r="J345" s="1350"/>
      <c r="K345" s="1348">
        <v>1743000.0</v>
      </c>
    </row>
    <row r="346">
      <c r="A346" s="1344" t="s">
        <v>12501</v>
      </c>
      <c r="B346" s="1345" t="s">
        <v>12502</v>
      </c>
      <c r="C346" s="1346" t="s">
        <v>5154</v>
      </c>
      <c r="D346" s="1346" t="s">
        <v>522</v>
      </c>
      <c r="E346" s="1346" t="s">
        <v>11940</v>
      </c>
      <c r="F346" s="1346" t="s">
        <v>11931</v>
      </c>
      <c r="G346" s="1345" t="s">
        <v>60</v>
      </c>
      <c r="H346" s="1345" t="s">
        <v>523</v>
      </c>
      <c r="I346" s="1349" t="s">
        <v>137</v>
      </c>
      <c r="J346" s="1350"/>
      <c r="K346" s="1348">
        <v>1743000.0</v>
      </c>
    </row>
    <row r="347">
      <c r="A347" s="1341" t="s">
        <v>11604</v>
      </c>
      <c r="B347" s="1342" t="s">
        <v>11604</v>
      </c>
      <c r="C347" s="1343"/>
      <c r="D347" s="1343"/>
      <c r="E347" s="1343"/>
      <c r="F347" s="1343"/>
      <c r="G347" s="1343"/>
      <c r="H347" s="1342" t="s">
        <v>11604</v>
      </c>
      <c r="I347" s="1343"/>
      <c r="J347" s="1343"/>
      <c r="K347" s="1343"/>
    </row>
    <row r="348">
      <c r="A348" s="1344" t="s">
        <v>5154</v>
      </c>
      <c r="B348" s="1345" t="s">
        <v>5154</v>
      </c>
      <c r="C348" s="1346" t="s">
        <v>12503</v>
      </c>
      <c r="D348" s="1346" t="s">
        <v>1919</v>
      </c>
      <c r="E348" s="1346" t="s">
        <v>12155</v>
      </c>
      <c r="F348" s="1346" t="s">
        <v>11931</v>
      </c>
      <c r="G348" s="1345" t="s">
        <v>60</v>
      </c>
      <c r="H348" s="1345" t="s">
        <v>12504</v>
      </c>
      <c r="I348" s="1349" t="s">
        <v>109</v>
      </c>
      <c r="J348" s="1350"/>
      <c r="K348" s="1348">
        <v>1470000.0</v>
      </c>
    </row>
    <row r="349">
      <c r="A349" s="1344" t="s">
        <v>5154</v>
      </c>
      <c r="B349" s="1345" t="s">
        <v>12505</v>
      </c>
      <c r="C349" s="1346" t="s">
        <v>5154</v>
      </c>
      <c r="D349" s="1346" t="s">
        <v>1440</v>
      </c>
      <c r="E349" s="1346" t="s">
        <v>11930</v>
      </c>
      <c r="F349" s="1346" t="s">
        <v>11944</v>
      </c>
      <c r="G349" s="1345" t="s">
        <v>62</v>
      </c>
      <c r="H349" s="1345" t="s">
        <v>12504</v>
      </c>
      <c r="I349" s="1349" t="s">
        <v>1442</v>
      </c>
      <c r="J349" s="1350"/>
      <c r="K349" s="1348">
        <v>1510000.0</v>
      </c>
    </row>
    <row r="350">
      <c r="A350" s="1344" t="s">
        <v>5154</v>
      </c>
      <c r="B350" s="1345" t="s">
        <v>12506</v>
      </c>
      <c r="C350" s="1346" t="s">
        <v>5154</v>
      </c>
      <c r="D350" s="1346" t="s">
        <v>1443</v>
      </c>
      <c r="E350" s="1346" t="s">
        <v>11930</v>
      </c>
      <c r="F350" s="1346" t="s">
        <v>11931</v>
      </c>
      <c r="G350" s="1345" t="s">
        <v>60</v>
      </c>
      <c r="H350" s="1345" t="s">
        <v>12507</v>
      </c>
      <c r="I350" s="1345" t="s">
        <v>137</v>
      </c>
      <c r="J350" s="1347"/>
      <c r="K350" s="1348">
        <v>1213000.0</v>
      </c>
    </row>
    <row r="351">
      <c r="A351" s="1344" t="s">
        <v>12508</v>
      </c>
      <c r="B351" s="1345" t="s">
        <v>12509</v>
      </c>
      <c r="C351" s="1346" t="s">
        <v>5154</v>
      </c>
      <c r="D351" s="1346" t="s">
        <v>524</v>
      </c>
      <c r="E351" s="1346" t="s">
        <v>11940</v>
      </c>
      <c r="F351" s="1346" t="s">
        <v>11944</v>
      </c>
      <c r="G351" s="1345" t="s">
        <v>62</v>
      </c>
      <c r="H351" s="1345" t="s">
        <v>525</v>
      </c>
      <c r="I351" s="1349" t="s">
        <v>1442</v>
      </c>
      <c r="J351" s="1350"/>
      <c r="K351" s="1348">
        <v>1563000.0</v>
      </c>
    </row>
    <row r="352">
      <c r="A352" s="1344" t="s">
        <v>5154</v>
      </c>
      <c r="B352" s="1345" t="s">
        <v>12510</v>
      </c>
      <c r="C352" s="1346" t="s">
        <v>5154</v>
      </c>
      <c r="D352" s="1346" t="s">
        <v>1445</v>
      </c>
      <c r="E352" s="1346" t="s">
        <v>11930</v>
      </c>
      <c r="F352" s="1346" t="s">
        <v>11944</v>
      </c>
      <c r="G352" s="1345" t="s">
        <v>62</v>
      </c>
      <c r="H352" s="1345" t="s">
        <v>1446</v>
      </c>
      <c r="I352" s="1349" t="s">
        <v>1442</v>
      </c>
      <c r="J352" s="1350"/>
      <c r="K352" s="1348">
        <v>1766000.0</v>
      </c>
    </row>
    <row r="353">
      <c r="A353" s="1344" t="s">
        <v>5154</v>
      </c>
      <c r="B353" s="1345" t="s">
        <v>5154</v>
      </c>
      <c r="C353" s="1346" t="s">
        <v>12511</v>
      </c>
      <c r="D353" s="1346" t="s">
        <v>1921</v>
      </c>
      <c r="E353" s="1346" t="s">
        <v>12155</v>
      </c>
      <c r="F353" s="1346" t="s">
        <v>11931</v>
      </c>
      <c r="G353" s="1345" t="s">
        <v>60</v>
      </c>
      <c r="H353" s="1345" t="s">
        <v>1922</v>
      </c>
      <c r="I353" s="1350"/>
      <c r="J353" s="1350"/>
      <c r="K353" s="1348">
        <v>1120000.0</v>
      </c>
    </row>
    <row r="354">
      <c r="A354" s="1344" t="s">
        <v>5154</v>
      </c>
      <c r="B354" s="1345" t="s">
        <v>12512</v>
      </c>
      <c r="C354" s="1346" t="s">
        <v>5154</v>
      </c>
      <c r="D354" s="1351" t="s">
        <v>1447</v>
      </c>
      <c r="E354" s="1346" t="s">
        <v>11930</v>
      </c>
      <c r="F354" s="1351" t="s">
        <v>11931</v>
      </c>
      <c r="G354" s="1345" t="s">
        <v>60</v>
      </c>
      <c r="H354" s="1349" t="s">
        <v>2485</v>
      </c>
      <c r="I354" s="1345" t="s">
        <v>90</v>
      </c>
      <c r="J354" s="1347"/>
      <c r="K354" s="1348">
        <v>2300000.0</v>
      </c>
    </row>
    <row r="355">
      <c r="A355" s="1344" t="s">
        <v>5154</v>
      </c>
      <c r="B355" s="1345" t="s">
        <v>12513</v>
      </c>
      <c r="C355" s="1346" t="s">
        <v>5154</v>
      </c>
      <c r="D355" s="1346" t="s">
        <v>781</v>
      </c>
      <c r="E355" s="1346" t="s">
        <v>11930</v>
      </c>
      <c r="F355" s="1351" t="s">
        <v>11931</v>
      </c>
      <c r="G355" s="1349" t="s">
        <v>60</v>
      </c>
      <c r="H355" s="1349" t="s">
        <v>2485</v>
      </c>
      <c r="I355" s="1345" t="s">
        <v>137</v>
      </c>
      <c r="J355" s="1347"/>
      <c r="K355" s="1348">
        <v>1950000.0</v>
      </c>
    </row>
    <row r="356">
      <c r="A356" s="1344" t="s">
        <v>5154</v>
      </c>
      <c r="B356" s="1345" t="s">
        <v>12514</v>
      </c>
      <c r="C356" s="1346" t="s">
        <v>5154</v>
      </c>
      <c r="D356" s="1346" t="s">
        <v>1450</v>
      </c>
      <c r="E356" s="1346" t="s">
        <v>11930</v>
      </c>
      <c r="F356" s="1351" t="s">
        <v>11944</v>
      </c>
      <c r="G356" s="1349" t="s">
        <v>62</v>
      </c>
      <c r="H356" s="1349" t="s">
        <v>2485</v>
      </c>
      <c r="I356" s="1349" t="s">
        <v>546</v>
      </c>
      <c r="J356" s="1350"/>
      <c r="K356" s="1348">
        <v>1150000.0</v>
      </c>
    </row>
    <row r="357">
      <c r="A357" s="1344" t="s">
        <v>12515</v>
      </c>
      <c r="B357" s="1345" t="s">
        <v>12516</v>
      </c>
      <c r="C357" s="1346" t="s">
        <v>5154</v>
      </c>
      <c r="D357" s="1346" t="s">
        <v>526</v>
      </c>
      <c r="E357" s="1346" t="s">
        <v>11940</v>
      </c>
      <c r="F357" s="1346" t="s">
        <v>11931</v>
      </c>
      <c r="G357" s="1345" t="s">
        <v>60</v>
      </c>
      <c r="H357" s="1345" t="s">
        <v>527</v>
      </c>
      <c r="I357" s="1349" t="s">
        <v>137</v>
      </c>
      <c r="J357" s="1350"/>
      <c r="K357" s="1348">
        <v>3080000.0</v>
      </c>
    </row>
    <row r="358">
      <c r="A358" s="1344" t="s">
        <v>12517</v>
      </c>
      <c r="B358" s="1345" t="s">
        <v>12518</v>
      </c>
      <c r="C358" s="1346" t="s">
        <v>12519</v>
      </c>
      <c r="D358" s="1346" t="s">
        <v>528</v>
      </c>
      <c r="E358" s="1346" t="s">
        <v>12061</v>
      </c>
      <c r="F358" s="1346" t="s">
        <v>11931</v>
      </c>
      <c r="G358" s="1345" t="s">
        <v>60</v>
      </c>
      <c r="H358" s="1345" t="s">
        <v>529</v>
      </c>
      <c r="I358" s="1349" t="s">
        <v>137</v>
      </c>
      <c r="J358" s="1350"/>
      <c r="K358" s="1348">
        <v>1547000.0</v>
      </c>
    </row>
    <row r="359">
      <c r="A359" s="1344" t="s">
        <v>12520</v>
      </c>
      <c r="B359" s="1345" t="s">
        <v>12521</v>
      </c>
      <c r="C359" s="1346" t="s">
        <v>5154</v>
      </c>
      <c r="D359" s="1346" t="s">
        <v>530</v>
      </c>
      <c r="E359" s="1346" t="s">
        <v>11940</v>
      </c>
      <c r="F359" s="1346" t="s">
        <v>11944</v>
      </c>
      <c r="G359" s="1345" t="s">
        <v>62</v>
      </c>
      <c r="H359" s="1345" t="s">
        <v>529</v>
      </c>
      <c r="I359" s="1349" t="s">
        <v>1437</v>
      </c>
      <c r="J359" s="1350"/>
      <c r="K359" s="1348">
        <v>1286000.0</v>
      </c>
    </row>
    <row r="360">
      <c r="A360" s="1344" t="s">
        <v>5154</v>
      </c>
      <c r="B360" s="1345" t="s">
        <v>12522</v>
      </c>
      <c r="C360" s="1346" t="s">
        <v>5154</v>
      </c>
      <c r="D360" s="1346" t="s">
        <v>531</v>
      </c>
      <c r="E360" s="1346" t="s">
        <v>11930</v>
      </c>
      <c r="F360" s="1346" t="s">
        <v>11969</v>
      </c>
      <c r="G360" s="1345" t="s">
        <v>140</v>
      </c>
      <c r="H360" s="1345" t="s">
        <v>529</v>
      </c>
      <c r="I360" s="1349" t="s">
        <v>152</v>
      </c>
      <c r="J360" s="1350"/>
      <c r="K360" s="1348">
        <v>644000.0</v>
      </c>
    </row>
    <row r="361">
      <c r="A361" s="1344" t="s">
        <v>5154</v>
      </c>
      <c r="B361" s="1345" t="s">
        <v>12523</v>
      </c>
      <c r="C361" s="1346" t="s">
        <v>5154</v>
      </c>
      <c r="D361" s="1346" t="s">
        <v>532</v>
      </c>
      <c r="E361" s="1346" t="s">
        <v>11930</v>
      </c>
      <c r="F361" s="1346" t="s">
        <v>11969</v>
      </c>
      <c r="G361" s="1345" t="s">
        <v>142</v>
      </c>
      <c r="H361" s="1345" t="s">
        <v>529</v>
      </c>
      <c r="I361" s="1349" t="s">
        <v>152</v>
      </c>
      <c r="J361" s="1350"/>
      <c r="K361" s="1348">
        <v>644000.0</v>
      </c>
    </row>
    <row r="362">
      <c r="A362" s="1344" t="s">
        <v>12524</v>
      </c>
      <c r="B362" s="1345" t="s">
        <v>5154</v>
      </c>
      <c r="C362" s="1346" t="s">
        <v>5154</v>
      </c>
      <c r="D362" s="1346" t="s">
        <v>533</v>
      </c>
      <c r="E362" s="1346" t="s">
        <v>11943</v>
      </c>
      <c r="F362" s="1346" t="s">
        <v>11969</v>
      </c>
      <c r="G362" s="1345" t="s">
        <v>144</v>
      </c>
      <c r="H362" s="1345" t="s">
        <v>529</v>
      </c>
      <c r="I362" s="1350"/>
      <c r="J362" s="1350"/>
      <c r="K362" s="1348">
        <v>484000.0</v>
      </c>
    </row>
    <row r="363">
      <c r="A363" s="1344" t="s">
        <v>12525</v>
      </c>
      <c r="B363" s="1345" t="s">
        <v>12526</v>
      </c>
      <c r="C363" s="1346" t="s">
        <v>5154</v>
      </c>
      <c r="D363" s="1346" t="s">
        <v>534</v>
      </c>
      <c r="E363" s="1346" t="s">
        <v>11940</v>
      </c>
      <c r="F363" s="1346" t="s">
        <v>11969</v>
      </c>
      <c r="G363" s="1345" t="s">
        <v>146</v>
      </c>
      <c r="H363" s="1345" t="s">
        <v>529</v>
      </c>
      <c r="I363" s="1350"/>
      <c r="J363" s="1350"/>
      <c r="K363" s="1348">
        <v>484000.0</v>
      </c>
    </row>
    <row r="364">
      <c r="A364" s="1344" t="s">
        <v>12527</v>
      </c>
      <c r="B364" s="1345" t="s">
        <v>12528</v>
      </c>
      <c r="C364" s="1346" t="s">
        <v>5154</v>
      </c>
      <c r="D364" s="1346" t="s">
        <v>535</v>
      </c>
      <c r="E364" s="1346" t="s">
        <v>11940</v>
      </c>
      <c r="F364" s="1346" t="s">
        <v>11931</v>
      </c>
      <c r="G364" s="1345" t="s">
        <v>60</v>
      </c>
      <c r="H364" s="1345" t="s">
        <v>12529</v>
      </c>
      <c r="I364" s="1349" t="s">
        <v>137</v>
      </c>
      <c r="J364" s="1350"/>
      <c r="K364" s="1348">
        <v>1793000.0</v>
      </c>
    </row>
    <row r="365">
      <c r="A365" s="1344" t="s">
        <v>12530</v>
      </c>
      <c r="B365" s="1345" t="s">
        <v>12531</v>
      </c>
      <c r="C365" s="1346" t="s">
        <v>5154</v>
      </c>
      <c r="D365" s="1346" t="s">
        <v>537</v>
      </c>
      <c r="E365" s="1346" t="s">
        <v>11940</v>
      </c>
      <c r="F365" s="1346" t="s">
        <v>11944</v>
      </c>
      <c r="G365" s="1345" t="s">
        <v>62</v>
      </c>
      <c r="H365" s="1345" t="s">
        <v>536</v>
      </c>
      <c r="I365" s="1349" t="s">
        <v>1437</v>
      </c>
      <c r="J365" s="1350"/>
      <c r="K365" s="1348">
        <v>1928000.0</v>
      </c>
    </row>
    <row r="366">
      <c r="A366" s="1344" t="s">
        <v>12532</v>
      </c>
      <c r="B366" s="1345" t="s">
        <v>12533</v>
      </c>
      <c r="C366" s="1346" t="s">
        <v>5154</v>
      </c>
      <c r="D366" s="1346" t="s">
        <v>538</v>
      </c>
      <c r="E366" s="1346" t="s">
        <v>11940</v>
      </c>
      <c r="F366" s="1346" t="s">
        <v>11969</v>
      </c>
      <c r="G366" s="1345" t="s">
        <v>144</v>
      </c>
      <c r="H366" s="1345" t="s">
        <v>536</v>
      </c>
      <c r="I366" s="1349" t="s">
        <v>152</v>
      </c>
      <c r="J366" s="1350"/>
      <c r="K366" s="1348">
        <v>564000.0</v>
      </c>
    </row>
    <row r="367">
      <c r="A367" s="1344" t="s">
        <v>12534</v>
      </c>
      <c r="B367" s="1345" t="s">
        <v>5154</v>
      </c>
      <c r="C367" s="1346" t="s">
        <v>5154</v>
      </c>
      <c r="D367" s="1346" t="s">
        <v>539</v>
      </c>
      <c r="E367" s="1346" t="s">
        <v>11943</v>
      </c>
      <c r="F367" s="1346" t="s">
        <v>11969</v>
      </c>
      <c r="G367" s="1345" t="s">
        <v>146</v>
      </c>
      <c r="H367" s="1345" t="s">
        <v>536</v>
      </c>
      <c r="I367" s="1349" t="s">
        <v>152</v>
      </c>
      <c r="J367" s="1350"/>
      <c r="K367" s="1348">
        <v>564000.0</v>
      </c>
    </row>
    <row r="368">
      <c r="A368" s="1344" t="s">
        <v>12535</v>
      </c>
      <c r="B368" s="1345" t="s">
        <v>12536</v>
      </c>
      <c r="C368" s="1346" t="s">
        <v>5154</v>
      </c>
      <c r="D368" s="1346" t="s">
        <v>540</v>
      </c>
      <c r="E368" s="1346" t="s">
        <v>11940</v>
      </c>
      <c r="F368" s="1346" t="s">
        <v>11931</v>
      </c>
      <c r="G368" s="1345" t="s">
        <v>60</v>
      </c>
      <c r="H368" s="1345" t="s">
        <v>541</v>
      </c>
      <c r="I368" s="1349" t="s">
        <v>137</v>
      </c>
      <c r="J368" s="1350"/>
      <c r="K368" s="1348">
        <v>1796000.0</v>
      </c>
    </row>
    <row r="369">
      <c r="A369" s="1344" t="s">
        <v>12537</v>
      </c>
      <c r="B369" s="1345" t="s">
        <v>12538</v>
      </c>
      <c r="C369" s="1346" t="s">
        <v>5154</v>
      </c>
      <c r="D369" s="1346" t="s">
        <v>542</v>
      </c>
      <c r="E369" s="1346" t="s">
        <v>11940</v>
      </c>
      <c r="F369" s="1346" t="s">
        <v>11944</v>
      </c>
      <c r="G369" s="1345" t="s">
        <v>62</v>
      </c>
      <c r="H369" s="1345" t="s">
        <v>543</v>
      </c>
      <c r="I369" s="1349" t="s">
        <v>1437</v>
      </c>
      <c r="J369" s="1350"/>
      <c r="K369" s="1348">
        <v>1983000.0</v>
      </c>
    </row>
    <row r="370">
      <c r="A370" s="1344" t="s">
        <v>5154</v>
      </c>
      <c r="B370" s="1345" t="s">
        <v>12539</v>
      </c>
      <c r="C370" s="1346" t="s">
        <v>5154</v>
      </c>
      <c r="D370" s="1346" t="s">
        <v>1451</v>
      </c>
      <c r="E370" s="1346" t="s">
        <v>11930</v>
      </c>
      <c r="F370" s="1346" t="s">
        <v>11944</v>
      </c>
      <c r="G370" s="1345" t="s">
        <v>62</v>
      </c>
      <c r="H370" s="1345" t="s">
        <v>1452</v>
      </c>
      <c r="I370" s="1349" t="s">
        <v>1442</v>
      </c>
      <c r="J370" s="1350"/>
      <c r="K370" s="1348">
        <v>1983000.0</v>
      </c>
    </row>
    <row r="371">
      <c r="A371" s="1344" t="s">
        <v>12540</v>
      </c>
      <c r="B371" s="1345" t="s">
        <v>5154</v>
      </c>
      <c r="C371" s="1346" t="s">
        <v>5154</v>
      </c>
      <c r="D371" s="1346" t="s">
        <v>544</v>
      </c>
      <c r="E371" s="1346" t="s">
        <v>11943</v>
      </c>
      <c r="F371" s="1346" t="s">
        <v>11969</v>
      </c>
      <c r="G371" s="1345" t="s">
        <v>144</v>
      </c>
      <c r="H371" s="1345" t="s">
        <v>545</v>
      </c>
      <c r="I371" s="1349" t="s">
        <v>546</v>
      </c>
      <c r="J371" s="1350"/>
      <c r="K371" s="1348">
        <v>832000.0</v>
      </c>
    </row>
    <row r="372">
      <c r="A372" s="1344" t="s">
        <v>5154</v>
      </c>
      <c r="B372" s="1345" t="s">
        <v>12541</v>
      </c>
      <c r="C372" s="1346" t="s">
        <v>5154</v>
      </c>
      <c r="D372" s="1346" t="s">
        <v>1453</v>
      </c>
      <c r="E372" s="1346" t="s">
        <v>11930</v>
      </c>
      <c r="F372" s="1351" t="s">
        <v>11969</v>
      </c>
      <c r="G372" s="1345" t="s">
        <v>144</v>
      </c>
      <c r="H372" s="1345" t="s">
        <v>1454</v>
      </c>
      <c r="I372" s="1350"/>
      <c r="J372" s="1350"/>
      <c r="K372" s="1348">
        <v>2425000.0</v>
      </c>
    </row>
    <row r="373">
      <c r="A373" s="1344" t="s">
        <v>5154</v>
      </c>
      <c r="B373" s="1345" t="s">
        <v>12542</v>
      </c>
      <c r="C373" s="1346" t="s">
        <v>5154</v>
      </c>
      <c r="D373" s="1346" t="s">
        <v>1455</v>
      </c>
      <c r="E373" s="1346" t="s">
        <v>11930</v>
      </c>
      <c r="F373" s="1351" t="s">
        <v>11969</v>
      </c>
      <c r="G373" s="1345" t="s">
        <v>146</v>
      </c>
      <c r="H373" s="1345" t="s">
        <v>1454</v>
      </c>
      <c r="I373" s="1350"/>
      <c r="J373" s="1350"/>
      <c r="K373" s="1348">
        <v>2425000.0</v>
      </c>
    </row>
    <row r="374">
      <c r="A374" s="1344" t="s">
        <v>12543</v>
      </c>
      <c r="B374" s="1345" t="s">
        <v>5154</v>
      </c>
      <c r="C374" s="1346" t="s">
        <v>5154</v>
      </c>
      <c r="D374" s="1346" t="s">
        <v>547</v>
      </c>
      <c r="E374" s="1346" t="s">
        <v>11943</v>
      </c>
      <c r="F374" s="1346" t="s">
        <v>11969</v>
      </c>
      <c r="G374" s="1345" t="s">
        <v>209</v>
      </c>
      <c r="H374" s="1345" t="s">
        <v>541</v>
      </c>
      <c r="I374" s="1349" t="s">
        <v>546</v>
      </c>
      <c r="J374" s="1350"/>
      <c r="K374" s="1348">
        <v>869000.0</v>
      </c>
    </row>
    <row r="375">
      <c r="A375" s="1344" t="s">
        <v>12544</v>
      </c>
      <c r="B375" s="1345" t="s">
        <v>12545</v>
      </c>
      <c r="C375" s="1346" t="s">
        <v>5154</v>
      </c>
      <c r="D375" s="1346" t="s">
        <v>548</v>
      </c>
      <c r="E375" s="1346" t="s">
        <v>11940</v>
      </c>
      <c r="F375" s="1346" t="s">
        <v>11931</v>
      </c>
      <c r="G375" s="1345" t="s">
        <v>60</v>
      </c>
      <c r="H375" s="1345" t="s">
        <v>549</v>
      </c>
      <c r="I375" s="1349" t="s">
        <v>137</v>
      </c>
      <c r="J375" s="1350"/>
      <c r="K375" s="1348">
        <v>1362000.0</v>
      </c>
    </row>
    <row r="376">
      <c r="A376" s="1344" t="s">
        <v>12546</v>
      </c>
      <c r="B376" s="1345" t="s">
        <v>12547</v>
      </c>
      <c r="C376" s="1346" t="s">
        <v>5154</v>
      </c>
      <c r="D376" s="1346" t="s">
        <v>550</v>
      </c>
      <c r="E376" s="1346" t="s">
        <v>11940</v>
      </c>
      <c r="F376" s="1346" t="s">
        <v>11944</v>
      </c>
      <c r="G376" s="1345" t="s">
        <v>62</v>
      </c>
      <c r="H376" s="1345" t="s">
        <v>549</v>
      </c>
      <c r="I376" s="1349" t="s">
        <v>1442</v>
      </c>
      <c r="J376" s="1350"/>
      <c r="K376" s="1348">
        <v>2050000.0</v>
      </c>
    </row>
    <row r="377">
      <c r="A377" s="1344" t="s">
        <v>12548</v>
      </c>
      <c r="B377" s="1345" t="s">
        <v>5154</v>
      </c>
      <c r="C377" s="1346" t="s">
        <v>5154</v>
      </c>
      <c r="D377" s="1346" t="s">
        <v>551</v>
      </c>
      <c r="E377" s="1346" t="s">
        <v>11943</v>
      </c>
      <c r="F377" s="1346" t="s">
        <v>11969</v>
      </c>
      <c r="G377" s="1345" t="s">
        <v>140</v>
      </c>
      <c r="H377" s="1345" t="s">
        <v>549</v>
      </c>
      <c r="I377" s="1349" t="s">
        <v>152</v>
      </c>
      <c r="J377" s="1350"/>
      <c r="K377" s="1348">
        <v>675000.0</v>
      </c>
    </row>
    <row r="378">
      <c r="A378" s="1344" t="s">
        <v>12549</v>
      </c>
      <c r="B378" s="1345" t="s">
        <v>5154</v>
      </c>
      <c r="C378" s="1346" t="s">
        <v>5154</v>
      </c>
      <c r="D378" s="1346" t="s">
        <v>552</v>
      </c>
      <c r="E378" s="1346" t="s">
        <v>11943</v>
      </c>
      <c r="F378" s="1346" t="s">
        <v>11969</v>
      </c>
      <c r="G378" s="1345" t="s">
        <v>142</v>
      </c>
      <c r="H378" s="1345" t="s">
        <v>549</v>
      </c>
      <c r="I378" s="1349" t="s">
        <v>152</v>
      </c>
      <c r="J378" s="1350"/>
      <c r="K378" s="1348">
        <v>675000.0</v>
      </c>
    </row>
    <row r="379">
      <c r="A379" s="1344" t="s">
        <v>12550</v>
      </c>
      <c r="B379" s="1345" t="s">
        <v>5154</v>
      </c>
      <c r="C379" s="1346" t="s">
        <v>5154</v>
      </c>
      <c r="D379" s="1346" t="s">
        <v>553</v>
      </c>
      <c r="E379" s="1346" t="s">
        <v>11943</v>
      </c>
      <c r="F379" s="1346" t="s">
        <v>11969</v>
      </c>
      <c r="G379" s="1345" t="s">
        <v>144</v>
      </c>
      <c r="H379" s="1345" t="s">
        <v>549</v>
      </c>
      <c r="I379" s="1350"/>
      <c r="J379" s="1350"/>
      <c r="K379" s="1348">
        <v>508000.0</v>
      </c>
    </row>
    <row r="380">
      <c r="A380" s="1344" t="s">
        <v>12551</v>
      </c>
      <c r="B380" s="1345" t="s">
        <v>5154</v>
      </c>
      <c r="C380" s="1346" t="s">
        <v>5154</v>
      </c>
      <c r="D380" s="1346" t="s">
        <v>554</v>
      </c>
      <c r="E380" s="1346" t="s">
        <v>11943</v>
      </c>
      <c r="F380" s="1346" t="s">
        <v>11969</v>
      </c>
      <c r="G380" s="1345" t="s">
        <v>146</v>
      </c>
      <c r="H380" s="1345" t="s">
        <v>549</v>
      </c>
      <c r="I380" s="1350"/>
      <c r="J380" s="1350"/>
      <c r="K380" s="1348">
        <v>508000.0</v>
      </c>
    </row>
    <row r="381">
      <c r="A381" s="1344" t="s">
        <v>12552</v>
      </c>
      <c r="B381" s="1345" t="s">
        <v>12553</v>
      </c>
      <c r="C381" s="1346" t="s">
        <v>5154</v>
      </c>
      <c r="D381" s="1346" t="s">
        <v>555</v>
      </c>
      <c r="E381" s="1346" t="s">
        <v>11940</v>
      </c>
      <c r="F381" s="1346" t="s">
        <v>11931</v>
      </c>
      <c r="G381" s="1345" t="s">
        <v>60</v>
      </c>
      <c r="H381" s="1345" t="s">
        <v>556</v>
      </c>
      <c r="I381" s="1349" t="s">
        <v>137</v>
      </c>
      <c r="J381" s="1350"/>
      <c r="K381" s="1348">
        <v>2200000.0</v>
      </c>
    </row>
    <row r="382">
      <c r="A382" s="1344" t="s">
        <v>12554</v>
      </c>
      <c r="B382" s="1345" t="s">
        <v>12555</v>
      </c>
      <c r="C382" s="1346" t="s">
        <v>5154</v>
      </c>
      <c r="D382" s="1346" t="s">
        <v>557</v>
      </c>
      <c r="E382" s="1346" t="s">
        <v>11940</v>
      </c>
      <c r="F382" s="1346" t="s">
        <v>11944</v>
      </c>
      <c r="G382" s="1345" t="s">
        <v>62</v>
      </c>
      <c r="H382" s="1345" t="s">
        <v>556</v>
      </c>
      <c r="I382" s="1349" t="s">
        <v>1792</v>
      </c>
      <c r="J382" s="1350"/>
      <c r="K382" s="1348">
        <v>2085000.0</v>
      </c>
    </row>
    <row r="383">
      <c r="A383" s="1344" t="s">
        <v>12556</v>
      </c>
      <c r="B383" s="1345" t="s">
        <v>12557</v>
      </c>
      <c r="C383" s="1346" t="s">
        <v>5154</v>
      </c>
      <c r="D383" s="1346" t="s">
        <v>558</v>
      </c>
      <c r="E383" s="1346" t="s">
        <v>11943</v>
      </c>
      <c r="F383" s="1346" t="s">
        <v>11969</v>
      </c>
      <c r="G383" s="1345" t="s">
        <v>144</v>
      </c>
      <c r="H383" s="1345" t="s">
        <v>556</v>
      </c>
      <c r="I383" s="1350"/>
      <c r="J383" s="1350"/>
      <c r="K383" s="1348">
        <v>725000.0</v>
      </c>
    </row>
    <row r="384">
      <c r="A384" s="1344" t="s">
        <v>12558</v>
      </c>
      <c r="B384" s="1345" t="s">
        <v>12559</v>
      </c>
      <c r="C384" s="1346" t="s">
        <v>5154</v>
      </c>
      <c r="D384" s="1346" t="s">
        <v>559</v>
      </c>
      <c r="E384" s="1346" t="s">
        <v>11943</v>
      </c>
      <c r="F384" s="1346" t="s">
        <v>11969</v>
      </c>
      <c r="G384" s="1345" t="s">
        <v>146</v>
      </c>
      <c r="H384" s="1345" t="s">
        <v>556</v>
      </c>
      <c r="I384" s="1350"/>
      <c r="J384" s="1350"/>
      <c r="K384" s="1348">
        <v>725000.0</v>
      </c>
    </row>
    <row r="385">
      <c r="A385" s="1344" t="s">
        <v>12560</v>
      </c>
      <c r="B385" s="1345" t="s">
        <v>5154</v>
      </c>
      <c r="C385" s="1346" t="s">
        <v>5154</v>
      </c>
      <c r="D385" s="1346" t="s">
        <v>560</v>
      </c>
      <c r="E385" s="1346" t="s">
        <v>11943</v>
      </c>
      <c r="F385" s="1346" t="s">
        <v>11969</v>
      </c>
      <c r="G385" s="1345" t="s">
        <v>396</v>
      </c>
      <c r="H385" s="1345" t="s">
        <v>556</v>
      </c>
      <c r="I385" s="1350"/>
      <c r="J385" s="1350"/>
      <c r="K385" s="1348">
        <v>291000.0</v>
      </c>
    </row>
    <row r="386">
      <c r="A386" s="1344" t="s">
        <v>12561</v>
      </c>
      <c r="B386" s="1345" t="s">
        <v>5154</v>
      </c>
      <c r="C386" s="1346" t="s">
        <v>5154</v>
      </c>
      <c r="D386" s="1346" t="s">
        <v>561</v>
      </c>
      <c r="E386" s="1346" t="s">
        <v>11943</v>
      </c>
      <c r="F386" s="1346" t="s">
        <v>11969</v>
      </c>
      <c r="G386" s="1345" t="s">
        <v>398</v>
      </c>
      <c r="H386" s="1345" t="s">
        <v>556</v>
      </c>
      <c r="I386" s="1350"/>
      <c r="J386" s="1350"/>
      <c r="K386" s="1348">
        <v>291000.0</v>
      </c>
    </row>
    <row r="387">
      <c r="A387" s="1344" t="s">
        <v>5154</v>
      </c>
      <c r="B387" s="1345" t="s">
        <v>12562</v>
      </c>
      <c r="C387" s="1346" t="s">
        <v>5154</v>
      </c>
      <c r="D387" s="1346" t="s">
        <v>1457</v>
      </c>
      <c r="E387" s="1346" t="s">
        <v>11930</v>
      </c>
      <c r="F387" s="1346" t="s">
        <v>11931</v>
      </c>
      <c r="G387" s="1345" t="s">
        <v>60</v>
      </c>
      <c r="H387" s="1345" t="s">
        <v>12563</v>
      </c>
      <c r="I387" s="1349" t="s">
        <v>137</v>
      </c>
      <c r="J387" s="1350"/>
      <c r="K387" s="1348">
        <v>2376000.0</v>
      </c>
    </row>
    <row r="388">
      <c r="A388" s="1344" t="s">
        <v>5154</v>
      </c>
      <c r="B388" s="1345" t="s">
        <v>12564</v>
      </c>
      <c r="C388" s="1346" t="s">
        <v>5154</v>
      </c>
      <c r="D388" s="1351" t="s">
        <v>12565</v>
      </c>
      <c r="E388" s="1346" t="s">
        <v>11930</v>
      </c>
      <c r="F388" s="1351" t="s">
        <v>11931</v>
      </c>
      <c r="G388" s="1345" t="s">
        <v>60</v>
      </c>
      <c r="H388" s="1345" t="s">
        <v>12566</v>
      </c>
      <c r="I388" s="1345" t="s">
        <v>137</v>
      </c>
      <c r="J388" s="1347"/>
      <c r="K388" s="1348">
        <v>2376000.0</v>
      </c>
    </row>
    <row r="389">
      <c r="A389" s="1344" t="s">
        <v>5154</v>
      </c>
      <c r="B389" s="1345" t="s">
        <v>12567</v>
      </c>
      <c r="C389" s="1346" t="s">
        <v>5154</v>
      </c>
      <c r="D389" s="1346" t="s">
        <v>12568</v>
      </c>
      <c r="E389" s="1346" t="s">
        <v>11930</v>
      </c>
      <c r="F389" s="1346" t="s">
        <v>11931</v>
      </c>
      <c r="G389" s="1349" t="s">
        <v>60</v>
      </c>
      <c r="H389" s="1349" t="s">
        <v>2483</v>
      </c>
      <c r="I389" s="1349" t="s">
        <v>90</v>
      </c>
      <c r="J389" s="1350"/>
      <c r="K389" s="1348">
        <v>4000000.0</v>
      </c>
    </row>
    <row r="390">
      <c r="A390" s="1344" t="s">
        <v>5154</v>
      </c>
      <c r="B390" s="1345" t="s">
        <v>12569</v>
      </c>
      <c r="C390" s="1346" t="s">
        <v>5154</v>
      </c>
      <c r="D390" s="1346" t="s">
        <v>12570</v>
      </c>
      <c r="E390" s="1346" t="s">
        <v>11930</v>
      </c>
      <c r="F390" s="1351" t="s">
        <v>11944</v>
      </c>
      <c r="G390" s="1349" t="s">
        <v>62</v>
      </c>
      <c r="H390" s="1349" t="s">
        <v>12571</v>
      </c>
      <c r="I390" s="1349" t="s">
        <v>1442</v>
      </c>
      <c r="J390" s="1350"/>
      <c r="K390" s="1348">
        <v>2900000.0</v>
      </c>
    </row>
    <row r="391">
      <c r="A391" s="1344" t="s">
        <v>12572</v>
      </c>
      <c r="B391" s="1345" t="s">
        <v>12573</v>
      </c>
      <c r="C391" s="1346" t="s">
        <v>5154</v>
      </c>
      <c r="D391" s="1346" t="s">
        <v>562</v>
      </c>
      <c r="E391" s="1346" t="s">
        <v>11943</v>
      </c>
      <c r="F391" s="1346" t="s">
        <v>11931</v>
      </c>
      <c r="G391" s="1345" t="s">
        <v>60</v>
      </c>
      <c r="H391" s="1345" t="s">
        <v>563</v>
      </c>
      <c r="I391" s="1349" t="s">
        <v>137</v>
      </c>
      <c r="J391" s="1350"/>
      <c r="K391" s="1348">
        <v>2350000.0</v>
      </c>
    </row>
    <row r="392">
      <c r="A392" s="1344" t="s">
        <v>12574</v>
      </c>
      <c r="B392" s="1345" t="s">
        <v>5154</v>
      </c>
      <c r="C392" s="1346" t="s">
        <v>5154</v>
      </c>
      <c r="D392" s="1346" t="s">
        <v>564</v>
      </c>
      <c r="E392" s="1346" t="s">
        <v>11943</v>
      </c>
      <c r="F392" s="1346" t="s">
        <v>11944</v>
      </c>
      <c r="G392" s="1345" t="s">
        <v>62</v>
      </c>
      <c r="H392" s="1345" t="s">
        <v>563</v>
      </c>
      <c r="I392" s="1349" t="s">
        <v>1442</v>
      </c>
      <c r="J392" s="1350"/>
      <c r="K392" s="1348">
        <v>1393000.0</v>
      </c>
    </row>
    <row r="393">
      <c r="A393" s="1344" t="s">
        <v>12575</v>
      </c>
      <c r="B393" s="1345" t="s">
        <v>5154</v>
      </c>
      <c r="C393" s="1346" t="s">
        <v>5154</v>
      </c>
      <c r="D393" s="1346" t="s">
        <v>565</v>
      </c>
      <c r="E393" s="1346" t="s">
        <v>11943</v>
      </c>
      <c r="F393" s="1346" t="s">
        <v>11944</v>
      </c>
      <c r="G393" s="1345" t="s">
        <v>62</v>
      </c>
      <c r="H393" s="1345" t="s">
        <v>563</v>
      </c>
      <c r="I393" s="1349" t="s">
        <v>1437</v>
      </c>
      <c r="J393" s="1350"/>
      <c r="K393" s="1348">
        <v>1608000.0</v>
      </c>
    </row>
    <row r="394">
      <c r="A394" s="1344" t="s">
        <v>5154</v>
      </c>
      <c r="B394" s="1345" t="s">
        <v>12576</v>
      </c>
      <c r="C394" s="1346" t="s">
        <v>5154</v>
      </c>
      <c r="D394" s="1346" t="s">
        <v>1459</v>
      </c>
      <c r="E394" s="1346" t="s">
        <v>11930</v>
      </c>
      <c r="F394" s="1351" t="s">
        <v>11931</v>
      </c>
      <c r="G394" s="1345" t="s">
        <v>60</v>
      </c>
      <c r="H394" s="1349" t="s">
        <v>12577</v>
      </c>
      <c r="I394" s="1349" t="s">
        <v>137</v>
      </c>
      <c r="J394" s="1350"/>
      <c r="K394" s="1348">
        <v>3650000.0</v>
      </c>
    </row>
    <row r="395">
      <c r="A395" s="1344" t="s">
        <v>5154</v>
      </c>
      <c r="B395" s="1345" t="s">
        <v>12578</v>
      </c>
      <c r="C395" s="1346" t="s">
        <v>5154</v>
      </c>
      <c r="D395" s="1351" t="s">
        <v>12579</v>
      </c>
      <c r="E395" s="1346" t="s">
        <v>11930</v>
      </c>
      <c r="F395" s="1346" t="s">
        <v>11931</v>
      </c>
      <c r="G395" s="1345" t="s">
        <v>60</v>
      </c>
      <c r="H395" s="1349" t="s">
        <v>12580</v>
      </c>
      <c r="I395" s="1345" t="s">
        <v>90</v>
      </c>
      <c r="J395" s="1347"/>
      <c r="K395" s="1348">
        <v>3800000.0</v>
      </c>
    </row>
    <row r="396">
      <c r="A396" s="1344" t="s">
        <v>5154</v>
      </c>
      <c r="B396" s="1345" t="s">
        <v>12581</v>
      </c>
      <c r="C396" s="1346" t="s">
        <v>5154</v>
      </c>
      <c r="D396" s="1351" t="s">
        <v>12582</v>
      </c>
      <c r="E396" s="1346" t="s">
        <v>11930</v>
      </c>
      <c r="F396" s="1346" t="s">
        <v>11931</v>
      </c>
      <c r="G396" s="1345" t="s">
        <v>60</v>
      </c>
      <c r="H396" s="1349" t="s">
        <v>11146</v>
      </c>
      <c r="I396" s="1345" t="s">
        <v>90</v>
      </c>
      <c r="J396" s="1347"/>
      <c r="K396" s="1348">
        <v>3800000.0</v>
      </c>
    </row>
    <row r="397">
      <c r="A397" s="1344" t="s">
        <v>5154</v>
      </c>
      <c r="B397" s="1345" t="s">
        <v>12583</v>
      </c>
      <c r="C397" s="1346" t="s">
        <v>5154</v>
      </c>
      <c r="D397" s="1346" t="s">
        <v>1461</v>
      </c>
      <c r="E397" s="1346" t="s">
        <v>11930</v>
      </c>
      <c r="F397" s="1346" t="s">
        <v>11944</v>
      </c>
      <c r="G397" s="1345" t="s">
        <v>62</v>
      </c>
      <c r="H397" s="1345" t="s">
        <v>1460</v>
      </c>
      <c r="I397" s="1349" t="s">
        <v>1437</v>
      </c>
      <c r="J397" s="1350"/>
      <c r="K397" s="1348">
        <v>2250000.0</v>
      </c>
    </row>
    <row r="398">
      <c r="A398" s="1344" t="s">
        <v>12584</v>
      </c>
      <c r="B398" s="1345" t="s">
        <v>12585</v>
      </c>
      <c r="C398" s="1346" t="s">
        <v>5154</v>
      </c>
      <c r="D398" s="1346" t="s">
        <v>566</v>
      </c>
      <c r="E398" s="1346" t="s">
        <v>11943</v>
      </c>
      <c r="F398" s="1346" t="s">
        <v>11931</v>
      </c>
      <c r="G398" s="1345" t="s">
        <v>60</v>
      </c>
      <c r="H398" s="1345" t="s">
        <v>567</v>
      </c>
      <c r="I398" s="1349" t="s">
        <v>137</v>
      </c>
      <c r="J398" s="1350"/>
      <c r="K398" s="1348">
        <v>2521000.0</v>
      </c>
    </row>
    <row r="399">
      <c r="A399" s="1344" t="s">
        <v>12586</v>
      </c>
      <c r="B399" s="1345" t="s">
        <v>5154</v>
      </c>
      <c r="C399" s="1346" t="s">
        <v>5154</v>
      </c>
      <c r="D399" s="1346" t="s">
        <v>568</v>
      </c>
      <c r="E399" s="1346" t="s">
        <v>11943</v>
      </c>
      <c r="F399" s="1346" t="s">
        <v>11944</v>
      </c>
      <c r="G399" s="1345" t="s">
        <v>62</v>
      </c>
      <c r="H399" s="1345" t="s">
        <v>567</v>
      </c>
      <c r="I399" s="1349" t="s">
        <v>1437</v>
      </c>
      <c r="J399" s="1350"/>
      <c r="K399" s="1348">
        <v>2083000.0</v>
      </c>
    </row>
    <row r="400">
      <c r="A400" s="1344" t="s">
        <v>12587</v>
      </c>
      <c r="B400" s="1345" t="s">
        <v>5154</v>
      </c>
      <c r="C400" s="1346" t="s">
        <v>5154</v>
      </c>
      <c r="D400" s="1346" t="s">
        <v>569</v>
      </c>
      <c r="E400" s="1346" t="s">
        <v>11943</v>
      </c>
      <c r="F400" s="1346" t="s">
        <v>11969</v>
      </c>
      <c r="G400" s="1345" t="s">
        <v>142</v>
      </c>
      <c r="H400" s="1345" t="s">
        <v>567</v>
      </c>
      <c r="I400" s="1350"/>
      <c r="J400" s="1350"/>
      <c r="K400" s="1348">
        <v>795000.0</v>
      </c>
    </row>
    <row r="401">
      <c r="A401" s="1344" t="s">
        <v>12588</v>
      </c>
      <c r="B401" s="1345" t="s">
        <v>5154</v>
      </c>
      <c r="C401" s="1346" t="s">
        <v>5154</v>
      </c>
      <c r="D401" s="1346" t="s">
        <v>570</v>
      </c>
      <c r="E401" s="1346" t="s">
        <v>11943</v>
      </c>
      <c r="F401" s="1346" t="s">
        <v>11969</v>
      </c>
      <c r="G401" s="1345" t="s">
        <v>144</v>
      </c>
      <c r="H401" s="1345" t="s">
        <v>567</v>
      </c>
      <c r="I401" s="1350"/>
      <c r="J401" s="1350"/>
      <c r="K401" s="1348">
        <v>795000.0</v>
      </c>
    </row>
    <row r="402">
      <c r="A402" s="1344" t="s">
        <v>12589</v>
      </c>
      <c r="B402" s="1345" t="s">
        <v>5154</v>
      </c>
      <c r="C402" s="1346" t="s">
        <v>5154</v>
      </c>
      <c r="D402" s="1346" t="s">
        <v>571</v>
      </c>
      <c r="E402" s="1346" t="s">
        <v>11943</v>
      </c>
      <c r="F402" s="1346" t="s">
        <v>11969</v>
      </c>
      <c r="G402" s="1345" t="s">
        <v>209</v>
      </c>
      <c r="H402" s="1345" t="s">
        <v>567</v>
      </c>
      <c r="I402" s="1349" t="s">
        <v>109</v>
      </c>
      <c r="J402" s="1350"/>
      <c r="K402" s="1348">
        <v>436000.0</v>
      </c>
    </row>
    <row r="403">
      <c r="A403" s="1344" t="s">
        <v>12590</v>
      </c>
      <c r="B403" s="1345" t="s">
        <v>12591</v>
      </c>
      <c r="C403" s="1346" t="s">
        <v>5154</v>
      </c>
      <c r="D403" s="1346" t="s">
        <v>572</v>
      </c>
      <c r="E403" s="1346" t="s">
        <v>11940</v>
      </c>
      <c r="F403" s="1346" t="s">
        <v>11931</v>
      </c>
      <c r="G403" s="1345" t="s">
        <v>60</v>
      </c>
      <c r="H403" s="1345" t="s">
        <v>573</v>
      </c>
      <c r="I403" s="1349" t="s">
        <v>137</v>
      </c>
      <c r="J403" s="1350"/>
      <c r="K403" s="1348">
        <v>2118000.0</v>
      </c>
    </row>
    <row r="404">
      <c r="A404" s="1344" t="s">
        <v>12592</v>
      </c>
      <c r="B404" s="1345" t="s">
        <v>12593</v>
      </c>
      <c r="C404" s="1346" t="s">
        <v>5154</v>
      </c>
      <c r="D404" s="1346" t="s">
        <v>574</v>
      </c>
      <c r="E404" s="1346" t="s">
        <v>11940</v>
      </c>
      <c r="F404" s="1346" t="s">
        <v>11944</v>
      </c>
      <c r="G404" s="1345" t="s">
        <v>62</v>
      </c>
      <c r="H404" s="1345" t="s">
        <v>573</v>
      </c>
      <c r="I404" s="1349" t="s">
        <v>1437</v>
      </c>
      <c r="J404" s="1350"/>
      <c r="K404" s="1348">
        <v>2570000.0</v>
      </c>
    </row>
    <row r="405">
      <c r="A405" s="1344" t="s">
        <v>12594</v>
      </c>
      <c r="B405" s="1345" t="s">
        <v>5154</v>
      </c>
      <c r="C405" s="1346" t="s">
        <v>5154</v>
      </c>
      <c r="D405" s="1346" t="s">
        <v>575</v>
      </c>
      <c r="E405" s="1346" t="s">
        <v>11943</v>
      </c>
      <c r="F405" s="1346" t="s">
        <v>11969</v>
      </c>
      <c r="G405" s="1345" t="s">
        <v>142</v>
      </c>
      <c r="H405" s="1345" t="s">
        <v>573</v>
      </c>
      <c r="I405" s="1350"/>
      <c r="J405" s="1350"/>
      <c r="K405" s="1348">
        <v>802000.0</v>
      </c>
    </row>
    <row r="406">
      <c r="A406" s="1344" t="s">
        <v>12595</v>
      </c>
      <c r="B406" s="1345" t="s">
        <v>5154</v>
      </c>
      <c r="C406" s="1346" t="s">
        <v>5154</v>
      </c>
      <c r="D406" s="1346" t="s">
        <v>576</v>
      </c>
      <c r="E406" s="1346" t="s">
        <v>11943</v>
      </c>
      <c r="F406" s="1346" t="s">
        <v>11969</v>
      </c>
      <c r="G406" s="1345" t="s">
        <v>144</v>
      </c>
      <c r="H406" s="1345" t="s">
        <v>573</v>
      </c>
      <c r="I406" s="1350"/>
      <c r="J406" s="1350"/>
      <c r="K406" s="1348">
        <v>579000.0</v>
      </c>
    </row>
    <row r="407">
      <c r="A407" s="1344" t="s">
        <v>12596</v>
      </c>
      <c r="B407" s="1345" t="s">
        <v>12597</v>
      </c>
      <c r="C407" s="1346" t="s">
        <v>5154</v>
      </c>
      <c r="D407" s="1346" t="s">
        <v>577</v>
      </c>
      <c r="E407" s="1346" t="s">
        <v>11940</v>
      </c>
      <c r="F407" s="1346" t="s">
        <v>11969</v>
      </c>
      <c r="G407" s="1345" t="s">
        <v>146</v>
      </c>
      <c r="H407" s="1345" t="s">
        <v>573</v>
      </c>
      <c r="I407" s="1350"/>
      <c r="J407" s="1350"/>
      <c r="K407" s="1348">
        <v>579000.0</v>
      </c>
    </row>
    <row r="408">
      <c r="A408" s="1344" t="s">
        <v>5154</v>
      </c>
      <c r="B408" s="1345" t="s">
        <v>12598</v>
      </c>
      <c r="C408" s="1346" t="s">
        <v>5154</v>
      </c>
      <c r="D408" s="1351" t="s">
        <v>12599</v>
      </c>
      <c r="E408" s="1346" t="s">
        <v>11930</v>
      </c>
      <c r="F408" s="1351" t="s">
        <v>11931</v>
      </c>
      <c r="G408" s="1345" t="s">
        <v>60</v>
      </c>
      <c r="H408" s="1345" t="s">
        <v>12600</v>
      </c>
      <c r="I408" s="1349" t="s">
        <v>90</v>
      </c>
      <c r="J408" s="1350"/>
      <c r="K408" s="1348">
        <v>3200000.0</v>
      </c>
    </row>
    <row r="409">
      <c r="A409" s="1344" t="s">
        <v>5154</v>
      </c>
      <c r="B409" s="1345" t="s">
        <v>12601</v>
      </c>
      <c r="C409" s="1346" t="s">
        <v>5154</v>
      </c>
      <c r="D409" s="1346" t="s">
        <v>1465</v>
      </c>
      <c r="E409" s="1346" t="s">
        <v>11930</v>
      </c>
      <c r="F409" s="1346" t="s">
        <v>11931</v>
      </c>
      <c r="G409" s="1345" t="s">
        <v>60</v>
      </c>
      <c r="H409" s="1345" t="s">
        <v>1466</v>
      </c>
      <c r="I409" s="1345" t="s">
        <v>137</v>
      </c>
      <c r="J409" s="1347"/>
      <c r="K409" s="1348">
        <v>2464000.0</v>
      </c>
    </row>
    <row r="410">
      <c r="A410" s="1344" t="s">
        <v>5154</v>
      </c>
      <c r="B410" s="1345" t="s">
        <v>12602</v>
      </c>
      <c r="C410" s="1346" t="s">
        <v>5154</v>
      </c>
      <c r="D410" s="1346" t="s">
        <v>1467</v>
      </c>
      <c r="E410" s="1346" t="s">
        <v>11930</v>
      </c>
      <c r="F410" s="1346" t="s">
        <v>11944</v>
      </c>
      <c r="G410" s="1345" t="s">
        <v>62</v>
      </c>
      <c r="H410" s="1345" t="s">
        <v>1466</v>
      </c>
      <c r="I410" s="1345" t="s">
        <v>1442</v>
      </c>
      <c r="J410" s="1347"/>
      <c r="K410" s="1348">
        <v>2237000.0</v>
      </c>
    </row>
    <row r="411">
      <c r="A411" s="1344" t="s">
        <v>5154</v>
      </c>
      <c r="B411" s="1345" t="s">
        <v>12603</v>
      </c>
      <c r="C411" s="1346" t="s">
        <v>5154</v>
      </c>
      <c r="D411" s="1351" t="s">
        <v>1471</v>
      </c>
      <c r="E411" s="1346" t="s">
        <v>11930</v>
      </c>
      <c r="F411" s="1351" t="s">
        <v>11931</v>
      </c>
      <c r="G411" s="1349" t="s">
        <v>60</v>
      </c>
      <c r="H411" s="1349" t="s">
        <v>1344</v>
      </c>
      <c r="I411" s="1349" t="s">
        <v>137</v>
      </c>
      <c r="J411" s="1350"/>
      <c r="K411" s="1348">
        <v>1650000.0</v>
      </c>
    </row>
    <row r="412">
      <c r="A412" s="1344" t="s">
        <v>5154</v>
      </c>
      <c r="B412" s="1345" t="s">
        <v>12604</v>
      </c>
      <c r="C412" s="1346" t="s">
        <v>5154</v>
      </c>
      <c r="D412" s="1351" t="s">
        <v>1343</v>
      </c>
      <c r="E412" s="1346" t="s">
        <v>11930</v>
      </c>
      <c r="F412" s="1351" t="s">
        <v>11931</v>
      </c>
      <c r="G412" s="1349" t="s">
        <v>60</v>
      </c>
      <c r="H412" s="1349" t="s">
        <v>1344</v>
      </c>
      <c r="I412" s="1349" t="s">
        <v>90</v>
      </c>
      <c r="J412" s="1350"/>
      <c r="K412" s="1348">
        <v>2100000.0</v>
      </c>
    </row>
    <row r="413">
      <c r="A413" s="1344" t="s">
        <v>5154</v>
      </c>
      <c r="B413" s="1345" t="s">
        <v>12605</v>
      </c>
      <c r="C413" s="1346" t="s">
        <v>5154</v>
      </c>
      <c r="D413" s="1351" t="s">
        <v>1474</v>
      </c>
      <c r="E413" s="1346" t="s">
        <v>11930</v>
      </c>
      <c r="F413" s="1351" t="s">
        <v>11944</v>
      </c>
      <c r="G413" s="1349" t="s">
        <v>62</v>
      </c>
      <c r="H413" s="1349" t="s">
        <v>1344</v>
      </c>
      <c r="I413" s="1349" t="s">
        <v>546</v>
      </c>
      <c r="J413" s="1350"/>
      <c r="K413" s="1348">
        <v>1350000.0</v>
      </c>
    </row>
    <row r="414">
      <c r="A414" s="1344" t="s">
        <v>5154</v>
      </c>
      <c r="B414" s="1345" t="s">
        <v>12606</v>
      </c>
      <c r="C414" s="1346" t="s">
        <v>5154</v>
      </c>
      <c r="D414" s="1346" t="s">
        <v>12607</v>
      </c>
      <c r="E414" s="1346" t="s">
        <v>11930</v>
      </c>
      <c r="F414" s="1351" t="s">
        <v>11944</v>
      </c>
      <c r="G414" s="1349" t="s">
        <v>62</v>
      </c>
      <c r="H414" s="1349" t="s">
        <v>12608</v>
      </c>
      <c r="I414" s="1349" t="s">
        <v>1437</v>
      </c>
      <c r="J414" s="1350"/>
      <c r="K414" s="1348">
        <v>1200000.0</v>
      </c>
    </row>
    <row r="415">
      <c r="A415" s="1344" t="s">
        <v>12609</v>
      </c>
      <c r="B415" s="1345" t="s">
        <v>12610</v>
      </c>
      <c r="C415" s="1346" t="s">
        <v>5154</v>
      </c>
      <c r="D415" s="1346" t="s">
        <v>578</v>
      </c>
      <c r="E415" s="1346" t="s">
        <v>11940</v>
      </c>
      <c r="F415" s="1346" t="s">
        <v>11931</v>
      </c>
      <c r="G415" s="1345" t="s">
        <v>60</v>
      </c>
      <c r="H415" s="1345" t="s">
        <v>579</v>
      </c>
      <c r="I415" s="1349" t="s">
        <v>137</v>
      </c>
      <c r="J415" s="1350"/>
      <c r="K415" s="1348">
        <v>2280000.0</v>
      </c>
    </row>
    <row r="416">
      <c r="A416" s="1344" t="s">
        <v>12611</v>
      </c>
      <c r="B416" s="1345" t="s">
        <v>12612</v>
      </c>
      <c r="C416" s="1346" t="s">
        <v>5154</v>
      </c>
      <c r="D416" s="1346" t="s">
        <v>580</v>
      </c>
      <c r="E416" s="1346" t="s">
        <v>11940</v>
      </c>
      <c r="F416" s="1346" t="s">
        <v>11931</v>
      </c>
      <c r="G416" s="1345" t="s">
        <v>60</v>
      </c>
      <c r="H416" s="1345" t="s">
        <v>581</v>
      </c>
      <c r="I416" s="1349" t="s">
        <v>137</v>
      </c>
      <c r="J416" s="1350"/>
      <c r="K416" s="1348">
        <v>2268000.0</v>
      </c>
    </row>
    <row r="417">
      <c r="A417" s="1344" t="s">
        <v>12613</v>
      </c>
      <c r="B417" s="1345" t="s">
        <v>12614</v>
      </c>
      <c r="C417" s="1346" t="s">
        <v>5154</v>
      </c>
      <c r="D417" s="1346" t="s">
        <v>582</v>
      </c>
      <c r="E417" s="1346" t="s">
        <v>11940</v>
      </c>
      <c r="F417" s="1346" t="s">
        <v>11944</v>
      </c>
      <c r="G417" s="1345" t="s">
        <v>62</v>
      </c>
      <c r="H417" s="1345" t="s">
        <v>581</v>
      </c>
      <c r="I417" s="1349" t="s">
        <v>1437</v>
      </c>
      <c r="J417" s="1350"/>
      <c r="K417" s="1348">
        <v>2088000.0</v>
      </c>
    </row>
    <row r="418">
      <c r="A418" s="1344" t="s">
        <v>12615</v>
      </c>
      <c r="B418" s="1345" t="s">
        <v>12616</v>
      </c>
      <c r="C418" s="1346" t="s">
        <v>5154</v>
      </c>
      <c r="D418" s="1346" t="s">
        <v>583</v>
      </c>
      <c r="E418" s="1346" t="s">
        <v>11940</v>
      </c>
      <c r="F418" s="1346" t="s">
        <v>11931</v>
      </c>
      <c r="G418" s="1345" t="s">
        <v>60</v>
      </c>
      <c r="H418" s="1345" t="s">
        <v>584</v>
      </c>
      <c r="I418" s="1349" t="s">
        <v>137</v>
      </c>
      <c r="J418" s="1350"/>
      <c r="K418" s="1348">
        <v>3361000.0</v>
      </c>
    </row>
    <row r="419">
      <c r="A419" s="1344" t="s">
        <v>12617</v>
      </c>
      <c r="B419" s="1345" t="s">
        <v>5154</v>
      </c>
      <c r="C419" s="1346" t="s">
        <v>5154</v>
      </c>
      <c r="D419" s="1346" t="s">
        <v>585</v>
      </c>
      <c r="E419" s="1346" t="s">
        <v>11943</v>
      </c>
      <c r="F419" s="1346" t="s">
        <v>11944</v>
      </c>
      <c r="G419" s="1345" t="s">
        <v>62</v>
      </c>
      <c r="H419" s="1345" t="s">
        <v>584</v>
      </c>
      <c r="I419" s="1349" t="s">
        <v>1437</v>
      </c>
      <c r="J419" s="1350"/>
      <c r="K419" s="1348">
        <v>2231000.0</v>
      </c>
    </row>
    <row r="420">
      <c r="A420" s="1341" t="s">
        <v>11607</v>
      </c>
      <c r="B420" s="1342" t="s">
        <v>11607</v>
      </c>
      <c r="C420" s="1343"/>
      <c r="D420" s="1343"/>
      <c r="E420" s="1343"/>
      <c r="F420" s="1343"/>
      <c r="G420" s="1343"/>
      <c r="H420" s="1342" t="s">
        <v>11607</v>
      </c>
      <c r="I420" s="1343"/>
      <c r="J420" s="1343"/>
      <c r="K420" s="1343"/>
    </row>
    <row r="421">
      <c r="A421" s="1344" t="s">
        <v>5154</v>
      </c>
      <c r="B421" s="1345" t="s">
        <v>5154</v>
      </c>
      <c r="C421" s="1346" t="s">
        <v>12618</v>
      </c>
      <c r="D421" s="1346" t="s">
        <v>1923</v>
      </c>
      <c r="E421" s="1346" t="s">
        <v>12155</v>
      </c>
      <c r="F421" s="1346" t="s">
        <v>11931</v>
      </c>
      <c r="G421" s="1345" t="s">
        <v>60</v>
      </c>
      <c r="H421" s="1345" t="s">
        <v>1924</v>
      </c>
      <c r="I421" s="1350"/>
      <c r="J421" s="1350"/>
      <c r="K421" s="1348">
        <v>1439000.0</v>
      </c>
    </row>
    <row r="422">
      <c r="A422" s="1344" t="s">
        <v>5154</v>
      </c>
      <c r="B422" s="1345" t="s">
        <v>12619</v>
      </c>
      <c r="C422" s="1346" t="s">
        <v>5154</v>
      </c>
      <c r="D422" s="1346" t="s">
        <v>1472</v>
      </c>
      <c r="E422" s="1346" t="s">
        <v>11930</v>
      </c>
      <c r="F422" s="1346" t="s">
        <v>11931</v>
      </c>
      <c r="G422" s="1345" t="s">
        <v>60</v>
      </c>
      <c r="H422" s="1345" t="s">
        <v>1473</v>
      </c>
      <c r="I422" s="1349" t="s">
        <v>137</v>
      </c>
      <c r="J422" s="1350"/>
      <c r="K422" s="1348">
        <v>1648000.0</v>
      </c>
    </row>
    <row r="423">
      <c r="A423" s="1344" t="s">
        <v>5154</v>
      </c>
      <c r="B423" s="1345" t="s">
        <v>12620</v>
      </c>
      <c r="C423" s="1346" t="s">
        <v>5154</v>
      </c>
      <c r="D423" s="1351" t="s">
        <v>12621</v>
      </c>
      <c r="E423" s="1346" t="s">
        <v>11930</v>
      </c>
      <c r="F423" s="1346" t="s">
        <v>11931</v>
      </c>
      <c r="G423" s="1345" t="s">
        <v>60</v>
      </c>
      <c r="H423" s="1345" t="s">
        <v>12622</v>
      </c>
      <c r="I423" s="1349" t="s">
        <v>137</v>
      </c>
      <c r="J423" s="1350"/>
      <c r="K423" s="1348">
        <v>1500000.0</v>
      </c>
    </row>
    <row r="424">
      <c r="A424" s="1344" t="s">
        <v>12623</v>
      </c>
      <c r="B424" s="1345" t="s">
        <v>12624</v>
      </c>
      <c r="C424" s="1346" t="s">
        <v>5154</v>
      </c>
      <c r="D424" s="1346" t="s">
        <v>586</v>
      </c>
      <c r="E424" s="1346" t="s">
        <v>11940</v>
      </c>
      <c r="F424" s="1346" t="s">
        <v>11931</v>
      </c>
      <c r="G424" s="1345" t="s">
        <v>60</v>
      </c>
      <c r="H424" s="1345" t="s">
        <v>12625</v>
      </c>
      <c r="I424" s="1349" t="s">
        <v>137</v>
      </c>
      <c r="J424" s="1350"/>
      <c r="K424" s="1348">
        <v>1664000.0</v>
      </c>
    </row>
    <row r="425">
      <c r="A425" s="1344" t="s">
        <v>5154</v>
      </c>
      <c r="B425" s="1345" t="s">
        <v>5154</v>
      </c>
      <c r="C425" s="1346" t="s">
        <v>12626</v>
      </c>
      <c r="D425" s="1346" t="s">
        <v>1925</v>
      </c>
      <c r="E425" s="1346" t="s">
        <v>12155</v>
      </c>
      <c r="F425" s="1346" t="s">
        <v>11931</v>
      </c>
      <c r="G425" s="1345" t="s">
        <v>60</v>
      </c>
      <c r="H425" s="1345" t="s">
        <v>1926</v>
      </c>
      <c r="I425" s="1350"/>
      <c r="J425" s="1350"/>
      <c r="K425" s="1348">
        <v>885000.0</v>
      </c>
    </row>
    <row r="426">
      <c r="A426" s="1344" t="s">
        <v>5154</v>
      </c>
      <c r="B426" s="1345" t="s">
        <v>12627</v>
      </c>
      <c r="C426" s="1346" t="s">
        <v>5154</v>
      </c>
      <c r="D426" s="1346" t="s">
        <v>1476</v>
      </c>
      <c r="E426" s="1346" t="s">
        <v>11930</v>
      </c>
      <c r="F426" s="1346" t="s">
        <v>11931</v>
      </c>
      <c r="G426" s="1345" t="s">
        <v>60</v>
      </c>
      <c r="H426" s="1345" t="s">
        <v>1477</v>
      </c>
      <c r="I426" s="1350"/>
      <c r="J426" s="1350"/>
      <c r="K426" s="1348">
        <v>938000.0</v>
      </c>
    </row>
    <row r="427">
      <c r="A427" s="1341" t="s">
        <v>12628</v>
      </c>
      <c r="B427" s="1342" t="s">
        <v>12628</v>
      </c>
      <c r="C427" s="1343"/>
      <c r="D427" s="1343"/>
      <c r="E427" s="1343"/>
      <c r="F427" s="1343"/>
      <c r="G427" s="1343"/>
      <c r="H427" s="1342" t="s">
        <v>12628</v>
      </c>
      <c r="I427" s="1343"/>
      <c r="J427" s="1343"/>
      <c r="K427" s="1343"/>
    </row>
    <row r="428">
      <c r="A428" s="1344" t="s">
        <v>5154</v>
      </c>
      <c r="B428" s="1345" t="s">
        <v>12629</v>
      </c>
      <c r="C428" s="1346" t="s">
        <v>5154</v>
      </c>
      <c r="D428" s="1346" t="s">
        <v>1478</v>
      </c>
      <c r="E428" s="1346" t="s">
        <v>11930</v>
      </c>
      <c r="F428" s="1346" t="s">
        <v>11931</v>
      </c>
      <c r="G428" s="1345" t="s">
        <v>60</v>
      </c>
      <c r="H428" s="1345" t="s">
        <v>12630</v>
      </c>
      <c r="I428" s="1345" t="s">
        <v>90</v>
      </c>
      <c r="J428" s="1347"/>
      <c r="K428" s="1348">
        <v>7390000.0</v>
      </c>
    </row>
    <row r="429">
      <c r="A429" s="1341" t="s">
        <v>11610</v>
      </c>
      <c r="B429" s="1342" t="s">
        <v>11610</v>
      </c>
      <c r="C429" s="1343"/>
      <c r="D429" s="1343"/>
      <c r="E429" s="1343"/>
      <c r="F429" s="1343"/>
      <c r="G429" s="1343"/>
      <c r="H429" s="1342" t="s">
        <v>11610</v>
      </c>
      <c r="I429" s="1343"/>
      <c r="J429" s="1343"/>
      <c r="K429" s="1343"/>
    </row>
    <row r="430">
      <c r="A430" s="1344" t="s">
        <v>5154</v>
      </c>
      <c r="B430" s="1345" t="s">
        <v>5154</v>
      </c>
      <c r="C430" s="1346" t="s">
        <v>12631</v>
      </c>
      <c r="D430" s="1346" t="s">
        <v>1927</v>
      </c>
      <c r="E430" s="1346" t="s">
        <v>12155</v>
      </c>
      <c r="F430" s="1346" t="s">
        <v>11931</v>
      </c>
      <c r="G430" s="1345" t="s">
        <v>60</v>
      </c>
      <c r="H430" s="1345" t="s">
        <v>1928</v>
      </c>
      <c r="I430" s="1350"/>
      <c r="J430" s="1350"/>
      <c r="K430" s="1348">
        <v>1199000.0</v>
      </c>
    </row>
    <row r="431">
      <c r="A431" s="1344" t="s">
        <v>5154</v>
      </c>
      <c r="B431" s="1345" t="s">
        <v>5154</v>
      </c>
      <c r="C431" s="1346" t="s">
        <v>12632</v>
      </c>
      <c r="D431" s="1346" t="s">
        <v>1929</v>
      </c>
      <c r="E431" s="1346" t="s">
        <v>12155</v>
      </c>
      <c r="F431" s="1346" t="s">
        <v>11931</v>
      </c>
      <c r="G431" s="1345" t="s">
        <v>60</v>
      </c>
      <c r="H431" s="1345" t="s">
        <v>1930</v>
      </c>
      <c r="I431" s="1350"/>
      <c r="J431" s="1350"/>
      <c r="K431" s="1348">
        <v>1559000.0</v>
      </c>
    </row>
    <row r="432">
      <c r="A432" s="1344" t="s">
        <v>5154</v>
      </c>
      <c r="B432" s="1345" t="s">
        <v>12633</v>
      </c>
      <c r="C432" s="1346" t="s">
        <v>5154</v>
      </c>
      <c r="D432" s="1346" t="s">
        <v>12634</v>
      </c>
      <c r="E432" s="1346" t="s">
        <v>11930</v>
      </c>
      <c r="F432" s="1351" t="s">
        <v>11931</v>
      </c>
      <c r="G432" s="1349" t="s">
        <v>60</v>
      </c>
      <c r="H432" s="1349" t="s">
        <v>12635</v>
      </c>
      <c r="I432" s="1345" t="s">
        <v>809</v>
      </c>
      <c r="J432" s="1347"/>
      <c r="K432" s="1348">
        <v>6000000.0</v>
      </c>
    </row>
    <row r="433">
      <c r="A433" s="1344" t="s">
        <v>5154</v>
      </c>
      <c r="B433" s="1345" t="s">
        <v>12636</v>
      </c>
      <c r="C433" s="1346" t="s">
        <v>5154</v>
      </c>
      <c r="D433" s="1346" t="s">
        <v>1480</v>
      </c>
      <c r="E433" s="1346" t="s">
        <v>11930</v>
      </c>
      <c r="F433" s="1346" t="s">
        <v>11944</v>
      </c>
      <c r="G433" s="1345" t="s">
        <v>62</v>
      </c>
      <c r="H433" s="1345" t="s">
        <v>1481</v>
      </c>
      <c r="I433" s="1350"/>
      <c r="J433" s="1350"/>
      <c r="K433" s="1348">
        <v>6000000.0</v>
      </c>
    </row>
    <row r="434">
      <c r="A434" s="1344" t="s">
        <v>12637</v>
      </c>
      <c r="B434" s="1345" t="s">
        <v>12638</v>
      </c>
      <c r="C434" s="1346" t="s">
        <v>5154</v>
      </c>
      <c r="D434" s="1346" t="s">
        <v>588</v>
      </c>
      <c r="E434" s="1346" t="s">
        <v>11940</v>
      </c>
      <c r="F434" s="1346" t="s">
        <v>11931</v>
      </c>
      <c r="G434" s="1345" t="s">
        <v>60</v>
      </c>
      <c r="H434" s="1345" t="s">
        <v>589</v>
      </c>
      <c r="I434" s="1349" t="s">
        <v>137</v>
      </c>
      <c r="J434" s="1350"/>
      <c r="K434" s="1348">
        <v>3881000.0</v>
      </c>
    </row>
    <row r="435">
      <c r="A435" s="1344" t="s">
        <v>5154</v>
      </c>
      <c r="B435" s="1345" t="s">
        <v>12639</v>
      </c>
      <c r="C435" s="1346" t="s">
        <v>5154</v>
      </c>
      <c r="D435" s="1346" t="s">
        <v>1482</v>
      </c>
      <c r="E435" s="1346" t="s">
        <v>11930</v>
      </c>
      <c r="F435" s="1346" t="s">
        <v>11944</v>
      </c>
      <c r="G435" s="1345" t="s">
        <v>62</v>
      </c>
      <c r="H435" s="1345" t="s">
        <v>1483</v>
      </c>
      <c r="I435" s="1345" t="s">
        <v>12091</v>
      </c>
      <c r="J435" s="1347"/>
      <c r="K435" s="1348">
        <v>6900000.0</v>
      </c>
    </row>
    <row r="436">
      <c r="A436" s="1344" t="s">
        <v>5154</v>
      </c>
      <c r="B436" s="1345" t="s">
        <v>12640</v>
      </c>
      <c r="C436" s="1346" t="s">
        <v>5154</v>
      </c>
      <c r="D436" s="1346" t="s">
        <v>1484</v>
      </c>
      <c r="E436" s="1346" t="s">
        <v>11930</v>
      </c>
      <c r="F436" s="1346" t="s">
        <v>11944</v>
      </c>
      <c r="G436" s="1345" t="s">
        <v>62</v>
      </c>
      <c r="H436" s="1345" t="s">
        <v>1485</v>
      </c>
      <c r="I436" s="1345" t="s">
        <v>12641</v>
      </c>
      <c r="J436" s="1347"/>
      <c r="K436" s="1348">
        <v>6900000.0</v>
      </c>
    </row>
    <row r="437">
      <c r="A437" s="1344" t="s">
        <v>5154</v>
      </c>
      <c r="B437" s="1345" t="s">
        <v>12642</v>
      </c>
      <c r="C437" s="1346" t="s">
        <v>5154</v>
      </c>
      <c r="D437" s="1346" t="s">
        <v>1487</v>
      </c>
      <c r="E437" s="1346" t="s">
        <v>11930</v>
      </c>
      <c r="F437" s="1346" t="s">
        <v>11931</v>
      </c>
      <c r="G437" s="1345" t="s">
        <v>60</v>
      </c>
      <c r="H437" s="1345" t="s">
        <v>1488</v>
      </c>
      <c r="I437" s="1345" t="s">
        <v>137</v>
      </c>
      <c r="J437" s="1347"/>
      <c r="K437" s="1348">
        <v>4311000.0</v>
      </c>
    </row>
    <row r="438">
      <c r="A438" s="1344" t="s">
        <v>5154</v>
      </c>
      <c r="B438" s="1345" t="s">
        <v>12643</v>
      </c>
      <c r="C438" s="1346" t="s">
        <v>5154</v>
      </c>
      <c r="D438" s="1346" t="s">
        <v>1489</v>
      </c>
      <c r="E438" s="1346" t="s">
        <v>11930</v>
      </c>
      <c r="F438" s="1346" t="s">
        <v>11944</v>
      </c>
      <c r="G438" s="1345" t="s">
        <v>62</v>
      </c>
      <c r="H438" s="1345" t="s">
        <v>1490</v>
      </c>
      <c r="I438" s="1345" t="s">
        <v>1442</v>
      </c>
      <c r="J438" s="1347"/>
      <c r="K438" s="1348">
        <v>7100000.0</v>
      </c>
    </row>
    <row r="439">
      <c r="A439" s="1341" t="s">
        <v>11613</v>
      </c>
      <c r="B439" s="1342" t="s">
        <v>11613</v>
      </c>
      <c r="C439" s="1343"/>
      <c r="D439" s="1343"/>
      <c r="E439" s="1343"/>
      <c r="F439" s="1343"/>
      <c r="G439" s="1343"/>
      <c r="H439" s="1342" t="s">
        <v>11613</v>
      </c>
      <c r="I439" s="1343"/>
      <c r="J439" s="1343"/>
      <c r="K439" s="1343"/>
    </row>
    <row r="440">
      <c r="A440" s="1344" t="s">
        <v>12644</v>
      </c>
      <c r="B440" s="1345" t="s">
        <v>12645</v>
      </c>
      <c r="C440" s="1346" t="s">
        <v>5154</v>
      </c>
      <c r="D440" s="1346" t="s">
        <v>590</v>
      </c>
      <c r="E440" s="1346" t="s">
        <v>11940</v>
      </c>
      <c r="F440" s="1346" t="s">
        <v>11944</v>
      </c>
      <c r="G440" s="1345" t="s">
        <v>62</v>
      </c>
      <c r="H440" s="1345" t="s">
        <v>591</v>
      </c>
      <c r="I440" s="1349" t="s">
        <v>1442</v>
      </c>
      <c r="J440" s="1350"/>
      <c r="K440" s="1348">
        <v>1961000.0</v>
      </c>
    </row>
    <row r="441">
      <c r="A441" s="1344" t="s">
        <v>12646</v>
      </c>
      <c r="B441" s="1345" t="s">
        <v>12647</v>
      </c>
      <c r="C441" s="1346" t="s">
        <v>5154</v>
      </c>
      <c r="D441" s="1346" t="s">
        <v>592</v>
      </c>
      <c r="E441" s="1346" t="s">
        <v>11940</v>
      </c>
      <c r="F441" s="1346" t="s">
        <v>11931</v>
      </c>
      <c r="G441" s="1345" t="s">
        <v>60</v>
      </c>
      <c r="H441" s="1345" t="s">
        <v>593</v>
      </c>
      <c r="I441" s="1349" t="s">
        <v>137</v>
      </c>
      <c r="J441" s="1350"/>
      <c r="K441" s="1348">
        <v>1373000.0</v>
      </c>
    </row>
    <row r="442">
      <c r="A442" s="1344" t="s">
        <v>12648</v>
      </c>
      <c r="B442" s="1345" t="s">
        <v>5154</v>
      </c>
      <c r="C442" s="1346" t="s">
        <v>5154</v>
      </c>
      <c r="D442" s="1346" t="s">
        <v>594</v>
      </c>
      <c r="E442" s="1346" t="s">
        <v>11943</v>
      </c>
      <c r="F442" s="1346" t="s">
        <v>11944</v>
      </c>
      <c r="G442" s="1345" t="s">
        <v>62</v>
      </c>
      <c r="H442" s="1345" t="s">
        <v>595</v>
      </c>
      <c r="I442" s="1349" t="s">
        <v>1442</v>
      </c>
      <c r="J442" s="1350"/>
      <c r="K442" s="1348">
        <v>2602000.0</v>
      </c>
    </row>
    <row r="443">
      <c r="A443" s="1344" t="s">
        <v>12649</v>
      </c>
      <c r="B443" s="1345" t="s">
        <v>5154</v>
      </c>
      <c r="C443" s="1346" t="s">
        <v>5154</v>
      </c>
      <c r="D443" s="1346" t="s">
        <v>596</v>
      </c>
      <c r="E443" s="1346" t="s">
        <v>11943</v>
      </c>
      <c r="F443" s="1346" t="s">
        <v>11944</v>
      </c>
      <c r="G443" s="1345" t="s">
        <v>62</v>
      </c>
      <c r="H443" s="1345" t="s">
        <v>597</v>
      </c>
      <c r="I443" s="1349" t="s">
        <v>1437</v>
      </c>
      <c r="J443" s="1350"/>
      <c r="K443" s="1348">
        <v>2892000.0</v>
      </c>
    </row>
    <row r="444">
      <c r="A444" s="1344" t="s">
        <v>5154</v>
      </c>
      <c r="B444" s="1345" t="s">
        <v>12650</v>
      </c>
      <c r="C444" s="1346" t="s">
        <v>5154</v>
      </c>
      <c r="D444" s="1346" t="s">
        <v>1492</v>
      </c>
      <c r="E444" s="1346" t="s">
        <v>11930</v>
      </c>
      <c r="F444" s="1346" t="s">
        <v>11931</v>
      </c>
      <c r="G444" s="1345" t="s">
        <v>60</v>
      </c>
      <c r="H444" s="1345" t="s">
        <v>1493</v>
      </c>
      <c r="I444" s="1349" t="s">
        <v>745</v>
      </c>
      <c r="J444" s="1350"/>
      <c r="K444" s="1348">
        <v>3695000.0</v>
      </c>
    </row>
    <row r="445">
      <c r="A445" s="1344" t="s">
        <v>5154</v>
      </c>
      <c r="B445" s="1345" t="s">
        <v>12651</v>
      </c>
      <c r="C445" s="1346" t="s">
        <v>5154</v>
      </c>
      <c r="D445" s="1346" t="s">
        <v>1494</v>
      </c>
      <c r="E445" s="1346" t="s">
        <v>11930</v>
      </c>
      <c r="F445" s="1346" t="s">
        <v>11944</v>
      </c>
      <c r="G445" s="1345" t="s">
        <v>62</v>
      </c>
      <c r="H445" s="1345" t="s">
        <v>1493</v>
      </c>
      <c r="I445" s="1349" t="s">
        <v>1437</v>
      </c>
      <c r="J445" s="1350"/>
      <c r="K445" s="1348">
        <v>2414000.0</v>
      </c>
    </row>
    <row r="446">
      <c r="A446" s="1344" t="s">
        <v>5154</v>
      </c>
      <c r="B446" s="1345" t="s">
        <v>12652</v>
      </c>
      <c r="C446" s="1346" t="s">
        <v>12653</v>
      </c>
      <c r="D446" s="1346" t="s">
        <v>1495</v>
      </c>
      <c r="E446" s="1346" t="s">
        <v>12158</v>
      </c>
      <c r="F446" s="1346" t="s">
        <v>11931</v>
      </c>
      <c r="G446" s="1345" t="s">
        <v>60</v>
      </c>
      <c r="H446" s="1345" t="s">
        <v>1496</v>
      </c>
      <c r="I446" s="1349" t="s">
        <v>137</v>
      </c>
      <c r="J446" s="1350"/>
      <c r="K446" s="1348">
        <v>2332000.0</v>
      </c>
    </row>
    <row r="447">
      <c r="A447" s="1344" t="s">
        <v>5154</v>
      </c>
      <c r="B447" s="1345" t="s">
        <v>12654</v>
      </c>
      <c r="C447" s="1346" t="s">
        <v>5154</v>
      </c>
      <c r="D447" s="1346" t="s">
        <v>1497</v>
      </c>
      <c r="E447" s="1346" t="s">
        <v>11930</v>
      </c>
      <c r="F447" s="1346" t="s">
        <v>11944</v>
      </c>
      <c r="G447" s="1345" t="s">
        <v>62</v>
      </c>
      <c r="H447" s="1345" t="s">
        <v>1496</v>
      </c>
      <c r="I447" s="1349" t="s">
        <v>1442</v>
      </c>
      <c r="J447" s="1350"/>
      <c r="K447" s="1348">
        <v>2355000.0</v>
      </c>
    </row>
    <row r="448">
      <c r="A448" s="1344" t="s">
        <v>12655</v>
      </c>
      <c r="B448" s="1345" t="s">
        <v>5154</v>
      </c>
      <c r="C448" s="1346" t="s">
        <v>5154</v>
      </c>
      <c r="D448" s="1346" t="s">
        <v>598</v>
      </c>
      <c r="E448" s="1346" t="s">
        <v>11943</v>
      </c>
      <c r="F448" s="1346" t="s">
        <v>11931</v>
      </c>
      <c r="G448" s="1345" t="s">
        <v>60</v>
      </c>
      <c r="H448" s="1345" t="s">
        <v>599</v>
      </c>
      <c r="I448" s="1349" t="s">
        <v>137</v>
      </c>
      <c r="J448" s="1350"/>
      <c r="K448" s="1348">
        <v>1570000.0</v>
      </c>
    </row>
    <row r="449">
      <c r="A449" s="1344" t="s">
        <v>12655</v>
      </c>
      <c r="B449" s="1345" t="s">
        <v>12656</v>
      </c>
      <c r="C449" s="1346" t="s">
        <v>5154</v>
      </c>
      <c r="D449" s="1346" t="s">
        <v>600</v>
      </c>
      <c r="E449" s="1346" t="s">
        <v>11940</v>
      </c>
      <c r="F449" s="1346" t="s">
        <v>11931</v>
      </c>
      <c r="G449" s="1345" t="s">
        <v>60</v>
      </c>
      <c r="H449" s="1345" t="s">
        <v>601</v>
      </c>
      <c r="I449" s="1349" t="s">
        <v>137</v>
      </c>
      <c r="J449" s="1350"/>
      <c r="K449" s="1348">
        <v>1570000.0</v>
      </c>
    </row>
    <row r="450">
      <c r="A450" s="1344" t="s">
        <v>12657</v>
      </c>
      <c r="B450" s="1345" t="s">
        <v>12658</v>
      </c>
      <c r="C450" s="1346" t="s">
        <v>5154</v>
      </c>
      <c r="D450" s="1346" t="s">
        <v>602</v>
      </c>
      <c r="E450" s="1346" t="s">
        <v>11940</v>
      </c>
      <c r="F450" s="1346" t="s">
        <v>11944</v>
      </c>
      <c r="G450" s="1345" t="s">
        <v>62</v>
      </c>
      <c r="H450" s="1345" t="s">
        <v>603</v>
      </c>
      <c r="I450" s="1349" t="s">
        <v>1437</v>
      </c>
      <c r="J450" s="1357">
        <v>1007000.0</v>
      </c>
      <c r="K450" s="1348">
        <v>1967000.0</v>
      </c>
    </row>
    <row r="451">
      <c r="A451" s="1344" t="s">
        <v>12659</v>
      </c>
      <c r="B451" s="1345" t="s">
        <v>12660</v>
      </c>
      <c r="C451" s="1346" t="s">
        <v>5154</v>
      </c>
      <c r="D451" s="1346" t="s">
        <v>604</v>
      </c>
      <c r="E451" s="1346" t="s">
        <v>11940</v>
      </c>
      <c r="F451" s="1346" t="s">
        <v>11969</v>
      </c>
      <c r="G451" s="1345" t="s">
        <v>140</v>
      </c>
      <c r="H451" s="1345" t="s">
        <v>603</v>
      </c>
      <c r="I451" s="1349" t="s">
        <v>152</v>
      </c>
      <c r="J451" s="1350"/>
      <c r="K451" s="1348">
        <v>725000.0</v>
      </c>
    </row>
    <row r="452">
      <c r="A452" s="1344" t="s">
        <v>12661</v>
      </c>
      <c r="B452" s="1345" t="s">
        <v>12662</v>
      </c>
      <c r="C452" s="1346" t="s">
        <v>5154</v>
      </c>
      <c r="D452" s="1346" t="s">
        <v>605</v>
      </c>
      <c r="E452" s="1346" t="s">
        <v>11940</v>
      </c>
      <c r="F452" s="1346" t="s">
        <v>11969</v>
      </c>
      <c r="G452" s="1345" t="s">
        <v>142</v>
      </c>
      <c r="H452" s="1345" t="s">
        <v>603</v>
      </c>
      <c r="I452" s="1349" t="s">
        <v>152</v>
      </c>
      <c r="J452" s="1350"/>
      <c r="K452" s="1348">
        <v>725000.0</v>
      </c>
    </row>
    <row r="453">
      <c r="A453" s="1344" t="s">
        <v>12663</v>
      </c>
      <c r="B453" s="1345" t="s">
        <v>5154</v>
      </c>
      <c r="C453" s="1346" t="s">
        <v>5154</v>
      </c>
      <c r="D453" s="1346" t="s">
        <v>1475</v>
      </c>
      <c r="E453" s="1346" t="s">
        <v>11943</v>
      </c>
      <c r="F453" s="1346" t="s">
        <v>11969</v>
      </c>
      <c r="G453" s="1345" t="s">
        <v>144</v>
      </c>
      <c r="H453" s="1345" t="s">
        <v>603</v>
      </c>
      <c r="I453" s="1350"/>
      <c r="J453" s="1350"/>
      <c r="K453" s="1348">
        <v>725000.0</v>
      </c>
    </row>
    <row r="454">
      <c r="A454" s="1344" t="s">
        <v>12664</v>
      </c>
      <c r="B454" s="1345" t="s">
        <v>12665</v>
      </c>
      <c r="C454" s="1346" t="s">
        <v>5154</v>
      </c>
      <c r="D454" s="1346" t="s">
        <v>607</v>
      </c>
      <c r="E454" s="1346" t="s">
        <v>11943</v>
      </c>
      <c r="F454" s="1346" t="s">
        <v>11969</v>
      </c>
      <c r="G454" s="1345" t="s">
        <v>146</v>
      </c>
      <c r="H454" s="1345" t="s">
        <v>603</v>
      </c>
      <c r="I454" s="1350"/>
      <c r="J454" s="1350"/>
      <c r="K454" s="1348">
        <v>725000.0</v>
      </c>
    </row>
    <row r="455">
      <c r="A455" s="1344" t="s">
        <v>12666</v>
      </c>
      <c r="B455" s="1345" t="s">
        <v>12667</v>
      </c>
      <c r="C455" s="1346" t="s">
        <v>5154</v>
      </c>
      <c r="D455" s="1346" t="s">
        <v>608</v>
      </c>
      <c r="E455" s="1346" t="s">
        <v>11940</v>
      </c>
      <c r="F455" s="1346" t="s">
        <v>11931</v>
      </c>
      <c r="G455" s="1345" t="s">
        <v>60</v>
      </c>
      <c r="H455" s="1345" t="s">
        <v>609</v>
      </c>
      <c r="I455" s="1349" t="s">
        <v>137</v>
      </c>
      <c r="J455" s="1350"/>
      <c r="K455" s="1348">
        <v>1287000.0</v>
      </c>
    </row>
    <row r="456">
      <c r="A456" s="1344" t="s">
        <v>12668</v>
      </c>
      <c r="B456" s="1345" t="s">
        <v>12669</v>
      </c>
      <c r="C456" s="1346" t="s">
        <v>5154</v>
      </c>
      <c r="D456" s="1346" t="s">
        <v>610</v>
      </c>
      <c r="E456" s="1346" t="s">
        <v>11940</v>
      </c>
      <c r="F456" s="1346" t="s">
        <v>11944</v>
      </c>
      <c r="G456" s="1345" t="s">
        <v>62</v>
      </c>
      <c r="H456" s="1345" t="s">
        <v>609</v>
      </c>
      <c r="I456" s="1349" t="s">
        <v>1437</v>
      </c>
      <c r="J456" s="1357">
        <v>1007000.0</v>
      </c>
      <c r="K456" s="1348">
        <v>1967000.0</v>
      </c>
    </row>
    <row r="457">
      <c r="A457" s="1344" t="s">
        <v>12670</v>
      </c>
      <c r="B457" s="1345" t="s">
        <v>12671</v>
      </c>
      <c r="C457" s="1346" t="s">
        <v>5154</v>
      </c>
      <c r="D457" s="1346" t="s">
        <v>611</v>
      </c>
      <c r="E457" s="1346" t="s">
        <v>11940</v>
      </c>
      <c r="F457" s="1346" t="s">
        <v>11969</v>
      </c>
      <c r="G457" s="1345" t="s">
        <v>140</v>
      </c>
      <c r="H457" s="1345" t="s">
        <v>609</v>
      </c>
      <c r="I457" s="1349" t="s">
        <v>406</v>
      </c>
      <c r="J457" s="1350"/>
      <c r="K457" s="1348">
        <v>725000.0</v>
      </c>
    </row>
    <row r="458">
      <c r="A458" s="1344" t="s">
        <v>12672</v>
      </c>
      <c r="B458" s="1345" t="s">
        <v>12673</v>
      </c>
      <c r="C458" s="1346" t="s">
        <v>5154</v>
      </c>
      <c r="D458" s="1346" t="s">
        <v>612</v>
      </c>
      <c r="E458" s="1346" t="s">
        <v>11940</v>
      </c>
      <c r="F458" s="1346" t="s">
        <v>11969</v>
      </c>
      <c r="G458" s="1345" t="s">
        <v>142</v>
      </c>
      <c r="H458" s="1345" t="s">
        <v>609</v>
      </c>
      <c r="I458" s="1349" t="s">
        <v>406</v>
      </c>
      <c r="J458" s="1350"/>
      <c r="K458" s="1348">
        <v>725000.0</v>
      </c>
    </row>
    <row r="459">
      <c r="A459" s="1344" t="s">
        <v>12674</v>
      </c>
      <c r="B459" s="1345" t="s">
        <v>12675</v>
      </c>
      <c r="C459" s="1346" t="s">
        <v>5154</v>
      </c>
      <c r="D459" s="1346" t="s">
        <v>613</v>
      </c>
      <c r="E459" s="1346" t="s">
        <v>11940</v>
      </c>
      <c r="F459" s="1346" t="s">
        <v>11969</v>
      </c>
      <c r="G459" s="1345" t="s">
        <v>144</v>
      </c>
      <c r="H459" s="1345" t="s">
        <v>609</v>
      </c>
      <c r="I459" s="1350"/>
      <c r="J459" s="1350"/>
      <c r="K459" s="1348">
        <v>725000.0</v>
      </c>
    </row>
    <row r="460">
      <c r="A460" s="1344" t="s">
        <v>12676</v>
      </c>
      <c r="B460" s="1345" t="s">
        <v>5154</v>
      </c>
      <c r="C460" s="1346" t="s">
        <v>5154</v>
      </c>
      <c r="D460" s="1346" t="s">
        <v>614</v>
      </c>
      <c r="E460" s="1346" t="s">
        <v>11943</v>
      </c>
      <c r="F460" s="1346" t="s">
        <v>11969</v>
      </c>
      <c r="G460" s="1345" t="s">
        <v>146</v>
      </c>
      <c r="H460" s="1345" t="s">
        <v>609</v>
      </c>
      <c r="I460" s="1350"/>
      <c r="J460" s="1350"/>
      <c r="K460" s="1348">
        <v>725000.0</v>
      </c>
    </row>
    <row r="461">
      <c r="A461" s="1344" t="s">
        <v>5154</v>
      </c>
      <c r="B461" s="1345" t="s">
        <v>5154</v>
      </c>
      <c r="C461" s="1346" t="s">
        <v>12677</v>
      </c>
      <c r="D461" s="1346" t="s">
        <v>1932</v>
      </c>
      <c r="E461" s="1346" t="s">
        <v>12155</v>
      </c>
      <c r="F461" s="1346" t="s">
        <v>11931</v>
      </c>
      <c r="G461" s="1345" t="s">
        <v>60</v>
      </c>
      <c r="H461" s="1345" t="s">
        <v>616</v>
      </c>
      <c r="I461" s="1349" t="s">
        <v>137</v>
      </c>
      <c r="J461" s="1350"/>
      <c r="K461" s="1348">
        <v>1507000.0</v>
      </c>
    </row>
    <row r="462">
      <c r="A462" s="1344" t="s">
        <v>12678</v>
      </c>
      <c r="B462" s="1345" t="s">
        <v>5154</v>
      </c>
      <c r="C462" s="1346" t="s">
        <v>5154</v>
      </c>
      <c r="D462" s="1346" t="s">
        <v>615</v>
      </c>
      <c r="E462" s="1346" t="s">
        <v>11943</v>
      </c>
      <c r="F462" s="1346" t="s">
        <v>11969</v>
      </c>
      <c r="G462" s="1345" t="s">
        <v>140</v>
      </c>
      <c r="H462" s="1345" t="s">
        <v>616</v>
      </c>
      <c r="I462" s="1349" t="s">
        <v>152</v>
      </c>
      <c r="J462" s="1350"/>
      <c r="K462" s="1348">
        <v>884000.0</v>
      </c>
    </row>
    <row r="463">
      <c r="A463" s="1344" t="s">
        <v>12679</v>
      </c>
      <c r="B463" s="1345" t="s">
        <v>12680</v>
      </c>
      <c r="C463" s="1346" t="s">
        <v>5154</v>
      </c>
      <c r="D463" s="1346" t="s">
        <v>617</v>
      </c>
      <c r="E463" s="1346" t="s">
        <v>11943</v>
      </c>
      <c r="F463" s="1346" t="s">
        <v>11969</v>
      </c>
      <c r="G463" s="1345" t="s">
        <v>142</v>
      </c>
      <c r="H463" s="1345" t="s">
        <v>616</v>
      </c>
      <c r="I463" s="1349" t="s">
        <v>152</v>
      </c>
      <c r="J463" s="1350"/>
      <c r="K463" s="1348">
        <v>884000.0</v>
      </c>
    </row>
    <row r="464">
      <c r="A464" s="1344" t="s">
        <v>12681</v>
      </c>
      <c r="B464" s="1345" t="s">
        <v>12682</v>
      </c>
      <c r="C464" s="1346" t="s">
        <v>5154</v>
      </c>
      <c r="D464" s="1346" t="s">
        <v>618</v>
      </c>
      <c r="E464" s="1346" t="s">
        <v>11940</v>
      </c>
      <c r="F464" s="1346" t="s">
        <v>11944</v>
      </c>
      <c r="G464" s="1345" t="s">
        <v>62</v>
      </c>
      <c r="H464" s="1345" t="s">
        <v>619</v>
      </c>
      <c r="I464" s="1349" t="s">
        <v>1442</v>
      </c>
      <c r="J464" s="1350"/>
      <c r="K464" s="1348">
        <v>1961000.0</v>
      </c>
    </row>
    <row r="465">
      <c r="A465" s="1344" t="s">
        <v>12683</v>
      </c>
      <c r="B465" s="1345" t="s">
        <v>12684</v>
      </c>
      <c r="C465" s="1346" t="s">
        <v>5154</v>
      </c>
      <c r="D465" s="1346" t="s">
        <v>620</v>
      </c>
      <c r="E465" s="1346" t="s">
        <v>11943</v>
      </c>
      <c r="F465" s="1346" t="s">
        <v>11931</v>
      </c>
      <c r="G465" s="1345" t="s">
        <v>60</v>
      </c>
      <c r="H465" s="1345" t="s">
        <v>621</v>
      </c>
      <c r="I465" s="1349" t="s">
        <v>137</v>
      </c>
      <c r="J465" s="1350"/>
      <c r="K465" s="1348">
        <v>1233000.0</v>
      </c>
    </row>
    <row r="466">
      <c r="A466" s="1344" t="s">
        <v>12685</v>
      </c>
      <c r="B466" s="1345" t="s">
        <v>5154</v>
      </c>
      <c r="C466" s="1346" t="s">
        <v>5154</v>
      </c>
      <c r="D466" s="1346" t="s">
        <v>622</v>
      </c>
      <c r="E466" s="1346" t="s">
        <v>11943</v>
      </c>
      <c r="F466" s="1346" t="s">
        <v>11944</v>
      </c>
      <c r="G466" s="1345" t="s">
        <v>62</v>
      </c>
      <c r="H466" s="1345" t="s">
        <v>623</v>
      </c>
      <c r="I466" s="1349" t="s">
        <v>1442</v>
      </c>
      <c r="J466" s="1350"/>
      <c r="K466" s="1348">
        <v>1714000.0</v>
      </c>
    </row>
    <row r="467">
      <c r="A467" s="1344" t="s">
        <v>12686</v>
      </c>
      <c r="B467" s="1345" t="s">
        <v>12687</v>
      </c>
      <c r="C467" s="1346" t="s">
        <v>5154</v>
      </c>
      <c r="D467" s="1346" t="s">
        <v>624</v>
      </c>
      <c r="E467" s="1346" t="s">
        <v>11940</v>
      </c>
      <c r="F467" s="1346" t="s">
        <v>11931</v>
      </c>
      <c r="G467" s="1345" t="s">
        <v>60</v>
      </c>
      <c r="H467" s="1345" t="s">
        <v>625</v>
      </c>
      <c r="I467" s="1349" t="s">
        <v>137</v>
      </c>
      <c r="J467" s="1350"/>
      <c r="K467" s="1348">
        <v>1765000.0</v>
      </c>
    </row>
    <row r="468">
      <c r="A468" s="1344" t="s">
        <v>12688</v>
      </c>
      <c r="B468" s="1345" t="s">
        <v>12689</v>
      </c>
      <c r="C468" s="1346" t="s">
        <v>5154</v>
      </c>
      <c r="D468" s="1346" t="s">
        <v>626</v>
      </c>
      <c r="E468" s="1346" t="s">
        <v>11940</v>
      </c>
      <c r="F468" s="1346" t="s">
        <v>11944</v>
      </c>
      <c r="G468" s="1345" t="s">
        <v>62</v>
      </c>
      <c r="H468" s="1349" t="s">
        <v>627</v>
      </c>
      <c r="I468" s="1349" t="s">
        <v>1437</v>
      </c>
      <c r="J468" s="1350"/>
      <c r="K468" s="1348">
        <v>1928000.0</v>
      </c>
    </row>
    <row r="469">
      <c r="A469" s="1344" t="s">
        <v>12690</v>
      </c>
      <c r="B469" s="1345" t="s">
        <v>12691</v>
      </c>
      <c r="C469" s="1346" t="s">
        <v>5154</v>
      </c>
      <c r="D469" s="1346" t="s">
        <v>628</v>
      </c>
      <c r="E469" s="1346" t="s">
        <v>11940</v>
      </c>
      <c r="F469" s="1346" t="s">
        <v>11931</v>
      </c>
      <c r="G469" s="1345" t="s">
        <v>60</v>
      </c>
      <c r="H469" s="1345" t="s">
        <v>629</v>
      </c>
      <c r="I469" s="1349" t="s">
        <v>137</v>
      </c>
      <c r="J469" s="1350"/>
      <c r="K469" s="1348">
        <v>1934000.0</v>
      </c>
    </row>
    <row r="470">
      <c r="A470" s="1344" t="s">
        <v>12692</v>
      </c>
      <c r="B470" s="1345" t="s">
        <v>12693</v>
      </c>
      <c r="C470" s="1346" t="s">
        <v>5154</v>
      </c>
      <c r="D470" s="1346" t="s">
        <v>630</v>
      </c>
      <c r="E470" s="1346" t="s">
        <v>11940</v>
      </c>
      <c r="F470" s="1346" t="s">
        <v>11944</v>
      </c>
      <c r="G470" s="1345" t="s">
        <v>62</v>
      </c>
      <c r="H470" s="1345" t="s">
        <v>629</v>
      </c>
      <c r="I470" s="1349" t="s">
        <v>1437</v>
      </c>
      <c r="J470" s="1350"/>
      <c r="K470" s="1348">
        <v>2410000.0</v>
      </c>
    </row>
    <row r="471">
      <c r="A471" s="1344" t="s">
        <v>12694</v>
      </c>
      <c r="B471" s="1345" t="s">
        <v>12695</v>
      </c>
      <c r="C471" s="1346" t="s">
        <v>5154</v>
      </c>
      <c r="D471" s="1346" t="s">
        <v>631</v>
      </c>
      <c r="E471" s="1346" t="s">
        <v>11940</v>
      </c>
      <c r="F471" s="1346" t="s">
        <v>11969</v>
      </c>
      <c r="G471" s="1345" t="s">
        <v>140</v>
      </c>
      <c r="H471" s="1345" t="s">
        <v>629</v>
      </c>
      <c r="I471" s="1350"/>
      <c r="J471" s="1350"/>
      <c r="K471" s="1348">
        <v>925000.0</v>
      </c>
    </row>
    <row r="472">
      <c r="A472" s="1344" t="s">
        <v>12696</v>
      </c>
      <c r="B472" s="1345" t="s">
        <v>12697</v>
      </c>
      <c r="C472" s="1346" t="s">
        <v>5154</v>
      </c>
      <c r="D472" s="1346" t="s">
        <v>632</v>
      </c>
      <c r="E472" s="1346" t="s">
        <v>11940</v>
      </c>
      <c r="F472" s="1346" t="s">
        <v>11969</v>
      </c>
      <c r="G472" s="1345" t="s">
        <v>142</v>
      </c>
      <c r="H472" s="1345" t="s">
        <v>629</v>
      </c>
      <c r="I472" s="1350"/>
      <c r="J472" s="1350"/>
      <c r="K472" s="1348">
        <v>925000.0</v>
      </c>
    </row>
    <row r="473">
      <c r="A473" s="1344" t="s">
        <v>12698</v>
      </c>
      <c r="B473" s="1345" t="s">
        <v>12699</v>
      </c>
      <c r="C473" s="1346" t="s">
        <v>5154</v>
      </c>
      <c r="D473" s="1346" t="s">
        <v>633</v>
      </c>
      <c r="E473" s="1346" t="s">
        <v>11943</v>
      </c>
      <c r="F473" s="1346" t="s">
        <v>11969</v>
      </c>
      <c r="G473" s="1345" t="s">
        <v>144</v>
      </c>
      <c r="H473" s="1345" t="s">
        <v>629</v>
      </c>
      <c r="I473" s="1350"/>
      <c r="J473" s="1350"/>
      <c r="K473" s="1348">
        <v>925000.0</v>
      </c>
    </row>
    <row r="474">
      <c r="A474" s="1344" t="s">
        <v>12700</v>
      </c>
      <c r="B474" s="1345" t="s">
        <v>12701</v>
      </c>
      <c r="C474" s="1346" t="s">
        <v>5154</v>
      </c>
      <c r="D474" s="1346" t="s">
        <v>634</v>
      </c>
      <c r="E474" s="1346" t="s">
        <v>11943</v>
      </c>
      <c r="F474" s="1346" t="s">
        <v>11969</v>
      </c>
      <c r="G474" s="1345" t="s">
        <v>146</v>
      </c>
      <c r="H474" s="1345" t="s">
        <v>629</v>
      </c>
      <c r="I474" s="1350"/>
      <c r="J474" s="1350"/>
      <c r="K474" s="1348">
        <v>925000.0</v>
      </c>
    </row>
    <row r="475">
      <c r="A475" s="1344" t="s">
        <v>5154</v>
      </c>
      <c r="B475" s="1345" t="s">
        <v>12702</v>
      </c>
      <c r="C475" s="1346" t="s">
        <v>5154</v>
      </c>
      <c r="D475" s="1346" t="s">
        <v>1498</v>
      </c>
      <c r="E475" s="1346" t="s">
        <v>11930</v>
      </c>
      <c r="F475" s="1346" t="s">
        <v>11931</v>
      </c>
      <c r="G475" s="1345" t="s">
        <v>60</v>
      </c>
      <c r="H475" s="1345" t="s">
        <v>1499</v>
      </c>
      <c r="I475" s="1349" t="s">
        <v>745</v>
      </c>
      <c r="J475" s="1350"/>
      <c r="K475" s="1348">
        <v>3650000.0</v>
      </c>
    </row>
    <row r="476">
      <c r="A476" s="1344" t="s">
        <v>5154</v>
      </c>
      <c r="B476" s="1345" t="s">
        <v>12703</v>
      </c>
      <c r="C476" s="1346" t="s">
        <v>5154</v>
      </c>
      <c r="D476" s="1346" t="s">
        <v>1500</v>
      </c>
      <c r="E476" s="1346" t="s">
        <v>11930</v>
      </c>
      <c r="F476" s="1346" t="s">
        <v>11944</v>
      </c>
      <c r="G476" s="1345" t="s">
        <v>62</v>
      </c>
      <c r="H476" s="1345" t="s">
        <v>1499</v>
      </c>
      <c r="I476" s="1349" t="s">
        <v>1442</v>
      </c>
      <c r="J476" s="1350"/>
      <c r="K476" s="1348">
        <v>2850000.0</v>
      </c>
    </row>
    <row r="477">
      <c r="A477" s="1344" t="s">
        <v>12704</v>
      </c>
      <c r="B477" s="1345" t="s">
        <v>12705</v>
      </c>
      <c r="C477" s="1346" t="s">
        <v>5154</v>
      </c>
      <c r="D477" s="1346" t="s">
        <v>635</v>
      </c>
      <c r="E477" s="1346" t="s">
        <v>11940</v>
      </c>
      <c r="F477" s="1346" t="s">
        <v>11931</v>
      </c>
      <c r="G477" s="1345" t="s">
        <v>60</v>
      </c>
      <c r="H477" s="1345" t="s">
        <v>636</v>
      </c>
      <c r="I477" s="1349" t="s">
        <v>137</v>
      </c>
      <c r="J477" s="1350"/>
      <c r="K477" s="1348">
        <v>1971000.0</v>
      </c>
    </row>
    <row r="478">
      <c r="A478" s="1344" t="s">
        <v>12706</v>
      </c>
      <c r="B478" s="1345" t="s">
        <v>5154</v>
      </c>
      <c r="C478" s="1346" t="s">
        <v>5154</v>
      </c>
      <c r="D478" s="1346" t="s">
        <v>637</v>
      </c>
      <c r="E478" s="1346" t="s">
        <v>11943</v>
      </c>
      <c r="F478" s="1346" t="s">
        <v>11944</v>
      </c>
      <c r="G478" s="1345" t="s">
        <v>62</v>
      </c>
      <c r="H478" s="1345" t="s">
        <v>638</v>
      </c>
      <c r="I478" s="1349" t="s">
        <v>1442</v>
      </c>
      <c r="J478" s="1350"/>
      <c r="K478" s="1348">
        <v>2249000.0</v>
      </c>
    </row>
    <row r="479">
      <c r="A479" s="1344" t="s">
        <v>5154</v>
      </c>
      <c r="B479" s="1345" t="s">
        <v>12707</v>
      </c>
      <c r="C479" s="1346" t="s">
        <v>5154</v>
      </c>
      <c r="D479" s="1351" t="s">
        <v>1382</v>
      </c>
      <c r="E479" s="1346" t="s">
        <v>11930</v>
      </c>
      <c r="F479" s="1346" t="s">
        <v>11931</v>
      </c>
      <c r="G479" s="1345" t="s">
        <v>60</v>
      </c>
      <c r="H479" s="1345" t="s">
        <v>1383</v>
      </c>
      <c r="I479" s="1349" t="s">
        <v>137</v>
      </c>
      <c r="J479" s="1350"/>
      <c r="K479" s="1348">
        <v>1950000.0</v>
      </c>
    </row>
    <row r="480">
      <c r="A480" s="1344" t="s">
        <v>5154</v>
      </c>
      <c r="B480" s="1345" t="s">
        <v>12708</v>
      </c>
      <c r="C480" s="1346" t="s">
        <v>5154</v>
      </c>
      <c r="D480" s="1346" t="s">
        <v>2605</v>
      </c>
      <c r="E480" s="1346" t="s">
        <v>11930</v>
      </c>
      <c r="F480" s="1351" t="s">
        <v>11944</v>
      </c>
      <c r="G480" s="1349" t="s">
        <v>62</v>
      </c>
      <c r="H480" s="1349" t="s">
        <v>1383</v>
      </c>
      <c r="I480" s="1349" t="s">
        <v>1437</v>
      </c>
      <c r="J480" s="1350"/>
      <c r="K480" s="1348">
        <v>1650000.0</v>
      </c>
    </row>
    <row r="481">
      <c r="A481" s="1344" t="s">
        <v>5154</v>
      </c>
      <c r="B481" s="1345" t="s">
        <v>12709</v>
      </c>
      <c r="C481" s="1346" t="s">
        <v>5154</v>
      </c>
      <c r="D481" s="1346" t="s">
        <v>1448</v>
      </c>
      <c r="E481" s="1346" t="s">
        <v>11930</v>
      </c>
      <c r="F481" s="1351" t="s">
        <v>11931</v>
      </c>
      <c r="G481" s="1345" t="s">
        <v>60</v>
      </c>
      <c r="H481" s="1345" t="s">
        <v>1449</v>
      </c>
      <c r="I481" s="1349" t="s">
        <v>137</v>
      </c>
      <c r="J481" s="1350"/>
      <c r="K481" s="1348">
        <v>1650000.0</v>
      </c>
    </row>
    <row r="482">
      <c r="A482" s="1344" t="s">
        <v>5154</v>
      </c>
      <c r="B482" s="1345" t="s">
        <v>12710</v>
      </c>
      <c r="C482" s="1346" t="s">
        <v>5154</v>
      </c>
      <c r="D482" s="1346" t="s">
        <v>1502</v>
      </c>
      <c r="E482" s="1346" t="s">
        <v>11930</v>
      </c>
      <c r="F482" s="1346" t="s">
        <v>11944</v>
      </c>
      <c r="G482" s="1345" t="s">
        <v>62</v>
      </c>
      <c r="H482" s="1345" t="s">
        <v>1449</v>
      </c>
      <c r="I482" s="1349" t="s">
        <v>546</v>
      </c>
      <c r="J482" s="1350"/>
      <c r="K482" s="1348">
        <v>1200000.0</v>
      </c>
    </row>
    <row r="483">
      <c r="A483" s="1344" t="s">
        <v>12711</v>
      </c>
      <c r="B483" s="1345" t="s">
        <v>12712</v>
      </c>
      <c r="C483" s="1346" t="s">
        <v>5154</v>
      </c>
      <c r="D483" s="1346" t="s">
        <v>639</v>
      </c>
      <c r="E483" s="1346" t="s">
        <v>11940</v>
      </c>
      <c r="F483" s="1346" t="s">
        <v>11931</v>
      </c>
      <c r="G483" s="1345" t="s">
        <v>60</v>
      </c>
      <c r="H483" s="1345" t="s">
        <v>640</v>
      </c>
      <c r="I483" s="1349" t="s">
        <v>137</v>
      </c>
      <c r="J483" s="1350"/>
      <c r="K483" s="1348">
        <v>2101000.0</v>
      </c>
    </row>
    <row r="484">
      <c r="A484" s="1344" t="s">
        <v>12713</v>
      </c>
      <c r="B484" s="1345" t="s">
        <v>5154</v>
      </c>
      <c r="C484" s="1346" t="s">
        <v>5154</v>
      </c>
      <c r="D484" s="1346" t="s">
        <v>641</v>
      </c>
      <c r="E484" s="1346" t="s">
        <v>11943</v>
      </c>
      <c r="F484" s="1346" t="s">
        <v>11944</v>
      </c>
      <c r="G484" s="1345" t="s">
        <v>62</v>
      </c>
      <c r="H484" s="1345" t="s">
        <v>640</v>
      </c>
      <c r="I484" s="1349" t="s">
        <v>1437</v>
      </c>
      <c r="J484" s="1350"/>
      <c r="K484" s="1348">
        <v>2181000.0</v>
      </c>
    </row>
    <row r="485">
      <c r="A485" s="1344" t="s">
        <v>5154</v>
      </c>
      <c r="B485" s="1345" t="s">
        <v>12714</v>
      </c>
      <c r="C485" s="1346" t="s">
        <v>5154</v>
      </c>
      <c r="D485" s="1346" t="s">
        <v>12715</v>
      </c>
      <c r="E485" s="1346" t="s">
        <v>11930</v>
      </c>
      <c r="F485" s="1351" t="s">
        <v>11931</v>
      </c>
      <c r="G485" s="1349" t="s">
        <v>60</v>
      </c>
      <c r="H485" s="1345" t="s">
        <v>1504</v>
      </c>
      <c r="I485" s="1349" t="s">
        <v>137</v>
      </c>
      <c r="J485" s="1350"/>
      <c r="K485" s="1348">
        <v>2000000.0</v>
      </c>
    </row>
    <row r="486">
      <c r="A486" s="1344" t="s">
        <v>12716</v>
      </c>
      <c r="B486" s="1345" t="s">
        <v>12717</v>
      </c>
      <c r="C486" s="1346" t="s">
        <v>5154</v>
      </c>
      <c r="D486" s="1346" t="s">
        <v>642</v>
      </c>
      <c r="E486" s="1346" t="s">
        <v>11940</v>
      </c>
      <c r="F486" s="1346" t="s">
        <v>11931</v>
      </c>
      <c r="G486" s="1345" t="s">
        <v>60</v>
      </c>
      <c r="H486" s="1345" t="s">
        <v>643</v>
      </c>
      <c r="I486" s="1349" t="s">
        <v>137</v>
      </c>
      <c r="J486" s="1350"/>
      <c r="K486" s="1348">
        <v>3361000.0</v>
      </c>
    </row>
    <row r="487">
      <c r="A487" s="1344" t="s">
        <v>12718</v>
      </c>
      <c r="B487" s="1345" t="s">
        <v>12719</v>
      </c>
      <c r="C487" s="1346" t="s">
        <v>5154</v>
      </c>
      <c r="D487" s="1346" t="s">
        <v>644</v>
      </c>
      <c r="E487" s="1346" t="s">
        <v>11940</v>
      </c>
      <c r="F487" s="1346" t="s">
        <v>11969</v>
      </c>
      <c r="G487" s="1345" t="s">
        <v>140</v>
      </c>
      <c r="H487" s="1345" t="s">
        <v>643</v>
      </c>
      <c r="I487" s="1350"/>
      <c r="J487" s="1350"/>
      <c r="K487" s="1348">
        <v>869000.0</v>
      </c>
    </row>
    <row r="488">
      <c r="A488" s="1344" t="s">
        <v>12720</v>
      </c>
      <c r="B488" s="1345" t="s">
        <v>5154</v>
      </c>
      <c r="C488" s="1346" t="s">
        <v>5154</v>
      </c>
      <c r="D488" s="1346" t="s">
        <v>645</v>
      </c>
      <c r="E488" s="1346" t="s">
        <v>11943</v>
      </c>
      <c r="F488" s="1346" t="s">
        <v>11969</v>
      </c>
      <c r="G488" s="1345" t="s">
        <v>142</v>
      </c>
      <c r="H488" s="1345" t="s">
        <v>643</v>
      </c>
      <c r="I488" s="1350"/>
      <c r="J488" s="1350"/>
      <c r="K488" s="1348">
        <v>869000.0</v>
      </c>
    </row>
    <row r="489">
      <c r="A489" s="1344" t="s">
        <v>12721</v>
      </c>
      <c r="B489" s="1345" t="s">
        <v>5154</v>
      </c>
      <c r="C489" s="1346" t="s">
        <v>5154</v>
      </c>
      <c r="D489" s="1346" t="s">
        <v>646</v>
      </c>
      <c r="E489" s="1346" t="s">
        <v>11943</v>
      </c>
      <c r="F489" s="1346" t="s">
        <v>11969</v>
      </c>
      <c r="G489" s="1345" t="s">
        <v>144</v>
      </c>
      <c r="H489" s="1345" t="s">
        <v>643</v>
      </c>
      <c r="I489" s="1350"/>
      <c r="J489" s="1350"/>
      <c r="K489" s="1348">
        <v>869000.0</v>
      </c>
    </row>
    <row r="490">
      <c r="A490" s="1344" t="s">
        <v>12722</v>
      </c>
      <c r="B490" s="1345" t="s">
        <v>12723</v>
      </c>
      <c r="C490" s="1346" t="s">
        <v>5154</v>
      </c>
      <c r="D490" s="1346" t="s">
        <v>647</v>
      </c>
      <c r="E490" s="1346" t="s">
        <v>11940</v>
      </c>
      <c r="F490" s="1346" t="s">
        <v>11969</v>
      </c>
      <c r="G490" s="1345" t="s">
        <v>146</v>
      </c>
      <c r="H490" s="1345" t="s">
        <v>643</v>
      </c>
      <c r="I490" s="1350"/>
      <c r="J490" s="1350"/>
      <c r="K490" s="1348">
        <v>869000.0</v>
      </c>
    </row>
    <row r="491">
      <c r="A491" s="1344" t="s">
        <v>12724</v>
      </c>
      <c r="B491" s="1345" t="s">
        <v>12725</v>
      </c>
      <c r="C491" s="1346" t="s">
        <v>5154</v>
      </c>
      <c r="D491" s="1346" t="s">
        <v>648</v>
      </c>
      <c r="E491" s="1346" t="s">
        <v>11940</v>
      </c>
      <c r="F491" s="1346" t="s">
        <v>11944</v>
      </c>
      <c r="G491" s="1345" t="s">
        <v>62</v>
      </c>
      <c r="H491" s="1345" t="s">
        <v>649</v>
      </c>
      <c r="I491" s="1349" t="s">
        <v>1437</v>
      </c>
      <c r="J491" s="1350"/>
      <c r="K491" s="1348">
        <v>2570000.0</v>
      </c>
    </row>
    <row r="492">
      <c r="A492" s="1344" t="s">
        <v>5154</v>
      </c>
      <c r="B492" s="1345" t="s">
        <v>12726</v>
      </c>
      <c r="C492" s="1346" t="s">
        <v>5154</v>
      </c>
      <c r="D492" s="1346" t="s">
        <v>1505</v>
      </c>
      <c r="E492" s="1346" t="s">
        <v>11930</v>
      </c>
      <c r="F492" s="1346" t="s">
        <v>11944</v>
      </c>
      <c r="G492" s="1345" t="s">
        <v>62</v>
      </c>
      <c r="H492" s="1345" t="s">
        <v>1506</v>
      </c>
      <c r="I492" s="1349" t="s">
        <v>1437</v>
      </c>
      <c r="J492" s="1350"/>
      <c r="K492" s="1348">
        <v>2708000.0</v>
      </c>
    </row>
    <row r="493">
      <c r="A493" s="1344" t="s">
        <v>12727</v>
      </c>
      <c r="B493" s="1345" t="s">
        <v>5154</v>
      </c>
      <c r="C493" s="1346" t="s">
        <v>5154</v>
      </c>
      <c r="D493" s="1346" t="s">
        <v>650</v>
      </c>
      <c r="E493" s="1346" t="s">
        <v>11943</v>
      </c>
      <c r="F493" s="1346" t="s">
        <v>11931</v>
      </c>
      <c r="G493" s="1345" t="s">
        <v>60</v>
      </c>
      <c r="H493" s="1345" t="s">
        <v>651</v>
      </c>
      <c r="I493" s="1349" t="s">
        <v>90</v>
      </c>
      <c r="J493" s="1350"/>
      <c r="K493" s="1348">
        <v>3026000.0</v>
      </c>
    </row>
    <row r="494">
      <c r="A494" s="1344" t="s">
        <v>12728</v>
      </c>
      <c r="B494" s="1345" t="s">
        <v>5154</v>
      </c>
      <c r="C494" s="1346" t="s">
        <v>5154</v>
      </c>
      <c r="D494" s="1346" t="s">
        <v>652</v>
      </c>
      <c r="E494" s="1346" t="s">
        <v>11943</v>
      </c>
      <c r="F494" s="1346" t="s">
        <v>11944</v>
      </c>
      <c r="G494" s="1345" t="s">
        <v>62</v>
      </c>
      <c r="H494" s="1345" t="s">
        <v>651</v>
      </c>
      <c r="I494" s="1349" t="s">
        <v>1437</v>
      </c>
      <c r="J494" s="1350"/>
      <c r="K494" s="1348">
        <v>2892000.0</v>
      </c>
    </row>
    <row r="495">
      <c r="A495" s="1344" t="s">
        <v>12729</v>
      </c>
      <c r="B495" s="1345" t="s">
        <v>5154</v>
      </c>
      <c r="C495" s="1346" t="s">
        <v>5154</v>
      </c>
      <c r="D495" s="1346" t="s">
        <v>653</v>
      </c>
      <c r="E495" s="1346" t="s">
        <v>11943</v>
      </c>
      <c r="F495" s="1346" t="s">
        <v>11969</v>
      </c>
      <c r="G495" s="1345" t="s">
        <v>142</v>
      </c>
      <c r="H495" s="1345" t="s">
        <v>651</v>
      </c>
      <c r="I495" s="1350"/>
      <c r="J495" s="1350"/>
      <c r="K495" s="1348">
        <v>966000.0</v>
      </c>
    </row>
    <row r="496">
      <c r="A496" s="1344" t="s">
        <v>12730</v>
      </c>
      <c r="B496" s="1345" t="s">
        <v>5154</v>
      </c>
      <c r="C496" s="1346" t="s">
        <v>5154</v>
      </c>
      <c r="D496" s="1346" t="s">
        <v>654</v>
      </c>
      <c r="E496" s="1346" t="s">
        <v>11943</v>
      </c>
      <c r="F496" s="1346" t="s">
        <v>11969</v>
      </c>
      <c r="G496" s="1345" t="s">
        <v>144</v>
      </c>
      <c r="H496" s="1345" t="s">
        <v>651</v>
      </c>
      <c r="I496" s="1350"/>
      <c r="J496" s="1350"/>
      <c r="K496" s="1348">
        <v>966000.0</v>
      </c>
    </row>
    <row r="497">
      <c r="A497" s="1344" t="s">
        <v>12731</v>
      </c>
      <c r="B497" s="1345" t="s">
        <v>5154</v>
      </c>
      <c r="C497" s="1346" t="s">
        <v>5154</v>
      </c>
      <c r="D497" s="1346" t="s">
        <v>655</v>
      </c>
      <c r="E497" s="1346" t="s">
        <v>11943</v>
      </c>
      <c r="F497" s="1346" t="s">
        <v>11969</v>
      </c>
      <c r="G497" s="1345" t="s">
        <v>146</v>
      </c>
      <c r="H497" s="1345" t="s">
        <v>651</v>
      </c>
      <c r="I497" s="1350"/>
      <c r="J497" s="1350"/>
      <c r="K497" s="1348">
        <v>966000.0</v>
      </c>
    </row>
    <row r="498">
      <c r="A498" s="1344" t="s">
        <v>5154</v>
      </c>
      <c r="B498" s="1345" t="s">
        <v>5154</v>
      </c>
      <c r="C498" s="1346" t="s">
        <v>12732</v>
      </c>
      <c r="D498" s="1346" t="s">
        <v>1942</v>
      </c>
      <c r="E498" s="1346" t="s">
        <v>12155</v>
      </c>
      <c r="F498" s="1346" t="s">
        <v>11931</v>
      </c>
      <c r="G498" s="1345" t="s">
        <v>60</v>
      </c>
      <c r="H498" s="1345" t="s">
        <v>657</v>
      </c>
      <c r="I498" s="1349" t="s">
        <v>109</v>
      </c>
      <c r="J498" s="1350"/>
      <c r="K498" s="1348">
        <v>1150000.0</v>
      </c>
    </row>
    <row r="499">
      <c r="A499" s="1344" t="s">
        <v>12733</v>
      </c>
      <c r="B499" s="1345" t="s">
        <v>5154</v>
      </c>
      <c r="C499" s="1346" t="s">
        <v>5154</v>
      </c>
      <c r="D499" s="1346" t="s">
        <v>656</v>
      </c>
      <c r="E499" s="1346" t="s">
        <v>11943</v>
      </c>
      <c r="F499" s="1346" t="s">
        <v>11944</v>
      </c>
      <c r="G499" s="1345" t="s">
        <v>62</v>
      </c>
      <c r="H499" s="1345" t="s">
        <v>657</v>
      </c>
      <c r="I499" s="1349" t="s">
        <v>1442</v>
      </c>
      <c r="J499" s="1350"/>
      <c r="K499" s="1348">
        <v>2313000.0</v>
      </c>
    </row>
    <row r="500">
      <c r="A500" s="1344" t="s">
        <v>5154</v>
      </c>
      <c r="B500" s="1345" t="s">
        <v>5154</v>
      </c>
      <c r="C500" s="1346" t="s">
        <v>12734</v>
      </c>
      <c r="D500" s="1346" t="s">
        <v>1939</v>
      </c>
      <c r="E500" s="1346" t="s">
        <v>12155</v>
      </c>
      <c r="F500" s="1346" t="s">
        <v>11931</v>
      </c>
      <c r="G500" s="1345" t="s">
        <v>60</v>
      </c>
      <c r="H500" s="1345" t="s">
        <v>1940</v>
      </c>
      <c r="I500" s="1349" t="s">
        <v>137</v>
      </c>
      <c r="J500" s="1350"/>
      <c r="K500" s="1348">
        <v>1619000.0</v>
      </c>
    </row>
    <row r="501">
      <c r="A501" s="1344" t="s">
        <v>12735</v>
      </c>
      <c r="B501" s="1345" t="s">
        <v>12736</v>
      </c>
      <c r="C501" s="1346" t="s">
        <v>5154</v>
      </c>
      <c r="D501" s="1346" t="s">
        <v>658</v>
      </c>
      <c r="E501" s="1346" t="s">
        <v>11940</v>
      </c>
      <c r="F501" s="1346" t="s">
        <v>11931</v>
      </c>
      <c r="G501" s="1345" t="s">
        <v>60</v>
      </c>
      <c r="H501" s="1345" t="s">
        <v>659</v>
      </c>
      <c r="I501" s="1349" t="s">
        <v>109</v>
      </c>
      <c r="J501" s="1350"/>
      <c r="K501" s="1348">
        <v>1209000.0</v>
      </c>
    </row>
    <row r="502">
      <c r="A502" s="1344" t="s">
        <v>12737</v>
      </c>
      <c r="B502" s="1345" t="s">
        <v>12738</v>
      </c>
      <c r="C502" s="1346" t="s">
        <v>5154</v>
      </c>
      <c r="D502" s="1346" t="s">
        <v>660</v>
      </c>
      <c r="E502" s="1346" t="s">
        <v>11940</v>
      </c>
      <c r="F502" s="1346" t="s">
        <v>11944</v>
      </c>
      <c r="G502" s="1345" t="s">
        <v>62</v>
      </c>
      <c r="H502" s="1345" t="s">
        <v>659</v>
      </c>
      <c r="I502" s="1349" t="s">
        <v>1442</v>
      </c>
      <c r="J502" s="1350"/>
      <c r="K502" s="1348">
        <v>1832000.0</v>
      </c>
    </row>
    <row r="503">
      <c r="A503" s="1341" t="s">
        <v>12739</v>
      </c>
      <c r="B503" s="1342" t="s">
        <v>12739</v>
      </c>
      <c r="C503" s="1343"/>
      <c r="D503" s="1343"/>
      <c r="E503" s="1343"/>
      <c r="F503" s="1343"/>
      <c r="G503" s="1343"/>
      <c r="H503" s="1342" t="s">
        <v>12739</v>
      </c>
      <c r="I503" s="1343"/>
      <c r="J503" s="1343"/>
      <c r="K503" s="1343"/>
    </row>
    <row r="504">
      <c r="A504" s="1344" t="s">
        <v>5154</v>
      </c>
      <c r="B504" s="1345" t="s">
        <v>12740</v>
      </c>
      <c r="C504" s="1346" t="s">
        <v>5154</v>
      </c>
      <c r="D504" s="1346" t="s">
        <v>1507</v>
      </c>
      <c r="E504" s="1346" t="s">
        <v>11930</v>
      </c>
      <c r="F504" s="1346" t="s">
        <v>11931</v>
      </c>
      <c r="G504" s="1345" t="s">
        <v>60</v>
      </c>
      <c r="H504" s="1345" t="s">
        <v>12741</v>
      </c>
      <c r="I504" s="1349" t="s">
        <v>314</v>
      </c>
      <c r="J504" s="1350"/>
      <c r="K504" s="1348">
        <v>5051000.0</v>
      </c>
    </row>
    <row r="505">
      <c r="A505" s="1344" t="s">
        <v>12742</v>
      </c>
      <c r="B505" s="1345" t="s">
        <v>12743</v>
      </c>
      <c r="C505" s="1346" t="s">
        <v>5154</v>
      </c>
      <c r="D505" s="1346" t="s">
        <v>661</v>
      </c>
      <c r="E505" s="1346" t="s">
        <v>11943</v>
      </c>
      <c r="F505" s="1346" t="s">
        <v>11931</v>
      </c>
      <c r="G505" s="1345" t="s">
        <v>60</v>
      </c>
      <c r="H505" s="1345" t="s">
        <v>662</v>
      </c>
      <c r="I505" s="1349" t="s">
        <v>137</v>
      </c>
      <c r="J505" s="1350"/>
      <c r="K505" s="1348">
        <v>4032000.0</v>
      </c>
    </row>
    <row r="506">
      <c r="A506" s="1344" t="s">
        <v>12744</v>
      </c>
      <c r="B506" s="1345" t="s">
        <v>5154</v>
      </c>
      <c r="C506" s="1346" t="s">
        <v>5154</v>
      </c>
      <c r="D506" s="1346" t="s">
        <v>663</v>
      </c>
      <c r="E506" s="1346" t="s">
        <v>11943</v>
      </c>
      <c r="F506" s="1346" t="s">
        <v>11944</v>
      </c>
      <c r="G506" s="1345" t="s">
        <v>62</v>
      </c>
      <c r="H506" s="1345" t="s">
        <v>664</v>
      </c>
      <c r="I506" s="1349" t="s">
        <v>1442</v>
      </c>
      <c r="J506" s="1350"/>
      <c r="K506" s="1348">
        <v>3532000.0</v>
      </c>
    </row>
    <row r="507">
      <c r="A507" s="1344" t="s">
        <v>12745</v>
      </c>
      <c r="B507" s="1345" t="s">
        <v>12746</v>
      </c>
      <c r="C507" s="1346" t="s">
        <v>5154</v>
      </c>
      <c r="D507" s="1346" t="s">
        <v>665</v>
      </c>
      <c r="E507" s="1346" t="s">
        <v>11940</v>
      </c>
      <c r="F507" s="1346" t="s">
        <v>11931</v>
      </c>
      <c r="G507" s="1345" t="s">
        <v>60</v>
      </c>
      <c r="H507" s="1345" t="s">
        <v>666</v>
      </c>
      <c r="I507" s="1349" t="s">
        <v>90</v>
      </c>
      <c r="J507" s="1350"/>
      <c r="K507" s="1348">
        <v>4032000.0</v>
      </c>
    </row>
    <row r="508">
      <c r="A508" s="1344" t="s">
        <v>12747</v>
      </c>
      <c r="B508" s="1345" t="s">
        <v>12748</v>
      </c>
      <c r="C508" s="1346" t="s">
        <v>5154</v>
      </c>
      <c r="D508" s="1346" t="s">
        <v>667</v>
      </c>
      <c r="E508" s="1346" t="s">
        <v>11940</v>
      </c>
      <c r="F508" s="1346" t="s">
        <v>11931</v>
      </c>
      <c r="G508" s="1345" t="s">
        <v>60</v>
      </c>
      <c r="H508" s="1345" t="s">
        <v>666</v>
      </c>
      <c r="I508" s="1349" t="s">
        <v>137</v>
      </c>
      <c r="J508" s="1350"/>
      <c r="K508" s="1348">
        <v>3865000.0</v>
      </c>
    </row>
    <row r="509">
      <c r="A509" s="1344" t="s">
        <v>5154</v>
      </c>
      <c r="B509" s="1345" t="s">
        <v>12749</v>
      </c>
      <c r="C509" s="1346" t="s">
        <v>5154</v>
      </c>
      <c r="D509" s="1346" t="s">
        <v>668</v>
      </c>
      <c r="E509" s="1346" t="s">
        <v>11930</v>
      </c>
      <c r="F509" s="1346" t="s">
        <v>11944</v>
      </c>
      <c r="G509" s="1345" t="s">
        <v>62</v>
      </c>
      <c r="H509" s="1345" t="s">
        <v>12750</v>
      </c>
      <c r="I509" s="1349" t="s">
        <v>12751</v>
      </c>
      <c r="J509" s="1350"/>
      <c r="K509" s="1348">
        <v>3863000.0</v>
      </c>
    </row>
    <row r="510">
      <c r="A510" s="1344" t="s">
        <v>12752</v>
      </c>
      <c r="B510" s="1345" t="s">
        <v>5154</v>
      </c>
      <c r="C510" s="1346" t="s">
        <v>5154</v>
      </c>
      <c r="D510" s="1346" t="s">
        <v>671</v>
      </c>
      <c r="E510" s="1346" t="s">
        <v>11943</v>
      </c>
      <c r="F510" s="1346" t="s">
        <v>11944</v>
      </c>
      <c r="G510" s="1345" t="s">
        <v>62</v>
      </c>
      <c r="H510" s="1345" t="s">
        <v>672</v>
      </c>
      <c r="I510" s="1349" t="s">
        <v>12751</v>
      </c>
      <c r="J510" s="1350"/>
      <c r="K510" s="1348">
        <v>4336000.0</v>
      </c>
    </row>
    <row r="511">
      <c r="A511" s="1344" t="s">
        <v>12753</v>
      </c>
      <c r="B511" s="1345" t="s">
        <v>12754</v>
      </c>
      <c r="C511" s="1346" t="s">
        <v>5154</v>
      </c>
      <c r="D511" s="1346" t="s">
        <v>673</v>
      </c>
      <c r="E511" s="1346" t="s">
        <v>11940</v>
      </c>
      <c r="F511" s="1346" t="s">
        <v>11969</v>
      </c>
      <c r="G511" s="1345" t="s">
        <v>140</v>
      </c>
      <c r="H511" s="1345" t="s">
        <v>666</v>
      </c>
      <c r="I511" s="1350"/>
      <c r="J511" s="1350"/>
      <c r="K511" s="1348">
        <v>804000.0</v>
      </c>
    </row>
    <row r="512">
      <c r="A512" s="1344" t="s">
        <v>12755</v>
      </c>
      <c r="B512" s="1345" t="s">
        <v>12756</v>
      </c>
      <c r="C512" s="1346" t="s">
        <v>5154</v>
      </c>
      <c r="D512" s="1346" t="s">
        <v>674</v>
      </c>
      <c r="E512" s="1346" t="s">
        <v>11940</v>
      </c>
      <c r="F512" s="1346" t="s">
        <v>11969</v>
      </c>
      <c r="G512" s="1345" t="s">
        <v>142</v>
      </c>
      <c r="H512" s="1345" t="s">
        <v>666</v>
      </c>
      <c r="I512" s="1350"/>
      <c r="J512" s="1350"/>
      <c r="K512" s="1348">
        <v>804000.0</v>
      </c>
    </row>
    <row r="513">
      <c r="A513" s="1344" t="s">
        <v>12757</v>
      </c>
      <c r="B513" s="1345" t="s">
        <v>5154</v>
      </c>
      <c r="C513" s="1346" t="s">
        <v>5154</v>
      </c>
      <c r="D513" s="1346" t="s">
        <v>675</v>
      </c>
      <c r="E513" s="1346" t="s">
        <v>11943</v>
      </c>
      <c r="F513" s="1346" t="s">
        <v>11969</v>
      </c>
      <c r="G513" s="1345" t="s">
        <v>144</v>
      </c>
      <c r="H513" s="1345" t="s">
        <v>666</v>
      </c>
      <c r="I513" s="1350"/>
      <c r="J513" s="1350"/>
      <c r="K513" s="1348">
        <v>804000.0</v>
      </c>
    </row>
    <row r="514">
      <c r="A514" s="1344" t="s">
        <v>12758</v>
      </c>
      <c r="B514" s="1345" t="s">
        <v>12759</v>
      </c>
      <c r="C514" s="1346" t="s">
        <v>5154</v>
      </c>
      <c r="D514" s="1346" t="s">
        <v>676</v>
      </c>
      <c r="E514" s="1346" t="s">
        <v>11943</v>
      </c>
      <c r="F514" s="1346" t="s">
        <v>11969</v>
      </c>
      <c r="G514" s="1345" t="s">
        <v>146</v>
      </c>
      <c r="H514" s="1345" t="s">
        <v>666</v>
      </c>
      <c r="I514" s="1350"/>
      <c r="J514" s="1350"/>
      <c r="K514" s="1348">
        <v>804000.0</v>
      </c>
    </row>
    <row r="515">
      <c r="A515" s="1344" t="s">
        <v>12760</v>
      </c>
      <c r="B515" s="1345" t="s">
        <v>5154</v>
      </c>
      <c r="C515" s="1346" t="s">
        <v>5154</v>
      </c>
      <c r="D515" s="1346" t="s">
        <v>677</v>
      </c>
      <c r="E515" s="1346" t="s">
        <v>11943</v>
      </c>
      <c r="F515" s="1346" t="s">
        <v>11969</v>
      </c>
      <c r="G515" s="1345" t="s">
        <v>396</v>
      </c>
      <c r="H515" s="1345" t="s">
        <v>666</v>
      </c>
      <c r="I515" s="1350"/>
      <c r="J515" s="1350"/>
      <c r="K515" s="1348">
        <v>436000.0</v>
      </c>
    </row>
    <row r="516">
      <c r="A516" s="1344" t="s">
        <v>12761</v>
      </c>
      <c r="B516" s="1345" t="s">
        <v>5154</v>
      </c>
      <c r="C516" s="1346" t="s">
        <v>5154</v>
      </c>
      <c r="D516" s="1346" t="s">
        <v>678</v>
      </c>
      <c r="E516" s="1346" t="s">
        <v>11943</v>
      </c>
      <c r="F516" s="1346" t="s">
        <v>11969</v>
      </c>
      <c r="G516" s="1345" t="s">
        <v>398</v>
      </c>
      <c r="H516" s="1345" t="s">
        <v>666</v>
      </c>
      <c r="I516" s="1350"/>
      <c r="J516" s="1350"/>
      <c r="K516" s="1348">
        <v>436000.0</v>
      </c>
    </row>
    <row r="517">
      <c r="A517" s="1344" t="s">
        <v>12762</v>
      </c>
      <c r="B517" s="1345" t="s">
        <v>5154</v>
      </c>
      <c r="C517" s="1346" t="s">
        <v>5154</v>
      </c>
      <c r="D517" s="1346" t="s">
        <v>679</v>
      </c>
      <c r="E517" s="1346" t="s">
        <v>11943</v>
      </c>
      <c r="F517" s="1346" t="s">
        <v>11969</v>
      </c>
      <c r="G517" s="1345" t="s">
        <v>209</v>
      </c>
      <c r="H517" s="1345" t="s">
        <v>666</v>
      </c>
      <c r="I517" s="1349" t="s">
        <v>109</v>
      </c>
      <c r="J517" s="1350"/>
      <c r="K517" s="1348">
        <v>725000.0</v>
      </c>
    </row>
    <row r="518">
      <c r="A518" s="1344" t="s">
        <v>12763</v>
      </c>
      <c r="B518" s="1345" t="s">
        <v>5154</v>
      </c>
      <c r="C518" s="1346" t="s">
        <v>5154</v>
      </c>
      <c r="D518" s="1346" t="s">
        <v>680</v>
      </c>
      <c r="E518" s="1346" t="s">
        <v>11943</v>
      </c>
      <c r="F518" s="1346" t="s">
        <v>11969</v>
      </c>
      <c r="G518" s="1345" t="s">
        <v>243</v>
      </c>
      <c r="H518" s="1345" t="s">
        <v>666</v>
      </c>
      <c r="I518" s="1349" t="s">
        <v>109</v>
      </c>
      <c r="J518" s="1350"/>
      <c r="K518" s="1348">
        <v>725000.0</v>
      </c>
    </row>
    <row r="519">
      <c r="A519" s="1344" t="s">
        <v>12764</v>
      </c>
      <c r="B519" s="1345" t="s">
        <v>12765</v>
      </c>
      <c r="C519" s="1346" t="s">
        <v>5154</v>
      </c>
      <c r="D519" s="1346" t="s">
        <v>681</v>
      </c>
      <c r="E519" s="1346" t="s">
        <v>11940</v>
      </c>
      <c r="F519" s="1346" t="s">
        <v>11931</v>
      </c>
      <c r="G519" s="1345" t="s">
        <v>60</v>
      </c>
      <c r="H519" s="1345" t="s">
        <v>682</v>
      </c>
      <c r="I519" s="1349" t="s">
        <v>683</v>
      </c>
      <c r="J519" s="1350"/>
      <c r="K519" s="1348">
        <v>4202000.0</v>
      </c>
    </row>
    <row r="520">
      <c r="A520" s="1344" t="s">
        <v>12766</v>
      </c>
      <c r="B520" s="1345" t="s">
        <v>12767</v>
      </c>
      <c r="C520" s="1346" t="s">
        <v>5154</v>
      </c>
      <c r="D520" s="1346" t="s">
        <v>684</v>
      </c>
      <c r="E520" s="1346" t="s">
        <v>11943</v>
      </c>
      <c r="F520" s="1346" t="s">
        <v>11944</v>
      </c>
      <c r="G520" s="1345" t="s">
        <v>62</v>
      </c>
      <c r="H520" s="1345" t="s">
        <v>685</v>
      </c>
      <c r="I520" s="1349" t="s">
        <v>1509</v>
      </c>
      <c r="J520" s="1350"/>
      <c r="K520" s="1348">
        <v>4096000.0</v>
      </c>
    </row>
    <row r="521">
      <c r="A521" s="1344" t="s">
        <v>12768</v>
      </c>
      <c r="B521" s="1345" t="s">
        <v>12769</v>
      </c>
      <c r="C521" s="1346" t="s">
        <v>5154</v>
      </c>
      <c r="D521" s="1346" t="s">
        <v>1399</v>
      </c>
      <c r="E521" s="1346" t="s">
        <v>11940</v>
      </c>
      <c r="F521" s="1346" t="s">
        <v>11931</v>
      </c>
      <c r="G521" s="1345" t="s">
        <v>60</v>
      </c>
      <c r="H521" s="1345" t="s">
        <v>12770</v>
      </c>
      <c r="I521" s="1349" t="s">
        <v>90</v>
      </c>
      <c r="J521" s="1350"/>
      <c r="K521" s="1348">
        <v>4032000.0</v>
      </c>
    </row>
    <row r="522">
      <c r="A522" s="1344" t="s">
        <v>12771</v>
      </c>
      <c r="B522" s="1345" t="s">
        <v>12772</v>
      </c>
      <c r="C522" s="1346" t="s">
        <v>5154</v>
      </c>
      <c r="D522" s="1346" t="s">
        <v>688</v>
      </c>
      <c r="E522" s="1346" t="s">
        <v>11943</v>
      </c>
      <c r="F522" s="1346" t="s">
        <v>11944</v>
      </c>
      <c r="G522" s="1345" t="s">
        <v>62</v>
      </c>
      <c r="H522" s="1345" t="s">
        <v>12773</v>
      </c>
      <c r="I522" s="1349" t="s">
        <v>1437</v>
      </c>
      <c r="J522" s="1350"/>
      <c r="K522" s="1348">
        <v>3532000.0</v>
      </c>
    </row>
    <row r="523">
      <c r="A523" s="1344" t="s">
        <v>5154</v>
      </c>
      <c r="B523" s="1345" t="s">
        <v>12774</v>
      </c>
      <c r="C523" s="1346" t="s">
        <v>5154</v>
      </c>
      <c r="D523" s="1346" t="s">
        <v>12775</v>
      </c>
      <c r="E523" s="1346" t="s">
        <v>11930</v>
      </c>
      <c r="F523" s="1351" t="s">
        <v>11969</v>
      </c>
      <c r="G523" s="1349" t="s">
        <v>140</v>
      </c>
      <c r="H523" s="1345" t="s">
        <v>12773</v>
      </c>
      <c r="I523" s="1350"/>
      <c r="J523" s="1350"/>
      <c r="K523" s="1348">
        <v>966000.0</v>
      </c>
    </row>
    <row r="524">
      <c r="A524" s="1344" t="s">
        <v>5154</v>
      </c>
      <c r="B524" s="1345" t="s">
        <v>12776</v>
      </c>
      <c r="C524" s="1346" t="s">
        <v>5154</v>
      </c>
      <c r="D524" s="1346" t="s">
        <v>12777</v>
      </c>
      <c r="E524" s="1346" t="s">
        <v>11930</v>
      </c>
      <c r="F524" s="1351" t="s">
        <v>11969</v>
      </c>
      <c r="G524" s="1349" t="s">
        <v>142</v>
      </c>
      <c r="H524" s="1345" t="s">
        <v>12773</v>
      </c>
      <c r="I524" s="1350"/>
      <c r="J524" s="1350"/>
      <c r="K524" s="1348">
        <v>966000.0</v>
      </c>
    </row>
    <row r="525">
      <c r="A525" s="1344" t="s">
        <v>12778</v>
      </c>
      <c r="B525" s="1345" t="s">
        <v>5154</v>
      </c>
      <c r="C525" s="1346" t="s">
        <v>5154</v>
      </c>
      <c r="D525" s="1346" t="s">
        <v>690</v>
      </c>
      <c r="E525" s="1346" t="s">
        <v>11943</v>
      </c>
      <c r="F525" s="1346" t="s">
        <v>11969</v>
      </c>
      <c r="G525" s="1345" t="s">
        <v>144</v>
      </c>
      <c r="H525" s="1345" t="s">
        <v>12773</v>
      </c>
      <c r="I525" s="1350"/>
      <c r="J525" s="1350"/>
      <c r="K525" s="1348">
        <v>966000.0</v>
      </c>
    </row>
    <row r="526">
      <c r="A526" s="1344" t="s">
        <v>12779</v>
      </c>
      <c r="B526" s="1345" t="s">
        <v>5154</v>
      </c>
      <c r="C526" s="1346" t="s">
        <v>5154</v>
      </c>
      <c r="D526" s="1346" t="s">
        <v>691</v>
      </c>
      <c r="E526" s="1346" t="s">
        <v>11943</v>
      </c>
      <c r="F526" s="1346" t="s">
        <v>11969</v>
      </c>
      <c r="G526" s="1345" t="s">
        <v>146</v>
      </c>
      <c r="H526" s="1345" t="s">
        <v>12773</v>
      </c>
      <c r="I526" s="1350"/>
      <c r="J526" s="1350"/>
      <c r="K526" s="1348">
        <v>966000.0</v>
      </c>
    </row>
    <row r="527">
      <c r="A527" s="1344" t="s">
        <v>12780</v>
      </c>
      <c r="B527" s="1345" t="s">
        <v>5154</v>
      </c>
      <c r="C527" s="1346" t="s">
        <v>5154</v>
      </c>
      <c r="D527" s="1346" t="s">
        <v>692</v>
      </c>
      <c r="E527" s="1346" t="s">
        <v>11943</v>
      </c>
      <c r="F527" s="1346" t="s">
        <v>11969</v>
      </c>
      <c r="G527" s="1345" t="s">
        <v>396</v>
      </c>
      <c r="H527" s="1345" t="s">
        <v>12773</v>
      </c>
      <c r="I527" s="1350"/>
      <c r="J527" s="1350"/>
      <c r="K527" s="1348">
        <v>403000.0</v>
      </c>
    </row>
    <row r="528">
      <c r="A528" s="1344" t="s">
        <v>12781</v>
      </c>
      <c r="B528" s="1345" t="s">
        <v>5154</v>
      </c>
      <c r="C528" s="1346" t="s">
        <v>5154</v>
      </c>
      <c r="D528" s="1346" t="s">
        <v>693</v>
      </c>
      <c r="E528" s="1346" t="s">
        <v>11943</v>
      </c>
      <c r="F528" s="1346" t="s">
        <v>11969</v>
      </c>
      <c r="G528" s="1345" t="s">
        <v>398</v>
      </c>
      <c r="H528" s="1345" t="s">
        <v>12773</v>
      </c>
      <c r="I528" s="1350"/>
      <c r="J528" s="1350"/>
      <c r="K528" s="1348">
        <v>403000.0</v>
      </c>
    </row>
    <row r="529">
      <c r="A529" s="1344" t="s">
        <v>12782</v>
      </c>
      <c r="B529" s="1345" t="s">
        <v>5154</v>
      </c>
      <c r="C529" s="1346" t="s">
        <v>5154</v>
      </c>
      <c r="D529" s="1346" t="s">
        <v>694</v>
      </c>
      <c r="E529" s="1346" t="s">
        <v>11943</v>
      </c>
      <c r="F529" s="1346" t="s">
        <v>11969</v>
      </c>
      <c r="G529" s="1345" t="s">
        <v>209</v>
      </c>
      <c r="H529" s="1345" t="s">
        <v>12773</v>
      </c>
      <c r="I529" s="1349" t="s">
        <v>109</v>
      </c>
      <c r="J529" s="1350"/>
      <c r="K529" s="1348">
        <v>644000.0</v>
      </c>
    </row>
    <row r="530">
      <c r="A530" s="1344" t="s">
        <v>12783</v>
      </c>
      <c r="B530" s="1345" t="s">
        <v>5154</v>
      </c>
      <c r="C530" s="1346" t="s">
        <v>5154</v>
      </c>
      <c r="D530" s="1346" t="s">
        <v>695</v>
      </c>
      <c r="E530" s="1346" t="s">
        <v>11943</v>
      </c>
      <c r="F530" s="1346" t="s">
        <v>11969</v>
      </c>
      <c r="G530" s="1345" t="s">
        <v>243</v>
      </c>
      <c r="H530" s="1345" t="s">
        <v>12773</v>
      </c>
      <c r="I530" s="1349" t="s">
        <v>109</v>
      </c>
      <c r="J530" s="1350"/>
      <c r="K530" s="1348">
        <v>644000.0</v>
      </c>
    </row>
    <row r="531">
      <c r="A531" s="1344" t="s">
        <v>5154</v>
      </c>
      <c r="B531" s="1345" t="s">
        <v>12784</v>
      </c>
      <c r="C531" s="1346" t="s">
        <v>5154</v>
      </c>
      <c r="D531" s="1346" t="s">
        <v>1462</v>
      </c>
      <c r="E531" s="1346" t="s">
        <v>11930</v>
      </c>
      <c r="F531" s="1346" t="s">
        <v>11931</v>
      </c>
      <c r="G531" s="1345" t="s">
        <v>60</v>
      </c>
      <c r="H531" s="1345" t="s">
        <v>12785</v>
      </c>
      <c r="I531" s="1349" t="s">
        <v>1464</v>
      </c>
      <c r="J531" s="1350"/>
      <c r="K531" s="1348">
        <v>5051000.0</v>
      </c>
    </row>
    <row r="532">
      <c r="A532" s="1344" t="s">
        <v>5154</v>
      </c>
      <c r="B532" s="1345" t="s">
        <v>12786</v>
      </c>
      <c r="C532" s="1346" t="s">
        <v>5154</v>
      </c>
      <c r="D532" s="1351" t="s">
        <v>12787</v>
      </c>
      <c r="E532" s="1346" t="s">
        <v>11930</v>
      </c>
      <c r="F532" s="1351" t="s">
        <v>11944</v>
      </c>
      <c r="G532" s="1345" t="s">
        <v>62</v>
      </c>
      <c r="H532" s="1345" t="s">
        <v>12785</v>
      </c>
      <c r="I532" s="1349" t="s">
        <v>1442</v>
      </c>
      <c r="J532" s="1350"/>
      <c r="K532" s="1348">
        <v>3800000.0</v>
      </c>
    </row>
    <row r="533">
      <c r="A533" s="1341" t="s">
        <v>11761</v>
      </c>
      <c r="B533" s="1342" t="s">
        <v>11761</v>
      </c>
      <c r="C533" s="1343"/>
      <c r="D533" s="1343"/>
      <c r="E533" s="1343"/>
      <c r="F533" s="1343"/>
      <c r="G533" s="1343"/>
      <c r="H533" s="1342" t="s">
        <v>11761</v>
      </c>
      <c r="I533" s="1343"/>
      <c r="J533" s="1343"/>
      <c r="K533" s="1343"/>
    </row>
    <row r="534">
      <c r="A534" s="1344" t="s">
        <v>12788</v>
      </c>
      <c r="B534" s="1345" t="s">
        <v>12789</v>
      </c>
      <c r="C534" s="1346" t="s">
        <v>12790</v>
      </c>
      <c r="D534" s="1346" t="s">
        <v>696</v>
      </c>
      <c r="E534" s="1346" t="s">
        <v>12061</v>
      </c>
      <c r="F534" s="1346" t="s">
        <v>11931</v>
      </c>
      <c r="G534" s="1345" t="s">
        <v>60</v>
      </c>
      <c r="H534" s="1345" t="s">
        <v>697</v>
      </c>
      <c r="I534" s="1349" t="s">
        <v>137</v>
      </c>
      <c r="J534" s="1350"/>
      <c r="K534" s="1348">
        <v>1599000.0</v>
      </c>
    </row>
    <row r="535">
      <c r="A535" s="1344" t="s">
        <v>5154</v>
      </c>
      <c r="B535" s="1345" t="s">
        <v>12791</v>
      </c>
      <c r="C535" s="1346" t="s">
        <v>5154</v>
      </c>
      <c r="D535" s="1346" t="s">
        <v>1512</v>
      </c>
      <c r="E535" s="1346" t="s">
        <v>11930</v>
      </c>
      <c r="F535" s="1346" t="s">
        <v>11944</v>
      </c>
      <c r="G535" s="1345" t="s">
        <v>62</v>
      </c>
      <c r="H535" s="1345" t="s">
        <v>1513</v>
      </c>
      <c r="I535" s="1345" t="s">
        <v>1442</v>
      </c>
      <c r="J535" s="1347"/>
      <c r="K535" s="1348">
        <v>1308000.0</v>
      </c>
    </row>
    <row r="536">
      <c r="A536" s="1344" t="s">
        <v>12792</v>
      </c>
      <c r="B536" s="1345" t="s">
        <v>12793</v>
      </c>
      <c r="C536" s="1346" t="s">
        <v>5154</v>
      </c>
      <c r="D536" s="1346" t="s">
        <v>699</v>
      </c>
      <c r="E536" s="1346" t="s">
        <v>11940</v>
      </c>
      <c r="F536" s="1346" t="s">
        <v>11944</v>
      </c>
      <c r="G536" s="1345" t="s">
        <v>62</v>
      </c>
      <c r="H536" s="1345" t="s">
        <v>700</v>
      </c>
      <c r="I536" s="1349" t="s">
        <v>1442</v>
      </c>
      <c r="J536" s="1357">
        <v>557000.0</v>
      </c>
      <c r="K536" s="1348">
        <v>1061000.0</v>
      </c>
    </row>
    <row r="537">
      <c r="A537" s="1344" t="s">
        <v>12794</v>
      </c>
      <c r="B537" s="1345" t="s">
        <v>12795</v>
      </c>
      <c r="C537" s="1346" t="s">
        <v>5154</v>
      </c>
      <c r="D537" s="1346" t="s">
        <v>701</v>
      </c>
      <c r="E537" s="1346" t="s">
        <v>11940</v>
      </c>
      <c r="F537" s="1346" t="s">
        <v>11969</v>
      </c>
      <c r="G537" s="1345" t="s">
        <v>140</v>
      </c>
      <c r="H537" s="1345" t="s">
        <v>700</v>
      </c>
      <c r="I537" s="1349" t="s">
        <v>152</v>
      </c>
      <c r="J537" s="1350"/>
      <c r="K537" s="1348">
        <v>653000.0</v>
      </c>
    </row>
    <row r="538">
      <c r="A538" s="1344" t="s">
        <v>12796</v>
      </c>
      <c r="B538" s="1345" t="s">
        <v>12797</v>
      </c>
      <c r="C538" s="1346" t="s">
        <v>5154</v>
      </c>
      <c r="D538" s="1346" t="s">
        <v>702</v>
      </c>
      <c r="E538" s="1346" t="s">
        <v>11940</v>
      </c>
      <c r="F538" s="1346" t="s">
        <v>11969</v>
      </c>
      <c r="G538" s="1345" t="s">
        <v>142</v>
      </c>
      <c r="H538" s="1345" t="s">
        <v>700</v>
      </c>
      <c r="I538" s="1349" t="s">
        <v>152</v>
      </c>
      <c r="J538" s="1350"/>
      <c r="K538" s="1348">
        <v>653000.0</v>
      </c>
    </row>
    <row r="539">
      <c r="A539" s="1344" t="s">
        <v>12798</v>
      </c>
      <c r="B539" s="1345" t="s">
        <v>12799</v>
      </c>
      <c r="C539" s="1346" t="s">
        <v>5154</v>
      </c>
      <c r="D539" s="1346" t="s">
        <v>703</v>
      </c>
      <c r="E539" s="1346" t="s">
        <v>11940</v>
      </c>
      <c r="F539" s="1346" t="s">
        <v>11969</v>
      </c>
      <c r="G539" s="1345" t="s">
        <v>144</v>
      </c>
      <c r="H539" s="1345" t="s">
        <v>700</v>
      </c>
      <c r="I539" s="1349" t="s">
        <v>152</v>
      </c>
      <c r="J539" s="1350"/>
      <c r="K539" s="1348">
        <v>653000.0</v>
      </c>
    </row>
    <row r="540">
      <c r="A540" s="1344" t="s">
        <v>12800</v>
      </c>
      <c r="B540" s="1345" t="s">
        <v>12801</v>
      </c>
      <c r="C540" s="1346" t="s">
        <v>5154</v>
      </c>
      <c r="D540" s="1346" t="s">
        <v>704</v>
      </c>
      <c r="E540" s="1346" t="s">
        <v>11940</v>
      </c>
      <c r="F540" s="1346" t="s">
        <v>11969</v>
      </c>
      <c r="G540" s="1345" t="s">
        <v>146</v>
      </c>
      <c r="H540" s="1345" t="s">
        <v>700</v>
      </c>
      <c r="I540" s="1349" t="s">
        <v>152</v>
      </c>
      <c r="J540" s="1350"/>
      <c r="K540" s="1348">
        <v>653000.0</v>
      </c>
    </row>
    <row r="541">
      <c r="A541" s="1344" t="s">
        <v>12802</v>
      </c>
      <c r="B541" s="1345" t="s">
        <v>12803</v>
      </c>
      <c r="C541" s="1346" t="s">
        <v>5154</v>
      </c>
      <c r="D541" s="1346" t="s">
        <v>705</v>
      </c>
      <c r="E541" s="1346" t="s">
        <v>11940</v>
      </c>
      <c r="F541" s="1346" t="s">
        <v>11931</v>
      </c>
      <c r="G541" s="1345" t="s">
        <v>60</v>
      </c>
      <c r="H541" s="1345" t="s">
        <v>706</v>
      </c>
      <c r="I541" s="1349" t="s">
        <v>137</v>
      </c>
      <c r="J541" s="1350"/>
      <c r="K541" s="1348">
        <v>2366000.0</v>
      </c>
    </row>
    <row r="542">
      <c r="A542" s="1344" t="s">
        <v>5154</v>
      </c>
      <c r="B542" s="1345" t="s">
        <v>12804</v>
      </c>
      <c r="C542" s="1346" t="s">
        <v>5154</v>
      </c>
      <c r="D542" s="1346" t="s">
        <v>1516</v>
      </c>
      <c r="E542" s="1346" t="s">
        <v>11930</v>
      </c>
      <c r="F542" s="1346" t="s">
        <v>11931</v>
      </c>
      <c r="G542" s="1345" t="s">
        <v>60</v>
      </c>
      <c r="H542" s="1345" t="s">
        <v>1517</v>
      </c>
      <c r="I542" s="1349" t="s">
        <v>90</v>
      </c>
      <c r="J542" s="1350"/>
      <c r="K542" s="1348">
        <v>2708000.0</v>
      </c>
    </row>
    <row r="543">
      <c r="A543" s="1344" t="s">
        <v>12805</v>
      </c>
      <c r="B543" s="1345" t="s">
        <v>12806</v>
      </c>
      <c r="C543" s="1346" t="s">
        <v>5154</v>
      </c>
      <c r="D543" s="1346" t="s">
        <v>707</v>
      </c>
      <c r="E543" s="1346" t="s">
        <v>11940</v>
      </c>
      <c r="F543" s="1346" t="s">
        <v>11931</v>
      </c>
      <c r="G543" s="1345" t="s">
        <v>60</v>
      </c>
      <c r="H543" s="1345" t="s">
        <v>708</v>
      </c>
      <c r="I543" s="1349" t="s">
        <v>709</v>
      </c>
      <c r="J543" s="1350"/>
      <c r="K543" s="1348">
        <v>3249000.0</v>
      </c>
    </row>
    <row r="544">
      <c r="A544" s="1344" t="s">
        <v>5154</v>
      </c>
      <c r="B544" s="1345" t="s">
        <v>12807</v>
      </c>
      <c r="C544" s="1346" t="s">
        <v>5154</v>
      </c>
      <c r="D544" s="1346" t="s">
        <v>1519</v>
      </c>
      <c r="E544" s="1346" t="s">
        <v>11930</v>
      </c>
      <c r="F544" s="1346" t="s">
        <v>11931</v>
      </c>
      <c r="G544" s="1345" t="s">
        <v>60</v>
      </c>
      <c r="H544" s="1345" t="s">
        <v>1520</v>
      </c>
      <c r="I544" s="1349" t="s">
        <v>1521</v>
      </c>
      <c r="J544" s="1350"/>
      <c r="K544" s="1348">
        <v>3512000.0</v>
      </c>
    </row>
    <row r="545">
      <c r="A545" s="1344" t="s">
        <v>12808</v>
      </c>
      <c r="B545" s="1345" t="s">
        <v>12809</v>
      </c>
      <c r="C545" s="1346" t="s">
        <v>5154</v>
      </c>
      <c r="D545" s="1346" t="s">
        <v>710</v>
      </c>
      <c r="E545" s="1346" t="s">
        <v>11940</v>
      </c>
      <c r="F545" s="1346" t="s">
        <v>11944</v>
      </c>
      <c r="G545" s="1345" t="s">
        <v>62</v>
      </c>
      <c r="H545" s="1345" t="s">
        <v>711</v>
      </c>
      <c r="I545" s="1349" t="s">
        <v>1442</v>
      </c>
      <c r="J545" s="1350"/>
      <c r="K545" s="1348">
        <v>1649000.0</v>
      </c>
    </row>
    <row r="546">
      <c r="A546" s="1344" t="s">
        <v>12810</v>
      </c>
      <c r="B546" s="1345" t="s">
        <v>12811</v>
      </c>
      <c r="C546" s="1346" t="s">
        <v>5154</v>
      </c>
      <c r="D546" s="1346" t="s">
        <v>712</v>
      </c>
      <c r="E546" s="1346" t="s">
        <v>11940</v>
      </c>
      <c r="F546" s="1346" t="s">
        <v>11969</v>
      </c>
      <c r="G546" s="1345" t="s">
        <v>140</v>
      </c>
      <c r="H546" s="1345" t="s">
        <v>711</v>
      </c>
      <c r="I546" s="1349" t="s">
        <v>406</v>
      </c>
      <c r="J546" s="1350"/>
      <c r="K546" s="1348">
        <v>725000.0</v>
      </c>
    </row>
    <row r="547">
      <c r="A547" s="1344" t="s">
        <v>12812</v>
      </c>
      <c r="B547" s="1345" t="s">
        <v>12813</v>
      </c>
      <c r="C547" s="1346" t="s">
        <v>5154</v>
      </c>
      <c r="D547" s="1346" t="s">
        <v>713</v>
      </c>
      <c r="E547" s="1346" t="s">
        <v>11940</v>
      </c>
      <c r="F547" s="1346" t="s">
        <v>11969</v>
      </c>
      <c r="G547" s="1345" t="s">
        <v>142</v>
      </c>
      <c r="H547" s="1345" t="s">
        <v>711</v>
      </c>
      <c r="I547" s="1349" t="s">
        <v>406</v>
      </c>
      <c r="J547" s="1350"/>
      <c r="K547" s="1348">
        <v>725000.0</v>
      </c>
    </row>
    <row r="548">
      <c r="A548" s="1344" t="s">
        <v>12814</v>
      </c>
      <c r="B548" s="1345" t="s">
        <v>12815</v>
      </c>
      <c r="C548" s="1346" t="s">
        <v>5154</v>
      </c>
      <c r="D548" s="1346" t="s">
        <v>714</v>
      </c>
      <c r="E548" s="1346" t="s">
        <v>11940</v>
      </c>
      <c r="F548" s="1346" t="s">
        <v>11969</v>
      </c>
      <c r="G548" s="1345" t="s">
        <v>144</v>
      </c>
      <c r="H548" s="1345" t="s">
        <v>711</v>
      </c>
      <c r="I548" s="1350"/>
      <c r="J548" s="1350"/>
      <c r="K548" s="1348">
        <v>884000.0</v>
      </c>
    </row>
    <row r="549">
      <c r="A549" s="1344" t="s">
        <v>12816</v>
      </c>
      <c r="B549" s="1345" t="s">
        <v>12817</v>
      </c>
      <c r="C549" s="1346" t="s">
        <v>5154</v>
      </c>
      <c r="D549" s="1346" t="s">
        <v>715</v>
      </c>
      <c r="E549" s="1346" t="s">
        <v>11940</v>
      </c>
      <c r="F549" s="1346" t="s">
        <v>11969</v>
      </c>
      <c r="G549" s="1345" t="s">
        <v>146</v>
      </c>
      <c r="H549" s="1345" t="s">
        <v>711</v>
      </c>
      <c r="I549" s="1350"/>
      <c r="J549" s="1350"/>
      <c r="K549" s="1348">
        <v>884000.0</v>
      </c>
    </row>
    <row r="550">
      <c r="A550" s="1344" t="s">
        <v>5154</v>
      </c>
      <c r="B550" s="1345" t="s">
        <v>12818</v>
      </c>
      <c r="C550" s="1346" t="s">
        <v>5154</v>
      </c>
      <c r="D550" s="1351" t="s">
        <v>12819</v>
      </c>
      <c r="E550" s="1346" t="s">
        <v>11930</v>
      </c>
      <c r="F550" s="1346" t="s">
        <v>11931</v>
      </c>
      <c r="G550" s="1349" t="s">
        <v>60</v>
      </c>
      <c r="H550" s="1349" t="s">
        <v>1523</v>
      </c>
      <c r="I550" s="1349" t="s">
        <v>314</v>
      </c>
      <c r="J550" s="1350"/>
      <c r="K550" s="1348">
        <v>2950000.0</v>
      </c>
    </row>
    <row r="551">
      <c r="A551" s="1344" t="s">
        <v>5154</v>
      </c>
      <c r="B551" s="1345" t="s">
        <v>12820</v>
      </c>
      <c r="C551" s="1346" t="s">
        <v>5154</v>
      </c>
      <c r="D551" s="1351" t="s">
        <v>12821</v>
      </c>
      <c r="E551" s="1346" t="s">
        <v>11930</v>
      </c>
      <c r="F551" s="1346" t="s">
        <v>11944</v>
      </c>
      <c r="G551" s="1345" t="s">
        <v>62</v>
      </c>
      <c r="H551" s="1349" t="s">
        <v>1434</v>
      </c>
      <c r="I551" s="1349" t="s">
        <v>1435</v>
      </c>
      <c r="J551" s="1350"/>
      <c r="K551" s="1348">
        <v>1950000.0</v>
      </c>
    </row>
    <row r="552">
      <c r="A552" s="1344" t="s">
        <v>5154</v>
      </c>
      <c r="B552" s="1345" t="s">
        <v>5154</v>
      </c>
      <c r="C552" s="1346" t="s">
        <v>12822</v>
      </c>
      <c r="D552" s="1346" t="s">
        <v>1526</v>
      </c>
      <c r="E552" s="1346" t="s">
        <v>12155</v>
      </c>
      <c r="F552" s="1351" t="s">
        <v>11931</v>
      </c>
      <c r="G552" s="1345" t="s">
        <v>60</v>
      </c>
      <c r="H552" s="1345" t="s">
        <v>12823</v>
      </c>
      <c r="I552" s="1349" t="s">
        <v>109</v>
      </c>
      <c r="J552" s="1350"/>
      <c r="K552" s="1348">
        <v>1182000.0</v>
      </c>
    </row>
    <row r="553">
      <c r="A553" s="1344" t="s">
        <v>12824</v>
      </c>
      <c r="B553" s="1345" t="s">
        <v>5154</v>
      </c>
      <c r="C553" s="1346" t="s">
        <v>5154</v>
      </c>
      <c r="D553" s="1346" t="s">
        <v>716</v>
      </c>
      <c r="E553" s="1346" t="s">
        <v>11943</v>
      </c>
      <c r="F553" s="1346" t="s">
        <v>11931</v>
      </c>
      <c r="G553" s="1345" t="s">
        <v>60</v>
      </c>
      <c r="H553" s="1345" t="s">
        <v>717</v>
      </c>
      <c r="I553" s="1349" t="s">
        <v>137</v>
      </c>
      <c r="J553" s="1350"/>
      <c r="K553" s="1348">
        <v>3865000.0</v>
      </c>
    </row>
    <row r="554">
      <c r="A554" s="1344" t="s">
        <v>12825</v>
      </c>
      <c r="B554" s="1345" t="s">
        <v>5154</v>
      </c>
      <c r="C554" s="1346" t="s">
        <v>5154</v>
      </c>
      <c r="D554" s="1346" t="s">
        <v>718</v>
      </c>
      <c r="E554" s="1346" t="s">
        <v>11943</v>
      </c>
      <c r="F554" s="1346" t="s">
        <v>11944</v>
      </c>
      <c r="G554" s="1345" t="s">
        <v>62</v>
      </c>
      <c r="H554" s="1345" t="s">
        <v>717</v>
      </c>
      <c r="I554" s="1349" t="s">
        <v>1509</v>
      </c>
      <c r="J554" s="1350"/>
      <c r="K554" s="1348">
        <v>2943000.0</v>
      </c>
    </row>
    <row r="555">
      <c r="A555" s="1344" t="s">
        <v>12826</v>
      </c>
      <c r="B555" s="1345" t="s">
        <v>5154</v>
      </c>
      <c r="C555" s="1346" t="s">
        <v>5154</v>
      </c>
      <c r="D555" s="1346" t="s">
        <v>719</v>
      </c>
      <c r="E555" s="1346" t="s">
        <v>11943</v>
      </c>
      <c r="F555" s="1346" t="s">
        <v>11931</v>
      </c>
      <c r="G555" s="1345" t="s">
        <v>60</v>
      </c>
      <c r="H555" s="1345" t="s">
        <v>720</v>
      </c>
      <c r="I555" s="1349" t="s">
        <v>137</v>
      </c>
      <c r="J555" s="1350"/>
      <c r="K555" s="1348">
        <v>3865000.0</v>
      </c>
    </row>
    <row r="556">
      <c r="A556" s="1344" t="s">
        <v>12827</v>
      </c>
      <c r="B556" s="1345" t="s">
        <v>5154</v>
      </c>
      <c r="C556" s="1346" t="s">
        <v>5154</v>
      </c>
      <c r="D556" s="1346" t="s">
        <v>721</v>
      </c>
      <c r="E556" s="1346" t="s">
        <v>11943</v>
      </c>
      <c r="F556" s="1346" t="s">
        <v>11944</v>
      </c>
      <c r="G556" s="1345" t="s">
        <v>62</v>
      </c>
      <c r="H556" s="1345" t="s">
        <v>720</v>
      </c>
      <c r="I556" s="1349" t="s">
        <v>1442</v>
      </c>
      <c r="J556" s="1350"/>
      <c r="K556" s="1348">
        <v>2974000.0</v>
      </c>
    </row>
    <row r="557">
      <c r="A557" s="1344" t="s">
        <v>12828</v>
      </c>
      <c r="B557" s="1345" t="s">
        <v>5154</v>
      </c>
      <c r="C557" s="1346" t="s">
        <v>5154</v>
      </c>
      <c r="D557" s="1346" t="s">
        <v>722</v>
      </c>
      <c r="E557" s="1346" t="s">
        <v>11943</v>
      </c>
      <c r="F557" s="1346" t="s">
        <v>11969</v>
      </c>
      <c r="G557" s="1345" t="s">
        <v>140</v>
      </c>
      <c r="H557" s="1345" t="s">
        <v>720</v>
      </c>
      <c r="I557" s="1350"/>
      <c r="J557" s="1350"/>
      <c r="K557" s="1348">
        <v>869000.0</v>
      </c>
    </row>
    <row r="558">
      <c r="A558" s="1344" t="s">
        <v>12829</v>
      </c>
      <c r="B558" s="1345" t="s">
        <v>5154</v>
      </c>
      <c r="C558" s="1346" t="s">
        <v>5154</v>
      </c>
      <c r="D558" s="1346" t="s">
        <v>723</v>
      </c>
      <c r="E558" s="1346" t="s">
        <v>11943</v>
      </c>
      <c r="F558" s="1346" t="s">
        <v>11969</v>
      </c>
      <c r="G558" s="1345" t="s">
        <v>142</v>
      </c>
      <c r="H558" s="1345" t="s">
        <v>720</v>
      </c>
      <c r="I558" s="1350"/>
      <c r="J558" s="1350"/>
      <c r="K558" s="1348">
        <v>869000.0</v>
      </c>
    </row>
    <row r="559">
      <c r="A559" s="1344" t="s">
        <v>12830</v>
      </c>
      <c r="B559" s="1345" t="s">
        <v>5154</v>
      </c>
      <c r="C559" s="1346" t="s">
        <v>5154</v>
      </c>
      <c r="D559" s="1346" t="s">
        <v>724</v>
      </c>
      <c r="E559" s="1346" t="s">
        <v>11943</v>
      </c>
      <c r="F559" s="1346" t="s">
        <v>11931</v>
      </c>
      <c r="G559" s="1345" t="s">
        <v>60</v>
      </c>
      <c r="H559" s="1345" t="s">
        <v>720</v>
      </c>
      <c r="I559" s="1349" t="s">
        <v>314</v>
      </c>
      <c r="J559" s="1350"/>
      <c r="K559" s="1348">
        <v>4202000.0</v>
      </c>
    </row>
    <row r="560">
      <c r="A560" s="1344" t="s">
        <v>12831</v>
      </c>
      <c r="B560" s="1345" t="s">
        <v>12832</v>
      </c>
      <c r="C560" s="1346" t="s">
        <v>5154</v>
      </c>
      <c r="D560" s="1346" t="s">
        <v>725</v>
      </c>
      <c r="E560" s="1346" t="s">
        <v>11940</v>
      </c>
      <c r="F560" s="1346" t="s">
        <v>11931</v>
      </c>
      <c r="G560" s="1345" t="s">
        <v>60</v>
      </c>
      <c r="H560" s="1345" t="s">
        <v>726</v>
      </c>
      <c r="I560" s="1349" t="s">
        <v>137</v>
      </c>
      <c r="J560" s="1350"/>
      <c r="K560" s="1348">
        <v>3695000.0</v>
      </c>
    </row>
    <row r="561">
      <c r="A561" s="1344" t="s">
        <v>12833</v>
      </c>
      <c r="B561" s="1345" t="s">
        <v>12834</v>
      </c>
      <c r="C561" s="1346" t="s">
        <v>5154</v>
      </c>
      <c r="D561" s="1346" t="s">
        <v>727</v>
      </c>
      <c r="E561" s="1346" t="s">
        <v>11943</v>
      </c>
      <c r="F561" s="1346" t="s">
        <v>11931</v>
      </c>
      <c r="G561" s="1345" t="s">
        <v>60</v>
      </c>
      <c r="H561" s="1345" t="s">
        <v>726</v>
      </c>
      <c r="I561" s="1349" t="s">
        <v>90</v>
      </c>
      <c r="J561" s="1350"/>
      <c r="K561" s="1348">
        <v>4202000.0</v>
      </c>
    </row>
    <row r="562">
      <c r="A562" s="1344" t="s">
        <v>12835</v>
      </c>
      <c r="B562" s="1345" t="s">
        <v>5154</v>
      </c>
      <c r="C562" s="1346" t="s">
        <v>5154</v>
      </c>
      <c r="D562" s="1346" t="s">
        <v>728</v>
      </c>
      <c r="E562" s="1346" t="s">
        <v>11943</v>
      </c>
      <c r="F562" s="1346" t="s">
        <v>11944</v>
      </c>
      <c r="G562" s="1345" t="s">
        <v>62</v>
      </c>
      <c r="H562" s="1345" t="s">
        <v>726</v>
      </c>
      <c r="I562" s="1349" t="s">
        <v>1442</v>
      </c>
      <c r="J562" s="1350"/>
      <c r="K562" s="1348">
        <v>3614000.0</v>
      </c>
    </row>
    <row r="563">
      <c r="A563" s="1344" t="s">
        <v>12836</v>
      </c>
      <c r="B563" s="1345" t="s">
        <v>5154</v>
      </c>
      <c r="C563" s="1346" t="s">
        <v>5154</v>
      </c>
      <c r="D563" s="1346" t="s">
        <v>729</v>
      </c>
      <c r="E563" s="1346" t="s">
        <v>11943</v>
      </c>
      <c r="F563" s="1346" t="s">
        <v>11969</v>
      </c>
      <c r="G563" s="1345" t="s">
        <v>140</v>
      </c>
      <c r="H563" s="1345" t="s">
        <v>726</v>
      </c>
      <c r="I563" s="1350"/>
      <c r="J563" s="1350"/>
      <c r="K563" s="1348">
        <v>869000.0</v>
      </c>
    </row>
    <row r="564">
      <c r="A564" s="1344" t="s">
        <v>12837</v>
      </c>
      <c r="B564" s="1345" t="s">
        <v>5154</v>
      </c>
      <c r="C564" s="1346" t="s">
        <v>5154</v>
      </c>
      <c r="D564" s="1346" t="s">
        <v>1510</v>
      </c>
      <c r="E564" s="1346" t="s">
        <v>11943</v>
      </c>
      <c r="F564" s="1346" t="s">
        <v>11969</v>
      </c>
      <c r="G564" s="1345" t="s">
        <v>142</v>
      </c>
      <c r="H564" s="1345" t="s">
        <v>726</v>
      </c>
      <c r="I564" s="1350"/>
      <c r="J564" s="1350"/>
      <c r="K564" s="1348">
        <v>869000.0</v>
      </c>
    </row>
    <row r="565">
      <c r="A565" s="1344" t="s">
        <v>12838</v>
      </c>
      <c r="B565" s="1345" t="s">
        <v>5154</v>
      </c>
      <c r="C565" s="1346" t="s">
        <v>5154</v>
      </c>
      <c r="D565" s="1346" t="s">
        <v>730</v>
      </c>
      <c r="E565" s="1346" t="s">
        <v>11943</v>
      </c>
      <c r="F565" s="1346" t="s">
        <v>11931</v>
      </c>
      <c r="G565" s="1345" t="s">
        <v>60</v>
      </c>
      <c r="H565" s="1345" t="s">
        <v>731</v>
      </c>
      <c r="I565" s="1349" t="s">
        <v>137</v>
      </c>
      <c r="J565" s="1350"/>
      <c r="K565" s="1348">
        <v>4535000.0</v>
      </c>
    </row>
    <row r="566">
      <c r="A566" s="1344" t="s">
        <v>5154</v>
      </c>
      <c r="B566" s="1345" t="s">
        <v>12839</v>
      </c>
      <c r="C566" s="1346" t="s">
        <v>5154</v>
      </c>
      <c r="D566" s="1346" t="s">
        <v>1528</v>
      </c>
      <c r="E566" s="1346" t="s">
        <v>11930</v>
      </c>
      <c r="F566" s="1346" t="s">
        <v>11931</v>
      </c>
      <c r="G566" s="1345" t="s">
        <v>60</v>
      </c>
      <c r="H566" s="1345" t="s">
        <v>731</v>
      </c>
      <c r="I566" s="1349" t="s">
        <v>90</v>
      </c>
      <c r="J566" s="1350"/>
      <c r="K566" s="1348">
        <v>4860000.0</v>
      </c>
    </row>
    <row r="567">
      <c r="A567" s="1344" t="s">
        <v>12840</v>
      </c>
      <c r="B567" s="1345" t="s">
        <v>12841</v>
      </c>
      <c r="C567" s="1346" t="s">
        <v>5154</v>
      </c>
      <c r="D567" s="1346" t="s">
        <v>732</v>
      </c>
      <c r="E567" s="1346" t="s">
        <v>11943</v>
      </c>
      <c r="F567" s="1346" t="s">
        <v>11944</v>
      </c>
      <c r="G567" s="1345" t="s">
        <v>62</v>
      </c>
      <c r="H567" s="1345" t="s">
        <v>731</v>
      </c>
      <c r="I567" s="1349" t="s">
        <v>1437</v>
      </c>
      <c r="J567" s="1350"/>
      <c r="K567" s="1348">
        <v>4336000.0</v>
      </c>
    </row>
    <row r="568">
      <c r="A568" s="1344" t="s">
        <v>12842</v>
      </c>
      <c r="B568" s="1345" t="s">
        <v>12843</v>
      </c>
      <c r="C568" s="1346" t="s">
        <v>5154</v>
      </c>
      <c r="D568" s="1346" t="s">
        <v>733</v>
      </c>
      <c r="E568" s="1346" t="s">
        <v>11940</v>
      </c>
      <c r="F568" s="1346" t="s">
        <v>11931</v>
      </c>
      <c r="G568" s="1345" t="s">
        <v>60</v>
      </c>
      <c r="H568" s="1345" t="s">
        <v>734</v>
      </c>
      <c r="I568" s="1349" t="s">
        <v>314</v>
      </c>
      <c r="J568" s="1350"/>
      <c r="K568" s="1348">
        <v>4480000.0</v>
      </c>
    </row>
    <row r="569">
      <c r="A569" s="1344" t="s">
        <v>12844</v>
      </c>
      <c r="B569" s="1345" t="s">
        <v>12845</v>
      </c>
      <c r="C569" s="1346" t="s">
        <v>5154</v>
      </c>
      <c r="D569" s="1346" t="s">
        <v>735</v>
      </c>
      <c r="E569" s="1346" t="s">
        <v>11940</v>
      </c>
      <c r="F569" s="1346" t="s">
        <v>11931</v>
      </c>
      <c r="G569" s="1345" t="s">
        <v>60</v>
      </c>
      <c r="H569" s="1345" t="s">
        <v>734</v>
      </c>
      <c r="I569" s="1349" t="s">
        <v>137</v>
      </c>
      <c r="J569" s="1350"/>
      <c r="K569" s="1348">
        <v>3311000.0</v>
      </c>
    </row>
    <row r="570">
      <c r="A570" s="1344" t="s">
        <v>12846</v>
      </c>
      <c r="B570" s="1345" t="s">
        <v>5154</v>
      </c>
      <c r="C570" s="1346" t="s">
        <v>5154</v>
      </c>
      <c r="D570" s="1346" t="s">
        <v>736</v>
      </c>
      <c r="E570" s="1346" t="s">
        <v>11943</v>
      </c>
      <c r="F570" s="1346" t="s">
        <v>11944</v>
      </c>
      <c r="G570" s="1345" t="s">
        <v>62</v>
      </c>
      <c r="H570" s="1353" t="s">
        <v>12847</v>
      </c>
      <c r="I570" s="1349" t="s">
        <v>1437</v>
      </c>
      <c r="J570" s="1350"/>
      <c r="K570" s="1348">
        <v>2848000.0</v>
      </c>
    </row>
    <row r="571">
      <c r="A571" s="1344" t="s">
        <v>12848</v>
      </c>
      <c r="B571" s="1345" t="s">
        <v>12849</v>
      </c>
      <c r="C571" s="1346" t="s">
        <v>5154</v>
      </c>
      <c r="D571" s="1346" t="s">
        <v>737</v>
      </c>
      <c r="E571" s="1346" t="s">
        <v>11940</v>
      </c>
      <c r="F571" s="1346" t="s">
        <v>11944</v>
      </c>
      <c r="G571" s="1345" t="s">
        <v>62</v>
      </c>
      <c r="H571" s="1345" t="s">
        <v>738</v>
      </c>
      <c r="I571" s="1349" t="s">
        <v>1792</v>
      </c>
      <c r="J571" s="1350"/>
      <c r="K571" s="1348">
        <v>3093000.0</v>
      </c>
    </row>
    <row r="572">
      <c r="A572" s="1344" t="s">
        <v>12850</v>
      </c>
      <c r="B572" s="1345" t="s">
        <v>5154</v>
      </c>
      <c r="C572" s="1346" t="s">
        <v>5154</v>
      </c>
      <c r="D572" s="1346" t="s">
        <v>739</v>
      </c>
      <c r="E572" s="1346" t="s">
        <v>11943</v>
      </c>
      <c r="F572" s="1346" t="s">
        <v>11969</v>
      </c>
      <c r="G572" s="1345" t="s">
        <v>144</v>
      </c>
      <c r="H572" s="1345" t="s">
        <v>734</v>
      </c>
      <c r="I572" s="1350"/>
      <c r="J572" s="1350"/>
      <c r="K572" s="1348">
        <v>1448000.0</v>
      </c>
    </row>
    <row r="573">
      <c r="A573" s="1344" t="s">
        <v>12851</v>
      </c>
      <c r="B573" s="1345" t="s">
        <v>5154</v>
      </c>
      <c r="C573" s="1346" t="s">
        <v>5154</v>
      </c>
      <c r="D573" s="1346" t="s">
        <v>740</v>
      </c>
      <c r="E573" s="1346" t="s">
        <v>11943</v>
      </c>
      <c r="F573" s="1346" t="s">
        <v>11969</v>
      </c>
      <c r="G573" s="1345" t="s">
        <v>146</v>
      </c>
      <c r="H573" s="1345" t="s">
        <v>734</v>
      </c>
      <c r="I573" s="1350"/>
      <c r="J573" s="1350"/>
      <c r="K573" s="1348">
        <v>1448000.0</v>
      </c>
    </row>
    <row r="574">
      <c r="A574" s="1344" t="s">
        <v>12852</v>
      </c>
      <c r="B574" s="1345" t="s">
        <v>5154</v>
      </c>
      <c r="C574" s="1346" t="s">
        <v>5154</v>
      </c>
      <c r="D574" s="1346" t="s">
        <v>741</v>
      </c>
      <c r="E574" s="1346" t="s">
        <v>11943</v>
      </c>
      <c r="F574" s="1346" t="s">
        <v>11969</v>
      </c>
      <c r="G574" s="1345" t="s">
        <v>209</v>
      </c>
      <c r="H574" s="1345" t="s">
        <v>734</v>
      </c>
      <c r="I574" s="1349" t="s">
        <v>109</v>
      </c>
      <c r="J574" s="1350"/>
      <c r="K574" s="1348">
        <v>1766000.0</v>
      </c>
    </row>
    <row r="575">
      <c r="A575" s="1344" t="s">
        <v>12853</v>
      </c>
      <c r="B575" s="1345" t="s">
        <v>5154</v>
      </c>
      <c r="C575" s="1346" t="s">
        <v>5154</v>
      </c>
      <c r="D575" s="1346" t="s">
        <v>742</v>
      </c>
      <c r="E575" s="1346" t="s">
        <v>11943</v>
      </c>
      <c r="F575" s="1346" t="s">
        <v>11969</v>
      </c>
      <c r="G575" s="1345" t="s">
        <v>243</v>
      </c>
      <c r="H575" s="1345" t="s">
        <v>734</v>
      </c>
      <c r="I575" s="1349" t="s">
        <v>241</v>
      </c>
      <c r="J575" s="1350"/>
      <c r="K575" s="1348">
        <v>1928000.0</v>
      </c>
    </row>
    <row r="576">
      <c r="A576" s="1344" t="s">
        <v>5154</v>
      </c>
      <c r="B576" s="1345" t="s">
        <v>12854</v>
      </c>
      <c r="C576" s="1346" t="s">
        <v>5154</v>
      </c>
      <c r="D576" s="1346" t="s">
        <v>1533</v>
      </c>
      <c r="E576" s="1346" t="s">
        <v>11930</v>
      </c>
      <c r="F576" s="1346" t="s">
        <v>11969</v>
      </c>
      <c r="G576" s="1345" t="s">
        <v>209</v>
      </c>
      <c r="H576" s="1345" t="s">
        <v>738</v>
      </c>
      <c r="I576" s="1350"/>
      <c r="J576" s="1350"/>
      <c r="K576" s="1348">
        <v>1928000.0</v>
      </c>
    </row>
    <row r="577">
      <c r="A577" s="1344" t="s">
        <v>5154</v>
      </c>
      <c r="B577" s="1345" t="s">
        <v>12855</v>
      </c>
      <c r="C577" s="1346" t="s">
        <v>5154</v>
      </c>
      <c r="D577" s="1346" t="s">
        <v>1534</v>
      </c>
      <c r="E577" s="1346" t="s">
        <v>11930</v>
      </c>
      <c r="F577" s="1346" t="s">
        <v>11969</v>
      </c>
      <c r="G577" s="1345" t="s">
        <v>243</v>
      </c>
      <c r="H577" s="1345" t="s">
        <v>738</v>
      </c>
      <c r="I577" s="1350"/>
      <c r="J577" s="1350"/>
      <c r="K577" s="1348">
        <v>1928000.0</v>
      </c>
    </row>
    <row r="578">
      <c r="A578" s="1344" t="s">
        <v>5154</v>
      </c>
      <c r="B578" s="1345" t="s">
        <v>12856</v>
      </c>
      <c r="C578" s="1346" t="s">
        <v>5154</v>
      </c>
      <c r="D578" s="1346" t="s">
        <v>1535</v>
      </c>
      <c r="E578" s="1346" t="s">
        <v>11930</v>
      </c>
      <c r="F578" s="1346" t="s">
        <v>11931</v>
      </c>
      <c r="G578" s="1345" t="s">
        <v>60</v>
      </c>
      <c r="H578" s="1345" t="s">
        <v>1536</v>
      </c>
      <c r="I578" s="1349" t="s">
        <v>314</v>
      </c>
      <c r="J578" s="1350"/>
      <c r="K578" s="1348">
        <v>4558000.0</v>
      </c>
    </row>
    <row r="579">
      <c r="A579" s="1344" t="s">
        <v>5154</v>
      </c>
      <c r="B579" s="1345" t="s">
        <v>12857</v>
      </c>
      <c r="C579" s="1346" t="s">
        <v>5154</v>
      </c>
      <c r="D579" s="1346" t="s">
        <v>1537</v>
      </c>
      <c r="E579" s="1346" t="s">
        <v>11930</v>
      </c>
      <c r="F579" s="1346" t="s">
        <v>11944</v>
      </c>
      <c r="G579" s="1349" t="s">
        <v>62</v>
      </c>
      <c r="H579" s="1345" t="s">
        <v>1538</v>
      </c>
      <c r="I579" s="1349" t="s">
        <v>1437</v>
      </c>
      <c r="J579" s="1350"/>
      <c r="K579" s="1348">
        <v>2400000.0</v>
      </c>
    </row>
    <row r="580">
      <c r="A580" s="1344" t="s">
        <v>12858</v>
      </c>
      <c r="B580" s="1345" t="s">
        <v>12859</v>
      </c>
      <c r="C580" s="1346" t="s">
        <v>5154</v>
      </c>
      <c r="D580" s="1346" t="s">
        <v>743</v>
      </c>
      <c r="E580" s="1346" t="s">
        <v>11943</v>
      </c>
      <c r="F580" s="1346" t="s">
        <v>11931</v>
      </c>
      <c r="G580" s="1345" t="s">
        <v>60</v>
      </c>
      <c r="H580" s="1345" t="s">
        <v>2604</v>
      </c>
      <c r="I580" s="1349" t="s">
        <v>745</v>
      </c>
      <c r="J580" s="1350"/>
      <c r="K580" s="1348">
        <v>2576000.0</v>
      </c>
    </row>
    <row r="581">
      <c r="A581" s="1344" t="s">
        <v>12860</v>
      </c>
      <c r="B581" s="1345" t="s">
        <v>12861</v>
      </c>
      <c r="C581" s="1346" t="s">
        <v>5154</v>
      </c>
      <c r="D581" s="1346" t="s">
        <v>746</v>
      </c>
      <c r="E581" s="1346" t="s">
        <v>11940</v>
      </c>
      <c r="F581" s="1346" t="s">
        <v>11931</v>
      </c>
      <c r="G581" s="1345" t="s">
        <v>60</v>
      </c>
      <c r="H581" s="1345" t="s">
        <v>1501</v>
      </c>
      <c r="I581" s="1349" t="s">
        <v>314</v>
      </c>
      <c r="J581" s="1350"/>
      <c r="K581" s="1348">
        <v>3026000.0</v>
      </c>
    </row>
    <row r="582">
      <c r="A582" s="1344" t="s">
        <v>12862</v>
      </c>
      <c r="B582" s="1345" t="s">
        <v>12863</v>
      </c>
      <c r="C582" s="1346" t="s">
        <v>5154</v>
      </c>
      <c r="D582" s="1346" t="s">
        <v>748</v>
      </c>
      <c r="E582" s="1346" t="s">
        <v>11943</v>
      </c>
      <c r="F582" s="1346" t="s">
        <v>11931</v>
      </c>
      <c r="G582" s="1345" t="s">
        <v>60</v>
      </c>
      <c r="H582" s="1345" t="s">
        <v>12864</v>
      </c>
      <c r="I582" s="1349" t="s">
        <v>1539</v>
      </c>
      <c r="J582" s="1350"/>
      <c r="K582" s="1348">
        <v>4257000.0</v>
      </c>
    </row>
    <row r="583">
      <c r="A583" s="1344" t="s">
        <v>12865</v>
      </c>
      <c r="B583" s="1345" t="s">
        <v>12866</v>
      </c>
      <c r="C583" s="1346" t="s">
        <v>5154</v>
      </c>
      <c r="D583" s="1346" t="s">
        <v>750</v>
      </c>
      <c r="E583" s="1346" t="s">
        <v>11943</v>
      </c>
      <c r="F583" s="1346" t="s">
        <v>11944</v>
      </c>
      <c r="G583" s="1345" t="s">
        <v>62</v>
      </c>
      <c r="H583" s="1345" t="s">
        <v>751</v>
      </c>
      <c r="I583" s="1349" t="s">
        <v>1437</v>
      </c>
      <c r="J583" s="1350"/>
      <c r="K583" s="1348">
        <v>2294000.0</v>
      </c>
    </row>
    <row r="584">
      <c r="A584" s="1344" t="s">
        <v>12867</v>
      </c>
      <c r="B584" s="1345" t="s">
        <v>12868</v>
      </c>
      <c r="C584" s="1346" t="s">
        <v>5154</v>
      </c>
      <c r="D584" s="1346" t="s">
        <v>752</v>
      </c>
      <c r="E584" s="1346" t="s">
        <v>11943</v>
      </c>
      <c r="F584" s="1346" t="s">
        <v>11969</v>
      </c>
      <c r="G584" s="1345" t="s">
        <v>140</v>
      </c>
      <c r="H584" s="1345" t="s">
        <v>751</v>
      </c>
      <c r="I584" s="1350"/>
      <c r="J584" s="1350"/>
      <c r="K584" s="1348">
        <v>804000.0</v>
      </c>
    </row>
    <row r="585">
      <c r="A585" s="1344" t="s">
        <v>12869</v>
      </c>
      <c r="B585" s="1345" t="s">
        <v>12870</v>
      </c>
      <c r="C585" s="1346" t="s">
        <v>5154</v>
      </c>
      <c r="D585" s="1346" t="s">
        <v>753</v>
      </c>
      <c r="E585" s="1346" t="s">
        <v>11943</v>
      </c>
      <c r="F585" s="1346" t="s">
        <v>11969</v>
      </c>
      <c r="G585" s="1345" t="s">
        <v>142</v>
      </c>
      <c r="H585" s="1345" t="s">
        <v>751</v>
      </c>
      <c r="I585" s="1350"/>
      <c r="J585" s="1350"/>
      <c r="K585" s="1348">
        <v>804000.0</v>
      </c>
    </row>
    <row r="586">
      <c r="A586" s="1344" t="s">
        <v>12871</v>
      </c>
      <c r="B586" s="1345" t="s">
        <v>12872</v>
      </c>
      <c r="C586" s="1346" t="s">
        <v>5154</v>
      </c>
      <c r="D586" s="1346" t="s">
        <v>1511</v>
      </c>
      <c r="E586" s="1346" t="s">
        <v>11943</v>
      </c>
      <c r="F586" s="1346" t="s">
        <v>11969</v>
      </c>
      <c r="G586" s="1345" t="s">
        <v>144</v>
      </c>
      <c r="H586" s="1345" t="s">
        <v>751</v>
      </c>
      <c r="I586" s="1350"/>
      <c r="J586" s="1350"/>
      <c r="K586" s="1348">
        <v>725000.0</v>
      </c>
    </row>
    <row r="587">
      <c r="A587" s="1344" t="s">
        <v>12873</v>
      </c>
      <c r="B587" s="1345" t="s">
        <v>12874</v>
      </c>
      <c r="C587" s="1346" t="s">
        <v>5154</v>
      </c>
      <c r="D587" s="1346" t="s">
        <v>756</v>
      </c>
      <c r="E587" s="1346" t="s">
        <v>11943</v>
      </c>
      <c r="F587" s="1346" t="s">
        <v>11969</v>
      </c>
      <c r="G587" s="1345" t="s">
        <v>146</v>
      </c>
      <c r="H587" s="1345" t="s">
        <v>751</v>
      </c>
      <c r="I587" s="1350"/>
      <c r="J587" s="1350"/>
      <c r="K587" s="1348">
        <v>725000.0</v>
      </c>
    </row>
    <row r="588">
      <c r="A588" s="1344" t="s">
        <v>12875</v>
      </c>
      <c r="B588" s="1345" t="s">
        <v>5154</v>
      </c>
      <c r="C588" s="1346" t="s">
        <v>5154</v>
      </c>
      <c r="D588" s="1346" t="s">
        <v>757</v>
      </c>
      <c r="E588" s="1346" t="s">
        <v>11943</v>
      </c>
      <c r="F588" s="1346" t="s">
        <v>11969</v>
      </c>
      <c r="G588" s="1345" t="s">
        <v>396</v>
      </c>
      <c r="H588" s="1345" t="s">
        <v>751</v>
      </c>
      <c r="I588" s="1350"/>
      <c r="J588" s="1350"/>
      <c r="K588" s="1348">
        <v>291000.0</v>
      </c>
    </row>
    <row r="589">
      <c r="A589" s="1344" t="s">
        <v>12876</v>
      </c>
      <c r="B589" s="1345" t="s">
        <v>5154</v>
      </c>
      <c r="C589" s="1346" t="s">
        <v>5154</v>
      </c>
      <c r="D589" s="1346" t="s">
        <v>758</v>
      </c>
      <c r="E589" s="1346" t="s">
        <v>11943</v>
      </c>
      <c r="F589" s="1346" t="s">
        <v>11969</v>
      </c>
      <c r="G589" s="1345" t="s">
        <v>398</v>
      </c>
      <c r="H589" s="1345" t="s">
        <v>751</v>
      </c>
      <c r="I589" s="1350"/>
      <c r="J589" s="1350"/>
      <c r="K589" s="1348">
        <v>291000.0</v>
      </c>
    </row>
    <row r="590">
      <c r="A590" s="1344" t="s">
        <v>5154</v>
      </c>
      <c r="B590" s="1345" t="s">
        <v>12877</v>
      </c>
      <c r="C590" s="1346" t="s">
        <v>5154</v>
      </c>
      <c r="D590" s="1351" t="s">
        <v>1540</v>
      </c>
      <c r="E590" s="1346" t="s">
        <v>11930</v>
      </c>
      <c r="F590" s="1346" t="s">
        <v>11931</v>
      </c>
      <c r="G590" s="1345" t="s">
        <v>60</v>
      </c>
      <c r="H590" s="1345" t="s">
        <v>1541</v>
      </c>
      <c r="I590" s="1349" t="s">
        <v>314</v>
      </c>
      <c r="J590" s="1350"/>
      <c r="K590" s="1348">
        <v>4644000.0</v>
      </c>
    </row>
    <row r="591">
      <c r="A591" s="1344" t="s">
        <v>5154</v>
      </c>
      <c r="B591" s="1345" t="s">
        <v>12878</v>
      </c>
      <c r="C591" s="1346" t="s">
        <v>5154</v>
      </c>
      <c r="D591" s="1346" t="s">
        <v>1542</v>
      </c>
      <c r="E591" s="1346" t="s">
        <v>11930</v>
      </c>
      <c r="F591" s="1346" t="s">
        <v>11931</v>
      </c>
      <c r="G591" s="1345" t="s">
        <v>60</v>
      </c>
      <c r="H591" s="1345" t="s">
        <v>1543</v>
      </c>
      <c r="I591" s="1349" t="s">
        <v>1544</v>
      </c>
      <c r="J591" s="1350"/>
      <c r="K591" s="1348">
        <v>5051000.0</v>
      </c>
    </row>
    <row r="592">
      <c r="A592" s="1344" t="s">
        <v>5154</v>
      </c>
      <c r="B592" s="1345" t="s">
        <v>12879</v>
      </c>
      <c r="C592" s="1346" t="s">
        <v>5154</v>
      </c>
      <c r="D592" s="1346" t="s">
        <v>1545</v>
      </c>
      <c r="E592" s="1346" t="s">
        <v>11930</v>
      </c>
      <c r="F592" s="1346" t="s">
        <v>11944</v>
      </c>
      <c r="G592" s="1345" t="s">
        <v>62</v>
      </c>
      <c r="H592" s="1345" t="s">
        <v>1546</v>
      </c>
      <c r="I592" s="1349" t="s">
        <v>1437</v>
      </c>
      <c r="J592" s="1350"/>
      <c r="K592" s="1348">
        <v>2767000.0</v>
      </c>
    </row>
    <row r="593">
      <c r="A593" s="1344" t="s">
        <v>5154</v>
      </c>
      <c r="B593" s="1345" t="s">
        <v>12880</v>
      </c>
      <c r="C593" s="1346" t="s">
        <v>5154</v>
      </c>
      <c r="D593" s="1346" t="s">
        <v>1547</v>
      </c>
      <c r="E593" s="1346" t="s">
        <v>11930</v>
      </c>
      <c r="F593" s="1346" t="s">
        <v>11969</v>
      </c>
      <c r="G593" s="1345" t="s">
        <v>140</v>
      </c>
      <c r="H593" s="1345" t="s">
        <v>1546</v>
      </c>
      <c r="I593" s="1345" t="s">
        <v>406</v>
      </c>
      <c r="J593" s="1347"/>
      <c r="K593" s="1348">
        <v>566000.0</v>
      </c>
    </row>
    <row r="594">
      <c r="A594" s="1344" t="s">
        <v>5154</v>
      </c>
      <c r="B594" s="1345" t="s">
        <v>12881</v>
      </c>
      <c r="C594" s="1346" t="s">
        <v>5154</v>
      </c>
      <c r="D594" s="1346" t="s">
        <v>1548</v>
      </c>
      <c r="E594" s="1346" t="s">
        <v>11930</v>
      </c>
      <c r="F594" s="1346" t="s">
        <v>11969</v>
      </c>
      <c r="G594" s="1345" t="s">
        <v>142</v>
      </c>
      <c r="H594" s="1345" t="s">
        <v>1546</v>
      </c>
      <c r="I594" s="1345" t="s">
        <v>406</v>
      </c>
      <c r="J594" s="1347"/>
      <c r="K594" s="1348">
        <v>566000.0</v>
      </c>
    </row>
    <row r="595">
      <c r="A595" s="1344" t="s">
        <v>5154</v>
      </c>
      <c r="B595" s="1345" t="s">
        <v>12882</v>
      </c>
      <c r="C595" s="1346" t="s">
        <v>5154</v>
      </c>
      <c r="D595" s="1346" t="s">
        <v>1549</v>
      </c>
      <c r="E595" s="1346" t="s">
        <v>11930</v>
      </c>
      <c r="F595" s="1346" t="s">
        <v>11969</v>
      </c>
      <c r="G595" s="1345" t="s">
        <v>144</v>
      </c>
      <c r="H595" s="1345" t="s">
        <v>1546</v>
      </c>
      <c r="I595" s="1345" t="s">
        <v>406</v>
      </c>
      <c r="J595" s="1347"/>
      <c r="K595" s="1348">
        <v>566000.0</v>
      </c>
    </row>
    <row r="596">
      <c r="A596" s="1344" t="s">
        <v>5154</v>
      </c>
      <c r="B596" s="1345" t="s">
        <v>12883</v>
      </c>
      <c r="C596" s="1346" t="s">
        <v>5154</v>
      </c>
      <c r="D596" s="1346" t="s">
        <v>1550</v>
      </c>
      <c r="E596" s="1346" t="s">
        <v>11930</v>
      </c>
      <c r="F596" s="1346" t="s">
        <v>11969</v>
      </c>
      <c r="G596" s="1345" t="s">
        <v>146</v>
      </c>
      <c r="H596" s="1345" t="s">
        <v>1546</v>
      </c>
      <c r="I596" s="1345" t="s">
        <v>406</v>
      </c>
      <c r="J596" s="1347"/>
      <c r="K596" s="1348">
        <v>566000.0</v>
      </c>
    </row>
    <row r="597">
      <c r="A597" s="1344" t="s">
        <v>5154</v>
      </c>
      <c r="B597" s="1345" t="s">
        <v>12884</v>
      </c>
      <c r="C597" s="1346" t="s">
        <v>5154</v>
      </c>
      <c r="D597" s="1346" t="s">
        <v>1551</v>
      </c>
      <c r="E597" s="1346" t="s">
        <v>11930</v>
      </c>
      <c r="F597" s="1346" t="s">
        <v>11969</v>
      </c>
      <c r="G597" s="1345" t="s">
        <v>209</v>
      </c>
      <c r="H597" s="1345" t="s">
        <v>1546</v>
      </c>
      <c r="I597" s="1345" t="s">
        <v>1442</v>
      </c>
      <c r="J597" s="1347"/>
      <c r="K597" s="1348">
        <v>566000.0</v>
      </c>
    </row>
    <row r="598">
      <c r="A598" s="1344" t="s">
        <v>5154</v>
      </c>
      <c r="B598" s="1345" t="s">
        <v>12885</v>
      </c>
      <c r="C598" s="1346" t="s">
        <v>5154</v>
      </c>
      <c r="D598" s="1346" t="s">
        <v>1552</v>
      </c>
      <c r="E598" s="1346" t="s">
        <v>11930</v>
      </c>
      <c r="F598" s="1346" t="s">
        <v>11969</v>
      </c>
      <c r="G598" s="1345" t="s">
        <v>243</v>
      </c>
      <c r="H598" s="1345" t="s">
        <v>1546</v>
      </c>
      <c r="I598" s="1345" t="s">
        <v>1442</v>
      </c>
      <c r="J598" s="1347"/>
      <c r="K598" s="1348">
        <v>566000.0</v>
      </c>
    </row>
    <row r="599">
      <c r="A599" s="1344" t="s">
        <v>12886</v>
      </c>
      <c r="B599" s="1345" t="s">
        <v>12887</v>
      </c>
      <c r="C599" s="1346" t="s">
        <v>5154</v>
      </c>
      <c r="D599" s="1346" t="s">
        <v>759</v>
      </c>
      <c r="E599" s="1346" t="s">
        <v>11940</v>
      </c>
      <c r="F599" s="1346" t="s">
        <v>11931</v>
      </c>
      <c r="G599" s="1345" t="s">
        <v>60</v>
      </c>
      <c r="H599" s="1345" t="s">
        <v>760</v>
      </c>
      <c r="I599" s="1349" t="s">
        <v>90</v>
      </c>
      <c r="J599" s="1350"/>
      <c r="K599" s="1348">
        <v>4927000.0</v>
      </c>
    </row>
    <row r="600">
      <c r="A600" s="1344" t="s">
        <v>12888</v>
      </c>
      <c r="B600" s="1345" t="s">
        <v>12889</v>
      </c>
      <c r="C600" s="1346" t="s">
        <v>5154</v>
      </c>
      <c r="D600" s="1346" t="s">
        <v>761</v>
      </c>
      <c r="E600" s="1346" t="s">
        <v>11940</v>
      </c>
      <c r="F600" s="1346" t="s">
        <v>11931</v>
      </c>
      <c r="G600" s="1345" t="s">
        <v>60</v>
      </c>
      <c r="H600" s="1345" t="s">
        <v>762</v>
      </c>
      <c r="I600" s="1349" t="s">
        <v>745</v>
      </c>
      <c r="J600" s="1350"/>
      <c r="K600" s="1348">
        <v>4480000.0</v>
      </c>
    </row>
    <row r="601">
      <c r="A601" s="1344" t="s">
        <v>12890</v>
      </c>
      <c r="B601" s="1345" t="s">
        <v>12891</v>
      </c>
      <c r="C601" s="1346" t="s">
        <v>5154</v>
      </c>
      <c r="D601" s="1346" t="s">
        <v>763</v>
      </c>
      <c r="E601" s="1346" t="s">
        <v>11943</v>
      </c>
      <c r="F601" s="1346" t="s">
        <v>11944</v>
      </c>
      <c r="G601" s="1345" t="s">
        <v>62</v>
      </c>
      <c r="H601" s="1345" t="s">
        <v>764</v>
      </c>
      <c r="I601" s="1349" t="s">
        <v>1553</v>
      </c>
      <c r="J601" s="1350"/>
      <c r="K601" s="1348">
        <v>3717000.0</v>
      </c>
    </row>
    <row r="602">
      <c r="A602" s="1344" t="s">
        <v>12892</v>
      </c>
      <c r="B602" s="1345" t="s">
        <v>5154</v>
      </c>
      <c r="C602" s="1346" t="s">
        <v>5154</v>
      </c>
      <c r="D602" s="1346" t="s">
        <v>766</v>
      </c>
      <c r="E602" s="1346" t="s">
        <v>11943</v>
      </c>
      <c r="F602" s="1346" t="s">
        <v>11969</v>
      </c>
      <c r="G602" s="1345" t="s">
        <v>142</v>
      </c>
      <c r="H602" s="1345" t="s">
        <v>764</v>
      </c>
      <c r="I602" s="1349" t="s">
        <v>152</v>
      </c>
      <c r="J602" s="1350"/>
      <c r="K602" s="1348">
        <v>1045000.0</v>
      </c>
    </row>
    <row r="603">
      <c r="A603" s="1344" t="s">
        <v>12893</v>
      </c>
      <c r="B603" s="1345" t="s">
        <v>5154</v>
      </c>
      <c r="C603" s="1346" t="s">
        <v>5154</v>
      </c>
      <c r="D603" s="1346" t="s">
        <v>767</v>
      </c>
      <c r="E603" s="1346" t="s">
        <v>11943</v>
      </c>
      <c r="F603" s="1346" t="s">
        <v>11969</v>
      </c>
      <c r="G603" s="1345" t="s">
        <v>144</v>
      </c>
      <c r="H603" s="1345" t="s">
        <v>764</v>
      </c>
      <c r="I603" s="1349" t="s">
        <v>155</v>
      </c>
      <c r="J603" s="1350"/>
      <c r="K603" s="1348">
        <v>869000.0</v>
      </c>
    </row>
    <row r="604">
      <c r="A604" s="1344" t="s">
        <v>12894</v>
      </c>
      <c r="B604" s="1345" t="s">
        <v>5154</v>
      </c>
      <c r="C604" s="1346" t="s">
        <v>5154</v>
      </c>
      <c r="D604" s="1346" t="s">
        <v>768</v>
      </c>
      <c r="E604" s="1346" t="s">
        <v>11943</v>
      </c>
      <c r="F604" s="1346" t="s">
        <v>11969</v>
      </c>
      <c r="G604" s="1345" t="s">
        <v>146</v>
      </c>
      <c r="H604" s="1345" t="s">
        <v>764</v>
      </c>
      <c r="I604" s="1349" t="s">
        <v>155</v>
      </c>
      <c r="J604" s="1350"/>
      <c r="K604" s="1348">
        <v>869000.0</v>
      </c>
    </row>
    <row r="605">
      <c r="A605" s="1344" t="s">
        <v>12895</v>
      </c>
      <c r="B605" s="1345" t="s">
        <v>5154</v>
      </c>
      <c r="C605" s="1346" t="s">
        <v>5154</v>
      </c>
      <c r="D605" s="1346" t="s">
        <v>769</v>
      </c>
      <c r="E605" s="1346" t="s">
        <v>11943</v>
      </c>
      <c r="F605" s="1346" t="s">
        <v>11969</v>
      </c>
      <c r="G605" s="1345" t="s">
        <v>209</v>
      </c>
      <c r="H605" s="1345" t="s">
        <v>764</v>
      </c>
      <c r="I605" s="1349" t="s">
        <v>109</v>
      </c>
      <c r="J605" s="1350"/>
      <c r="K605" s="1348">
        <v>869000.0</v>
      </c>
    </row>
    <row r="606">
      <c r="A606" s="1344" t="s">
        <v>12896</v>
      </c>
      <c r="B606" s="1345" t="s">
        <v>5154</v>
      </c>
      <c r="C606" s="1346" t="s">
        <v>5154</v>
      </c>
      <c r="D606" s="1346" t="s">
        <v>770</v>
      </c>
      <c r="E606" s="1346" t="s">
        <v>11943</v>
      </c>
      <c r="F606" s="1346" t="s">
        <v>11969</v>
      </c>
      <c r="G606" s="1345" t="s">
        <v>243</v>
      </c>
      <c r="H606" s="1345" t="s">
        <v>764</v>
      </c>
      <c r="I606" s="1349" t="s">
        <v>109</v>
      </c>
      <c r="J606" s="1350"/>
      <c r="K606" s="1348">
        <v>869000.0</v>
      </c>
    </row>
    <row r="607">
      <c r="A607" s="1344" t="s">
        <v>12897</v>
      </c>
      <c r="B607" s="1345" t="s">
        <v>12898</v>
      </c>
      <c r="C607" s="1346" t="s">
        <v>5154</v>
      </c>
      <c r="D607" s="1346" t="s">
        <v>771</v>
      </c>
      <c r="E607" s="1346" t="s">
        <v>11940</v>
      </c>
      <c r="F607" s="1346" t="s">
        <v>11931</v>
      </c>
      <c r="G607" s="1345" t="s">
        <v>60</v>
      </c>
      <c r="H607" s="1345" t="s">
        <v>772</v>
      </c>
      <c r="I607" s="1349" t="s">
        <v>196</v>
      </c>
      <c r="J607" s="1350"/>
      <c r="K607" s="1348">
        <v>5040000.0</v>
      </c>
    </row>
    <row r="608">
      <c r="A608" s="1344" t="s">
        <v>12899</v>
      </c>
      <c r="B608" s="1345" t="s">
        <v>12900</v>
      </c>
      <c r="C608" s="1346" t="s">
        <v>5154</v>
      </c>
      <c r="D608" s="1346" t="s">
        <v>773</v>
      </c>
      <c r="E608" s="1346" t="s">
        <v>11940</v>
      </c>
      <c r="F608" s="1346" t="s">
        <v>11944</v>
      </c>
      <c r="G608" s="1345" t="s">
        <v>62</v>
      </c>
      <c r="H608" s="1345" t="s">
        <v>772</v>
      </c>
      <c r="I608" s="1349" t="s">
        <v>1553</v>
      </c>
      <c r="J608" s="1350"/>
      <c r="K608" s="1348">
        <v>3717000.0</v>
      </c>
    </row>
    <row r="609">
      <c r="A609" s="1344" t="s">
        <v>5154</v>
      </c>
      <c r="B609" s="1345" t="s">
        <v>12901</v>
      </c>
      <c r="C609" s="1346" t="s">
        <v>5154</v>
      </c>
      <c r="D609" s="1346" t="s">
        <v>12902</v>
      </c>
      <c r="E609" s="1346" t="s">
        <v>11930</v>
      </c>
      <c r="F609" s="1351" t="s">
        <v>11931</v>
      </c>
      <c r="G609" s="1349" t="s">
        <v>60</v>
      </c>
      <c r="H609" s="1345" t="s">
        <v>12903</v>
      </c>
      <c r="I609" s="1349" t="s">
        <v>314</v>
      </c>
      <c r="J609" s="1350"/>
      <c r="K609" s="1348">
        <v>5040000.0</v>
      </c>
    </row>
    <row r="610">
      <c r="A610" s="1344" t="s">
        <v>5154</v>
      </c>
      <c r="B610" s="1345" t="s">
        <v>12904</v>
      </c>
      <c r="C610" s="1346" t="s">
        <v>5154</v>
      </c>
      <c r="D610" s="1346" t="s">
        <v>1554</v>
      </c>
      <c r="E610" s="1346" t="s">
        <v>11930</v>
      </c>
      <c r="F610" s="1346" t="s">
        <v>11944</v>
      </c>
      <c r="G610" s="1345" t="s">
        <v>62</v>
      </c>
      <c r="H610" s="1345" t="s">
        <v>1555</v>
      </c>
      <c r="I610" s="1349" t="s">
        <v>1437</v>
      </c>
      <c r="J610" s="1350"/>
      <c r="K610" s="1348">
        <v>4121000.0</v>
      </c>
    </row>
    <row r="611">
      <c r="A611" s="1344" t="s">
        <v>5154</v>
      </c>
      <c r="B611" s="1345" t="s">
        <v>12905</v>
      </c>
      <c r="C611" s="1346" t="s">
        <v>12906</v>
      </c>
      <c r="D611" s="1351" t="s">
        <v>1945</v>
      </c>
      <c r="E611" s="1346" t="s">
        <v>12155</v>
      </c>
      <c r="F611" s="1346" t="s">
        <v>11931</v>
      </c>
      <c r="G611" s="1345" t="s">
        <v>60</v>
      </c>
      <c r="H611" s="1345" t="s">
        <v>12907</v>
      </c>
      <c r="I611" s="1349" t="s">
        <v>109</v>
      </c>
      <c r="J611" s="1350"/>
      <c r="K611" s="1348">
        <v>1182000.0</v>
      </c>
    </row>
    <row r="612">
      <c r="A612" s="1344" t="s">
        <v>12908</v>
      </c>
      <c r="B612" s="1345" t="s">
        <v>12909</v>
      </c>
      <c r="C612" s="1346" t="s">
        <v>5154</v>
      </c>
      <c r="D612" s="1346" t="s">
        <v>774</v>
      </c>
      <c r="E612" s="1346" t="s">
        <v>11940</v>
      </c>
      <c r="F612" s="1346" t="s">
        <v>11931</v>
      </c>
      <c r="G612" s="1345" t="s">
        <v>60</v>
      </c>
      <c r="H612" s="1345" t="s">
        <v>775</v>
      </c>
      <c r="I612" s="1349" t="s">
        <v>137</v>
      </c>
      <c r="J612" s="1350"/>
      <c r="K612" s="1348">
        <v>5599000.0</v>
      </c>
    </row>
    <row r="613">
      <c r="A613" s="1341" t="s">
        <v>12910</v>
      </c>
      <c r="B613" s="1342" t="s">
        <v>12910</v>
      </c>
      <c r="C613" s="1343"/>
      <c r="D613" s="1343"/>
      <c r="E613" s="1343"/>
      <c r="F613" s="1343"/>
      <c r="G613" s="1343"/>
      <c r="H613" s="1342" t="s">
        <v>12910</v>
      </c>
      <c r="I613" s="1343"/>
      <c r="J613" s="1343"/>
      <c r="K613" s="1343"/>
    </row>
    <row r="614">
      <c r="A614" s="1344" t="s">
        <v>12911</v>
      </c>
      <c r="B614" s="1345" t="s">
        <v>12912</v>
      </c>
      <c r="C614" s="1346" t="s">
        <v>5154</v>
      </c>
      <c r="D614" s="1346" t="s">
        <v>776</v>
      </c>
      <c r="E614" s="1346" t="s">
        <v>11943</v>
      </c>
      <c r="F614" s="1346" t="s">
        <v>11931</v>
      </c>
      <c r="G614" s="1345" t="s">
        <v>60</v>
      </c>
      <c r="H614" s="1345" t="s">
        <v>12913</v>
      </c>
      <c r="I614" s="1349" t="s">
        <v>137</v>
      </c>
      <c r="J614" s="1350"/>
      <c r="K614" s="1348">
        <v>1682000.0</v>
      </c>
    </row>
    <row r="615">
      <c r="A615" s="1344" t="s">
        <v>12914</v>
      </c>
      <c r="B615" s="1345" t="s">
        <v>5154</v>
      </c>
      <c r="C615" s="1346" t="s">
        <v>5154</v>
      </c>
      <c r="D615" s="1346" t="s">
        <v>778</v>
      </c>
      <c r="E615" s="1346" t="s">
        <v>11943</v>
      </c>
      <c r="F615" s="1346" t="s">
        <v>11944</v>
      </c>
      <c r="G615" s="1345" t="s">
        <v>62</v>
      </c>
      <c r="H615" s="1345" t="s">
        <v>12913</v>
      </c>
      <c r="I615" s="1349" t="s">
        <v>1442</v>
      </c>
      <c r="J615" s="1350"/>
      <c r="K615" s="1348">
        <v>1766000.0</v>
      </c>
    </row>
    <row r="616">
      <c r="A616" s="1344" t="s">
        <v>5154</v>
      </c>
      <c r="B616" s="1345" t="s">
        <v>12915</v>
      </c>
      <c r="C616" s="1346" t="s">
        <v>5154</v>
      </c>
      <c r="D616" s="1351" t="s">
        <v>12916</v>
      </c>
      <c r="E616" s="1346" t="s">
        <v>11930</v>
      </c>
      <c r="F616" s="1346" t="s">
        <v>11931</v>
      </c>
      <c r="G616" s="1345" t="s">
        <v>60</v>
      </c>
      <c r="H616" s="1345" t="s">
        <v>2365</v>
      </c>
      <c r="I616" s="1349" t="s">
        <v>1558</v>
      </c>
      <c r="J616" s="1350"/>
      <c r="K616" s="1348">
        <v>4212000.0</v>
      </c>
    </row>
    <row r="617">
      <c r="A617" s="1344" t="s">
        <v>5154</v>
      </c>
      <c r="B617" s="1345" t="s">
        <v>12917</v>
      </c>
      <c r="C617" s="1346" t="s">
        <v>5154</v>
      </c>
      <c r="D617" s="1346" t="s">
        <v>1556</v>
      </c>
      <c r="E617" s="1346" t="s">
        <v>11930</v>
      </c>
      <c r="F617" s="1346" t="s">
        <v>11931</v>
      </c>
      <c r="G617" s="1345" t="s">
        <v>60</v>
      </c>
      <c r="H617" s="1345" t="s">
        <v>2365</v>
      </c>
      <c r="I617" s="1349" t="s">
        <v>124</v>
      </c>
      <c r="J617" s="1350"/>
      <c r="K617" s="1348">
        <v>4434000.0</v>
      </c>
    </row>
    <row r="618">
      <c r="A618" s="1344" t="s">
        <v>12918</v>
      </c>
      <c r="B618" s="1345" t="s">
        <v>12919</v>
      </c>
      <c r="C618" s="1346" t="s">
        <v>5154</v>
      </c>
      <c r="D618" s="1346" t="s">
        <v>779</v>
      </c>
      <c r="E618" s="1346" t="s">
        <v>11940</v>
      </c>
      <c r="F618" s="1346" t="s">
        <v>11931</v>
      </c>
      <c r="G618" s="1345" t="s">
        <v>60</v>
      </c>
      <c r="H618" s="1345" t="s">
        <v>12920</v>
      </c>
      <c r="I618" s="1349" t="s">
        <v>314</v>
      </c>
      <c r="J618" s="1350"/>
      <c r="K618" s="1348">
        <v>5376000.0</v>
      </c>
    </row>
    <row r="619">
      <c r="A619" s="1344" t="s">
        <v>5154</v>
      </c>
      <c r="B619" s="1345" t="s">
        <v>12921</v>
      </c>
      <c r="C619" s="1346" t="s">
        <v>5154</v>
      </c>
      <c r="D619" s="1351" t="s">
        <v>12922</v>
      </c>
      <c r="E619" s="1346" t="s">
        <v>11930</v>
      </c>
      <c r="F619" s="1346" t="s">
        <v>11931</v>
      </c>
      <c r="G619" s="1349" t="s">
        <v>60</v>
      </c>
      <c r="H619" s="1345" t="s">
        <v>12923</v>
      </c>
      <c r="I619" s="1349" t="s">
        <v>314</v>
      </c>
      <c r="J619" s="1350"/>
      <c r="K619" s="1348">
        <v>1.1E7</v>
      </c>
    </row>
    <row r="620">
      <c r="A620" s="1344" t="s">
        <v>5154</v>
      </c>
      <c r="B620" s="1345" t="s">
        <v>12924</v>
      </c>
      <c r="C620" s="1346" t="s">
        <v>5154</v>
      </c>
      <c r="D620" s="1346" t="s">
        <v>1418</v>
      </c>
      <c r="E620" s="1346" t="s">
        <v>11930</v>
      </c>
      <c r="F620" s="1346" t="s">
        <v>11931</v>
      </c>
      <c r="G620" s="1345" t="s">
        <v>60</v>
      </c>
      <c r="H620" s="1345" t="s">
        <v>1419</v>
      </c>
      <c r="I620" s="1349" t="s">
        <v>314</v>
      </c>
      <c r="J620" s="1350"/>
      <c r="K620" s="1348">
        <v>5543000.0</v>
      </c>
    </row>
    <row r="621">
      <c r="A621" s="1344" t="s">
        <v>5154</v>
      </c>
      <c r="B621" s="1345" t="s">
        <v>12925</v>
      </c>
      <c r="C621" s="1346" t="s">
        <v>5154</v>
      </c>
      <c r="D621" s="1351" t="s">
        <v>1561</v>
      </c>
      <c r="E621" s="1346" t="s">
        <v>11930</v>
      </c>
      <c r="F621" s="1346" t="s">
        <v>11931</v>
      </c>
      <c r="G621" s="1345" t="s">
        <v>60</v>
      </c>
      <c r="H621" s="1345" t="s">
        <v>1562</v>
      </c>
      <c r="I621" s="1349" t="s">
        <v>109</v>
      </c>
      <c r="J621" s="1350"/>
      <c r="K621" s="1348">
        <v>1728000.0</v>
      </c>
    </row>
    <row r="622">
      <c r="A622" s="1344" t="s">
        <v>5154</v>
      </c>
      <c r="B622" s="1345" t="s">
        <v>12926</v>
      </c>
      <c r="C622" s="1346" t="s">
        <v>5154</v>
      </c>
      <c r="D622" s="1346" t="s">
        <v>1563</v>
      </c>
      <c r="E622" s="1346" t="s">
        <v>11930</v>
      </c>
      <c r="F622" s="1346" t="s">
        <v>11931</v>
      </c>
      <c r="G622" s="1345" t="s">
        <v>60</v>
      </c>
      <c r="H622" s="1345" t="s">
        <v>1564</v>
      </c>
      <c r="I622" s="1345" t="s">
        <v>124</v>
      </c>
      <c r="J622" s="1347"/>
      <c r="K622" s="1348">
        <v>6774000.0</v>
      </c>
    </row>
    <row r="623">
      <c r="A623" s="1344" t="s">
        <v>12927</v>
      </c>
      <c r="B623" s="1345" t="s">
        <v>12928</v>
      </c>
      <c r="C623" s="1346" t="s">
        <v>5154</v>
      </c>
      <c r="D623" s="1346" t="s">
        <v>1514</v>
      </c>
      <c r="E623" s="1346" t="s">
        <v>11940</v>
      </c>
      <c r="F623" s="1346" t="s">
        <v>11931</v>
      </c>
      <c r="G623" s="1345" t="s">
        <v>60</v>
      </c>
      <c r="H623" s="1345" t="s">
        <v>1515</v>
      </c>
      <c r="I623" s="1349" t="s">
        <v>124</v>
      </c>
      <c r="J623" s="1350"/>
      <c r="K623" s="1348">
        <v>3361000.0</v>
      </c>
    </row>
    <row r="624">
      <c r="A624" s="1344" t="s">
        <v>5154</v>
      </c>
      <c r="B624" s="1345" t="s">
        <v>12929</v>
      </c>
      <c r="C624" s="1346" t="s">
        <v>5154</v>
      </c>
      <c r="D624" s="1346" t="s">
        <v>1565</v>
      </c>
      <c r="E624" s="1346" t="s">
        <v>11930</v>
      </c>
      <c r="F624" s="1346" t="s">
        <v>11931</v>
      </c>
      <c r="G624" s="1345" t="s">
        <v>60</v>
      </c>
      <c r="H624" s="1345" t="s">
        <v>1566</v>
      </c>
      <c r="I624" s="1345" t="s">
        <v>124</v>
      </c>
      <c r="J624" s="1347"/>
      <c r="K624" s="1348">
        <v>3941000.0</v>
      </c>
    </row>
    <row r="625">
      <c r="A625" s="1344" t="s">
        <v>12930</v>
      </c>
      <c r="B625" s="1345" t="s">
        <v>12931</v>
      </c>
      <c r="C625" s="1346" t="s">
        <v>5154</v>
      </c>
      <c r="D625" s="1346" t="s">
        <v>783</v>
      </c>
      <c r="E625" s="1346" t="s">
        <v>11940</v>
      </c>
      <c r="F625" s="1346" t="s">
        <v>11944</v>
      </c>
      <c r="G625" s="1345" t="s">
        <v>62</v>
      </c>
      <c r="H625" s="1345" t="s">
        <v>784</v>
      </c>
      <c r="I625" s="1349" t="s">
        <v>1509</v>
      </c>
      <c r="J625" s="1350"/>
      <c r="K625" s="1348">
        <v>2892000.0</v>
      </c>
    </row>
    <row r="626">
      <c r="A626" s="1344" t="s">
        <v>12932</v>
      </c>
      <c r="B626" s="1345" t="s">
        <v>12933</v>
      </c>
      <c r="C626" s="1346" t="s">
        <v>5154</v>
      </c>
      <c r="D626" s="1346" t="s">
        <v>785</v>
      </c>
      <c r="E626" s="1346" t="s">
        <v>11940</v>
      </c>
      <c r="F626" s="1346" t="s">
        <v>11931</v>
      </c>
      <c r="G626" s="1345" t="s">
        <v>60</v>
      </c>
      <c r="H626" s="1345" t="s">
        <v>12934</v>
      </c>
      <c r="I626" s="1349" t="s">
        <v>124</v>
      </c>
      <c r="J626" s="1350"/>
      <c r="K626" s="1348">
        <v>3272000.0</v>
      </c>
    </row>
    <row r="627">
      <c r="A627" s="1344" t="s">
        <v>5154</v>
      </c>
      <c r="B627" s="1345" t="s">
        <v>12935</v>
      </c>
      <c r="C627" s="1346" t="s">
        <v>5154</v>
      </c>
      <c r="D627" s="1346" t="s">
        <v>1420</v>
      </c>
      <c r="E627" s="1346" t="s">
        <v>11930</v>
      </c>
      <c r="F627" s="1346" t="s">
        <v>11931</v>
      </c>
      <c r="G627" s="1345" t="s">
        <v>60</v>
      </c>
      <c r="H627" s="1345" t="s">
        <v>12936</v>
      </c>
      <c r="I627" s="1349" t="s">
        <v>124</v>
      </c>
      <c r="J627" s="1350"/>
      <c r="K627" s="1348">
        <v>3572000.0</v>
      </c>
    </row>
    <row r="628">
      <c r="A628" s="1344" t="s">
        <v>5154</v>
      </c>
      <c r="B628" s="1345" t="s">
        <v>12937</v>
      </c>
      <c r="C628" s="1346" t="s">
        <v>5154</v>
      </c>
      <c r="D628" s="1351" t="s">
        <v>12938</v>
      </c>
      <c r="E628" s="1346" t="s">
        <v>11930</v>
      </c>
      <c r="F628" s="1346" t="s">
        <v>11931</v>
      </c>
      <c r="G628" s="1345" t="s">
        <v>60</v>
      </c>
      <c r="H628" s="1345" t="s">
        <v>12939</v>
      </c>
      <c r="I628" s="1349" t="s">
        <v>314</v>
      </c>
      <c r="J628" s="1350"/>
      <c r="K628" s="1348">
        <v>4275000.0</v>
      </c>
    </row>
    <row r="629">
      <c r="A629" s="1344" t="s">
        <v>12940</v>
      </c>
      <c r="B629" s="1345" t="s">
        <v>12941</v>
      </c>
      <c r="C629" s="1346" t="s">
        <v>5154</v>
      </c>
      <c r="D629" s="1346" t="s">
        <v>787</v>
      </c>
      <c r="E629" s="1346" t="s">
        <v>11940</v>
      </c>
      <c r="F629" s="1346" t="s">
        <v>11944</v>
      </c>
      <c r="G629" s="1345" t="s">
        <v>62</v>
      </c>
      <c r="H629" s="1345" t="s">
        <v>788</v>
      </c>
      <c r="I629" s="1349" t="s">
        <v>1509</v>
      </c>
      <c r="J629" s="1350"/>
      <c r="K629" s="1348">
        <v>2570000.0</v>
      </c>
    </row>
    <row r="630">
      <c r="A630" s="1344" t="s">
        <v>12942</v>
      </c>
      <c r="B630" s="1345" t="s">
        <v>12943</v>
      </c>
      <c r="C630" s="1346" t="s">
        <v>5154</v>
      </c>
      <c r="D630" s="1346" t="s">
        <v>789</v>
      </c>
      <c r="E630" s="1346" t="s">
        <v>11940</v>
      </c>
      <c r="F630" s="1346" t="s">
        <v>11931</v>
      </c>
      <c r="G630" s="1345" t="s">
        <v>60</v>
      </c>
      <c r="H630" s="1345" t="s">
        <v>12944</v>
      </c>
      <c r="I630" s="1349" t="s">
        <v>124</v>
      </c>
      <c r="J630" s="1350"/>
      <c r="K630" s="1348">
        <v>3361000.0</v>
      </c>
    </row>
    <row r="631">
      <c r="A631" s="1344" t="s">
        <v>12945</v>
      </c>
      <c r="B631" s="1345" t="s">
        <v>12946</v>
      </c>
      <c r="C631" s="1346" t="s">
        <v>5154</v>
      </c>
      <c r="D631" s="1346" t="s">
        <v>791</v>
      </c>
      <c r="E631" s="1346" t="s">
        <v>11940</v>
      </c>
      <c r="F631" s="1346" t="s">
        <v>11931</v>
      </c>
      <c r="G631" s="1345" t="s">
        <v>60</v>
      </c>
      <c r="H631" s="1345" t="s">
        <v>12947</v>
      </c>
      <c r="I631" s="1349" t="s">
        <v>12948</v>
      </c>
      <c r="J631" s="1350"/>
      <c r="K631" s="1348">
        <v>3865000.0</v>
      </c>
    </row>
    <row r="632">
      <c r="A632" s="1344" t="s">
        <v>12949</v>
      </c>
      <c r="B632" s="1345" t="s">
        <v>12950</v>
      </c>
      <c r="C632" s="1346" t="s">
        <v>5154</v>
      </c>
      <c r="D632" s="1346" t="s">
        <v>1524</v>
      </c>
      <c r="E632" s="1346" t="s">
        <v>11940</v>
      </c>
      <c r="F632" s="1346" t="s">
        <v>11931</v>
      </c>
      <c r="G632" s="1345" t="s">
        <v>60</v>
      </c>
      <c r="H632" s="1345" t="s">
        <v>12951</v>
      </c>
      <c r="I632" s="1349" t="s">
        <v>12948</v>
      </c>
      <c r="J632" s="1350"/>
      <c r="K632" s="1348">
        <v>3865000.0</v>
      </c>
    </row>
    <row r="633">
      <c r="A633" s="1344" t="s">
        <v>5154</v>
      </c>
      <c r="B633" s="1345" t="s">
        <v>12952</v>
      </c>
      <c r="C633" s="1346" t="s">
        <v>5154</v>
      </c>
      <c r="D633" s="1346" t="s">
        <v>1570</v>
      </c>
      <c r="E633" s="1346" t="s">
        <v>11930</v>
      </c>
      <c r="F633" s="1346" t="s">
        <v>11944</v>
      </c>
      <c r="G633" s="1345" t="s">
        <v>62</v>
      </c>
      <c r="H633" s="1345" t="s">
        <v>12953</v>
      </c>
      <c r="I633" s="1349" t="s">
        <v>11951</v>
      </c>
      <c r="J633" s="1350"/>
      <c r="K633" s="1348">
        <v>2379000.0</v>
      </c>
    </row>
    <row r="634">
      <c r="A634" s="1344" t="s">
        <v>12954</v>
      </c>
      <c r="B634" s="1345" t="s">
        <v>12955</v>
      </c>
      <c r="C634" s="1346" t="s">
        <v>5154</v>
      </c>
      <c r="D634" s="1346" t="s">
        <v>794</v>
      </c>
      <c r="E634" s="1346" t="s">
        <v>11943</v>
      </c>
      <c r="F634" s="1346" t="s">
        <v>11931</v>
      </c>
      <c r="G634" s="1345" t="s">
        <v>60</v>
      </c>
      <c r="H634" s="1345" t="s">
        <v>12956</v>
      </c>
      <c r="I634" s="1349" t="s">
        <v>314</v>
      </c>
      <c r="J634" s="1350"/>
      <c r="K634" s="1348">
        <v>5376000.0</v>
      </c>
    </row>
    <row r="635">
      <c r="A635" s="1344" t="s">
        <v>5154</v>
      </c>
      <c r="B635" s="1345" t="s">
        <v>12957</v>
      </c>
      <c r="C635" s="1346" t="s">
        <v>5154</v>
      </c>
      <c r="D635" s="1351" t="s">
        <v>796</v>
      </c>
      <c r="E635" s="1346" t="s">
        <v>11930</v>
      </c>
      <c r="F635" s="1346" t="s">
        <v>11944</v>
      </c>
      <c r="G635" s="1345" t="s">
        <v>62</v>
      </c>
      <c r="H635" s="1345" t="s">
        <v>12958</v>
      </c>
      <c r="I635" s="1349" t="s">
        <v>11951</v>
      </c>
      <c r="J635" s="1350"/>
      <c r="K635" s="1348">
        <v>4500000.0</v>
      </c>
    </row>
    <row r="636">
      <c r="A636" s="1344" t="s">
        <v>5154</v>
      </c>
      <c r="B636" s="1345" t="s">
        <v>12959</v>
      </c>
      <c r="C636" s="1346" t="s">
        <v>5154</v>
      </c>
      <c r="D636" s="1346" t="s">
        <v>1572</v>
      </c>
      <c r="E636" s="1346" t="s">
        <v>11930</v>
      </c>
      <c r="F636" s="1346" t="s">
        <v>11931</v>
      </c>
      <c r="G636" s="1345" t="s">
        <v>60</v>
      </c>
      <c r="H636" s="1345" t="s">
        <v>12960</v>
      </c>
      <c r="I636" s="1349" t="s">
        <v>1558</v>
      </c>
      <c r="J636" s="1350"/>
      <c r="K636" s="1348">
        <v>2355000.0</v>
      </c>
    </row>
    <row r="637">
      <c r="A637" s="1344" t="s">
        <v>5154</v>
      </c>
      <c r="B637" s="1345" t="s">
        <v>12961</v>
      </c>
      <c r="C637" s="1346" t="s">
        <v>5154</v>
      </c>
      <c r="D637" s="1346" t="s">
        <v>1573</v>
      </c>
      <c r="E637" s="1346" t="s">
        <v>11930</v>
      </c>
      <c r="F637" s="1346" t="s">
        <v>11931</v>
      </c>
      <c r="G637" s="1345" t="s">
        <v>60</v>
      </c>
      <c r="H637" s="1345" t="s">
        <v>12962</v>
      </c>
      <c r="I637" s="1349" t="s">
        <v>1558</v>
      </c>
      <c r="J637" s="1350"/>
      <c r="K637" s="1348">
        <v>2237000.0</v>
      </c>
    </row>
    <row r="638">
      <c r="A638" s="1344" t="s">
        <v>12963</v>
      </c>
      <c r="B638" s="1345" t="s">
        <v>12964</v>
      </c>
      <c r="C638" s="1346" t="s">
        <v>5154</v>
      </c>
      <c r="D638" s="1346" t="s">
        <v>798</v>
      </c>
      <c r="E638" s="1346" t="s">
        <v>11940</v>
      </c>
      <c r="F638" s="1346" t="s">
        <v>11944</v>
      </c>
      <c r="G638" s="1345" t="s">
        <v>62</v>
      </c>
      <c r="H638" s="1345" t="s">
        <v>12965</v>
      </c>
      <c r="I638" s="1349" t="s">
        <v>1442</v>
      </c>
      <c r="J638" s="1350"/>
      <c r="K638" s="1348">
        <v>5940000.0</v>
      </c>
    </row>
    <row r="639">
      <c r="A639" s="1344" t="s">
        <v>5154</v>
      </c>
      <c r="B639" s="1345" t="s">
        <v>12966</v>
      </c>
      <c r="C639" s="1346" t="s">
        <v>5154</v>
      </c>
      <c r="D639" s="1351" t="s">
        <v>12967</v>
      </c>
      <c r="E639" s="1346" t="s">
        <v>11930</v>
      </c>
      <c r="F639" s="1346" t="s">
        <v>11944</v>
      </c>
      <c r="G639" s="1345" t="s">
        <v>62</v>
      </c>
      <c r="H639" s="1345" t="s">
        <v>12968</v>
      </c>
      <c r="I639" s="1349" t="s">
        <v>1442</v>
      </c>
      <c r="J639" s="1350"/>
      <c r="K639" s="1348">
        <v>5940000.0</v>
      </c>
    </row>
    <row r="640">
      <c r="A640" s="1344" t="s">
        <v>12969</v>
      </c>
      <c r="B640" s="1345" t="s">
        <v>12970</v>
      </c>
      <c r="C640" s="1346" t="s">
        <v>5154</v>
      </c>
      <c r="D640" s="1346" t="s">
        <v>800</v>
      </c>
      <c r="E640" s="1346" t="s">
        <v>11940</v>
      </c>
      <c r="F640" s="1346" t="s">
        <v>11931</v>
      </c>
      <c r="G640" s="1345" t="s">
        <v>60</v>
      </c>
      <c r="H640" s="1345" t="s">
        <v>801</v>
      </c>
      <c r="I640" s="1349" t="s">
        <v>196</v>
      </c>
      <c r="J640" s="1350"/>
      <c r="K640" s="1348">
        <v>3026000.0</v>
      </c>
    </row>
    <row r="641">
      <c r="A641" s="1344" t="s">
        <v>5154</v>
      </c>
      <c r="B641" s="1345" t="s">
        <v>12971</v>
      </c>
      <c r="C641" s="1346" t="s">
        <v>5154</v>
      </c>
      <c r="D641" s="1351" t="s">
        <v>12972</v>
      </c>
      <c r="E641" s="1346" t="s">
        <v>11930</v>
      </c>
      <c r="F641" s="1346" t="s">
        <v>11931</v>
      </c>
      <c r="G641" s="1345" t="s">
        <v>60</v>
      </c>
      <c r="H641" s="1345" t="s">
        <v>801</v>
      </c>
      <c r="I641" s="1349" t="s">
        <v>109</v>
      </c>
      <c r="J641" s="1350"/>
      <c r="K641" s="1348">
        <v>2900000.0</v>
      </c>
    </row>
    <row r="642">
      <c r="A642" s="1344" t="s">
        <v>12973</v>
      </c>
      <c r="B642" s="1345" t="s">
        <v>5154</v>
      </c>
      <c r="C642" s="1346" t="s">
        <v>5154</v>
      </c>
      <c r="D642" s="1346" t="s">
        <v>802</v>
      </c>
      <c r="E642" s="1346" t="s">
        <v>11943</v>
      </c>
      <c r="F642" s="1346" t="s">
        <v>11944</v>
      </c>
      <c r="G642" s="1345" t="s">
        <v>62</v>
      </c>
      <c r="H642" s="1345" t="s">
        <v>801</v>
      </c>
      <c r="I642" s="1349" t="s">
        <v>1509</v>
      </c>
      <c r="J642" s="1350"/>
      <c r="K642" s="1348">
        <v>2570000.0</v>
      </c>
    </row>
    <row r="643">
      <c r="A643" s="1344" t="s">
        <v>5154</v>
      </c>
      <c r="B643" s="1345" t="s">
        <v>12974</v>
      </c>
      <c r="C643" s="1346" t="s">
        <v>5154</v>
      </c>
      <c r="D643" s="1346" t="s">
        <v>12975</v>
      </c>
      <c r="E643" s="1346" t="s">
        <v>11930</v>
      </c>
      <c r="F643" s="1351" t="s">
        <v>11931</v>
      </c>
      <c r="G643" s="1349" t="s">
        <v>60</v>
      </c>
      <c r="H643" s="1345" t="s">
        <v>12976</v>
      </c>
      <c r="I643" s="1349" t="s">
        <v>196</v>
      </c>
      <c r="J643" s="1350"/>
      <c r="K643" s="1348">
        <v>7500000.0</v>
      </c>
    </row>
    <row r="644">
      <c r="A644" s="1344" t="s">
        <v>12977</v>
      </c>
      <c r="B644" s="1345" t="s">
        <v>12978</v>
      </c>
      <c r="C644" s="1346" t="s">
        <v>5154</v>
      </c>
      <c r="D644" s="1346" t="s">
        <v>803</v>
      </c>
      <c r="E644" s="1346" t="s">
        <v>11940</v>
      </c>
      <c r="F644" s="1346" t="s">
        <v>11931</v>
      </c>
      <c r="G644" s="1345" t="s">
        <v>60</v>
      </c>
      <c r="H644" s="1345" t="s">
        <v>12979</v>
      </c>
      <c r="I644" s="1349" t="s">
        <v>196</v>
      </c>
      <c r="J644" s="1350"/>
      <c r="K644" s="1348">
        <v>3026000.0</v>
      </c>
    </row>
    <row r="645">
      <c r="A645" s="1344" t="s">
        <v>5154</v>
      </c>
      <c r="B645" s="1345" t="s">
        <v>12980</v>
      </c>
      <c r="C645" s="1346" t="s">
        <v>5154</v>
      </c>
      <c r="D645" s="1346" t="s">
        <v>1575</v>
      </c>
      <c r="E645" s="1346" t="s">
        <v>11930</v>
      </c>
      <c r="F645" s="1346" t="s">
        <v>11944</v>
      </c>
      <c r="G645" s="1345" t="s">
        <v>62</v>
      </c>
      <c r="H645" s="1345" t="s">
        <v>804</v>
      </c>
      <c r="I645" s="1349" t="s">
        <v>12981</v>
      </c>
      <c r="J645" s="1350"/>
      <c r="K645" s="1348">
        <v>3237000.0</v>
      </c>
    </row>
    <row r="646">
      <c r="A646" s="1344" t="s">
        <v>12982</v>
      </c>
      <c r="B646" s="1345" t="s">
        <v>12983</v>
      </c>
      <c r="C646" s="1346" t="s">
        <v>5154</v>
      </c>
      <c r="D646" s="1346" t="s">
        <v>1529</v>
      </c>
      <c r="E646" s="1346" t="s">
        <v>11940</v>
      </c>
      <c r="F646" s="1346" t="s">
        <v>11931</v>
      </c>
      <c r="G646" s="1345" t="s">
        <v>60</v>
      </c>
      <c r="H646" s="1345" t="s">
        <v>1530</v>
      </c>
      <c r="I646" s="1349" t="s">
        <v>124</v>
      </c>
      <c r="J646" s="1350"/>
      <c r="K646" s="1348">
        <v>3920000.0</v>
      </c>
    </row>
    <row r="647">
      <c r="A647" s="1344" t="s">
        <v>12984</v>
      </c>
      <c r="B647" s="1345" t="s">
        <v>12985</v>
      </c>
      <c r="C647" s="1346" t="s">
        <v>5154</v>
      </c>
      <c r="D647" s="1346" t="s">
        <v>807</v>
      </c>
      <c r="E647" s="1346" t="s">
        <v>11940</v>
      </c>
      <c r="F647" s="1346" t="s">
        <v>11931</v>
      </c>
      <c r="G647" s="1345" t="s">
        <v>60</v>
      </c>
      <c r="H647" s="1345" t="s">
        <v>12986</v>
      </c>
      <c r="I647" s="1349" t="s">
        <v>2110</v>
      </c>
      <c r="J647" s="1350"/>
      <c r="K647" s="1348">
        <v>4032000.0</v>
      </c>
    </row>
    <row r="648">
      <c r="A648" s="1344" t="s">
        <v>5154</v>
      </c>
      <c r="B648" s="1345" t="s">
        <v>12987</v>
      </c>
      <c r="C648" s="1346" t="s">
        <v>5154</v>
      </c>
      <c r="D648" s="1346" t="s">
        <v>12988</v>
      </c>
      <c r="E648" s="1346" t="s">
        <v>11930</v>
      </c>
      <c r="F648" s="1351" t="s">
        <v>11931</v>
      </c>
      <c r="G648" s="1345" t="s">
        <v>60</v>
      </c>
      <c r="H648" s="1345" t="s">
        <v>12989</v>
      </c>
      <c r="I648" s="1349" t="s">
        <v>2110</v>
      </c>
      <c r="J648" s="1350"/>
      <c r="K648" s="1348">
        <v>4032000.0</v>
      </c>
    </row>
    <row r="649">
      <c r="A649" s="1344" t="s">
        <v>12990</v>
      </c>
      <c r="B649" s="1345" t="s">
        <v>5154</v>
      </c>
      <c r="C649" s="1346" t="s">
        <v>5154</v>
      </c>
      <c r="D649" s="1346" t="s">
        <v>1531</v>
      </c>
      <c r="E649" s="1346" t="s">
        <v>11943</v>
      </c>
      <c r="F649" s="1346" t="s">
        <v>11944</v>
      </c>
      <c r="G649" s="1345" t="s">
        <v>62</v>
      </c>
      <c r="H649" s="1345" t="s">
        <v>1532</v>
      </c>
      <c r="I649" s="1349" t="s">
        <v>1509</v>
      </c>
      <c r="J649" s="1350"/>
      <c r="K649" s="1348">
        <v>2997000.0</v>
      </c>
    </row>
    <row r="650">
      <c r="A650" s="1344" t="s">
        <v>5154</v>
      </c>
      <c r="B650" s="1345" t="s">
        <v>12991</v>
      </c>
      <c r="C650" s="1346" t="s">
        <v>5154</v>
      </c>
      <c r="D650" s="1346" t="s">
        <v>1577</v>
      </c>
      <c r="E650" s="1346" t="s">
        <v>11930</v>
      </c>
      <c r="F650" s="1346" t="s">
        <v>11944</v>
      </c>
      <c r="G650" s="1345" t="s">
        <v>62</v>
      </c>
      <c r="H650" s="1345" t="s">
        <v>1578</v>
      </c>
      <c r="I650" s="1345" t="s">
        <v>1442</v>
      </c>
      <c r="J650" s="1347"/>
      <c r="K650" s="1348">
        <v>4121000.0</v>
      </c>
    </row>
    <row r="651">
      <c r="A651" s="1344" t="s">
        <v>5154</v>
      </c>
      <c r="B651" s="1345" t="s">
        <v>12992</v>
      </c>
      <c r="C651" s="1346" t="s">
        <v>5154</v>
      </c>
      <c r="D651" s="1346" t="s">
        <v>1424</v>
      </c>
      <c r="E651" s="1346" t="s">
        <v>11930</v>
      </c>
      <c r="F651" s="1346" t="s">
        <v>11931</v>
      </c>
      <c r="G651" s="1345" t="s">
        <v>60</v>
      </c>
      <c r="H651" s="1345" t="s">
        <v>1425</v>
      </c>
      <c r="I651" s="1345" t="s">
        <v>124</v>
      </c>
      <c r="J651" s="1347"/>
      <c r="K651" s="1348">
        <v>7390000.0</v>
      </c>
    </row>
    <row r="652">
      <c r="A652" s="1344" t="s">
        <v>5154</v>
      </c>
      <c r="B652" s="1345" t="s">
        <v>12993</v>
      </c>
      <c r="C652" s="1346" t="s">
        <v>5154</v>
      </c>
      <c r="D652" s="1346" t="s">
        <v>12994</v>
      </c>
      <c r="E652" s="1346" t="s">
        <v>11930</v>
      </c>
      <c r="F652" s="1346" t="s">
        <v>11944</v>
      </c>
      <c r="G652" s="1345" t="s">
        <v>62</v>
      </c>
      <c r="H652" s="1345" t="s">
        <v>1581</v>
      </c>
      <c r="I652" s="1349" t="s">
        <v>1437</v>
      </c>
      <c r="J652" s="1350"/>
      <c r="K652" s="1348">
        <v>4709000.0</v>
      </c>
    </row>
    <row r="653">
      <c r="A653" s="1344" t="s">
        <v>12995</v>
      </c>
      <c r="B653" s="1345" t="s">
        <v>12996</v>
      </c>
      <c r="C653" s="1346" t="s">
        <v>5154</v>
      </c>
      <c r="D653" s="1346" t="s">
        <v>811</v>
      </c>
      <c r="E653" s="1346" t="s">
        <v>11943</v>
      </c>
      <c r="F653" s="1346" t="s">
        <v>11931</v>
      </c>
      <c r="G653" s="1345" t="s">
        <v>60</v>
      </c>
      <c r="H653" s="1345" t="s">
        <v>12997</v>
      </c>
      <c r="I653" s="1349" t="s">
        <v>124</v>
      </c>
      <c r="J653" s="1350"/>
      <c r="K653" s="1348">
        <v>5292000.0</v>
      </c>
    </row>
    <row r="654">
      <c r="A654" s="1344" t="s">
        <v>12998</v>
      </c>
      <c r="B654" s="1345" t="s">
        <v>5154</v>
      </c>
      <c r="C654" s="1346" t="s">
        <v>5154</v>
      </c>
      <c r="D654" s="1346" t="s">
        <v>813</v>
      </c>
      <c r="E654" s="1346" t="s">
        <v>11943</v>
      </c>
      <c r="F654" s="1346" t="s">
        <v>11944</v>
      </c>
      <c r="G654" s="1345" t="s">
        <v>62</v>
      </c>
      <c r="H654" s="1345" t="s">
        <v>12997</v>
      </c>
      <c r="I654" s="1349" t="s">
        <v>1437</v>
      </c>
      <c r="J654" s="1350"/>
      <c r="K654" s="1348">
        <v>4625000.0</v>
      </c>
    </row>
    <row r="655">
      <c r="A655" s="1344" t="s">
        <v>5154</v>
      </c>
      <c r="B655" s="1345" t="s">
        <v>12999</v>
      </c>
      <c r="C655" s="1346" t="s">
        <v>5154</v>
      </c>
      <c r="D655" s="1346" t="s">
        <v>1582</v>
      </c>
      <c r="E655" s="1346" t="s">
        <v>11930</v>
      </c>
      <c r="F655" s="1346" t="s">
        <v>11931</v>
      </c>
      <c r="G655" s="1345" t="s">
        <v>60</v>
      </c>
      <c r="H655" s="1345" t="s">
        <v>13000</v>
      </c>
      <c r="I655" s="1349" t="s">
        <v>809</v>
      </c>
      <c r="J655" s="1350"/>
      <c r="K655" s="1348">
        <v>5789000.0</v>
      </c>
    </row>
    <row r="656">
      <c r="A656" s="1344" t="s">
        <v>5154</v>
      </c>
      <c r="B656" s="1345" t="s">
        <v>13001</v>
      </c>
      <c r="C656" s="1346" t="s">
        <v>5154</v>
      </c>
      <c r="D656" s="1346" t="s">
        <v>1584</v>
      </c>
      <c r="E656" s="1346" t="s">
        <v>11930</v>
      </c>
      <c r="F656" s="1346" t="s">
        <v>11931</v>
      </c>
      <c r="G656" s="1345" t="s">
        <v>60</v>
      </c>
      <c r="H656" s="1345" t="s">
        <v>13002</v>
      </c>
      <c r="I656" s="1349" t="s">
        <v>809</v>
      </c>
      <c r="J656" s="1350"/>
      <c r="K656" s="1348">
        <v>5940000.0</v>
      </c>
    </row>
    <row r="657">
      <c r="A657" s="1344" t="s">
        <v>5154</v>
      </c>
      <c r="B657" s="1345" t="s">
        <v>13003</v>
      </c>
      <c r="C657" s="1346" t="s">
        <v>5154</v>
      </c>
      <c r="D657" s="1346" t="s">
        <v>13004</v>
      </c>
      <c r="E657" s="1346" t="s">
        <v>11930</v>
      </c>
      <c r="F657" s="1351" t="s">
        <v>11944</v>
      </c>
      <c r="G657" s="1349" t="s">
        <v>62</v>
      </c>
      <c r="H657" s="1345" t="s">
        <v>13005</v>
      </c>
      <c r="I657" s="1349" t="s">
        <v>1437</v>
      </c>
      <c r="J657" s="1350"/>
      <c r="K657" s="1348">
        <v>6375000.0</v>
      </c>
    </row>
    <row r="658">
      <c r="A658" s="1344" t="s">
        <v>5154</v>
      </c>
      <c r="B658" s="1345" t="s">
        <v>13006</v>
      </c>
      <c r="C658" s="1346" t="s">
        <v>5154</v>
      </c>
      <c r="D658" s="1346" t="s">
        <v>13007</v>
      </c>
      <c r="E658" s="1346" t="s">
        <v>11930</v>
      </c>
      <c r="F658" s="1351" t="s">
        <v>11944</v>
      </c>
      <c r="G658" s="1349" t="s">
        <v>62</v>
      </c>
      <c r="H658" s="1345" t="s">
        <v>13008</v>
      </c>
      <c r="I658" s="1349" t="s">
        <v>1437</v>
      </c>
      <c r="J658" s="1350"/>
      <c r="K658" s="1348">
        <v>6375000.0</v>
      </c>
    </row>
    <row r="659">
      <c r="A659" s="1344" t="s">
        <v>13009</v>
      </c>
      <c r="B659" s="1345" t="s">
        <v>13010</v>
      </c>
      <c r="C659" s="1346" t="s">
        <v>5154</v>
      </c>
      <c r="D659" s="1346" t="s">
        <v>814</v>
      </c>
      <c r="E659" s="1346" t="s">
        <v>11940</v>
      </c>
      <c r="F659" s="1346" t="s">
        <v>11931</v>
      </c>
      <c r="G659" s="1345" t="s">
        <v>60</v>
      </c>
      <c r="H659" s="1345" t="s">
        <v>815</v>
      </c>
      <c r="I659" s="1349" t="s">
        <v>109</v>
      </c>
      <c r="J659" s="1350"/>
      <c r="K659" s="1348">
        <v>6774000.0</v>
      </c>
    </row>
    <row r="660">
      <c r="A660" s="1344" t="s">
        <v>5154</v>
      </c>
      <c r="B660" s="1345" t="s">
        <v>13011</v>
      </c>
      <c r="C660" s="1346" t="s">
        <v>5154</v>
      </c>
      <c r="D660" s="1346" t="s">
        <v>1586</v>
      </c>
      <c r="E660" s="1346" t="s">
        <v>11930</v>
      </c>
      <c r="F660" s="1346" t="s">
        <v>11931</v>
      </c>
      <c r="G660" s="1345" t="s">
        <v>60</v>
      </c>
      <c r="H660" s="1345" t="s">
        <v>13012</v>
      </c>
      <c r="I660" s="1349" t="s">
        <v>196</v>
      </c>
      <c r="J660" s="1350"/>
      <c r="K660" s="1348">
        <v>7267000.0</v>
      </c>
    </row>
    <row r="661">
      <c r="A661" s="1344" t="s">
        <v>13013</v>
      </c>
      <c r="B661" s="1345" t="s">
        <v>13014</v>
      </c>
      <c r="C661" s="1346" t="s">
        <v>5154</v>
      </c>
      <c r="D661" s="1346" t="s">
        <v>816</v>
      </c>
      <c r="E661" s="1346" t="s">
        <v>11940</v>
      </c>
      <c r="F661" s="1346" t="s">
        <v>11944</v>
      </c>
      <c r="G661" s="1345" t="s">
        <v>62</v>
      </c>
      <c r="H661" s="1345" t="s">
        <v>815</v>
      </c>
      <c r="I661" s="1349" t="s">
        <v>1442</v>
      </c>
      <c r="J661" s="1350"/>
      <c r="K661" s="1348">
        <v>6422000.0</v>
      </c>
    </row>
    <row r="662">
      <c r="A662" s="1344" t="s">
        <v>5154</v>
      </c>
      <c r="B662" s="1345" t="s">
        <v>13015</v>
      </c>
      <c r="C662" s="1346" t="s">
        <v>5154</v>
      </c>
      <c r="D662" s="1346" t="s">
        <v>1587</v>
      </c>
      <c r="E662" s="1346" t="s">
        <v>11930</v>
      </c>
      <c r="F662" s="1346" t="s">
        <v>11931</v>
      </c>
      <c r="G662" s="1345" t="s">
        <v>60</v>
      </c>
      <c r="H662" s="1345" t="s">
        <v>13016</v>
      </c>
      <c r="I662" s="1349" t="s">
        <v>809</v>
      </c>
      <c r="J662" s="1350"/>
      <c r="K662" s="1348">
        <v>6159000.0</v>
      </c>
    </row>
    <row r="663">
      <c r="A663" s="1344" t="s">
        <v>5154</v>
      </c>
      <c r="B663" s="1345" t="s">
        <v>13017</v>
      </c>
      <c r="C663" s="1346" t="s">
        <v>5154</v>
      </c>
      <c r="D663" s="1351" t="s">
        <v>13018</v>
      </c>
      <c r="E663" s="1346" t="s">
        <v>11930</v>
      </c>
      <c r="F663" s="1346" t="s">
        <v>11931</v>
      </c>
      <c r="G663" s="1345" t="s">
        <v>60</v>
      </c>
      <c r="H663" s="1345" t="s">
        <v>13019</v>
      </c>
      <c r="I663" s="1349" t="s">
        <v>314</v>
      </c>
      <c r="J663" s="1350"/>
      <c r="K663" s="1348">
        <v>6159000.0</v>
      </c>
    </row>
    <row r="664">
      <c r="A664" s="1344" t="s">
        <v>13020</v>
      </c>
      <c r="B664" s="1345" t="s">
        <v>5154</v>
      </c>
      <c r="C664" s="1346" t="s">
        <v>5154</v>
      </c>
      <c r="D664" s="1346" t="s">
        <v>817</v>
      </c>
      <c r="E664" s="1346" t="s">
        <v>11943</v>
      </c>
      <c r="F664" s="1346" t="s">
        <v>11944</v>
      </c>
      <c r="G664" s="1345" t="s">
        <v>62</v>
      </c>
      <c r="H664" s="1345" t="s">
        <v>818</v>
      </c>
      <c r="I664" s="1349" t="s">
        <v>1509</v>
      </c>
      <c r="J664" s="1350"/>
      <c r="K664" s="1348">
        <v>5298000.0</v>
      </c>
    </row>
    <row r="665">
      <c r="A665" s="1344" t="s">
        <v>5154</v>
      </c>
      <c r="B665" s="1345" t="s">
        <v>13021</v>
      </c>
      <c r="C665" s="1346" t="s">
        <v>5154</v>
      </c>
      <c r="D665" s="1346" t="s">
        <v>1589</v>
      </c>
      <c r="E665" s="1346" t="s">
        <v>11930</v>
      </c>
      <c r="F665" s="1346" t="s">
        <v>11931</v>
      </c>
      <c r="G665" s="1345" t="s">
        <v>60</v>
      </c>
      <c r="H665" s="1345" t="s">
        <v>1590</v>
      </c>
      <c r="I665" s="1345" t="s">
        <v>809</v>
      </c>
      <c r="J665" s="1347"/>
      <c r="K665" s="1348">
        <v>9580000.0</v>
      </c>
    </row>
    <row r="666">
      <c r="A666" s="1344" t="s">
        <v>5154</v>
      </c>
      <c r="B666" s="1345" t="s">
        <v>13022</v>
      </c>
      <c r="C666" s="1346" t="s">
        <v>5154</v>
      </c>
      <c r="D666" s="1346" t="s">
        <v>1591</v>
      </c>
      <c r="E666" s="1346" t="s">
        <v>11930</v>
      </c>
      <c r="F666" s="1351" t="s">
        <v>11931</v>
      </c>
      <c r="G666" s="1349" t="s">
        <v>60</v>
      </c>
      <c r="H666" s="1345" t="s">
        <v>13023</v>
      </c>
      <c r="I666" s="1349" t="s">
        <v>809</v>
      </c>
      <c r="J666" s="1350"/>
      <c r="K666" s="1348">
        <v>9580000.0</v>
      </c>
    </row>
    <row r="667">
      <c r="A667" s="1344" t="s">
        <v>5154</v>
      </c>
      <c r="B667" s="1345" t="s">
        <v>13024</v>
      </c>
      <c r="C667" s="1346" t="s">
        <v>5154</v>
      </c>
      <c r="D667" s="1346" t="s">
        <v>1426</v>
      </c>
      <c r="E667" s="1346" t="s">
        <v>11930</v>
      </c>
      <c r="F667" s="1346" t="s">
        <v>11931</v>
      </c>
      <c r="G667" s="1345" t="s">
        <v>60</v>
      </c>
      <c r="H667" s="1345" t="s">
        <v>1427</v>
      </c>
      <c r="I667" s="1349" t="s">
        <v>13025</v>
      </c>
      <c r="J667" s="1350"/>
      <c r="K667" s="1348">
        <v>1.03E7</v>
      </c>
    </row>
    <row r="668">
      <c r="A668" s="1344" t="s">
        <v>5154</v>
      </c>
      <c r="B668" s="1345" t="s">
        <v>13026</v>
      </c>
      <c r="C668" s="1346" t="s">
        <v>5154</v>
      </c>
      <c r="D668" s="1346" t="s">
        <v>1593</v>
      </c>
      <c r="E668" s="1346" t="s">
        <v>11930</v>
      </c>
      <c r="F668" s="1346" t="s">
        <v>11931</v>
      </c>
      <c r="G668" s="1345" t="s">
        <v>60</v>
      </c>
      <c r="H668" s="1345" t="s">
        <v>1594</v>
      </c>
      <c r="I668" s="1349" t="s">
        <v>124</v>
      </c>
      <c r="J668" s="1350"/>
      <c r="K668" s="1348">
        <v>1.0777E7</v>
      </c>
    </row>
    <row r="669">
      <c r="A669" s="1341" t="s">
        <v>13027</v>
      </c>
      <c r="B669" s="1342" t="s">
        <v>13027</v>
      </c>
      <c r="C669" s="1343"/>
      <c r="D669" s="1343"/>
      <c r="E669" s="1343"/>
      <c r="F669" s="1343"/>
      <c r="G669" s="1343"/>
      <c r="H669" s="1342" t="s">
        <v>13027</v>
      </c>
      <c r="I669" s="1343"/>
      <c r="J669" s="1343"/>
      <c r="K669" s="1343"/>
    </row>
    <row r="670">
      <c r="A670" s="1344" t="s">
        <v>5154</v>
      </c>
      <c r="B670" s="1345" t="s">
        <v>13028</v>
      </c>
      <c r="C670" s="1346" t="s">
        <v>5154</v>
      </c>
      <c r="D670" s="1351" t="s">
        <v>2593</v>
      </c>
      <c r="E670" s="1346" t="s">
        <v>11930</v>
      </c>
      <c r="F670" s="1346" t="s">
        <v>11931</v>
      </c>
      <c r="G670" s="1345" t="s">
        <v>60</v>
      </c>
      <c r="H670" s="1345" t="s">
        <v>2594</v>
      </c>
      <c r="I670" s="1349" t="s">
        <v>137</v>
      </c>
      <c r="J670" s="1350"/>
      <c r="K670" s="1348">
        <v>1850000.0</v>
      </c>
    </row>
    <row r="671">
      <c r="A671" s="1341" t="s">
        <v>13029</v>
      </c>
      <c r="B671" s="1342" t="s">
        <v>13029</v>
      </c>
      <c r="C671" s="1343"/>
      <c r="D671" s="1343"/>
      <c r="E671" s="1343"/>
      <c r="F671" s="1343"/>
      <c r="G671" s="1343"/>
      <c r="H671" s="1342" t="s">
        <v>13029</v>
      </c>
      <c r="I671" s="1343"/>
      <c r="J671" s="1343"/>
      <c r="K671" s="1343"/>
    </row>
    <row r="672">
      <c r="A672" s="1344" t="s">
        <v>5154</v>
      </c>
      <c r="B672" s="1345" t="s">
        <v>13030</v>
      </c>
      <c r="C672" s="1346" t="s">
        <v>5154</v>
      </c>
      <c r="D672" s="1346" t="s">
        <v>1597</v>
      </c>
      <c r="E672" s="1346" t="s">
        <v>11930</v>
      </c>
      <c r="F672" s="1351" t="s">
        <v>11931</v>
      </c>
      <c r="G672" s="1345" t="s">
        <v>60</v>
      </c>
      <c r="H672" s="1345" t="s">
        <v>13031</v>
      </c>
      <c r="I672" s="1349" t="s">
        <v>1544</v>
      </c>
      <c r="J672" s="1350"/>
      <c r="K672" s="1348">
        <v>6300000.0</v>
      </c>
    </row>
    <row r="673">
      <c r="A673" s="1344" t="s">
        <v>5154</v>
      </c>
      <c r="B673" s="1345" t="s">
        <v>13032</v>
      </c>
      <c r="C673" s="1346" t="s">
        <v>5154</v>
      </c>
      <c r="D673" s="1346" t="s">
        <v>1595</v>
      </c>
      <c r="E673" s="1346" t="s">
        <v>11930</v>
      </c>
      <c r="F673" s="1351" t="s">
        <v>11931</v>
      </c>
      <c r="G673" s="1345" t="s">
        <v>60</v>
      </c>
      <c r="H673" s="1345" t="s">
        <v>13033</v>
      </c>
      <c r="I673" s="1349" t="s">
        <v>314</v>
      </c>
      <c r="J673" s="1350"/>
      <c r="K673" s="1348">
        <v>6300000.0</v>
      </c>
    </row>
    <row r="674">
      <c r="A674" s="1344" t="s">
        <v>5154</v>
      </c>
      <c r="B674" s="1345" t="s">
        <v>13034</v>
      </c>
      <c r="C674" s="1346" t="s">
        <v>5154</v>
      </c>
      <c r="D674" s="1346" t="s">
        <v>13035</v>
      </c>
      <c r="E674" s="1346" t="s">
        <v>11930</v>
      </c>
      <c r="F674" s="1351" t="s">
        <v>11931</v>
      </c>
      <c r="G674" s="1349" t="s">
        <v>60</v>
      </c>
      <c r="H674" s="1349" t="s">
        <v>13036</v>
      </c>
      <c r="I674" s="1345" t="s">
        <v>124</v>
      </c>
      <c r="J674" s="1347"/>
      <c r="K674" s="1348">
        <v>7500000.0</v>
      </c>
    </row>
    <row r="675">
      <c r="A675" s="1341" t="s">
        <v>11504</v>
      </c>
      <c r="B675" s="1342" t="s">
        <v>11504</v>
      </c>
      <c r="C675" s="1343"/>
      <c r="D675" s="1343"/>
      <c r="E675" s="1343"/>
      <c r="F675" s="1343"/>
      <c r="G675" s="1343"/>
      <c r="H675" s="1342" t="s">
        <v>11504</v>
      </c>
      <c r="I675" s="1343"/>
      <c r="J675" s="1343"/>
      <c r="K675" s="1343"/>
    </row>
    <row r="676">
      <c r="A676" s="1344" t="s">
        <v>13037</v>
      </c>
      <c r="B676" s="1345" t="s">
        <v>13038</v>
      </c>
      <c r="C676" s="1346" t="s">
        <v>5154</v>
      </c>
      <c r="D676" s="1346" t="s">
        <v>819</v>
      </c>
      <c r="E676" s="1346" t="s">
        <v>11940</v>
      </c>
      <c r="F676" s="1346" t="s">
        <v>11931</v>
      </c>
      <c r="G676" s="1345" t="s">
        <v>60</v>
      </c>
      <c r="H676" s="1345" t="s">
        <v>820</v>
      </c>
      <c r="I676" s="1349" t="s">
        <v>137</v>
      </c>
      <c r="J676" s="1350"/>
      <c r="K676" s="1348">
        <v>3361000.0</v>
      </c>
    </row>
    <row r="677">
      <c r="A677" s="1344" t="s">
        <v>5154</v>
      </c>
      <c r="B677" s="1345" t="s">
        <v>13039</v>
      </c>
      <c r="C677" s="1346" t="s">
        <v>5154</v>
      </c>
      <c r="D677" s="1346" t="s">
        <v>1601</v>
      </c>
      <c r="E677" s="1346" t="s">
        <v>11930</v>
      </c>
      <c r="F677" s="1346" t="s">
        <v>11944</v>
      </c>
      <c r="G677" s="1345" t="s">
        <v>62</v>
      </c>
      <c r="H677" s="1345" t="s">
        <v>13040</v>
      </c>
      <c r="I677" s="1345" t="s">
        <v>1442</v>
      </c>
      <c r="J677" s="1347"/>
      <c r="K677" s="1348">
        <v>4121000.0</v>
      </c>
    </row>
    <row r="678">
      <c r="A678" s="1344" t="s">
        <v>5154</v>
      </c>
      <c r="B678" s="1345" t="s">
        <v>13041</v>
      </c>
      <c r="C678" s="1346" t="s">
        <v>5154</v>
      </c>
      <c r="D678" s="1346" t="s">
        <v>1602</v>
      </c>
      <c r="E678" s="1346" t="s">
        <v>11930</v>
      </c>
      <c r="F678" s="1346" t="s">
        <v>11944</v>
      </c>
      <c r="G678" s="1345" t="s">
        <v>62</v>
      </c>
      <c r="H678" s="1353" t="s">
        <v>1603</v>
      </c>
      <c r="I678" s="1349" t="s">
        <v>1442</v>
      </c>
      <c r="J678" s="1350"/>
      <c r="K678" s="1348">
        <v>4121000.0</v>
      </c>
    </row>
    <row r="679">
      <c r="A679" s="1344" t="s">
        <v>5154</v>
      </c>
      <c r="B679" s="1345" t="s">
        <v>13042</v>
      </c>
      <c r="C679" s="1346" t="s">
        <v>5154</v>
      </c>
      <c r="D679" s="1346" t="s">
        <v>1604</v>
      </c>
      <c r="E679" s="1346" t="s">
        <v>11930</v>
      </c>
      <c r="F679" s="1346" t="s">
        <v>11931</v>
      </c>
      <c r="G679" s="1345" t="s">
        <v>60</v>
      </c>
      <c r="H679" s="1345" t="s">
        <v>822</v>
      </c>
      <c r="I679" s="1345" t="s">
        <v>109</v>
      </c>
      <c r="J679" s="1347"/>
      <c r="K679" s="1348">
        <v>1558000.0</v>
      </c>
    </row>
    <row r="680">
      <c r="A680" s="1344" t="s">
        <v>13043</v>
      </c>
      <c r="B680" s="1345" t="s">
        <v>5154</v>
      </c>
      <c r="C680" s="1346" t="s">
        <v>5154</v>
      </c>
      <c r="D680" s="1346" t="s">
        <v>821</v>
      </c>
      <c r="E680" s="1346" t="s">
        <v>11943</v>
      </c>
      <c r="F680" s="1346" t="s">
        <v>11944</v>
      </c>
      <c r="G680" s="1345" t="s">
        <v>62</v>
      </c>
      <c r="H680" s="1345" t="s">
        <v>822</v>
      </c>
      <c r="I680" s="1349" t="s">
        <v>1442</v>
      </c>
      <c r="J680" s="1350"/>
      <c r="K680" s="1348">
        <v>1729000.0</v>
      </c>
    </row>
    <row r="681">
      <c r="A681" s="1344" t="s">
        <v>13044</v>
      </c>
      <c r="B681" s="1345" t="s">
        <v>5154</v>
      </c>
      <c r="C681" s="1346" t="s">
        <v>5154</v>
      </c>
      <c r="D681" s="1346" t="s">
        <v>823</v>
      </c>
      <c r="E681" s="1346" t="s">
        <v>11943</v>
      </c>
      <c r="F681" s="1346" t="s">
        <v>11969</v>
      </c>
      <c r="G681" s="1345" t="s">
        <v>140</v>
      </c>
      <c r="H681" s="1345" t="s">
        <v>822</v>
      </c>
      <c r="I681" s="1349" t="s">
        <v>152</v>
      </c>
      <c r="J681" s="1350"/>
      <c r="K681" s="1348">
        <v>596000.0</v>
      </c>
    </row>
    <row r="682">
      <c r="A682" s="1344" t="s">
        <v>13045</v>
      </c>
      <c r="B682" s="1345" t="s">
        <v>5154</v>
      </c>
      <c r="C682" s="1346" t="s">
        <v>5154</v>
      </c>
      <c r="D682" s="1346" t="s">
        <v>824</v>
      </c>
      <c r="E682" s="1346" t="s">
        <v>11943</v>
      </c>
      <c r="F682" s="1346" t="s">
        <v>11969</v>
      </c>
      <c r="G682" s="1345" t="s">
        <v>142</v>
      </c>
      <c r="H682" s="1345" t="s">
        <v>822</v>
      </c>
      <c r="I682" s="1349" t="s">
        <v>152</v>
      </c>
      <c r="J682" s="1350"/>
      <c r="K682" s="1348">
        <v>596000.0</v>
      </c>
    </row>
    <row r="683">
      <c r="A683" s="1344" t="s">
        <v>5154</v>
      </c>
      <c r="B683" s="1345" t="s">
        <v>13046</v>
      </c>
      <c r="C683" s="1346" t="s">
        <v>13047</v>
      </c>
      <c r="D683" s="1346" t="s">
        <v>1950</v>
      </c>
      <c r="E683" s="1346" t="s">
        <v>12155</v>
      </c>
      <c r="F683" s="1346" t="s">
        <v>11931</v>
      </c>
      <c r="G683" s="1345" t="s">
        <v>60</v>
      </c>
      <c r="H683" s="1345" t="s">
        <v>826</v>
      </c>
      <c r="I683" s="1349" t="s">
        <v>137</v>
      </c>
      <c r="J683" s="1350"/>
      <c r="K683" s="1348">
        <v>1490000.0</v>
      </c>
    </row>
    <row r="684">
      <c r="A684" s="1344" t="s">
        <v>13048</v>
      </c>
      <c r="B684" s="1345" t="s">
        <v>13049</v>
      </c>
      <c r="C684" s="1346" t="s">
        <v>5154</v>
      </c>
      <c r="D684" s="1346" t="s">
        <v>825</v>
      </c>
      <c r="E684" s="1346" t="s">
        <v>11940</v>
      </c>
      <c r="F684" s="1346" t="s">
        <v>11944</v>
      </c>
      <c r="G684" s="1345" t="s">
        <v>62</v>
      </c>
      <c r="H684" s="1345" t="s">
        <v>826</v>
      </c>
      <c r="I684" s="1349" t="s">
        <v>1442</v>
      </c>
      <c r="J684" s="1350"/>
      <c r="K684" s="1348">
        <v>1729000.0</v>
      </c>
    </row>
    <row r="685">
      <c r="A685" s="1344" t="s">
        <v>13050</v>
      </c>
      <c r="B685" s="1345" t="s">
        <v>5154</v>
      </c>
      <c r="C685" s="1346" t="s">
        <v>5154</v>
      </c>
      <c r="D685" s="1346" t="s">
        <v>827</v>
      </c>
      <c r="E685" s="1346" t="s">
        <v>11943</v>
      </c>
      <c r="F685" s="1346" t="s">
        <v>11969</v>
      </c>
      <c r="G685" s="1345" t="s">
        <v>140</v>
      </c>
      <c r="H685" s="1345" t="s">
        <v>826</v>
      </c>
      <c r="I685" s="1349" t="s">
        <v>152</v>
      </c>
      <c r="J685" s="1350"/>
      <c r="K685" s="1348">
        <v>537000.0</v>
      </c>
    </row>
    <row r="686">
      <c r="A686" s="1344" t="s">
        <v>13051</v>
      </c>
      <c r="B686" s="1345" t="s">
        <v>5154</v>
      </c>
      <c r="C686" s="1346" t="s">
        <v>5154</v>
      </c>
      <c r="D686" s="1346" t="s">
        <v>828</v>
      </c>
      <c r="E686" s="1346" t="s">
        <v>11943</v>
      </c>
      <c r="F686" s="1346" t="s">
        <v>11969</v>
      </c>
      <c r="G686" s="1345" t="s">
        <v>142</v>
      </c>
      <c r="H686" s="1345" t="s">
        <v>826</v>
      </c>
      <c r="I686" s="1349" t="s">
        <v>152</v>
      </c>
      <c r="J686" s="1350"/>
      <c r="K686" s="1348">
        <v>537000.0</v>
      </c>
    </row>
    <row r="687">
      <c r="A687" s="1344" t="s">
        <v>13052</v>
      </c>
      <c r="B687" s="1345" t="s">
        <v>5154</v>
      </c>
      <c r="C687" s="1346" t="s">
        <v>5154</v>
      </c>
      <c r="D687" s="1346" t="s">
        <v>829</v>
      </c>
      <c r="E687" s="1346" t="s">
        <v>11943</v>
      </c>
      <c r="F687" s="1346" t="s">
        <v>11969</v>
      </c>
      <c r="G687" s="1345" t="s">
        <v>144</v>
      </c>
      <c r="H687" s="1345" t="s">
        <v>826</v>
      </c>
      <c r="I687" s="1349" t="s">
        <v>152</v>
      </c>
      <c r="J687" s="1350"/>
      <c r="K687" s="1348">
        <v>537000.0</v>
      </c>
    </row>
    <row r="688">
      <c r="A688" s="1344" t="s">
        <v>13053</v>
      </c>
      <c r="B688" s="1345" t="s">
        <v>13054</v>
      </c>
      <c r="C688" s="1346" t="s">
        <v>5154</v>
      </c>
      <c r="D688" s="1346" t="s">
        <v>830</v>
      </c>
      <c r="E688" s="1346" t="s">
        <v>11940</v>
      </c>
      <c r="F688" s="1346" t="s">
        <v>11969</v>
      </c>
      <c r="G688" s="1345" t="s">
        <v>146</v>
      </c>
      <c r="H688" s="1345" t="s">
        <v>826</v>
      </c>
      <c r="I688" s="1349" t="s">
        <v>152</v>
      </c>
      <c r="J688" s="1350"/>
      <c r="K688" s="1348">
        <v>537000.0</v>
      </c>
    </row>
    <row r="689">
      <c r="A689" s="1344" t="s">
        <v>13055</v>
      </c>
      <c r="B689" s="1345" t="s">
        <v>13056</v>
      </c>
      <c r="C689" s="1346" t="s">
        <v>5154</v>
      </c>
      <c r="D689" s="1346" t="s">
        <v>831</v>
      </c>
      <c r="E689" s="1346" t="s">
        <v>11940</v>
      </c>
      <c r="F689" s="1346" t="s">
        <v>11931</v>
      </c>
      <c r="G689" s="1345" t="s">
        <v>60</v>
      </c>
      <c r="H689" s="1345" t="s">
        <v>832</v>
      </c>
      <c r="I689" s="1349" t="s">
        <v>137</v>
      </c>
      <c r="J689" s="1350"/>
      <c r="K689" s="1348">
        <v>1926000.0</v>
      </c>
    </row>
    <row r="690">
      <c r="A690" s="1344" t="s">
        <v>13057</v>
      </c>
      <c r="B690" s="1345" t="s">
        <v>13058</v>
      </c>
      <c r="C690" s="1346" t="s">
        <v>5154</v>
      </c>
      <c r="D690" s="1346" t="s">
        <v>833</v>
      </c>
      <c r="E690" s="1346" t="s">
        <v>11940</v>
      </c>
      <c r="F690" s="1346" t="s">
        <v>11944</v>
      </c>
      <c r="G690" s="1345" t="s">
        <v>62</v>
      </c>
      <c r="H690" s="1345" t="s">
        <v>832</v>
      </c>
      <c r="I690" s="1349" t="s">
        <v>1442</v>
      </c>
      <c r="J690" s="1350"/>
      <c r="K690" s="1348">
        <v>1776000.0</v>
      </c>
    </row>
    <row r="691">
      <c r="A691" s="1344" t="s">
        <v>13059</v>
      </c>
      <c r="B691" s="1345" t="s">
        <v>5154</v>
      </c>
      <c r="C691" s="1346" t="s">
        <v>5154</v>
      </c>
      <c r="D691" s="1346" t="s">
        <v>834</v>
      </c>
      <c r="E691" s="1346" t="s">
        <v>11943</v>
      </c>
      <c r="F691" s="1346" t="s">
        <v>11969</v>
      </c>
      <c r="G691" s="1345" t="s">
        <v>140</v>
      </c>
      <c r="H691" s="1345" t="s">
        <v>832</v>
      </c>
      <c r="I691" s="1349" t="s">
        <v>152</v>
      </c>
      <c r="J691" s="1350"/>
      <c r="K691" s="1348">
        <v>403000.0</v>
      </c>
    </row>
    <row r="692">
      <c r="A692" s="1344" t="s">
        <v>13060</v>
      </c>
      <c r="B692" s="1345" t="s">
        <v>5154</v>
      </c>
      <c r="C692" s="1346" t="s">
        <v>5154</v>
      </c>
      <c r="D692" s="1346" t="s">
        <v>835</v>
      </c>
      <c r="E692" s="1346" t="s">
        <v>11943</v>
      </c>
      <c r="F692" s="1346" t="s">
        <v>11969</v>
      </c>
      <c r="G692" s="1345" t="s">
        <v>142</v>
      </c>
      <c r="H692" s="1345" t="s">
        <v>832</v>
      </c>
      <c r="I692" s="1349" t="s">
        <v>152</v>
      </c>
      <c r="J692" s="1350"/>
      <c r="K692" s="1348">
        <v>403000.0</v>
      </c>
    </row>
    <row r="693">
      <c r="A693" s="1344" t="s">
        <v>13061</v>
      </c>
      <c r="B693" s="1345" t="s">
        <v>5154</v>
      </c>
      <c r="C693" s="1346" t="s">
        <v>5154</v>
      </c>
      <c r="D693" s="1346" t="s">
        <v>836</v>
      </c>
      <c r="E693" s="1346" t="s">
        <v>11943</v>
      </c>
      <c r="F693" s="1346" t="s">
        <v>11969</v>
      </c>
      <c r="G693" s="1345" t="s">
        <v>144</v>
      </c>
      <c r="H693" s="1345" t="s">
        <v>832</v>
      </c>
      <c r="I693" s="1349" t="s">
        <v>152</v>
      </c>
      <c r="J693" s="1350"/>
      <c r="K693" s="1348">
        <v>256000.0</v>
      </c>
    </row>
    <row r="694">
      <c r="A694" s="1344" t="s">
        <v>13062</v>
      </c>
      <c r="B694" s="1345" t="s">
        <v>5154</v>
      </c>
      <c r="C694" s="1346" t="s">
        <v>5154</v>
      </c>
      <c r="D694" s="1346" t="s">
        <v>837</v>
      </c>
      <c r="E694" s="1346" t="s">
        <v>11943</v>
      </c>
      <c r="F694" s="1346" t="s">
        <v>11969</v>
      </c>
      <c r="G694" s="1345" t="s">
        <v>146</v>
      </c>
      <c r="H694" s="1345" t="s">
        <v>832</v>
      </c>
      <c r="I694" s="1349" t="s">
        <v>152</v>
      </c>
      <c r="J694" s="1350"/>
      <c r="K694" s="1348">
        <v>256000.0</v>
      </c>
    </row>
    <row r="695">
      <c r="A695" s="1344" t="s">
        <v>5154</v>
      </c>
      <c r="B695" s="1345" t="s">
        <v>13063</v>
      </c>
      <c r="C695" s="1346" t="s">
        <v>5154</v>
      </c>
      <c r="D695" s="1346" t="s">
        <v>1607</v>
      </c>
      <c r="E695" s="1346" t="s">
        <v>11930</v>
      </c>
      <c r="F695" s="1346" t="s">
        <v>11931</v>
      </c>
      <c r="G695" s="1345" t="s">
        <v>60</v>
      </c>
      <c r="H695" s="1345" t="s">
        <v>1608</v>
      </c>
      <c r="I695" s="1345" t="s">
        <v>137</v>
      </c>
      <c r="J695" s="1347"/>
      <c r="K695" s="1348">
        <v>3773000.0</v>
      </c>
    </row>
    <row r="696">
      <c r="A696" s="1344" t="s">
        <v>5154</v>
      </c>
      <c r="B696" s="1345" t="s">
        <v>13064</v>
      </c>
      <c r="C696" s="1346" t="s">
        <v>5154</v>
      </c>
      <c r="D696" s="1346" t="s">
        <v>1609</v>
      </c>
      <c r="E696" s="1346" t="s">
        <v>11930</v>
      </c>
      <c r="F696" s="1346" t="s">
        <v>11944</v>
      </c>
      <c r="G696" s="1345" t="s">
        <v>62</v>
      </c>
      <c r="H696" s="1345" t="s">
        <v>1608</v>
      </c>
      <c r="I696" s="1345" t="s">
        <v>1437</v>
      </c>
      <c r="J696" s="1347"/>
      <c r="K696" s="1348">
        <v>2289000.0</v>
      </c>
    </row>
    <row r="697">
      <c r="A697" s="1344" t="s">
        <v>13065</v>
      </c>
      <c r="B697" s="1345" t="s">
        <v>13066</v>
      </c>
      <c r="C697" s="1346" t="s">
        <v>5154</v>
      </c>
      <c r="D697" s="1346" t="s">
        <v>838</v>
      </c>
      <c r="E697" s="1346" t="s">
        <v>11940</v>
      </c>
      <c r="F697" s="1346" t="s">
        <v>11931</v>
      </c>
      <c r="G697" s="1345" t="s">
        <v>60</v>
      </c>
      <c r="H697" s="1345" t="s">
        <v>839</v>
      </c>
      <c r="I697" s="1349" t="s">
        <v>137</v>
      </c>
      <c r="J697" s="1350"/>
      <c r="K697" s="1348">
        <v>3876000.0</v>
      </c>
    </row>
    <row r="698">
      <c r="A698" s="1344" t="s">
        <v>13067</v>
      </c>
      <c r="B698" s="1345" t="s">
        <v>13068</v>
      </c>
      <c r="C698" s="1346" t="s">
        <v>5154</v>
      </c>
      <c r="D698" s="1346" t="s">
        <v>840</v>
      </c>
      <c r="E698" s="1346" t="s">
        <v>11940</v>
      </c>
      <c r="F698" s="1346" t="s">
        <v>11944</v>
      </c>
      <c r="G698" s="1345" t="s">
        <v>62</v>
      </c>
      <c r="H698" s="1345" t="s">
        <v>839</v>
      </c>
      <c r="I698" s="1349" t="s">
        <v>1437</v>
      </c>
      <c r="J698" s="1350"/>
      <c r="K698" s="1348">
        <v>2410000.0</v>
      </c>
    </row>
    <row r="699">
      <c r="A699" s="1344" t="s">
        <v>13069</v>
      </c>
      <c r="B699" s="1345" t="s">
        <v>5154</v>
      </c>
      <c r="C699" s="1346" t="s">
        <v>5154</v>
      </c>
      <c r="D699" s="1346" t="s">
        <v>841</v>
      </c>
      <c r="E699" s="1346" t="s">
        <v>11943</v>
      </c>
      <c r="F699" s="1346" t="s">
        <v>11969</v>
      </c>
      <c r="G699" s="1345" t="s">
        <v>140</v>
      </c>
      <c r="H699" s="1345" t="s">
        <v>839</v>
      </c>
      <c r="I699" s="1349" t="s">
        <v>152</v>
      </c>
      <c r="J699" s="1350"/>
      <c r="K699" s="1348">
        <v>884000.0</v>
      </c>
    </row>
    <row r="700">
      <c r="A700" s="1344" t="s">
        <v>13070</v>
      </c>
      <c r="B700" s="1345" t="s">
        <v>5154</v>
      </c>
      <c r="C700" s="1346" t="s">
        <v>5154</v>
      </c>
      <c r="D700" s="1346" t="s">
        <v>842</v>
      </c>
      <c r="E700" s="1346" t="s">
        <v>11943</v>
      </c>
      <c r="F700" s="1346" t="s">
        <v>11969</v>
      </c>
      <c r="G700" s="1345" t="s">
        <v>142</v>
      </c>
      <c r="H700" s="1345" t="s">
        <v>839</v>
      </c>
      <c r="I700" s="1349" t="s">
        <v>152</v>
      </c>
      <c r="J700" s="1350"/>
      <c r="K700" s="1348">
        <v>884000.0</v>
      </c>
    </row>
    <row r="701">
      <c r="A701" s="1344" t="s">
        <v>13071</v>
      </c>
      <c r="B701" s="1345" t="s">
        <v>5154</v>
      </c>
      <c r="C701" s="1346" t="s">
        <v>5154</v>
      </c>
      <c r="D701" s="1346" t="s">
        <v>843</v>
      </c>
      <c r="E701" s="1346" t="s">
        <v>11943</v>
      </c>
      <c r="F701" s="1346" t="s">
        <v>11969</v>
      </c>
      <c r="G701" s="1345" t="s">
        <v>144</v>
      </c>
      <c r="H701" s="1345" t="s">
        <v>839</v>
      </c>
      <c r="I701" s="1349" t="s">
        <v>152</v>
      </c>
      <c r="J701" s="1350"/>
      <c r="K701" s="1348">
        <v>725000.0</v>
      </c>
    </row>
    <row r="702">
      <c r="A702" s="1344" t="s">
        <v>13072</v>
      </c>
      <c r="B702" s="1345" t="s">
        <v>5154</v>
      </c>
      <c r="C702" s="1346" t="s">
        <v>5154</v>
      </c>
      <c r="D702" s="1346" t="s">
        <v>844</v>
      </c>
      <c r="E702" s="1346" t="s">
        <v>11943</v>
      </c>
      <c r="F702" s="1346" t="s">
        <v>11969</v>
      </c>
      <c r="G702" s="1345" t="s">
        <v>146</v>
      </c>
      <c r="H702" s="1345" t="s">
        <v>839</v>
      </c>
      <c r="I702" s="1349" t="s">
        <v>152</v>
      </c>
      <c r="J702" s="1350"/>
      <c r="K702" s="1348">
        <v>725000.0</v>
      </c>
    </row>
    <row r="703">
      <c r="A703" s="1344" t="s">
        <v>13073</v>
      </c>
      <c r="B703" s="1345" t="s">
        <v>5154</v>
      </c>
      <c r="C703" s="1346" t="s">
        <v>5154</v>
      </c>
      <c r="D703" s="1346" t="s">
        <v>845</v>
      </c>
      <c r="E703" s="1346" t="s">
        <v>11943</v>
      </c>
      <c r="F703" s="1346" t="s">
        <v>11969</v>
      </c>
      <c r="G703" s="1345" t="s">
        <v>209</v>
      </c>
      <c r="H703" s="1345" t="s">
        <v>839</v>
      </c>
      <c r="I703" s="1349" t="s">
        <v>241</v>
      </c>
      <c r="J703" s="1350"/>
      <c r="K703" s="1348">
        <v>1126000.0</v>
      </c>
    </row>
    <row r="704">
      <c r="A704" s="1344" t="s">
        <v>13074</v>
      </c>
      <c r="B704" s="1345" t="s">
        <v>13075</v>
      </c>
      <c r="C704" s="1346" t="s">
        <v>5154</v>
      </c>
      <c r="D704" s="1346" t="s">
        <v>846</v>
      </c>
      <c r="E704" s="1346" t="s">
        <v>11940</v>
      </c>
      <c r="F704" s="1346" t="s">
        <v>11969</v>
      </c>
      <c r="G704" s="1345" t="s">
        <v>243</v>
      </c>
      <c r="H704" s="1345" t="s">
        <v>839</v>
      </c>
      <c r="I704" s="1349" t="s">
        <v>109</v>
      </c>
      <c r="J704" s="1350"/>
      <c r="K704" s="1348">
        <v>966000.0</v>
      </c>
    </row>
    <row r="705">
      <c r="A705" s="1344" t="s">
        <v>5154</v>
      </c>
      <c r="B705" s="1345" t="s">
        <v>5154</v>
      </c>
      <c r="C705" s="1346" t="s">
        <v>13076</v>
      </c>
      <c r="D705" s="1346" t="s">
        <v>1960</v>
      </c>
      <c r="E705" s="1346" t="s">
        <v>12155</v>
      </c>
      <c r="F705" s="1346" t="s">
        <v>11931</v>
      </c>
      <c r="G705" s="1345" t="s">
        <v>60</v>
      </c>
      <c r="H705" s="1345" t="s">
        <v>1961</v>
      </c>
      <c r="I705" s="1347"/>
      <c r="J705" s="1347"/>
      <c r="K705" s="1348">
        <v>1188000.0</v>
      </c>
    </row>
    <row r="706">
      <c r="A706" s="1344" t="s">
        <v>5154</v>
      </c>
      <c r="B706" s="1345" t="s">
        <v>13077</v>
      </c>
      <c r="C706" s="1346" t="s">
        <v>5154</v>
      </c>
      <c r="D706" s="1346" t="s">
        <v>1610</v>
      </c>
      <c r="E706" s="1346" t="s">
        <v>11930</v>
      </c>
      <c r="F706" s="1346" t="s">
        <v>11931</v>
      </c>
      <c r="G706" s="1345" t="s">
        <v>60</v>
      </c>
      <c r="H706" s="1345" t="s">
        <v>1611</v>
      </c>
      <c r="I706" s="1345" t="s">
        <v>109</v>
      </c>
      <c r="J706" s="1347"/>
      <c r="K706" s="1348">
        <v>1233000.0</v>
      </c>
    </row>
    <row r="707">
      <c r="A707" s="1344" t="s">
        <v>5154</v>
      </c>
      <c r="B707" s="1345" t="s">
        <v>13078</v>
      </c>
      <c r="C707" s="1346" t="s">
        <v>5154</v>
      </c>
      <c r="D707" s="1346" t="s">
        <v>1612</v>
      </c>
      <c r="E707" s="1346" t="s">
        <v>11930</v>
      </c>
      <c r="F707" s="1346" t="s">
        <v>11931</v>
      </c>
      <c r="G707" s="1345" t="s">
        <v>60</v>
      </c>
      <c r="H707" s="1345" t="s">
        <v>1613</v>
      </c>
      <c r="I707" s="1345" t="s">
        <v>137</v>
      </c>
      <c r="J707" s="1347"/>
      <c r="K707" s="1348">
        <v>1356000.0</v>
      </c>
    </row>
    <row r="708">
      <c r="A708" s="1344" t="s">
        <v>13079</v>
      </c>
      <c r="B708" s="1345" t="s">
        <v>13080</v>
      </c>
      <c r="C708" s="1346" t="s">
        <v>5154</v>
      </c>
      <c r="D708" s="1346" t="s">
        <v>847</v>
      </c>
      <c r="E708" s="1346" t="s">
        <v>11940</v>
      </c>
      <c r="F708" s="1346" t="s">
        <v>11931</v>
      </c>
      <c r="G708" s="1345" t="s">
        <v>60</v>
      </c>
      <c r="H708" s="1345" t="s">
        <v>848</v>
      </c>
      <c r="I708" s="1349" t="s">
        <v>109</v>
      </c>
      <c r="J708" s="1350"/>
      <c r="K708" s="1348">
        <v>1243000.0</v>
      </c>
    </row>
    <row r="709">
      <c r="A709" s="1344" t="s">
        <v>13081</v>
      </c>
      <c r="B709" s="1345" t="s">
        <v>13082</v>
      </c>
      <c r="C709" s="1346" t="s">
        <v>5154</v>
      </c>
      <c r="D709" s="1346" t="s">
        <v>849</v>
      </c>
      <c r="E709" s="1346" t="s">
        <v>11940</v>
      </c>
      <c r="F709" s="1346" t="s">
        <v>11944</v>
      </c>
      <c r="G709" s="1345" t="s">
        <v>62</v>
      </c>
      <c r="H709" s="1345" t="s">
        <v>848</v>
      </c>
      <c r="I709" s="1349" t="s">
        <v>1442</v>
      </c>
      <c r="J709" s="1350"/>
      <c r="K709" s="1348">
        <v>1776000.0</v>
      </c>
    </row>
    <row r="710">
      <c r="A710" s="1344" t="s">
        <v>13083</v>
      </c>
      <c r="B710" s="1345" t="s">
        <v>13084</v>
      </c>
      <c r="C710" s="1346" t="s">
        <v>5154</v>
      </c>
      <c r="D710" s="1346" t="s">
        <v>850</v>
      </c>
      <c r="E710" s="1346" t="s">
        <v>11940</v>
      </c>
      <c r="F710" s="1346" t="s">
        <v>11969</v>
      </c>
      <c r="G710" s="1345" t="s">
        <v>140</v>
      </c>
      <c r="H710" s="1345" t="s">
        <v>848</v>
      </c>
      <c r="I710" s="1349" t="s">
        <v>152</v>
      </c>
      <c r="J710" s="1350"/>
      <c r="K710" s="1348">
        <v>579000.0</v>
      </c>
    </row>
    <row r="711">
      <c r="A711" s="1344" t="s">
        <v>13085</v>
      </c>
      <c r="B711" s="1345" t="s">
        <v>13086</v>
      </c>
      <c r="C711" s="1346" t="s">
        <v>5154</v>
      </c>
      <c r="D711" s="1346" t="s">
        <v>851</v>
      </c>
      <c r="E711" s="1346" t="s">
        <v>11940</v>
      </c>
      <c r="F711" s="1346" t="s">
        <v>11969</v>
      </c>
      <c r="G711" s="1345" t="s">
        <v>142</v>
      </c>
      <c r="H711" s="1345" t="s">
        <v>848</v>
      </c>
      <c r="I711" s="1349" t="s">
        <v>152</v>
      </c>
      <c r="J711" s="1350"/>
      <c r="K711" s="1348">
        <v>579000.0</v>
      </c>
    </row>
    <row r="712">
      <c r="A712" s="1344" t="s">
        <v>13087</v>
      </c>
      <c r="B712" s="1345" t="s">
        <v>13088</v>
      </c>
      <c r="C712" s="1346" t="s">
        <v>5154</v>
      </c>
      <c r="D712" s="1346" t="s">
        <v>852</v>
      </c>
      <c r="E712" s="1346" t="s">
        <v>11940</v>
      </c>
      <c r="F712" s="1346" t="s">
        <v>11969</v>
      </c>
      <c r="G712" s="1345" t="s">
        <v>144</v>
      </c>
      <c r="H712" s="1345" t="s">
        <v>848</v>
      </c>
      <c r="I712" s="1349" t="s">
        <v>152</v>
      </c>
      <c r="J712" s="1350"/>
      <c r="K712" s="1348">
        <v>537000.0</v>
      </c>
    </row>
    <row r="713">
      <c r="A713" s="1344" t="s">
        <v>13089</v>
      </c>
      <c r="B713" s="1345" t="s">
        <v>13090</v>
      </c>
      <c r="C713" s="1346" t="s">
        <v>5154</v>
      </c>
      <c r="D713" s="1346" t="s">
        <v>853</v>
      </c>
      <c r="E713" s="1346" t="s">
        <v>11940</v>
      </c>
      <c r="F713" s="1346" t="s">
        <v>11969</v>
      </c>
      <c r="G713" s="1345" t="s">
        <v>146</v>
      </c>
      <c r="H713" s="1345" t="s">
        <v>848</v>
      </c>
      <c r="I713" s="1349" t="s">
        <v>152</v>
      </c>
      <c r="J713" s="1350"/>
      <c r="K713" s="1348">
        <v>537000.0</v>
      </c>
    </row>
    <row r="714">
      <c r="A714" s="1344" t="s">
        <v>13091</v>
      </c>
      <c r="B714" s="1345" t="s">
        <v>5154</v>
      </c>
      <c r="C714" s="1346" t="s">
        <v>5154</v>
      </c>
      <c r="D714" s="1346" t="s">
        <v>854</v>
      </c>
      <c r="E714" s="1346" t="s">
        <v>11943</v>
      </c>
      <c r="F714" s="1346" t="s">
        <v>11969</v>
      </c>
      <c r="G714" s="1345" t="s">
        <v>396</v>
      </c>
      <c r="H714" s="1345" t="s">
        <v>848</v>
      </c>
      <c r="I714" s="1350"/>
      <c r="J714" s="1350"/>
      <c r="K714" s="1348">
        <v>262000.0</v>
      </c>
    </row>
    <row r="715">
      <c r="A715" s="1344" t="s">
        <v>13092</v>
      </c>
      <c r="B715" s="1345" t="s">
        <v>5154</v>
      </c>
      <c r="C715" s="1346" t="s">
        <v>5154</v>
      </c>
      <c r="D715" s="1346" t="s">
        <v>855</v>
      </c>
      <c r="E715" s="1346" t="s">
        <v>11943</v>
      </c>
      <c r="F715" s="1346" t="s">
        <v>11969</v>
      </c>
      <c r="G715" s="1345" t="s">
        <v>398</v>
      </c>
      <c r="H715" s="1345" t="s">
        <v>848</v>
      </c>
      <c r="I715" s="1350"/>
      <c r="J715" s="1350"/>
      <c r="K715" s="1348">
        <v>262000.0</v>
      </c>
    </row>
    <row r="716">
      <c r="A716" s="1344" t="s">
        <v>13093</v>
      </c>
      <c r="B716" s="1345" t="s">
        <v>13094</v>
      </c>
      <c r="C716" s="1346" t="s">
        <v>5154</v>
      </c>
      <c r="D716" s="1346" t="s">
        <v>856</v>
      </c>
      <c r="E716" s="1346" t="s">
        <v>11940</v>
      </c>
      <c r="F716" s="1346" t="s">
        <v>11931</v>
      </c>
      <c r="G716" s="1345" t="s">
        <v>60</v>
      </c>
      <c r="H716" s="1345" t="s">
        <v>857</v>
      </c>
      <c r="I716" s="1349" t="s">
        <v>137</v>
      </c>
      <c r="J716" s="1350"/>
      <c r="K716" s="1348">
        <v>1461000.0</v>
      </c>
    </row>
    <row r="717">
      <c r="A717" s="1344" t="s">
        <v>13095</v>
      </c>
      <c r="B717" s="1345" t="s">
        <v>13096</v>
      </c>
      <c r="C717" s="1346" t="s">
        <v>5154</v>
      </c>
      <c r="D717" s="1346" t="s">
        <v>858</v>
      </c>
      <c r="E717" s="1346" t="s">
        <v>11943</v>
      </c>
      <c r="F717" s="1346" t="s">
        <v>11944</v>
      </c>
      <c r="G717" s="1345" t="s">
        <v>62</v>
      </c>
      <c r="H717" s="1345" t="s">
        <v>857</v>
      </c>
      <c r="I717" s="1349" t="s">
        <v>1442</v>
      </c>
      <c r="J717" s="1350"/>
      <c r="K717" s="1348">
        <v>1776000.0</v>
      </c>
    </row>
    <row r="718">
      <c r="A718" s="1344" t="s">
        <v>13097</v>
      </c>
      <c r="B718" s="1345" t="s">
        <v>5154</v>
      </c>
      <c r="C718" s="1346" t="s">
        <v>5154</v>
      </c>
      <c r="D718" s="1346" t="s">
        <v>859</v>
      </c>
      <c r="E718" s="1346" t="s">
        <v>11943</v>
      </c>
      <c r="F718" s="1346" t="s">
        <v>11969</v>
      </c>
      <c r="G718" s="1345" t="s">
        <v>140</v>
      </c>
      <c r="H718" s="1345" t="s">
        <v>857</v>
      </c>
      <c r="I718" s="1349" t="s">
        <v>152</v>
      </c>
      <c r="J718" s="1350"/>
      <c r="K718" s="1348">
        <v>389000.0</v>
      </c>
    </row>
    <row r="719">
      <c r="A719" s="1344" t="s">
        <v>13098</v>
      </c>
      <c r="B719" s="1345" t="s">
        <v>5154</v>
      </c>
      <c r="C719" s="1346" t="s">
        <v>5154</v>
      </c>
      <c r="D719" s="1346" t="s">
        <v>860</v>
      </c>
      <c r="E719" s="1346" t="s">
        <v>11943</v>
      </c>
      <c r="F719" s="1346" t="s">
        <v>11969</v>
      </c>
      <c r="G719" s="1345" t="s">
        <v>142</v>
      </c>
      <c r="H719" s="1345" t="s">
        <v>857</v>
      </c>
      <c r="I719" s="1349" t="s">
        <v>152</v>
      </c>
      <c r="J719" s="1350"/>
      <c r="K719" s="1348">
        <v>389000.0</v>
      </c>
    </row>
    <row r="720">
      <c r="A720" s="1344" t="s">
        <v>13099</v>
      </c>
      <c r="B720" s="1345" t="s">
        <v>13100</v>
      </c>
      <c r="C720" s="1346" t="s">
        <v>5154</v>
      </c>
      <c r="D720" s="1346" t="s">
        <v>861</v>
      </c>
      <c r="E720" s="1346" t="s">
        <v>11940</v>
      </c>
      <c r="F720" s="1346" t="s">
        <v>11931</v>
      </c>
      <c r="G720" s="1345" t="s">
        <v>60</v>
      </c>
      <c r="H720" s="1345" t="s">
        <v>862</v>
      </c>
      <c r="I720" s="1349" t="s">
        <v>137</v>
      </c>
      <c r="J720" s="1350"/>
      <c r="K720" s="1348">
        <v>1906000.0</v>
      </c>
    </row>
    <row r="721">
      <c r="A721" s="1344" t="s">
        <v>13101</v>
      </c>
      <c r="B721" s="1345" t="s">
        <v>13102</v>
      </c>
      <c r="C721" s="1346" t="s">
        <v>5154</v>
      </c>
      <c r="D721" s="1346" t="s">
        <v>863</v>
      </c>
      <c r="E721" s="1346" t="s">
        <v>11940</v>
      </c>
      <c r="F721" s="1346" t="s">
        <v>11944</v>
      </c>
      <c r="G721" s="1345" t="s">
        <v>62</v>
      </c>
      <c r="H721" s="1345" t="s">
        <v>862</v>
      </c>
      <c r="I721" s="1349" t="s">
        <v>1442</v>
      </c>
      <c r="J721" s="1350"/>
      <c r="K721" s="1348">
        <v>2006000.0</v>
      </c>
    </row>
    <row r="722">
      <c r="A722" s="1344" t="s">
        <v>13103</v>
      </c>
      <c r="B722" s="1345" t="s">
        <v>13104</v>
      </c>
      <c r="C722" s="1346" t="s">
        <v>5154</v>
      </c>
      <c r="D722" s="1346" t="s">
        <v>864</v>
      </c>
      <c r="E722" s="1346" t="s">
        <v>11943</v>
      </c>
      <c r="F722" s="1346" t="s">
        <v>11969</v>
      </c>
      <c r="G722" s="1345" t="s">
        <v>140</v>
      </c>
      <c r="H722" s="1345" t="s">
        <v>862</v>
      </c>
      <c r="I722" s="1350"/>
      <c r="J722" s="1350"/>
      <c r="K722" s="1348">
        <v>613000.0</v>
      </c>
    </row>
    <row r="723">
      <c r="A723" s="1344" t="s">
        <v>13105</v>
      </c>
      <c r="B723" s="1345" t="s">
        <v>13106</v>
      </c>
      <c r="C723" s="1346" t="s">
        <v>5154</v>
      </c>
      <c r="D723" s="1346" t="s">
        <v>865</v>
      </c>
      <c r="E723" s="1346" t="s">
        <v>11940</v>
      </c>
      <c r="F723" s="1346" t="s">
        <v>11969</v>
      </c>
      <c r="G723" s="1345" t="s">
        <v>142</v>
      </c>
      <c r="H723" s="1345" t="s">
        <v>862</v>
      </c>
      <c r="I723" s="1349" t="s">
        <v>406</v>
      </c>
      <c r="J723" s="1350"/>
      <c r="K723" s="1348">
        <v>613000.0</v>
      </c>
    </row>
    <row r="724">
      <c r="A724" s="1344" t="s">
        <v>13107</v>
      </c>
      <c r="B724" s="1345" t="s">
        <v>5154</v>
      </c>
      <c r="C724" s="1346" t="s">
        <v>5154</v>
      </c>
      <c r="D724" s="1346" t="s">
        <v>866</v>
      </c>
      <c r="E724" s="1346" t="s">
        <v>11943</v>
      </c>
      <c r="F724" s="1346" t="s">
        <v>11969</v>
      </c>
      <c r="G724" s="1345" t="s">
        <v>144</v>
      </c>
      <c r="H724" s="1345" t="s">
        <v>862</v>
      </c>
      <c r="I724" s="1350"/>
      <c r="J724" s="1350"/>
      <c r="K724" s="1348">
        <v>564000.0</v>
      </c>
    </row>
    <row r="725">
      <c r="A725" s="1344" t="s">
        <v>13108</v>
      </c>
      <c r="B725" s="1345" t="s">
        <v>5154</v>
      </c>
      <c r="C725" s="1346" t="s">
        <v>5154</v>
      </c>
      <c r="D725" s="1346" t="s">
        <v>867</v>
      </c>
      <c r="E725" s="1346" t="s">
        <v>11943</v>
      </c>
      <c r="F725" s="1346" t="s">
        <v>11969</v>
      </c>
      <c r="G725" s="1345" t="s">
        <v>146</v>
      </c>
      <c r="H725" s="1345" t="s">
        <v>862</v>
      </c>
      <c r="I725" s="1350"/>
      <c r="J725" s="1350"/>
      <c r="K725" s="1348">
        <v>564000.0</v>
      </c>
    </row>
    <row r="726">
      <c r="A726" s="1344" t="s">
        <v>13109</v>
      </c>
      <c r="B726" s="1345" t="s">
        <v>13110</v>
      </c>
      <c r="C726" s="1346" t="s">
        <v>5154</v>
      </c>
      <c r="D726" s="1346" t="s">
        <v>868</v>
      </c>
      <c r="E726" s="1346" t="s">
        <v>11940</v>
      </c>
      <c r="F726" s="1346" t="s">
        <v>11931</v>
      </c>
      <c r="G726" s="1345" t="s">
        <v>60</v>
      </c>
      <c r="H726" s="1345" t="s">
        <v>869</v>
      </c>
      <c r="I726" s="1349" t="s">
        <v>137</v>
      </c>
      <c r="J726" s="1350"/>
      <c r="K726" s="1348">
        <v>2857000.0</v>
      </c>
    </row>
    <row r="727">
      <c r="A727" s="1344" t="s">
        <v>13111</v>
      </c>
      <c r="B727" s="1345" t="s">
        <v>5154</v>
      </c>
      <c r="C727" s="1346" t="s">
        <v>5154</v>
      </c>
      <c r="D727" s="1346" t="s">
        <v>870</v>
      </c>
      <c r="E727" s="1346" t="s">
        <v>11943</v>
      </c>
      <c r="F727" s="1346" t="s">
        <v>11931</v>
      </c>
      <c r="G727" s="1345" t="s">
        <v>60</v>
      </c>
      <c r="H727" s="1345" t="s">
        <v>869</v>
      </c>
      <c r="I727" s="1349" t="s">
        <v>90</v>
      </c>
      <c r="J727" s="1350"/>
      <c r="K727" s="1348">
        <v>3695000.0</v>
      </c>
    </row>
    <row r="728">
      <c r="A728" s="1344" t="s">
        <v>13112</v>
      </c>
      <c r="B728" s="1345" t="s">
        <v>13113</v>
      </c>
      <c r="C728" s="1346" t="s">
        <v>5154</v>
      </c>
      <c r="D728" s="1346" t="s">
        <v>871</v>
      </c>
      <c r="E728" s="1346" t="s">
        <v>11940</v>
      </c>
      <c r="F728" s="1346" t="s">
        <v>11944</v>
      </c>
      <c r="G728" s="1345" t="s">
        <v>62</v>
      </c>
      <c r="H728" s="1345" t="s">
        <v>869</v>
      </c>
      <c r="I728" s="1349" t="s">
        <v>1442</v>
      </c>
      <c r="J728" s="1350"/>
      <c r="K728" s="1348">
        <v>2410000.0</v>
      </c>
    </row>
    <row r="729">
      <c r="A729" s="1344" t="s">
        <v>13114</v>
      </c>
      <c r="B729" s="1345" t="s">
        <v>5154</v>
      </c>
      <c r="C729" s="1346" t="s">
        <v>5154</v>
      </c>
      <c r="D729" s="1346" t="s">
        <v>872</v>
      </c>
      <c r="E729" s="1346" t="s">
        <v>11943</v>
      </c>
      <c r="F729" s="1346" t="s">
        <v>11969</v>
      </c>
      <c r="G729" s="1345" t="s">
        <v>140</v>
      </c>
      <c r="H729" s="1345" t="s">
        <v>869</v>
      </c>
      <c r="I729" s="1350"/>
      <c r="J729" s="1350"/>
      <c r="K729" s="1348">
        <v>644000.0</v>
      </c>
    </row>
    <row r="730">
      <c r="A730" s="1344" t="s">
        <v>13115</v>
      </c>
      <c r="B730" s="1345" t="s">
        <v>5154</v>
      </c>
      <c r="C730" s="1346" t="s">
        <v>5154</v>
      </c>
      <c r="D730" s="1346" t="s">
        <v>873</v>
      </c>
      <c r="E730" s="1346" t="s">
        <v>11943</v>
      </c>
      <c r="F730" s="1346" t="s">
        <v>11969</v>
      </c>
      <c r="G730" s="1345" t="s">
        <v>142</v>
      </c>
      <c r="H730" s="1345" t="s">
        <v>869</v>
      </c>
      <c r="I730" s="1350"/>
      <c r="J730" s="1350"/>
      <c r="K730" s="1348">
        <v>644000.0</v>
      </c>
    </row>
    <row r="731">
      <c r="A731" s="1344" t="s">
        <v>13116</v>
      </c>
      <c r="B731" s="1345" t="s">
        <v>5154</v>
      </c>
      <c r="C731" s="1346" t="s">
        <v>5154</v>
      </c>
      <c r="D731" s="1346" t="s">
        <v>874</v>
      </c>
      <c r="E731" s="1346" t="s">
        <v>11943</v>
      </c>
      <c r="F731" s="1346" t="s">
        <v>11969</v>
      </c>
      <c r="G731" s="1345" t="s">
        <v>144</v>
      </c>
      <c r="H731" s="1345" t="s">
        <v>869</v>
      </c>
      <c r="I731" s="1350"/>
      <c r="J731" s="1350"/>
      <c r="K731" s="1348">
        <v>564000.0</v>
      </c>
    </row>
    <row r="732">
      <c r="A732" s="1344" t="s">
        <v>13117</v>
      </c>
      <c r="B732" s="1345" t="s">
        <v>5154</v>
      </c>
      <c r="C732" s="1346" t="s">
        <v>5154</v>
      </c>
      <c r="D732" s="1346" t="s">
        <v>875</v>
      </c>
      <c r="E732" s="1346" t="s">
        <v>11943</v>
      </c>
      <c r="F732" s="1346" t="s">
        <v>11969</v>
      </c>
      <c r="G732" s="1345" t="s">
        <v>146</v>
      </c>
      <c r="H732" s="1345" t="s">
        <v>869</v>
      </c>
      <c r="I732" s="1350"/>
      <c r="J732" s="1350"/>
      <c r="K732" s="1348">
        <v>564000.0</v>
      </c>
    </row>
    <row r="733">
      <c r="A733" s="1344" t="s">
        <v>13118</v>
      </c>
      <c r="B733" s="1345" t="s">
        <v>13119</v>
      </c>
      <c r="C733" s="1346" t="s">
        <v>5154</v>
      </c>
      <c r="D733" s="1346" t="s">
        <v>876</v>
      </c>
      <c r="E733" s="1346" t="s">
        <v>11940</v>
      </c>
      <c r="F733" s="1346" t="s">
        <v>11931</v>
      </c>
      <c r="G733" s="1345" t="s">
        <v>60</v>
      </c>
      <c r="H733" s="1345" t="s">
        <v>877</v>
      </c>
      <c r="I733" s="1349" t="s">
        <v>137</v>
      </c>
      <c r="J733" s="1350"/>
      <c r="K733" s="1348">
        <v>1293000.0</v>
      </c>
    </row>
    <row r="734">
      <c r="A734" s="1344" t="s">
        <v>13120</v>
      </c>
      <c r="B734" s="1345" t="s">
        <v>13121</v>
      </c>
      <c r="C734" s="1346" t="s">
        <v>5154</v>
      </c>
      <c r="D734" s="1346" t="s">
        <v>878</v>
      </c>
      <c r="E734" s="1346" t="s">
        <v>11940</v>
      </c>
      <c r="F734" s="1346" t="s">
        <v>11944</v>
      </c>
      <c r="G734" s="1345" t="s">
        <v>62</v>
      </c>
      <c r="H734" s="1345" t="s">
        <v>877</v>
      </c>
      <c r="I734" s="1349" t="s">
        <v>1442</v>
      </c>
      <c r="J734" s="1350"/>
      <c r="K734" s="1348">
        <v>1640000.0</v>
      </c>
    </row>
    <row r="735">
      <c r="A735" s="1344" t="s">
        <v>13122</v>
      </c>
      <c r="B735" s="1345" t="s">
        <v>13123</v>
      </c>
      <c r="C735" s="1346" t="s">
        <v>5154</v>
      </c>
      <c r="D735" s="1346" t="s">
        <v>879</v>
      </c>
      <c r="E735" s="1346" t="s">
        <v>11940</v>
      </c>
      <c r="F735" s="1346" t="s">
        <v>11931</v>
      </c>
      <c r="G735" s="1345" t="s">
        <v>60</v>
      </c>
      <c r="H735" s="1345" t="s">
        <v>880</v>
      </c>
      <c r="I735" s="1349" t="s">
        <v>137</v>
      </c>
      <c r="J735" s="1350"/>
      <c r="K735" s="1348">
        <v>1788000.0</v>
      </c>
    </row>
    <row r="736">
      <c r="A736" s="1344" t="s">
        <v>13124</v>
      </c>
      <c r="B736" s="1345" t="s">
        <v>13125</v>
      </c>
      <c r="C736" s="1346" t="s">
        <v>5154</v>
      </c>
      <c r="D736" s="1346" t="s">
        <v>881</v>
      </c>
      <c r="E736" s="1346" t="s">
        <v>11940</v>
      </c>
      <c r="F736" s="1346" t="s">
        <v>11944</v>
      </c>
      <c r="G736" s="1345" t="s">
        <v>62</v>
      </c>
      <c r="H736" s="1345" t="s">
        <v>880</v>
      </c>
      <c r="I736" s="1349" t="s">
        <v>1437</v>
      </c>
      <c r="J736" s="1350"/>
      <c r="K736" s="1348">
        <v>1091000.0</v>
      </c>
    </row>
    <row r="737">
      <c r="A737" s="1344" t="s">
        <v>5154</v>
      </c>
      <c r="B737" s="1345" t="s">
        <v>13126</v>
      </c>
      <c r="C737" s="1346" t="s">
        <v>5154</v>
      </c>
      <c r="D737" s="1351" t="s">
        <v>1614</v>
      </c>
      <c r="E737" s="1346" t="s">
        <v>11930</v>
      </c>
      <c r="F737" s="1346" t="s">
        <v>11931</v>
      </c>
      <c r="G737" s="1345" t="s">
        <v>60</v>
      </c>
      <c r="H737" s="1345" t="s">
        <v>1615</v>
      </c>
      <c r="I737" s="1349" t="s">
        <v>109</v>
      </c>
      <c r="J737" s="1350"/>
      <c r="K737" s="1348">
        <v>1848000.0</v>
      </c>
    </row>
    <row r="738">
      <c r="A738" s="1344" t="s">
        <v>5154</v>
      </c>
      <c r="B738" s="1345" t="s">
        <v>13127</v>
      </c>
      <c r="C738" s="1346" t="s">
        <v>5154</v>
      </c>
      <c r="D738" s="1346" t="s">
        <v>1617</v>
      </c>
      <c r="E738" s="1346" t="s">
        <v>11930</v>
      </c>
      <c r="F738" s="1346" t="s">
        <v>11931</v>
      </c>
      <c r="G738" s="1345" t="s">
        <v>60</v>
      </c>
      <c r="H738" s="1345" t="s">
        <v>1618</v>
      </c>
      <c r="I738" s="1349" t="s">
        <v>137</v>
      </c>
      <c r="J738" s="1350"/>
      <c r="K738" s="1348">
        <v>1848000.0</v>
      </c>
    </row>
    <row r="739">
      <c r="A739" s="1344" t="s">
        <v>5154</v>
      </c>
      <c r="B739" s="1345" t="s">
        <v>13128</v>
      </c>
      <c r="C739" s="1346" t="s">
        <v>5154</v>
      </c>
      <c r="D739" s="1351" t="s">
        <v>1619</v>
      </c>
      <c r="E739" s="1346" t="s">
        <v>11930</v>
      </c>
      <c r="F739" s="1346" t="s">
        <v>11931</v>
      </c>
      <c r="G739" s="1345" t="s">
        <v>60</v>
      </c>
      <c r="H739" s="1345" t="s">
        <v>1620</v>
      </c>
      <c r="I739" s="1349" t="s">
        <v>137</v>
      </c>
      <c r="J739" s="1350"/>
      <c r="K739" s="1348">
        <v>1956000.0</v>
      </c>
    </row>
    <row r="740">
      <c r="A740" s="1344" t="s">
        <v>13129</v>
      </c>
      <c r="B740" s="1345" t="s">
        <v>13130</v>
      </c>
      <c r="C740" s="1346" t="s">
        <v>13131</v>
      </c>
      <c r="D740" s="1346" t="s">
        <v>882</v>
      </c>
      <c r="E740" s="1346" t="s">
        <v>12061</v>
      </c>
      <c r="F740" s="1346" t="s">
        <v>11931</v>
      </c>
      <c r="G740" s="1345" t="s">
        <v>60</v>
      </c>
      <c r="H740" s="1345" t="s">
        <v>883</v>
      </c>
      <c r="I740" s="1349" t="s">
        <v>137</v>
      </c>
      <c r="J740" s="1350"/>
      <c r="K740" s="1348">
        <v>1180000.0</v>
      </c>
    </row>
    <row r="741">
      <c r="A741" s="1344" t="s">
        <v>13132</v>
      </c>
      <c r="B741" s="1345" t="s">
        <v>13133</v>
      </c>
      <c r="C741" s="1346" t="s">
        <v>5154</v>
      </c>
      <c r="D741" s="1346" t="s">
        <v>884</v>
      </c>
      <c r="E741" s="1346" t="s">
        <v>11940</v>
      </c>
      <c r="F741" s="1346" t="s">
        <v>11944</v>
      </c>
      <c r="G741" s="1345" t="s">
        <v>62</v>
      </c>
      <c r="H741" s="1345" t="s">
        <v>883</v>
      </c>
      <c r="I741" s="1349" t="s">
        <v>1437</v>
      </c>
      <c r="J741" s="1357">
        <v>483000.0</v>
      </c>
      <c r="K741" s="1348">
        <v>1405000.0</v>
      </c>
    </row>
    <row r="742">
      <c r="A742" s="1344" t="s">
        <v>5154</v>
      </c>
      <c r="B742" s="1345" t="s">
        <v>13134</v>
      </c>
      <c r="C742" s="1346" t="s">
        <v>5154</v>
      </c>
      <c r="D742" s="1346" t="s">
        <v>2503</v>
      </c>
      <c r="E742" s="1346" t="s">
        <v>11930</v>
      </c>
      <c r="F742" s="1346" t="s">
        <v>11969</v>
      </c>
      <c r="G742" s="1345" t="s">
        <v>209</v>
      </c>
      <c r="H742" s="1345" t="s">
        <v>883</v>
      </c>
      <c r="I742" s="1350"/>
      <c r="J742" s="1350"/>
      <c r="K742" s="1348">
        <v>589000.0</v>
      </c>
    </row>
    <row r="743">
      <c r="A743" s="1344" t="s">
        <v>5154</v>
      </c>
      <c r="B743" s="1345" t="s">
        <v>13135</v>
      </c>
      <c r="C743" s="1346" t="s">
        <v>5154</v>
      </c>
      <c r="D743" s="1346" t="s">
        <v>1622</v>
      </c>
      <c r="E743" s="1346" t="s">
        <v>11930</v>
      </c>
      <c r="F743" s="1346" t="s">
        <v>11969</v>
      </c>
      <c r="G743" s="1345" t="s">
        <v>243</v>
      </c>
      <c r="H743" s="1345" t="s">
        <v>883</v>
      </c>
      <c r="I743" s="1350"/>
      <c r="J743" s="1350"/>
      <c r="K743" s="1348">
        <v>589000.0</v>
      </c>
    </row>
    <row r="744">
      <c r="A744" s="1344" t="s">
        <v>13136</v>
      </c>
      <c r="B744" s="1345" t="s">
        <v>13137</v>
      </c>
      <c r="C744" s="1346" t="s">
        <v>13138</v>
      </c>
      <c r="D744" s="1346" t="s">
        <v>885</v>
      </c>
      <c r="E744" s="1346" t="s">
        <v>12061</v>
      </c>
      <c r="F744" s="1346" t="s">
        <v>11931</v>
      </c>
      <c r="G744" s="1345" t="s">
        <v>60</v>
      </c>
      <c r="H744" s="1345" t="s">
        <v>886</v>
      </c>
      <c r="I744" s="1349" t="s">
        <v>137</v>
      </c>
      <c r="J744" s="1350"/>
      <c r="K744" s="1348">
        <v>1180000.0</v>
      </c>
    </row>
    <row r="745">
      <c r="A745" s="1344" t="s">
        <v>13139</v>
      </c>
      <c r="B745" s="1345" t="s">
        <v>13140</v>
      </c>
      <c r="C745" s="1346" t="s">
        <v>5154</v>
      </c>
      <c r="D745" s="1346" t="s">
        <v>887</v>
      </c>
      <c r="E745" s="1346" t="s">
        <v>11940</v>
      </c>
      <c r="F745" s="1346" t="s">
        <v>11944</v>
      </c>
      <c r="G745" s="1345" t="s">
        <v>62</v>
      </c>
      <c r="H745" s="1345" t="s">
        <v>886</v>
      </c>
      <c r="I745" s="1349" t="s">
        <v>1437</v>
      </c>
      <c r="J745" s="1357">
        <v>670000.0</v>
      </c>
      <c r="K745" s="1348">
        <v>1236000.0</v>
      </c>
    </row>
    <row r="746">
      <c r="A746" s="1344" t="s">
        <v>5154</v>
      </c>
      <c r="B746" s="1345" t="s">
        <v>13141</v>
      </c>
      <c r="C746" s="1346" t="s">
        <v>5154</v>
      </c>
      <c r="D746" s="1346" t="s">
        <v>1624</v>
      </c>
      <c r="E746" s="1346" t="s">
        <v>11930</v>
      </c>
      <c r="F746" s="1351" t="s">
        <v>11969</v>
      </c>
      <c r="G746" s="1349" t="s">
        <v>146</v>
      </c>
      <c r="H746" s="1345" t="s">
        <v>886</v>
      </c>
      <c r="I746" s="1350"/>
      <c r="J746" s="1350"/>
      <c r="K746" s="1348">
        <v>550000.0</v>
      </c>
    </row>
    <row r="747">
      <c r="A747" s="1344" t="s">
        <v>5154</v>
      </c>
      <c r="B747" s="1345" t="s">
        <v>13142</v>
      </c>
      <c r="C747" s="1346" t="s">
        <v>5154</v>
      </c>
      <c r="D747" s="1346" t="s">
        <v>2327</v>
      </c>
      <c r="E747" s="1346" t="s">
        <v>11930</v>
      </c>
      <c r="F747" s="1351" t="s">
        <v>11969</v>
      </c>
      <c r="G747" s="1349" t="s">
        <v>144</v>
      </c>
      <c r="H747" s="1345" t="s">
        <v>886</v>
      </c>
      <c r="I747" s="1350"/>
      <c r="J747" s="1350"/>
      <c r="K747" s="1348">
        <v>550000.0</v>
      </c>
    </row>
    <row r="748">
      <c r="A748" s="1344" t="s">
        <v>5154</v>
      </c>
      <c r="B748" s="1345" t="s">
        <v>13143</v>
      </c>
      <c r="C748" s="1346" t="s">
        <v>5154</v>
      </c>
      <c r="D748" s="1346" t="s">
        <v>1625</v>
      </c>
      <c r="E748" s="1346" t="s">
        <v>11930</v>
      </c>
      <c r="F748" s="1351" t="s">
        <v>11931</v>
      </c>
      <c r="G748" s="1345" t="s">
        <v>60</v>
      </c>
      <c r="H748" s="1345" t="s">
        <v>13144</v>
      </c>
      <c r="I748" s="1349" t="s">
        <v>90</v>
      </c>
      <c r="J748" s="1350"/>
      <c r="K748" s="1348">
        <v>2000000.0</v>
      </c>
    </row>
    <row r="749">
      <c r="A749" s="1344" t="s">
        <v>5154</v>
      </c>
      <c r="B749" s="1345" t="s">
        <v>13145</v>
      </c>
      <c r="C749" s="1346" t="s">
        <v>5154</v>
      </c>
      <c r="D749" s="1346" t="s">
        <v>1627</v>
      </c>
      <c r="E749" s="1346" t="s">
        <v>11930</v>
      </c>
      <c r="F749" s="1351" t="s">
        <v>11931</v>
      </c>
      <c r="G749" s="1345" t="s">
        <v>60</v>
      </c>
      <c r="H749" s="1345" t="s">
        <v>13146</v>
      </c>
      <c r="I749" s="1349" t="s">
        <v>1629</v>
      </c>
      <c r="J749" s="1350"/>
      <c r="K749" s="1348">
        <v>2360000.0</v>
      </c>
    </row>
    <row r="750">
      <c r="A750" s="1344" t="s">
        <v>13147</v>
      </c>
      <c r="B750" s="1345" t="s">
        <v>13148</v>
      </c>
      <c r="C750" s="1346" t="s">
        <v>13149</v>
      </c>
      <c r="D750" s="1346" t="s">
        <v>888</v>
      </c>
      <c r="E750" s="1346" t="s">
        <v>12061</v>
      </c>
      <c r="F750" s="1346" t="s">
        <v>11931</v>
      </c>
      <c r="G750" s="1345" t="s">
        <v>60</v>
      </c>
      <c r="H750" s="1345" t="s">
        <v>889</v>
      </c>
      <c r="I750" s="1349" t="s">
        <v>137</v>
      </c>
      <c r="J750" s="1350"/>
      <c r="K750" s="1348">
        <v>1051000.0</v>
      </c>
    </row>
    <row r="751">
      <c r="A751" s="1344" t="s">
        <v>13150</v>
      </c>
      <c r="B751" s="1345" t="s">
        <v>13151</v>
      </c>
      <c r="C751" s="1346" t="s">
        <v>5154</v>
      </c>
      <c r="D751" s="1346" t="s">
        <v>890</v>
      </c>
      <c r="E751" s="1346" t="s">
        <v>11940</v>
      </c>
      <c r="F751" s="1346" t="s">
        <v>11944</v>
      </c>
      <c r="G751" s="1345" t="s">
        <v>62</v>
      </c>
      <c r="H751" s="1345" t="s">
        <v>889</v>
      </c>
      <c r="I751" s="1349" t="s">
        <v>1442</v>
      </c>
      <c r="J751" s="1357">
        <v>372000.0</v>
      </c>
      <c r="K751" s="1348">
        <v>708000.0</v>
      </c>
    </row>
    <row r="752">
      <c r="A752" s="1344" t="s">
        <v>13152</v>
      </c>
      <c r="B752" s="1345" t="s">
        <v>13153</v>
      </c>
      <c r="C752" s="1346" t="s">
        <v>13154</v>
      </c>
      <c r="D752" s="1346" t="s">
        <v>891</v>
      </c>
      <c r="E752" s="1346" t="s">
        <v>12061</v>
      </c>
      <c r="F752" s="1346" t="s">
        <v>11931</v>
      </c>
      <c r="G752" s="1345" t="s">
        <v>60</v>
      </c>
      <c r="H752" s="1345" t="s">
        <v>892</v>
      </c>
      <c r="I752" s="1349" t="s">
        <v>137</v>
      </c>
      <c r="J752" s="1350"/>
      <c r="K752" s="1348">
        <v>1112000.0</v>
      </c>
    </row>
    <row r="753">
      <c r="A753" s="1344" t="s">
        <v>13155</v>
      </c>
      <c r="B753" s="1345" t="s">
        <v>13156</v>
      </c>
      <c r="C753" s="1346" t="s">
        <v>5154</v>
      </c>
      <c r="D753" s="1346" t="s">
        <v>893</v>
      </c>
      <c r="E753" s="1346" t="s">
        <v>11940</v>
      </c>
      <c r="F753" s="1346" t="s">
        <v>11944</v>
      </c>
      <c r="G753" s="1345" t="s">
        <v>62</v>
      </c>
      <c r="H753" s="1345" t="s">
        <v>892</v>
      </c>
      <c r="I753" s="1349" t="s">
        <v>1442</v>
      </c>
      <c r="J753" s="1357">
        <v>372000.0</v>
      </c>
      <c r="K753" s="1348">
        <v>780000.0</v>
      </c>
    </row>
    <row r="754">
      <c r="A754" s="1344" t="s">
        <v>5154</v>
      </c>
      <c r="B754" s="1345" t="s">
        <v>13157</v>
      </c>
      <c r="C754" s="1346" t="s">
        <v>5154</v>
      </c>
      <c r="D754" s="1346" t="s">
        <v>1630</v>
      </c>
      <c r="E754" s="1346" t="s">
        <v>11930</v>
      </c>
      <c r="F754" s="1346" t="s">
        <v>11944</v>
      </c>
      <c r="G754" s="1345" t="s">
        <v>62</v>
      </c>
      <c r="H754" s="1345" t="s">
        <v>892</v>
      </c>
      <c r="I754" s="1349" t="s">
        <v>109</v>
      </c>
      <c r="J754" s="1350"/>
      <c r="K754" s="1348">
        <v>738000.0</v>
      </c>
    </row>
    <row r="755">
      <c r="A755" s="1344" t="s">
        <v>13158</v>
      </c>
      <c r="B755" s="1345" t="s">
        <v>13159</v>
      </c>
      <c r="C755" s="1346" t="s">
        <v>5154</v>
      </c>
      <c r="D755" s="1346" t="s">
        <v>894</v>
      </c>
      <c r="E755" s="1346" t="s">
        <v>11940</v>
      </c>
      <c r="F755" s="1346" t="s">
        <v>11969</v>
      </c>
      <c r="G755" s="1345" t="s">
        <v>144</v>
      </c>
      <c r="H755" s="1345" t="s">
        <v>892</v>
      </c>
      <c r="I755" s="1349" t="s">
        <v>406</v>
      </c>
      <c r="J755" s="1350"/>
      <c r="K755" s="1348">
        <v>604000.0</v>
      </c>
    </row>
    <row r="756">
      <c r="A756" s="1344" t="s">
        <v>13160</v>
      </c>
      <c r="B756" s="1345" t="s">
        <v>13161</v>
      </c>
      <c r="C756" s="1346" t="s">
        <v>5154</v>
      </c>
      <c r="D756" s="1346" t="s">
        <v>895</v>
      </c>
      <c r="E756" s="1346" t="s">
        <v>11940</v>
      </c>
      <c r="F756" s="1346" t="s">
        <v>11969</v>
      </c>
      <c r="G756" s="1345" t="s">
        <v>146</v>
      </c>
      <c r="H756" s="1345" t="s">
        <v>892</v>
      </c>
      <c r="I756" s="1349" t="s">
        <v>406</v>
      </c>
      <c r="J756" s="1350"/>
      <c r="K756" s="1348">
        <v>604000.0</v>
      </c>
    </row>
    <row r="757">
      <c r="A757" s="1344" t="s">
        <v>5154</v>
      </c>
      <c r="B757" s="1345" t="s">
        <v>13162</v>
      </c>
      <c r="C757" s="1346" t="s">
        <v>13163</v>
      </c>
      <c r="D757" s="1346" t="s">
        <v>1631</v>
      </c>
      <c r="E757" s="1346" t="s">
        <v>12158</v>
      </c>
      <c r="F757" s="1346" t="s">
        <v>11931</v>
      </c>
      <c r="G757" s="1345" t="s">
        <v>60</v>
      </c>
      <c r="H757" s="1345" t="s">
        <v>2179</v>
      </c>
      <c r="I757" s="1349" t="s">
        <v>137</v>
      </c>
      <c r="J757" s="1350"/>
      <c r="K757" s="1348">
        <v>1344000.0</v>
      </c>
    </row>
    <row r="758">
      <c r="A758" s="1344" t="s">
        <v>5154</v>
      </c>
      <c r="B758" s="1345" t="s">
        <v>13164</v>
      </c>
      <c r="C758" s="1346" t="s">
        <v>5154</v>
      </c>
      <c r="D758" s="1346" t="s">
        <v>2332</v>
      </c>
      <c r="E758" s="1346" t="s">
        <v>11930</v>
      </c>
      <c r="F758" s="1346" t="s">
        <v>11944</v>
      </c>
      <c r="G758" s="1345" t="s">
        <v>62</v>
      </c>
      <c r="H758" s="1345" t="s">
        <v>2336</v>
      </c>
      <c r="I758" s="1349" t="s">
        <v>546</v>
      </c>
      <c r="J758" s="1357">
        <v>292000.0</v>
      </c>
      <c r="K758" s="1348">
        <v>531000.0</v>
      </c>
    </row>
    <row r="759">
      <c r="A759" s="1344" t="s">
        <v>5154</v>
      </c>
      <c r="B759" s="1345" t="s">
        <v>13165</v>
      </c>
      <c r="C759" s="1346" t="s">
        <v>5154</v>
      </c>
      <c r="D759" s="1351" t="s">
        <v>1963</v>
      </c>
      <c r="E759" s="1346" t="s">
        <v>11930</v>
      </c>
      <c r="F759" s="1351" t="s">
        <v>11944</v>
      </c>
      <c r="G759" s="1349" t="s">
        <v>62</v>
      </c>
      <c r="H759" s="1349" t="s">
        <v>2336</v>
      </c>
      <c r="I759" s="1349" t="s">
        <v>1437</v>
      </c>
      <c r="J759" s="1350"/>
      <c r="K759" s="1348">
        <v>600000.0</v>
      </c>
    </row>
    <row r="760">
      <c r="A760" s="1341" t="s">
        <v>11515</v>
      </c>
      <c r="B760" s="1342" t="s">
        <v>11515</v>
      </c>
      <c r="C760" s="1343"/>
      <c r="D760" s="1343"/>
      <c r="E760" s="1343"/>
      <c r="F760" s="1343"/>
      <c r="G760" s="1343"/>
      <c r="H760" s="1342" t="s">
        <v>11515</v>
      </c>
      <c r="I760" s="1343"/>
      <c r="J760" s="1343"/>
      <c r="K760" s="1343"/>
    </row>
    <row r="761">
      <c r="A761" s="1344" t="s">
        <v>5154</v>
      </c>
      <c r="B761" s="1345" t="s">
        <v>13166</v>
      </c>
      <c r="C761" s="1346" t="s">
        <v>5154</v>
      </c>
      <c r="D761" s="1346" t="s">
        <v>1635</v>
      </c>
      <c r="E761" s="1346" t="s">
        <v>11930</v>
      </c>
      <c r="F761" s="1346" t="s">
        <v>11931</v>
      </c>
      <c r="G761" s="1345" t="s">
        <v>60</v>
      </c>
      <c r="H761" s="1345" t="s">
        <v>1636</v>
      </c>
      <c r="I761" s="1349" t="s">
        <v>137</v>
      </c>
      <c r="J761" s="1350"/>
      <c r="K761" s="1348">
        <v>1664000.0</v>
      </c>
    </row>
    <row r="762">
      <c r="A762" s="1344" t="s">
        <v>5154</v>
      </c>
      <c r="B762" s="1345" t="s">
        <v>5154</v>
      </c>
      <c r="C762" s="1346" t="s">
        <v>13167</v>
      </c>
      <c r="D762" s="1346" t="s">
        <v>13168</v>
      </c>
      <c r="E762" s="1346" t="s">
        <v>12155</v>
      </c>
      <c r="F762" s="1346" t="s">
        <v>11931</v>
      </c>
      <c r="G762" s="1349" t="s">
        <v>60</v>
      </c>
      <c r="H762" s="1349" t="s">
        <v>897</v>
      </c>
      <c r="I762" s="1350"/>
      <c r="J762" s="1350"/>
      <c r="K762" s="1348">
        <v>1020000.0</v>
      </c>
    </row>
    <row r="763">
      <c r="A763" s="1344" t="s">
        <v>13169</v>
      </c>
      <c r="B763" s="1345" t="s">
        <v>5154</v>
      </c>
      <c r="C763" s="1346" t="s">
        <v>5154</v>
      </c>
      <c r="D763" s="1346" t="s">
        <v>896</v>
      </c>
      <c r="E763" s="1346" t="s">
        <v>11943</v>
      </c>
      <c r="F763" s="1346" t="s">
        <v>11969</v>
      </c>
      <c r="G763" s="1345" t="s">
        <v>140</v>
      </c>
      <c r="H763" s="1345" t="s">
        <v>897</v>
      </c>
      <c r="I763" s="1350"/>
      <c r="J763" s="1350"/>
      <c r="K763" s="1348">
        <v>210000.0</v>
      </c>
    </row>
    <row r="764">
      <c r="A764" s="1344" t="s">
        <v>13170</v>
      </c>
      <c r="B764" s="1345" t="s">
        <v>5154</v>
      </c>
      <c r="C764" s="1346" t="s">
        <v>5154</v>
      </c>
      <c r="D764" s="1346" t="s">
        <v>898</v>
      </c>
      <c r="E764" s="1346" t="s">
        <v>11943</v>
      </c>
      <c r="F764" s="1346" t="s">
        <v>11969</v>
      </c>
      <c r="G764" s="1345" t="s">
        <v>144</v>
      </c>
      <c r="H764" s="1345" t="s">
        <v>897</v>
      </c>
      <c r="I764" s="1350"/>
      <c r="J764" s="1350"/>
      <c r="K764" s="1348">
        <v>102000.0</v>
      </c>
    </row>
    <row r="765">
      <c r="A765" s="1344" t="s">
        <v>13171</v>
      </c>
      <c r="B765" s="1345" t="s">
        <v>5154</v>
      </c>
      <c r="C765" s="1346" t="s">
        <v>5154</v>
      </c>
      <c r="D765" s="1346" t="s">
        <v>899</v>
      </c>
      <c r="E765" s="1346" t="s">
        <v>11943</v>
      </c>
      <c r="F765" s="1346" t="s">
        <v>11969</v>
      </c>
      <c r="G765" s="1345" t="s">
        <v>146</v>
      </c>
      <c r="H765" s="1345" t="s">
        <v>897</v>
      </c>
      <c r="I765" s="1350"/>
      <c r="J765" s="1350"/>
      <c r="K765" s="1348">
        <v>102000.0</v>
      </c>
    </row>
    <row r="766">
      <c r="A766" s="1344" t="s">
        <v>13172</v>
      </c>
      <c r="B766" s="1345" t="s">
        <v>13173</v>
      </c>
      <c r="C766" s="1346" t="s">
        <v>5154</v>
      </c>
      <c r="D766" s="1346" t="s">
        <v>900</v>
      </c>
      <c r="E766" s="1346" t="s">
        <v>11940</v>
      </c>
      <c r="F766" s="1346" t="s">
        <v>11931</v>
      </c>
      <c r="G766" s="1345" t="s">
        <v>60</v>
      </c>
      <c r="H766" s="1345" t="s">
        <v>901</v>
      </c>
      <c r="I766" s="1349" t="s">
        <v>109</v>
      </c>
      <c r="J766" s="1350"/>
      <c r="K766" s="1348">
        <v>3137000.0</v>
      </c>
    </row>
    <row r="767">
      <c r="A767" s="1344" t="s">
        <v>13174</v>
      </c>
      <c r="B767" s="1345" t="s">
        <v>13175</v>
      </c>
      <c r="C767" s="1346" t="s">
        <v>5154</v>
      </c>
      <c r="D767" s="1346" t="s">
        <v>902</v>
      </c>
      <c r="E767" s="1346" t="s">
        <v>11940</v>
      </c>
      <c r="F767" s="1346" t="s">
        <v>11944</v>
      </c>
      <c r="G767" s="1345" t="s">
        <v>62</v>
      </c>
      <c r="H767" s="1345" t="s">
        <v>901</v>
      </c>
      <c r="I767" s="1349" t="s">
        <v>1442</v>
      </c>
      <c r="J767" s="1350"/>
      <c r="K767" s="1348">
        <v>3212000.0</v>
      </c>
    </row>
    <row r="768">
      <c r="A768" s="1344" t="s">
        <v>13176</v>
      </c>
      <c r="B768" s="1345" t="s">
        <v>5154</v>
      </c>
      <c r="C768" s="1346" t="s">
        <v>5154</v>
      </c>
      <c r="D768" s="1346" t="s">
        <v>903</v>
      </c>
      <c r="E768" s="1346" t="s">
        <v>11943</v>
      </c>
      <c r="F768" s="1346" t="s">
        <v>11969</v>
      </c>
      <c r="G768" s="1345" t="s">
        <v>140</v>
      </c>
      <c r="H768" s="1345" t="s">
        <v>901</v>
      </c>
      <c r="I768" s="1350"/>
      <c r="J768" s="1350"/>
      <c r="K768" s="1348">
        <v>725000.0</v>
      </c>
    </row>
    <row r="769">
      <c r="A769" s="1344" t="s">
        <v>13177</v>
      </c>
      <c r="B769" s="1345" t="s">
        <v>5154</v>
      </c>
      <c r="C769" s="1346" t="s">
        <v>5154</v>
      </c>
      <c r="D769" s="1346" t="s">
        <v>904</v>
      </c>
      <c r="E769" s="1346" t="s">
        <v>11943</v>
      </c>
      <c r="F769" s="1346" t="s">
        <v>11969</v>
      </c>
      <c r="G769" s="1345" t="s">
        <v>142</v>
      </c>
      <c r="H769" s="1345" t="s">
        <v>901</v>
      </c>
      <c r="I769" s="1350"/>
      <c r="J769" s="1350"/>
      <c r="K769" s="1348">
        <v>725000.0</v>
      </c>
    </row>
    <row r="770">
      <c r="A770" s="1344" t="s">
        <v>13178</v>
      </c>
      <c r="B770" s="1345" t="s">
        <v>5154</v>
      </c>
      <c r="C770" s="1346" t="s">
        <v>5154</v>
      </c>
      <c r="D770" s="1346" t="s">
        <v>905</v>
      </c>
      <c r="E770" s="1346" t="s">
        <v>11943</v>
      </c>
      <c r="F770" s="1346" t="s">
        <v>11969</v>
      </c>
      <c r="G770" s="1345" t="s">
        <v>906</v>
      </c>
      <c r="H770" s="1345" t="s">
        <v>901</v>
      </c>
      <c r="I770" s="1349" t="s">
        <v>546</v>
      </c>
      <c r="J770" s="1350"/>
      <c r="K770" s="1348">
        <v>1848000.0</v>
      </c>
    </row>
    <row r="771">
      <c r="A771" s="1344" t="s">
        <v>13179</v>
      </c>
      <c r="B771" s="1345" t="s">
        <v>5154</v>
      </c>
      <c r="C771" s="1346" t="s">
        <v>5154</v>
      </c>
      <c r="D771" s="1346" t="s">
        <v>907</v>
      </c>
      <c r="E771" s="1346" t="s">
        <v>11943</v>
      </c>
      <c r="F771" s="1346" t="s">
        <v>11969</v>
      </c>
      <c r="G771" s="1345" t="s">
        <v>908</v>
      </c>
      <c r="H771" s="1345" t="s">
        <v>901</v>
      </c>
      <c r="I771" s="1349" t="s">
        <v>546</v>
      </c>
      <c r="J771" s="1350"/>
      <c r="K771" s="1348">
        <v>1848000.0</v>
      </c>
    </row>
    <row r="772">
      <c r="A772" s="1344" t="s">
        <v>13180</v>
      </c>
      <c r="B772" s="1345" t="s">
        <v>5154</v>
      </c>
      <c r="C772" s="1346" t="s">
        <v>5154</v>
      </c>
      <c r="D772" s="1346" t="s">
        <v>909</v>
      </c>
      <c r="E772" s="1346" t="s">
        <v>11943</v>
      </c>
      <c r="F772" s="1346" t="s">
        <v>11969</v>
      </c>
      <c r="G772" s="1345" t="s">
        <v>910</v>
      </c>
      <c r="H772" s="1345" t="s">
        <v>901</v>
      </c>
      <c r="I772" s="1349" t="s">
        <v>911</v>
      </c>
      <c r="J772" s="1350"/>
      <c r="K772" s="1348">
        <v>2024000.0</v>
      </c>
    </row>
    <row r="773">
      <c r="A773" s="1344" t="s">
        <v>13181</v>
      </c>
      <c r="B773" s="1345" t="s">
        <v>5154</v>
      </c>
      <c r="C773" s="1346" t="s">
        <v>5154</v>
      </c>
      <c r="D773" s="1346" t="s">
        <v>912</v>
      </c>
      <c r="E773" s="1346" t="s">
        <v>11943</v>
      </c>
      <c r="F773" s="1346" t="s">
        <v>11969</v>
      </c>
      <c r="G773" s="1345" t="s">
        <v>913</v>
      </c>
      <c r="H773" s="1345" t="s">
        <v>901</v>
      </c>
      <c r="I773" s="1349" t="s">
        <v>911</v>
      </c>
      <c r="J773" s="1350"/>
      <c r="K773" s="1348">
        <v>2024000.0</v>
      </c>
    </row>
    <row r="774">
      <c r="A774" s="1344" t="s">
        <v>13182</v>
      </c>
      <c r="B774" s="1345" t="s">
        <v>13183</v>
      </c>
      <c r="C774" s="1346" t="s">
        <v>5154</v>
      </c>
      <c r="D774" s="1346" t="s">
        <v>914</v>
      </c>
      <c r="E774" s="1346" t="s">
        <v>11943</v>
      </c>
      <c r="F774" s="1346" t="s">
        <v>11931</v>
      </c>
      <c r="G774" s="1345" t="s">
        <v>60</v>
      </c>
      <c r="H774" s="1345" t="s">
        <v>915</v>
      </c>
      <c r="I774" s="1349" t="s">
        <v>137</v>
      </c>
      <c r="J774" s="1350"/>
      <c r="K774" s="1348">
        <v>2509000.0</v>
      </c>
    </row>
    <row r="775">
      <c r="A775" s="1344" t="s">
        <v>13184</v>
      </c>
      <c r="B775" s="1345" t="s">
        <v>13185</v>
      </c>
      <c r="C775" s="1346" t="s">
        <v>5154</v>
      </c>
      <c r="D775" s="1346" t="s">
        <v>916</v>
      </c>
      <c r="E775" s="1346" t="s">
        <v>11943</v>
      </c>
      <c r="F775" s="1346" t="s">
        <v>11944</v>
      </c>
      <c r="G775" s="1345" t="s">
        <v>62</v>
      </c>
      <c r="H775" s="1345" t="s">
        <v>915</v>
      </c>
      <c r="I775" s="1349" t="s">
        <v>1437</v>
      </c>
      <c r="J775" s="1350"/>
      <c r="K775" s="1348">
        <v>2825000.0</v>
      </c>
    </row>
    <row r="776">
      <c r="A776" s="1344" t="s">
        <v>13186</v>
      </c>
      <c r="B776" s="1345" t="s">
        <v>5154</v>
      </c>
      <c r="C776" s="1346" t="s">
        <v>5154</v>
      </c>
      <c r="D776" s="1346" t="s">
        <v>917</v>
      </c>
      <c r="E776" s="1346" t="s">
        <v>11943</v>
      </c>
      <c r="F776" s="1346" t="s">
        <v>11969</v>
      </c>
      <c r="G776" s="1345" t="s">
        <v>144</v>
      </c>
      <c r="H776" s="1345" t="s">
        <v>915</v>
      </c>
      <c r="I776" s="1349" t="s">
        <v>478</v>
      </c>
      <c r="J776" s="1350"/>
      <c r="K776" s="1348">
        <v>884000.0</v>
      </c>
    </row>
    <row r="777">
      <c r="A777" s="1344" t="s">
        <v>13187</v>
      </c>
      <c r="B777" s="1345" t="s">
        <v>5154</v>
      </c>
      <c r="C777" s="1346" t="s">
        <v>5154</v>
      </c>
      <c r="D777" s="1346" t="s">
        <v>918</v>
      </c>
      <c r="E777" s="1346" t="s">
        <v>11943</v>
      </c>
      <c r="F777" s="1346" t="s">
        <v>11969</v>
      </c>
      <c r="G777" s="1345" t="s">
        <v>146</v>
      </c>
      <c r="H777" s="1345" t="s">
        <v>915</v>
      </c>
      <c r="I777" s="1349" t="s">
        <v>478</v>
      </c>
      <c r="J777" s="1350"/>
      <c r="K777" s="1348">
        <v>884000.0</v>
      </c>
    </row>
    <row r="778">
      <c r="A778" s="1344" t="s">
        <v>13188</v>
      </c>
      <c r="B778" s="1345" t="s">
        <v>5154</v>
      </c>
      <c r="C778" s="1346" t="s">
        <v>5154</v>
      </c>
      <c r="D778" s="1346" t="s">
        <v>919</v>
      </c>
      <c r="E778" s="1346" t="s">
        <v>11943</v>
      </c>
      <c r="F778" s="1346" t="s">
        <v>11969</v>
      </c>
      <c r="G778" s="1345" t="s">
        <v>209</v>
      </c>
      <c r="H778" s="1345" t="s">
        <v>915</v>
      </c>
      <c r="I778" s="1349" t="s">
        <v>109</v>
      </c>
      <c r="J778" s="1350"/>
      <c r="K778" s="1348">
        <v>2008000.0</v>
      </c>
    </row>
    <row r="779">
      <c r="A779" s="1344" t="s">
        <v>13189</v>
      </c>
      <c r="B779" s="1345" t="s">
        <v>5154</v>
      </c>
      <c r="C779" s="1346" t="s">
        <v>5154</v>
      </c>
      <c r="D779" s="1346" t="s">
        <v>920</v>
      </c>
      <c r="E779" s="1346" t="s">
        <v>11943</v>
      </c>
      <c r="F779" s="1346" t="s">
        <v>11969</v>
      </c>
      <c r="G779" s="1345" t="s">
        <v>243</v>
      </c>
      <c r="H779" s="1345" t="s">
        <v>915</v>
      </c>
      <c r="I779" s="1349" t="s">
        <v>109</v>
      </c>
      <c r="J779" s="1350"/>
      <c r="K779" s="1348">
        <v>2008000.0</v>
      </c>
    </row>
    <row r="780">
      <c r="A780" s="1344" t="s">
        <v>13190</v>
      </c>
      <c r="B780" s="1345" t="s">
        <v>13191</v>
      </c>
      <c r="C780" s="1346" t="s">
        <v>5154</v>
      </c>
      <c r="D780" s="1346" t="s">
        <v>921</v>
      </c>
      <c r="E780" s="1346" t="s">
        <v>11940</v>
      </c>
      <c r="F780" s="1346" t="s">
        <v>11931</v>
      </c>
      <c r="G780" s="1345" t="s">
        <v>60</v>
      </c>
      <c r="H780" s="1345" t="s">
        <v>922</v>
      </c>
      <c r="I780" s="1349" t="s">
        <v>109</v>
      </c>
      <c r="J780" s="1350"/>
      <c r="K780" s="1348">
        <v>1248000.0</v>
      </c>
    </row>
    <row r="781">
      <c r="A781" s="1344" t="s">
        <v>5154</v>
      </c>
      <c r="B781" s="1345" t="s">
        <v>13192</v>
      </c>
      <c r="C781" s="1346" t="s">
        <v>5154</v>
      </c>
      <c r="D781" s="1346" t="s">
        <v>1637</v>
      </c>
      <c r="E781" s="1346" t="s">
        <v>11930</v>
      </c>
      <c r="F781" s="1346" t="s">
        <v>11944</v>
      </c>
      <c r="G781" s="1345" t="s">
        <v>62</v>
      </c>
      <c r="H781" s="1345" t="s">
        <v>922</v>
      </c>
      <c r="I781" s="1349" t="s">
        <v>1442</v>
      </c>
      <c r="J781" s="1350"/>
      <c r="K781" s="1348">
        <v>722000.0</v>
      </c>
    </row>
    <row r="782">
      <c r="A782" s="1344" t="s">
        <v>5154</v>
      </c>
      <c r="B782" s="1345" t="s">
        <v>13193</v>
      </c>
      <c r="C782" s="1346" t="s">
        <v>5154</v>
      </c>
      <c r="D782" s="1346" t="s">
        <v>2063</v>
      </c>
      <c r="E782" s="1346" t="s">
        <v>11930</v>
      </c>
      <c r="F782" s="1351" t="s">
        <v>11969</v>
      </c>
      <c r="G782" s="1349" t="s">
        <v>144</v>
      </c>
      <c r="H782" s="1345" t="s">
        <v>13194</v>
      </c>
      <c r="I782" s="1349" t="s">
        <v>13195</v>
      </c>
      <c r="J782" s="1350"/>
      <c r="K782" s="1348">
        <v>1900000.0</v>
      </c>
    </row>
    <row r="783">
      <c r="A783" s="1344" t="s">
        <v>5154</v>
      </c>
      <c r="B783" s="1345" t="s">
        <v>13196</v>
      </c>
      <c r="C783" s="1346" t="s">
        <v>5154</v>
      </c>
      <c r="D783" s="1346" t="s">
        <v>13197</v>
      </c>
      <c r="E783" s="1346" t="s">
        <v>11930</v>
      </c>
      <c r="F783" s="1351" t="s">
        <v>11969</v>
      </c>
      <c r="G783" s="1349" t="s">
        <v>146</v>
      </c>
      <c r="H783" s="1345" t="s">
        <v>13194</v>
      </c>
      <c r="I783" s="1349" t="s">
        <v>13195</v>
      </c>
      <c r="J783" s="1350"/>
      <c r="K783" s="1348">
        <v>1900000.0</v>
      </c>
    </row>
    <row r="784">
      <c r="A784" s="1344" t="s">
        <v>13198</v>
      </c>
      <c r="B784" s="1345" t="s">
        <v>5154</v>
      </c>
      <c r="C784" s="1346" t="s">
        <v>5154</v>
      </c>
      <c r="D784" s="1346" t="s">
        <v>923</v>
      </c>
      <c r="E784" s="1346" t="s">
        <v>11943</v>
      </c>
      <c r="F784" s="1346" t="s">
        <v>11969</v>
      </c>
      <c r="G784" s="1345" t="s">
        <v>910</v>
      </c>
      <c r="H784" s="1345" t="s">
        <v>922</v>
      </c>
      <c r="I784" s="1349" t="s">
        <v>109</v>
      </c>
      <c r="J784" s="1350"/>
      <c r="K784" s="1348">
        <v>624000.0</v>
      </c>
    </row>
    <row r="785">
      <c r="A785" s="1344" t="s">
        <v>5154</v>
      </c>
      <c r="B785" s="1345" t="s">
        <v>5154</v>
      </c>
      <c r="C785" s="1346" t="s">
        <v>13199</v>
      </c>
      <c r="D785" s="1346" t="s">
        <v>1970</v>
      </c>
      <c r="E785" s="1346" t="s">
        <v>12155</v>
      </c>
      <c r="F785" s="1346" t="s">
        <v>11931</v>
      </c>
      <c r="G785" s="1345" t="s">
        <v>60</v>
      </c>
      <c r="H785" s="1345" t="s">
        <v>925</v>
      </c>
      <c r="I785" s="1350"/>
      <c r="J785" s="1350"/>
      <c r="K785" s="1348">
        <v>1380000.0</v>
      </c>
    </row>
    <row r="786">
      <c r="A786" s="1344" t="s">
        <v>13200</v>
      </c>
      <c r="B786" s="1345" t="s">
        <v>5154</v>
      </c>
      <c r="C786" s="1346" t="s">
        <v>5154</v>
      </c>
      <c r="D786" s="1346" t="s">
        <v>924</v>
      </c>
      <c r="E786" s="1346" t="s">
        <v>11943</v>
      </c>
      <c r="F786" s="1346" t="s">
        <v>11944</v>
      </c>
      <c r="G786" s="1345" t="s">
        <v>62</v>
      </c>
      <c r="H786" s="1345" t="s">
        <v>925</v>
      </c>
      <c r="I786" s="1350"/>
      <c r="J786" s="1350"/>
      <c r="K786" s="1348">
        <v>1687000.0</v>
      </c>
    </row>
    <row r="787">
      <c r="A787" s="1344" t="s">
        <v>13201</v>
      </c>
      <c r="B787" s="1345" t="s">
        <v>13202</v>
      </c>
      <c r="C787" s="1346" t="s">
        <v>5154</v>
      </c>
      <c r="D787" s="1346" t="s">
        <v>926</v>
      </c>
      <c r="E787" s="1346" t="s">
        <v>11940</v>
      </c>
      <c r="F787" s="1346" t="s">
        <v>11931</v>
      </c>
      <c r="G787" s="1345" t="s">
        <v>60</v>
      </c>
      <c r="H787" s="1345" t="s">
        <v>927</v>
      </c>
      <c r="I787" s="1349" t="s">
        <v>137</v>
      </c>
      <c r="J787" s="1350"/>
      <c r="K787" s="1348">
        <v>1356000.0</v>
      </c>
    </row>
    <row r="788">
      <c r="A788" s="1344" t="s">
        <v>13203</v>
      </c>
      <c r="B788" s="1345" t="s">
        <v>13204</v>
      </c>
      <c r="C788" s="1346" t="s">
        <v>5154</v>
      </c>
      <c r="D788" s="1346" t="s">
        <v>928</v>
      </c>
      <c r="E788" s="1346" t="s">
        <v>11940</v>
      </c>
      <c r="F788" s="1346" t="s">
        <v>11944</v>
      </c>
      <c r="G788" s="1345" t="s">
        <v>62</v>
      </c>
      <c r="H788" s="1345" t="s">
        <v>927</v>
      </c>
      <c r="I788" s="1349" t="s">
        <v>1442</v>
      </c>
      <c r="J788" s="1350"/>
      <c r="K788" s="1348">
        <v>1286000.0</v>
      </c>
    </row>
    <row r="789">
      <c r="A789" s="1344" t="s">
        <v>13205</v>
      </c>
      <c r="B789" s="1345" t="s">
        <v>13206</v>
      </c>
      <c r="C789" s="1346" t="s">
        <v>5154</v>
      </c>
      <c r="D789" s="1346" t="s">
        <v>929</v>
      </c>
      <c r="E789" s="1346" t="s">
        <v>11940</v>
      </c>
      <c r="F789" s="1346" t="s">
        <v>11931</v>
      </c>
      <c r="G789" s="1345" t="s">
        <v>60</v>
      </c>
      <c r="H789" s="1345" t="s">
        <v>930</v>
      </c>
      <c r="I789" s="1349" t="s">
        <v>137</v>
      </c>
      <c r="J789" s="1350"/>
      <c r="K789" s="1348">
        <v>1682000.0</v>
      </c>
    </row>
    <row r="790">
      <c r="A790" s="1344" t="s">
        <v>13207</v>
      </c>
      <c r="B790" s="1345" t="s">
        <v>13208</v>
      </c>
      <c r="C790" s="1346" t="s">
        <v>5154</v>
      </c>
      <c r="D790" s="1346" t="s">
        <v>931</v>
      </c>
      <c r="E790" s="1346" t="s">
        <v>11940</v>
      </c>
      <c r="F790" s="1346" t="s">
        <v>11944</v>
      </c>
      <c r="G790" s="1345" t="s">
        <v>62</v>
      </c>
      <c r="H790" s="1345" t="s">
        <v>930</v>
      </c>
      <c r="I790" s="1349" t="s">
        <v>1437</v>
      </c>
      <c r="J790" s="1350"/>
      <c r="K790" s="1348">
        <v>1206000.0</v>
      </c>
    </row>
    <row r="791">
      <c r="A791" s="1344" t="s">
        <v>13209</v>
      </c>
      <c r="B791" s="1345" t="s">
        <v>5154</v>
      </c>
      <c r="C791" s="1346" t="s">
        <v>5154</v>
      </c>
      <c r="D791" s="1346" t="s">
        <v>932</v>
      </c>
      <c r="E791" s="1346" t="s">
        <v>11943</v>
      </c>
      <c r="F791" s="1346" t="s">
        <v>11969</v>
      </c>
      <c r="G791" s="1345" t="s">
        <v>140</v>
      </c>
      <c r="H791" s="1345" t="s">
        <v>930</v>
      </c>
      <c r="I791" s="1350"/>
      <c r="J791" s="1350"/>
      <c r="K791" s="1348">
        <v>506000.0</v>
      </c>
    </row>
    <row r="792">
      <c r="A792" s="1344" t="s">
        <v>13210</v>
      </c>
      <c r="B792" s="1345" t="s">
        <v>5154</v>
      </c>
      <c r="C792" s="1346" t="s">
        <v>5154</v>
      </c>
      <c r="D792" s="1346" t="s">
        <v>933</v>
      </c>
      <c r="E792" s="1346" t="s">
        <v>11943</v>
      </c>
      <c r="F792" s="1346" t="s">
        <v>11969</v>
      </c>
      <c r="G792" s="1345" t="s">
        <v>142</v>
      </c>
      <c r="H792" s="1345" t="s">
        <v>930</v>
      </c>
      <c r="I792" s="1350"/>
      <c r="J792" s="1350"/>
      <c r="K792" s="1348">
        <v>506000.0</v>
      </c>
    </row>
    <row r="793">
      <c r="A793" s="1344" t="s">
        <v>13211</v>
      </c>
      <c r="B793" s="1345" t="s">
        <v>5154</v>
      </c>
      <c r="C793" s="1346" t="s">
        <v>5154</v>
      </c>
      <c r="D793" s="1346" t="s">
        <v>934</v>
      </c>
      <c r="E793" s="1346" t="s">
        <v>11943</v>
      </c>
      <c r="F793" s="1346" t="s">
        <v>11969</v>
      </c>
      <c r="G793" s="1345" t="s">
        <v>144</v>
      </c>
      <c r="H793" s="1345" t="s">
        <v>930</v>
      </c>
      <c r="I793" s="1350"/>
      <c r="J793" s="1350"/>
      <c r="K793" s="1348">
        <v>356000.0</v>
      </c>
    </row>
    <row r="794">
      <c r="A794" s="1344" t="s">
        <v>13212</v>
      </c>
      <c r="B794" s="1345" t="s">
        <v>5154</v>
      </c>
      <c r="C794" s="1346" t="s">
        <v>5154</v>
      </c>
      <c r="D794" s="1346" t="s">
        <v>935</v>
      </c>
      <c r="E794" s="1346" t="s">
        <v>11943</v>
      </c>
      <c r="F794" s="1346" t="s">
        <v>11969</v>
      </c>
      <c r="G794" s="1345" t="s">
        <v>146</v>
      </c>
      <c r="H794" s="1345" t="s">
        <v>930</v>
      </c>
      <c r="I794" s="1350"/>
      <c r="J794" s="1350"/>
      <c r="K794" s="1348">
        <v>356000.0</v>
      </c>
    </row>
    <row r="795">
      <c r="A795" s="1344" t="s">
        <v>5154</v>
      </c>
      <c r="B795" s="1345" t="s">
        <v>5154</v>
      </c>
      <c r="C795" s="1346" t="s">
        <v>13213</v>
      </c>
      <c r="D795" s="1346" t="s">
        <v>1971</v>
      </c>
      <c r="E795" s="1346" t="s">
        <v>12155</v>
      </c>
      <c r="F795" s="1346" t="s">
        <v>11931</v>
      </c>
      <c r="G795" s="1345" t="s">
        <v>60</v>
      </c>
      <c r="H795" s="1345" t="s">
        <v>1972</v>
      </c>
      <c r="I795" s="1349" t="s">
        <v>137</v>
      </c>
      <c r="J795" s="1350"/>
      <c r="K795" s="1348">
        <v>2039000.0</v>
      </c>
    </row>
    <row r="796">
      <c r="A796" s="1344" t="s">
        <v>13214</v>
      </c>
      <c r="B796" s="1345" t="s">
        <v>13215</v>
      </c>
      <c r="C796" s="1346" t="s">
        <v>13216</v>
      </c>
      <c r="D796" s="1346" t="s">
        <v>936</v>
      </c>
      <c r="E796" s="1346" t="s">
        <v>12061</v>
      </c>
      <c r="F796" s="1346" t="s">
        <v>11931</v>
      </c>
      <c r="G796" s="1345" t="s">
        <v>60</v>
      </c>
      <c r="H796" s="1345" t="s">
        <v>937</v>
      </c>
      <c r="I796" s="1349" t="s">
        <v>137</v>
      </c>
      <c r="J796" s="1350"/>
      <c r="K796" s="1348">
        <v>1092000.0</v>
      </c>
    </row>
    <row r="797">
      <c r="A797" s="1344" t="s">
        <v>13217</v>
      </c>
      <c r="B797" s="1345" t="s">
        <v>13218</v>
      </c>
      <c r="C797" s="1346" t="s">
        <v>5154</v>
      </c>
      <c r="D797" s="1346" t="s">
        <v>938</v>
      </c>
      <c r="E797" s="1346" t="s">
        <v>11940</v>
      </c>
      <c r="F797" s="1346" t="s">
        <v>11944</v>
      </c>
      <c r="G797" s="1345" t="s">
        <v>62</v>
      </c>
      <c r="H797" s="1345" t="s">
        <v>939</v>
      </c>
      <c r="I797" s="1349" t="s">
        <v>1442</v>
      </c>
      <c r="J797" s="1357">
        <v>398000.0</v>
      </c>
      <c r="K797" s="1348">
        <v>849000.0</v>
      </c>
    </row>
    <row r="798">
      <c r="A798" s="1344" t="s">
        <v>5154</v>
      </c>
      <c r="B798" s="1345" t="s">
        <v>13219</v>
      </c>
      <c r="C798" s="1346" t="s">
        <v>5154</v>
      </c>
      <c r="D798" s="1346" t="s">
        <v>2545</v>
      </c>
      <c r="E798" s="1346" t="s">
        <v>11930</v>
      </c>
      <c r="F798" s="1346" t="s">
        <v>11944</v>
      </c>
      <c r="G798" s="1345" t="s">
        <v>62</v>
      </c>
      <c r="H798" s="1345" t="s">
        <v>2546</v>
      </c>
      <c r="I798" s="1349" t="s">
        <v>1442</v>
      </c>
      <c r="J798" s="1357">
        <v>515000.0</v>
      </c>
      <c r="K798" s="1348">
        <v>955000.0</v>
      </c>
    </row>
    <row r="799">
      <c r="A799" s="1344" t="s">
        <v>13220</v>
      </c>
      <c r="B799" s="1345" t="s">
        <v>5154</v>
      </c>
      <c r="C799" s="1346" t="s">
        <v>5154</v>
      </c>
      <c r="D799" s="1346" t="s">
        <v>940</v>
      </c>
      <c r="E799" s="1346" t="s">
        <v>11943</v>
      </c>
      <c r="F799" s="1346" t="s">
        <v>11969</v>
      </c>
      <c r="G799" s="1345" t="s">
        <v>140</v>
      </c>
      <c r="H799" s="1345" t="s">
        <v>937</v>
      </c>
      <c r="I799" s="1350"/>
      <c r="J799" s="1350"/>
      <c r="K799" s="1348">
        <v>356000.0</v>
      </c>
    </row>
    <row r="800">
      <c r="A800" s="1344" t="s">
        <v>5154</v>
      </c>
      <c r="B800" s="1345" t="s">
        <v>13221</v>
      </c>
      <c r="C800" s="1346" t="s">
        <v>5154</v>
      </c>
      <c r="D800" s="1346" t="s">
        <v>13222</v>
      </c>
      <c r="E800" s="1346" t="s">
        <v>11930</v>
      </c>
      <c r="F800" s="1346" t="s">
        <v>11969</v>
      </c>
      <c r="G800" s="1345" t="s">
        <v>209</v>
      </c>
      <c r="H800" s="1345" t="s">
        <v>1642</v>
      </c>
      <c r="I800" s="1349" t="s">
        <v>109</v>
      </c>
      <c r="J800" s="1350"/>
      <c r="K800" s="1348">
        <v>648000.0</v>
      </c>
    </row>
    <row r="801">
      <c r="A801" s="1344" t="s">
        <v>5154</v>
      </c>
      <c r="B801" s="1345" t="s">
        <v>13223</v>
      </c>
      <c r="C801" s="1346" t="s">
        <v>5154</v>
      </c>
      <c r="D801" s="1346" t="s">
        <v>13224</v>
      </c>
      <c r="E801" s="1346" t="s">
        <v>11930</v>
      </c>
      <c r="F801" s="1346" t="s">
        <v>11969</v>
      </c>
      <c r="G801" s="1345" t="s">
        <v>243</v>
      </c>
      <c r="H801" s="1345" t="s">
        <v>1642</v>
      </c>
      <c r="I801" s="1349" t="s">
        <v>109</v>
      </c>
      <c r="J801" s="1350"/>
      <c r="K801" s="1348">
        <v>648000.0</v>
      </c>
    </row>
    <row r="802">
      <c r="A802" s="1344" t="s">
        <v>13225</v>
      </c>
      <c r="B802" s="1345" t="s">
        <v>13226</v>
      </c>
      <c r="C802" s="1346" t="s">
        <v>13227</v>
      </c>
      <c r="D802" s="1346" t="s">
        <v>941</v>
      </c>
      <c r="E802" s="1346" t="s">
        <v>12061</v>
      </c>
      <c r="F802" s="1346" t="s">
        <v>11931</v>
      </c>
      <c r="G802" s="1345" t="s">
        <v>60</v>
      </c>
      <c r="H802" s="1345" t="s">
        <v>942</v>
      </c>
      <c r="I802" s="1349" t="s">
        <v>137</v>
      </c>
      <c r="J802" s="1350"/>
      <c r="K802" s="1348">
        <v>1143000.0</v>
      </c>
    </row>
    <row r="803">
      <c r="A803" s="1344" t="s">
        <v>13228</v>
      </c>
      <c r="B803" s="1345" t="s">
        <v>13229</v>
      </c>
      <c r="C803" s="1346" t="s">
        <v>5154</v>
      </c>
      <c r="D803" s="1346" t="s">
        <v>943</v>
      </c>
      <c r="E803" s="1346" t="s">
        <v>11940</v>
      </c>
      <c r="F803" s="1346" t="s">
        <v>11944</v>
      </c>
      <c r="G803" s="1345" t="s">
        <v>62</v>
      </c>
      <c r="H803" s="1345" t="s">
        <v>942</v>
      </c>
      <c r="I803" s="1349" t="s">
        <v>1442</v>
      </c>
      <c r="J803" s="1350"/>
      <c r="K803" s="1348">
        <v>818000.0</v>
      </c>
    </row>
    <row r="804">
      <c r="A804" s="1344" t="s">
        <v>13230</v>
      </c>
      <c r="B804" s="1345" t="s">
        <v>5154</v>
      </c>
      <c r="C804" s="1346" t="s">
        <v>5154</v>
      </c>
      <c r="D804" s="1346" t="s">
        <v>944</v>
      </c>
      <c r="E804" s="1346" t="s">
        <v>11943</v>
      </c>
      <c r="F804" s="1346" t="s">
        <v>11969</v>
      </c>
      <c r="G804" s="1345" t="s">
        <v>140</v>
      </c>
      <c r="H804" s="1345" t="s">
        <v>942</v>
      </c>
      <c r="I804" s="1350"/>
      <c r="J804" s="1350"/>
      <c r="K804" s="1348">
        <v>235000.0</v>
      </c>
    </row>
    <row r="805">
      <c r="A805" s="1344" t="s">
        <v>13231</v>
      </c>
      <c r="B805" s="1345" t="s">
        <v>13232</v>
      </c>
      <c r="C805" s="1346" t="s">
        <v>5154</v>
      </c>
      <c r="D805" s="1346" t="s">
        <v>945</v>
      </c>
      <c r="E805" s="1346" t="s">
        <v>11943</v>
      </c>
      <c r="F805" s="1346" t="s">
        <v>11969</v>
      </c>
      <c r="G805" s="1345" t="s">
        <v>142</v>
      </c>
      <c r="H805" s="1345" t="s">
        <v>942</v>
      </c>
      <c r="I805" s="1350"/>
      <c r="J805" s="1350"/>
      <c r="K805" s="1348">
        <v>235000.0</v>
      </c>
    </row>
    <row r="806">
      <c r="A806" s="1344" t="s">
        <v>13233</v>
      </c>
      <c r="B806" s="1345" t="s">
        <v>5154</v>
      </c>
      <c r="C806" s="1346" t="s">
        <v>5154</v>
      </c>
      <c r="D806" s="1346" t="s">
        <v>946</v>
      </c>
      <c r="E806" s="1346" t="s">
        <v>11943</v>
      </c>
      <c r="F806" s="1346" t="s">
        <v>11969</v>
      </c>
      <c r="G806" s="1345" t="s">
        <v>144</v>
      </c>
      <c r="H806" s="1345" t="s">
        <v>942</v>
      </c>
      <c r="I806" s="1350"/>
      <c r="J806" s="1350"/>
      <c r="K806" s="1348">
        <v>224000.0</v>
      </c>
    </row>
    <row r="807">
      <c r="A807" s="1344" t="s">
        <v>13234</v>
      </c>
      <c r="B807" s="1345" t="s">
        <v>5154</v>
      </c>
      <c r="C807" s="1346" t="s">
        <v>5154</v>
      </c>
      <c r="D807" s="1346" t="s">
        <v>947</v>
      </c>
      <c r="E807" s="1346" t="s">
        <v>11943</v>
      </c>
      <c r="F807" s="1346" t="s">
        <v>11969</v>
      </c>
      <c r="G807" s="1345" t="s">
        <v>146</v>
      </c>
      <c r="H807" s="1345" t="s">
        <v>942</v>
      </c>
      <c r="I807" s="1350"/>
      <c r="J807" s="1350"/>
      <c r="K807" s="1348">
        <v>224000.0</v>
      </c>
    </row>
    <row r="808">
      <c r="A808" s="1344" t="s">
        <v>13235</v>
      </c>
      <c r="B808" s="1345" t="s">
        <v>13236</v>
      </c>
      <c r="C808" s="1346" t="s">
        <v>5154</v>
      </c>
      <c r="D808" s="1346" t="s">
        <v>948</v>
      </c>
      <c r="E808" s="1346" t="s">
        <v>11940</v>
      </c>
      <c r="F808" s="1346" t="s">
        <v>11931</v>
      </c>
      <c r="G808" s="1345" t="s">
        <v>60</v>
      </c>
      <c r="H808" s="1345" t="s">
        <v>949</v>
      </c>
      <c r="I808" s="1349" t="s">
        <v>137</v>
      </c>
      <c r="J808" s="1350"/>
      <c r="K808" s="1348">
        <v>4032000.0</v>
      </c>
    </row>
    <row r="809">
      <c r="A809" s="1344" t="s">
        <v>13237</v>
      </c>
      <c r="B809" s="1345" t="s">
        <v>5154</v>
      </c>
      <c r="C809" s="1346" t="s">
        <v>5154</v>
      </c>
      <c r="D809" s="1346" t="s">
        <v>950</v>
      </c>
      <c r="E809" s="1346" t="s">
        <v>11943</v>
      </c>
      <c r="F809" s="1346" t="s">
        <v>11944</v>
      </c>
      <c r="G809" s="1345" t="s">
        <v>62</v>
      </c>
      <c r="H809" s="1345" t="s">
        <v>949</v>
      </c>
      <c r="I809" s="1349" t="s">
        <v>1437</v>
      </c>
      <c r="J809" s="1350"/>
      <c r="K809" s="1348">
        <v>3532000.0</v>
      </c>
    </row>
    <row r="810">
      <c r="A810" s="1344" t="s">
        <v>13238</v>
      </c>
      <c r="B810" s="1345" t="s">
        <v>13239</v>
      </c>
      <c r="C810" s="1346" t="s">
        <v>5154</v>
      </c>
      <c r="D810" s="1346" t="s">
        <v>951</v>
      </c>
      <c r="E810" s="1346" t="s">
        <v>11940</v>
      </c>
      <c r="F810" s="1346" t="s">
        <v>11931</v>
      </c>
      <c r="G810" s="1345" t="s">
        <v>60</v>
      </c>
      <c r="H810" s="1345" t="s">
        <v>952</v>
      </c>
      <c r="I810" s="1349" t="s">
        <v>137</v>
      </c>
      <c r="J810" s="1350"/>
      <c r="K810" s="1348">
        <v>4032000.0</v>
      </c>
    </row>
    <row r="811">
      <c r="A811" s="1344" t="s">
        <v>13240</v>
      </c>
      <c r="B811" s="1345" t="s">
        <v>5154</v>
      </c>
      <c r="C811" s="1346" t="s">
        <v>5154</v>
      </c>
      <c r="D811" s="1346" t="s">
        <v>953</v>
      </c>
      <c r="E811" s="1346" t="s">
        <v>11943</v>
      </c>
      <c r="F811" s="1346" t="s">
        <v>11944</v>
      </c>
      <c r="G811" s="1345" t="s">
        <v>62</v>
      </c>
      <c r="H811" s="1345" t="s">
        <v>952</v>
      </c>
      <c r="I811" s="1349" t="s">
        <v>1437</v>
      </c>
      <c r="J811" s="1350"/>
      <c r="K811" s="1348">
        <v>3532000.0</v>
      </c>
    </row>
    <row r="812">
      <c r="A812" s="1344" t="s">
        <v>13241</v>
      </c>
      <c r="B812" s="1345" t="s">
        <v>5154</v>
      </c>
      <c r="C812" s="1346" t="s">
        <v>5154</v>
      </c>
      <c r="D812" s="1346" t="s">
        <v>954</v>
      </c>
      <c r="E812" s="1346" t="s">
        <v>11943</v>
      </c>
      <c r="F812" s="1346" t="s">
        <v>11969</v>
      </c>
      <c r="G812" s="1345" t="s">
        <v>144</v>
      </c>
      <c r="H812" s="1345" t="s">
        <v>952</v>
      </c>
      <c r="I812" s="1350"/>
      <c r="J812" s="1350"/>
      <c r="K812" s="1348">
        <v>804000.0</v>
      </c>
    </row>
    <row r="813">
      <c r="A813" s="1344" t="s">
        <v>13242</v>
      </c>
      <c r="B813" s="1345" t="s">
        <v>5154</v>
      </c>
      <c r="C813" s="1346" t="s">
        <v>5154</v>
      </c>
      <c r="D813" s="1346" t="s">
        <v>955</v>
      </c>
      <c r="E813" s="1346" t="s">
        <v>11943</v>
      </c>
      <c r="F813" s="1346" t="s">
        <v>11969</v>
      </c>
      <c r="G813" s="1345" t="s">
        <v>146</v>
      </c>
      <c r="H813" s="1345" t="s">
        <v>952</v>
      </c>
      <c r="I813" s="1350"/>
      <c r="J813" s="1350"/>
      <c r="K813" s="1348">
        <v>804000.0</v>
      </c>
    </row>
    <row r="814">
      <c r="A814" s="1344" t="s">
        <v>13243</v>
      </c>
      <c r="B814" s="1345" t="s">
        <v>13244</v>
      </c>
      <c r="C814" s="1346" t="s">
        <v>5154</v>
      </c>
      <c r="D814" s="1346" t="s">
        <v>956</v>
      </c>
      <c r="E814" s="1346" t="s">
        <v>11940</v>
      </c>
      <c r="F814" s="1346" t="s">
        <v>11931</v>
      </c>
      <c r="G814" s="1345" t="s">
        <v>60</v>
      </c>
      <c r="H814" s="1345" t="s">
        <v>957</v>
      </c>
      <c r="I814" s="1349" t="s">
        <v>137</v>
      </c>
      <c r="J814" s="1350"/>
      <c r="K814" s="1348">
        <v>1967000.0</v>
      </c>
    </row>
    <row r="815">
      <c r="A815" s="1344" t="s">
        <v>13245</v>
      </c>
      <c r="B815" s="1345" t="s">
        <v>13246</v>
      </c>
      <c r="C815" s="1346" t="s">
        <v>5154</v>
      </c>
      <c r="D815" s="1346" t="s">
        <v>958</v>
      </c>
      <c r="E815" s="1346" t="s">
        <v>11940</v>
      </c>
      <c r="F815" s="1346" t="s">
        <v>11944</v>
      </c>
      <c r="G815" s="1345" t="s">
        <v>62</v>
      </c>
      <c r="H815" s="1345" t="s">
        <v>957</v>
      </c>
      <c r="I815" s="1349" t="s">
        <v>1442</v>
      </c>
      <c r="J815" s="1350"/>
      <c r="K815" s="1348">
        <v>1417000.0</v>
      </c>
    </row>
    <row r="816">
      <c r="A816" s="1344" t="s">
        <v>13247</v>
      </c>
      <c r="B816" s="1345" t="s">
        <v>13248</v>
      </c>
      <c r="C816" s="1346" t="s">
        <v>5154</v>
      </c>
      <c r="D816" s="1346" t="s">
        <v>959</v>
      </c>
      <c r="E816" s="1346" t="s">
        <v>11940</v>
      </c>
      <c r="F816" s="1346" t="s">
        <v>11969</v>
      </c>
      <c r="G816" s="1345" t="s">
        <v>140</v>
      </c>
      <c r="H816" s="1345" t="s">
        <v>957</v>
      </c>
      <c r="I816" s="1350"/>
      <c r="J816" s="1350"/>
      <c r="K816" s="1348">
        <v>450000.0</v>
      </c>
    </row>
    <row r="817">
      <c r="A817" s="1344" t="s">
        <v>13249</v>
      </c>
      <c r="B817" s="1345" t="s">
        <v>13250</v>
      </c>
      <c r="C817" s="1346" t="s">
        <v>5154</v>
      </c>
      <c r="D817" s="1346" t="s">
        <v>960</v>
      </c>
      <c r="E817" s="1346" t="s">
        <v>11940</v>
      </c>
      <c r="F817" s="1346" t="s">
        <v>11969</v>
      </c>
      <c r="G817" s="1345" t="s">
        <v>142</v>
      </c>
      <c r="H817" s="1345" t="s">
        <v>957</v>
      </c>
      <c r="I817" s="1350"/>
      <c r="J817" s="1350"/>
      <c r="K817" s="1348">
        <v>450000.0</v>
      </c>
    </row>
    <row r="818">
      <c r="A818" s="1344" t="s">
        <v>13251</v>
      </c>
      <c r="B818" s="1345" t="s">
        <v>5154</v>
      </c>
      <c r="C818" s="1346" t="s">
        <v>5154</v>
      </c>
      <c r="D818" s="1346" t="s">
        <v>961</v>
      </c>
      <c r="E818" s="1346" t="s">
        <v>11943</v>
      </c>
      <c r="F818" s="1346" t="s">
        <v>11969</v>
      </c>
      <c r="G818" s="1345" t="s">
        <v>144</v>
      </c>
      <c r="H818" s="1345" t="s">
        <v>957</v>
      </c>
      <c r="I818" s="1350"/>
      <c r="J818" s="1350"/>
      <c r="K818" s="1348">
        <v>436000.0</v>
      </c>
    </row>
    <row r="819">
      <c r="A819" s="1344" t="s">
        <v>13252</v>
      </c>
      <c r="B819" s="1345" t="s">
        <v>5154</v>
      </c>
      <c r="C819" s="1346" t="s">
        <v>5154</v>
      </c>
      <c r="D819" s="1346" t="s">
        <v>962</v>
      </c>
      <c r="E819" s="1346" t="s">
        <v>11943</v>
      </c>
      <c r="F819" s="1346" t="s">
        <v>11969</v>
      </c>
      <c r="G819" s="1345" t="s">
        <v>146</v>
      </c>
      <c r="H819" s="1345" t="s">
        <v>957</v>
      </c>
      <c r="I819" s="1350"/>
      <c r="J819" s="1350"/>
      <c r="K819" s="1348">
        <v>436000.0</v>
      </c>
    </row>
    <row r="820">
      <c r="A820" s="1344" t="s">
        <v>13253</v>
      </c>
      <c r="B820" s="1345" t="s">
        <v>5154</v>
      </c>
      <c r="C820" s="1346" t="s">
        <v>5154</v>
      </c>
      <c r="D820" s="1346" t="s">
        <v>963</v>
      </c>
      <c r="E820" s="1346" t="s">
        <v>11943</v>
      </c>
      <c r="F820" s="1346" t="s">
        <v>11944</v>
      </c>
      <c r="G820" s="1345" t="s">
        <v>62</v>
      </c>
      <c r="H820" s="1345" t="s">
        <v>964</v>
      </c>
      <c r="I820" s="1349" t="s">
        <v>1442</v>
      </c>
      <c r="J820" s="1350"/>
      <c r="K820" s="1348">
        <v>3123000.0</v>
      </c>
    </row>
    <row r="821">
      <c r="A821" s="1344" t="s">
        <v>13254</v>
      </c>
      <c r="B821" s="1345" t="s">
        <v>13255</v>
      </c>
      <c r="C821" s="1346" t="s">
        <v>13256</v>
      </c>
      <c r="D821" s="1346" t="s">
        <v>965</v>
      </c>
      <c r="E821" s="1346" t="s">
        <v>12061</v>
      </c>
      <c r="F821" s="1346" t="s">
        <v>11931</v>
      </c>
      <c r="G821" s="1345" t="s">
        <v>60</v>
      </c>
      <c r="H821" s="1345" t="s">
        <v>966</v>
      </c>
      <c r="I821" s="1349" t="s">
        <v>109</v>
      </c>
      <c r="J821" s="1350"/>
      <c r="K821" s="1348">
        <v>1788000.0</v>
      </c>
    </row>
    <row r="822">
      <c r="A822" s="1344" t="s">
        <v>13257</v>
      </c>
      <c r="B822" s="1345" t="s">
        <v>13258</v>
      </c>
      <c r="C822" s="1346" t="s">
        <v>5154</v>
      </c>
      <c r="D822" s="1346" t="s">
        <v>967</v>
      </c>
      <c r="E822" s="1346" t="s">
        <v>11940</v>
      </c>
      <c r="F822" s="1346" t="s">
        <v>11944</v>
      </c>
      <c r="G822" s="1345" t="s">
        <v>62</v>
      </c>
      <c r="H822" s="1345" t="s">
        <v>966</v>
      </c>
      <c r="I822" s="1349" t="s">
        <v>1442</v>
      </c>
      <c r="J822" s="1350"/>
      <c r="K822" s="1348">
        <v>2746000.0</v>
      </c>
    </row>
    <row r="823">
      <c r="A823" s="1344" t="s">
        <v>5154</v>
      </c>
      <c r="B823" s="1345" t="s">
        <v>13259</v>
      </c>
      <c r="C823" s="1346" t="s">
        <v>5154</v>
      </c>
      <c r="D823" s="1346" t="s">
        <v>1645</v>
      </c>
      <c r="E823" s="1346" t="s">
        <v>11930</v>
      </c>
      <c r="F823" s="1346" t="s">
        <v>11969</v>
      </c>
      <c r="G823" s="1345" t="s">
        <v>209</v>
      </c>
      <c r="H823" s="1345" t="s">
        <v>966</v>
      </c>
      <c r="I823" s="1349" t="s">
        <v>109</v>
      </c>
      <c r="J823" s="1350"/>
      <c r="K823" s="1348">
        <v>1178000.0</v>
      </c>
    </row>
    <row r="824">
      <c r="A824" s="1344" t="s">
        <v>5154</v>
      </c>
      <c r="B824" s="1345" t="s">
        <v>13260</v>
      </c>
      <c r="C824" s="1346" t="s">
        <v>5154</v>
      </c>
      <c r="D824" s="1346" t="s">
        <v>1646</v>
      </c>
      <c r="E824" s="1346" t="s">
        <v>11930</v>
      </c>
      <c r="F824" s="1346" t="s">
        <v>11969</v>
      </c>
      <c r="G824" s="1345" t="s">
        <v>243</v>
      </c>
      <c r="H824" s="1345" t="s">
        <v>966</v>
      </c>
      <c r="I824" s="1349" t="s">
        <v>109</v>
      </c>
      <c r="J824" s="1350"/>
      <c r="K824" s="1348">
        <v>1178000.0</v>
      </c>
    </row>
    <row r="825">
      <c r="A825" s="1344" t="s">
        <v>13261</v>
      </c>
      <c r="B825" s="1345" t="s">
        <v>13262</v>
      </c>
      <c r="C825" s="1346" t="s">
        <v>5154</v>
      </c>
      <c r="D825" s="1346" t="s">
        <v>968</v>
      </c>
      <c r="E825" s="1346" t="s">
        <v>11940</v>
      </c>
      <c r="F825" s="1346" t="s">
        <v>11931</v>
      </c>
      <c r="G825" s="1345" t="s">
        <v>60</v>
      </c>
      <c r="H825" s="1345" t="s">
        <v>969</v>
      </c>
      <c r="I825" s="1349" t="s">
        <v>745</v>
      </c>
      <c r="J825" s="1350"/>
      <c r="K825" s="1348">
        <v>3361000.0</v>
      </c>
    </row>
    <row r="826">
      <c r="A826" s="1344" t="s">
        <v>13263</v>
      </c>
      <c r="B826" s="1345" t="s">
        <v>13264</v>
      </c>
      <c r="C826" s="1346" t="s">
        <v>5154</v>
      </c>
      <c r="D826" s="1346" t="s">
        <v>970</v>
      </c>
      <c r="E826" s="1346" t="s">
        <v>11940</v>
      </c>
      <c r="F826" s="1346" t="s">
        <v>11944</v>
      </c>
      <c r="G826" s="1345" t="s">
        <v>62</v>
      </c>
      <c r="H826" s="1345" t="s">
        <v>969</v>
      </c>
      <c r="I826" s="1349" t="s">
        <v>1437</v>
      </c>
      <c r="J826" s="1350"/>
      <c r="K826" s="1348">
        <v>4336000.0</v>
      </c>
    </row>
    <row r="827">
      <c r="A827" s="1344" t="s">
        <v>13265</v>
      </c>
      <c r="B827" s="1345" t="s">
        <v>5154</v>
      </c>
      <c r="C827" s="1346" t="s">
        <v>5154</v>
      </c>
      <c r="D827" s="1346" t="s">
        <v>971</v>
      </c>
      <c r="E827" s="1346" t="s">
        <v>11943</v>
      </c>
      <c r="F827" s="1346" t="s">
        <v>11969</v>
      </c>
      <c r="G827" s="1345" t="s">
        <v>144</v>
      </c>
      <c r="H827" s="1345" t="s">
        <v>969</v>
      </c>
      <c r="I827" s="1350"/>
      <c r="J827" s="1350"/>
      <c r="K827" s="1348">
        <v>725000.0</v>
      </c>
    </row>
    <row r="828">
      <c r="A828" s="1344" t="s">
        <v>13266</v>
      </c>
      <c r="B828" s="1345" t="s">
        <v>5154</v>
      </c>
      <c r="C828" s="1346" t="s">
        <v>5154</v>
      </c>
      <c r="D828" s="1346" t="s">
        <v>972</v>
      </c>
      <c r="E828" s="1346" t="s">
        <v>11943</v>
      </c>
      <c r="F828" s="1346" t="s">
        <v>11969</v>
      </c>
      <c r="G828" s="1345" t="s">
        <v>146</v>
      </c>
      <c r="H828" s="1345" t="s">
        <v>969</v>
      </c>
      <c r="I828" s="1350"/>
      <c r="J828" s="1350"/>
      <c r="K828" s="1348">
        <v>725000.0</v>
      </c>
    </row>
    <row r="829">
      <c r="A829" s="1344" t="s">
        <v>13267</v>
      </c>
      <c r="B829" s="1345" t="s">
        <v>5154</v>
      </c>
      <c r="C829" s="1346" t="s">
        <v>5154</v>
      </c>
      <c r="D829" s="1346" t="s">
        <v>973</v>
      </c>
      <c r="E829" s="1346" t="s">
        <v>11943</v>
      </c>
      <c r="F829" s="1346" t="s">
        <v>11969</v>
      </c>
      <c r="G829" s="1345" t="s">
        <v>209</v>
      </c>
      <c r="H829" s="1345" t="s">
        <v>969</v>
      </c>
      <c r="I829" s="1349" t="s">
        <v>241</v>
      </c>
      <c r="J829" s="1350"/>
      <c r="K829" s="1348">
        <v>1448000.0</v>
      </c>
    </row>
    <row r="830">
      <c r="A830" s="1344" t="s">
        <v>13268</v>
      </c>
      <c r="B830" s="1345" t="s">
        <v>5154</v>
      </c>
      <c r="C830" s="1346" t="s">
        <v>5154</v>
      </c>
      <c r="D830" s="1346" t="s">
        <v>974</v>
      </c>
      <c r="E830" s="1346" t="s">
        <v>11943</v>
      </c>
      <c r="F830" s="1346" t="s">
        <v>11969</v>
      </c>
      <c r="G830" s="1345" t="s">
        <v>243</v>
      </c>
      <c r="H830" s="1345" t="s">
        <v>969</v>
      </c>
      <c r="I830" s="1349" t="s">
        <v>241</v>
      </c>
      <c r="J830" s="1350"/>
      <c r="K830" s="1348">
        <v>1448000.0</v>
      </c>
    </row>
    <row r="831">
      <c r="A831" s="1344" t="s">
        <v>13269</v>
      </c>
      <c r="B831" s="1345" t="s">
        <v>13270</v>
      </c>
      <c r="C831" s="1346" t="s">
        <v>5154</v>
      </c>
      <c r="D831" s="1346" t="s">
        <v>975</v>
      </c>
      <c r="E831" s="1346" t="s">
        <v>11940</v>
      </c>
      <c r="F831" s="1346" t="s">
        <v>11931</v>
      </c>
      <c r="G831" s="1345" t="s">
        <v>60</v>
      </c>
      <c r="H831" s="1345" t="s">
        <v>976</v>
      </c>
      <c r="I831" s="1349" t="s">
        <v>137</v>
      </c>
      <c r="J831" s="1350"/>
      <c r="K831" s="1348">
        <v>2354000.0</v>
      </c>
    </row>
    <row r="832">
      <c r="A832" s="1344" t="s">
        <v>13271</v>
      </c>
      <c r="B832" s="1345" t="s">
        <v>13272</v>
      </c>
      <c r="C832" s="1346" t="s">
        <v>5154</v>
      </c>
      <c r="D832" s="1346" t="s">
        <v>977</v>
      </c>
      <c r="E832" s="1346" t="s">
        <v>11940</v>
      </c>
      <c r="F832" s="1346" t="s">
        <v>11944</v>
      </c>
      <c r="G832" s="1345" t="s">
        <v>62</v>
      </c>
      <c r="H832" s="1345" t="s">
        <v>976</v>
      </c>
      <c r="I832" s="1349" t="s">
        <v>1442</v>
      </c>
      <c r="J832" s="1350"/>
      <c r="K832" s="1348">
        <v>2677000.0</v>
      </c>
    </row>
    <row r="833">
      <c r="A833" s="1344" t="s">
        <v>13273</v>
      </c>
      <c r="B833" s="1345" t="s">
        <v>13274</v>
      </c>
      <c r="C833" s="1346" t="s">
        <v>5154</v>
      </c>
      <c r="D833" s="1346" t="s">
        <v>978</v>
      </c>
      <c r="E833" s="1346" t="s">
        <v>11940</v>
      </c>
      <c r="F833" s="1346" t="s">
        <v>11969</v>
      </c>
      <c r="G833" s="1345" t="s">
        <v>140</v>
      </c>
      <c r="H833" s="1345" t="s">
        <v>976</v>
      </c>
      <c r="I833" s="1350"/>
      <c r="J833" s="1350"/>
      <c r="K833" s="1348">
        <v>1014000.0</v>
      </c>
    </row>
    <row r="834">
      <c r="A834" s="1344" t="s">
        <v>13275</v>
      </c>
      <c r="B834" s="1345" t="s">
        <v>13276</v>
      </c>
      <c r="C834" s="1346" t="s">
        <v>5154</v>
      </c>
      <c r="D834" s="1346" t="s">
        <v>979</v>
      </c>
      <c r="E834" s="1346" t="s">
        <v>11940</v>
      </c>
      <c r="F834" s="1346" t="s">
        <v>11969</v>
      </c>
      <c r="G834" s="1345" t="s">
        <v>142</v>
      </c>
      <c r="H834" s="1345" t="s">
        <v>976</v>
      </c>
      <c r="I834" s="1350"/>
      <c r="J834" s="1350"/>
      <c r="K834" s="1348">
        <v>1014000.0</v>
      </c>
    </row>
    <row r="835">
      <c r="A835" s="1344" t="s">
        <v>13277</v>
      </c>
      <c r="B835" s="1345" t="s">
        <v>13278</v>
      </c>
      <c r="C835" s="1346" t="s">
        <v>5154</v>
      </c>
      <c r="D835" s="1346" t="s">
        <v>980</v>
      </c>
      <c r="E835" s="1346" t="s">
        <v>11940</v>
      </c>
      <c r="F835" s="1346" t="s">
        <v>11969</v>
      </c>
      <c r="G835" s="1345" t="s">
        <v>144</v>
      </c>
      <c r="H835" s="1345" t="s">
        <v>976</v>
      </c>
      <c r="I835" s="1350"/>
      <c r="J835" s="1350"/>
      <c r="K835" s="1348">
        <v>869000.0</v>
      </c>
    </row>
    <row r="836">
      <c r="A836" s="1344" t="s">
        <v>13279</v>
      </c>
      <c r="B836" s="1345" t="s">
        <v>13280</v>
      </c>
      <c r="C836" s="1346" t="s">
        <v>5154</v>
      </c>
      <c r="D836" s="1346" t="s">
        <v>981</v>
      </c>
      <c r="E836" s="1346" t="s">
        <v>11940</v>
      </c>
      <c r="F836" s="1346" t="s">
        <v>11969</v>
      </c>
      <c r="G836" s="1345" t="s">
        <v>146</v>
      </c>
      <c r="H836" s="1345" t="s">
        <v>976</v>
      </c>
      <c r="I836" s="1350"/>
      <c r="J836" s="1350"/>
      <c r="K836" s="1348">
        <v>869000.0</v>
      </c>
    </row>
    <row r="837">
      <c r="A837" s="1344" t="s">
        <v>13281</v>
      </c>
      <c r="B837" s="1345" t="s">
        <v>13282</v>
      </c>
      <c r="C837" s="1346" t="s">
        <v>5154</v>
      </c>
      <c r="D837" s="1346" t="s">
        <v>982</v>
      </c>
      <c r="E837" s="1346" t="s">
        <v>11940</v>
      </c>
      <c r="F837" s="1346" t="s">
        <v>11969</v>
      </c>
      <c r="G837" s="1345" t="s">
        <v>209</v>
      </c>
      <c r="H837" s="1345" t="s">
        <v>976</v>
      </c>
      <c r="I837" s="1349" t="s">
        <v>241</v>
      </c>
      <c r="J837" s="1350"/>
      <c r="K837" s="1348">
        <v>1286000.0</v>
      </c>
    </row>
    <row r="838">
      <c r="A838" s="1344" t="s">
        <v>13283</v>
      </c>
      <c r="B838" s="1345" t="s">
        <v>13284</v>
      </c>
      <c r="C838" s="1346" t="s">
        <v>5154</v>
      </c>
      <c r="D838" s="1346" t="s">
        <v>983</v>
      </c>
      <c r="E838" s="1346" t="s">
        <v>11940</v>
      </c>
      <c r="F838" s="1346" t="s">
        <v>11969</v>
      </c>
      <c r="G838" s="1345" t="s">
        <v>243</v>
      </c>
      <c r="H838" s="1345" t="s">
        <v>976</v>
      </c>
      <c r="I838" s="1349" t="s">
        <v>241</v>
      </c>
      <c r="J838" s="1350"/>
      <c r="K838" s="1348">
        <v>1286000.0</v>
      </c>
    </row>
    <row r="839">
      <c r="A839" s="1344" t="s">
        <v>5154</v>
      </c>
      <c r="B839" s="1345" t="s">
        <v>13285</v>
      </c>
      <c r="C839" s="1346" t="s">
        <v>5154</v>
      </c>
      <c r="D839" s="1346" t="s">
        <v>1649</v>
      </c>
      <c r="E839" s="1346" t="s">
        <v>11930</v>
      </c>
      <c r="F839" s="1346" t="s">
        <v>11931</v>
      </c>
      <c r="G839" s="1345" t="s">
        <v>60</v>
      </c>
      <c r="H839" s="1345" t="s">
        <v>1650</v>
      </c>
      <c r="I839" s="1349" t="s">
        <v>109</v>
      </c>
      <c r="J839" s="1350"/>
      <c r="K839" s="1348">
        <v>2710000.0</v>
      </c>
    </row>
    <row r="840">
      <c r="A840" s="1344" t="s">
        <v>5154</v>
      </c>
      <c r="B840" s="1345" t="s">
        <v>13286</v>
      </c>
      <c r="C840" s="1346" t="s">
        <v>5154</v>
      </c>
      <c r="D840" s="1351" t="s">
        <v>2547</v>
      </c>
      <c r="E840" s="1346" t="s">
        <v>11930</v>
      </c>
      <c r="F840" s="1346" t="s">
        <v>11944</v>
      </c>
      <c r="G840" s="1345" t="s">
        <v>62</v>
      </c>
      <c r="H840" s="1345" t="s">
        <v>1650</v>
      </c>
      <c r="I840" s="1349" t="s">
        <v>1442</v>
      </c>
      <c r="J840" s="1350"/>
      <c r="K840" s="1348">
        <v>2677000.0</v>
      </c>
    </row>
    <row r="841">
      <c r="A841" s="1344" t="s">
        <v>5154</v>
      </c>
      <c r="B841" s="1345" t="s">
        <v>13287</v>
      </c>
      <c r="C841" s="1346" t="s">
        <v>5154</v>
      </c>
      <c r="D841" s="1346" t="s">
        <v>13288</v>
      </c>
      <c r="E841" s="1346" t="s">
        <v>11930</v>
      </c>
      <c r="F841" s="1351" t="s">
        <v>11931</v>
      </c>
      <c r="G841" s="1349" t="s">
        <v>60</v>
      </c>
      <c r="H841" s="1345" t="s">
        <v>13289</v>
      </c>
      <c r="I841" s="1349" t="s">
        <v>137</v>
      </c>
      <c r="J841" s="1350"/>
      <c r="K841" s="1348">
        <v>1800000.0</v>
      </c>
    </row>
    <row r="842">
      <c r="A842" s="1344" t="s">
        <v>5154</v>
      </c>
      <c r="B842" s="1345" t="s">
        <v>13290</v>
      </c>
      <c r="C842" s="1346" t="s">
        <v>5154</v>
      </c>
      <c r="D842" s="1346" t="s">
        <v>1652</v>
      </c>
      <c r="E842" s="1346" t="s">
        <v>11930</v>
      </c>
      <c r="F842" s="1346" t="s">
        <v>11931</v>
      </c>
      <c r="G842" s="1345" t="s">
        <v>60</v>
      </c>
      <c r="H842" s="1345" t="s">
        <v>1653</v>
      </c>
      <c r="I842" s="1350"/>
      <c r="J842" s="1350"/>
      <c r="K842" s="1348">
        <v>2156000.0</v>
      </c>
    </row>
    <row r="843">
      <c r="A843" s="1344" t="s">
        <v>5154</v>
      </c>
      <c r="B843" s="1345" t="s">
        <v>13291</v>
      </c>
      <c r="C843" s="1346" t="s">
        <v>5154</v>
      </c>
      <c r="D843" s="1351" t="s">
        <v>2360</v>
      </c>
      <c r="E843" s="1346" t="s">
        <v>11930</v>
      </c>
      <c r="F843" s="1346" t="s">
        <v>11931</v>
      </c>
      <c r="G843" s="1349" t="s">
        <v>60</v>
      </c>
      <c r="H843" s="1345" t="s">
        <v>2363</v>
      </c>
      <c r="I843" s="1349" t="s">
        <v>90</v>
      </c>
      <c r="J843" s="1350"/>
      <c r="K843" s="1348">
        <v>2700000.0</v>
      </c>
    </row>
    <row r="844">
      <c r="A844" s="1344" t="s">
        <v>5154</v>
      </c>
      <c r="B844" s="1345" t="s">
        <v>5154</v>
      </c>
      <c r="C844" s="1346" t="s">
        <v>13292</v>
      </c>
      <c r="D844" s="1346" t="s">
        <v>1974</v>
      </c>
      <c r="E844" s="1346" t="s">
        <v>12155</v>
      </c>
      <c r="F844" s="1346" t="s">
        <v>11931</v>
      </c>
      <c r="G844" s="1345" t="s">
        <v>60</v>
      </c>
      <c r="H844" s="1345" t="s">
        <v>1975</v>
      </c>
      <c r="I844" s="1350"/>
      <c r="J844" s="1350"/>
      <c r="K844" s="1348">
        <v>1199000.0</v>
      </c>
    </row>
    <row r="845">
      <c r="A845" s="1344" t="s">
        <v>5154</v>
      </c>
      <c r="B845" s="1345" t="s">
        <v>13293</v>
      </c>
      <c r="C845" s="1346" t="s">
        <v>5154</v>
      </c>
      <c r="D845" s="1351" t="s">
        <v>13294</v>
      </c>
      <c r="E845" s="1346" t="s">
        <v>11930</v>
      </c>
      <c r="F845" s="1351" t="s">
        <v>11944</v>
      </c>
      <c r="G845" s="1345" t="s">
        <v>62</v>
      </c>
      <c r="H845" s="1345" t="s">
        <v>1975</v>
      </c>
      <c r="I845" s="1345" t="s">
        <v>12641</v>
      </c>
      <c r="J845" s="1347"/>
      <c r="K845" s="1348">
        <v>1200000.0</v>
      </c>
    </row>
    <row r="846">
      <c r="A846" s="1344" t="s">
        <v>13295</v>
      </c>
      <c r="B846" s="1345" t="s">
        <v>13296</v>
      </c>
      <c r="C846" s="1346" t="s">
        <v>13297</v>
      </c>
      <c r="D846" s="1346" t="s">
        <v>984</v>
      </c>
      <c r="E846" s="1346" t="s">
        <v>12061</v>
      </c>
      <c r="F846" s="1346" t="s">
        <v>11931</v>
      </c>
      <c r="G846" s="1345" t="s">
        <v>60</v>
      </c>
      <c r="H846" s="1345" t="s">
        <v>985</v>
      </c>
      <c r="I846" s="1349" t="s">
        <v>109</v>
      </c>
      <c r="J846" s="1350"/>
      <c r="K846" s="1348">
        <v>1471000.0</v>
      </c>
    </row>
    <row r="847">
      <c r="A847" s="1344" t="s">
        <v>13298</v>
      </c>
      <c r="B847" s="1345" t="s">
        <v>13299</v>
      </c>
      <c r="C847" s="1346" t="s">
        <v>5154</v>
      </c>
      <c r="D847" s="1346" t="s">
        <v>986</v>
      </c>
      <c r="E847" s="1346" t="s">
        <v>11940</v>
      </c>
      <c r="F847" s="1346" t="s">
        <v>11944</v>
      </c>
      <c r="G847" s="1345" t="s">
        <v>62</v>
      </c>
      <c r="H847" s="1345" t="s">
        <v>985</v>
      </c>
      <c r="I847" s="1349" t="s">
        <v>1437</v>
      </c>
      <c r="J847" s="1357">
        <v>880000.0</v>
      </c>
      <c r="K847" s="1348">
        <v>1686000.0</v>
      </c>
    </row>
    <row r="848">
      <c r="A848" s="1344" t="s">
        <v>13300</v>
      </c>
      <c r="B848" s="1345" t="s">
        <v>13301</v>
      </c>
      <c r="C848" s="1346" t="s">
        <v>5154</v>
      </c>
      <c r="D848" s="1346" t="s">
        <v>987</v>
      </c>
      <c r="E848" s="1346" t="s">
        <v>11940</v>
      </c>
      <c r="F848" s="1346" t="s">
        <v>11969</v>
      </c>
      <c r="G848" s="1345" t="s">
        <v>140</v>
      </c>
      <c r="H848" s="1345" t="s">
        <v>985</v>
      </c>
      <c r="I848" s="1350"/>
      <c r="J848" s="1350"/>
      <c r="K848" s="1348">
        <v>478000.0</v>
      </c>
    </row>
    <row r="849">
      <c r="A849" s="1344" t="s">
        <v>5154</v>
      </c>
      <c r="B849" s="1345" t="s">
        <v>13302</v>
      </c>
      <c r="C849" s="1346" t="s">
        <v>5154</v>
      </c>
      <c r="D849" s="1346" t="s">
        <v>1654</v>
      </c>
      <c r="E849" s="1346" t="s">
        <v>11930</v>
      </c>
      <c r="F849" s="1346" t="s">
        <v>11969</v>
      </c>
      <c r="G849" s="1345" t="s">
        <v>142</v>
      </c>
      <c r="H849" s="1345" t="s">
        <v>985</v>
      </c>
      <c r="I849" s="1350"/>
      <c r="J849" s="1350"/>
      <c r="K849" s="1348">
        <v>478000.0</v>
      </c>
    </row>
    <row r="850">
      <c r="A850" s="1344" t="s">
        <v>13303</v>
      </c>
      <c r="B850" s="1345" t="s">
        <v>13304</v>
      </c>
      <c r="C850" s="1346" t="s">
        <v>5154</v>
      </c>
      <c r="D850" s="1346" t="s">
        <v>988</v>
      </c>
      <c r="E850" s="1346" t="s">
        <v>11940</v>
      </c>
      <c r="F850" s="1346" t="s">
        <v>11969</v>
      </c>
      <c r="G850" s="1345" t="s">
        <v>144</v>
      </c>
      <c r="H850" s="1345" t="s">
        <v>985</v>
      </c>
      <c r="I850" s="1350"/>
      <c r="J850" s="1350"/>
      <c r="K850" s="1348">
        <v>400000.0</v>
      </c>
    </row>
    <row r="851">
      <c r="A851" s="1344" t="s">
        <v>13305</v>
      </c>
      <c r="B851" s="1345" t="s">
        <v>13306</v>
      </c>
      <c r="C851" s="1346" t="s">
        <v>5154</v>
      </c>
      <c r="D851" s="1346" t="s">
        <v>989</v>
      </c>
      <c r="E851" s="1346" t="s">
        <v>11940</v>
      </c>
      <c r="F851" s="1346" t="s">
        <v>11969</v>
      </c>
      <c r="G851" s="1345" t="s">
        <v>146</v>
      </c>
      <c r="H851" s="1345" t="s">
        <v>985</v>
      </c>
      <c r="I851" s="1350"/>
      <c r="J851" s="1350"/>
      <c r="K851" s="1348">
        <v>400000.0</v>
      </c>
    </row>
    <row r="852">
      <c r="A852" s="1344" t="s">
        <v>13307</v>
      </c>
      <c r="B852" s="1345" t="s">
        <v>13308</v>
      </c>
      <c r="C852" s="1346" t="s">
        <v>5154</v>
      </c>
      <c r="D852" s="1346" t="s">
        <v>990</v>
      </c>
      <c r="E852" s="1346" t="s">
        <v>11940</v>
      </c>
      <c r="F852" s="1346" t="s">
        <v>11969</v>
      </c>
      <c r="G852" s="1345" t="s">
        <v>209</v>
      </c>
      <c r="H852" s="1345" t="s">
        <v>985</v>
      </c>
      <c r="I852" s="1349" t="s">
        <v>109</v>
      </c>
      <c r="J852" s="1350"/>
      <c r="K852" s="1348">
        <v>644000.0</v>
      </c>
    </row>
    <row r="853">
      <c r="A853" s="1344" t="s">
        <v>13309</v>
      </c>
      <c r="B853" s="1345" t="s">
        <v>13310</v>
      </c>
      <c r="C853" s="1346" t="s">
        <v>5154</v>
      </c>
      <c r="D853" s="1346" t="s">
        <v>991</v>
      </c>
      <c r="E853" s="1346" t="s">
        <v>11940</v>
      </c>
      <c r="F853" s="1346" t="s">
        <v>11969</v>
      </c>
      <c r="G853" s="1345" t="s">
        <v>243</v>
      </c>
      <c r="H853" s="1345" t="s">
        <v>985</v>
      </c>
      <c r="I853" s="1349" t="s">
        <v>109</v>
      </c>
      <c r="J853" s="1350"/>
      <c r="K853" s="1348">
        <v>644000.0</v>
      </c>
    </row>
    <row r="854">
      <c r="A854" s="1344" t="s">
        <v>13311</v>
      </c>
      <c r="B854" s="1345" t="s">
        <v>13312</v>
      </c>
      <c r="C854" s="1346" t="s">
        <v>13313</v>
      </c>
      <c r="D854" s="1346" t="s">
        <v>992</v>
      </c>
      <c r="E854" s="1346" t="s">
        <v>12061</v>
      </c>
      <c r="F854" s="1346" t="s">
        <v>11931</v>
      </c>
      <c r="G854" s="1345" t="s">
        <v>60</v>
      </c>
      <c r="H854" s="1345" t="s">
        <v>993</v>
      </c>
      <c r="I854" s="1349" t="s">
        <v>137</v>
      </c>
      <c r="J854" s="1350"/>
      <c r="K854" s="1348">
        <v>1428000.0</v>
      </c>
    </row>
    <row r="855">
      <c r="A855" s="1344" t="s">
        <v>13314</v>
      </c>
      <c r="B855" s="1345" t="s">
        <v>13315</v>
      </c>
      <c r="C855" s="1346" t="s">
        <v>5154</v>
      </c>
      <c r="D855" s="1346" t="s">
        <v>994</v>
      </c>
      <c r="E855" s="1346" t="s">
        <v>11940</v>
      </c>
      <c r="F855" s="1346" t="s">
        <v>11944</v>
      </c>
      <c r="G855" s="1345" t="s">
        <v>62</v>
      </c>
      <c r="H855" s="1345" t="s">
        <v>993</v>
      </c>
      <c r="I855" s="1349" t="s">
        <v>1437</v>
      </c>
      <c r="J855" s="1357">
        <v>880000.0</v>
      </c>
      <c r="K855" s="1348">
        <v>1644000.0</v>
      </c>
    </row>
    <row r="856">
      <c r="A856" s="1344" t="s">
        <v>13316</v>
      </c>
      <c r="B856" s="1345" t="s">
        <v>13317</v>
      </c>
      <c r="C856" s="1346" t="s">
        <v>5154</v>
      </c>
      <c r="D856" s="1346" t="s">
        <v>995</v>
      </c>
      <c r="E856" s="1346" t="s">
        <v>11940</v>
      </c>
      <c r="F856" s="1346" t="s">
        <v>11969</v>
      </c>
      <c r="G856" s="1345" t="s">
        <v>140</v>
      </c>
      <c r="H856" s="1345" t="s">
        <v>993</v>
      </c>
      <c r="I856" s="1350"/>
      <c r="J856" s="1350"/>
      <c r="K856" s="1348">
        <v>508000.0</v>
      </c>
    </row>
    <row r="857">
      <c r="A857" s="1344" t="s">
        <v>13318</v>
      </c>
      <c r="B857" s="1345" t="s">
        <v>13319</v>
      </c>
      <c r="C857" s="1346" t="s">
        <v>5154</v>
      </c>
      <c r="D857" s="1346" t="s">
        <v>996</v>
      </c>
      <c r="E857" s="1346" t="s">
        <v>11940</v>
      </c>
      <c r="F857" s="1346" t="s">
        <v>11969</v>
      </c>
      <c r="G857" s="1345" t="s">
        <v>142</v>
      </c>
      <c r="H857" s="1345" t="s">
        <v>993</v>
      </c>
      <c r="I857" s="1350"/>
      <c r="J857" s="1350"/>
      <c r="K857" s="1348">
        <v>508000.0</v>
      </c>
    </row>
    <row r="858">
      <c r="A858" s="1344" t="s">
        <v>13320</v>
      </c>
      <c r="B858" s="1345" t="s">
        <v>13321</v>
      </c>
      <c r="C858" s="1346" t="s">
        <v>5154</v>
      </c>
      <c r="D858" s="1346" t="s">
        <v>997</v>
      </c>
      <c r="E858" s="1346" t="s">
        <v>11940</v>
      </c>
      <c r="F858" s="1346" t="s">
        <v>11969</v>
      </c>
      <c r="G858" s="1345" t="s">
        <v>144</v>
      </c>
      <c r="H858" s="1345" t="s">
        <v>993</v>
      </c>
      <c r="I858" s="1350"/>
      <c r="J858" s="1350"/>
      <c r="K858" s="1348">
        <v>508000.0</v>
      </c>
    </row>
    <row r="859">
      <c r="A859" s="1344" t="s">
        <v>13322</v>
      </c>
      <c r="B859" s="1345" t="s">
        <v>13323</v>
      </c>
      <c r="C859" s="1346" t="s">
        <v>5154</v>
      </c>
      <c r="D859" s="1346" t="s">
        <v>998</v>
      </c>
      <c r="E859" s="1346" t="s">
        <v>11940</v>
      </c>
      <c r="F859" s="1346" t="s">
        <v>11969</v>
      </c>
      <c r="G859" s="1345" t="s">
        <v>146</v>
      </c>
      <c r="H859" s="1345" t="s">
        <v>993</v>
      </c>
      <c r="I859" s="1350"/>
      <c r="J859" s="1350"/>
      <c r="K859" s="1348">
        <v>508000.0</v>
      </c>
    </row>
    <row r="860">
      <c r="A860" s="1344" t="s">
        <v>13324</v>
      </c>
      <c r="B860" s="1345" t="s">
        <v>13325</v>
      </c>
      <c r="C860" s="1346" t="s">
        <v>5154</v>
      </c>
      <c r="D860" s="1346" t="s">
        <v>999</v>
      </c>
      <c r="E860" s="1346" t="s">
        <v>11940</v>
      </c>
      <c r="F860" s="1346" t="s">
        <v>11931</v>
      </c>
      <c r="G860" s="1345" t="s">
        <v>60</v>
      </c>
      <c r="H860" s="1345" t="s">
        <v>1000</v>
      </c>
      <c r="I860" s="1349" t="s">
        <v>90</v>
      </c>
      <c r="J860" s="1350"/>
      <c r="K860" s="1348">
        <v>2129000.0</v>
      </c>
    </row>
    <row r="861">
      <c r="A861" s="1344" t="s">
        <v>5154</v>
      </c>
      <c r="B861" s="1345" t="s">
        <v>13326</v>
      </c>
      <c r="C861" s="1346" t="s">
        <v>5154</v>
      </c>
      <c r="D861" s="1346" t="s">
        <v>1656</v>
      </c>
      <c r="E861" s="1346" t="s">
        <v>11930</v>
      </c>
      <c r="F861" s="1346" t="s">
        <v>11931</v>
      </c>
      <c r="G861" s="1345" t="s">
        <v>60</v>
      </c>
      <c r="H861" s="1345" t="s">
        <v>1657</v>
      </c>
      <c r="I861" s="1349" t="s">
        <v>90</v>
      </c>
      <c r="J861" s="1350"/>
      <c r="K861" s="1348">
        <v>2808000.0</v>
      </c>
    </row>
    <row r="862">
      <c r="A862" s="1344" t="s">
        <v>5154</v>
      </c>
      <c r="B862" s="1345" t="s">
        <v>13327</v>
      </c>
      <c r="C862" s="1346" t="s">
        <v>5154</v>
      </c>
      <c r="D862" s="1346" t="s">
        <v>1658</v>
      </c>
      <c r="E862" s="1346" t="s">
        <v>11930</v>
      </c>
      <c r="F862" s="1346" t="s">
        <v>11931</v>
      </c>
      <c r="G862" s="1345" t="s">
        <v>60</v>
      </c>
      <c r="H862" s="1345" t="s">
        <v>1659</v>
      </c>
      <c r="I862" s="1349" t="s">
        <v>137</v>
      </c>
      <c r="J862" s="1350"/>
      <c r="K862" s="1348">
        <v>1836000.0</v>
      </c>
    </row>
    <row r="863">
      <c r="A863" s="1344" t="s">
        <v>13328</v>
      </c>
      <c r="B863" s="1345" t="s">
        <v>13329</v>
      </c>
      <c r="C863" s="1346" t="s">
        <v>5154</v>
      </c>
      <c r="D863" s="1346" t="s">
        <v>1001</v>
      </c>
      <c r="E863" s="1346" t="s">
        <v>11940</v>
      </c>
      <c r="F863" s="1346" t="s">
        <v>11944</v>
      </c>
      <c r="G863" s="1345" t="s">
        <v>62</v>
      </c>
      <c r="H863" s="1345" t="s">
        <v>1002</v>
      </c>
      <c r="I863" s="1349" t="s">
        <v>1437</v>
      </c>
      <c r="J863" s="1350"/>
      <c r="K863" s="1348">
        <v>2231000.0</v>
      </c>
    </row>
    <row r="864">
      <c r="A864" s="1344" t="s">
        <v>13330</v>
      </c>
      <c r="B864" s="1345" t="s">
        <v>13331</v>
      </c>
      <c r="C864" s="1346" t="s">
        <v>5154</v>
      </c>
      <c r="D864" s="1346" t="s">
        <v>1003</v>
      </c>
      <c r="E864" s="1346" t="s">
        <v>11940</v>
      </c>
      <c r="F864" s="1346" t="s">
        <v>11969</v>
      </c>
      <c r="G864" s="1345" t="s">
        <v>140</v>
      </c>
      <c r="H864" s="1345" t="s">
        <v>1002</v>
      </c>
      <c r="I864" s="1350"/>
      <c r="J864" s="1350"/>
      <c r="K864" s="1348">
        <v>508000.0</v>
      </c>
    </row>
    <row r="865">
      <c r="A865" s="1344" t="s">
        <v>13332</v>
      </c>
      <c r="B865" s="1345" t="s">
        <v>13333</v>
      </c>
      <c r="C865" s="1346" t="s">
        <v>5154</v>
      </c>
      <c r="D865" s="1346" t="s">
        <v>1004</v>
      </c>
      <c r="E865" s="1346" t="s">
        <v>11940</v>
      </c>
      <c r="F865" s="1346" t="s">
        <v>11969</v>
      </c>
      <c r="G865" s="1345" t="s">
        <v>142</v>
      </c>
      <c r="H865" s="1345" t="s">
        <v>1002</v>
      </c>
      <c r="I865" s="1350"/>
      <c r="J865" s="1350"/>
      <c r="K865" s="1348">
        <v>508000.0</v>
      </c>
    </row>
    <row r="866">
      <c r="A866" s="1344" t="s">
        <v>13334</v>
      </c>
      <c r="B866" s="1345" t="s">
        <v>13335</v>
      </c>
      <c r="C866" s="1346" t="s">
        <v>5154</v>
      </c>
      <c r="D866" s="1346" t="s">
        <v>1005</v>
      </c>
      <c r="E866" s="1346" t="s">
        <v>11943</v>
      </c>
      <c r="F866" s="1346" t="s">
        <v>11969</v>
      </c>
      <c r="G866" s="1345" t="s">
        <v>144</v>
      </c>
      <c r="H866" s="1345" t="s">
        <v>1002</v>
      </c>
      <c r="I866" s="1350"/>
      <c r="J866" s="1350"/>
      <c r="K866" s="1348">
        <v>436000.0</v>
      </c>
    </row>
    <row r="867">
      <c r="A867" s="1344" t="s">
        <v>13336</v>
      </c>
      <c r="B867" s="1345" t="s">
        <v>13337</v>
      </c>
      <c r="C867" s="1346" t="s">
        <v>5154</v>
      </c>
      <c r="D867" s="1346" t="s">
        <v>1006</v>
      </c>
      <c r="E867" s="1346" t="s">
        <v>11943</v>
      </c>
      <c r="F867" s="1346" t="s">
        <v>11969</v>
      </c>
      <c r="G867" s="1345" t="s">
        <v>146</v>
      </c>
      <c r="H867" s="1345" t="s">
        <v>1002</v>
      </c>
      <c r="I867" s="1350"/>
      <c r="J867" s="1350"/>
      <c r="K867" s="1348">
        <v>436000.0</v>
      </c>
    </row>
    <row r="868">
      <c r="A868" s="1341" t="s">
        <v>13338</v>
      </c>
      <c r="B868" s="1342" t="s">
        <v>13338</v>
      </c>
      <c r="C868" s="1343"/>
      <c r="D868" s="1343"/>
      <c r="E868" s="1343"/>
      <c r="F868" s="1343"/>
      <c r="G868" s="1343"/>
      <c r="H868" s="1342" t="s">
        <v>13338</v>
      </c>
      <c r="I868" s="1343"/>
      <c r="J868" s="1343"/>
      <c r="K868" s="1343"/>
    </row>
    <row r="869">
      <c r="A869" s="1344" t="s">
        <v>13339</v>
      </c>
      <c r="B869" s="1345" t="s">
        <v>13340</v>
      </c>
      <c r="C869" s="1346" t="s">
        <v>5154</v>
      </c>
      <c r="D869" s="1346" t="s">
        <v>1007</v>
      </c>
      <c r="E869" s="1346" t="s">
        <v>11940</v>
      </c>
      <c r="F869" s="1346" t="s">
        <v>11931</v>
      </c>
      <c r="G869" s="1345" t="s">
        <v>60</v>
      </c>
      <c r="H869" s="1345" t="s">
        <v>1008</v>
      </c>
      <c r="I869" s="1349" t="s">
        <v>137</v>
      </c>
      <c r="J869" s="1350"/>
      <c r="K869" s="1348">
        <v>1781000.0</v>
      </c>
    </row>
    <row r="870">
      <c r="A870" s="1341" t="s">
        <v>13341</v>
      </c>
      <c r="B870" s="1342" t="s">
        <v>13341</v>
      </c>
      <c r="C870" s="1343"/>
      <c r="D870" s="1343"/>
      <c r="E870" s="1343"/>
      <c r="F870" s="1343"/>
      <c r="G870" s="1343"/>
      <c r="H870" s="1342" t="s">
        <v>13342</v>
      </c>
      <c r="I870" s="1343"/>
      <c r="J870" s="1343"/>
      <c r="K870" s="1343"/>
    </row>
    <row r="871">
      <c r="A871" s="1344" t="s">
        <v>5154</v>
      </c>
      <c r="B871" s="1345" t="s">
        <v>13343</v>
      </c>
      <c r="C871" s="1346" t="s">
        <v>5154</v>
      </c>
      <c r="D871" s="1351" t="s">
        <v>13344</v>
      </c>
      <c r="E871" s="1346" t="s">
        <v>11930</v>
      </c>
      <c r="F871" s="1346" t="s">
        <v>11931</v>
      </c>
      <c r="G871" s="1349" t="s">
        <v>60</v>
      </c>
      <c r="H871" s="1345" t="s">
        <v>1662</v>
      </c>
      <c r="I871" s="1349" t="s">
        <v>137</v>
      </c>
      <c r="J871" s="1350"/>
      <c r="K871" s="1348">
        <v>1400000.0</v>
      </c>
    </row>
    <row r="872">
      <c r="A872" s="1344" t="s">
        <v>5154</v>
      </c>
      <c r="B872" s="1345" t="s">
        <v>13345</v>
      </c>
      <c r="C872" s="1346" t="s">
        <v>5154</v>
      </c>
      <c r="D872" s="1346" t="s">
        <v>1661</v>
      </c>
      <c r="E872" s="1346" t="s">
        <v>11930</v>
      </c>
      <c r="F872" s="1346" t="s">
        <v>11944</v>
      </c>
      <c r="G872" s="1345" t="s">
        <v>62</v>
      </c>
      <c r="H872" s="1345" t="s">
        <v>1662</v>
      </c>
      <c r="I872" s="1349" t="s">
        <v>1437</v>
      </c>
      <c r="J872" s="1350"/>
      <c r="K872" s="1348">
        <v>4474000.0</v>
      </c>
    </row>
    <row r="873">
      <c r="A873" s="1344" t="s">
        <v>13346</v>
      </c>
      <c r="B873" s="1345" t="s">
        <v>13347</v>
      </c>
      <c r="C873" s="1346" t="s">
        <v>5154</v>
      </c>
      <c r="D873" s="1346" t="s">
        <v>1009</v>
      </c>
      <c r="E873" s="1346" t="s">
        <v>11940</v>
      </c>
      <c r="F873" s="1346" t="s">
        <v>11931</v>
      </c>
      <c r="G873" s="1345" t="s">
        <v>60</v>
      </c>
      <c r="H873" s="1345" t="s">
        <v>1010</v>
      </c>
      <c r="I873" s="1349" t="s">
        <v>314</v>
      </c>
      <c r="J873" s="1350"/>
      <c r="K873" s="1348">
        <v>5286000.0</v>
      </c>
    </row>
    <row r="874">
      <c r="A874" s="1344" t="s">
        <v>13348</v>
      </c>
      <c r="B874" s="1345" t="s">
        <v>13349</v>
      </c>
      <c r="C874" s="1346" t="s">
        <v>5154</v>
      </c>
      <c r="D874" s="1346" t="s">
        <v>1011</v>
      </c>
      <c r="E874" s="1346" t="s">
        <v>11940</v>
      </c>
      <c r="F874" s="1346" t="s">
        <v>11931</v>
      </c>
      <c r="G874" s="1345" t="s">
        <v>60</v>
      </c>
      <c r="H874" s="1345" t="s">
        <v>1012</v>
      </c>
      <c r="I874" s="1349" t="s">
        <v>314</v>
      </c>
      <c r="J874" s="1350"/>
      <c r="K874" s="1348">
        <v>5286000.0</v>
      </c>
    </row>
    <row r="875">
      <c r="A875" s="1344" t="s">
        <v>13350</v>
      </c>
      <c r="B875" s="1345" t="s">
        <v>5154</v>
      </c>
      <c r="C875" s="1346" t="s">
        <v>5154</v>
      </c>
      <c r="D875" s="1346" t="s">
        <v>1013</v>
      </c>
      <c r="E875" s="1346" t="s">
        <v>11943</v>
      </c>
      <c r="F875" s="1346" t="s">
        <v>11944</v>
      </c>
      <c r="G875" s="1345" t="s">
        <v>62</v>
      </c>
      <c r="H875" s="1345" t="s">
        <v>1014</v>
      </c>
      <c r="I875" s="1349" t="s">
        <v>1437</v>
      </c>
      <c r="J875" s="1350"/>
      <c r="K875" s="1348">
        <v>2249000.0</v>
      </c>
    </row>
    <row r="876">
      <c r="A876" s="1344" t="s">
        <v>13351</v>
      </c>
      <c r="B876" s="1345" t="s">
        <v>5154</v>
      </c>
      <c r="C876" s="1346" t="s">
        <v>5154</v>
      </c>
      <c r="D876" s="1346" t="s">
        <v>1015</v>
      </c>
      <c r="E876" s="1346" t="s">
        <v>11943</v>
      </c>
      <c r="F876" s="1346" t="s">
        <v>11944</v>
      </c>
      <c r="G876" s="1345" t="s">
        <v>62</v>
      </c>
      <c r="H876" s="1345" t="s">
        <v>1016</v>
      </c>
      <c r="I876" s="1349" t="s">
        <v>1437</v>
      </c>
      <c r="J876" s="1350"/>
      <c r="K876" s="1348">
        <v>2570000.0</v>
      </c>
    </row>
    <row r="877">
      <c r="A877" s="1341" t="s">
        <v>13352</v>
      </c>
      <c r="B877" s="1342" t="s">
        <v>13352</v>
      </c>
      <c r="C877" s="1343"/>
      <c r="D877" s="1343"/>
      <c r="E877" s="1343"/>
      <c r="F877" s="1343"/>
      <c r="G877" s="1343"/>
      <c r="H877" s="1342" t="s">
        <v>13352</v>
      </c>
      <c r="I877" s="1343"/>
      <c r="J877" s="1343"/>
      <c r="K877" s="1343"/>
    </row>
    <row r="878">
      <c r="A878" s="1344" t="s">
        <v>5154</v>
      </c>
      <c r="B878" s="1345" t="s">
        <v>13353</v>
      </c>
      <c r="C878" s="1346" t="s">
        <v>13354</v>
      </c>
      <c r="D878" s="1346" t="s">
        <v>1663</v>
      </c>
      <c r="E878" s="1346" t="s">
        <v>12158</v>
      </c>
      <c r="F878" s="1346" t="s">
        <v>11931</v>
      </c>
      <c r="G878" s="1345" t="s">
        <v>60</v>
      </c>
      <c r="H878" s="1345" t="s">
        <v>1664</v>
      </c>
      <c r="I878" s="1349" t="s">
        <v>137</v>
      </c>
      <c r="J878" s="1350"/>
      <c r="K878" s="1348">
        <v>1560000.0</v>
      </c>
    </row>
    <row r="879">
      <c r="A879" s="1344" t="s">
        <v>5154</v>
      </c>
      <c r="B879" s="1345" t="s">
        <v>13355</v>
      </c>
      <c r="C879" s="1346" t="s">
        <v>5154</v>
      </c>
      <c r="D879" s="1346" t="s">
        <v>1665</v>
      </c>
      <c r="E879" s="1346" t="s">
        <v>11930</v>
      </c>
      <c r="F879" s="1346" t="s">
        <v>11944</v>
      </c>
      <c r="G879" s="1345" t="s">
        <v>62</v>
      </c>
      <c r="H879" s="1345" t="s">
        <v>1664</v>
      </c>
      <c r="I879" s="1349" t="s">
        <v>1442</v>
      </c>
      <c r="J879" s="1350"/>
      <c r="K879" s="1348">
        <v>2002000.0</v>
      </c>
    </row>
    <row r="880">
      <c r="A880" s="1344" t="s">
        <v>5154</v>
      </c>
      <c r="B880" s="1345" t="s">
        <v>13356</v>
      </c>
      <c r="C880" s="1346" t="s">
        <v>5154</v>
      </c>
      <c r="D880" s="1346" t="s">
        <v>1666</v>
      </c>
      <c r="E880" s="1346" t="s">
        <v>11930</v>
      </c>
      <c r="F880" s="1346" t="s">
        <v>11931</v>
      </c>
      <c r="G880" s="1345" t="s">
        <v>60</v>
      </c>
      <c r="H880" s="1345" t="s">
        <v>1667</v>
      </c>
      <c r="I880" s="1349" t="s">
        <v>137</v>
      </c>
      <c r="J880" s="1350"/>
      <c r="K880" s="1348">
        <v>1523000.0</v>
      </c>
    </row>
    <row r="881">
      <c r="A881" s="1344" t="s">
        <v>5154</v>
      </c>
      <c r="B881" s="1345" t="s">
        <v>13357</v>
      </c>
      <c r="C881" s="1346" t="s">
        <v>5154</v>
      </c>
      <c r="D881" s="1351" t="s">
        <v>1668</v>
      </c>
      <c r="E881" s="1346" t="s">
        <v>11930</v>
      </c>
      <c r="F881" s="1346" t="s">
        <v>11931</v>
      </c>
      <c r="G881" s="1345" t="s">
        <v>60</v>
      </c>
      <c r="H881" s="1345" t="s">
        <v>1669</v>
      </c>
      <c r="I881" s="1345" t="s">
        <v>137</v>
      </c>
      <c r="J881" s="1347"/>
      <c r="K881" s="1348">
        <v>1523000.0</v>
      </c>
    </row>
    <row r="882">
      <c r="A882" s="1344" t="s">
        <v>5154</v>
      </c>
      <c r="B882" s="1345" t="s">
        <v>13358</v>
      </c>
      <c r="C882" s="1346" t="s">
        <v>5154</v>
      </c>
      <c r="D882" s="1351" t="s">
        <v>1670</v>
      </c>
      <c r="E882" s="1346" t="s">
        <v>11930</v>
      </c>
      <c r="F882" s="1346" t="s">
        <v>11931</v>
      </c>
      <c r="G882" s="1345" t="s">
        <v>60</v>
      </c>
      <c r="H882" s="1345" t="s">
        <v>1671</v>
      </c>
      <c r="I882" s="1349" t="s">
        <v>137</v>
      </c>
      <c r="J882" s="1350"/>
      <c r="K882" s="1348">
        <v>1523000.0</v>
      </c>
    </row>
    <row r="883">
      <c r="A883" s="1341" t="s">
        <v>13359</v>
      </c>
      <c r="B883" s="1342" t="s">
        <v>13359</v>
      </c>
      <c r="C883" s="1343"/>
      <c r="D883" s="1343"/>
      <c r="E883" s="1343"/>
      <c r="F883" s="1343"/>
      <c r="G883" s="1343"/>
      <c r="H883" s="1342" t="s">
        <v>13359</v>
      </c>
      <c r="I883" s="1343"/>
      <c r="J883" s="1343"/>
      <c r="K883" s="1343"/>
    </row>
    <row r="884">
      <c r="A884" s="1344" t="s">
        <v>5154</v>
      </c>
      <c r="B884" s="1345" t="s">
        <v>13360</v>
      </c>
      <c r="C884" s="1346" t="s">
        <v>5154</v>
      </c>
      <c r="D884" s="1351" t="s">
        <v>13361</v>
      </c>
      <c r="E884" s="1346" t="s">
        <v>11930</v>
      </c>
      <c r="F884" s="1346" t="s">
        <v>11931</v>
      </c>
      <c r="G884" s="1349" t="s">
        <v>60</v>
      </c>
      <c r="H884" s="1349" t="s">
        <v>13362</v>
      </c>
      <c r="I884" s="1349" t="s">
        <v>745</v>
      </c>
      <c r="J884" s="1350"/>
      <c r="K884" s="1348">
        <v>6000000.0</v>
      </c>
    </row>
    <row r="885">
      <c r="A885" s="1344" t="s">
        <v>5154</v>
      </c>
      <c r="B885" s="1345" t="s">
        <v>13363</v>
      </c>
      <c r="C885" s="1346" t="s">
        <v>5154</v>
      </c>
      <c r="D885" s="1346" t="s">
        <v>1672</v>
      </c>
      <c r="E885" s="1346" t="s">
        <v>11930</v>
      </c>
      <c r="F885" s="1346" t="s">
        <v>11931</v>
      </c>
      <c r="G885" s="1345" t="s">
        <v>60</v>
      </c>
      <c r="H885" s="1345" t="s">
        <v>13364</v>
      </c>
      <c r="I885" s="1349" t="s">
        <v>314</v>
      </c>
      <c r="J885" s="1350"/>
      <c r="K885" s="1348">
        <v>7390000.0</v>
      </c>
    </row>
    <row r="886">
      <c r="A886" s="1344" t="s">
        <v>5154</v>
      </c>
      <c r="B886" s="1345" t="s">
        <v>13365</v>
      </c>
      <c r="C886" s="1346" t="s">
        <v>5154</v>
      </c>
      <c r="D886" s="1346" t="s">
        <v>1674</v>
      </c>
      <c r="E886" s="1346" t="s">
        <v>11930</v>
      </c>
      <c r="F886" s="1346" t="s">
        <v>11944</v>
      </c>
      <c r="G886" s="1345" t="s">
        <v>62</v>
      </c>
      <c r="H886" s="1345" t="s">
        <v>13366</v>
      </c>
      <c r="I886" s="1345" t="s">
        <v>1442</v>
      </c>
      <c r="J886" s="1347"/>
      <c r="K886" s="1348">
        <v>4238000.0</v>
      </c>
    </row>
    <row r="887">
      <c r="A887" s="1344" t="s">
        <v>5154</v>
      </c>
      <c r="B887" s="1345" t="s">
        <v>13367</v>
      </c>
      <c r="C887" s="1346" t="s">
        <v>5154</v>
      </c>
      <c r="D887" s="1346" t="s">
        <v>1676</v>
      </c>
      <c r="E887" s="1346" t="s">
        <v>11930</v>
      </c>
      <c r="F887" s="1346" t="s">
        <v>11969</v>
      </c>
      <c r="G887" s="1345" t="s">
        <v>140</v>
      </c>
      <c r="H887" s="1345" t="s">
        <v>13368</v>
      </c>
      <c r="I887" s="1347"/>
      <c r="J887" s="1347"/>
      <c r="K887" s="1348">
        <v>1178000.0</v>
      </c>
    </row>
    <row r="888">
      <c r="A888" s="1344" t="s">
        <v>5154</v>
      </c>
      <c r="B888" s="1345" t="s">
        <v>13369</v>
      </c>
      <c r="C888" s="1346" t="s">
        <v>5154</v>
      </c>
      <c r="D888" s="1346" t="s">
        <v>1678</v>
      </c>
      <c r="E888" s="1346" t="s">
        <v>11930</v>
      </c>
      <c r="F888" s="1346" t="s">
        <v>11969</v>
      </c>
      <c r="G888" s="1345" t="s">
        <v>142</v>
      </c>
      <c r="H888" s="1345" t="s">
        <v>13368</v>
      </c>
      <c r="I888" s="1347"/>
      <c r="J888" s="1347"/>
      <c r="K888" s="1348">
        <v>1178000.0</v>
      </c>
    </row>
    <row r="889">
      <c r="A889" s="1344" t="s">
        <v>5154</v>
      </c>
      <c r="B889" s="1345" t="s">
        <v>13370</v>
      </c>
      <c r="C889" s="1346" t="s">
        <v>5154</v>
      </c>
      <c r="D889" s="1346" t="s">
        <v>1679</v>
      </c>
      <c r="E889" s="1346" t="s">
        <v>11930</v>
      </c>
      <c r="F889" s="1346" t="s">
        <v>11969</v>
      </c>
      <c r="G889" s="1345" t="s">
        <v>209</v>
      </c>
      <c r="H889" s="1345" t="s">
        <v>13366</v>
      </c>
      <c r="I889" s="1347"/>
      <c r="J889" s="1347"/>
      <c r="K889" s="1348">
        <v>2355000.0</v>
      </c>
    </row>
    <row r="890">
      <c r="A890" s="1344" t="s">
        <v>5154</v>
      </c>
      <c r="B890" s="1345" t="s">
        <v>13371</v>
      </c>
      <c r="C890" s="1346" t="s">
        <v>5154</v>
      </c>
      <c r="D890" s="1346" t="s">
        <v>1680</v>
      </c>
      <c r="E890" s="1346" t="s">
        <v>11930</v>
      </c>
      <c r="F890" s="1346" t="s">
        <v>11969</v>
      </c>
      <c r="G890" s="1345" t="s">
        <v>243</v>
      </c>
      <c r="H890" s="1345" t="s">
        <v>13366</v>
      </c>
      <c r="I890" s="1347"/>
      <c r="J890" s="1347"/>
      <c r="K890" s="1348">
        <v>2355000.0</v>
      </c>
    </row>
    <row r="891">
      <c r="A891" s="1344" t="s">
        <v>13372</v>
      </c>
      <c r="B891" s="1345" t="s">
        <v>13373</v>
      </c>
      <c r="C891" s="1346" t="s">
        <v>5154</v>
      </c>
      <c r="D891" s="1346" t="s">
        <v>1017</v>
      </c>
      <c r="E891" s="1346" t="s">
        <v>11940</v>
      </c>
      <c r="F891" s="1346" t="s">
        <v>11931</v>
      </c>
      <c r="G891" s="1345" t="s">
        <v>60</v>
      </c>
      <c r="H891" s="1345" t="s">
        <v>1018</v>
      </c>
      <c r="I891" s="1349" t="s">
        <v>314</v>
      </c>
      <c r="J891" s="1350"/>
      <c r="K891" s="1348">
        <v>6720000.0</v>
      </c>
    </row>
    <row r="892">
      <c r="A892" s="1344" t="s">
        <v>5154</v>
      </c>
      <c r="B892" s="1345" t="s">
        <v>13374</v>
      </c>
      <c r="C892" s="1346" t="s">
        <v>5154</v>
      </c>
      <c r="D892" s="1346" t="s">
        <v>13375</v>
      </c>
      <c r="E892" s="1346" t="s">
        <v>11930</v>
      </c>
      <c r="F892" s="1346" t="s">
        <v>11931</v>
      </c>
      <c r="G892" s="1349" t="s">
        <v>60</v>
      </c>
      <c r="H892" s="1345" t="s">
        <v>13376</v>
      </c>
      <c r="I892" s="1349" t="s">
        <v>314</v>
      </c>
      <c r="J892" s="1350"/>
      <c r="K892" s="1348">
        <v>6720000.0</v>
      </c>
    </row>
    <row r="893">
      <c r="A893" s="1344" t="s">
        <v>5154</v>
      </c>
      <c r="B893" s="1345" t="s">
        <v>13377</v>
      </c>
      <c r="C893" s="1346" t="s">
        <v>5154</v>
      </c>
      <c r="D893" s="1346" t="s">
        <v>1681</v>
      </c>
      <c r="E893" s="1346" t="s">
        <v>11930</v>
      </c>
      <c r="F893" s="1346" t="s">
        <v>11931</v>
      </c>
      <c r="G893" s="1345" t="s">
        <v>60</v>
      </c>
      <c r="H893" s="1345" t="s">
        <v>1682</v>
      </c>
      <c r="I893" s="1345" t="s">
        <v>314</v>
      </c>
      <c r="J893" s="1347"/>
      <c r="K893" s="1348">
        <v>7390000.0</v>
      </c>
    </row>
    <row r="894">
      <c r="A894" s="1344" t="s">
        <v>13378</v>
      </c>
      <c r="B894" s="1345" t="s">
        <v>5154</v>
      </c>
      <c r="C894" s="1346" t="s">
        <v>5154</v>
      </c>
      <c r="D894" s="1346" t="s">
        <v>1019</v>
      </c>
      <c r="E894" s="1346" t="s">
        <v>11943</v>
      </c>
      <c r="F894" s="1346" t="s">
        <v>11944</v>
      </c>
      <c r="G894" s="1345" t="s">
        <v>62</v>
      </c>
      <c r="H894" s="1345" t="s">
        <v>1020</v>
      </c>
      <c r="I894" s="1349" t="s">
        <v>1442</v>
      </c>
      <c r="J894" s="1350"/>
      <c r="K894" s="1348">
        <v>4175000.0</v>
      </c>
    </row>
    <row r="895">
      <c r="A895" s="1344" t="s">
        <v>5154</v>
      </c>
      <c r="B895" s="1345" t="s">
        <v>13379</v>
      </c>
      <c r="C895" s="1346" t="s">
        <v>5154</v>
      </c>
      <c r="D895" s="1346" t="s">
        <v>13380</v>
      </c>
      <c r="E895" s="1346" t="s">
        <v>11930</v>
      </c>
      <c r="F895" s="1346" t="s">
        <v>11944</v>
      </c>
      <c r="G895" s="1349" t="s">
        <v>62</v>
      </c>
      <c r="H895" s="1349" t="s">
        <v>13381</v>
      </c>
      <c r="I895" s="1349" t="s">
        <v>1442</v>
      </c>
      <c r="J895" s="1350"/>
      <c r="K895" s="1348">
        <v>6000000.0</v>
      </c>
    </row>
    <row r="896">
      <c r="A896" s="1360"/>
      <c r="B896" s="1345" t="s">
        <v>13382</v>
      </c>
      <c r="C896" s="1346" t="s">
        <v>5154</v>
      </c>
      <c r="D896" s="1351" t="s">
        <v>13383</v>
      </c>
      <c r="E896" s="1346" t="s">
        <v>11930</v>
      </c>
      <c r="F896" s="1346" t="s">
        <v>11931</v>
      </c>
      <c r="G896" s="1349" t="s">
        <v>60</v>
      </c>
      <c r="H896" s="1349" t="s">
        <v>13384</v>
      </c>
      <c r="I896" s="1349" t="s">
        <v>314</v>
      </c>
      <c r="J896" s="1350"/>
      <c r="K896" s="1348">
        <v>8000000.0</v>
      </c>
    </row>
    <row r="897">
      <c r="A897" s="1361"/>
      <c r="B897" s="1342" t="s">
        <v>13385</v>
      </c>
      <c r="C897" s="1343"/>
      <c r="D897" s="1343"/>
      <c r="E897" s="1343"/>
      <c r="F897" s="1343"/>
      <c r="G897" s="1343"/>
      <c r="H897" s="1342" t="s">
        <v>13385</v>
      </c>
      <c r="I897" s="1343"/>
      <c r="J897" s="1343"/>
      <c r="K897" s="1343"/>
    </row>
    <row r="898">
      <c r="A898" s="1352" t="s">
        <v>5154</v>
      </c>
      <c r="B898" s="1345" t="s">
        <v>13386</v>
      </c>
      <c r="C898" s="1346" t="s">
        <v>5154</v>
      </c>
      <c r="D898" s="1351" t="s">
        <v>13387</v>
      </c>
      <c r="E898" s="1346" t="s">
        <v>11930</v>
      </c>
      <c r="F898" s="1346" t="s">
        <v>11931</v>
      </c>
      <c r="G898" s="1349" t="s">
        <v>60</v>
      </c>
      <c r="H898" s="1349" t="s">
        <v>13388</v>
      </c>
      <c r="I898" s="1349" t="s">
        <v>745</v>
      </c>
      <c r="J898" s="1350"/>
      <c r="K898" s="1348">
        <v>2700000.0</v>
      </c>
    </row>
    <row r="899">
      <c r="A899" s="1341" t="s">
        <v>13389</v>
      </c>
      <c r="B899" s="1342" t="s">
        <v>13389</v>
      </c>
      <c r="C899" s="1343"/>
      <c r="D899" s="1343"/>
      <c r="E899" s="1343"/>
      <c r="F899" s="1343"/>
      <c r="G899" s="1343"/>
      <c r="H899" s="1342" t="s">
        <v>13389</v>
      </c>
      <c r="I899" s="1343"/>
      <c r="J899" s="1343"/>
      <c r="K899" s="1343"/>
    </row>
    <row r="900">
      <c r="A900" s="1344" t="s">
        <v>5154</v>
      </c>
      <c r="B900" s="1345" t="s">
        <v>5154</v>
      </c>
      <c r="C900" s="1346" t="s">
        <v>13390</v>
      </c>
      <c r="D900" s="1346" t="s">
        <v>2412</v>
      </c>
      <c r="E900" s="1346" t="s">
        <v>12155</v>
      </c>
      <c r="F900" s="1351" t="s">
        <v>11931</v>
      </c>
      <c r="G900" s="1345" t="s">
        <v>60</v>
      </c>
      <c r="H900" s="1345" t="s">
        <v>2413</v>
      </c>
      <c r="I900" s="1349" t="s">
        <v>137</v>
      </c>
      <c r="J900" s="1350"/>
      <c r="K900" s="1348">
        <v>2100000.0</v>
      </c>
    </row>
    <row r="901">
      <c r="A901" s="1344" t="s">
        <v>5154</v>
      </c>
      <c r="B901" s="1345" t="s">
        <v>13391</v>
      </c>
      <c r="C901" s="1346" t="s">
        <v>5154</v>
      </c>
      <c r="D901" s="1346" t="s">
        <v>1683</v>
      </c>
      <c r="E901" s="1346" t="s">
        <v>11930</v>
      </c>
      <c r="F901" s="1346" t="s">
        <v>11931</v>
      </c>
      <c r="G901" s="1345" t="s">
        <v>60</v>
      </c>
      <c r="H901" s="1345" t="s">
        <v>1684</v>
      </c>
      <c r="I901" s="1349" t="s">
        <v>745</v>
      </c>
      <c r="J901" s="1350"/>
      <c r="K901" s="1348">
        <v>3818000.0</v>
      </c>
    </row>
    <row r="902">
      <c r="A902" s="1341" t="s">
        <v>11519</v>
      </c>
      <c r="B902" s="1342" t="s">
        <v>11519</v>
      </c>
      <c r="C902" s="1343"/>
      <c r="D902" s="1343"/>
      <c r="E902" s="1343"/>
      <c r="F902" s="1343"/>
      <c r="G902" s="1343"/>
      <c r="H902" s="1342" t="s">
        <v>11519</v>
      </c>
      <c r="I902" s="1343"/>
      <c r="J902" s="1343"/>
      <c r="K902" s="1343"/>
    </row>
    <row r="903">
      <c r="A903" s="1344" t="s">
        <v>5154</v>
      </c>
      <c r="B903" s="1345" t="s">
        <v>13392</v>
      </c>
      <c r="C903" s="1346" t="s">
        <v>5154</v>
      </c>
      <c r="D903" s="1346" t="s">
        <v>1685</v>
      </c>
      <c r="E903" s="1346" t="s">
        <v>11930</v>
      </c>
      <c r="F903" s="1346" t="s">
        <v>11931</v>
      </c>
      <c r="G903" s="1345" t="s">
        <v>60</v>
      </c>
      <c r="H903" s="1345" t="s">
        <v>1686</v>
      </c>
      <c r="I903" s="1349" t="s">
        <v>137</v>
      </c>
      <c r="J903" s="1350"/>
      <c r="K903" s="1348">
        <v>1848000.0</v>
      </c>
    </row>
    <row r="904">
      <c r="A904" s="1344" t="s">
        <v>13393</v>
      </c>
      <c r="B904" s="1345" t="s">
        <v>13394</v>
      </c>
      <c r="C904" s="1346" t="s">
        <v>5154</v>
      </c>
      <c r="D904" s="1346" t="s">
        <v>1021</v>
      </c>
      <c r="E904" s="1346" t="s">
        <v>11940</v>
      </c>
      <c r="F904" s="1346" t="s">
        <v>11944</v>
      </c>
      <c r="G904" s="1345" t="s">
        <v>62</v>
      </c>
      <c r="H904" s="1345" t="s">
        <v>1022</v>
      </c>
      <c r="I904" s="1349" t="s">
        <v>1442</v>
      </c>
      <c r="J904" s="1350"/>
      <c r="K904" s="1348">
        <v>1766000.0</v>
      </c>
    </row>
    <row r="905">
      <c r="A905" s="1344" t="s">
        <v>13395</v>
      </c>
      <c r="B905" s="1345" t="s">
        <v>13396</v>
      </c>
      <c r="C905" s="1346" t="s">
        <v>5154</v>
      </c>
      <c r="D905" s="1346" t="s">
        <v>1023</v>
      </c>
      <c r="E905" s="1346" t="s">
        <v>11940</v>
      </c>
      <c r="F905" s="1346" t="s">
        <v>11931</v>
      </c>
      <c r="G905" s="1345" t="s">
        <v>60</v>
      </c>
      <c r="H905" s="1345" t="s">
        <v>1024</v>
      </c>
      <c r="I905" s="1349" t="s">
        <v>109</v>
      </c>
      <c r="J905" s="1350"/>
      <c r="K905" s="1348">
        <v>894000.0</v>
      </c>
    </row>
    <row r="906">
      <c r="A906" s="1344" t="s">
        <v>5154</v>
      </c>
      <c r="B906" s="1345" t="s">
        <v>13396</v>
      </c>
      <c r="C906" s="1346" t="s">
        <v>5154</v>
      </c>
      <c r="D906" s="1346" t="s">
        <v>1023</v>
      </c>
      <c r="E906" s="1346" t="s">
        <v>12155</v>
      </c>
      <c r="F906" s="1346" t="s">
        <v>11931</v>
      </c>
      <c r="G906" s="1345" t="s">
        <v>60</v>
      </c>
      <c r="H906" s="1345" t="s">
        <v>1024</v>
      </c>
      <c r="I906" s="1349" t="s">
        <v>109</v>
      </c>
      <c r="J906" s="1350"/>
      <c r="K906" s="1348">
        <v>1027000.0</v>
      </c>
    </row>
    <row r="907">
      <c r="A907" s="1344" t="s">
        <v>5154</v>
      </c>
      <c r="B907" s="1345" t="s">
        <v>5154</v>
      </c>
      <c r="C907" s="1346" t="s">
        <v>13397</v>
      </c>
      <c r="D907" s="1346" t="s">
        <v>1981</v>
      </c>
      <c r="E907" s="1346" t="s">
        <v>12155</v>
      </c>
      <c r="F907" s="1346" t="s">
        <v>11944</v>
      </c>
      <c r="G907" s="1345" t="s">
        <v>62</v>
      </c>
      <c r="H907" s="1345" t="s">
        <v>1982</v>
      </c>
      <c r="I907" s="1350"/>
      <c r="J907" s="1350"/>
      <c r="K907" s="1348">
        <v>515000.0</v>
      </c>
    </row>
    <row r="908">
      <c r="A908" s="1344" t="s">
        <v>5154</v>
      </c>
      <c r="B908" s="1345" t="s">
        <v>13398</v>
      </c>
      <c r="C908" s="1346" t="s">
        <v>13399</v>
      </c>
      <c r="D908" s="1346" t="s">
        <v>1687</v>
      </c>
      <c r="E908" s="1346" t="s">
        <v>12158</v>
      </c>
      <c r="F908" s="1346" t="s">
        <v>11931</v>
      </c>
      <c r="G908" s="1345" t="s">
        <v>60</v>
      </c>
      <c r="H908" s="1345" t="s">
        <v>1688</v>
      </c>
      <c r="I908" s="1349" t="s">
        <v>109</v>
      </c>
      <c r="J908" s="1350"/>
      <c r="K908" s="1348">
        <v>1560000.0</v>
      </c>
    </row>
    <row r="909">
      <c r="A909" s="1344" t="s">
        <v>5154</v>
      </c>
      <c r="B909" s="1345" t="s">
        <v>13400</v>
      </c>
      <c r="C909" s="1346" t="s">
        <v>5154</v>
      </c>
      <c r="D909" s="1346" t="s">
        <v>1689</v>
      </c>
      <c r="E909" s="1346" t="s">
        <v>11930</v>
      </c>
      <c r="F909" s="1346" t="s">
        <v>11944</v>
      </c>
      <c r="G909" s="1345" t="s">
        <v>62</v>
      </c>
      <c r="H909" s="1345" t="s">
        <v>1688</v>
      </c>
      <c r="I909" s="1349" t="s">
        <v>1442</v>
      </c>
      <c r="J909" s="1350"/>
      <c r="K909" s="1348">
        <v>993000.0</v>
      </c>
    </row>
    <row r="910">
      <c r="A910" s="1344" t="s">
        <v>5154</v>
      </c>
      <c r="B910" s="1345" t="s">
        <v>13401</v>
      </c>
      <c r="C910" s="1346" t="s">
        <v>5154</v>
      </c>
      <c r="D910" s="1346" t="s">
        <v>1691</v>
      </c>
      <c r="E910" s="1346" t="s">
        <v>11930</v>
      </c>
      <c r="F910" s="1346" t="s">
        <v>11944</v>
      </c>
      <c r="G910" s="1345" t="s">
        <v>62</v>
      </c>
      <c r="H910" s="1345" t="s">
        <v>1692</v>
      </c>
      <c r="I910" s="1349" t="s">
        <v>1442</v>
      </c>
      <c r="J910" s="1350"/>
      <c r="K910" s="1348">
        <v>1021000.0</v>
      </c>
    </row>
    <row r="911">
      <c r="A911" s="1344" t="s">
        <v>5154</v>
      </c>
      <c r="B911" s="1345" t="s">
        <v>13402</v>
      </c>
      <c r="C911" s="1346" t="s">
        <v>5154</v>
      </c>
      <c r="D911" s="1346" t="s">
        <v>1693</v>
      </c>
      <c r="E911" s="1346" t="s">
        <v>11930</v>
      </c>
      <c r="F911" s="1346" t="s">
        <v>11931</v>
      </c>
      <c r="G911" s="1345" t="s">
        <v>60</v>
      </c>
      <c r="H911" s="1345" t="s">
        <v>13403</v>
      </c>
      <c r="I911" s="1349" t="s">
        <v>137</v>
      </c>
      <c r="J911" s="1350"/>
      <c r="K911" s="1348">
        <v>1236000.0</v>
      </c>
    </row>
    <row r="912">
      <c r="A912" s="1344" t="s">
        <v>5154</v>
      </c>
      <c r="B912" s="1345" t="s">
        <v>13404</v>
      </c>
      <c r="C912" s="1346" t="s">
        <v>5154</v>
      </c>
      <c r="D912" s="1346" t="s">
        <v>1696</v>
      </c>
      <c r="E912" s="1346" t="s">
        <v>11930</v>
      </c>
      <c r="F912" s="1346" t="s">
        <v>11944</v>
      </c>
      <c r="G912" s="1345" t="s">
        <v>62</v>
      </c>
      <c r="H912" s="1345" t="s">
        <v>13405</v>
      </c>
      <c r="I912" s="1349" t="s">
        <v>1442</v>
      </c>
      <c r="J912" s="1350"/>
      <c r="K912" s="1348">
        <v>1021000.0</v>
      </c>
    </row>
    <row r="913">
      <c r="A913" s="1344" t="s">
        <v>5154</v>
      </c>
      <c r="B913" s="1345" t="s">
        <v>13406</v>
      </c>
      <c r="C913" s="1346" t="s">
        <v>5154</v>
      </c>
      <c r="D913" s="1346" t="s">
        <v>1698</v>
      </c>
      <c r="E913" s="1346" t="s">
        <v>11930</v>
      </c>
      <c r="F913" s="1346" t="s">
        <v>11969</v>
      </c>
      <c r="G913" s="1345" t="s">
        <v>243</v>
      </c>
      <c r="H913" s="1345" t="s">
        <v>13405</v>
      </c>
      <c r="I913" s="1349" t="s">
        <v>109</v>
      </c>
      <c r="J913" s="1350"/>
      <c r="K913" s="1348">
        <v>426000.0</v>
      </c>
    </row>
    <row r="914">
      <c r="A914" s="1344" t="s">
        <v>5154</v>
      </c>
      <c r="B914" s="1345" t="s">
        <v>13407</v>
      </c>
      <c r="C914" s="1346" t="s">
        <v>5154</v>
      </c>
      <c r="D914" s="1346" t="s">
        <v>1699</v>
      </c>
      <c r="E914" s="1346" t="s">
        <v>11930</v>
      </c>
      <c r="F914" s="1346" t="s">
        <v>11969</v>
      </c>
      <c r="G914" s="1345" t="s">
        <v>209</v>
      </c>
      <c r="H914" s="1345" t="s">
        <v>13405</v>
      </c>
      <c r="I914" s="1349" t="s">
        <v>109</v>
      </c>
      <c r="J914" s="1350"/>
      <c r="K914" s="1348">
        <v>426000.0</v>
      </c>
    </row>
    <row r="915">
      <c r="A915" s="1344" t="s">
        <v>5154</v>
      </c>
      <c r="B915" s="1345" t="s">
        <v>13408</v>
      </c>
      <c r="C915" s="1346" t="s">
        <v>5154</v>
      </c>
      <c r="D915" s="1346" t="s">
        <v>1701</v>
      </c>
      <c r="E915" s="1346" t="s">
        <v>11930</v>
      </c>
      <c r="F915" s="1346" t="s">
        <v>11944</v>
      </c>
      <c r="G915" s="1345" t="s">
        <v>62</v>
      </c>
      <c r="H915" s="1345" t="s">
        <v>1702</v>
      </c>
      <c r="I915" s="1349" t="s">
        <v>1442</v>
      </c>
      <c r="J915" s="1350"/>
      <c r="K915" s="1348">
        <v>1021000.0</v>
      </c>
    </row>
    <row r="916">
      <c r="A916" s="1344" t="s">
        <v>5154</v>
      </c>
      <c r="B916" s="1345" t="s">
        <v>13409</v>
      </c>
      <c r="C916" s="1346" t="s">
        <v>5154</v>
      </c>
      <c r="D916" s="1351" t="s">
        <v>1703</v>
      </c>
      <c r="E916" s="1346" t="s">
        <v>11930</v>
      </c>
      <c r="F916" s="1346" t="s">
        <v>11931</v>
      </c>
      <c r="G916" s="1345" t="s">
        <v>60</v>
      </c>
      <c r="H916" s="1345" t="s">
        <v>13410</v>
      </c>
      <c r="I916" s="1349" t="s">
        <v>137</v>
      </c>
      <c r="J916" s="1350"/>
      <c r="K916" s="1348">
        <v>1118000.0</v>
      </c>
    </row>
    <row r="917">
      <c r="A917" s="1344" t="s">
        <v>5154</v>
      </c>
      <c r="B917" s="1345" t="s">
        <v>13411</v>
      </c>
      <c r="C917" s="1346" t="s">
        <v>5154</v>
      </c>
      <c r="D917" s="1351" t="s">
        <v>1773</v>
      </c>
      <c r="E917" s="1346" t="s">
        <v>11930</v>
      </c>
      <c r="F917" s="1346" t="s">
        <v>11944</v>
      </c>
      <c r="G917" s="1345" t="s">
        <v>62</v>
      </c>
      <c r="H917" s="1345" t="s">
        <v>13410</v>
      </c>
      <c r="I917" s="1349" t="s">
        <v>1442</v>
      </c>
      <c r="J917" s="1350"/>
      <c r="K917" s="1348">
        <v>1064000.0</v>
      </c>
    </row>
    <row r="918">
      <c r="A918" s="1344" t="s">
        <v>5154</v>
      </c>
      <c r="B918" s="1345" t="s">
        <v>13412</v>
      </c>
      <c r="C918" s="1346" t="s">
        <v>5154</v>
      </c>
      <c r="D918" s="1346" t="s">
        <v>13413</v>
      </c>
      <c r="E918" s="1346" t="s">
        <v>11930</v>
      </c>
      <c r="F918" s="1346" t="s">
        <v>11931</v>
      </c>
      <c r="G918" s="1349" t="s">
        <v>60</v>
      </c>
      <c r="H918" s="1353" t="s">
        <v>2578</v>
      </c>
      <c r="I918" s="1349" t="s">
        <v>137</v>
      </c>
      <c r="J918" s="1350"/>
      <c r="K918" s="1348">
        <v>1450000.0</v>
      </c>
    </row>
    <row r="919">
      <c r="A919" s="1344" t="s">
        <v>5154</v>
      </c>
      <c r="B919" s="1345" t="s">
        <v>13414</v>
      </c>
      <c r="C919" s="1346" t="s">
        <v>5154</v>
      </c>
      <c r="D919" s="1346" t="s">
        <v>2595</v>
      </c>
      <c r="E919" s="1346" t="s">
        <v>11930</v>
      </c>
      <c r="F919" s="1346" t="s">
        <v>11931</v>
      </c>
      <c r="G919" s="1349" t="s">
        <v>60</v>
      </c>
      <c r="H919" s="1345" t="s">
        <v>2578</v>
      </c>
      <c r="I919" s="1349" t="s">
        <v>90</v>
      </c>
      <c r="J919" s="1350"/>
      <c r="K919" s="1348">
        <v>1550000.0</v>
      </c>
    </row>
    <row r="920">
      <c r="A920" s="1344" t="s">
        <v>5154</v>
      </c>
      <c r="B920" s="1345" t="s">
        <v>13415</v>
      </c>
      <c r="C920" s="1346" t="s">
        <v>13416</v>
      </c>
      <c r="D920" s="1346" t="s">
        <v>1706</v>
      </c>
      <c r="E920" s="1346" t="s">
        <v>12158</v>
      </c>
      <c r="F920" s="1346" t="s">
        <v>11931</v>
      </c>
      <c r="G920" s="1345" t="s">
        <v>60</v>
      </c>
      <c r="H920" s="1345" t="s">
        <v>13417</v>
      </c>
      <c r="I920" s="1350"/>
      <c r="J920" s="1350"/>
      <c r="K920" s="1348">
        <v>732000.0</v>
      </c>
    </row>
    <row r="921">
      <c r="A921" s="1344" t="s">
        <v>5154</v>
      </c>
      <c r="B921" s="1345" t="s">
        <v>13418</v>
      </c>
      <c r="C921" s="1346" t="s">
        <v>5154</v>
      </c>
      <c r="D921" s="1346" t="s">
        <v>1640</v>
      </c>
      <c r="E921" s="1346" t="s">
        <v>11930</v>
      </c>
      <c r="F921" s="1346" t="s">
        <v>11931</v>
      </c>
      <c r="G921" s="1345" t="s">
        <v>60</v>
      </c>
      <c r="H921" s="1345" t="s">
        <v>1363</v>
      </c>
      <c r="I921" s="1350"/>
      <c r="J921" s="1350"/>
      <c r="K921" s="1348">
        <v>840000.0</v>
      </c>
    </row>
    <row r="922">
      <c r="A922" s="1344" t="s">
        <v>13419</v>
      </c>
      <c r="B922" s="1345" t="s">
        <v>13420</v>
      </c>
      <c r="C922" s="1346" t="s">
        <v>13421</v>
      </c>
      <c r="D922" s="1346" t="s">
        <v>1025</v>
      </c>
      <c r="E922" s="1346" t="s">
        <v>12061</v>
      </c>
      <c r="F922" s="1346" t="s">
        <v>11931</v>
      </c>
      <c r="G922" s="1345" t="s">
        <v>60</v>
      </c>
      <c r="H922" s="1345" t="s">
        <v>1026</v>
      </c>
      <c r="I922" s="1349" t="s">
        <v>109</v>
      </c>
      <c r="J922" s="1350"/>
      <c r="K922" s="1348">
        <v>960000.0</v>
      </c>
    </row>
    <row r="923">
      <c r="A923" s="1344" t="s">
        <v>5154</v>
      </c>
      <c r="B923" s="1345" t="s">
        <v>13422</v>
      </c>
      <c r="C923" s="1346" t="s">
        <v>5154</v>
      </c>
      <c r="D923" s="1346" t="s">
        <v>1655</v>
      </c>
      <c r="E923" s="1346" t="s">
        <v>11930</v>
      </c>
      <c r="F923" s="1346" t="s">
        <v>11944</v>
      </c>
      <c r="G923" s="1345" t="s">
        <v>62</v>
      </c>
      <c r="H923" s="1345" t="s">
        <v>1026</v>
      </c>
      <c r="I923" s="1349" t="s">
        <v>109</v>
      </c>
      <c r="J923" s="1357">
        <v>258000.0</v>
      </c>
      <c r="K923" s="1348">
        <v>531000.0</v>
      </c>
    </row>
    <row r="924">
      <c r="A924" s="1344" t="s">
        <v>5154</v>
      </c>
      <c r="B924" s="1345" t="s">
        <v>5154</v>
      </c>
      <c r="C924" s="1346" t="s">
        <v>13423</v>
      </c>
      <c r="D924" s="1346" t="s">
        <v>1989</v>
      </c>
      <c r="E924" s="1346" t="s">
        <v>12155</v>
      </c>
      <c r="F924" s="1346" t="s">
        <v>11969</v>
      </c>
      <c r="G924" s="1345" t="s">
        <v>140</v>
      </c>
      <c r="H924" s="1345" t="s">
        <v>1990</v>
      </c>
      <c r="I924" s="1350"/>
      <c r="J924" s="1350"/>
      <c r="K924" s="1348">
        <v>227000.0</v>
      </c>
    </row>
    <row r="925">
      <c r="A925" s="1344" t="s">
        <v>5154</v>
      </c>
      <c r="B925" s="1345" t="s">
        <v>5154</v>
      </c>
      <c r="C925" s="1346" t="s">
        <v>13424</v>
      </c>
      <c r="D925" s="1346" t="s">
        <v>1991</v>
      </c>
      <c r="E925" s="1346" t="s">
        <v>12155</v>
      </c>
      <c r="F925" s="1346" t="s">
        <v>11969</v>
      </c>
      <c r="G925" s="1345" t="s">
        <v>142</v>
      </c>
      <c r="H925" s="1345" t="s">
        <v>1990</v>
      </c>
      <c r="I925" s="1350"/>
      <c r="J925" s="1350"/>
      <c r="K925" s="1348">
        <v>227000.0</v>
      </c>
    </row>
    <row r="926">
      <c r="A926" s="1344" t="s">
        <v>5154</v>
      </c>
      <c r="B926" s="1345" t="s">
        <v>5154</v>
      </c>
      <c r="C926" s="1346" t="s">
        <v>13425</v>
      </c>
      <c r="D926" s="1346" t="s">
        <v>1992</v>
      </c>
      <c r="E926" s="1346" t="s">
        <v>12155</v>
      </c>
      <c r="F926" s="1346" t="s">
        <v>11969</v>
      </c>
      <c r="G926" s="1345" t="s">
        <v>144</v>
      </c>
      <c r="H926" s="1345" t="s">
        <v>1990</v>
      </c>
      <c r="I926" s="1350"/>
      <c r="J926" s="1350"/>
      <c r="K926" s="1348">
        <v>225000.0</v>
      </c>
    </row>
    <row r="927">
      <c r="A927" s="1344" t="s">
        <v>5154</v>
      </c>
      <c r="B927" s="1345" t="s">
        <v>5154</v>
      </c>
      <c r="C927" s="1346" t="s">
        <v>13426</v>
      </c>
      <c r="D927" s="1346" t="s">
        <v>1993</v>
      </c>
      <c r="E927" s="1346" t="s">
        <v>12155</v>
      </c>
      <c r="F927" s="1346" t="s">
        <v>11969</v>
      </c>
      <c r="G927" s="1345" t="s">
        <v>146</v>
      </c>
      <c r="H927" s="1345" t="s">
        <v>1990</v>
      </c>
      <c r="I927" s="1350"/>
      <c r="J927" s="1350"/>
      <c r="K927" s="1348">
        <v>225000.0</v>
      </c>
    </row>
    <row r="928">
      <c r="A928" s="1344" t="s">
        <v>5154</v>
      </c>
      <c r="B928" s="1345" t="s">
        <v>13427</v>
      </c>
      <c r="C928" s="1346" t="s">
        <v>13428</v>
      </c>
      <c r="D928" s="1346" t="s">
        <v>1708</v>
      </c>
      <c r="E928" s="1346" t="s">
        <v>11930</v>
      </c>
      <c r="F928" s="1346" t="s">
        <v>11931</v>
      </c>
      <c r="G928" s="1345" t="s">
        <v>60</v>
      </c>
      <c r="H928" s="1345" t="s">
        <v>1709</v>
      </c>
      <c r="I928" s="1349" t="s">
        <v>109</v>
      </c>
      <c r="J928" s="1350"/>
      <c r="K928" s="1348">
        <v>1154000.0</v>
      </c>
    </row>
    <row r="929">
      <c r="A929" s="1344" t="s">
        <v>5154</v>
      </c>
      <c r="B929" s="1345" t="s">
        <v>13429</v>
      </c>
      <c r="C929" s="1346" t="s">
        <v>5154</v>
      </c>
      <c r="D929" s="1351" t="s">
        <v>1710</v>
      </c>
      <c r="E929" s="1346" t="s">
        <v>11930</v>
      </c>
      <c r="F929" s="1346" t="s">
        <v>11944</v>
      </c>
      <c r="G929" s="1345" t="s">
        <v>62</v>
      </c>
      <c r="H929" s="1353" t="s">
        <v>1709</v>
      </c>
      <c r="I929" s="1349" t="s">
        <v>1442</v>
      </c>
      <c r="J929" s="1350"/>
      <c r="K929" s="1348">
        <v>435000.0</v>
      </c>
    </row>
    <row r="930">
      <c r="A930" s="1344" t="s">
        <v>5154</v>
      </c>
      <c r="B930" s="1345" t="s">
        <v>5154</v>
      </c>
      <c r="C930" s="1346" t="s">
        <v>13430</v>
      </c>
      <c r="D930" s="1346" t="s">
        <v>1994</v>
      </c>
      <c r="E930" s="1346" t="s">
        <v>12155</v>
      </c>
      <c r="F930" s="1346" t="s">
        <v>11931</v>
      </c>
      <c r="G930" s="1345" t="s">
        <v>60</v>
      </c>
      <c r="H930" s="1345" t="s">
        <v>13431</v>
      </c>
      <c r="I930" s="1350"/>
      <c r="J930" s="1350"/>
      <c r="K930" s="1348">
        <v>1260000.0</v>
      </c>
    </row>
    <row r="931">
      <c r="A931" s="1344" t="s">
        <v>5154</v>
      </c>
      <c r="B931" s="1345" t="s">
        <v>13432</v>
      </c>
      <c r="C931" s="1346" t="s">
        <v>13433</v>
      </c>
      <c r="D931" s="1346" t="s">
        <v>1711</v>
      </c>
      <c r="E931" s="1346" t="s">
        <v>12158</v>
      </c>
      <c r="F931" s="1346" t="s">
        <v>11931</v>
      </c>
      <c r="G931" s="1345" t="s">
        <v>60</v>
      </c>
      <c r="H931" s="1345" t="s">
        <v>1712</v>
      </c>
      <c r="I931" s="1349" t="s">
        <v>137</v>
      </c>
      <c r="J931" s="1350"/>
      <c r="K931" s="1348">
        <v>1430000.0</v>
      </c>
    </row>
    <row r="932">
      <c r="A932" s="1344" t="s">
        <v>5154</v>
      </c>
      <c r="B932" s="1345" t="s">
        <v>13434</v>
      </c>
      <c r="C932" s="1346" t="s">
        <v>5154</v>
      </c>
      <c r="D932" s="1351" t="s">
        <v>1780</v>
      </c>
      <c r="E932" s="1346" t="s">
        <v>11930</v>
      </c>
      <c r="F932" s="1346" t="s">
        <v>11944</v>
      </c>
      <c r="G932" s="1345" t="s">
        <v>62</v>
      </c>
      <c r="H932" s="1345" t="s">
        <v>1712</v>
      </c>
      <c r="I932" s="1349" t="s">
        <v>1442</v>
      </c>
      <c r="J932" s="1350"/>
      <c r="K932" s="1348">
        <v>1523000.0</v>
      </c>
    </row>
    <row r="933">
      <c r="A933" s="1344" t="s">
        <v>5154</v>
      </c>
      <c r="B933" s="1345" t="s">
        <v>13435</v>
      </c>
      <c r="C933" s="1346" t="s">
        <v>5154</v>
      </c>
      <c r="D933" s="1346" t="s">
        <v>1715</v>
      </c>
      <c r="E933" s="1346" t="s">
        <v>11930</v>
      </c>
      <c r="F933" s="1346" t="s">
        <v>11931</v>
      </c>
      <c r="G933" s="1345" t="s">
        <v>60</v>
      </c>
      <c r="H933" s="1345" t="s">
        <v>1716</v>
      </c>
      <c r="I933" s="1349" t="s">
        <v>137</v>
      </c>
      <c r="J933" s="1350"/>
      <c r="K933" s="1348">
        <v>1080000.0</v>
      </c>
    </row>
    <row r="934">
      <c r="A934" s="1344" t="s">
        <v>5154</v>
      </c>
      <c r="B934" s="1345" t="s">
        <v>13436</v>
      </c>
      <c r="C934" s="1346" t="s">
        <v>5154</v>
      </c>
      <c r="D934" s="1346" t="s">
        <v>1717</v>
      </c>
      <c r="E934" s="1346" t="s">
        <v>11930</v>
      </c>
      <c r="F934" s="1346" t="s">
        <v>11944</v>
      </c>
      <c r="G934" s="1345" t="s">
        <v>62</v>
      </c>
      <c r="H934" s="1345" t="s">
        <v>1716</v>
      </c>
      <c r="I934" s="1349" t="s">
        <v>1442</v>
      </c>
      <c r="J934" s="1350"/>
      <c r="K934" s="1348">
        <v>1070000.0</v>
      </c>
    </row>
    <row r="935">
      <c r="A935" s="1344" t="s">
        <v>5154</v>
      </c>
      <c r="B935" s="1345" t="s">
        <v>13437</v>
      </c>
      <c r="C935" s="1346" t="s">
        <v>13438</v>
      </c>
      <c r="D935" s="1346" t="s">
        <v>1718</v>
      </c>
      <c r="E935" s="1346" t="s">
        <v>12158</v>
      </c>
      <c r="F935" s="1346" t="s">
        <v>11931</v>
      </c>
      <c r="G935" s="1345" t="s">
        <v>60</v>
      </c>
      <c r="H935" s="1345" t="s">
        <v>1719</v>
      </c>
      <c r="I935" s="1349" t="s">
        <v>109</v>
      </c>
      <c r="J935" s="1350"/>
      <c r="K935" s="1348">
        <v>1193000.0</v>
      </c>
    </row>
    <row r="936">
      <c r="A936" s="1344" t="s">
        <v>5154</v>
      </c>
      <c r="B936" s="1345" t="s">
        <v>13439</v>
      </c>
      <c r="C936" s="1346" t="s">
        <v>5154</v>
      </c>
      <c r="D936" s="1346" t="s">
        <v>1720</v>
      </c>
      <c r="E936" s="1346" t="s">
        <v>11930</v>
      </c>
      <c r="F936" s="1346" t="s">
        <v>11944</v>
      </c>
      <c r="G936" s="1345" t="s">
        <v>62</v>
      </c>
      <c r="H936" s="1345" t="s">
        <v>1719</v>
      </c>
      <c r="I936" s="1349" t="s">
        <v>1437</v>
      </c>
      <c r="J936" s="1357">
        <v>425000.0</v>
      </c>
      <c r="K936" s="1348">
        <v>849000.0</v>
      </c>
    </row>
    <row r="937">
      <c r="A937" s="1344" t="s">
        <v>5154</v>
      </c>
      <c r="B937" s="1345" t="s">
        <v>13440</v>
      </c>
      <c r="C937" s="1346" t="s">
        <v>5154</v>
      </c>
      <c r="D937" s="1351" t="s">
        <v>1721</v>
      </c>
      <c r="E937" s="1346" t="s">
        <v>11930</v>
      </c>
      <c r="F937" s="1346" t="s">
        <v>11931</v>
      </c>
      <c r="G937" s="1345" t="s">
        <v>60</v>
      </c>
      <c r="H937" s="1345" t="s">
        <v>1722</v>
      </c>
      <c r="I937" s="1349" t="s">
        <v>109</v>
      </c>
      <c r="J937" s="1350"/>
      <c r="K937" s="1348">
        <v>2042000.0</v>
      </c>
    </row>
    <row r="938">
      <c r="A938" s="1344" t="s">
        <v>5154</v>
      </c>
      <c r="B938" s="1345" t="s">
        <v>13441</v>
      </c>
      <c r="C938" s="1346" t="s">
        <v>5154</v>
      </c>
      <c r="D938" s="1351" t="s">
        <v>1723</v>
      </c>
      <c r="E938" s="1346" t="s">
        <v>11930</v>
      </c>
      <c r="F938" s="1346" t="s">
        <v>11944</v>
      </c>
      <c r="G938" s="1345" t="s">
        <v>62</v>
      </c>
      <c r="H938" s="1345" t="s">
        <v>1722</v>
      </c>
      <c r="I938" s="1349" t="s">
        <v>1442</v>
      </c>
      <c r="J938" s="1350"/>
      <c r="K938" s="1348">
        <v>1890000.0</v>
      </c>
    </row>
    <row r="939">
      <c r="A939" s="1344" t="s">
        <v>5154</v>
      </c>
      <c r="B939" s="1345" t="s">
        <v>13442</v>
      </c>
      <c r="C939" s="1346" t="s">
        <v>5154</v>
      </c>
      <c r="D939" s="1346" t="s">
        <v>1724</v>
      </c>
      <c r="E939" s="1346" t="s">
        <v>11930</v>
      </c>
      <c r="F939" s="1346" t="s">
        <v>11931</v>
      </c>
      <c r="G939" s="1345" t="s">
        <v>60</v>
      </c>
      <c r="H939" s="1345" t="s">
        <v>1725</v>
      </c>
      <c r="I939" s="1349" t="s">
        <v>109</v>
      </c>
      <c r="J939" s="1350"/>
      <c r="K939" s="1348">
        <v>1045000.0</v>
      </c>
    </row>
    <row r="940">
      <c r="A940" s="1344" t="s">
        <v>5154</v>
      </c>
      <c r="B940" s="1345" t="s">
        <v>13443</v>
      </c>
      <c r="C940" s="1346" t="s">
        <v>5154</v>
      </c>
      <c r="D940" s="1346" t="s">
        <v>1726</v>
      </c>
      <c r="E940" s="1346" t="s">
        <v>11930</v>
      </c>
      <c r="F940" s="1346" t="s">
        <v>11944</v>
      </c>
      <c r="G940" s="1345" t="s">
        <v>62</v>
      </c>
      <c r="H940" s="1345" t="s">
        <v>1725</v>
      </c>
      <c r="I940" s="1349" t="s">
        <v>1442</v>
      </c>
      <c r="J940" s="1350"/>
      <c r="K940" s="1348">
        <v>706000.0</v>
      </c>
    </row>
    <row r="941">
      <c r="A941" s="1344" t="s">
        <v>5154</v>
      </c>
      <c r="B941" s="1345" t="s">
        <v>13444</v>
      </c>
      <c r="C941" s="1346" t="s">
        <v>5154</v>
      </c>
      <c r="D941" s="1346" t="s">
        <v>1727</v>
      </c>
      <c r="E941" s="1346" t="s">
        <v>11930</v>
      </c>
      <c r="F941" s="1346" t="s">
        <v>11931</v>
      </c>
      <c r="G941" s="1345" t="s">
        <v>60</v>
      </c>
      <c r="H941" s="1345" t="s">
        <v>1728</v>
      </c>
      <c r="I941" s="1349" t="s">
        <v>109</v>
      </c>
      <c r="J941" s="1350"/>
      <c r="K941" s="1348">
        <v>1541000.0</v>
      </c>
    </row>
    <row r="942">
      <c r="A942" s="1344" t="s">
        <v>5154</v>
      </c>
      <c r="B942" s="1345" t="s">
        <v>13445</v>
      </c>
      <c r="C942" s="1346" t="s">
        <v>5154</v>
      </c>
      <c r="D942" s="1351" t="s">
        <v>1729</v>
      </c>
      <c r="E942" s="1346" t="s">
        <v>11930</v>
      </c>
      <c r="F942" s="1346" t="s">
        <v>11944</v>
      </c>
      <c r="G942" s="1345" t="s">
        <v>62</v>
      </c>
      <c r="H942" s="1353" t="s">
        <v>1728</v>
      </c>
      <c r="I942" s="1349" t="s">
        <v>546</v>
      </c>
      <c r="J942" s="1350"/>
      <c r="K942" s="1348">
        <v>1070000.0</v>
      </c>
    </row>
    <row r="943">
      <c r="A943" s="1344" t="s">
        <v>5154</v>
      </c>
      <c r="B943" s="1345" t="s">
        <v>5154</v>
      </c>
      <c r="C943" s="1346" t="s">
        <v>13446</v>
      </c>
      <c r="D943" s="1346" t="s">
        <v>13447</v>
      </c>
      <c r="E943" s="1346" t="s">
        <v>12155</v>
      </c>
      <c r="F943" s="1346" t="s">
        <v>11931</v>
      </c>
      <c r="G943" s="1345" t="s">
        <v>60</v>
      </c>
      <c r="H943" s="1345" t="s">
        <v>1997</v>
      </c>
      <c r="I943" s="1350"/>
      <c r="J943" s="1350"/>
      <c r="K943" s="1348">
        <v>641000.0</v>
      </c>
    </row>
    <row r="944">
      <c r="A944" s="1344" t="s">
        <v>5154</v>
      </c>
      <c r="B944" s="1345" t="s">
        <v>13448</v>
      </c>
      <c r="C944" s="1346" t="s">
        <v>13449</v>
      </c>
      <c r="D944" s="1346" t="s">
        <v>1027</v>
      </c>
      <c r="E944" s="1346" t="s">
        <v>12158</v>
      </c>
      <c r="F944" s="1346" t="s">
        <v>11931</v>
      </c>
      <c r="G944" s="1345" t="s">
        <v>60</v>
      </c>
      <c r="H944" s="1345" t="s">
        <v>1028</v>
      </c>
      <c r="I944" s="1349" t="s">
        <v>109</v>
      </c>
      <c r="J944" s="1350"/>
      <c r="K944" s="1348">
        <v>1645000.0</v>
      </c>
    </row>
    <row r="945">
      <c r="A945" s="1344" t="s">
        <v>5154</v>
      </c>
      <c r="B945" s="1345" t="s">
        <v>13450</v>
      </c>
      <c r="C945" s="1346" t="s">
        <v>5154</v>
      </c>
      <c r="D945" s="1346" t="s">
        <v>1730</v>
      </c>
      <c r="E945" s="1346" t="s">
        <v>11930</v>
      </c>
      <c r="F945" s="1346" t="s">
        <v>11931</v>
      </c>
      <c r="G945" s="1345" t="s">
        <v>60</v>
      </c>
      <c r="H945" s="1345" t="s">
        <v>1731</v>
      </c>
      <c r="I945" s="1349" t="s">
        <v>109</v>
      </c>
      <c r="J945" s="1350"/>
      <c r="K945" s="1348">
        <v>1294000.0</v>
      </c>
    </row>
    <row r="946">
      <c r="A946" s="1344" t="s">
        <v>5154</v>
      </c>
      <c r="B946" s="1345" t="s">
        <v>13451</v>
      </c>
      <c r="C946" s="1346" t="s">
        <v>5154</v>
      </c>
      <c r="D946" s="1346" t="s">
        <v>1732</v>
      </c>
      <c r="E946" s="1346" t="s">
        <v>11930</v>
      </c>
      <c r="F946" s="1346" t="s">
        <v>11944</v>
      </c>
      <c r="G946" s="1345" t="s">
        <v>62</v>
      </c>
      <c r="H946" s="1345" t="s">
        <v>1731</v>
      </c>
      <c r="I946" s="1349" t="s">
        <v>1437</v>
      </c>
      <c r="J946" s="1350"/>
      <c r="K946" s="1348">
        <v>840000.0</v>
      </c>
    </row>
    <row r="947">
      <c r="A947" s="1344" t="s">
        <v>5154</v>
      </c>
      <c r="B947" s="1345" t="s">
        <v>5154</v>
      </c>
      <c r="C947" s="1346" t="s">
        <v>13452</v>
      </c>
      <c r="D947" s="1346" t="s">
        <v>1979</v>
      </c>
      <c r="E947" s="1346" t="s">
        <v>12155</v>
      </c>
      <c r="F947" s="1346" t="s">
        <v>11931</v>
      </c>
      <c r="G947" s="1345" t="s">
        <v>60</v>
      </c>
      <c r="H947" s="1345" t="s">
        <v>1734</v>
      </c>
      <c r="I947" s="1350"/>
      <c r="J947" s="1350"/>
      <c r="K947" s="1348">
        <v>1296000.0</v>
      </c>
    </row>
    <row r="948">
      <c r="A948" s="1344" t="s">
        <v>5154</v>
      </c>
      <c r="B948" s="1345" t="s">
        <v>13453</v>
      </c>
      <c r="C948" s="1346" t="s">
        <v>5154</v>
      </c>
      <c r="D948" s="1346" t="s">
        <v>1733</v>
      </c>
      <c r="E948" s="1346" t="s">
        <v>11930</v>
      </c>
      <c r="F948" s="1346" t="s">
        <v>11944</v>
      </c>
      <c r="G948" s="1345" t="s">
        <v>62</v>
      </c>
      <c r="H948" s="1345" t="s">
        <v>1734</v>
      </c>
      <c r="I948" s="1349" t="s">
        <v>1442</v>
      </c>
      <c r="J948" s="1350"/>
      <c r="K948" s="1348">
        <v>1350000.0</v>
      </c>
    </row>
    <row r="949">
      <c r="A949" s="1344" t="s">
        <v>5154</v>
      </c>
      <c r="B949" s="1345" t="s">
        <v>5154</v>
      </c>
      <c r="C949" s="1346" t="s">
        <v>13454</v>
      </c>
      <c r="D949" s="1346" t="s">
        <v>1999</v>
      </c>
      <c r="E949" s="1346" t="s">
        <v>12155</v>
      </c>
      <c r="F949" s="1346" t="s">
        <v>11931</v>
      </c>
      <c r="G949" s="1345" t="s">
        <v>60</v>
      </c>
      <c r="H949" s="1345" t="s">
        <v>2000</v>
      </c>
      <c r="I949" s="1350"/>
      <c r="J949" s="1350"/>
      <c r="K949" s="1348">
        <v>1199000.0</v>
      </c>
    </row>
    <row r="950">
      <c r="A950" s="1344" t="s">
        <v>5154</v>
      </c>
      <c r="B950" s="1345" t="s">
        <v>13455</v>
      </c>
      <c r="C950" s="1346" t="s">
        <v>5154</v>
      </c>
      <c r="D950" s="1351" t="s">
        <v>1735</v>
      </c>
      <c r="E950" s="1346" t="s">
        <v>11930</v>
      </c>
      <c r="F950" s="1346" t="s">
        <v>11944</v>
      </c>
      <c r="G950" s="1345" t="s">
        <v>62</v>
      </c>
      <c r="H950" s="1345" t="s">
        <v>1736</v>
      </c>
      <c r="I950" s="1345" t="s">
        <v>109</v>
      </c>
      <c r="J950" s="1347"/>
      <c r="K950" s="1348">
        <v>648000.0</v>
      </c>
    </row>
    <row r="951">
      <c r="A951" s="1341" t="s">
        <v>13456</v>
      </c>
      <c r="B951" s="1342" t="s">
        <v>13456</v>
      </c>
      <c r="C951" s="1343"/>
      <c r="D951" s="1343"/>
      <c r="E951" s="1343"/>
      <c r="F951" s="1343"/>
      <c r="G951" s="1343"/>
      <c r="H951" s="1342" t="s">
        <v>13456</v>
      </c>
      <c r="I951" s="1343"/>
      <c r="J951" s="1343"/>
      <c r="K951" s="1343"/>
    </row>
    <row r="952">
      <c r="A952" s="1344" t="s">
        <v>5154</v>
      </c>
      <c r="B952" s="1345" t="s">
        <v>13457</v>
      </c>
      <c r="C952" s="1346" t="s">
        <v>5154</v>
      </c>
      <c r="D952" s="1351" t="s">
        <v>1737</v>
      </c>
      <c r="E952" s="1346" t="s">
        <v>11930</v>
      </c>
      <c r="F952" s="1346" t="s">
        <v>11931</v>
      </c>
      <c r="G952" s="1345" t="s">
        <v>60</v>
      </c>
      <c r="H952" s="1345" t="s">
        <v>13458</v>
      </c>
      <c r="I952" s="1345" t="s">
        <v>137</v>
      </c>
      <c r="J952" s="1347"/>
      <c r="K952" s="1348">
        <v>1080000.0</v>
      </c>
    </row>
    <row r="953">
      <c r="A953" s="1341" t="s">
        <v>11532</v>
      </c>
      <c r="B953" s="1342" t="s">
        <v>11532</v>
      </c>
      <c r="C953" s="1343"/>
      <c r="D953" s="1343"/>
      <c r="E953" s="1343"/>
      <c r="F953" s="1343"/>
      <c r="G953" s="1343"/>
      <c r="H953" s="1342" t="s">
        <v>11532</v>
      </c>
      <c r="I953" s="1343"/>
      <c r="J953" s="1343"/>
      <c r="K953" s="1343"/>
    </row>
    <row r="954">
      <c r="A954" s="1344" t="s">
        <v>5154</v>
      </c>
      <c r="B954" s="1345" t="s">
        <v>5154</v>
      </c>
      <c r="C954" s="1346" t="s">
        <v>13459</v>
      </c>
      <c r="D954" s="1346" t="s">
        <v>13460</v>
      </c>
      <c r="E954" s="1346" t="s">
        <v>12155</v>
      </c>
      <c r="F954" s="1346" t="s">
        <v>11931</v>
      </c>
      <c r="G954" s="1345" t="s">
        <v>60</v>
      </c>
      <c r="H954" s="1345" t="s">
        <v>2005</v>
      </c>
      <c r="I954" s="1349" t="s">
        <v>109</v>
      </c>
      <c r="J954" s="1350"/>
      <c r="K954" s="1348">
        <v>700000.0</v>
      </c>
    </row>
    <row r="955">
      <c r="A955" s="1344" t="s">
        <v>5154</v>
      </c>
      <c r="B955" s="1345" t="s">
        <v>5154</v>
      </c>
      <c r="C955" s="1346" t="s">
        <v>13461</v>
      </c>
      <c r="D955" s="1351" t="s">
        <v>1986</v>
      </c>
      <c r="E955" s="1346" t="s">
        <v>12155</v>
      </c>
      <c r="F955" s="1346" t="s">
        <v>11931</v>
      </c>
      <c r="G955" s="1345" t="s">
        <v>60</v>
      </c>
      <c r="H955" s="1345" t="s">
        <v>1987</v>
      </c>
      <c r="I955" s="1349" t="s">
        <v>109</v>
      </c>
      <c r="J955" s="1350"/>
      <c r="K955" s="1348">
        <v>967000.0</v>
      </c>
    </row>
    <row r="956">
      <c r="A956" s="1344" t="s">
        <v>13462</v>
      </c>
      <c r="B956" s="1345" t="s">
        <v>13463</v>
      </c>
      <c r="C956" s="1346" t="s">
        <v>5154</v>
      </c>
      <c r="D956" s="1346" t="s">
        <v>1029</v>
      </c>
      <c r="E956" s="1346" t="s">
        <v>11940</v>
      </c>
      <c r="F956" s="1346" t="s">
        <v>11931</v>
      </c>
      <c r="G956" s="1345" t="s">
        <v>60</v>
      </c>
      <c r="H956" s="1345" t="s">
        <v>1030</v>
      </c>
      <c r="I956" s="1349" t="s">
        <v>137</v>
      </c>
      <c r="J956" s="1350"/>
      <c r="K956" s="1348">
        <v>4202000.0</v>
      </c>
    </row>
    <row r="957">
      <c r="A957" s="1344" t="s">
        <v>13464</v>
      </c>
      <c r="B957" s="1345" t="s">
        <v>5154</v>
      </c>
      <c r="C957" s="1346" t="s">
        <v>5154</v>
      </c>
      <c r="D957" s="1346" t="s">
        <v>1031</v>
      </c>
      <c r="E957" s="1346" t="s">
        <v>11943</v>
      </c>
      <c r="F957" s="1346" t="s">
        <v>11944</v>
      </c>
      <c r="G957" s="1345" t="s">
        <v>62</v>
      </c>
      <c r="H957" s="1353" t="s">
        <v>13465</v>
      </c>
      <c r="I957" s="1349" t="s">
        <v>1442</v>
      </c>
      <c r="J957" s="1350"/>
      <c r="K957" s="1348">
        <v>2785000.0</v>
      </c>
    </row>
    <row r="958">
      <c r="A958" s="1344" t="s">
        <v>13466</v>
      </c>
      <c r="B958" s="1345" t="s">
        <v>13467</v>
      </c>
      <c r="C958" s="1346" t="s">
        <v>5154</v>
      </c>
      <c r="D958" s="1346" t="s">
        <v>1032</v>
      </c>
      <c r="E958" s="1346" t="s">
        <v>11940</v>
      </c>
      <c r="F958" s="1346" t="s">
        <v>11944</v>
      </c>
      <c r="G958" s="1345" t="s">
        <v>62</v>
      </c>
      <c r="H958" s="1345" t="s">
        <v>1033</v>
      </c>
      <c r="I958" s="1349" t="s">
        <v>1442</v>
      </c>
      <c r="J958" s="1350"/>
      <c r="K958" s="1348">
        <v>2974000.0</v>
      </c>
    </row>
    <row r="959">
      <c r="A959" s="1344" t="s">
        <v>5154</v>
      </c>
      <c r="B959" s="1345" t="s">
        <v>13468</v>
      </c>
      <c r="C959" s="1346" t="s">
        <v>5154</v>
      </c>
      <c r="D959" s="1346" t="s">
        <v>1738</v>
      </c>
      <c r="E959" s="1346" t="s">
        <v>11930</v>
      </c>
      <c r="F959" s="1346" t="s">
        <v>11969</v>
      </c>
      <c r="G959" s="1345" t="s">
        <v>409</v>
      </c>
      <c r="H959" s="1345" t="s">
        <v>1030</v>
      </c>
      <c r="I959" s="1347"/>
      <c r="J959" s="1347"/>
      <c r="K959" s="1348">
        <v>408000.0</v>
      </c>
    </row>
    <row r="960">
      <c r="A960" s="1344" t="s">
        <v>5154</v>
      </c>
      <c r="B960" s="1345" t="s">
        <v>13469</v>
      </c>
      <c r="C960" s="1346" t="s">
        <v>5154</v>
      </c>
      <c r="D960" s="1346" t="s">
        <v>1739</v>
      </c>
      <c r="E960" s="1346" t="s">
        <v>11930</v>
      </c>
      <c r="F960" s="1346" t="s">
        <v>11969</v>
      </c>
      <c r="G960" s="1345" t="s">
        <v>411</v>
      </c>
      <c r="H960" s="1345" t="s">
        <v>1030</v>
      </c>
      <c r="I960" s="1347"/>
      <c r="J960" s="1347"/>
      <c r="K960" s="1348">
        <v>408000.0</v>
      </c>
    </row>
    <row r="961">
      <c r="A961" s="1344" t="s">
        <v>13470</v>
      </c>
      <c r="B961" s="1345" t="s">
        <v>13471</v>
      </c>
      <c r="C961" s="1346" t="s">
        <v>5154</v>
      </c>
      <c r="D961" s="1346" t="s">
        <v>1034</v>
      </c>
      <c r="E961" s="1346" t="s">
        <v>11940</v>
      </c>
      <c r="F961" s="1346" t="s">
        <v>11969</v>
      </c>
      <c r="G961" s="1345" t="s">
        <v>140</v>
      </c>
      <c r="H961" s="1345" t="s">
        <v>1030</v>
      </c>
      <c r="I961" s="1350"/>
      <c r="J961" s="1350"/>
      <c r="K961" s="1348">
        <v>804000.0</v>
      </c>
    </row>
    <row r="962">
      <c r="A962" s="1344" t="s">
        <v>13472</v>
      </c>
      <c r="B962" s="1345" t="s">
        <v>13473</v>
      </c>
      <c r="C962" s="1346" t="s">
        <v>5154</v>
      </c>
      <c r="D962" s="1346" t="s">
        <v>1035</v>
      </c>
      <c r="E962" s="1346" t="s">
        <v>11940</v>
      </c>
      <c r="F962" s="1346" t="s">
        <v>11969</v>
      </c>
      <c r="G962" s="1345" t="s">
        <v>142</v>
      </c>
      <c r="H962" s="1345" t="s">
        <v>1030</v>
      </c>
      <c r="I962" s="1350"/>
      <c r="J962" s="1350"/>
      <c r="K962" s="1348">
        <v>804000.0</v>
      </c>
    </row>
    <row r="963">
      <c r="A963" s="1344" t="s">
        <v>13474</v>
      </c>
      <c r="B963" s="1345" t="s">
        <v>5154</v>
      </c>
      <c r="C963" s="1346" t="s">
        <v>5154</v>
      </c>
      <c r="D963" s="1346" t="s">
        <v>1036</v>
      </c>
      <c r="E963" s="1346" t="s">
        <v>11943</v>
      </c>
      <c r="F963" s="1346" t="s">
        <v>11969</v>
      </c>
      <c r="G963" s="1345" t="s">
        <v>144</v>
      </c>
      <c r="H963" s="1345" t="s">
        <v>1030</v>
      </c>
      <c r="I963" s="1350"/>
      <c r="J963" s="1350"/>
      <c r="K963" s="1348">
        <v>966000.0</v>
      </c>
    </row>
    <row r="964">
      <c r="A964" s="1344" t="s">
        <v>13475</v>
      </c>
      <c r="B964" s="1345" t="s">
        <v>5154</v>
      </c>
      <c r="C964" s="1346" t="s">
        <v>5154</v>
      </c>
      <c r="D964" s="1346" t="s">
        <v>1037</v>
      </c>
      <c r="E964" s="1346" t="s">
        <v>11943</v>
      </c>
      <c r="F964" s="1346" t="s">
        <v>11969</v>
      </c>
      <c r="G964" s="1345" t="s">
        <v>146</v>
      </c>
      <c r="H964" s="1345" t="s">
        <v>1030</v>
      </c>
      <c r="I964" s="1350"/>
      <c r="J964" s="1350"/>
      <c r="K964" s="1348">
        <v>966000.0</v>
      </c>
    </row>
    <row r="965">
      <c r="A965" s="1344" t="s">
        <v>13476</v>
      </c>
      <c r="B965" s="1345" t="s">
        <v>5154</v>
      </c>
      <c r="C965" s="1346" t="s">
        <v>5154</v>
      </c>
      <c r="D965" s="1346" t="s">
        <v>1038</v>
      </c>
      <c r="E965" s="1346" t="s">
        <v>11943</v>
      </c>
      <c r="F965" s="1346" t="s">
        <v>11969</v>
      </c>
      <c r="G965" s="1345" t="s">
        <v>209</v>
      </c>
      <c r="H965" s="1345" t="s">
        <v>1039</v>
      </c>
      <c r="I965" s="1349" t="s">
        <v>241</v>
      </c>
      <c r="J965" s="1350"/>
      <c r="K965" s="1348">
        <v>1448000.0</v>
      </c>
    </row>
    <row r="966">
      <c r="A966" s="1344" t="s">
        <v>13477</v>
      </c>
      <c r="B966" s="1345" t="s">
        <v>5154</v>
      </c>
      <c r="C966" s="1346" t="s">
        <v>5154</v>
      </c>
      <c r="D966" s="1346" t="s">
        <v>1040</v>
      </c>
      <c r="E966" s="1346" t="s">
        <v>11943</v>
      </c>
      <c r="F966" s="1346" t="s">
        <v>11969</v>
      </c>
      <c r="G966" s="1345" t="s">
        <v>243</v>
      </c>
      <c r="H966" s="1345" t="s">
        <v>1039</v>
      </c>
      <c r="I966" s="1349" t="s">
        <v>241</v>
      </c>
      <c r="J966" s="1350"/>
      <c r="K966" s="1348">
        <v>1448000.0</v>
      </c>
    </row>
    <row r="967">
      <c r="A967" s="1344" t="s">
        <v>13478</v>
      </c>
      <c r="B967" s="1345" t="s">
        <v>5154</v>
      </c>
      <c r="C967" s="1346" t="s">
        <v>5154</v>
      </c>
      <c r="D967" s="1346" t="s">
        <v>1041</v>
      </c>
      <c r="E967" s="1346" t="s">
        <v>11943</v>
      </c>
      <c r="F967" s="1346" t="s">
        <v>11969</v>
      </c>
      <c r="G967" s="1345" t="s">
        <v>209</v>
      </c>
      <c r="H967" s="1345" t="s">
        <v>1042</v>
      </c>
      <c r="I967" s="1349" t="s">
        <v>241</v>
      </c>
      <c r="J967" s="1350"/>
      <c r="K967" s="1348">
        <v>1766000.0</v>
      </c>
    </row>
    <row r="968">
      <c r="A968" s="1344" t="s">
        <v>13479</v>
      </c>
      <c r="B968" s="1345" t="s">
        <v>5154</v>
      </c>
      <c r="C968" s="1346" t="s">
        <v>5154</v>
      </c>
      <c r="D968" s="1346" t="s">
        <v>1043</v>
      </c>
      <c r="E968" s="1346" t="s">
        <v>11943</v>
      </c>
      <c r="F968" s="1346" t="s">
        <v>11969</v>
      </c>
      <c r="G968" s="1345" t="s">
        <v>243</v>
      </c>
      <c r="H968" s="1345" t="s">
        <v>1042</v>
      </c>
      <c r="I968" s="1349" t="s">
        <v>241</v>
      </c>
      <c r="J968" s="1350"/>
      <c r="K968" s="1348">
        <v>1766000.0</v>
      </c>
    </row>
    <row r="969">
      <c r="A969" s="1344" t="s">
        <v>13480</v>
      </c>
      <c r="B969" s="1345" t="s">
        <v>5154</v>
      </c>
      <c r="C969" s="1346" t="s">
        <v>5154</v>
      </c>
      <c r="D969" s="1346" t="s">
        <v>1044</v>
      </c>
      <c r="E969" s="1346" t="s">
        <v>11943</v>
      </c>
      <c r="F969" s="1346" t="s">
        <v>11969</v>
      </c>
      <c r="G969" s="1345" t="s">
        <v>144</v>
      </c>
      <c r="H969" s="1345" t="s">
        <v>1033</v>
      </c>
      <c r="I969" s="1350"/>
      <c r="J969" s="1350"/>
      <c r="K969" s="1348">
        <v>1448000.0</v>
      </c>
    </row>
    <row r="970">
      <c r="A970" s="1344" t="s">
        <v>13481</v>
      </c>
      <c r="B970" s="1345" t="s">
        <v>5154</v>
      </c>
      <c r="C970" s="1346" t="s">
        <v>5154</v>
      </c>
      <c r="D970" s="1346" t="s">
        <v>1045</v>
      </c>
      <c r="E970" s="1346" t="s">
        <v>11943</v>
      </c>
      <c r="F970" s="1346" t="s">
        <v>11969</v>
      </c>
      <c r="G970" s="1345" t="s">
        <v>146</v>
      </c>
      <c r="H970" s="1345" t="s">
        <v>1033</v>
      </c>
      <c r="I970" s="1350"/>
      <c r="J970" s="1350"/>
      <c r="K970" s="1348">
        <v>1448000.0</v>
      </c>
    </row>
    <row r="971">
      <c r="A971" s="1344" t="s">
        <v>5154</v>
      </c>
      <c r="B971" s="1345" t="s">
        <v>13482</v>
      </c>
      <c r="C971" s="1346" t="s">
        <v>5154</v>
      </c>
      <c r="D971" s="1346" t="s">
        <v>1740</v>
      </c>
      <c r="E971" s="1346" t="s">
        <v>11930</v>
      </c>
      <c r="F971" s="1346" t="s">
        <v>11969</v>
      </c>
      <c r="G971" s="1345" t="s">
        <v>209</v>
      </c>
      <c r="H971" s="1345" t="s">
        <v>1741</v>
      </c>
      <c r="I971" s="1349" t="s">
        <v>241</v>
      </c>
      <c r="J971" s="1350"/>
      <c r="K971" s="1348">
        <v>1766000.0</v>
      </c>
    </row>
    <row r="972">
      <c r="A972" s="1344" t="s">
        <v>5154</v>
      </c>
      <c r="B972" s="1345" t="s">
        <v>13483</v>
      </c>
      <c r="C972" s="1346" t="s">
        <v>5154</v>
      </c>
      <c r="D972" s="1346" t="s">
        <v>13484</v>
      </c>
      <c r="E972" s="1346" t="s">
        <v>11930</v>
      </c>
      <c r="F972" s="1346" t="s">
        <v>11969</v>
      </c>
      <c r="G972" s="1345" t="s">
        <v>243</v>
      </c>
      <c r="H972" s="1345" t="s">
        <v>1741</v>
      </c>
      <c r="I972" s="1349" t="s">
        <v>241</v>
      </c>
      <c r="J972" s="1350"/>
      <c r="K972" s="1348">
        <v>1766000.0</v>
      </c>
    </row>
    <row r="973">
      <c r="A973" s="1344" t="s">
        <v>13485</v>
      </c>
      <c r="B973" s="1345" t="s">
        <v>13486</v>
      </c>
      <c r="C973" s="1346" t="s">
        <v>5154</v>
      </c>
      <c r="D973" s="1346" t="s">
        <v>87</v>
      </c>
      <c r="E973" s="1346" t="s">
        <v>11940</v>
      </c>
      <c r="F973" s="1346" t="s">
        <v>11931</v>
      </c>
      <c r="G973" s="1345" t="s">
        <v>60</v>
      </c>
      <c r="H973" s="1345" t="s">
        <v>88</v>
      </c>
      <c r="I973" s="1349" t="s">
        <v>90</v>
      </c>
      <c r="J973" s="1350"/>
      <c r="K973" s="1348">
        <v>4202000.0</v>
      </c>
    </row>
    <row r="974">
      <c r="A974" s="1344" t="s">
        <v>13487</v>
      </c>
      <c r="B974" s="1345" t="s">
        <v>13488</v>
      </c>
      <c r="C974" s="1346" t="s">
        <v>5154</v>
      </c>
      <c r="D974" s="1346" t="s">
        <v>1046</v>
      </c>
      <c r="E974" s="1346" t="s">
        <v>11940</v>
      </c>
      <c r="F974" s="1346" t="s">
        <v>11931</v>
      </c>
      <c r="G974" s="1345" t="s">
        <v>60</v>
      </c>
      <c r="H974" s="1345" t="s">
        <v>88</v>
      </c>
      <c r="I974" s="1349" t="s">
        <v>137</v>
      </c>
      <c r="J974" s="1350"/>
      <c r="K974" s="1348">
        <v>3757000.0</v>
      </c>
    </row>
    <row r="975">
      <c r="A975" s="1344" t="s">
        <v>13489</v>
      </c>
      <c r="B975" s="1345" t="s">
        <v>13490</v>
      </c>
      <c r="C975" s="1346" t="s">
        <v>5154</v>
      </c>
      <c r="D975" s="1346" t="s">
        <v>1053</v>
      </c>
      <c r="E975" s="1346" t="s">
        <v>11940</v>
      </c>
      <c r="F975" s="1346" t="s">
        <v>11944</v>
      </c>
      <c r="G975" s="1345" t="s">
        <v>62</v>
      </c>
      <c r="H975" s="1345" t="s">
        <v>1054</v>
      </c>
      <c r="I975" s="1349" t="s">
        <v>1442</v>
      </c>
      <c r="J975" s="1350"/>
      <c r="K975" s="1348">
        <v>2544000.0</v>
      </c>
    </row>
    <row r="976">
      <c r="A976" s="1344" t="s">
        <v>13491</v>
      </c>
      <c r="B976" s="1345" t="s">
        <v>13492</v>
      </c>
      <c r="C976" s="1346" t="s">
        <v>5154</v>
      </c>
      <c r="D976" s="1346" t="s">
        <v>1047</v>
      </c>
      <c r="E976" s="1346" t="s">
        <v>11940</v>
      </c>
      <c r="F976" s="1346" t="s">
        <v>11969</v>
      </c>
      <c r="G976" s="1345" t="s">
        <v>140</v>
      </c>
      <c r="H976" s="1345" t="s">
        <v>88</v>
      </c>
      <c r="I976" s="1350"/>
      <c r="J976" s="1350"/>
      <c r="K976" s="1348">
        <v>804000.0</v>
      </c>
    </row>
    <row r="977">
      <c r="A977" s="1344" t="s">
        <v>13493</v>
      </c>
      <c r="B977" s="1345" t="s">
        <v>5154</v>
      </c>
      <c r="C977" s="1346" t="s">
        <v>5154</v>
      </c>
      <c r="D977" s="1346" t="s">
        <v>1048</v>
      </c>
      <c r="E977" s="1346" t="s">
        <v>11943</v>
      </c>
      <c r="F977" s="1346" t="s">
        <v>11969</v>
      </c>
      <c r="G977" s="1345" t="s">
        <v>142</v>
      </c>
      <c r="H977" s="1345" t="s">
        <v>88</v>
      </c>
      <c r="I977" s="1350"/>
      <c r="J977" s="1350"/>
      <c r="K977" s="1348">
        <v>804000.0</v>
      </c>
    </row>
    <row r="978">
      <c r="A978" s="1344" t="s">
        <v>5154</v>
      </c>
      <c r="B978" s="1345" t="s">
        <v>13494</v>
      </c>
      <c r="C978" s="1346" t="s">
        <v>5154</v>
      </c>
      <c r="D978" s="1346" t="s">
        <v>1660</v>
      </c>
      <c r="E978" s="1346" t="s">
        <v>11930</v>
      </c>
      <c r="F978" s="1346" t="s">
        <v>11969</v>
      </c>
      <c r="G978" s="1345" t="s">
        <v>409</v>
      </c>
      <c r="H978" s="1345" t="s">
        <v>88</v>
      </c>
      <c r="I978" s="1347"/>
      <c r="J978" s="1347"/>
      <c r="K978" s="1348">
        <v>466000.0</v>
      </c>
    </row>
    <row r="979">
      <c r="A979" s="1344" t="s">
        <v>5154</v>
      </c>
      <c r="B979" s="1345" t="s">
        <v>13495</v>
      </c>
      <c r="C979" s="1346" t="s">
        <v>5154</v>
      </c>
      <c r="D979" s="1346" t="s">
        <v>1745</v>
      </c>
      <c r="E979" s="1346" t="s">
        <v>11930</v>
      </c>
      <c r="F979" s="1346" t="s">
        <v>11969</v>
      </c>
      <c r="G979" s="1345" t="s">
        <v>411</v>
      </c>
      <c r="H979" s="1345" t="s">
        <v>88</v>
      </c>
      <c r="I979" s="1347"/>
      <c r="J979" s="1347"/>
      <c r="K979" s="1348">
        <v>466000.0</v>
      </c>
    </row>
    <row r="980">
      <c r="A980" s="1344" t="s">
        <v>13496</v>
      </c>
      <c r="B980" s="1345" t="s">
        <v>5154</v>
      </c>
      <c r="C980" s="1346" t="s">
        <v>5154</v>
      </c>
      <c r="D980" s="1346" t="s">
        <v>1049</v>
      </c>
      <c r="E980" s="1346" t="s">
        <v>11943</v>
      </c>
      <c r="F980" s="1346" t="s">
        <v>11969</v>
      </c>
      <c r="G980" s="1345" t="s">
        <v>209</v>
      </c>
      <c r="H980" s="1345" t="s">
        <v>88</v>
      </c>
      <c r="I980" s="1349" t="s">
        <v>241</v>
      </c>
      <c r="J980" s="1350"/>
      <c r="K980" s="1348">
        <v>1448000.0</v>
      </c>
    </row>
    <row r="981">
      <c r="A981" s="1344" t="s">
        <v>13497</v>
      </c>
      <c r="B981" s="1345" t="s">
        <v>5154</v>
      </c>
      <c r="C981" s="1346" t="s">
        <v>5154</v>
      </c>
      <c r="D981" s="1346" t="s">
        <v>1050</v>
      </c>
      <c r="E981" s="1346" t="s">
        <v>11943</v>
      </c>
      <c r="F981" s="1346" t="s">
        <v>11969</v>
      </c>
      <c r="G981" s="1345" t="s">
        <v>243</v>
      </c>
      <c r="H981" s="1345" t="s">
        <v>88</v>
      </c>
      <c r="I981" s="1349" t="s">
        <v>241</v>
      </c>
      <c r="J981" s="1350"/>
      <c r="K981" s="1348">
        <v>1448000.0</v>
      </c>
    </row>
    <row r="982">
      <c r="A982" s="1344" t="s">
        <v>13498</v>
      </c>
      <c r="B982" s="1345" t="s">
        <v>13499</v>
      </c>
      <c r="C982" s="1346" t="s">
        <v>5154</v>
      </c>
      <c r="D982" s="1346" t="s">
        <v>1051</v>
      </c>
      <c r="E982" s="1346" t="s">
        <v>11940</v>
      </c>
      <c r="F982" s="1346" t="s">
        <v>11969</v>
      </c>
      <c r="G982" s="1345" t="s">
        <v>144</v>
      </c>
      <c r="H982" s="1345" t="s">
        <v>88</v>
      </c>
      <c r="I982" s="1350"/>
      <c r="J982" s="1350"/>
      <c r="K982" s="1348">
        <v>966000.0</v>
      </c>
    </row>
    <row r="983">
      <c r="A983" s="1344" t="s">
        <v>13500</v>
      </c>
      <c r="B983" s="1345" t="s">
        <v>13501</v>
      </c>
      <c r="C983" s="1346" t="s">
        <v>5154</v>
      </c>
      <c r="D983" s="1346" t="s">
        <v>1052</v>
      </c>
      <c r="E983" s="1346" t="s">
        <v>11940</v>
      </c>
      <c r="F983" s="1346" t="s">
        <v>11969</v>
      </c>
      <c r="G983" s="1345" t="s">
        <v>146</v>
      </c>
      <c r="H983" s="1345" t="s">
        <v>88</v>
      </c>
      <c r="I983" s="1350"/>
      <c r="J983" s="1350"/>
      <c r="K983" s="1348">
        <v>966000.0</v>
      </c>
    </row>
    <row r="984">
      <c r="A984" s="1344" t="s">
        <v>13502</v>
      </c>
      <c r="B984" s="1345" t="s">
        <v>13503</v>
      </c>
      <c r="C984" s="1346" t="s">
        <v>5154</v>
      </c>
      <c r="D984" s="1346" t="s">
        <v>1055</v>
      </c>
      <c r="E984" s="1346" t="s">
        <v>11940</v>
      </c>
      <c r="F984" s="1346" t="s">
        <v>11969</v>
      </c>
      <c r="G984" s="1345" t="s">
        <v>209</v>
      </c>
      <c r="H984" s="1345" t="s">
        <v>1054</v>
      </c>
      <c r="I984" s="1349" t="s">
        <v>241</v>
      </c>
      <c r="J984" s="1350"/>
      <c r="K984" s="1348">
        <v>1766000.0</v>
      </c>
    </row>
    <row r="985">
      <c r="A985" s="1344" t="s">
        <v>13504</v>
      </c>
      <c r="B985" s="1345" t="s">
        <v>13505</v>
      </c>
      <c r="C985" s="1346" t="s">
        <v>5154</v>
      </c>
      <c r="D985" s="1346" t="s">
        <v>1056</v>
      </c>
      <c r="E985" s="1346" t="s">
        <v>11940</v>
      </c>
      <c r="F985" s="1346" t="s">
        <v>11969</v>
      </c>
      <c r="G985" s="1345" t="s">
        <v>243</v>
      </c>
      <c r="H985" s="1345" t="s">
        <v>1054</v>
      </c>
      <c r="I985" s="1349" t="s">
        <v>241</v>
      </c>
      <c r="J985" s="1350"/>
      <c r="K985" s="1348">
        <v>1766000.0</v>
      </c>
    </row>
    <row r="986">
      <c r="A986" s="1344" t="s">
        <v>13506</v>
      </c>
      <c r="B986" s="1345" t="s">
        <v>13507</v>
      </c>
      <c r="C986" s="1346" t="s">
        <v>5154</v>
      </c>
      <c r="D986" s="1346" t="s">
        <v>1071</v>
      </c>
      <c r="E986" s="1346" t="s">
        <v>11940</v>
      </c>
      <c r="F986" s="1346" t="s">
        <v>11931</v>
      </c>
      <c r="G986" s="1345" t="s">
        <v>60</v>
      </c>
      <c r="H986" s="1345" t="s">
        <v>1072</v>
      </c>
      <c r="I986" s="1349" t="s">
        <v>90</v>
      </c>
      <c r="J986" s="1350"/>
      <c r="K986" s="1348">
        <v>3268000.0</v>
      </c>
    </row>
    <row r="987">
      <c r="A987" s="1344" t="s">
        <v>13508</v>
      </c>
      <c r="B987" s="1345" t="s">
        <v>13509</v>
      </c>
      <c r="C987" s="1346" t="s">
        <v>5154</v>
      </c>
      <c r="D987" s="1346" t="s">
        <v>1067</v>
      </c>
      <c r="E987" s="1346" t="s">
        <v>11940</v>
      </c>
      <c r="F987" s="1346" t="s">
        <v>11944</v>
      </c>
      <c r="G987" s="1345" t="s">
        <v>62</v>
      </c>
      <c r="H987" s="1345" t="s">
        <v>1068</v>
      </c>
      <c r="I987" s="1349" t="s">
        <v>1442</v>
      </c>
      <c r="J987" s="1350"/>
      <c r="K987" s="1348">
        <v>2570000.0</v>
      </c>
    </row>
    <row r="988">
      <c r="A988" s="1344" t="s">
        <v>13510</v>
      </c>
      <c r="B988" s="1345" t="s">
        <v>5154</v>
      </c>
      <c r="C988" s="1346" t="s">
        <v>5154</v>
      </c>
      <c r="D988" s="1346" t="s">
        <v>1069</v>
      </c>
      <c r="E988" s="1346" t="s">
        <v>11943</v>
      </c>
      <c r="F988" s="1346" t="s">
        <v>11944</v>
      </c>
      <c r="G988" s="1345" t="s">
        <v>62</v>
      </c>
      <c r="H988" s="1353" t="s">
        <v>13511</v>
      </c>
      <c r="I988" s="1349" t="s">
        <v>1442</v>
      </c>
      <c r="J988" s="1350"/>
      <c r="K988" s="1348">
        <v>2142000.0</v>
      </c>
    </row>
    <row r="989">
      <c r="A989" s="1344" t="s">
        <v>13512</v>
      </c>
      <c r="B989" s="1345" t="s">
        <v>13513</v>
      </c>
      <c r="C989" s="1346" t="s">
        <v>5154</v>
      </c>
      <c r="D989" s="1346" t="s">
        <v>1057</v>
      </c>
      <c r="E989" s="1346" t="s">
        <v>11943</v>
      </c>
      <c r="F989" s="1346" t="s">
        <v>11969</v>
      </c>
      <c r="G989" s="1345" t="s">
        <v>140</v>
      </c>
      <c r="H989" s="1345" t="s">
        <v>1058</v>
      </c>
      <c r="I989" s="1350"/>
      <c r="J989" s="1350"/>
      <c r="K989" s="1348">
        <v>804000.0</v>
      </c>
    </row>
    <row r="990">
      <c r="A990" s="1344" t="s">
        <v>13514</v>
      </c>
      <c r="B990" s="1345" t="s">
        <v>13515</v>
      </c>
      <c r="C990" s="1346" t="s">
        <v>5154</v>
      </c>
      <c r="D990" s="1346" t="s">
        <v>1059</v>
      </c>
      <c r="E990" s="1346" t="s">
        <v>11943</v>
      </c>
      <c r="F990" s="1346" t="s">
        <v>11969</v>
      </c>
      <c r="G990" s="1345" t="s">
        <v>142</v>
      </c>
      <c r="H990" s="1345" t="s">
        <v>1058</v>
      </c>
      <c r="I990" s="1350"/>
      <c r="J990" s="1350"/>
      <c r="K990" s="1348">
        <v>804000.0</v>
      </c>
    </row>
    <row r="991">
      <c r="A991" s="1344" t="s">
        <v>13516</v>
      </c>
      <c r="B991" s="1345" t="s">
        <v>13517</v>
      </c>
      <c r="C991" s="1346" t="s">
        <v>5154</v>
      </c>
      <c r="D991" s="1346" t="s">
        <v>1060</v>
      </c>
      <c r="E991" s="1346" t="s">
        <v>11943</v>
      </c>
      <c r="F991" s="1346" t="s">
        <v>11969</v>
      </c>
      <c r="G991" s="1345" t="s">
        <v>144</v>
      </c>
      <c r="H991" s="1345" t="s">
        <v>1058</v>
      </c>
      <c r="I991" s="1350"/>
      <c r="J991" s="1350"/>
      <c r="K991" s="1348">
        <v>966000.0</v>
      </c>
    </row>
    <row r="992">
      <c r="A992" s="1344" t="s">
        <v>13518</v>
      </c>
      <c r="B992" s="1345" t="s">
        <v>13519</v>
      </c>
      <c r="C992" s="1346" t="s">
        <v>5154</v>
      </c>
      <c r="D992" s="1346" t="s">
        <v>1061</v>
      </c>
      <c r="E992" s="1346" t="s">
        <v>11943</v>
      </c>
      <c r="F992" s="1346" t="s">
        <v>11969</v>
      </c>
      <c r="G992" s="1345" t="s">
        <v>146</v>
      </c>
      <c r="H992" s="1345" t="s">
        <v>1058</v>
      </c>
      <c r="I992" s="1350"/>
      <c r="J992" s="1350"/>
      <c r="K992" s="1348">
        <v>966000.0</v>
      </c>
    </row>
    <row r="993">
      <c r="A993" s="1344" t="s">
        <v>13520</v>
      </c>
      <c r="B993" s="1345" t="s">
        <v>5154</v>
      </c>
      <c r="C993" s="1346" t="s">
        <v>5154</v>
      </c>
      <c r="D993" s="1346" t="s">
        <v>1062</v>
      </c>
      <c r="E993" s="1346" t="s">
        <v>11943</v>
      </c>
      <c r="F993" s="1346" t="s">
        <v>11969</v>
      </c>
      <c r="G993" s="1345" t="s">
        <v>209</v>
      </c>
      <c r="H993" s="1345" t="s">
        <v>1058</v>
      </c>
      <c r="I993" s="1349" t="s">
        <v>241</v>
      </c>
      <c r="J993" s="1350"/>
      <c r="K993" s="1348">
        <v>1448000.0</v>
      </c>
    </row>
    <row r="994">
      <c r="A994" s="1344" t="s">
        <v>13521</v>
      </c>
      <c r="B994" s="1345" t="s">
        <v>5154</v>
      </c>
      <c r="C994" s="1346" t="s">
        <v>5154</v>
      </c>
      <c r="D994" s="1346" t="s">
        <v>1063</v>
      </c>
      <c r="E994" s="1346" t="s">
        <v>11943</v>
      </c>
      <c r="F994" s="1346" t="s">
        <v>11969</v>
      </c>
      <c r="G994" s="1345" t="s">
        <v>243</v>
      </c>
      <c r="H994" s="1345" t="s">
        <v>1058</v>
      </c>
      <c r="I994" s="1349" t="s">
        <v>241</v>
      </c>
      <c r="J994" s="1350"/>
      <c r="K994" s="1348">
        <v>1448000.0</v>
      </c>
    </row>
    <row r="995">
      <c r="A995" s="1344" t="s">
        <v>13522</v>
      </c>
      <c r="B995" s="1345" t="s">
        <v>5154</v>
      </c>
      <c r="C995" s="1346" t="s">
        <v>5154</v>
      </c>
      <c r="D995" s="1346" t="s">
        <v>1064</v>
      </c>
      <c r="E995" s="1346" t="s">
        <v>11943</v>
      </c>
      <c r="F995" s="1346" t="s">
        <v>11969</v>
      </c>
      <c r="G995" s="1345" t="s">
        <v>144</v>
      </c>
      <c r="H995" s="1345" t="s">
        <v>1065</v>
      </c>
      <c r="I995" s="1350"/>
      <c r="J995" s="1350"/>
      <c r="K995" s="1348">
        <v>1448000.0</v>
      </c>
    </row>
    <row r="996">
      <c r="A996" s="1344" t="s">
        <v>13523</v>
      </c>
      <c r="B996" s="1345" t="s">
        <v>5154</v>
      </c>
      <c r="C996" s="1346" t="s">
        <v>5154</v>
      </c>
      <c r="D996" s="1346" t="s">
        <v>1066</v>
      </c>
      <c r="E996" s="1346" t="s">
        <v>11943</v>
      </c>
      <c r="F996" s="1346" t="s">
        <v>11969</v>
      </c>
      <c r="G996" s="1345" t="s">
        <v>146</v>
      </c>
      <c r="H996" s="1345" t="s">
        <v>1065</v>
      </c>
      <c r="I996" s="1350"/>
      <c r="J996" s="1350"/>
      <c r="K996" s="1348">
        <v>1448000.0</v>
      </c>
    </row>
    <row r="997">
      <c r="A997" s="1344" t="s">
        <v>5154</v>
      </c>
      <c r="B997" s="1345" t="s">
        <v>13524</v>
      </c>
      <c r="C997" s="1346" t="s">
        <v>5154</v>
      </c>
      <c r="D997" s="1346" t="s">
        <v>1746</v>
      </c>
      <c r="E997" s="1346" t="s">
        <v>11930</v>
      </c>
      <c r="F997" s="1346" t="s">
        <v>11969</v>
      </c>
      <c r="G997" s="1345" t="s">
        <v>209</v>
      </c>
      <c r="H997" s="1345" t="s">
        <v>1065</v>
      </c>
      <c r="I997" s="1349" t="s">
        <v>1747</v>
      </c>
      <c r="J997" s="1350"/>
      <c r="K997" s="1348">
        <v>3179000.0</v>
      </c>
    </row>
    <row r="998">
      <c r="A998" s="1344" t="s">
        <v>5154</v>
      </c>
      <c r="B998" s="1345" t="s">
        <v>13525</v>
      </c>
      <c r="C998" s="1346" t="s">
        <v>5154</v>
      </c>
      <c r="D998" s="1346" t="s">
        <v>1748</v>
      </c>
      <c r="E998" s="1346" t="s">
        <v>11930</v>
      </c>
      <c r="F998" s="1346" t="s">
        <v>11969</v>
      </c>
      <c r="G998" s="1345" t="s">
        <v>243</v>
      </c>
      <c r="H998" s="1345" t="s">
        <v>1065</v>
      </c>
      <c r="I998" s="1349" t="s">
        <v>1747</v>
      </c>
      <c r="J998" s="1350"/>
      <c r="K998" s="1348">
        <v>3179000.0</v>
      </c>
    </row>
    <row r="999">
      <c r="A999" s="1344" t="s">
        <v>5154</v>
      </c>
      <c r="B999" s="1345" t="s">
        <v>13526</v>
      </c>
      <c r="C999" s="1346" t="s">
        <v>5154</v>
      </c>
      <c r="D999" s="1346" t="s">
        <v>1782</v>
      </c>
      <c r="E999" s="1346" t="s">
        <v>11930</v>
      </c>
      <c r="F999" s="1346" t="s">
        <v>11931</v>
      </c>
      <c r="G999" s="1345" t="s">
        <v>60</v>
      </c>
      <c r="H999" s="1345" t="s">
        <v>1783</v>
      </c>
      <c r="I999" s="1345" t="s">
        <v>137</v>
      </c>
      <c r="J999" s="1347"/>
      <c r="K999" s="1348">
        <v>3361000.0</v>
      </c>
    </row>
    <row r="1000">
      <c r="A1000" s="1344" t="s">
        <v>5154</v>
      </c>
      <c r="B1000" s="1345" t="s">
        <v>13527</v>
      </c>
      <c r="C1000" s="1346" t="s">
        <v>5154</v>
      </c>
      <c r="D1000" s="1346" t="s">
        <v>1784</v>
      </c>
      <c r="E1000" s="1346" t="s">
        <v>11930</v>
      </c>
      <c r="F1000" s="1346" t="s">
        <v>11931</v>
      </c>
      <c r="G1000" s="1345" t="s">
        <v>60</v>
      </c>
      <c r="H1000" s="1345" t="s">
        <v>1785</v>
      </c>
      <c r="I1000" s="1345" t="s">
        <v>90</v>
      </c>
      <c r="J1000" s="1347"/>
      <c r="K1000" s="1348">
        <v>3361000.0</v>
      </c>
    </row>
    <row r="1001">
      <c r="A1001" s="1344" t="s">
        <v>5154</v>
      </c>
      <c r="B1001" s="1345" t="s">
        <v>13528</v>
      </c>
      <c r="C1001" s="1346" t="s">
        <v>5154</v>
      </c>
      <c r="D1001" s="1346" t="s">
        <v>1750</v>
      </c>
      <c r="E1001" s="1346" t="s">
        <v>11930</v>
      </c>
      <c r="F1001" s="1346" t="s">
        <v>11931</v>
      </c>
      <c r="G1001" s="1345" t="s">
        <v>60</v>
      </c>
      <c r="H1001" s="1345" t="s">
        <v>1751</v>
      </c>
      <c r="I1001" s="1345" t="s">
        <v>1752</v>
      </c>
      <c r="J1001" s="1347"/>
      <c r="K1001" s="1348">
        <v>4142000.0</v>
      </c>
    </row>
    <row r="1002">
      <c r="A1002" s="1344" t="s">
        <v>5154</v>
      </c>
      <c r="B1002" s="1345" t="s">
        <v>13529</v>
      </c>
      <c r="C1002" s="1346" t="s">
        <v>5154</v>
      </c>
      <c r="D1002" s="1346" t="s">
        <v>1753</v>
      </c>
      <c r="E1002" s="1346" t="s">
        <v>11930</v>
      </c>
      <c r="F1002" s="1346" t="s">
        <v>11944</v>
      </c>
      <c r="G1002" s="1345" t="s">
        <v>62</v>
      </c>
      <c r="H1002" s="1345" t="s">
        <v>1754</v>
      </c>
      <c r="I1002" s="1349" t="s">
        <v>1442</v>
      </c>
      <c r="J1002" s="1350"/>
      <c r="K1002" s="1348">
        <v>2943000.0</v>
      </c>
    </row>
    <row r="1003">
      <c r="A1003" s="1344" t="s">
        <v>13530</v>
      </c>
      <c r="B1003" s="1345" t="s">
        <v>13531</v>
      </c>
      <c r="C1003" s="1346" t="s">
        <v>5154</v>
      </c>
      <c r="D1003" s="1346" t="s">
        <v>1073</v>
      </c>
      <c r="E1003" s="1346" t="s">
        <v>11940</v>
      </c>
      <c r="F1003" s="1346" t="s">
        <v>11931</v>
      </c>
      <c r="G1003" s="1345" t="s">
        <v>60</v>
      </c>
      <c r="H1003" s="1345" t="s">
        <v>13532</v>
      </c>
      <c r="I1003" s="1349" t="s">
        <v>109</v>
      </c>
      <c r="J1003" s="1350"/>
      <c r="K1003" s="1348">
        <v>1827000.0</v>
      </c>
    </row>
    <row r="1004">
      <c r="A1004" s="1344" t="s">
        <v>13533</v>
      </c>
      <c r="B1004" s="1345" t="s">
        <v>13534</v>
      </c>
      <c r="C1004" s="1346" t="s">
        <v>5154</v>
      </c>
      <c r="D1004" s="1346" t="s">
        <v>1075</v>
      </c>
      <c r="E1004" s="1346" t="s">
        <v>11940</v>
      </c>
      <c r="F1004" s="1346" t="s">
        <v>11944</v>
      </c>
      <c r="G1004" s="1345" t="s">
        <v>62</v>
      </c>
      <c r="H1004" s="1345" t="s">
        <v>13532</v>
      </c>
      <c r="I1004" s="1349" t="s">
        <v>1442</v>
      </c>
      <c r="J1004" s="1350"/>
      <c r="K1004" s="1348">
        <v>1500000.0</v>
      </c>
    </row>
    <row r="1005">
      <c r="A1005" s="1344" t="s">
        <v>13535</v>
      </c>
      <c r="B1005" s="1345" t="s">
        <v>13536</v>
      </c>
      <c r="C1005" s="1346" t="s">
        <v>5154</v>
      </c>
      <c r="D1005" s="1346" t="s">
        <v>1076</v>
      </c>
      <c r="E1005" s="1346" t="s">
        <v>11940</v>
      </c>
      <c r="F1005" s="1346" t="s">
        <v>11931</v>
      </c>
      <c r="G1005" s="1345" t="s">
        <v>60</v>
      </c>
      <c r="H1005" s="1345" t="s">
        <v>1077</v>
      </c>
      <c r="I1005" s="1349" t="s">
        <v>137</v>
      </c>
      <c r="J1005" s="1350"/>
      <c r="K1005" s="1348">
        <v>1828000.0</v>
      </c>
    </row>
    <row r="1006">
      <c r="A1006" s="1344" t="s">
        <v>13537</v>
      </c>
      <c r="B1006" s="1345" t="s">
        <v>13538</v>
      </c>
      <c r="C1006" s="1346" t="s">
        <v>5154</v>
      </c>
      <c r="D1006" s="1346" t="s">
        <v>1078</v>
      </c>
      <c r="E1006" s="1346" t="s">
        <v>11940</v>
      </c>
      <c r="F1006" s="1346" t="s">
        <v>11931</v>
      </c>
      <c r="G1006" s="1345" t="s">
        <v>60</v>
      </c>
      <c r="H1006" s="1345" t="s">
        <v>1079</v>
      </c>
      <c r="I1006" s="1349" t="s">
        <v>90</v>
      </c>
      <c r="J1006" s="1350"/>
      <c r="K1006" s="1348">
        <v>2000000.0</v>
      </c>
    </row>
    <row r="1007">
      <c r="A1007" s="1344" t="s">
        <v>13539</v>
      </c>
      <c r="B1007" s="1345" t="s">
        <v>13540</v>
      </c>
      <c r="C1007" s="1346" t="s">
        <v>5154</v>
      </c>
      <c r="D1007" s="1346" t="s">
        <v>1080</v>
      </c>
      <c r="E1007" s="1346" t="s">
        <v>11940</v>
      </c>
      <c r="F1007" s="1346" t="s">
        <v>11944</v>
      </c>
      <c r="G1007" s="1345" t="s">
        <v>62</v>
      </c>
      <c r="H1007" s="1345" t="s">
        <v>1079</v>
      </c>
      <c r="I1007" s="1349" t="s">
        <v>12981</v>
      </c>
      <c r="J1007" s="1350"/>
      <c r="K1007" s="1348">
        <v>2785000.0</v>
      </c>
    </row>
    <row r="1008">
      <c r="A1008" s="1344" t="s">
        <v>13541</v>
      </c>
      <c r="B1008" s="1345" t="s">
        <v>13542</v>
      </c>
      <c r="C1008" s="1346" t="s">
        <v>5154</v>
      </c>
      <c r="D1008" s="1346" t="s">
        <v>1082</v>
      </c>
      <c r="E1008" s="1346" t="s">
        <v>11940</v>
      </c>
      <c r="F1008" s="1346" t="s">
        <v>11969</v>
      </c>
      <c r="G1008" s="1345" t="s">
        <v>140</v>
      </c>
      <c r="H1008" s="1345" t="s">
        <v>1079</v>
      </c>
      <c r="I1008" s="1349" t="s">
        <v>406</v>
      </c>
      <c r="J1008" s="1350"/>
      <c r="K1008" s="1348">
        <v>644000.0</v>
      </c>
    </row>
    <row r="1009">
      <c r="A1009" s="1344" t="s">
        <v>13543</v>
      </c>
      <c r="B1009" s="1345" t="s">
        <v>13544</v>
      </c>
      <c r="C1009" s="1346" t="s">
        <v>5154</v>
      </c>
      <c r="D1009" s="1346" t="s">
        <v>1083</v>
      </c>
      <c r="E1009" s="1346" t="s">
        <v>11940</v>
      </c>
      <c r="F1009" s="1346" t="s">
        <v>11969</v>
      </c>
      <c r="G1009" s="1345" t="s">
        <v>142</v>
      </c>
      <c r="H1009" s="1345" t="s">
        <v>1079</v>
      </c>
      <c r="I1009" s="1349" t="s">
        <v>406</v>
      </c>
      <c r="J1009" s="1350"/>
      <c r="K1009" s="1348">
        <v>644000.0</v>
      </c>
    </row>
    <row r="1010">
      <c r="A1010" s="1344" t="s">
        <v>13545</v>
      </c>
      <c r="B1010" s="1345" t="s">
        <v>13546</v>
      </c>
      <c r="C1010" s="1346" t="s">
        <v>5154</v>
      </c>
      <c r="D1010" s="1346" t="s">
        <v>1084</v>
      </c>
      <c r="E1010" s="1346" t="s">
        <v>11940</v>
      </c>
      <c r="F1010" s="1346" t="s">
        <v>11969</v>
      </c>
      <c r="G1010" s="1345" t="s">
        <v>144</v>
      </c>
      <c r="H1010" s="1345" t="s">
        <v>1079</v>
      </c>
      <c r="I1010" s="1350"/>
      <c r="J1010" s="1350"/>
      <c r="K1010" s="1348">
        <v>564000.0</v>
      </c>
    </row>
    <row r="1011">
      <c r="A1011" s="1344" t="s">
        <v>13547</v>
      </c>
      <c r="B1011" s="1345" t="s">
        <v>13548</v>
      </c>
      <c r="C1011" s="1346" t="s">
        <v>5154</v>
      </c>
      <c r="D1011" s="1346" t="s">
        <v>1085</v>
      </c>
      <c r="E1011" s="1346" t="s">
        <v>11940</v>
      </c>
      <c r="F1011" s="1346" t="s">
        <v>11969</v>
      </c>
      <c r="G1011" s="1345" t="s">
        <v>146</v>
      </c>
      <c r="H1011" s="1345" t="s">
        <v>1079</v>
      </c>
      <c r="I1011" s="1350"/>
      <c r="J1011" s="1350"/>
      <c r="K1011" s="1348">
        <v>564000.0</v>
      </c>
    </row>
    <row r="1012">
      <c r="A1012" s="1344" t="s">
        <v>13549</v>
      </c>
      <c r="B1012" s="1345" t="s">
        <v>5154</v>
      </c>
      <c r="C1012" s="1346" t="s">
        <v>5154</v>
      </c>
      <c r="D1012" s="1346" t="s">
        <v>1086</v>
      </c>
      <c r="E1012" s="1346" t="s">
        <v>11943</v>
      </c>
      <c r="F1012" s="1346" t="s">
        <v>11969</v>
      </c>
      <c r="G1012" s="1345" t="s">
        <v>396</v>
      </c>
      <c r="H1012" s="1345" t="s">
        <v>1079</v>
      </c>
      <c r="I1012" s="1350"/>
      <c r="J1012" s="1350"/>
      <c r="K1012" s="1348">
        <v>291000.0</v>
      </c>
    </row>
    <row r="1013">
      <c r="A1013" s="1344" t="s">
        <v>13550</v>
      </c>
      <c r="B1013" s="1345" t="s">
        <v>5154</v>
      </c>
      <c r="C1013" s="1346" t="s">
        <v>5154</v>
      </c>
      <c r="D1013" s="1346" t="s">
        <v>1087</v>
      </c>
      <c r="E1013" s="1346" t="s">
        <v>11943</v>
      </c>
      <c r="F1013" s="1346" t="s">
        <v>11969</v>
      </c>
      <c r="G1013" s="1345" t="s">
        <v>398</v>
      </c>
      <c r="H1013" s="1345" t="s">
        <v>1079</v>
      </c>
      <c r="I1013" s="1350"/>
      <c r="J1013" s="1350"/>
      <c r="K1013" s="1348">
        <v>291000.0</v>
      </c>
    </row>
    <row r="1014">
      <c r="A1014" s="1344" t="s">
        <v>13551</v>
      </c>
      <c r="B1014" s="1345" t="s">
        <v>13552</v>
      </c>
      <c r="C1014" s="1346" t="s">
        <v>5154</v>
      </c>
      <c r="D1014" s="1346" t="s">
        <v>1088</v>
      </c>
      <c r="E1014" s="1346" t="s">
        <v>11940</v>
      </c>
      <c r="F1014" s="1346" t="s">
        <v>11931</v>
      </c>
      <c r="G1014" s="1345" t="s">
        <v>60</v>
      </c>
      <c r="H1014" s="1345" t="s">
        <v>1089</v>
      </c>
      <c r="I1014" s="1349" t="s">
        <v>90</v>
      </c>
      <c r="J1014" s="1350"/>
      <c r="K1014" s="1348">
        <v>1848000.0</v>
      </c>
    </row>
    <row r="1015">
      <c r="A1015" s="1344" t="s">
        <v>13553</v>
      </c>
      <c r="B1015" s="1345" t="s">
        <v>13554</v>
      </c>
      <c r="C1015" s="1346" t="s">
        <v>5154</v>
      </c>
      <c r="D1015" s="1346" t="s">
        <v>1090</v>
      </c>
      <c r="E1015" s="1346" t="s">
        <v>11940</v>
      </c>
      <c r="F1015" s="1346" t="s">
        <v>11944</v>
      </c>
      <c r="G1015" s="1345" t="s">
        <v>62</v>
      </c>
      <c r="H1015" s="1345" t="s">
        <v>1089</v>
      </c>
      <c r="I1015" s="1349" t="s">
        <v>1509</v>
      </c>
      <c r="J1015" s="1350"/>
      <c r="K1015" s="1348">
        <v>2785000.0</v>
      </c>
    </row>
    <row r="1016">
      <c r="A1016" s="1344" t="s">
        <v>13555</v>
      </c>
      <c r="B1016" s="1345" t="s">
        <v>5154</v>
      </c>
      <c r="C1016" s="1346" t="s">
        <v>5154</v>
      </c>
      <c r="D1016" s="1346" t="s">
        <v>1091</v>
      </c>
      <c r="E1016" s="1346" t="s">
        <v>11943</v>
      </c>
      <c r="F1016" s="1346" t="s">
        <v>11969</v>
      </c>
      <c r="G1016" s="1345" t="s">
        <v>140</v>
      </c>
      <c r="H1016" s="1345" t="s">
        <v>1089</v>
      </c>
      <c r="I1016" s="1350"/>
      <c r="J1016" s="1350"/>
      <c r="K1016" s="1348">
        <v>644000.0</v>
      </c>
    </row>
    <row r="1017">
      <c r="A1017" s="1344" t="s">
        <v>13556</v>
      </c>
      <c r="B1017" s="1345" t="s">
        <v>13557</v>
      </c>
      <c r="C1017" s="1346" t="s">
        <v>5154</v>
      </c>
      <c r="D1017" s="1346" t="s">
        <v>1092</v>
      </c>
      <c r="E1017" s="1346" t="s">
        <v>11943</v>
      </c>
      <c r="F1017" s="1346" t="s">
        <v>11969</v>
      </c>
      <c r="G1017" s="1345" t="s">
        <v>142</v>
      </c>
      <c r="H1017" s="1345" t="s">
        <v>1089</v>
      </c>
      <c r="I1017" s="1350"/>
      <c r="J1017" s="1350"/>
      <c r="K1017" s="1348">
        <v>644000.0</v>
      </c>
    </row>
    <row r="1018">
      <c r="A1018" s="1344" t="s">
        <v>13558</v>
      </c>
      <c r="B1018" s="1345" t="s">
        <v>13559</v>
      </c>
      <c r="C1018" s="1346" t="s">
        <v>5154</v>
      </c>
      <c r="D1018" s="1346" t="s">
        <v>1093</v>
      </c>
      <c r="E1018" s="1346" t="s">
        <v>11943</v>
      </c>
      <c r="F1018" s="1346" t="s">
        <v>11969</v>
      </c>
      <c r="G1018" s="1345" t="s">
        <v>144</v>
      </c>
      <c r="H1018" s="1345" t="s">
        <v>1089</v>
      </c>
      <c r="I1018" s="1350"/>
      <c r="J1018" s="1350"/>
      <c r="K1018" s="1348">
        <v>564000.0</v>
      </c>
    </row>
    <row r="1019">
      <c r="A1019" s="1344" t="s">
        <v>13560</v>
      </c>
      <c r="B1019" s="1345" t="s">
        <v>13561</v>
      </c>
      <c r="C1019" s="1346" t="s">
        <v>5154</v>
      </c>
      <c r="D1019" s="1346" t="s">
        <v>1094</v>
      </c>
      <c r="E1019" s="1346" t="s">
        <v>11943</v>
      </c>
      <c r="F1019" s="1346" t="s">
        <v>11969</v>
      </c>
      <c r="G1019" s="1345" t="s">
        <v>146</v>
      </c>
      <c r="H1019" s="1345" t="s">
        <v>1089</v>
      </c>
      <c r="I1019" s="1350"/>
      <c r="J1019" s="1350"/>
      <c r="K1019" s="1348">
        <v>564000.0</v>
      </c>
    </row>
    <row r="1020">
      <c r="A1020" s="1344" t="s">
        <v>13562</v>
      </c>
      <c r="B1020" s="1345" t="s">
        <v>5154</v>
      </c>
      <c r="C1020" s="1346" t="s">
        <v>5154</v>
      </c>
      <c r="D1020" s="1346" t="s">
        <v>1095</v>
      </c>
      <c r="E1020" s="1346" t="s">
        <v>11943</v>
      </c>
      <c r="F1020" s="1346" t="s">
        <v>11969</v>
      </c>
      <c r="G1020" s="1345" t="s">
        <v>396</v>
      </c>
      <c r="H1020" s="1345" t="s">
        <v>1089</v>
      </c>
      <c r="I1020" s="1350"/>
      <c r="J1020" s="1350"/>
      <c r="K1020" s="1348">
        <v>291000.0</v>
      </c>
    </row>
    <row r="1021">
      <c r="A1021" s="1344" t="s">
        <v>13563</v>
      </c>
      <c r="B1021" s="1345" t="s">
        <v>5154</v>
      </c>
      <c r="C1021" s="1346" t="s">
        <v>5154</v>
      </c>
      <c r="D1021" s="1346" t="s">
        <v>1096</v>
      </c>
      <c r="E1021" s="1346" t="s">
        <v>11943</v>
      </c>
      <c r="F1021" s="1346" t="s">
        <v>11969</v>
      </c>
      <c r="G1021" s="1345" t="s">
        <v>398</v>
      </c>
      <c r="H1021" s="1345" t="s">
        <v>1089</v>
      </c>
      <c r="I1021" s="1350"/>
      <c r="J1021" s="1350"/>
      <c r="K1021" s="1348">
        <v>291000.0</v>
      </c>
    </row>
    <row r="1022">
      <c r="A1022" s="1344" t="s">
        <v>5154</v>
      </c>
      <c r="B1022" s="1345" t="s">
        <v>13564</v>
      </c>
      <c r="C1022" s="1346" t="s">
        <v>5154</v>
      </c>
      <c r="D1022" s="1346" t="s">
        <v>2303</v>
      </c>
      <c r="E1022" s="1346" t="s">
        <v>11930</v>
      </c>
      <c r="F1022" s="1351" t="s">
        <v>11931</v>
      </c>
      <c r="G1022" s="1349" t="s">
        <v>60</v>
      </c>
      <c r="H1022" s="1349" t="s">
        <v>2304</v>
      </c>
      <c r="I1022" s="1345" t="s">
        <v>314</v>
      </c>
      <c r="J1022" s="1347"/>
      <c r="K1022" s="1348">
        <v>2200000.0</v>
      </c>
    </row>
    <row r="1023">
      <c r="A1023" s="1344" t="s">
        <v>5154</v>
      </c>
      <c r="B1023" s="1345" t="s">
        <v>13565</v>
      </c>
      <c r="C1023" s="1346" t="s">
        <v>5154</v>
      </c>
      <c r="D1023" s="1346" t="s">
        <v>2305</v>
      </c>
      <c r="E1023" s="1346" t="s">
        <v>11930</v>
      </c>
      <c r="F1023" s="1346" t="s">
        <v>11944</v>
      </c>
      <c r="G1023" s="1349" t="s">
        <v>62</v>
      </c>
      <c r="H1023" s="1349" t="s">
        <v>2304</v>
      </c>
      <c r="I1023" s="1349" t="s">
        <v>1442</v>
      </c>
      <c r="J1023" s="1350"/>
      <c r="K1023" s="1348">
        <v>2785000.0</v>
      </c>
    </row>
    <row r="1024">
      <c r="A1024" s="1344" t="s">
        <v>13566</v>
      </c>
      <c r="B1024" s="1345" t="s">
        <v>13567</v>
      </c>
      <c r="C1024" s="1346" t="s">
        <v>13568</v>
      </c>
      <c r="D1024" s="1346" t="s">
        <v>1097</v>
      </c>
      <c r="E1024" s="1346" t="s">
        <v>12061</v>
      </c>
      <c r="F1024" s="1346" t="s">
        <v>11931</v>
      </c>
      <c r="G1024" s="1345" t="s">
        <v>60</v>
      </c>
      <c r="H1024" s="1345" t="s">
        <v>81</v>
      </c>
      <c r="I1024" s="1349" t="s">
        <v>109</v>
      </c>
      <c r="J1024" s="1350"/>
      <c r="K1024" s="1348">
        <v>758000.0</v>
      </c>
    </row>
    <row r="1025">
      <c r="A1025" s="1344" t="s">
        <v>13569</v>
      </c>
      <c r="B1025" s="1345" t="s">
        <v>13570</v>
      </c>
      <c r="C1025" s="1346" t="s">
        <v>5154</v>
      </c>
      <c r="D1025" s="1346" t="s">
        <v>1098</v>
      </c>
      <c r="E1025" s="1346" t="s">
        <v>11940</v>
      </c>
      <c r="F1025" s="1346" t="s">
        <v>11944</v>
      </c>
      <c r="G1025" s="1345" t="s">
        <v>62</v>
      </c>
      <c r="H1025" s="1345" t="s">
        <v>81</v>
      </c>
      <c r="I1025" s="1349" t="s">
        <v>109</v>
      </c>
      <c r="J1025" s="1357">
        <v>263000.0</v>
      </c>
      <c r="K1025" s="1348">
        <v>541000.0</v>
      </c>
    </row>
    <row r="1026">
      <c r="A1026" s="1344" t="s">
        <v>13571</v>
      </c>
      <c r="B1026" s="1345" t="s">
        <v>13572</v>
      </c>
      <c r="C1026" s="1346" t="s">
        <v>5154</v>
      </c>
      <c r="D1026" s="1346" t="s">
        <v>80</v>
      </c>
      <c r="E1026" s="1346" t="s">
        <v>11940</v>
      </c>
      <c r="F1026" s="1346" t="s">
        <v>11944</v>
      </c>
      <c r="G1026" s="1345" t="s">
        <v>62</v>
      </c>
      <c r="H1026" s="1345" t="s">
        <v>81</v>
      </c>
      <c r="I1026" s="1349" t="s">
        <v>1442</v>
      </c>
      <c r="J1026" s="1357">
        <v>322000.0</v>
      </c>
      <c r="K1026" s="1348">
        <v>667000.0</v>
      </c>
    </row>
    <row r="1027">
      <c r="A1027" s="1344" t="s">
        <v>13573</v>
      </c>
      <c r="B1027" s="1345" t="s">
        <v>13574</v>
      </c>
      <c r="C1027" s="1346" t="s">
        <v>13575</v>
      </c>
      <c r="D1027" s="1346" t="s">
        <v>1099</v>
      </c>
      <c r="E1027" s="1346" t="s">
        <v>12061</v>
      </c>
      <c r="F1027" s="1346" t="s">
        <v>11931</v>
      </c>
      <c r="G1027" s="1345" t="s">
        <v>60</v>
      </c>
      <c r="H1027" s="1345" t="s">
        <v>1100</v>
      </c>
      <c r="I1027" s="1349" t="s">
        <v>109</v>
      </c>
      <c r="J1027" s="1350"/>
      <c r="K1027" s="1348">
        <v>758000.0</v>
      </c>
    </row>
    <row r="1028">
      <c r="A1028" s="1344" t="s">
        <v>13576</v>
      </c>
      <c r="B1028" s="1345" t="s">
        <v>13577</v>
      </c>
      <c r="C1028" s="1346" t="s">
        <v>5154</v>
      </c>
      <c r="D1028" s="1346" t="s">
        <v>98</v>
      </c>
      <c r="E1028" s="1346" t="s">
        <v>11940</v>
      </c>
      <c r="F1028" s="1346" t="s">
        <v>11944</v>
      </c>
      <c r="G1028" s="1345" t="s">
        <v>62</v>
      </c>
      <c r="H1028" s="1345" t="s">
        <v>95</v>
      </c>
      <c r="I1028" s="1349" t="s">
        <v>109</v>
      </c>
      <c r="J1028" s="1362" t="s">
        <v>13578</v>
      </c>
      <c r="K1028" s="1348">
        <v>599000.0</v>
      </c>
    </row>
    <row r="1029">
      <c r="A1029" s="1344" t="s">
        <v>13579</v>
      </c>
      <c r="B1029" s="1345" t="s">
        <v>13580</v>
      </c>
      <c r="C1029" s="1346" t="s">
        <v>5154</v>
      </c>
      <c r="D1029" s="1346" t="s">
        <v>13581</v>
      </c>
      <c r="E1029" s="1346" t="s">
        <v>11940</v>
      </c>
      <c r="F1029" s="1346" t="s">
        <v>11944</v>
      </c>
      <c r="G1029" s="1345" t="s">
        <v>62</v>
      </c>
      <c r="H1029" s="1345" t="s">
        <v>95</v>
      </c>
      <c r="I1029" s="1349" t="s">
        <v>1442</v>
      </c>
      <c r="J1029" s="1357">
        <v>313000.0</v>
      </c>
      <c r="K1029" s="1348">
        <v>637000.0</v>
      </c>
    </row>
    <row r="1030">
      <c r="A1030" s="1344" t="s">
        <v>13582</v>
      </c>
      <c r="B1030" s="1345" t="s">
        <v>13583</v>
      </c>
      <c r="C1030" s="1346" t="s">
        <v>13584</v>
      </c>
      <c r="D1030" s="1346" t="s">
        <v>1102</v>
      </c>
      <c r="E1030" s="1346" t="s">
        <v>12061</v>
      </c>
      <c r="F1030" s="1346" t="s">
        <v>11931</v>
      </c>
      <c r="G1030" s="1345" t="s">
        <v>60</v>
      </c>
      <c r="H1030" s="1345" t="s">
        <v>1103</v>
      </c>
      <c r="I1030" s="1349" t="s">
        <v>109</v>
      </c>
      <c r="J1030" s="1350"/>
      <c r="K1030" s="1348">
        <v>758000.0</v>
      </c>
    </row>
    <row r="1031">
      <c r="A1031" s="1344" t="s">
        <v>5154</v>
      </c>
      <c r="B1031" s="1345" t="s">
        <v>5154</v>
      </c>
      <c r="C1031" s="1346" t="s">
        <v>13585</v>
      </c>
      <c r="D1031" s="1351" t="s">
        <v>2013</v>
      </c>
      <c r="E1031" s="1346" t="s">
        <v>12155</v>
      </c>
      <c r="F1031" s="1346" t="s">
        <v>11931</v>
      </c>
      <c r="G1031" s="1345" t="s">
        <v>60</v>
      </c>
      <c r="H1031" s="1345" t="s">
        <v>2014</v>
      </c>
      <c r="I1031" s="1349" t="s">
        <v>137</v>
      </c>
      <c r="J1031" s="1350"/>
      <c r="K1031" s="1348">
        <v>1190000.0</v>
      </c>
    </row>
    <row r="1032">
      <c r="A1032" s="1344" t="s">
        <v>5154</v>
      </c>
      <c r="B1032" s="1345" t="s">
        <v>5154</v>
      </c>
      <c r="C1032" s="1346" t="s">
        <v>13586</v>
      </c>
      <c r="D1032" s="1346" t="s">
        <v>13587</v>
      </c>
      <c r="E1032" s="1346" t="s">
        <v>12155</v>
      </c>
      <c r="F1032" s="1346" t="s">
        <v>11931</v>
      </c>
      <c r="G1032" s="1345" t="s">
        <v>60</v>
      </c>
      <c r="H1032" s="1345" t="s">
        <v>2016</v>
      </c>
      <c r="I1032" s="1350"/>
      <c r="J1032" s="1350"/>
      <c r="K1032" s="1348">
        <v>919000.0</v>
      </c>
    </row>
    <row r="1033">
      <c r="A1033" s="1344" t="s">
        <v>5154</v>
      </c>
      <c r="B1033" s="1345" t="s">
        <v>5154</v>
      </c>
      <c r="C1033" s="1346" t="s">
        <v>13588</v>
      </c>
      <c r="D1033" s="1351" t="s">
        <v>13589</v>
      </c>
      <c r="E1033" s="1346" t="s">
        <v>12155</v>
      </c>
      <c r="F1033" s="1346" t="s">
        <v>11944</v>
      </c>
      <c r="G1033" s="1345" t="s">
        <v>62</v>
      </c>
      <c r="H1033" s="1345" t="s">
        <v>2016</v>
      </c>
      <c r="I1033" s="1350"/>
      <c r="J1033" s="1350"/>
      <c r="K1033" s="1348">
        <v>618000.0</v>
      </c>
    </row>
    <row r="1034">
      <c r="A1034" s="1344" t="s">
        <v>5154</v>
      </c>
      <c r="B1034" s="1345" t="s">
        <v>5154</v>
      </c>
      <c r="C1034" s="1346" t="s">
        <v>13590</v>
      </c>
      <c r="D1034" s="1346" t="s">
        <v>13591</v>
      </c>
      <c r="E1034" s="1346" t="s">
        <v>12155</v>
      </c>
      <c r="F1034" s="1346" t="s">
        <v>11969</v>
      </c>
      <c r="G1034" s="1345" t="s">
        <v>209</v>
      </c>
      <c r="H1034" s="1345" t="s">
        <v>2016</v>
      </c>
      <c r="I1034" s="1350"/>
      <c r="J1034" s="1350"/>
      <c r="K1034" s="1348">
        <v>126000.0</v>
      </c>
    </row>
    <row r="1035">
      <c r="A1035" s="1344" t="s">
        <v>5154</v>
      </c>
      <c r="B1035" s="1345" t="s">
        <v>5154</v>
      </c>
      <c r="C1035" s="1346" t="s">
        <v>13592</v>
      </c>
      <c r="D1035" s="1346" t="s">
        <v>13593</v>
      </c>
      <c r="E1035" s="1346" t="s">
        <v>12155</v>
      </c>
      <c r="F1035" s="1346" t="s">
        <v>11969</v>
      </c>
      <c r="G1035" s="1345" t="s">
        <v>243</v>
      </c>
      <c r="H1035" s="1345" t="s">
        <v>2016</v>
      </c>
      <c r="I1035" s="1350"/>
      <c r="J1035" s="1350"/>
      <c r="K1035" s="1348">
        <v>126000.0</v>
      </c>
    </row>
    <row r="1036">
      <c r="A1036" s="1344" t="s">
        <v>13594</v>
      </c>
      <c r="B1036" s="1345" t="s">
        <v>13595</v>
      </c>
      <c r="C1036" s="1346" t="s">
        <v>5154</v>
      </c>
      <c r="D1036" s="1346" t="s">
        <v>1104</v>
      </c>
      <c r="E1036" s="1346" t="s">
        <v>11940</v>
      </c>
      <c r="F1036" s="1346" t="s">
        <v>11931</v>
      </c>
      <c r="G1036" s="1345" t="s">
        <v>60</v>
      </c>
      <c r="H1036" s="1345" t="s">
        <v>1105</v>
      </c>
      <c r="I1036" s="1349" t="s">
        <v>137</v>
      </c>
      <c r="J1036" s="1350"/>
      <c r="K1036" s="1348">
        <v>1725000.0</v>
      </c>
    </row>
    <row r="1037">
      <c r="A1037" s="1344" t="s">
        <v>13596</v>
      </c>
      <c r="B1037" s="1345" t="s">
        <v>5154</v>
      </c>
      <c r="C1037" s="1346" t="s">
        <v>5154</v>
      </c>
      <c r="D1037" s="1346" t="s">
        <v>1106</v>
      </c>
      <c r="E1037" s="1346" t="s">
        <v>11943</v>
      </c>
      <c r="F1037" s="1346" t="s">
        <v>11944</v>
      </c>
      <c r="G1037" s="1345" t="s">
        <v>62</v>
      </c>
      <c r="H1037" s="1345" t="s">
        <v>1105</v>
      </c>
      <c r="I1037" s="1349" t="s">
        <v>1442</v>
      </c>
      <c r="J1037" s="1350"/>
      <c r="K1037" s="1348">
        <v>2099000.0</v>
      </c>
    </row>
    <row r="1038">
      <c r="A1038" s="1344" t="s">
        <v>13597</v>
      </c>
      <c r="B1038" s="1345" t="s">
        <v>13598</v>
      </c>
      <c r="C1038" s="1346" t="s">
        <v>5154</v>
      </c>
      <c r="D1038" s="1346" t="s">
        <v>1107</v>
      </c>
      <c r="E1038" s="1346" t="s">
        <v>11940</v>
      </c>
      <c r="F1038" s="1346" t="s">
        <v>11931</v>
      </c>
      <c r="G1038" s="1345" t="s">
        <v>60</v>
      </c>
      <c r="H1038" s="1345" t="s">
        <v>1108</v>
      </c>
      <c r="I1038" s="1349" t="s">
        <v>137</v>
      </c>
      <c r="J1038" s="1350"/>
      <c r="K1038" s="1348">
        <v>2218000.0</v>
      </c>
    </row>
    <row r="1039">
      <c r="A1039" s="1344" t="s">
        <v>13599</v>
      </c>
      <c r="B1039" s="1345" t="s">
        <v>13600</v>
      </c>
      <c r="C1039" s="1346" t="s">
        <v>5154</v>
      </c>
      <c r="D1039" s="1346" t="s">
        <v>1109</v>
      </c>
      <c r="E1039" s="1346" t="s">
        <v>11940</v>
      </c>
      <c r="F1039" s="1346" t="s">
        <v>11944</v>
      </c>
      <c r="G1039" s="1345" t="s">
        <v>62</v>
      </c>
      <c r="H1039" s="1345" t="s">
        <v>1108</v>
      </c>
      <c r="I1039" s="1349" t="s">
        <v>1509</v>
      </c>
      <c r="J1039" s="1350"/>
      <c r="K1039" s="1348">
        <v>2410000.0</v>
      </c>
    </row>
    <row r="1040">
      <c r="A1040" s="1344" t="s">
        <v>13601</v>
      </c>
      <c r="B1040" s="1345" t="s">
        <v>5154</v>
      </c>
      <c r="C1040" s="1346" t="s">
        <v>5154</v>
      </c>
      <c r="D1040" s="1346" t="s">
        <v>1110</v>
      </c>
      <c r="E1040" s="1346" t="s">
        <v>11943</v>
      </c>
      <c r="F1040" s="1346" t="s">
        <v>11969</v>
      </c>
      <c r="G1040" s="1345" t="s">
        <v>140</v>
      </c>
      <c r="H1040" s="1345" t="s">
        <v>1108</v>
      </c>
      <c r="I1040" s="1350"/>
      <c r="J1040" s="1350"/>
      <c r="K1040" s="1348">
        <v>804000.0</v>
      </c>
    </row>
    <row r="1041">
      <c r="A1041" s="1344" t="s">
        <v>13602</v>
      </c>
      <c r="B1041" s="1345" t="s">
        <v>13603</v>
      </c>
      <c r="C1041" s="1346" t="s">
        <v>5154</v>
      </c>
      <c r="D1041" s="1346" t="s">
        <v>1111</v>
      </c>
      <c r="E1041" s="1346" t="s">
        <v>11943</v>
      </c>
      <c r="F1041" s="1346" t="s">
        <v>11969</v>
      </c>
      <c r="G1041" s="1345" t="s">
        <v>142</v>
      </c>
      <c r="H1041" s="1345" t="s">
        <v>1108</v>
      </c>
      <c r="I1041" s="1350"/>
      <c r="J1041" s="1350"/>
      <c r="K1041" s="1348">
        <v>804000.0</v>
      </c>
    </row>
    <row r="1042">
      <c r="A1042" s="1344" t="s">
        <v>13604</v>
      </c>
      <c r="B1042" s="1345" t="s">
        <v>13605</v>
      </c>
      <c r="C1042" s="1346" t="s">
        <v>5154</v>
      </c>
      <c r="D1042" s="1346" t="s">
        <v>1112</v>
      </c>
      <c r="E1042" s="1346" t="s">
        <v>11940</v>
      </c>
      <c r="F1042" s="1346" t="s">
        <v>11931</v>
      </c>
      <c r="G1042" s="1345" t="s">
        <v>60</v>
      </c>
      <c r="H1042" s="1345" t="s">
        <v>1113</v>
      </c>
      <c r="I1042" s="1349" t="s">
        <v>137</v>
      </c>
      <c r="J1042" s="1350"/>
      <c r="K1042" s="1348">
        <v>2587000.0</v>
      </c>
    </row>
    <row r="1043">
      <c r="A1043" s="1344" t="s">
        <v>13606</v>
      </c>
      <c r="B1043" s="1345" t="s">
        <v>13607</v>
      </c>
      <c r="C1043" s="1346" t="s">
        <v>5154</v>
      </c>
      <c r="D1043" s="1346" t="s">
        <v>1114</v>
      </c>
      <c r="E1043" s="1346" t="s">
        <v>11940</v>
      </c>
      <c r="F1043" s="1346" t="s">
        <v>11931</v>
      </c>
      <c r="G1043" s="1345" t="s">
        <v>60</v>
      </c>
      <c r="H1043" s="1345" t="s">
        <v>1113</v>
      </c>
      <c r="I1043" s="1349" t="s">
        <v>90</v>
      </c>
      <c r="J1043" s="1350"/>
      <c r="K1043" s="1348">
        <v>2823000.0</v>
      </c>
    </row>
    <row r="1044">
      <c r="A1044" s="1344" t="s">
        <v>13608</v>
      </c>
      <c r="B1044" s="1345" t="s">
        <v>13609</v>
      </c>
      <c r="C1044" s="1346" t="s">
        <v>5154</v>
      </c>
      <c r="D1044" s="1346" t="s">
        <v>1115</v>
      </c>
      <c r="E1044" s="1346" t="s">
        <v>11943</v>
      </c>
      <c r="F1044" s="1346" t="s">
        <v>11944</v>
      </c>
      <c r="G1044" s="1345" t="s">
        <v>62</v>
      </c>
      <c r="H1044" s="1345" t="s">
        <v>1113</v>
      </c>
      <c r="I1044" s="1349" t="s">
        <v>1509</v>
      </c>
      <c r="J1044" s="1350"/>
      <c r="K1044" s="1348">
        <v>2997000.0</v>
      </c>
    </row>
    <row r="1045">
      <c r="A1045" s="1344" t="s">
        <v>13610</v>
      </c>
      <c r="B1045" s="1345" t="s">
        <v>13611</v>
      </c>
      <c r="C1045" s="1346" t="s">
        <v>5154</v>
      </c>
      <c r="D1045" s="1346" t="s">
        <v>1116</v>
      </c>
      <c r="E1045" s="1346" t="s">
        <v>11940</v>
      </c>
      <c r="F1045" s="1346" t="s">
        <v>11931</v>
      </c>
      <c r="G1045" s="1345" t="s">
        <v>60</v>
      </c>
      <c r="H1045" s="1345" t="s">
        <v>1117</v>
      </c>
      <c r="I1045" s="1349" t="s">
        <v>90</v>
      </c>
      <c r="J1045" s="1350"/>
      <c r="K1045" s="1348">
        <v>1905000.0</v>
      </c>
    </row>
    <row r="1046">
      <c r="A1046" s="1344" t="s">
        <v>5154</v>
      </c>
      <c r="B1046" s="1345" t="s">
        <v>13612</v>
      </c>
      <c r="C1046" s="1346" t="s">
        <v>5154</v>
      </c>
      <c r="D1046" s="1351" t="s">
        <v>1767</v>
      </c>
      <c r="E1046" s="1346" t="s">
        <v>11930</v>
      </c>
      <c r="F1046" s="1346" t="s">
        <v>11931</v>
      </c>
      <c r="G1046" s="1345" t="s">
        <v>60</v>
      </c>
      <c r="H1046" s="1345" t="s">
        <v>1117</v>
      </c>
      <c r="I1046" s="1349" t="s">
        <v>137</v>
      </c>
      <c r="J1046" s="1350"/>
      <c r="K1046" s="1348">
        <v>1728000.0</v>
      </c>
    </row>
    <row r="1047">
      <c r="A1047" s="1344" t="s">
        <v>13613</v>
      </c>
      <c r="B1047" s="1345" t="s">
        <v>13614</v>
      </c>
      <c r="C1047" s="1346" t="s">
        <v>5154</v>
      </c>
      <c r="D1047" s="1346" t="s">
        <v>1119</v>
      </c>
      <c r="E1047" s="1346" t="s">
        <v>11940</v>
      </c>
      <c r="F1047" s="1346" t="s">
        <v>11944</v>
      </c>
      <c r="G1047" s="1345" t="s">
        <v>62</v>
      </c>
      <c r="H1047" s="1345" t="s">
        <v>1117</v>
      </c>
      <c r="I1047" s="1349" t="s">
        <v>1509</v>
      </c>
      <c r="J1047" s="1350"/>
      <c r="K1047" s="1348">
        <v>3271000.0</v>
      </c>
    </row>
    <row r="1048">
      <c r="A1048" s="1344" t="s">
        <v>13615</v>
      </c>
      <c r="B1048" s="1345" t="s">
        <v>5154</v>
      </c>
      <c r="C1048" s="1346" t="s">
        <v>5154</v>
      </c>
      <c r="D1048" s="1346" t="s">
        <v>1120</v>
      </c>
      <c r="E1048" s="1346" t="s">
        <v>11943</v>
      </c>
      <c r="F1048" s="1346" t="s">
        <v>11969</v>
      </c>
      <c r="G1048" s="1345" t="s">
        <v>140</v>
      </c>
      <c r="H1048" s="1345" t="s">
        <v>1117</v>
      </c>
      <c r="I1048" s="1350"/>
      <c r="J1048" s="1350"/>
      <c r="K1048" s="1348">
        <v>804000.0</v>
      </c>
    </row>
    <row r="1049">
      <c r="A1049" s="1344" t="s">
        <v>13616</v>
      </c>
      <c r="B1049" s="1345" t="s">
        <v>13617</v>
      </c>
      <c r="C1049" s="1346" t="s">
        <v>5154</v>
      </c>
      <c r="D1049" s="1346" t="s">
        <v>1121</v>
      </c>
      <c r="E1049" s="1346" t="s">
        <v>11943</v>
      </c>
      <c r="F1049" s="1346" t="s">
        <v>11969</v>
      </c>
      <c r="G1049" s="1345" t="s">
        <v>142</v>
      </c>
      <c r="H1049" s="1345" t="s">
        <v>1117</v>
      </c>
      <c r="I1049" s="1350"/>
      <c r="J1049" s="1350"/>
      <c r="K1049" s="1348">
        <v>804000.0</v>
      </c>
    </row>
    <row r="1050">
      <c r="A1050" s="1344" t="s">
        <v>5154</v>
      </c>
      <c r="B1050" s="1345" t="s">
        <v>13618</v>
      </c>
      <c r="C1050" s="1346" t="s">
        <v>5154</v>
      </c>
      <c r="D1050" s="1346" t="s">
        <v>1768</v>
      </c>
      <c r="E1050" s="1346" t="s">
        <v>11930</v>
      </c>
      <c r="F1050" s="1346" t="s">
        <v>11931</v>
      </c>
      <c r="G1050" s="1345" t="s">
        <v>60</v>
      </c>
      <c r="H1050" s="1345" t="s">
        <v>1769</v>
      </c>
      <c r="I1050" s="1349" t="s">
        <v>90</v>
      </c>
      <c r="J1050" s="1350"/>
      <c r="K1050" s="1348">
        <v>2464000.0</v>
      </c>
    </row>
    <row r="1051">
      <c r="A1051" s="1344" t="s">
        <v>5154</v>
      </c>
      <c r="B1051" s="1345" t="s">
        <v>13619</v>
      </c>
      <c r="C1051" s="1346" t="s">
        <v>5154</v>
      </c>
      <c r="D1051" s="1346" t="s">
        <v>1770</v>
      </c>
      <c r="E1051" s="1346" t="s">
        <v>11930</v>
      </c>
      <c r="F1051" s="1346" t="s">
        <v>11931</v>
      </c>
      <c r="G1051" s="1345" t="s">
        <v>60</v>
      </c>
      <c r="H1051" s="1345" t="s">
        <v>1771</v>
      </c>
      <c r="I1051" s="1349" t="s">
        <v>745</v>
      </c>
      <c r="J1051" s="1350"/>
      <c r="K1051" s="1348">
        <v>4681000.0</v>
      </c>
    </row>
    <row r="1052">
      <c r="A1052" s="1344" t="s">
        <v>5154</v>
      </c>
      <c r="B1052" s="1345" t="s">
        <v>13620</v>
      </c>
      <c r="C1052" s="1346" t="s">
        <v>13621</v>
      </c>
      <c r="D1052" s="1346" t="s">
        <v>1772</v>
      </c>
      <c r="E1052" s="1346" t="s">
        <v>11930</v>
      </c>
      <c r="F1052" s="1346" t="s">
        <v>11931</v>
      </c>
      <c r="G1052" s="1345" t="s">
        <v>60</v>
      </c>
      <c r="H1052" s="1345" t="s">
        <v>1123</v>
      </c>
      <c r="I1052" s="1349" t="s">
        <v>109</v>
      </c>
      <c r="J1052" s="1350"/>
      <c r="K1052" s="1348">
        <v>1365000.0</v>
      </c>
    </row>
    <row r="1053">
      <c r="A1053" s="1344" t="s">
        <v>13622</v>
      </c>
      <c r="B1053" s="1345" t="s">
        <v>13623</v>
      </c>
      <c r="C1053" s="1346" t="s">
        <v>5154</v>
      </c>
      <c r="D1053" s="1346" t="s">
        <v>1122</v>
      </c>
      <c r="E1053" s="1346" t="s">
        <v>11940</v>
      </c>
      <c r="F1053" s="1346" t="s">
        <v>11944</v>
      </c>
      <c r="G1053" s="1345" t="s">
        <v>62</v>
      </c>
      <c r="H1053" s="1345" t="s">
        <v>1123</v>
      </c>
      <c r="I1053" s="1349" t="s">
        <v>1442</v>
      </c>
      <c r="J1053" s="1350"/>
      <c r="K1053" s="1348">
        <v>1802000.0</v>
      </c>
    </row>
    <row r="1054">
      <c r="A1054" s="1344" t="s">
        <v>13624</v>
      </c>
      <c r="B1054" s="1345" t="s">
        <v>13625</v>
      </c>
      <c r="C1054" s="1346" t="s">
        <v>5154</v>
      </c>
      <c r="D1054" s="1346" t="s">
        <v>1124</v>
      </c>
      <c r="E1054" s="1346" t="s">
        <v>11940</v>
      </c>
      <c r="F1054" s="1346" t="s">
        <v>11931</v>
      </c>
      <c r="G1054" s="1345" t="s">
        <v>60</v>
      </c>
      <c r="H1054" s="1345" t="s">
        <v>1125</v>
      </c>
      <c r="I1054" s="1349" t="s">
        <v>109</v>
      </c>
      <c r="J1054" s="1350"/>
      <c r="K1054" s="1348">
        <v>1409000.0</v>
      </c>
    </row>
    <row r="1055">
      <c r="A1055" s="1344" t="s">
        <v>13626</v>
      </c>
      <c r="B1055" s="1345" t="s">
        <v>13627</v>
      </c>
      <c r="C1055" s="1346" t="s">
        <v>5154</v>
      </c>
      <c r="D1055" s="1346" t="s">
        <v>1126</v>
      </c>
      <c r="E1055" s="1346" t="s">
        <v>11943</v>
      </c>
      <c r="F1055" s="1346" t="s">
        <v>11944</v>
      </c>
      <c r="G1055" s="1345" t="s">
        <v>62</v>
      </c>
      <c r="H1055" s="1345" t="s">
        <v>1125</v>
      </c>
      <c r="I1055" s="1349" t="s">
        <v>1442</v>
      </c>
      <c r="J1055" s="1350"/>
      <c r="K1055" s="1348">
        <v>2385000.0</v>
      </c>
    </row>
    <row r="1056">
      <c r="A1056" s="1344" t="s">
        <v>5154</v>
      </c>
      <c r="B1056" s="1345" t="s">
        <v>13628</v>
      </c>
      <c r="C1056" s="1346" t="s">
        <v>5154</v>
      </c>
      <c r="D1056" s="1346" t="s">
        <v>1774</v>
      </c>
      <c r="E1056" s="1346" t="s">
        <v>11930</v>
      </c>
      <c r="F1056" s="1346" t="s">
        <v>11969</v>
      </c>
      <c r="G1056" s="1345" t="s">
        <v>140</v>
      </c>
      <c r="H1056" s="1345" t="s">
        <v>1125</v>
      </c>
      <c r="I1056" s="1345" t="s">
        <v>406</v>
      </c>
      <c r="J1056" s="1347"/>
      <c r="K1056" s="1348">
        <v>471000.0</v>
      </c>
    </row>
    <row r="1057">
      <c r="A1057" s="1344" t="s">
        <v>5154</v>
      </c>
      <c r="B1057" s="1345" t="s">
        <v>13629</v>
      </c>
      <c r="C1057" s="1346" t="s">
        <v>5154</v>
      </c>
      <c r="D1057" s="1346" t="s">
        <v>1775</v>
      </c>
      <c r="E1057" s="1346" t="s">
        <v>11930</v>
      </c>
      <c r="F1057" s="1346" t="s">
        <v>11969</v>
      </c>
      <c r="G1057" s="1345" t="s">
        <v>142</v>
      </c>
      <c r="H1057" s="1345" t="s">
        <v>1125</v>
      </c>
      <c r="I1057" s="1345" t="s">
        <v>406</v>
      </c>
      <c r="J1057" s="1347"/>
      <c r="K1057" s="1348">
        <v>471000.0</v>
      </c>
    </row>
    <row r="1058">
      <c r="A1058" s="1344" t="s">
        <v>5154</v>
      </c>
      <c r="B1058" s="1345" t="s">
        <v>13630</v>
      </c>
      <c r="C1058" s="1346" t="s">
        <v>5154</v>
      </c>
      <c r="D1058" s="1346" t="s">
        <v>1776</v>
      </c>
      <c r="E1058" s="1346" t="s">
        <v>11930</v>
      </c>
      <c r="F1058" s="1346" t="s">
        <v>11969</v>
      </c>
      <c r="G1058" s="1345" t="s">
        <v>144</v>
      </c>
      <c r="H1058" s="1345" t="s">
        <v>1125</v>
      </c>
      <c r="I1058" s="1347"/>
      <c r="J1058" s="1347"/>
      <c r="K1058" s="1348">
        <v>471000.0</v>
      </c>
    </row>
    <row r="1059">
      <c r="A1059" s="1344" t="s">
        <v>5154</v>
      </c>
      <c r="B1059" s="1345" t="s">
        <v>13631</v>
      </c>
      <c r="C1059" s="1346" t="s">
        <v>5154</v>
      </c>
      <c r="D1059" s="1346" t="s">
        <v>1777</v>
      </c>
      <c r="E1059" s="1346" t="s">
        <v>11930</v>
      </c>
      <c r="F1059" s="1346" t="s">
        <v>11969</v>
      </c>
      <c r="G1059" s="1345" t="s">
        <v>146</v>
      </c>
      <c r="H1059" s="1345" t="s">
        <v>1125</v>
      </c>
      <c r="I1059" s="1347"/>
      <c r="J1059" s="1347"/>
      <c r="K1059" s="1348">
        <v>471000.0</v>
      </c>
    </row>
    <row r="1060">
      <c r="A1060" s="1344" t="s">
        <v>5154</v>
      </c>
      <c r="B1060" s="1345" t="s">
        <v>13632</v>
      </c>
      <c r="C1060" s="1346" t="s">
        <v>13633</v>
      </c>
      <c r="D1060" s="1346" t="s">
        <v>1778</v>
      </c>
      <c r="E1060" s="1346" t="s">
        <v>12158</v>
      </c>
      <c r="F1060" s="1346" t="s">
        <v>11931</v>
      </c>
      <c r="G1060" s="1345" t="s">
        <v>60</v>
      </c>
      <c r="H1060" s="1345" t="s">
        <v>1128</v>
      </c>
      <c r="I1060" s="1349" t="s">
        <v>109</v>
      </c>
      <c r="J1060" s="1350"/>
      <c r="K1060" s="1348">
        <v>1439000.0</v>
      </c>
    </row>
    <row r="1061">
      <c r="A1061" s="1344" t="s">
        <v>5154</v>
      </c>
      <c r="B1061" s="1345" t="s">
        <v>13634</v>
      </c>
      <c r="C1061" s="1346" t="s">
        <v>5154</v>
      </c>
      <c r="D1061" s="1346" t="s">
        <v>1127</v>
      </c>
      <c r="E1061" s="1346" t="s">
        <v>11930</v>
      </c>
      <c r="F1061" s="1346" t="s">
        <v>11944</v>
      </c>
      <c r="G1061" s="1345" t="s">
        <v>62</v>
      </c>
      <c r="H1061" s="1345" t="s">
        <v>1128</v>
      </c>
      <c r="I1061" s="1349" t="s">
        <v>1509</v>
      </c>
      <c r="J1061" s="1350"/>
      <c r="K1061" s="1348">
        <v>2398000.0</v>
      </c>
    </row>
    <row r="1062">
      <c r="A1062" s="1344" t="s">
        <v>5154</v>
      </c>
      <c r="B1062" s="1345" t="s">
        <v>13635</v>
      </c>
      <c r="C1062" s="1346" t="s">
        <v>5154</v>
      </c>
      <c r="D1062" s="1346" t="s">
        <v>2037</v>
      </c>
      <c r="E1062" s="1346" t="s">
        <v>11930</v>
      </c>
      <c r="F1062" s="1346" t="s">
        <v>11931</v>
      </c>
      <c r="G1062" s="1349" t="s">
        <v>60</v>
      </c>
      <c r="H1062" s="1349" t="s">
        <v>2038</v>
      </c>
      <c r="I1062" s="1349" t="s">
        <v>90</v>
      </c>
      <c r="J1062" s="1350"/>
      <c r="K1062" s="1348">
        <v>3050000.0</v>
      </c>
    </row>
    <row r="1063">
      <c r="A1063" s="1344" t="s">
        <v>13636</v>
      </c>
      <c r="B1063" s="1345" t="s">
        <v>5154</v>
      </c>
      <c r="C1063" s="1346" t="s">
        <v>5154</v>
      </c>
      <c r="D1063" s="1346" t="s">
        <v>1129</v>
      </c>
      <c r="E1063" s="1346" t="s">
        <v>11943</v>
      </c>
      <c r="F1063" s="1346" t="s">
        <v>11944</v>
      </c>
      <c r="G1063" s="1345" t="s">
        <v>62</v>
      </c>
      <c r="H1063" s="1353" t="s">
        <v>108</v>
      </c>
      <c r="I1063" s="1349" t="s">
        <v>109</v>
      </c>
      <c r="J1063" s="1350"/>
      <c r="K1063" s="1348">
        <v>484000.0</v>
      </c>
    </row>
    <row r="1064">
      <c r="A1064" s="1344" t="s">
        <v>13637</v>
      </c>
      <c r="B1064" s="1345" t="s">
        <v>5154</v>
      </c>
      <c r="C1064" s="1346" t="s">
        <v>5154</v>
      </c>
      <c r="D1064" s="1346" t="s">
        <v>1130</v>
      </c>
      <c r="E1064" s="1346" t="s">
        <v>11943</v>
      </c>
      <c r="F1064" s="1346" t="s">
        <v>11944</v>
      </c>
      <c r="G1064" s="1345" t="s">
        <v>62</v>
      </c>
      <c r="H1064" s="1353" t="s">
        <v>108</v>
      </c>
      <c r="I1064" s="1349" t="s">
        <v>1442</v>
      </c>
      <c r="J1064" s="1350"/>
      <c r="K1064" s="1348">
        <v>484000.0</v>
      </c>
    </row>
    <row r="1065">
      <c r="A1065" s="1344" t="s">
        <v>13638</v>
      </c>
      <c r="B1065" s="1345" t="s">
        <v>13639</v>
      </c>
      <c r="C1065" s="1346" t="s">
        <v>13640</v>
      </c>
      <c r="D1065" s="1346" t="s">
        <v>1131</v>
      </c>
      <c r="E1065" s="1346" t="s">
        <v>12061</v>
      </c>
      <c r="F1065" s="1346" t="s">
        <v>11931</v>
      </c>
      <c r="G1065" s="1345" t="s">
        <v>60</v>
      </c>
      <c r="H1065" s="1345" t="s">
        <v>1132</v>
      </c>
      <c r="I1065" s="1349" t="s">
        <v>137</v>
      </c>
      <c r="J1065" s="1350"/>
      <c r="K1065" s="1348">
        <v>1092000.0</v>
      </c>
    </row>
    <row r="1066">
      <c r="A1066" s="1344" t="s">
        <v>13641</v>
      </c>
      <c r="B1066" s="1345" t="s">
        <v>13642</v>
      </c>
      <c r="C1066" s="1346" t="s">
        <v>5154</v>
      </c>
      <c r="D1066" s="1346" t="s">
        <v>1133</v>
      </c>
      <c r="E1066" s="1346" t="s">
        <v>11943</v>
      </c>
      <c r="F1066" s="1346" t="s">
        <v>11944</v>
      </c>
      <c r="G1066" s="1345" t="s">
        <v>62</v>
      </c>
      <c r="H1066" s="1345" t="s">
        <v>1132</v>
      </c>
      <c r="I1066" s="1349" t="s">
        <v>1442</v>
      </c>
      <c r="J1066" s="1350"/>
      <c r="K1066" s="1348">
        <v>1667000.0</v>
      </c>
    </row>
    <row r="1067">
      <c r="A1067" s="1344" t="s">
        <v>13643</v>
      </c>
      <c r="B1067" s="1345" t="s">
        <v>13644</v>
      </c>
      <c r="C1067" s="1346" t="s">
        <v>5154</v>
      </c>
      <c r="D1067" s="1346" t="s">
        <v>1135</v>
      </c>
      <c r="E1067" s="1346" t="s">
        <v>11940</v>
      </c>
      <c r="F1067" s="1346" t="s">
        <v>11944</v>
      </c>
      <c r="G1067" s="1345" t="s">
        <v>62</v>
      </c>
      <c r="H1067" s="1345" t="s">
        <v>1136</v>
      </c>
      <c r="I1067" s="1349" t="s">
        <v>1442</v>
      </c>
      <c r="J1067" s="1357">
        <v>785000.0</v>
      </c>
      <c r="K1067" s="1348">
        <v>1950000.0</v>
      </c>
    </row>
    <row r="1068">
      <c r="A1068" s="1344" t="s">
        <v>13645</v>
      </c>
      <c r="B1068" s="1345" t="s">
        <v>13646</v>
      </c>
      <c r="C1068" s="1346" t="s">
        <v>5154</v>
      </c>
      <c r="D1068" s="1346" t="s">
        <v>1138</v>
      </c>
      <c r="E1068" s="1346" t="s">
        <v>11940</v>
      </c>
      <c r="F1068" s="1346" t="s">
        <v>11969</v>
      </c>
      <c r="G1068" s="1345" t="s">
        <v>144</v>
      </c>
      <c r="H1068" s="1345" t="s">
        <v>1132</v>
      </c>
      <c r="I1068" s="1350"/>
      <c r="J1068" s="1350"/>
      <c r="K1068" s="1348">
        <v>436000.0</v>
      </c>
    </row>
    <row r="1069">
      <c r="A1069" s="1344" t="s">
        <v>13647</v>
      </c>
      <c r="B1069" s="1345" t="s">
        <v>13648</v>
      </c>
      <c r="C1069" s="1346" t="s">
        <v>5154</v>
      </c>
      <c r="D1069" s="1346" t="s">
        <v>1139</v>
      </c>
      <c r="E1069" s="1346" t="s">
        <v>11940</v>
      </c>
      <c r="F1069" s="1346" t="s">
        <v>11969</v>
      </c>
      <c r="G1069" s="1345" t="s">
        <v>146</v>
      </c>
      <c r="H1069" s="1345" t="s">
        <v>1132</v>
      </c>
      <c r="I1069" s="1350"/>
      <c r="J1069" s="1350"/>
      <c r="K1069" s="1348">
        <v>436000.0</v>
      </c>
    </row>
    <row r="1070">
      <c r="A1070" s="1344" t="s">
        <v>13649</v>
      </c>
      <c r="B1070" s="1345" t="s">
        <v>13650</v>
      </c>
      <c r="C1070" s="1346" t="s">
        <v>5154</v>
      </c>
      <c r="D1070" s="1346" t="s">
        <v>1140</v>
      </c>
      <c r="E1070" s="1346" t="s">
        <v>11940</v>
      </c>
      <c r="F1070" s="1346" t="s">
        <v>11969</v>
      </c>
      <c r="G1070" s="1345" t="s">
        <v>209</v>
      </c>
      <c r="H1070" s="1345" t="s">
        <v>1136</v>
      </c>
      <c r="I1070" s="1349" t="s">
        <v>109</v>
      </c>
      <c r="J1070" s="1350"/>
      <c r="K1070" s="1348">
        <v>773000.0</v>
      </c>
    </row>
    <row r="1071">
      <c r="A1071" s="1344" t="s">
        <v>13651</v>
      </c>
      <c r="B1071" s="1345" t="s">
        <v>13652</v>
      </c>
      <c r="C1071" s="1346" t="s">
        <v>5154</v>
      </c>
      <c r="D1071" s="1346" t="s">
        <v>1141</v>
      </c>
      <c r="E1071" s="1346" t="s">
        <v>11940</v>
      </c>
      <c r="F1071" s="1346" t="s">
        <v>11969</v>
      </c>
      <c r="G1071" s="1345" t="s">
        <v>243</v>
      </c>
      <c r="H1071" s="1345" t="s">
        <v>1136</v>
      </c>
      <c r="I1071" s="1349" t="s">
        <v>241</v>
      </c>
      <c r="J1071" s="1350"/>
      <c r="K1071" s="1348">
        <v>933000.0</v>
      </c>
    </row>
    <row r="1072">
      <c r="A1072" s="1344" t="s">
        <v>13653</v>
      </c>
      <c r="B1072" s="1345" t="s">
        <v>13654</v>
      </c>
      <c r="C1072" s="1346" t="s">
        <v>13655</v>
      </c>
      <c r="D1072" s="1346" t="s">
        <v>1142</v>
      </c>
      <c r="E1072" s="1346" t="s">
        <v>12061</v>
      </c>
      <c r="F1072" s="1346" t="s">
        <v>11931</v>
      </c>
      <c r="G1072" s="1345" t="s">
        <v>60</v>
      </c>
      <c r="H1072" s="1345" t="s">
        <v>1143</v>
      </c>
      <c r="I1072" s="1349" t="s">
        <v>137</v>
      </c>
      <c r="J1072" s="1350"/>
      <c r="K1072" s="1348">
        <v>1450000.0</v>
      </c>
    </row>
    <row r="1073">
      <c r="A1073" s="1344" t="s">
        <v>13656</v>
      </c>
      <c r="B1073" s="1345" t="s">
        <v>13657</v>
      </c>
      <c r="C1073" s="1346" t="s">
        <v>5154</v>
      </c>
      <c r="D1073" s="1346" t="s">
        <v>1144</v>
      </c>
      <c r="E1073" s="1346" t="s">
        <v>11940</v>
      </c>
      <c r="F1073" s="1346" t="s">
        <v>11944</v>
      </c>
      <c r="G1073" s="1345" t="s">
        <v>62</v>
      </c>
      <c r="H1073" s="1345" t="s">
        <v>1143</v>
      </c>
      <c r="I1073" s="1349" t="s">
        <v>1437</v>
      </c>
      <c r="J1073" s="1350"/>
      <c r="K1073" s="1348">
        <v>835000.0</v>
      </c>
    </row>
    <row r="1074">
      <c r="A1074" s="1344" t="s">
        <v>13658</v>
      </c>
      <c r="B1074" s="1345" t="s">
        <v>13659</v>
      </c>
      <c r="C1074" s="1346" t="s">
        <v>5154</v>
      </c>
      <c r="D1074" s="1346" t="s">
        <v>1145</v>
      </c>
      <c r="E1074" s="1346" t="s">
        <v>11940</v>
      </c>
      <c r="F1074" s="1346" t="s">
        <v>11944</v>
      </c>
      <c r="G1074" s="1345" t="s">
        <v>62</v>
      </c>
      <c r="H1074" s="1345" t="s">
        <v>1146</v>
      </c>
      <c r="I1074" s="1349" t="s">
        <v>1437</v>
      </c>
      <c r="J1074" s="1357">
        <v>626000.0</v>
      </c>
      <c r="K1074" s="1348">
        <v>1405000.0</v>
      </c>
    </row>
    <row r="1075">
      <c r="A1075" s="1344" t="s">
        <v>13660</v>
      </c>
      <c r="B1075" s="1345" t="s">
        <v>13661</v>
      </c>
      <c r="C1075" s="1346" t="s">
        <v>5154</v>
      </c>
      <c r="D1075" s="1346" t="s">
        <v>1147</v>
      </c>
      <c r="E1075" s="1346" t="s">
        <v>11940</v>
      </c>
      <c r="F1075" s="1346" t="s">
        <v>11969</v>
      </c>
      <c r="G1075" s="1345" t="s">
        <v>144</v>
      </c>
      <c r="H1075" s="1345" t="s">
        <v>1143</v>
      </c>
      <c r="I1075" s="1350"/>
      <c r="J1075" s="1350"/>
      <c r="K1075" s="1348">
        <v>319000.0</v>
      </c>
    </row>
    <row r="1076">
      <c r="A1076" s="1344" t="s">
        <v>13662</v>
      </c>
      <c r="B1076" s="1345" t="s">
        <v>13663</v>
      </c>
      <c r="C1076" s="1346" t="s">
        <v>5154</v>
      </c>
      <c r="D1076" s="1346" t="s">
        <v>1148</v>
      </c>
      <c r="E1076" s="1346" t="s">
        <v>11940</v>
      </c>
      <c r="F1076" s="1346" t="s">
        <v>11969</v>
      </c>
      <c r="G1076" s="1345" t="s">
        <v>146</v>
      </c>
      <c r="H1076" s="1345" t="s">
        <v>1143</v>
      </c>
      <c r="I1076" s="1350"/>
      <c r="J1076" s="1350"/>
      <c r="K1076" s="1348">
        <v>319000.0</v>
      </c>
    </row>
    <row r="1077">
      <c r="A1077" s="1344" t="s">
        <v>5154</v>
      </c>
      <c r="B1077" s="1345" t="s">
        <v>13664</v>
      </c>
      <c r="C1077" s="1346" t="s">
        <v>5154</v>
      </c>
      <c r="D1077" s="1346" t="s">
        <v>1786</v>
      </c>
      <c r="E1077" s="1346" t="s">
        <v>11930</v>
      </c>
      <c r="F1077" s="1346" t="s">
        <v>11931</v>
      </c>
      <c r="G1077" s="1345" t="s">
        <v>60</v>
      </c>
      <c r="H1077" s="1345" t="s">
        <v>13665</v>
      </c>
      <c r="I1077" s="1349" t="s">
        <v>745</v>
      </c>
      <c r="J1077" s="1350"/>
      <c r="K1077" s="1348">
        <v>8621000.0</v>
      </c>
    </row>
    <row r="1078">
      <c r="A1078" s="1344" t="s">
        <v>5154</v>
      </c>
      <c r="B1078" s="1345" t="s">
        <v>13666</v>
      </c>
      <c r="C1078" s="1346" t="s">
        <v>5154</v>
      </c>
      <c r="D1078" s="1346" t="s">
        <v>1788</v>
      </c>
      <c r="E1078" s="1346" t="s">
        <v>11930</v>
      </c>
      <c r="F1078" s="1346" t="s">
        <v>11944</v>
      </c>
      <c r="G1078" s="1345" t="s">
        <v>62</v>
      </c>
      <c r="H1078" s="1345" t="s">
        <v>13665</v>
      </c>
      <c r="I1078" s="1349" t="s">
        <v>1442</v>
      </c>
      <c r="J1078" s="1350"/>
      <c r="K1078" s="1348">
        <v>7063000.0</v>
      </c>
    </row>
    <row r="1079">
      <c r="A1079" s="1344" t="s">
        <v>13667</v>
      </c>
      <c r="B1079" s="1345" t="s">
        <v>13668</v>
      </c>
      <c r="C1079" s="1346" t="s">
        <v>13669</v>
      </c>
      <c r="D1079" s="1346" t="s">
        <v>1149</v>
      </c>
      <c r="E1079" s="1346" t="s">
        <v>11940</v>
      </c>
      <c r="F1079" s="1346" t="s">
        <v>11931</v>
      </c>
      <c r="G1079" s="1345" t="s">
        <v>60</v>
      </c>
      <c r="H1079" s="1345" t="s">
        <v>1150</v>
      </c>
      <c r="I1079" s="1349" t="s">
        <v>137</v>
      </c>
      <c r="J1079" s="1363"/>
      <c r="K1079" s="1348">
        <v>1409000.0</v>
      </c>
    </row>
    <row r="1080">
      <c r="A1080" s="1344" t="s">
        <v>13670</v>
      </c>
      <c r="B1080" s="1345" t="s">
        <v>13671</v>
      </c>
      <c r="C1080" s="1346" t="s">
        <v>5154</v>
      </c>
      <c r="D1080" s="1346" t="s">
        <v>1151</v>
      </c>
      <c r="E1080" s="1346" t="s">
        <v>11940</v>
      </c>
      <c r="F1080" s="1346" t="s">
        <v>11944</v>
      </c>
      <c r="G1080" s="1345" t="s">
        <v>62</v>
      </c>
      <c r="H1080" s="1345" t="s">
        <v>13672</v>
      </c>
      <c r="I1080" s="1349" t="s">
        <v>1792</v>
      </c>
      <c r="J1080" s="1357">
        <v>788000.0</v>
      </c>
      <c r="K1080" s="1348">
        <v>2237000.0</v>
      </c>
    </row>
    <row r="1081">
      <c r="A1081" s="1344" t="s">
        <v>13673</v>
      </c>
      <c r="B1081" s="1345" t="s">
        <v>13674</v>
      </c>
      <c r="C1081" s="1346" t="s">
        <v>5154</v>
      </c>
      <c r="D1081" s="1346" t="s">
        <v>1156</v>
      </c>
      <c r="E1081" s="1346" t="s">
        <v>11930</v>
      </c>
      <c r="F1081" s="1346" t="s">
        <v>11944</v>
      </c>
      <c r="G1081" s="1345" t="s">
        <v>62</v>
      </c>
      <c r="H1081" s="1345" t="s">
        <v>1157</v>
      </c>
      <c r="I1081" s="1349" t="s">
        <v>1792</v>
      </c>
      <c r="J1081" s="1357">
        <v>1272000.0</v>
      </c>
      <c r="K1081" s="1348">
        <v>2602000.0</v>
      </c>
    </row>
    <row r="1082">
      <c r="A1082" s="1344" t="s">
        <v>5154</v>
      </c>
      <c r="B1082" s="1345" t="s">
        <v>13675</v>
      </c>
      <c r="C1082" s="1346" t="s">
        <v>5154</v>
      </c>
      <c r="D1082" s="1346" t="s">
        <v>1790</v>
      </c>
      <c r="E1082" s="1346" t="s">
        <v>11930</v>
      </c>
      <c r="F1082" s="1351" t="s">
        <v>11944</v>
      </c>
      <c r="G1082" s="1349" t="s">
        <v>62</v>
      </c>
      <c r="H1082" s="1345" t="s">
        <v>1791</v>
      </c>
      <c r="I1082" s="1349" t="s">
        <v>1792</v>
      </c>
      <c r="J1082" s="1350"/>
      <c r="K1082" s="1348">
        <v>2237000.0</v>
      </c>
    </row>
    <row r="1083">
      <c r="A1083" s="1344" t="s">
        <v>13676</v>
      </c>
      <c r="B1083" s="1345" t="s">
        <v>13677</v>
      </c>
      <c r="C1083" s="1346" t="s">
        <v>5154</v>
      </c>
      <c r="D1083" s="1346" t="s">
        <v>1152</v>
      </c>
      <c r="E1083" s="1346" t="s">
        <v>13678</v>
      </c>
      <c r="F1083" s="1346" t="s">
        <v>11969</v>
      </c>
      <c r="G1083" s="1345" t="s">
        <v>140</v>
      </c>
      <c r="H1083" s="1345" t="s">
        <v>1150</v>
      </c>
      <c r="I1083" s="1349" t="s">
        <v>406</v>
      </c>
      <c r="J1083" s="1350"/>
      <c r="K1083" s="1348">
        <v>818000.0</v>
      </c>
    </row>
    <row r="1084">
      <c r="A1084" s="1344" t="s">
        <v>13679</v>
      </c>
      <c r="B1084" s="1345" t="s">
        <v>13680</v>
      </c>
      <c r="C1084" s="1346" t="s">
        <v>5154</v>
      </c>
      <c r="D1084" s="1346" t="s">
        <v>1153</v>
      </c>
      <c r="E1084" s="1346" t="s">
        <v>11940</v>
      </c>
      <c r="F1084" s="1346" t="s">
        <v>11969</v>
      </c>
      <c r="G1084" s="1345" t="s">
        <v>142</v>
      </c>
      <c r="H1084" s="1345" t="s">
        <v>1150</v>
      </c>
      <c r="I1084" s="1349" t="s">
        <v>406</v>
      </c>
      <c r="J1084" s="1350"/>
      <c r="K1084" s="1348">
        <v>818000.0</v>
      </c>
    </row>
    <row r="1085">
      <c r="A1085" s="1344" t="s">
        <v>5154</v>
      </c>
      <c r="B1085" s="1345" t="s">
        <v>13681</v>
      </c>
      <c r="C1085" s="1346" t="s">
        <v>5154</v>
      </c>
      <c r="D1085" s="1346" t="s">
        <v>13682</v>
      </c>
      <c r="E1085" s="1346" t="s">
        <v>11930</v>
      </c>
      <c r="F1085" s="1346" t="s">
        <v>11969</v>
      </c>
      <c r="G1085" s="1345" t="s">
        <v>144</v>
      </c>
      <c r="H1085" s="1345" t="s">
        <v>1796</v>
      </c>
      <c r="I1085" s="1349" t="s">
        <v>109</v>
      </c>
      <c r="J1085" s="1350"/>
      <c r="K1085" s="1348">
        <v>2595000.0</v>
      </c>
    </row>
    <row r="1086">
      <c r="A1086" s="1344" t="s">
        <v>5154</v>
      </c>
      <c r="B1086" s="1345" t="s">
        <v>13683</v>
      </c>
      <c r="C1086" s="1346" t="s">
        <v>5154</v>
      </c>
      <c r="D1086" s="1346" t="s">
        <v>1793</v>
      </c>
      <c r="E1086" s="1346" t="s">
        <v>11930</v>
      </c>
      <c r="F1086" s="1346" t="s">
        <v>11969</v>
      </c>
      <c r="G1086" s="1345" t="s">
        <v>146</v>
      </c>
      <c r="H1086" s="1345" t="s">
        <v>1150</v>
      </c>
      <c r="I1086" s="1349" t="s">
        <v>109</v>
      </c>
      <c r="J1086" s="1350"/>
      <c r="K1086" s="1348">
        <v>1060000.0</v>
      </c>
    </row>
    <row r="1087">
      <c r="A1087" s="1344" t="s">
        <v>5154</v>
      </c>
      <c r="B1087" s="1345" t="s">
        <v>13684</v>
      </c>
      <c r="C1087" s="1346" t="s">
        <v>5154</v>
      </c>
      <c r="D1087" s="1346" t="s">
        <v>1823</v>
      </c>
      <c r="E1087" s="1346" t="s">
        <v>11930</v>
      </c>
      <c r="F1087" s="1346" t="s">
        <v>11969</v>
      </c>
      <c r="G1087" s="1345" t="s">
        <v>906</v>
      </c>
      <c r="H1087" s="1345" t="s">
        <v>1150</v>
      </c>
      <c r="I1087" s="1349" t="s">
        <v>109</v>
      </c>
      <c r="J1087" s="1350"/>
      <c r="K1087" s="1348">
        <v>437000.0</v>
      </c>
    </row>
    <row r="1088">
      <c r="A1088" s="1344" t="s">
        <v>5154</v>
      </c>
      <c r="B1088" s="1345" t="s">
        <v>13685</v>
      </c>
      <c r="C1088" s="1346" t="s">
        <v>5154</v>
      </c>
      <c r="D1088" s="1346" t="s">
        <v>1794</v>
      </c>
      <c r="E1088" s="1346" t="s">
        <v>11940</v>
      </c>
      <c r="F1088" s="1346" t="s">
        <v>11969</v>
      </c>
      <c r="G1088" s="1345" t="s">
        <v>908</v>
      </c>
      <c r="H1088" s="1345" t="s">
        <v>1150</v>
      </c>
      <c r="I1088" s="1349" t="s">
        <v>109</v>
      </c>
      <c r="J1088" s="1350"/>
      <c r="K1088" s="1348">
        <v>437000.0</v>
      </c>
    </row>
    <row r="1089">
      <c r="A1089" s="1344" t="s">
        <v>13686</v>
      </c>
      <c r="B1089" s="1345" t="s">
        <v>13687</v>
      </c>
      <c r="C1089" s="1346" t="s">
        <v>5154</v>
      </c>
      <c r="D1089" s="1346" t="s">
        <v>1154</v>
      </c>
      <c r="E1089" s="1346" t="s">
        <v>11940</v>
      </c>
      <c r="F1089" s="1346" t="s">
        <v>11969</v>
      </c>
      <c r="G1089" s="1345" t="s">
        <v>910</v>
      </c>
      <c r="H1089" s="1345" t="s">
        <v>1150</v>
      </c>
      <c r="I1089" s="1349" t="s">
        <v>109</v>
      </c>
      <c r="J1089" s="1350"/>
      <c r="K1089" s="1348">
        <v>1060000.0</v>
      </c>
    </row>
    <row r="1090">
      <c r="A1090" s="1344" t="s">
        <v>13688</v>
      </c>
      <c r="B1090" s="1345" t="s">
        <v>13689</v>
      </c>
      <c r="C1090" s="1346" t="s">
        <v>5154</v>
      </c>
      <c r="D1090" s="1346" t="s">
        <v>1155</v>
      </c>
      <c r="E1090" s="1346" t="s">
        <v>11940</v>
      </c>
      <c r="F1090" s="1346" t="s">
        <v>11969</v>
      </c>
      <c r="G1090" s="1345" t="s">
        <v>913</v>
      </c>
      <c r="H1090" s="1353" t="s">
        <v>1150</v>
      </c>
      <c r="I1090" s="1349" t="s">
        <v>109</v>
      </c>
      <c r="J1090" s="1350"/>
      <c r="K1090" s="1348">
        <v>1060000.0</v>
      </c>
    </row>
    <row r="1091">
      <c r="A1091" s="1344" t="s">
        <v>5154</v>
      </c>
      <c r="B1091" s="1345" t="s">
        <v>13690</v>
      </c>
      <c r="C1091" s="1346" t="s">
        <v>5154</v>
      </c>
      <c r="D1091" s="1346" t="s">
        <v>1826</v>
      </c>
      <c r="E1091" s="1346" t="s">
        <v>11930</v>
      </c>
      <c r="F1091" s="1346" t="s">
        <v>11969</v>
      </c>
      <c r="G1091" s="1345" t="s">
        <v>913</v>
      </c>
      <c r="H1091" s="1345" t="s">
        <v>1796</v>
      </c>
      <c r="I1091" s="1349" t="s">
        <v>109</v>
      </c>
      <c r="J1091" s="1350"/>
      <c r="K1091" s="1348">
        <v>2595000.0</v>
      </c>
    </row>
    <row r="1092">
      <c r="A1092" s="1344" t="s">
        <v>5154</v>
      </c>
      <c r="B1092" s="1345" t="s">
        <v>13691</v>
      </c>
      <c r="C1092" s="1346" t="s">
        <v>5154</v>
      </c>
      <c r="D1092" s="1346" t="s">
        <v>1827</v>
      </c>
      <c r="E1092" s="1346" t="s">
        <v>11930</v>
      </c>
      <c r="F1092" s="1346" t="s">
        <v>11931</v>
      </c>
      <c r="G1092" s="1345" t="s">
        <v>60</v>
      </c>
      <c r="H1092" s="1345" t="s">
        <v>1798</v>
      </c>
      <c r="I1092" s="1349" t="s">
        <v>137</v>
      </c>
      <c r="J1092" s="1350"/>
      <c r="K1092" s="1348">
        <v>1494000.0</v>
      </c>
    </row>
    <row r="1093">
      <c r="A1093" s="1344" t="s">
        <v>5154</v>
      </c>
      <c r="B1093" s="1345" t="s">
        <v>13692</v>
      </c>
      <c r="C1093" s="1346" t="s">
        <v>5154</v>
      </c>
      <c r="D1093" s="1346" t="s">
        <v>1806</v>
      </c>
      <c r="E1093" s="1346" t="s">
        <v>11930</v>
      </c>
      <c r="F1093" s="1346" t="s">
        <v>11944</v>
      </c>
      <c r="G1093" s="1345" t="s">
        <v>62</v>
      </c>
      <c r="H1093" s="1349" t="s">
        <v>13693</v>
      </c>
      <c r="I1093" s="1349" t="s">
        <v>1437</v>
      </c>
      <c r="J1093" s="1350"/>
      <c r="K1093" s="1348">
        <v>2602000.0</v>
      </c>
    </row>
    <row r="1094">
      <c r="A1094" s="1360"/>
      <c r="B1094" s="1345" t="s">
        <v>13694</v>
      </c>
      <c r="C1094" s="1346" t="s">
        <v>5154</v>
      </c>
      <c r="D1094" s="1346" t="s">
        <v>2349</v>
      </c>
      <c r="E1094" s="1346" t="s">
        <v>11930</v>
      </c>
      <c r="F1094" s="1346" t="s">
        <v>11944</v>
      </c>
      <c r="G1094" s="1345" t="s">
        <v>62</v>
      </c>
      <c r="H1094" s="1345" t="s">
        <v>13695</v>
      </c>
      <c r="I1094" s="1349" t="s">
        <v>1437</v>
      </c>
      <c r="J1094" s="1350"/>
      <c r="K1094" s="1348">
        <v>2240000.0</v>
      </c>
    </row>
    <row r="1095">
      <c r="A1095" s="1344" t="s">
        <v>5154</v>
      </c>
      <c r="B1095" s="1345" t="s">
        <v>13696</v>
      </c>
      <c r="C1095" s="1346" t="s">
        <v>5154</v>
      </c>
      <c r="D1095" s="1346" t="s">
        <v>1797</v>
      </c>
      <c r="E1095" s="1346" t="s">
        <v>11930</v>
      </c>
      <c r="F1095" s="1346" t="s">
        <v>11969</v>
      </c>
      <c r="G1095" s="1345" t="s">
        <v>140</v>
      </c>
      <c r="H1095" s="1345" t="s">
        <v>1798</v>
      </c>
      <c r="I1095" s="1350"/>
      <c r="J1095" s="1350"/>
      <c r="K1095" s="1348">
        <v>825000.0</v>
      </c>
    </row>
    <row r="1096">
      <c r="A1096" s="1344" t="s">
        <v>5154</v>
      </c>
      <c r="B1096" s="1345" t="s">
        <v>13697</v>
      </c>
      <c r="C1096" s="1346" t="s">
        <v>5154</v>
      </c>
      <c r="D1096" s="1346" t="s">
        <v>1799</v>
      </c>
      <c r="E1096" s="1346" t="s">
        <v>11930</v>
      </c>
      <c r="F1096" s="1346" t="s">
        <v>11969</v>
      </c>
      <c r="G1096" s="1345" t="s">
        <v>142</v>
      </c>
      <c r="H1096" s="1345" t="s">
        <v>1798</v>
      </c>
      <c r="I1096" s="1350"/>
      <c r="J1096" s="1350"/>
      <c r="K1096" s="1348">
        <v>825000.0</v>
      </c>
    </row>
    <row r="1097">
      <c r="A1097" s="1344" t="s">
        <v>5154</v>
      </c>
      <c r="B1097" s="1345" t="s">
        <v>13698</v>
      </c>
      <c r="C1097" s="1346" t="s">
        <v>5154</v>
      </c>
      <c r="D1097" s="1346" t="s">
        <v>1801</v>
      </c>
      <c r="E1097" s="1346" t="s">
        <v>11930</v>
      </c>
      <c r="F1097" s="1346" t="s">
        <v>11969</v>
      </c>
      <c r="G1097" s="1345" t="s">
        <v>144</v>
      </c>
      <c r="H1097" s="1345" t="s">
        <v>1802</v>
      </c>
      <c r="I1097" s="1349" t="s">
        <v>109</v>
      </c>
      <c r="J1097" s="1350"/>
      <c r="K1097" s="1348">
        <v>3348000.0</v>
      </c>
    </row>
    <row r="1098">
      <c r="A1098" s="1344" t="s">
        <v>5154</v>
      </c>
      <c r="B1098" s="1345" t="s">
        <v>13699</v>
      </c>
      <c r="C1098" s="1346" t="s">
        <v>5154</v>
      </c>
      <c r="D1098" s="1346" t="s">
        <v>1803</v>
      </c>
      <c r="E1098" s="1346" t="s">
        <v>11930</v>
      </c>
      <c r="F1098" s="1346" t="s">
        <v>11969</v>
      </c>
      <c r="G1098" s="1345" t="s">
        <v>146</v>
      </c>
      <c r="H1098" s="1345" t="s">
        <v>1798</v>
      </c>
      <c r="I1098" s="1349" t="s">
        <v>109</v>
      </c>
      <c r="J1098" s="1350"/>
      <c r="K1098" s="1348">
        <v>1413000.0</v>
      </c>
    </row>
    <row r="1099">
      <c r="A1099" s="1344" t="s">
        <v>5154</v>
      </c>
      <c r="B1099" s="1345" t="s">
        <v>13700</v>
      </c>
      <c r="C1099" s="1346" t="s">
        <v>5154</v>
      </c>
      <c r="D1099" s="1346" t="s">
        <v>1804</v>
      </c>
      <c r="E1099" s="1346" t="s">
        <v>11930</v>
      </c>
      <c r="F1099" s="1346" t="s">
        <v>11969</v>
      </c>
      <c r="G1099" s="1345" t="s">
        <v>910</v>
      </c>
      <c r="H1099" s="1345" t="s">
        <v>1798</v>
      </c>
      <c r="I1099" s="1349" t="s">
        <v>109</v>
      </c>
      <c r="J1099" s="1350"/>
      <c r="K1099" s="1348">
        <v>1413000.0</v>
      </c>
    </row>
    <row r="1100">
      <c r="A1100" s="1344" t="s">
        <v>5154</v>
      </c>
      <c r="B1100" s="1345" t="s">
        <v>13701</v>
      </c>
      <c r="C1100" s="1346" t="s">
        <v>5154</v>
      </c>
      <c r="D1100" s="1346" t="s">
        <v>1805</v>
      </c>
      <c r="E1100" s="1346" t="s">
        <v>11930</v>
      </c>
      <c r="F1100" s="1346" t="s">
        <v>11969</v>
      </c>
      <c r="G1100" s="1345" t="s">
        <v>913</v>
      </c>
      <c r="H1100" s="1345" t="s">
        <v>1802</v>
      </c>
      <c r="I1100" s="1349" t="s">
        <v>109</v>
      </c>
      <c r="J1100" s="1350"/>
      <c r="K1100" s="1348">
        <v>3348000.0</v>
      </c>
    </row>
    <row r="1101">
      <c r="A1101" s="1344" t="s">
        <v>5154</v>
      </c>
      <c r="B1101" s="1345" t="s">
        <v>13702</v>
      </c>
      <c r="C1101" s="1346" t="s">
        <v>5154</v>
      </c>
      <c r="D1101" s="1351" t="s">
        <v>13703</v>
      </c>
      <c r="E1101" s="1346" t="s">
        <v>11930</v>
      </c>
      <c r="F1101" s="1346" t="s">
        <v>11931</v>
      </c>
      <c r="G1101" s="1345" t="s">
        <v>60</v>
      </c>
      <c r="H1101" s="1345" t="s">
        <v>13704</v>
      </c>
      <c r="I1101" s="1349" t="s">
        <v>109</v>
      </c>
      <c r="J1101" s="1350"/>
      <c r="K1101" s="1348">
        <v>1000000.0</v>
      </c>
    </row>
    <row r="1102">
      <c r="A1102" s="1344" t="s">
        <v>5154</v>
      </c>
      <c r="B1102" s="1345" t="s">
        <v>13705</v>
      </c>
      <c r="C1102" s="1346" t="s">
        <v>13706</v>
      </c>
      <c r="D1102" s="1346" t="s">
        <v>1808</v>
      </c>
      <c r="E1102" s="1346" t="s">
        <v>12158</v>
      </c>
      <c r="F1102" s="1346" t="s">
        <v>11931</v>
      </c>
      <c r="G1102" s="1345" t="s">
        <v>60</v>
      </c>
      <c r="H1102" s="1345" t="s">
        <v>1159</v>
      </c>
      <c r="I1102" s="1349" t="s">
        <v>137</v>
      </c>
      <c r="J1102" s="1350"/>
      <c r="K1102" s="1348">
        <v>1092000.0</v>
      </c>
    </row>
    <row r="1103">
      <c r="A1103" s="1344" t="s">
        <v>13707</v>
      </c>
      <c r="B1103" s="1345" t="s">
        <v>13708</v>
      </c>
      <c r="C1103" s="1346" t="s">
        <v>5154</v>
      </c>
      <c r="D1103" s="1346" t="s">
        <v>1158</v>
      </c>
      <c r="E1103" s="1346" t="s">
        <v>11940</v>
      </c>
      <c r="F1103" s="1346" t="s">
        <v>11944</v>
      </c>
      <c r="G1103" s="1345" t="s">
        <v>62</v>
      </c>
      <c r="H1103" s="1345" t="s">
        <v>1159</v>
      </c>
      <c r="I1103" s="1349" t="s">
        <v>11951</v>
      </c>
      <c r="J1103" s="1357">
        <v>287000.0</v>
      </c>
      <c r="K1103" s="1348">
        <v>595000.0</v>
      </c>
    </row>
    <row r="1104">
      <c r="A1104" s="1344" t="s">
        <v>13709</v>
      </c>
      <c r="B1104" s="1345" t="s">
        <v>13710</v>
      </c>
      <c r="C1104" s="1346" t="s">
        <v>13711</v>
      </c>
      <c r="D1104" s="1346" t="s">
        <v>1160</v>
      </c>
      <c r="E1104" s="1346" t="s">
        <v>13712</v>
      </c>
      <c r="F1104" s="1346" t="s">
        <v>11931</v>
      </c>
      <c r="G1104" s="1345" t="s">
        <v>60</v>
      </c>
      <c r="H1104" s="1345" t="s">
        <v>1161</v>
      </c>
      <c r="I1104" s="1349" t="s">
        <v>137</v>
      </c>
      <c r="J1104" s="1350"/>
      <c r="K1104" s="1348">
        <v>1450000.0</v>
      </c>
    </row>
    <row r="1105">
      <c r="A1105" s="1344" t="s">
        <v>13713</v>
      </c>
      <c r="B1105" s="1345" t="s">
        <v>13714</v>
      </c>
      <c r="C1105" s="1346" t="s">
        <v>5154</v>
      </c>
      <c r="D1105" s="1346" t="s">
        <v>1162</v>
      </c>
      <c r="E1105" s="1346" t="s">
        <v>11940</v>
      </c>
      <c r="F1105" s="1346" t="s">
        <v>11944</v>
      </c>
      <c r="G1105" s="1345" t="s">
        <v>62</v>
      </c>
      <c r="H1105" s="1345" t="s">
        <v>1161</v>
      </c>
      <c r="I1105" s="1349" t="s">
        <v>1442</v>
      </c>
      <c r="J1105" s="1357">
        <v>520000.0</v>
      </c>
      <c r="K1105" s="1348">
        <v>1265000.0</v>
      </c>
    </row>
    <row r="1106">
      <c r="A1106" s="1344" t="s">
        <v>13715</v>
      </c>
      <c r="B1106" s="1345" t="s">
        <v>13716</v>
      </c>
      <c r="C1106" s="1346" t="s">
        <v>5154</v>
      </c>
      <c r="D1106" s="1346" t="s">
        <v>1163</v>
      </c>
      <c r="E1106" s="1346" t="s">
        <v>11940</v>
      </c>
      <c r="F1106" s="1346" t="s">
        <v>11944</v>
      </c>
      <c r="G1106" s="1345" t="s">
        <v>62</v>
      </c>
      <c r="H1106" s="1345" t="s">
        <v>1161</v>
      </c>
      <c r="I1106" s="1349" t="s">
        <v>109</v>
      </c>
      <c r="J1106" s="1357">
        <v>499000.0</v>
      </c>
      <c r="K1106" s="1348">
        <v>1120000.0</v>
      </c>
    </row>
    <row r="1107">
      <c r="A1107" s="1344" t="s">
        <v>5154</v>
      </c>
      <c r="B1107" s="1345" t="s">
        <v>13717</v>
      </c>
      <c r="C1107" s="1346" t="s">
        <v>5154</v>
      </c>
      <c r="D1107" s="1346" t="s">
        <v>1809</v>
      </c>
      <c r="E1107" s="1346" t="s">
        <v>11930</v>
      </c>
      <c r="F1107" s="1346" t="s">
        <v>11969</v>
      </c>
      <c r="G1107" s="1345" t="s">
        <v>144</v>
      </c>
      <c r="H1107" s="1345" t="s">
        <v>1161</v>
      </c>
      <c r="I1107" s="1347"/>
      <c r="J1107" s="1347"/>
      <c r="K1107" s="1348">
        <v>464000.0</v>
      </c>
    </row>
    <row r="1108">
      <c r="A1108" s="1344" t="s">
        <v>5154</v>
      </c>
      <c r="B1108" s="1345" t="s">
        <v>13718</v>
      </c>
      <c r="C1108" s="1346" t="s">
        <v>5154</v>
      </c>
      <c r="D1108" s="1346" t="s">
        <v>1810</v>
      </c>
      <c r="E1108" s="1346" t="s">
        <v>11930</v>
      </c>
      <c r="F1108" s="1346" t="s">
        <v>11969</v>
      </c>
      <c r="G1108" s="1345" t="s">
        <v>146</v>
      </c>
      <c r="H1108" s="1345" t="s">
        <v>1161</v>
      </c>
      <c r="I1108" s="1347"/>
      <c r="J1108" s="1347"/>
      <c r="K1108" s="1348">
        <v>464000.0</v>
      </c>
    </row>
    <row r="1109">
      <c r="A1109" s="1344" t="s">
        <v>5154</v>
      </c>
      <c r="B1109" s="1345" t="s">
        <v>13719</v>
      </c>
      <c r="C1109" s="1346" t="s">
        <v>5154</v>
      </c>
      <c r="D1109" s="1346" t="s">
        <v>1811</v>
      </c>
      <c r="E1109" s="1346" t="s">
        <v>11930</v>
      </c>
      <c r="F1109" s="1346" t="s">
        <v>11969</v>
      </c>
      <c r="G1109" s="1345" t="s">
        <v>396</v>
      </c>
      <c r="H1109" s="1345" t="s">
        <v>1161</v>
      </c>
      <c r="I1109" s="1347"/>
      <c r="J1109" s="1347"/>
      <c r="K1109" s="1348">
        <v>208000.0</v>
      </c>
    </row>
    <row r="1110">
      <c r="A1110" s="1344" t="s">
        <v>5154</v>
      </c>
      <c r="B1110" s="1345" t="s">
        <v>13720</v>
      </c>
      <c r="C1110" s="1346" t="s">
        <v>5154</v>
      </c>
      <c r="D1110" s="1346" t="s">
        <v>1812</v>
      </c>
      <c r="E1110" s="1346" t="s">
        <v>11930</v>
      </c>
      <c r="F1110" s="1346" t="s">
        <v>11969</v>
      </c>
      <c r="G1110" s="1345" t="s">
        <v>398</v>
      </c>
      <c r="H1110" s="1345" t="s">
        <v>1161</v>
      </c>
      <c r="I1110" s="1347"/>
      <c r="J1110" s="1347"/>
      <c r="K1110" s="1348">
        <v>208000.0</v>
      </c>
    </row>
    <row r="1111">
      <c r="A1111" s="1344" t="s">
        <v>13721</v>
      </c>
      <c r="B1111" s="1345" t="s">
        <v>13722</v>
      </c>
      <c r="C1111" s="1346" t="s">
        <v>13723</v>
      </c>
      <c r="D1111" s="1346" t="s">
        <v>1164</v>
      </c>
      <c r="E1111" s="1346" t="s">
        <v>12061</v>
      </c>
      <c r="F1111" s="1346" t="s">
        <v>11931</v>
      </c>
      <c r="G1111" s="1345" t="s">
        <v>60</v>
      </c>
      <c r="H1111" s="1345" t="s">
        <v>1165</v>
      </c>
      <c r="I1111" s="1349" t="s">
        <v>137</v>
      </c>
      <c r="J1111" s="1350"/>
      <c r="K1111" s="1348">
        <v>1116000.0</v>
      </c>
    </row>
    <row r="1112">
      <c r="A1112" s="1344" t="s">
        <v>13724</v>
      </c>
      <c r="B1112" s="1345" t="s">
        <v>13725</v>
      </c>
      <c r="C1112" s="1346" t="s">
        <v>5154</v>
      </c>
      <c r="D1112" s="1346" t="s">
        <v>1166</v>
      </c>
      <c r="E1112" s="1346" t="s">
        <v>11940</v>
      </c>
      <c r="F1112" s="1346" t="s">
        <v>11944</v>
      </c>
      <c r="G1112" s="1345" t="s">
        <v>62</v>
      </c>
      <c r="H1112" s="1345" t="s">
        <v>1165</v>
      </c>
      <c r="I1112" s="1349" t="s">
        <v>1442</v>
      </c>
      <c r="J1112" s="1357">
        <v>520000.0</v>
      </c>
      <c r="K1112" s="1348">
        <v>1092000.0</v>
      </c>
    </row>
    <row r="1113">
      <c r="A1113" s="1344" t="s">
        <v>13726</v>
      </c>
      <c r="B1113" s="1345" t="s">
        <v>13727</v>
      </c>
      <c r="C1113" s="1346" t="s">
        <v>5154</v>
      </c>
      <c r="D1113" s="1346" t="s">
        <v>1167</v>
      </c>
      <c r="E1113" s="1346" t="s">
        <v>11940</v>
      </c>
      <c r="F1113" s="1346" t="s">
        <v>11944</v>
      </c>
      <c r="G1113" s="1345" t="s">
        <v>62</v>
      </c>
      <c r="H1113" s="1345" t="s">
        <v>1165</v>
      </c>
      <c r="I1113" s="1349" t="s">
        <v>109</v>
      </c>
      <c r="J1113" s="1357">
        <v>467000.0</v>
      </c>
      <c r="K1113" s="1348">
        <v>1022000.0</v>
      </c>
    </row>
    <row r="1114">
      <c r="A1114" s="1344" t="s">
        <v>13728</v>
      </c>
      <c r="B1114" s="1345" t="s">
        <v>5154</v>
      </c>
      <c r="C1114" s="1346" t="s">
        <v>5154</v>
      </c>
      <c r="D1114" s="1346" t="s">
        <v>1168</v>
      </c>
      <c r="E1114" s="1346" t="s">
        <v>11943</v>
      </c>
      <c r="F1114" s="1346" t="s">
        <v>11969</v>
      </c>
      <c r="G1114" s="1345" t="s">
        <v>396</v>
      </c>
      <c r="H1114" s="1345" t="s">
        <v>1165</v>
      </c>
      <c r="I1114" s="1350"/>
      <c r="J1114" s="1350"/>
      <c r="K1114" s="1348">
        <v>108000.0</v>
      </c>
    </row>
    <row r="1115">
      <c r="A1115" s="1344" t="s">
        <v>13729</v>
      </c>
      <c r="B1115" s="1345" t="s">
        <v>5154</v>
      </c>
      <c r="C1115" s="1346" t="s">
        <v>5154</v>
      </c>
      <c r="D1115" s="1346" t="s">
        <v>1169</v>
      </c>
      <c r="E1115" s="1346" t="s">
        <v>11943</v>
      </c>
      <c r="F1115" s="1346" t="s">
        <v>11969</v>
      </c>
      <c r="G1115" s="1345" t="s">
        <v>398</v>
      </c>
      <c r="H1115" s="1345" t="s">
        <v>1165</v>
      </c>
      <c r="I1115" s="1350"/>
      <c r="J1115" s="1350"/>
      <c r="K1115" s="1348">
        <v>108000.0</v>
      </c>
    </row>
    <row r="1116">
      <c r="A1116" s="1344" t="s">
        <v>13730</v>
      </c>
      <c r="B1116" s="1345" t="s">
        <v>5154</v>
      </c>
      <c r="C1116" s="1346" t="s">
        <v>5154</v>
      </c>
      <c r="D1116" s="1346" t="s">
        <v>1170</v>
      </c>
      <c r="E1116" s="1346" t="s">
        <v>11943</v>
      </c>
      <c r="F1116" s="1346" t="s">
        <v>11969</v>
      </c>
      <c r="G1116" s="1345" t="s">
        <v>243</v>
      </c>
      <c r="H1116" s="1345" t="s">
        <v>1165</v>
      </c>
      <c r="I1116" s="1349" t="s">
        <v>241</v>
      </c>
      <c r="J1116" s="1350"/>
      <c r="K1116" s="1348">
        <v>681000.0</v>
      </c>
    </row>
    <row r="1117">
      <c r="A1117" s="1344" t="s">
        <v>13731</v>
      </c>
      <c r="B1117" s="1345" t="s">
        <v>13732</v>
      </c>
      <c r="C1117" s="1346" t="s">
        <v>13733</v>
      </c>
      <c r="D1117" s="1346" t="s">
        <v>1171</v>
      </c>
      <c r="E1117" s="1346" t="s">
        <v>12061</v>
      </c>
      <c r="F1117" s="1346" t="s">
        <v>11931</v>
      </c>
      <c r="G1117" s="1345" t="s">
        <v>60</v>
      </c>
      <c r="H1117" s="1345" t="s">
        <v>2256</v>
      </c>
      <c r="I1117" s="1349" t="s">
        <v>137</v>
      </c>
      <c r="J1117" s="1350"/>
      <c r="K1117" s="1348">
        <v>1364000.0</v>
      </c>
    </row>
    <row r="1118">
      <c r="A1118" s="1344" t="s">
        <v>5154</v>
      </c>
      <c r="B1118" s="1345" t="s">
        <v>13734</v>
      </c>
      <c r="C1118" s="1346" t="s">
        <v>5154</v>
      </c>
      <c r="D1118" s="1346" t="s">
        <v>1813</v>
      </c>
      <c r="E1118" s="1346" t="s">
        <v>11930</v>
      </c>
      <c r="F1118" s="1346" t="s">
        <v>11944</v>
      </c>
      <c r="G1118" s="1345" t="s">
        <v>62</v>
      </c>
      <c r="H1118" s="1345" t="s">
        <v>2256</v>
      </c>
      <c r="I1118" s="1349" t="s">
        <v>546</v>
      </c>
      <c r="J1118" s="1357">
        <v>467000.0</v>
      </c>
      <c r="K1118" s="1348">
        <v>969000.0</v>
      </c>
    </row>
    <row r="1119">
      <c r="A1119" s="1344" t="s">
        <v>5154</v>
      </c>
      <c r="B1119" s="1345" t="s">
        <v>13735</v>
      </c>
      <c r="C1119" s="1346" t="s">
        <v>5154</v>
      </c>
      <c r="D1119" s="1346" t="s">
        <v>1814</v>
      </c>
      <c r="E1119" s="1346" t="s">
        <v>11930</v>
      </c>
      <c r="F1119" s="1346" t="s">
        <v>11944</v>
      </c>
      <c r="G1119" s="1345" t="s">
        <v>62</v>
      </c>
      <c r="H1119" s="1345" t="s">
        <v>2256</v>
      </c>
      <c r="I1119" s="1349" t="s">
        <v>1437</v>
      </c>
      <c r="J1119" s="1357">
        <v>531000.0</v>
      </c>
      <c r="K1119" s="1348">
        <v>1007000.0</v>
      </c>
    </row>
    <row r="1120">
      <c r="A1120" s="1344" t="s">
        <v>5154</v>
      </c>
      <c r="B1120" s="1345" t="s">
        <v>13736</v>
      </c>
      <c r="C1120" s="1346" t="s">
        <v>5154</v>
      </c>
      <c r="D1120" s="1346" t="s">
        <v>2480</v>
      </c>
      <c r="E1120" s="1346" t="s">
        <v>11930</v>
      </c>
      <c r="F1120" s="1346" t="s">
        <v>11931</v>
      </c>
      <c r="G1120" s="1349" t="s">
        <v>60</v>
      </c>
      <c r="H1120" s="1345" t="s">
        <v>2481</v>
      </c>
      <c r="I1120" s="1349" t="s">
        <v>90</v>
      </c>
      <c r="J1120" s="1350"/>
      <c r="K1120" s="1348">
        <v>1800000.0</v>
      </c>
    </row>
    <row r="1121">
      <c r="A1121" s="1344" t="s">
        <v>5154</v>
      </c>
      <c r="B1121" s="1345" t="s">
        <v>13737</v>
      </c>
      <c r="C1121" s="1346" t="s">
        <v>5154</v>
      </c>
      <c r="D1121" s="1346" t="s">
        <v>2448</v>
      </c>
      <c r="E1121" s="1346" t="s">
        <v>11930</v>
      </c>
      <c r="F1121" s="1346" t="s">
        <v>11931</v>
      </c>
      <c r="G1121" s="1349" t="s">
        <v>60</v>
      </c>
      <c r="H1121" s="1345" t="s">
        <v>2449</v>
      </c>
      <c r="I1121" s="1349" t="s">
        <v>137</v>
      </c>
      <c r="J1121" s="1350"/>
      <c r="K1121" s="1348">
        <v>1150000.0</v>
      </c>
    </row>
    <row r="1122">
      <c r="A1122" s="1344" t="s">
        <v>13738</v>
      </c>
      <c r="B1122" s="1345" t="s">
        <v>13739</v>
      </c>
      <c r="C1122" s="1346" t="s">
        <v>5154</v>
      </c>
      <c r="D1122" s="1346" t="s">
        <v>1173</v>
      </c>
      <c r="E1122" s="1346" t="s">
        <v>11940</v>
      </c>
      <c r="F1122" s="1346" t="s">
        <v>11931</v>
      </c>
      <c r="G1122" s="1345" t="s">
        <v>60</v>
      </c>
      <c r="H1122" s="1345" t="s">
        <v>1174</v>
      </c>
      <c r="I1122" s="1349" t="s">
        <v>137</v>
      </c>
      <c r="J1122" s="1350"/>
      <c r="K1122" s="1348">
        <v>3120000.0</v>
      </c>
    </row>
    <row r="1123">
      <c r="A1123" s="1344" t="s">
        <v>13740</v>
      </c>
      <c r="B1123" s="1345" t="s">
        <v>5154</v>
      </c>
      <c r="C1123" s="1346" t="s">
        <v>5154</v>
      </c>
      <c r="D1123" s="1346" t="s">
        <v>1175</v>
      </c>
      <c r="E1123" s="1346" t="s">
        <v>11943</v>
      </c>
      <c r="F1123" s="1346" t="s">
        <v>11944</v>
      </c>
      <c r="G1123" s="1345" t="s">
        <v>62</v>
      </c>
      <c r="H1123" s="1345" t="s">
        <v>1174</v>
      </c>
      <c r="I1123" s="1349" t="s">
        <v>1442</v>
      </c>
      <c r="J1123" s="1350"/>
      <c r="K1123" s="1348">
        <v>2498000.0</v>
      </c>
    </row>
    <row r="1124">
      <c r="A1124" s="1344" t="s">
        <v>5154</v>
      </c>
      <c r="B1124" s="1345" t="s">
        <v>13741</v>
      </c>
      <c r="C1124" s="1346" t="s">
        <v>13742</v>
      </c>
      <c r="D1124" s="1346" t="s">
        <v>1833</v>
      </c>
      <c r="E1124" s="1346" t="s">
        <v>12158</v>
      </c>
      <c r="F1124" s="1346" t="s">
        <v>11931</v>
      </c>
      <c r="G1124" s="1345" t="s">
        <v>60</v>
      </c>
      <c r="H1124" s="1345" t="s">
        <v>13743</v>
      </c>
      <c r="I1124" s="1350"/>
      <c r="J1124" s="1350"/>
      <c r="K1124" s="1348">
        <v>1078000.0</v>
      </c>
    </row>
    <row r="1125">
      <c r="A1125" s="1344" t="s">
        <v>5154</v>
      </c>
      <c r="B1125" s="1345" t="s">
        <v>13744</v>
      </c>
      <c r="C1125" s="1346" t="s">
        <v>13745</v>
      </c>
      <c r="D1125" s="1346" t="s">
        <v>1839</v>
      </c>
      <c r="E1125" s="1346" t="s">
        <v>12158</v>
      </c>
      <c r="F1125" s="1346" t="s">
        <v>11931</v>
      </c>
      <c r="G1125" s="1345" t="s">
        <v>60</v>
      </c>
      <c r="H1125" s="1345" t="s">
        <v>13746</v>
      </c>
      <c r="I1125" s="1349" t="s">
        <v>109</v>
      </c>
      <c r="J1125" s="1350"/>
      <c r="K1125" s="1348">
        <v>1078000.0</v>
      </c>
    </row>
    <row r="1126">
      <c r="A1126" s="1344" t="s">
        <v>5154</v>
      </c>
      <c r="B1126" s="1345" t="s">
        <v>13747</v>
      </c>
      <c r="C1126" s="1346" t="s">
        <v>5154</v>
      </c>
      <c r="D1126" s="1351" t="s">
        <v>1815</v>
      </c>
      <c r="E1126" s="1346" t="s">
        <v>11930</v>
      </c>
      <c r="F1126" s="1346" t="s">
        <v>11931</v>
      </c>
      <c r="G1126" s="1345" t="s">
        <v>60</v>
      </c>
      <c r="H1126" s="1345" t="s">
        <v>1816</v>
      </c>
      <c r="I1126" s="1350"/>
      <c r="J1126" s="1350"/>
      <c r="K1126" s="1348">
        <v>702000.0</v>
      </c>
    </row>
    <row r="1127">
      <c r="A1127" s="1344" t="s">
        <v>13748</v>
      </c>
      <c r="B1127" s="1345" t="s">
        <v>13749</v>
      </c>
      <c r="C1127" s="1346" t="s">
        <v>5154</v>
      </c>
      <c r="D1127" s="1346" t="s">
        <v>1176</v>
      </c>
      <c r="E1127" s="1346" t="s">
        <v>11940</v>
      </c>
      <c r="F1127" s="1346" t="s">
        <v>11931</v>
      </c>
      <c r="G1127" s="1345" t="s">
        <v>60</v>
      </c>
      <c r="H1127" s="1345" t="s">
        <v>755</v>
      </c>
      <c r="I1127" s="1350"/>
      <c r="J1127" s="1350"/>
      <c r="K1127" s="1348">
        <v>1695000.0</v>
      </c>
    </row>
    <row r="1128">
      <c r="A1128" s="1344" t="s">
        <v>13750</v>
      </c>
      <c r="B1128" s="1345" t="s">
        <v>13751</v>
      </c>
      <c r="C1128" s="1346" t="s">
        <v>5154</v>
      </c>
      <c r="D1128" s="1346" t="s">
        <v>1177</v>
      </c>
      <c r="E1128" s="1346" t="s">
        <v>11940</v>
      </c>
      <c r="F1128" s="1346" t="s">
        <v>11944</v>
      </c>
      <c r="G1128" s="1345" t="s">
        <v>62</v>
      </c>
      <c r="H1128" s="1345" t="s">
        <v>755</v>
      </c>
      <c r="I1128" s="1349" t="s">
        <v>11962</v>
      </c>
      <c r="J1128" s="1350"/>
      <c r="K1128" s="1348">
        <v>3051000.0</v>
      </c>
    </row>
    <row r="1129">
      <c r="A1129" s="1344" t="s">
        <v>13752</v>
      </c>
      <c r="B1129" s="1345" t="s">
        <v>5154</v>
      </c>
      <c r="C1129" s="1346" t="s">
        <v>5154</v>
      </c>
      <c r="D1129" s="1346" t="s">
        <v>1178</v>
      </c>
      <c r="E1129" s="1346" t="s">
        <v>11943</v>
      </c>
      <c r="F1129" s="1346" t="s">
        <v>11969</v>
      </c>
      <c r="G1129" s="1345" t="s">
        <v>144</v>
      </c>
      <c r="H1129" s="1345" t="s">
        <v>755</v>
      </c>
      <c r="I1129" s="1350"/>
      <c r="J1129" s="1350"/>
      <c r="K1129" s="1348">
        <v>725000.0</v>
      </c>
    </row>
    <row r="1130">
      <c r="A1130" s="1344" t="s">
        <v>13753</v>
      </c>
      <c r="B1130" s="1345" t="s">
        <v>5154</v>
      </c>
      <c r="C1130" s="1346" t="s">
        <v>5154</v>
      </c>
      <c r="D1130" s="1346" t="s">
        <v>754</v>
      </c>
      <c r="E1130" s="1346" t="s">
        <v>11943</v>
      </c>
      <c r="F1130" s="1346" t="s">
        <v>11969</v>
      </c>
      <c r="G1130" s="1345" t="s">
        <v>146</v>
      </c>
      <c r="H1130" s="1345" t="s">
        <v>755</v>
      </c>
      <c r="I1130" s="1350"/>
      <c r="J1130" s="1350"/>
      <c r="K1130" s="1348">
        <v>725000.0</v>
      </c>
    </row>
    <row r="1131">
      <c r="A1131" s="1344" t="s">
        <v>13754</v>
      </c>
      <c r="B1131" s="1345" t="s">
        <v>13755</v>
      </c>
      <c r="C1131" s="1346" t="s">
        <v>5154</v>
      </c>
      <c r="D1131" s="1346" t="s">
        <v>1180</v>
      </c>
      <c r="E1131" s="1346" t="s">
        <v>11943</v>
      </c>
      <c r="F1131" s="1346" t="s">
        <v>11969</v>
      </c>
      <c r="G1131" s="1345" t="s">
        <v>906</v>
      </c>
      <c r="H1131" s="1345" t="s">
        <v>755</v>
      </c>
      <c r="I1131" s="1349" t="s">
        <v>152</v>
      </c>
      <c r="J1131" s="1350"/>
      <c r="K1131" s="1348">
        <v>644000.0</v>
      </c>
    </row>
    <row r="1132">
      <c r="A1132" s="1344" t="s">
        <v>13756</v>
      </c>
      <c r="B1132" s="1345" t="s">
        <v>5154</v>
      </c>
      <c r="C1132" s="1346" t="s">
        <v>5154</v>
      </c>
      <c r="D1132" s="1346" t="s">
        <v>1181</v>
      </c>
      <c r="E1132" s="1346" t="s">
        <v>11943</v>
      </c>
      <c r="F1132" s="1346" t="s">
        <v>11969</v>
      </c>
      <c r="G1132" s="1345" t="s">
        <v>908</v>
      </c>
      <c r="H1132" s="1345" t="s">
        <v>755</v>
      </c>
      <c r="I1132" s="1349" t="s">
        <v>152</v>
      </c>
      <c r="J1132" s="1350"/>
      <c r="K1132" s="1348">
        <v>644000.0</v>
      </c>
    </row>
    <row r="1133">
      <c r="A1133" s="1344" t="s">
        <v>13757</v>
      </c>
      <c r="B1133" s="1345" t="s">
        <v>13758</v>
      </c>
      <c r="C1133" s="1346" t="s">
        <v>5154</v>
      </c>
      <c r="D1133" s="1346" t="s">
        <v>1182</v>
      </c>
      <c r="E1133" s="1346" t="s">
        <v>11943</v>
      </c>
      <c r="F1133" s="1346" t="s">
        <v>11969</v>
      </c>
      <c r="G1133" s="1345" t="s">
        <v>910</v>
      </c>
      <c r="H1133" s="1345" t="s">
        <v>755</v>
      </c>
      <c r="I1133" s="1349" t="s">
        <v>152</v>
      </c>
      <c r="J1133" s="1350"/>
      <c r="K1133" s="1348">
        <v>644000.0</v>
      </c>
    </row>
    <row r="1134">
      <c r="A1134" s="1344" t="s">
        <v>13759</v>
      </c>
      <c r="B1134" s="1345" t="s">
        <v>13760</v>
      </c>
      <c r="C1134" s="1346" t="s">
        <v>5154</v>
      </c>
      <c r="D1134" s="1346" t="s">
        <v>1183</v>
      </c>
      <c r="E1134" s="1346" t="s">
        <v>11943</v>
      </c>
      <c r="F1134" s="1346" t="s">
        <v>11969</v>
      </c>
      <c r="G1134" s="1345" t="s">
        <v>913</v>
      </c>
      <c r="H1134" s="1345" t="s">
        <v>755</v>
      </c>
      <c r="I1134" s="1349" t="s">
        <v>152</v>
      </c>
      <c r="J1134" s="1350"/>
      <c r="K1134" s="1348">
        <v>644000.0</v>
      </c>
    </row>
    <row r="1135">
      <c r="A1135" s="1344" t="s">
        <v>5154</v>
      </c>
      <c r="B1135" s="1345" t="s">
        <v>13761</v>
      </c>
      <c r="C1135" s="1346" t="s">
        <v>5154</v>
      </c>
      <c r="D1135" s="1346" t="s">
        <v>1817</v>
      </c>
      <c r="E1135" s="1346" t="s">
        <v>11930</v>
      </c>
      <c r="F1135" s="1346" t="s">
        <v>11931</v>
      </c>
      <c r="G1135" s="1345" t="s">
        <v>60</v>
      </c>
      <c r="H1135" s="1345" t="s">
        <v>1818</v>
      </c>
      <c r="I1135" s="1349" t="s">
        <v>90</v>
      </c>
      <c r="J1135" s="1350"/>
      <c r="K1135" s="1348">
        <v>3326000.0</v>
      </c>
    </row>
    <row r="1136">
      <c r="A1136" s="1344" t="s">
        <v>13762</v>
      </c>
      <c r="B1136" s="1345" t="s">
        <v>5154</v>
      </c>
      <c r="C1136" s="1346" t="s">
        <v>5154</v>
      </c>
      <c r="D1136" s="1346" t="s">
        <v>1184</v>
      </c>
      <c r="E1136" s="1346" t="s">
        <v>11943</v>
      </c>
      <c r="F1136" s="1346" t="s">
        <v>11931</v>
      </c>
      <c r="G1136" s="1345" t="s">
        <v>60</v>
      </c>
      <c r="H1136" s="1345" t="s">
        <v>1185</v>
      </c>
      <c r="I1136" s="1349" t="s">
        <v>137</v>
      </c>
      <c r="J1136" s="1350"/>
      <c r="K1136" s="1348">
        <v>3137000.0</v>
      </c>
    </row>
    <row r="1137">
      <c r="A1137" s="1344" t="s">
        <v>13763</v>
      </c>
      <c r="B1137" s="1345" t="s">
        <v>5154</v>
      </c>
      <c r="C1137" s="1346" t="s">
        <v>5154</v>
      </c>
      <c r="D1137" s="1346" t="s">
        <v>1186</v>
      </c>
      <c r="E1137" s="1346" t="s">
        <v>11943</v>
      </c>
      <c r="F1137" s="1346" t="s">
        <v>11944</v>
      </c>
      <c r="G1137" s="1345" t="s">
        <v>62</v>
      </c>
      <c r="H1137" s="1345" t="s">
        <v>1187</v>
      </c>
      <c r="I1137" s="1349" t="s">
        <v>1442</v>
      </c>
      <c r="J1137" s="1350"/>
      <c r="K1137" s="1348">
        <v>2731000.0</v>
      </c>
    </row>
    <row r="1138">
      <c r="A1138" s="1344" t="s">
        <v>13764</v>
      </c>
      <c r="B1138" s="1345" t="s">
        <v>13765</v>
      </c>
      <c r="C1138" s="1346" t="s">
        <v>5154</v>
      </c>
      <c r="D1138" s="1346" t="s">
        <v>1188</v>
      </c>
      <c r="E1138" s="1346" t="s">
        <v>11943</v>
      </c>
      <c r="F1138" s="1346" t="s">
        <v>11969</v>
      </c>
      <c r="G1138" s="1345" t="s">
        <v>144</v>
      </c>
      <c r="H1138" s="1345" t="s">
        <v>1187</v>
      </c>
      <c r="I1138" s="1350"/>
      <c r="J1138" s="1350"/>
      <c r="K1138" s="1348">
        <v>725000.0</v>
      </c>
    </row>
    <row r="1139">
      <c r="A1139" s="1344" t="s">
        <v>13766</v>
      </c>
      <c r="B1139" s="1345" t="s">
        <v>13767</v>
      </c>
      <c r="C1139" s="1346" t="s">
        <v>5154</v>
      </c>
      <c r="D1139" s="1346" t="s">
        <v>1189</v>
      </c>
      <c r="E1139" s="1346" t="s">
        <v>11943</v>
      </c>
      <c r="F1139" s="1346" t="s">
        <v>11969</v>
      </c>
      <c r="G1139" s="1345" t="s">
        <v>146</v>
      </c>
      <c r="H1139" s="1345" t="s">
        <v>1187</v>
      </c>
      <c r="I1139" s="1350"/>
      <c r="J1139" s="1350"/>
      <c r="K1139" s="1348">
        <v>725000.0</v>
      </c>
    </row>
    <row r="1140">
      <c r="A1140" s="1344" t="s">
        <v>13768</v>
      </c>
      <c r="B1140" s="1345" t="s">
        <v>5154</v>
      </c>
      <c r="C1140" s="1346" t="s">
        <v>5154</v>
      </c>
      <c r="D1140" s="1346" t="s">
        <v>1190</v>
      </c>
      <c r="E1140" s="1346" t="s">
        <v>11943</v>
      </c>
      <c r="F1140" s="1346" t="s">
        <v>11969</v>
      </c>
      <c r="G1140" s="1345" t="s">
        <v>209</v>
      </c>
      <c r="H1140" s="1345" t="s">
        <v>1187</v>
      </c>
      <c r="I1140" s="1349" t="s">
        <v>546</v>
      </c>
      <c r="J1140" s="1350"/>
      <c r="K1140" s="1348">
        <v>966000.0</v>
      </c>
    </row>
    <row r="1141">
      <c r="A1141" s="1344" t="s">
        <v>13769</v>
      </c>
      <c r="B1141" s="1345" t="s">
        <v>5154</v>
      </c>
      <c r="C1141" s="1346" t="s">
        <v>5154</v>
      </c>
      <c r="D1141" s="1346" t="s">
        <v>1191</v>
      </c>
      <c r="E1141" s="1346" t="s">
        <v>11943</v>
      </c>
      <c r="F1141" s="1346" t="s">
        <v>11969</v>
      </c>
      <c r="G1141" s="1345" t="s">
        <v>243</v>
      </c>
      <c r="H1141" s="1345" t="s">
        <v>1187</v>
      </c>
      <c r="I1141" s="1349" t="s">
        <v>546</v>
      </c>
      <c r="J1141" s="1350"/>
      <c r="K1141" s="1348">
        <v>966000.0</v>
      </c>
    </row>
    <row r="1142">
      <c r="A1142" s="1344" t="s">
        <v>13770</v>
      </c>
      <c r="B1142" s="1345" t="s">
        <v>13771</v>
      </c>
      <c r="C1142" s="1346" t="s">
        <v>5154</v>
      </c>
      <c r="D1142" s="1346" t="s">
        <v>1192</v>
      </c>
      <c r="E1142" s="1346" t="s">
        <v>11940</v>
      </c>
      <c r="F1142" s="1346" t="s">
        <v>11931</v>
      </c>
      <c r="G1142" s="1345" t="s">
        <v>60</v>
      </c>
      <c r="H1142" s="1349" t="s">
        <v>13772</v>
      </c>
      <c r="I1142" s="1349" t="s">
        <v>90</v>
      </c>
      <c r="J1142" s="1350"/>
      <c r="K1142" s="1348">
        <v>3080000.0</v>
      </c>
    </row>
    <row r="1143">
      <c r="A1143" s="1344" t="s">
        <v>5154</v>
      </c>
      <c r="B1143" s="1345" t="s">
        <v>13773</v>
      </c>
      <c r="C1143" s="1346" t="s">
        <v>5154</v>
      </c>
      <c r="D1143" s="1346" t="s">
        <v>13774</v>
      </c>
      <c r="E1143" s="1346" t="s">
        <v>11930</v>
      </c>
      <c r="F1143" s="1351" t="s">
        <v>11931</v>
      </c>
      <c r="G1143" s="1349" t="s">
        <v>60</v>
      </c>
      <c r="H1143" s="1345" t="s">
        <v>13775</v>
      </c>
      <c r="I1143" s="1349" t="s">
        <v>90</v>
      </c>
      <c r="J1143" s="1350"/>
      <c r="K1143" s="1348">
        <v>3080000.0</v>
      </c>
    </row>
    <row r="1144">
      <c r="A1144" s="1344" t="s">
        <v>13776</v>
      </c>
      <c r="B1144" s="1345" t="s">
        <v>13777</v>
      </c>
      <c r="C1144" s="1346" t="s">
        <v>5154</v>
      </c>
      <c r="D1144" s="1346" t="s">
        <v>1194</v>
      </c>
      <c r="E1144" s="1346" t="s">
        <v>11940</v>
      </c>
      <c r="F1144" s="1346" t="s">
        <v>11931</v>
      </c>
      <c r="G1144" s="1345" t="s">
        <v>60</v>
      </c>
      <c r="H1144" s="1349" t="s">
        <v>2421</v>
      </c>
      <c r="I1144" s="1349" t="s">
        <v>137</v>
      </c>
      <c r="J1144" s="1350"/>
      <c r="K1144" s="1348">
        <v>2689000.0</v>
      </c>
    </row>
    <row r="1145">
      <c r="A1145" s="1344" t="s">
        <v>13778</v>
      </c>
      <c r="B1145" s="1345" t="s">
        <v>13779</v>
      </c>
      <c r="C1145" s="1346" t="s">
        <v>5154</v>
      </c>
      <c r="D1145" s="1346" t="s">
        <v>1195</v>
      </c>
      <c r="E1145" s="1346" t="s">
        <v>11940</v>
      </c>
      <c r="F1145" s="1346" t="s">
        <v>11944</v>
      </c>
      <c r="G1145" s="1345" t="s">
        <v>62</v>
      </c>
      <c r="H1145" s="1349" t="s">
        <v>2421</v>
      </c>
      <c r="I1145" s="1349" t="s">
        <v>1437</v>
      </c>
      <c r="J1145" s="1350"/>
      <c r="K1145" s="1348">
        <v>2731000.0</v>
      </c>
    </row>
    <row r="1146">
      <c r="A1146" s="1344" t="s">
        <v>13780</v>
      </c>
      <c r="B1146" s="1345" t="s">
        <v>5154</v>
      </c>
      <c r="C1146" s="1346" t="s">
        <v>5154</v>
      </c>
      <c r="D1146" s="1346" t="s">
        <v>1196</v>
      </c>
      <c r="E1146" s="1346" t="s">
        <v>11943</v>
      </c>
      <c r="F1146" s="1346" t="s">
        <v>11969</v>
      </c>
      <c r="G1146" s="1345" t="s">
        <v>140</v>
      </c>
      <c r="H1146" s="1349" t="s">
        <v>2421</v>
      </c>
      <c r="I1146" s="1350"/>
      <c r="J1146" s="1350"/>
      <c r="K1146" s="1348">
        <v>725000.0</v>
      </c>
    </row>
    <row r="1147">
      <c r="A1147" s="1344" t="s">
        <v>13781</v>
      </c>
      <c r="B1147" s="1345" t="s">
        <v>5154</v>
      </c>
      <c r="C1147" s="1346" t="s">
        <v>5154</v>
      </c>
      <c r="D1147" s="1346" t="s">
        <v>1197</v>
      </c>
      <c r="E1147" s="1346" t="s">
        <v>11943</v>
      </c>
      <c r="F1147" s="1346" t="s">
        <v>11969</v>
      </c>
      <c r="G1147" s="1345" t="s">
        <v>142</v>
      </c>
      <c r="H1147" s="1349" t="s">
        <v>2421</v>
      </c>
      <c r="I1147" s="1350"/>
      <c r="J1147" s="1350"/>
      <c r="K1147" s="1348">
        <v>725000.0</v>
      </c>
    </row>
    <row r="1148">
      <c r="A1148" s="1344" t="s">
        <v>13782</v>
      </c>
      <c r="B1148" s="1345" t="s">
        <v>5154</v>
      </c>
      <c r="C1148" s="1346" t="s">
        <v>5154</v>
      </c>
      <c r="D1148" s="1346" t="s">
        <v>1198</v>
      </c>
      <c r="E1148" s="1346" t="s">
        <v>11943</v>
      </c>
      <c r="F1148" s="1346" t="s">
        <v>11969</v>
      </c>
      <c r="G1148" s="1345" t="s">
        <v>144</v>
      </c>
      <c r="H1148" s="1349" t="s">
        <v>13783</v>
      </c>
      <c r="I1148" s="1350"/>
      <c r="J1148" s="1350"/>
      <c r="K1148" s="1348">
        <v>644000.0</v>
      </c>
    </row>
    <row r="1149">
      <c r="A1149" s="1344" t="s">
        <v>13784</v>
      </c>
      <c r="B1149" s="1345" t="s">
        <v>5154</v>
      </c>
      <c r="C1149" s="1346" t="s">
        <v>5154</v>
      </c>
      <c r="D1149" s="1346" t="s">
        <v>1199</v>
      </c>
      <c r="E1149" s="1346" t="s">
        <v>11943</v>
      </c>
      <c r="F1149" s="1346" t="s">
        <v>11969</v>
      </c>
      <c r="G1149" s="1345" t="s">
        <v>146</v>
      </c>
      <c r="H1149" s="1349" t="s">
        <v>13783</v>
      </c>
      <c r="I1149" s="1350"/>
      <c r="J1149" s="1350"/>
      <c r="K1149" s="1348">
        <v>644000.0</v>
      </c>
    </row>
    <row r="1150">
      <c r="A1150" s="1344" t="s">
        <v>13785</v>
      </c>
      <c r="B1150" s="1345" t="s">
        <v>5154</v>
      </c>
      <c r="C1150" s="1346" t="s">
        <v>5154</v>
      </c>
      <c r="D1150" s="1346" t="s">
        <v>1200</v>
      </c>
      <c r="E1150" s="1346" t="s">
        <v>11943</v>
      </c>
      <c r="F1150" s="1346" t="s">
        <v>11969</v>
      </c>
      <c r="G1150" s="1345" t="s">
        <v>396</v>
      </c>
      <c r="H1150" s="1349" t="s">
        <v>13783</v>
      </c>
      <c r="I1150" s="1350"/>
      <c r="J1150" s="1350"/>
      <c r="K1150" s="1348">
        <v>307000.0</v>
      </c>
    </row>
    <row r="1151">
      <c r="A1151" s="1344" t="s">
        <v>13786</v>
      </c>
      <c r="B1151" s="1345" t="s">
        <v>5154</v>
      </c>
      <c r="C1151" s="1346" t="s">
        <v>5154</v>
      </c>
      <c r="D1151" s="1346" t="s">
        <v>1201</v>
      </c>
      <c r="E1151" s="1346" t="s">
        <v>11943</v>
      </c>
      <c r="F1151" s="1346" t="s">
        <v>11969</v>
      </c>
      <c r="G1151" s="1345" t="s">
        <v>398</v>
      </c>
      <c r="H1151" s="1349" t="s">
        <v>13783</v>
      </c>
      <c r="I1151" s="1350"/>
      <c r="J1151" s="1350"/>
      <c r="K1151" s="1348">
        <v>307000.0</v>
      </c>
    </row>
    <row r="1152">
      <c r="A1152" s="1344" t="s">
        <v>5154</v>
      </c>
      <c r="B1152" s="1345" t="s">
        <v>5154</v>
      </c>
      <c r="C1152" s="1346" t="s">
        <v>13787</v>
      </c>
      <c r="D1152" s="1346" t="s">
        <v>2033</v>
      </c>
      <c r="E1152" s="1346" t="s">
        <v>12155</v>
      </c>
      <c r="F1152" s="1346" t="s">
        <v>11931</v>
      </c>
      <c r="G1152" s="1345" t="s">
        <v>60</v>
      </c>
      <c r="H1152" s="1345" t="s">
        <v>13788</v>
      </c>
      <c r="I1152" s="1350"/>
      <c r="J1152" s="1350"/>
      <c r="K1152" s="1348">
        <v>1199000.0</v>
      </c>
    </row>
    <row r="1153">
      <c r="A1153" s="1344" t="s">
        <v>5154</v>
      </c>
      <c r="B1153" s="1345" t="s">
        <v>13789</v>
      </c>
      <c r="C1153" s="1346" t="s">
        <v>5154</v>
      </c>
      <c r="D1153" s="1346" t="s">
        <v>1819</v>
      </c>
      <c r="E1153" s="1346" t="s">
        <v>11930</v>
      </c>
      <c r="F1153" s="1346" t="s">
        <v>11931</v>
      </c>
      <c r="G1153" s="1345" t="s">
        <v>60</v>
      </c>
      <c r="H1153" s="1345" t="s">
        <v>1820</v>
      </c>
      <c r="I1153" s="1349" t="s">
        <v>1558</v>
      </c>
      <c r="J1153" s="1350"/>
      <c r="K1153" s="1348">
        <v>1848000.0</v>
      </c>
    </row>
    <row r="1154">
      <c r="A1154" s="1344" t="s">
        <v>13790</v>
      </c>
      <c r="B1154" s="1345" t="s">
        <v>13791</v>
      </c>
      <c r="C1154" s="1346" t="s">
        <v>5154</v>
      </c>
      <c r="D1154" s="1346" t="s">
        <v>1202</v>
      </c>
      <c r="E1154" s="1346" t="s">
        <v>11940</v>
      </c>
      <c r="F1154" s="1346" t="s">
        <v>11931</v>
      </c>
      <c r="G1154" s="1345" t="s">
        <v>60</v>
      </c>
      <c r="H1154" s="1345" t="s">
        <v>1203</v>
      </c>
      <c r="I1154" s="1349" t="s">
        <v>137</v>
      </c>
      <c r="J1154" s="1350"/>
      <c r="K1154" s="1348">
        <v>3192000.0</v>
      </c>
    </row>
    <row r="1155">
      <c r="A1155" s="1344" t="s">
        <v>5154</v>
      </c>
      <c r="B1155" s="1345" t="s">
        <v>13792</v>
      </c>
      <c r="C1155" s="1346" t="s">
        <v>5154</v>
      </c>
      <c r="D1155" s="1351" t="s">
        <v>13793</v>
      </c>
      <c r="E1155" s="1346" t="s">
        <v>11930</v>
      </c>
      <c r="F1155" s="1351" t="s">
        <v>11969</v>
      </c>
      <c r="G1155" s="1345" t="s">
        <v>140</v>
      </c>
      <c r="H1155" s="1345" t="s">
        <v>1203</v>
      </c>
      <c r="I1155" s="1350"/>
      <c r="J1155" s="1350"/>
      <c r="K1155" s="1348">
        <v>725000.0</v>
      </c>
    </row>
    <row r="1156">
      <c r="A1156" s="1344" t="s">
        <v>5154</v>
      </c>
      <c r="B1156" s="1345" t="s">
        <v>13794</v>
      </c>
      <c r="C1156" s="1346" t="s">
        <v>5154</v>
      </c>
      <c r="D1156" s="1351" t="s">
        <v>13795</v>
      </c>
      <c r="E1156" s="1346" t="s">
        <v>11930</v>
      </c>
      <c r="F1156" s="1351" t="s">
        <v>11969</v>
      </c>
      <c r="G1156" s="1345" t="s">
        <v>142</v>
      </c>
      <c r="H1156" s="1345" t="s">
        <v>1203</v>
      </c>
      <c r="I1156" s="1350"/>
      <c r="J1156" s="1350"/>
      <c r="K1156" s="1348">
        <v>725000.0</v>
      </c>
    </row>
    <row r="1157">
      <c r="A1157" s="1344" t="s">
        <v>13796</v>
      </c>
      <c r="B1157" s="1345" t="s">
        <v>5154</v>
      </c>
      <c r="C1157" s="1346" t="s">
        <v>5154</v>
      </c>
      <c r="D1157" s="1346" t="s">
        <v>1204</v>
      </c>
      <c r="E1157" s="1346" t="s">
        <v>11943</v>
      </c>
      <c r="F1157" s="1346" t="s">
        <v>11969</v>
      </c>
      <c r="G1157" s="1345" t="s">
        <v>144</v>
      </c>
      <c r="H1157" s="1345" t="s">
        <v>1203</v>
      </c>
      <c r="I1157" s="1350"/>
      <c r="J1157" s="1350"/>
      <c r="K1157" s="1348">
        <v>725000.0</v>
      </c>
    </row>
    <row r="1158">
      <c r="A1158" s="1344" t="s">
        <v>13797</v>
      </c>
      <c r="B1158" s="1345" t="s">
        <v>5154</v>
      </c>
      <c r="C1158" s="1346" t="s">
        <v>5154</v>
      </c>
      <c r="D1158" s="1346" t="s">
        <v>1205</v>
      </c>
      <c r="E1158" s="1346" t="s">
        <v>11943</v>
      </c>
      <c r="F1158" s="1346" t="s">
        <v>11969</v>
      </c>
      <c r="G1158" s="1345" t="s">
        <v>146</v>
      </c>
      <c r="H1158" s="1345" t="s">
        <v>1203</v>
      </c>
      <c r="I1158" s="1350"/>
      <c r="J1158" s="1350"/>
      <c r="K1158" s="1348">
        <v>725000.0</v>
      </c>
    </row>
    <row r="1159">
      <c r="A1159" s="1344" t="s">
        <v>13798</v>
      </c>
      <c r="B1159" s="1345" t="s">
        <v>5154</v>
      </c>
      <c r="C1159" s="1346" t="s">
        <v>5154</v>
      </c>
      <c r="D1159" s="1346" t="s">
        <v>1206</v>
      </c>
      <c r="E1159" s="1346" t="s">
        <v>11943</v>
      </c>
      <c r="F1159" s="1346" t="s">
        <v>11969</v>
      </c>
      <c r="G1159" s="1345" t="s">
        <v>209</v>
      </c>
      <c r="H1159" s="1345" t="s">
        <v>1203</v>
      </c>
      <c r="I1159" s="1349" t="s">
        <v>1207</v>
      </c>
      <c r="J1159" s="1350"/>
      <c r="K1159" s="1348">
        <v>804000.0</v>
      </c>
    </row>
    <row r="1160">
      <c r="A1160" s="1344" t="s">
        <v>13799</v>
      </c>
      <c r="B1160" s="1345" t="s">
        <v>5154</v>
      </c>
      <c r="C1160" s="1346" t="s">
        <v>5154</v>
      </c>
      <c r="D1160" s="1346" t="s">
        <v>1208</v>
      </c>
      <c r="E1160" s="1346" t="s">
        <v>11943</v>
      </c>
      <c r="F1160" s="1346" t="s">
        <v>11969</v>
      </c>
      <c r="G1160" s="1345" t="s">
        <v>243</v>
      </c>
      <c r="H1160" s="1345" t="s">
        <v>1203</v>
      </c>
      <c r="I1160" s="1349" t="s">
        <v>546</v>
      </c>
      <c r="J1160" s="1350"/>
      <c r="K1160" s="1348">
        <v>804000.0</v>
      </c>
    </row>
    <row r="1161">
      <c r="A1161" s="1344" t="s">
        <v>13800</v>
      </c>
      <c r="B1161" s="1345" t="s">
        <v>13801</v>
      </c>
      <c r="C1161" s="1346" t="s">
        <v>5154</v>
      </c>
      <c r="D1161" s="1346" t="s">
        <v>1209</v>
      </c>
      <c r="E1161" s="1346" t="s">
        <v>11940</v>
      </c>
      <c r="F1161" s="1346" t="s">
        <v>11944</v>
      </c>
      <c r="G1161" s="1345" t="s">
        <v>62</v>
      </c>
      <c r="H1161" s="1345" t="s">
        <v>1210</v>
      </c>
      <c r="I1161" s="1349" t="s">
        <v>1437</v>
      </c>
      <c r="J1161" s="1350"/>
      <c r="K1161" s="1348">
        <v>2731000.0</v>
      </c>
    </row>
    <row r="1162">
      <c r="A1162" s="1344" t="s">
        <v>5154</v>
      </c>
      <c r="B1162" s="1345" t="s">
        <v>13802</v>
      </c>
      <c r="C1162" s="1346" t="s">
        <v>5154</v>
      </c>
      <c r="D1162" s="1346" t="s">
        <v>1821</v>
      </c>
      <c r="E1162" s="1346" t="s">
        <v>11930</v>
      </c>
      <c r="F1162" s="1346" t="s">
        <v>11944</v>
      </c>
      <c r="G1162" s="1345" t="s">
        <v>62</v>
      </c>
      <c r="H1162" s="1345" t="s">
        <v>1822</v>
      </c>
      <c r="I1162" s="1349" t="s">
        <v>1442</v>
      </c>
      <c r="J1162" s="1350"/>
      <c r="K1162" s="1348">
        <v>2943000.0</v>
      </c>
    </row>
    <row r="1163">
      <c r="A1163" s="1344" t="s">
        <v>13803</v>
      </c>
      <c r="B1163" s="1345" t="s">
        <v>13804</v>
      </c>
      <c r="C1163" s="1346" t="s">
        <v>5154</v>
      </c>
      <c r="D1163" s="1346" t="s">
        <v>1211</v>
      </c>
      <c r="E1163" s="1346" t="s">
        <v>11940</v>
      </c>
      <c r="F1163" s="1346" t="s">
        <v>11931</v>
      </c>
      <c r="G1163" s="1345" t="s">
        <v>60</v>
      </c>
      <c r="H1163" s="1345" t="s">
        <v>1212</v>
      </c>
      <c r="I1163" s="1349" t="s">
        <v>314</v>
      </c>
      <c r="J1163" s="1350"/>
      <c r="K1163" s="1348">
        <v>3026000.0</v>
      </c>
    </row>
    <row r="1164">
      <c r="A1164" s="1344" t="s">
        <v>13805</v>
      </c>
      <c r="B1164" s="1345" t="s">
        <v>5154</v>
      </c>
      <c r="C1164" s="1346" t="s">
        <v>5154</v>
      </c>
      <c r="D1164" s="1346" t="s">
        <v>1213</v>
      </c>
      <c r="E1164" s="1346" t="s">
        <v>11943</v>
      </c>
      <c r="F1164" s="1346" t="s">
        <v>11944</v>
      </c>
      <c r="G1164" s="1345" t="s">
        <v>62</v>
      </c>
      <c r="H1164" s="1345" t="s">
        <v>1212</v>
      </c>
      <c r="I1164" s="1349" t="s">
        <v>13806</v>
      </c>
      <c r="J1164" s="1350"/>
      <c r="K1164" s="1348">
        <v>3532000.0</v>
      </c>
    </row>
    <row r="1165">
      <c r="A1165" s="1344" t="s">
        <v>13807</v>
      </c>
      <c r="B1165" s="1345" t="s">
        <v>5154</v>
      </c>
      <c r="C1165" s="1346" t="s">
        <v>5154</v>
      </c>
      <c r="D1165" s="1346" t="s">
        <v>1215</v>
      </c>
      <c r="E1165" s="1346" t="s">
        <v>11943</v>
      </c>
      <c r="F1165" s="1346" t="s">
        <v>11969</v>
      </c>
      <c r="G1165" s="1345" t="s">
        <v>144</v>
      </c>
      <c r="H1165" s="1345" t="s">
        <v>1212</v>
      </c>
      <c r="I1165" s="1350"/>
      <c r="J1165" s="1350"/>
      <c r="K1165" s="1348">
        <v>725000.0</v>
      </c>
    </row>
    <row r="1166">
      <c r="A1166" s="1344" t="s">
        <v>13808</v>
      </c>
      <c r="B1166" s="1345" t="s">
        <v>5154</v>
      </c>
      <c r="C1166" s="1346" t="s">
        <v>5154</v>
      </c>
      <c r="D1166" s="1346" t="s">
        <v>1216</v>
      </c>
      <c r="E1166" s="1346" t="s">
        <v>11943</v>
      </c>
      <c r="F1166" s="1346" t="s">
        <v>11969</v>
      </c>
      <c r="G1166" s="1345" t="s">
        <v>146</v>
      </c>
      <c r="H1166" s="1345" t="s">
        <v>1212</v>
      </c>
      <c r="I1166" s="1350"/>
      <c r="J1166" s="1350"/>
      <c r="K1166" s="1348">
        <v>725000.0</v>
      </c>
    </row>
    <row r="1167">
      <c r="A1167" s="1344" t="s">
        <v>13809</v>
      </c>
      <c r="B1167" s="1345" t="s">
        <v>13810</v>
      </c>
      <c r="C1167" s="1346" t="s">
        <v>5154</v>
      </c>
      <c r="D1167" s="1346" t="s">
        <v>1217</v>
      </c>
      <c r="E1167" s="1346" t="s">
        <v>11940</v>
      </c>
      <c r="F1167" s="1346" t="s">
        <v>11931</v>
      </c>
      <c r="G1167" s="1345" t="s">
        <v>60</v>
      </c>
      <c r="H1167" s="1345" t="s">
        <v>1218</v>
      </c>
      <c r="I1167" s="1349" t="s">
        <v>137</v>
      </c>
      <c r="J1167" s="1350"/>
      <c r="K1167" s="1348">
        <v>2689000.0</v>
      </c>
    </row>
    <row r="1168">
      <c r="A1168" s="1344" t="s">
        <v>13811</v>
      </c>
      <c r="B1168" s="1345" t="s">
        <v>13812</v>
      </c>
      <c r="C1168" s="1346" t="s">
        <v>5154</v>
      </c>
      <c r="D1168" s="1346" t="s">
        <v>1219</v>
      </c>
      <c r="E1168" s="1346" t="s">
        <v>11940</v>
      </c>
      <c r="F1168" s="1346" t="s">
        <v>11944</v>
      </c>
      <c r="G1168" s="1345" t="s">
        <v>62</v>
      </c>
      <c r="H1168" s="1345" t="s">
        <v>1218</v>
      </c>
      <c r="I1168" s="1349" t="s">
        <v>1442</v>
      </c>
      <c r="J1168" s="1350"/>
      <c r="K1168" s="1348">
        <v>2731000.0</v>
      </c>
    </row>
    <row r="1169">
      <c r="A1169" s="1344" t="s">
        <v>13813</v>
      </c>
      <c r="B1169" s="1345" t="s">
        <v>5154</v>
      </c>
      <c r="C1169" s="1346" t="s">
        <v>5154</v>
      </c>
      <c r="D1169" s="1346" t="s">
        <v>1220</v>
      </c>
      <c r="E1169" s="1346" t="s">
        <v>11943</v>
      </c>
      <c r="F1169" s="1346" t="s">
        <v>11969</v>
      </c>
      <c r="G1169" s="1345" t="s">
        <v>209</v>
      </c>
      <c r="H1169" s="1345" t="s">
        <v>1218</v>
      </c>
      <c r="I1169" s="1349" t="s">
        <v>109</v>
      </c>
      <c r="J1169" s="1350"/>
      <c r="K1169" s="1348">
        <v>804000.0</v>
      </c>
    </row>
    <row r="1170">
      <c r="A1170" s="1344" t="s">
        <v>13814</v>
      </c>
      <c r="B1170" s="1345" t="s">
        <v>5154</v>
      </c>
      <c r="C1170" s="1346" t="s">
        <v>5154</v>
      </c>
      <c r="D1170" s="1346" t="s">
        <v>1221</v>
      </c>
      <c r="E1170" s="1346" t="s">
        <v>11943</v>
      </c>
      <c r="F1170" s="1346" t="s">
        <v>11969</v>
      </c>
      <c r="G1170" s="1345" t="s">
        <v>243</v>
      </c>
      <c r="H1170" s="1345" t="s">
        <v>1218</v>
      </c>
      <c r="I1170" s="1349" t="s">
        <v>241</v>
      </c>
      <c r="J1170" s="1350"/>
      <c r="K1170" s="1348">
        <v>966000.0</v>
      </c>
    </row>
    <row r="1171">
      <c r="A1171" s="1344" t="s">
        <v>13815</v>
      </c>
      <c r="B1171" s="1345" t="s">
        <v>13816</v>
      </c>
      <c r="C1171" s="1346" t="s">
        <v>5154</v>
      </c>
      <c r="D1171" s="1346" t="s">
        <v>1222</v>
      </c>
      <c r="E1171" s="1346" t="s">
        <v>11940</v>
      </c>
      <c r="F1171" s="1346" t="s">
        <v>11931</v>
      </c>
      <c r="G1171" s="1345" t="s">
        <v>60</v>
      </c>
      <c r="H1171" s="1345" t="s">
        <v>1223</v>
      </c>
      <c r="I1171" s="1349" t="s">
        <v>137</v>
      </c>
      <c r="J1171" s="1350"/>
      <c r="K1171" s="1348">
        <v>3137000.0</v>
      </c>
    </row>
    <row r="1172">
      <c r="A1172" s="1344" t="s">
        <v>13817</v>
      </c>
      <c r="B1172" s="1345" t="s">
        <v>13818</v>
      </c>
      <c r="C1172" s="1346" t="s">
        <v>5154</v>
      </c>
      <c r="D1172" s="1346" t="s">
        <v>1224</v>
      </c>
      <c r="E1172" s="1346" t="s">
        <v>11940</v>
      </c>
      <c r="F1172" s="1346" t="s">
        <v>11944</v>
      </c>
      <c r="G1172" s="1345" t="s">
        <v>62</v>
      </c>
      <c r="H1172" s="1345" t="s">
        <v>1223</v>
      </c>
      <c r="I1172" s="1349" t="s">
        <v>1442</v>
      </c>
      <c r="J1172" s="1350"/>
      <c r="K1172" s="1348">
        <v>2892000.0</v>
      </c>
    </row>
    <row r="1173">
      <c r="A1173" s="1344" t="s">
        <v>13819</v>
      </c>
      <c r="B1173" s="1345" t="s">
        <v>5154</v>
      </c>
      <c r="C1173" s="1346" t="s">
        <v>5154</v>
      </c>
      <c r="D1173" s="1346" t="s">
        <v>1225</v>
      </c>
      <c r="E1173" s="1346" t="s">
        <v>11943</v>
      </c>
      <c r="F1173" s="1346" t="s">
        <v>11969</v>
      </c>
      <c r="G1173" s="1345" t="s">
        <v>144</v>
      </c>
      <c r="H1173" s="1345" t="s">
        <v>1223</v>
      </c>
      <c r="I1173" s="1350"/>
      <c r="J1173" s="1350"/>
      <c r="K1173" s="1348">
        <v>1045000.0</v>
      </c>
    </row>
    <row r="1174">
      <c r="A1174" s="1344" t="s">
        <v>13820</v>
      </c>
      <c r="B1174" s="1345" t="s">
        <v>5154</v>
      </c>
      <c r="C1174" s="1346" t="s">
        <v>5154</v>
      </c>
      <c r="D1174" s="1346" t="s">
        <v>1226</v>
      </c>
      <c r="E1174" s="1346" t="s">
        <v>11943</v>
      </c>
      <c r="F1174" s="1346" t="s">
        <v>11969</v>
      </c>
      <c r="G1174" s="1345" t="s">
        <v>146</v>
      </c>
      <c r="H1174" s="1345" t="s">
        <v>1223</v>
      </c>
      <c r="I1174" s="1350"/>
      <c r="J1174" s="1350"/>
      <c r="K1174" s="1348">
        <v>1045000.0</v>
      </c>
    </row>
    <row r="1175">
      <c r="A1175" s="1344" t="s">
        <v>13821</v>
      </c>
      <c r="B1175" s="1345" t="s">
        <v>5154</v>
      </c>
      <c r="C1175" s="1346" t="s">
        <v>5154</v>
      </c>
      <c r="D1175" s="1346" t="s">
        <v>1227</v>
      </c>
      <c r="E1175" s="1346" t="s">
        <v>11943</v>
      </c>
      <c r="F1175" s="1346" t="s">
        <v>11969</v>
      </c>
      <c r="G1175" s="1345" t="s">
        <v>209</v>
      </c>
      <c r="H1175" s="1345" t="s">
        <v>1223</v>
      </c>
      <c r="I1175" s="1349" t="s">
        <v>109</v>
      </c>
      <c r="J1175" s="1350"/>
      <c r="K1175" s="1348">
        <v>1045000.0</v>
      </c>
    </row>
    <row r="1176">
      <c r="A1176" s="1344" t="s">
        <v>13822</v>
      </c>
      <c r="B1176" s="1345" t="s">
        <v>13823</v>
      </c>
      <c r="C1176" s="1346" t="s">
        <v>5154</v>
      </c>
      <c r="D1176" s="1346" t="s">
        <v>1228</v>
      </c>
      <c r="E1176" s="1346" t="s">
        <v>11940</v>
      </c>
      <c r="F1176" s="1346" t="s">
        <v>11931</v>
      </c>
      <c r="G1176" s="1345" t="s">
        <v>60</v>
      </c>
      <c r="H1176" s="1345" t="s">
        <v>1229</v>
      </c>
      <c r="I1176" s="1349" t="s">
        <v>109</v>
      </c>
      <c r="J1176" s="1350"/>
      <c r="K1176" s="1348">
        <v>3865000.0</v>
      </c>
    </row>
    <row r="1177">
      <c r="A1177" s="1344" t="s">
        <v>13824</v>
      </c>
      <c r="B1177" s="1345" t="s">
        <v>5154</v>
      </c>
      <c r="C1177" s="1346" t="s">
        <v>5154</v>
      </c>
      <c r="D1177" s="1346" t="s">
        <v>1230</v>
      </c>
      <c r="E1177" s="1346" t="s">
        <v>11943</v>
      </c>
      <c r="F1177" s="1346" t="s">
        <v>11944</v>
      </c>
      <c r="G1177" s="1345" t="s">
        <v>62</v>
      </c>
      <c r="H1177" s="1345" t="s">
        <v>1229</v>
      </c>
      <c r="I1177" s="1349" t="s">
        <v>1442</v>
      </c>
      <c r="J1177" s="1350"/>
      <c r="K1177" s="1348">
        <v>3212000.0</v>
      </c>
    </row>
    <row r="1178">
      <c r="A1178" s="1344" t="s">
        <v>13825</v>
      </c>
      <c r="B1178" s="1345" t="s">
        <v>13826</v>
      </c>
      <c r="C1178" s="1346" t="s">
        <v>5154</v>
      </c>
      <c r="D1178" s="1346" t="s">
        <v>1231</v>
      </c>
      <c r="E1178" s="1346" t="s">
        <v>11940</v>
      </c>
      <c r="F1178" s="1346" t="s">
        <v>11931</v>
      </c>
      <c r="G1178" s="1345" t="s">
        <v>60</v>
      </c>
      <c r="H1178" s="1345" t="s">
        <v>1232</v>
      </c>
      <c r="I1178" s="1349" t="s">
        <v>745</v>
      </c>
      <c r="J1178" s="1350"/>
      <c r="K1178" s="1348">
        <v>4032000.0</v>
      </c>
    </row>
    <row r="1179">
      <c r="A1179" s="1344" t="s">
        <v>13827</v>
      </c>
      <c r="B1179" s="1345" t="s">
        <v>5154</v>
      </c>
      <c r="C1179" s="1346" t="s">
        <v>5154</v>
      </c>
      <c r="D1179" s="1346" t="s">
        <v>1233</v>
      </c>
      <c r="E1179" s="1346" t="s">
        <v>11943</v>
      </c>
      <c r="F1179" s="1346" t="s">
        <v>11944</v>
      </c>
      <c r="G1179" s="1345" t="s">
        <v>62</v>
      </c>
      <c r="H1179" s="1345" t="s">
        <v>1232</v>
      </c>
      <c r="I1179" s="1349" t="s">
        <v>1437</v>
      </c>
      <c r="J1179" s="1350"/>
      <c r="K1179" s="1348">
        <v>3373000.0</v>
      </c>
    </row>
    <row r="1180">
      <c r="A1180" s="1344" t="s">
        <v>5154</v>
      </c>
      <c r="B1180" s="1345" t="s">
        <v>13828</v>
      </c>
      <c r="C1180" s="1346" t="s">
        <v>5154</v>
      </c>
      <c r="D1180" s="1346" t="s">
        <v>13829</v>
      </c>
      <c r="E1180" s="1346" t="s">
        <v>11930</v>
      </c>
      <c r="F1180" s="1351" t="s">
        <v>11931</v>
      </c>
      <c r="G1180" s="1349" t="s">
        <v>60</v>
      </c>
      <c r="H1180" s="1349" t="s">
        <v>13830</v>
      </c>
      <c r="I1180" s="1345" t="s">
        <v>314</v>
      </c>
      <c r="J1180" s="1347"/>
      <c r="K1180" s="1348">
        <v>5000000.0</v>
      </c>
    </row>
    <row r="1181">
      <c r="A1181" s="1344" t="s">
        <v>5154</v>
      </c>
      <c r="B1181" s="1345" t="s">
        <v>5154</v>
      </c>
      <c r="C1181" s="1346" t="s">
        <v>13831</v>
      </c>
      <c r="D1181" s="1346" t="s">
        <v>2035</v>
      </c>
      <c r="E1181" s="1346" t="s">
        <v>12155</v>
      </c>
      <c r="F1181" s="1346" t="s">
        <v>11931</v>
      </c>
      <c r="G1181" s="1345" t="s">
        <v>60</v>
      </c>
      <c r="H1181" s="1345" t="s">
        <v>115</v>
      </c>
      <c r="I1181" s="1349" t="s">
        <v>137</v>
      </c>
      <c r="J1181" s="1350"/>
      <c r="K1181" s="1348">
        <v>1199000.0</v>
      </c>
    </row>
    <row r="1182">
      <c r="A1182" s="1344" t="s">
        <v>5154</v>
      </c>
      <c r="B1182" s="1345" t="s">
        <v>13832</v>
      </c>
      <c r="C1182" s="1346" t="s">
        <v>5154</v>
      </c>
      <c r="D1182" s="1346" t="s">
        <v>1824</v>
      </c>
      <c r="E1182" s="1346" t="s">
        <v>11930</v>
      </c>
      <c r="F1182" s="1346" t="s">
        <v>11931</v>
      </c>
      <c r="G1182" s="1345" t="s">
        <v>60</v>
      </c>
      <c r="H1182" s="1345" t="s">
        <v>1825</v>
      </c>
      <c r="I1182" s="1349" t="s">
        <v>90</v>
      </c>
      <c r="J1182" s="1350"/>
      <c r="K1182" s="1348">
        <v>1550000.0</v>
      </c>
    </row>
    <row r="1183">
      <c r="A1183" s="1344" t="s">
        <v>13833</v>
      </c>
      <c r="B1183" s="1345" t="s">
        <v>13834</v>
      </c>
      <c r="C1183" s="1346" t="s">
        <v>5154</v>
      </c>
      <c r="D1183" s="1346" t="s">
        <v>1234</v>
      </c>
      <c r="E1183" s="1346" t="s">
        <v>11940</v>
      </c>
      <c r="F1183" s="1346" t="s">
        <v>11944</v>
      </c>
      <c r="G1183" s="1345" t="s">
        <v>62</v>
      </c>
      <c r="H1183" s="1345" t="s">
        <v>1235</v>
      </c>
      <c r="I1183" s="1349" t="s">
        <v>1437</v>
      </c>
      <c r="J1183" s="1350"/>
      <c r="K1183" s="1348">
        <v>1928000.0</v>
      </c>
    </row>
    <row r="1184">
      <c r="A1184" s="1344" t="s">
        <v>13835</v>
      </c>
      <c r="B1184" s="1345" t="s">
        <v>13836</v>
      </c>
      <c r="C1184" s="1346" t="s">
        <v>5154</v>
      </c>
      <c r="D1184" s="1346" t="s">
        <v>1236</v>
      </c>
      <c r="E1184" s="1346" t="s">
        <v>11940</v>
      </c>
      <c r="F1184" s="1346" t="s">
        <v>11931</v>
      </c>
      <c r="G1184" s="1345" t="s">
        <v>60</v>
      </c>
      <c r="H1184" s="1349" t="s">
        <v>13837</v>
      </c>
      <c r="I1184" s="1349" t="s">
        <v>137</v>
      </c>
      <c r="J1184" s="1350"/>
      <c r="K1184" s="1348">
        <v>1664000.0</v>
      </c>
    </row>
    <row r="1185">
      <c r="A1185" s="1344" t="s">
        <v>13838</v>
      </c>
      <c r="B1185" s="1345" t="s">
        <v>5154</v>
      </c>
      <c r="C1185" s="1346" t="s">
        <v>5154</v>
      </c>
      <c r="D1185" s="1346" t="s">
        <v>1238</v>
      </c>
      <c r="E1185" s="1346" t="s">
        <v>11943</v>
      </c>
      <c r="F1185" s="1346" t="s">
        <v>11931</v>
      </c>
      <c r="G1185" s="1345" t="s">
        <v>60</v>
      </c>
      <c r="H1185" s="1345" t="s">
        <v>1239</v>
      </c>
      <c r="I1185" s="1349" t="s">
        <v>745</v>
      </c>
      <c r="J1185" s="1350"/>
      <c r="K1185" s="1348">
        <v>2734000.0</v>
      </c>
    </row>
    <row r="1186">
      <c r="A1186" s="1344" t="s">
        <v>13839</v>
      </c>
      <c r="B1186" s="1345" t="s">
        <v>5154</v>
      </c>
      <c r="C1186" s="1346" t="s">
        <v>5154</v>
      </c>
      <c r="D1186" s="1346" t="s">
        <v>1240</v>
      </c>
      <c r="E1186" s="1346" t="s">
        <v>11943</v>
      </c>
      <c r="F1186" s="1346" t="s">
        <v>11944</v>
      </c>
      <c r="G1186" s="1345" t="s">
        <v>62</v>
      </c>
      <c r="H1186" s="1345" t="s">
        <v>1239</v>
      </c>
      <c r="I1186" s="1349" t="s">
        <v>1553</v>
      </c>
      <c r="J1186" s="1350"/>
      <c r="K1186" s="1348">
        <v>1880000.0</v>
      </c>
    </row>
    <row r="1187">
      <c r="A1187" s="1344" t="s">
        <v>13840</v>
      </c>
      <c r="B1187" s="1345" t="s">
        <v>5154</v>
      </c>
      <c r="C1187" s="1346" t="s">
        <v>5154</v>
      </c>
      <c r="D1187" s="1346" t="s">
        <v>1241</v>
      </c>
      <c r="E1187" s="1346" t="s">
        <v>11943</v>
      </c>
      <c r="F1187" s="1346" t="s">
        <v>11969</v>
      </c>
      <c r="G1187" s="1345" t="s">
        <v>140</v>
      </c>
      <c r="H1187" s="1345" t="s">
        <v>1239</v>
      </c>
      <c r="I1187" s="1350"/>
      <c r="J1187" s="1350"/>
      <c r="K1187" s="1348">
        <v>725000.0</v>
      </c>
    </row>
    <row r="1188">
      <c r="A1188" s="1344" t="s">
        <v>13841</v>
      </c>
      <c r="B1188" s="1345" t="s">
        <v>5154</v>
      </c>
      <c r="C1188" s="1346" t="s">
        <v>5154</v>
      </c>
      <c r="D1188" s="1346" t="s">
        <v>1242</v>
      </c>
      <c r="E1188" s="1346" t="s">
        <v>11943</v>
      </c>
      <c r="F1188" s="1346" t="s">
        <v>11969</v>
      </c>
      <c r="G1188" s="1345" t="s">
        <v>142</v>
      </c>
      <c r="H1188" s="1345" t="s">
        <v>1239</v>
      </c>
      <c r="I1188" s="1350"/>
      <c r="J1188" s="1350"/>
      <c r="K1188" s="1348">
        <v>725000.0</v>
      </c>
    </row>
    <row r="1189">
      <c r="A1189" s="1344" t="s">
        <v>13842</v>
      </c>
      <c r="B1189" s="1345" t="s">
        <v>5154</v>
      </c>
      <c r="C1189" s="1346" t="s">
        <v>5154</v>
      </c>
      <c r="D1189" s="1346" t="s">
        <v>1243</v>
      </c>
      <c r="E1189" s="1346" t="s">
        <v>11943</v>
      </c>
      <c r="F1189" s="1346" t="s">
        <v>11969</v>
      </c>
      <c r="G1189" s="1345" t="s">
        <v>144</v>
      </c>
      <c r="H1189" s="1345" t="s">
        <v>1239</v>
      </c>
      <c r="I1189" s="1350"/>
      <c r="J1189" s="1350"/>
      <c r="K1189" s="1348">
        <v>436000.0</v>
      </c>
    </row>
    <row r="1190">
      <c r="A1190" s="1344" t="s">
        <v>13843</v>
      </c>
      <c r="B1190" s="1345" t="s">
        <v>5154</v>
      </c>
      <c r="C1190" s="1346" t="s">
        <v>5154</v>
      </c>
      <c r="D1190" s="1346" t="s">
        <v>1244</v>
      </c>
      <c r="E1190" s="1346" t="s">
        <v>11943</v>
      </c>
      <c r="F1190" s="1346" t="s">
        <v>11969</v>
      </c>
      <c r="G1190" s="1345" t="s">
        <v>146</v>
      </c>
      <c r="H1190" s="1345" t="s">
        <v>1239</v>
      </c>
      <c r="I1190" s="1350"/>
      <c r="J1190" s="1350"/>
      <c r="K1190" s="1348">
        <v>436000.0</v>
      </c>
    </row>
    <row r="1191">
      <c r="A1191" s="1344" t="s">
        <v>13844</v>
      </c>
      <c r="B1191" s="1345" t="s">
        <v>5154</v>
      </c>
      <c r="C1191" s="1346" t="s">
        <v>5154</v>
      </c>
      <c r="D1191" s="1346" t="s">
        <v>1245</v>
      </c>
      <c r="E1191" s="1346" t="s">
        <v>11943</v>
      </c>
      <c r="F1191" s="1346" t="s">
        <v>11969</v>
      </c>
      <c r="G1191" s="1345" t="s">
        <v>209</v>
      </c>
      <c r="H1191" s="1345" t="s">
        <v>1239</v>
      </c>
      <c r="I1191" s="1349" t="s">
        <v>109</v>
      </c>
      <c r="J1191" s="1350"/>
      <c r="K1191" s="1348">
        <v>436000.0</v>
      </c>
    </row>
    <row r="1192">
      <c r="A1192" s="1344" t="s">
        <v>13845</v>
      </c>
      <c r="B1192" s="1345" t="s">
        <v>5154</v>
      </c>
      <c r="C1192" s="1346" t="s">
        <v>5154</v>
      </c>
      <c r="D1192" s="1346" t="s">
        <v>1246</v>
      </c>
      <c r="E1192" s="1346" t="s">
        <v>11943</v>
      </c>
      <c r="F1192" s="1346" t="s">
        <v>11969</v>
      </c>
      <c r="G1192" s="1345" t="s">
        <v>243</v>
      </c>
      <c r="H1192" s="1345" t="s">
        <v>1239</v>
      </c>
      <c r="I1192" s="1349" t="s">
        <v>109</v>
      </c>
      <c r="J1192" s="1350"/>
      <c r="K1192" s="1348">
        <v>436000.0</v>
      </c>
    </row>
    <row r="1193">
      <c r="A1193" s="1344" t="s">
        <v>13846</v>
      </c>
      <c r="B1193" s="1345" t="s">
        <v>13847</v>
      </c>
      <c r="C1193" s="1346" t="s">
        <v>13848</v>
      </c>
      <c r="D1193" s="1346" t="s">
        <v>1247</v>
      </c>
      <c r="E1193" s="1346" t="s">
        <v>12061</v>
      </c>
      <c r="F1193" s="1346" t="s">
        <v>11931</v>
      </c>
      <c r="G1193" s="1349" t="s">
        <v>60</v>
      </c>
      <c r="H1193" s="1349" t="s">
        <v>1248</v>
      </c>
      <c r="I1193" s="1349" t="s">
        <v>109</v>
      </c>
      <c r="J1193" s="1350"/>
      <c r="K1193" s="1348">
        <v>1048000.0</v>
      </c>
    </row>
    <row r="1194">
      <c r="A1194" s="1344" t="s">
        <v>13849</v>
      </c>
      <c r="B1194" s="1345" t="s">
        <v>13850</v>
      </c>
      <c r="C1194" s="1346" t="s">
        <v>5154</v>
      </c>
      <c r="D1194" s="1346" t="s">
        <v>1249</v>
      </c>
      <c r="E1194" s="1346" t="s">
        <v>11940</v>
      </c>
      <c r="F1194" s="1346" t="s">
        <v>11944</v>
      </c>
      <c r="G1194" s="1345" t="s">
        <v>62</v>
      </c>
      <c r="H1194" s="1345" t="s">
        <v>1248</v>
      </c>
      <c r="I1194" s="1349" t="s">
        <v>546</v>
      </c>
      <c r="J1194" s="1357">
        <v>329000.0</v>
      </c>
      <c r="K1194" s="1348">
        <v>637000.0</v>
      </c>
    </row>
    <row r="1195">
      <c r="A1195" s="1344" t="s">
        <v>13851</v>
      </c>
      <c r="B1195" s="1345" t="s">
        <v>13852</v>
      </c>
      <c r="C1195" s="1346" t="s">
        <v>5154</v>
      </c>
      <c r="D1195" s="1346" t="s">
        <v>1250</v>
      </c>
      <c r="E1195" s="1346" t="s">
        <v>11940</v>
      </c>
      <c r="F1195" s="1346" t="s">
        <v>11944</v>
      </c>
      <c r="G1195" s="1345" t="s">
        <v>62</v>
      </c>
      <c r="H1195" s="1345" t="s">
        <v>1248</v>
      </c>
      <c r="I1195" s="1349" t="s">
        <v>1437</v>
      </c>
      <c r="J1195" s="1357">
        <v>350000.0</v>
      </c>
      <c r="K1195" s="1348">
        <v>705000.0</v>
      </c>
    </row>
    <row r="1196">
      <c r="A1196" s="1344" t="s">
        <v>13853</v>
      </c>
      <c r="B1196" s="1345" t="s">
        <v>13854</v>
      </c>
      <c r="C1196" s="1346" t="s">
        <v>5154</v>
      </c>
      <c r="D1196" s="1346" t="s">
        <v>1251</v>
      </c>
      <c r="E1196" s="1346" t="s">
        <v>11940</v>
      </c>
      <c r="F1196" s="1346" t="s">
        <v>11944</v>
      </c>
      <c r="G1196" s="1345" t="s">
        <v>62</v>
      </c>
      <c r="H1196" s="1345" t="s">
        <v>1248</v>
      </c>
      <c r="I1196" s="1349" t="s">
        <v>109</v>
      </c>
      <c r="J1196" s="1357">
        <v>329000.0</v>
      </c>
      <c r="K1196" s="1348">
        <v>648000.0</v>
      </c>
    </row>
    <row r="1197">
      <c r="A1197" s="1344" t="s">
        <v>5154</v>
      </c>
      <c r="B1197" s="1345" t="s">
        <v>13855</v>
      </c>
      <c r="C1197" s="1346" t="s">
        <v>5154</v>
      </c>
      <c r="D1197" s="1351" t="s">
        <v>1828</v>
      </c>
      <c r="E1197" s="1346" t="s">
        <v>11930</v>
      </c>
      <c r="F1197" s="1346" t="s">
        <v>11969</v>
      </c>
      <c r="G1197" s="1345" t="s">
        <v>209</v>
      </c>
      <c r="H1197" s="1345" t="s">
        <v>1248</v>
      </c>
      <c r="I1197" s="1349" t="s">
        <v>109</v>
      </c>
      <c r="J1197" s="1350"/>
      <c r="K1197" s="1348">
        <v>648000.0</v>
      </c>
    </row>
    <row r="1198">
      <c r="A1198" s="1344" t="s">
        <v>5154</v>
      </c>
      <c r="B1198" s="1345" t="s">
        <v>13856</v>
      </c>
      <c r="C1198" s="1346" t="s">
        <v>5154</v>
      </c>
      <c r="D1198" s="1351" t="s">
        <v>1829</v>
      </c>
      <c r="E1198" s="1346" t="s">
        <v>11930</v>
      </c>
      <c r="F1198" s="1346" t="s">
        <v>11969</v>
      </c>
      <c r="G1198" s="1345" t="s">
        <v>243</v>
      </c>
      <c r="H1198" s="1345" t="s">
        <v>1248</v>
      </c>
      <c r="I1198" s="1349" t="s">
        <v>109</v>
      </c>
      <c r="J1198" s="1350"/>
      <c r="K1198" s="1348">
        <v>648000.0</v>
      </c>
    </row>
    <row r="1199">
      <c r="A1199" s="1344" t="s">
        <v>5154</v>
      </c>
      <c r="B1199" s="1345" t="s">
        <v>13857</v>
      </c>
      <c r="C1199" s="1346" t="s">
        <v>13858</v>
      </c>
      <c r="D1199" s="1346" t="s">
        <v>1830</v>
      </c>
      <c r="E1199" s="1346" t="s">
        <v>12158</v>
      </c>
      <c r="F1199" s="1346" t="s">
        <v>11931</v>
      </c>
      <c r="G1199" s="1345" t="s">
        <v>60</v>
      </c>
      <c r="H1199" s="1345" t="s">
        <v>1831</v>
      </c>
      <c r="I1199" s="1349" t="s">
        <v>109</v>
      </c>
      <c r="J1199" s="1350"/>
      <c r="K1199" s="1348">
        <v>960000.0</v>
      </c>
    </row>
    <row r="1200">
      <c r="A1200" s="1344" t="s">
        <v>5154</v>
      </c>
      <c r="B1200" s="1345" t="s">
        <v>13859</v>
      </c>
      <c r="C1200" s="1346" t="s">
        <v>13860</v>
      </c>
      <c r="D1200" s="1346" t="s">
        <v>1861</v>
      </c>
      <c r="E1200" s="1346" t="s">
        <v>12158</v>
      </c>
      <c r="F1200" s="1346" t="s">
        <v>11944</v>
      </c>
      <c r="G1200" s="1345" t="s">
        <v>62</v>
      </c>
      <c r="H1200" s="1345" t="s">
        <v>1831</v>
      </c>
      <c r="I1200" s="1349" t="s">
        <v>1442</v>
      </c>
      <c r="J1200" s="1350"/>
      <c r="K1200" s="1348">
        <v>752000.0</v>
      </c>
    </row>
    <row r="1201">
      <c r="A1201" s="1344" t="s">
        <v>5154</v>
      </c>
      <c r="B1201" s="1345" t="s">
        <v>13861</v>
      </c>
      <c r="C1201" s="1346" t="s">
        <v>5154</v>
      </c>
      <c r="D1201" s="1346" t="s">
        <v>1832</v>
      </c>
      <c r="E1201" s="1346" t="s">
        <v>11930</v>
      </c>
      <c r="F1201" s="1346" t="s">
        <v>11944</v>
      </c>
      <c r="G1201" s="1345" t="s">
        <v>62</v>
      </c>
      <c r="H1201" s="1345" t="s">
        <v>1831</v>
      </c>
      <c r="I1201" s="1349" t="s">
        <v>109</v>
      </c>
      <c r="J1201" s="1350"/>
      <c r="K1201" s="1348">
        <v>660000.0</v>
      </c>
    </row>
    <row r="1202">
      <c r="A1202" s="1344" t="s">
        <v>13862</v>
      </c>
      <c r="B1202" s="1345" t="s">
        <v>13863</v>
      </c>
      <c r="C1202" s="1346" t="s">
        <v>5154</v>
      </c>
      <c r="D1202" s="1346" t="s">
        <v>1252</v>
      </c>
      <c r="E1202" s="1346" t="s">
        <v>11940</v>
      </c>
      <c r="F1202" s="1346" t="s">
        <v>11931</v>
      </c>
      <c r="G1202" s="1345" t="s">
        <v>60</v>
      </c>
      <c r="H1202" s="1345" t="s">
        <v>1253</v>
      </c>
      <c r="I1202" s="1349" t="s">
        <v>137</v>
      </c>
      <c r="J1202" s="1350"/>
      <c r="K1202" s="1348">
        <v>1238000.0</v>
      </c>
    </row>
    <row r="1203">
      <c r="A1203" s="1344" t="s">
        <v>13864</v>
      </c>
      <c r="B1203" s="1345" t="s">
        <v>13865</v>
      </c>
      <c r="C1203" s="1346" t="s">
        <v>5154</v>
      </c>
      <c r="D1203" s="1346" t="s">
        <v>1254</v>
      </c>
      <c r="E1203" s="1346" t="s">
        <v>11940</v>
      </c>
      <c r="F1203" s="1346" t="s">
        <v>11944</v>
      </c>
      <c r="G1203" s="1345" t="s">
        <v>62</v>
      </c>
      <c r="H1203" s="1345" t="s">
        <v>1253</v>
      </c>
      <c r="I1203" s="1349" t="s">
        <v>1442</v>
      </c>
      <c r="J1203" s="1350"/>
      <c r="K1203" s="1348">
        <v>1033000.0</v>
      </c>
    </row>
    <row r="1204">
      <c r="A1204" s="1344" t="s">
        <v>13866</v>
      </c>
      <c r="B1204" s="1345" t="s">
        <v>13867</v>
      </c>
      <c r="C1204" s="1346" t="s">
        <v>13868</v>
      </c>
      <c r="D1204" s="1346" t="s">
        <v>1255</v>
      </c>
      <c r="E1204" s="1346" t="s">
        <v>12061</v>
      </c>
      <c r="F1204" s="1346" t="s">
        <v>11931</v>
      </c>
      <c r="G1204" s="1345" t="s">
        <v>60</v>
      </c>
      <c r="H1204" s="1345" t="s">
        <v>1256</v>
      </c>
      <c r="I1204" s="1349" t="s">
        <v>109</v>
      </c>
      <c r="J1204" s="1350"/>
      <c r="K1204" s="1348">
        <v>1400000.0</v>
      </c>
    </row>
    <row r="1205">
      <c r="A1205" s="1344" t="s">
        <v>5154</v>
      </c>
      <c r="B1205" s="1345" t="s">
        <v>13869</v>
      </c>
      <c r="C1205" s="1346" t="s">
        <v>5154</v>
      </c>
      <c r="D1205" s="1346" t="s">
        <v>1835</v>
      </c>
      <c r="E1205" s="1346" t="s">
        <v>11930</v>
      </c>
      <c r="F1205" s="1346" t="s">
        <v>11944</v>
      </c>
      <c r="G1205" s="1345" t="s">
        <v>62</v>
      </c>
      <c r="H1205" s="1345" t="s">
        <v>1256</v>
      </c>
      <c r="I1205" s="1349" t="s">
        <v>1442</v>
      </c>
      <c r="J1205" s="1350"/>
      <c r="K1205" s="1348">
        <v>1378000.0</v>
      </c>
    </row>
    <row r="1206">
      <c r="A1206" s="1344" t="s">
        <v>13870</v>
      </c>
      <c r="B1206" s="1345" t="s">
        <v>13871</v>
      </c>
      <c r="C1206" s="1346" t="s">
        <v>5154</v>
      </c>
      <c r="D1206" s="1346" t="s">
        <v>1257</v>
      </c>
      <c r="E1206" s="1346" t="s">
        <v>11940</v>
      </c>
      <c r="F1206" s="1346" t="s">
        <v>11931</v>
      </c>
      <c r="G1206" s="1345" t="s">
        <v>60</v>
      </c>
      <c r="H1206" s="1345" t="s">
        <v>1258</v>
      </c>
      <c r="I1206" s="1349" t="s">
        <v>109</v>
      </c>
      <c r="J1206" s="1350"/>
      <c r="K1206" s="1348">
        <v>1135000.0</v>
      </c>
    </row>
    <row r="1207">
      <c r="A1207" s="1344" t="s">
        <v>13872</v>
      </c>
      <c r="B1207" s="1345" t="s">
        <v>13873</v>
      </c>
      <c r="C1207" s="1346" t="s">
        <v>5154</v>
      </c>
      <c r="D1207" s="1346" t="s">
        <v>1259</v>
      </c>
      <c r="E1207" s="1346" t="s">
        <v>11940</v>
      </c>
      <c r="F1207" s="1346" t="s">
        <v>11944</v>
      </c>
      <c r="G1207" s="1345" t="s">
        <v>62</v>
      </c>
      <c r="H1207" s="1345" t="s">
        <v>1258</v>
      </c>
      <c r="I1207" s="1349" t="s">
        <v>1442</v>
      </c>
      <c r="J1207" s="1350"/>
      <c r="K1207" s="1348">
        <v>1880000.0</v>
      </c>
    </row>
    <row r="1208">
      <c r="A1208" s="1344" t="s">
        <v>13874</v>
      </c>
      <c r="B1208" s="1345" t="s">
        <v>13875</v>
      </c>
      <c r="C1208" s="1346" t="s">
        <v>5154</v>
      </c>
      <c r="D1208" s="1346" t="s">
        <v>1260</v>
      </c>
      <c r="E1208" s="1346" t="s">
        <v>11940</v>
      </c>
      <c r="F1208" s="1346" t="s">
        <v>11969</v>
      </c>
      <c r="G1208" s="1345" t="s">
        <v>144</v>
      </c>
      <c r="H1208" s="1345" t="s">
        <v>1258</v>
      </c>
      <c r="I1208" s="1350"/>
      <c r="J1208" s="1350"/>
      <c r="K1208" s="1348">
        <v>393000.0</v>
      </c>
    </row>
    <row r="1209">
      <c r="A1209" s="1344" t="s">
        <v>13876</v>
      </c>
      <c r="B1209" s="1345" t="s">
        <v>13877</v>
      </c>
      <c r="C1209" s="1346" t="s">
        <v>5154</v>
      </c>
      <c r="D1209" s="1346" t="s">
        <v>1261</v>
      </c>
      <c r="E1209" s="1346" t="s">
        <v>11940</v>
      </c>
      <c r="F1209" s="1346" t="s">
        <v>11969</v>
      </c>
      <c r="G1209" s="1345" t="s">
        <v>146</v>
      </c>
      <c r="H1209" s="1345" t="s">
        <v>1258</v>
      </c>
      <c r="I1209" s="1350"/>
      <c r="J1209" s="1350"/>
      <c r="K1209" s="1348">
        <v>393000.0</v>
      </c>
    </row>
    <row r="1210">
      <c r="A1210" s="1344" t="s">
        <v>5154</v>
      </c>
      <c r="B1210" s="1345" t="s">
        <v>13878</v>
      </c>
      <c r="C1210" s="1346" t="s">
        <v>13879</v>
      </c>
      <c r="D1210" s="1346" t="s">
        <v>1836</v>
      </c>
      <c r="E1210" s="1346" t="s">
        <v>12158</v>
      </c>
      <c r="F1210" s="1346" t="s">
        <v>11931</v>
      </c>
      <c r="G1210" s="1345" t="s">
        <v>60</v>
      </c>
      <c r="H1210" s="1345" t="s">
        <v>1263</v>
      </c>
      <c r="I1210" s="1349" t="s">
        <v>137</v>
      </c>
      <c r="J1210" s="1350"/>
      <c r="K1210" s="1348">
        <v>1105000.0</v>
      </c>
    </row>
    <row r="1211">
      <c r="A1211" s="1344" t="s">
        <v>13880</v>
      </c>
      <c r="B1211" s="1345" t="s">
        <v>13881</v>
      </c>
      <c r="C1211" s="1346" t="s">
        <v>5154</v>
      </c>
      <c r="D1211" s="1346" t="s">
        <v>1262</v>
      </c>
      <c r="E1211" s="1346" t="s">
        <v>11940</v>
      </c>
      <c r="F1211" s="1346" t="s">
        <v>11944</v>
      </c>
      <c r="G1211" s="1345" t="s">
        <v>62</v>
      </c>
      <c r="H1211" s="1345" t="s">
        <v>1263</v>
      </c>
      <c r="I1211" s="1349" t="s">
        <v>1442</v>
      </c>
      <c r="J1211" s="1357">
        <v>632000.0</v>
      </c>
      <c r="K1211" s="1348">
        <v>1206000.0</v>
      </c>
    </row>
    <row r="1212">
      <c r="A1212" s="1344" t="s">
        <v>5154</v>
      </c>
      <c r="B1212" s="1345" t="s">
        <v>13882</v>
      </c>
      <c r="C1212" s="1346" t="s">
        <v>5154</v>
      </c>
      <c r="D1212" s="1346" t="s">
        <v>1837</v>
      </c>
      <c r="E1212" s="1346" t="s">
        <v>11930</v>
      </c>
      <c r="F1212" s="1346" t="s">
        <v>11969</v>
      </c>
      <c r="G1212" s="1345" t="s">
        <v>140</v>
      </c>
      <c r="H1212" s="1345" t="s">
        <v>1263</v>
      </c>
      <c r="I1212" s="1350"/>
      <c r="J1212" s="1350"/>
      <c r="K1212" s="1348">
        <v>319000.0</v>
      </c>
    </row>
    <row r="1213">
      <c r="A1213" s="1344" t="s">
        <v>5154</v>
      </c>
      <c r="B1213" s="1345" t="s">
        <v>13883</v>
      </c>
      <c r="C1213" s="1346" t="s">
        <v>5154</v>
      </c>
      <c r="D1213" s="1346" t="s">
        <v>1838</v>
      </c>
      <c r="E1213" s="1346" t="s">
        <v>11930</v>
      </c>
      <c r="F1213" s="1346" t="s">
        <v>11969</v>
      </c>
      <c r="G1213" s="1345" t="s">
        <v>142</v>
      </c>
      <c r="H1213" s="1345" t="s">
        <v>1263</v>
      </c>
      <c r="I1213" s="1350"/>
      <c r="J1213" s="1350"/>
      <c r="K1213" s="1348">
        <v>319000.0</v>
      </c>
    </row>
    <row r="1214">
      <c r="A1214" s="1344" t="s">
        <v>13884</v>
      </c>
      <c r="B1214" s="1345" t="s">
        <v>13885</v>
      </c>
      <c r="C1214" s="1346" t="s">
        <v>5154</v>
      </c>
      <c r="D1214" s="1346" t="s">
        <v>1264</v>
      </c>
      <c r="E1214" s="1346" t="s">
        <v>11940</v>
      </c>
      <c r="F1214" s="1346" t="s">
        <v>11969</v>
      </c>
      <c r="G1214" s="1345" t="s">
        <v>144</v>
      </c>
      <c r="H1214" s="1345" t="s">
        <v>1263</v>
      </c>
      <c r="I1214" s="1350"/>
      <c r="J1214" s="1350"/>
      <c r="K1214" s="1348">
        <v>531000.0</v>
      </c>
    </row>
    <row r="1215">
      <c r="A1215" s="1344" t="s">
        <v>13886</v>
      </c>
      <c r="B1215" s="1345" t="s">
        <v>13887</v>
      </c>
      <c r="C1215" s="1346" t="s">
        <v>5154</v>
      </c>
      <c r="D1215" s="1346" t="s">
        <v>1265</v>
      </c>
      <c r="E1215" s="1346" t="s">
        <v>11940</v>
      </c>
      <c r="F1215" s="1346" t="s">
        <v>11969</v>
      </c>
      <c r="G1215" s="1345" t="s">
        <v>146</v>
      </c>
      <c r="H1215" s="1345" t="s">
        <v>1263</v>
      </c>
      <c r="I1215" s="1350"/>
      <c r="J1215" s="1350"/>
      <c r="K1215" s="1348">
        <v>531000.0</v>
      </c>
    </row>
    <row r="1216">
      <c r="A1216" s="1344" t="s">
        <v>13888</v>
      </c>
      <c r="B1216" s="1345" t="s">
        <v>13889</v>
      </c>
      <c r="C1216" s="1346" t="s">
        <v>13890</v>
      </c>
      <c r="D1216" s="1346" t="s">
        <v>1266</v>
      </c>
      <c r="E1216" s="1346" t="s">
        <v>12061</v>
      </c>
      <c r="F1216" s="1346" t="s">
        <v>11931</v>
      </c>
      <c r="G1216" s="1345" t="s">
        <v>60</v>
      </c>
      <c r="H1216" s="1345" t="s">
        <v>1267</v>
      </c>
      <c r="I1216" s="1349" t="s">
        <v>137</v>
      </c>
      <c r="J1216" s="1350"/>
      <c r="K1216" s="1348">
        <v>1133000.0</v>
      </c>
    </row>
    <row r="1217">
      <c r="A1217" s="1344" t="s">
        <v>13891</v>
      </c>
      <c r="B1217" s="1345" t="s">
        <v>5154</v>
      </c>
      <c r="C1217" s="1346" t="s">
        <v>5154</v>
      </c>
      <c r="D1217" s="1346" t="s">
        <v>1268</v>
      </c>
      <c r="E1217" s="1346" t="s">
        <v>11943</v>
      </c>
      <c r="F1217" s="1346" t="s">
        <v>11944</v>
      </c>
      <c r="G1217" s="1345" t="s">
        <v>62</v>
      </c>
      <c r="H1217" s="1353" t="s">
        <v>1267</v>
      </c>
      <c r="I1217" s="1349" t="s">
        <v>1509</v>
      </c>
      <c r="J1217" s="1350"/>
      <c r="K1217" s="1348">
        <v>1928000.0</v>
      </c>
    </row>
    <row r="1218">
      <c r="A1218" s="1344" t="s">
        <v>13892</v>
      </c>
      <c r="B1218" s="1345" t="s">
        <v>13893</v>
      </c>
      <c r="C1218" s="1346" t="s">
        <v>5154</v>
      </c>
      <c r="D1218" s="1346" t="s">
        <v>1269</v>
      </c>
      <c r="E1218" s="1346" t="s">
        <v>11940</v>
      </c>
      <c r="F1218" s="1346" t="s">
        <v>11944</v>
      </c>
      <c r="G1218" s="1345" t="s">
        <v>62</v>
      </c>
      <c r="H1218" s="1345" t="s">
        <v>1267</v>
      </c>
      <c r="I1218" s="1349" t="s">
        <v>1442</v>
      </c>
      <c r="J1218" s="1357">
        <v>689000.0</v>
      </c>
      <c r="K1218" s="1348">
        <v>1354000.0</v>
      </c>
    </row>
    <row r="1219">
      <c r="A1219" s="1344" t="s">
        <v>13894</v>
      </c>
      <c r="B1219" s="1345" t="s">
        <v>13895</v>
      </c>
      <c r="C1219" s="1346" t="s">
        <v>5154</v>
      </c>
      <c r="D1219" s="1346" t="s">
        <v>1270</v>
      </c>
      <c r="E1219" s="1346" t="s">
        <v>11943</v>
      </c>
      <c r="F1219" s="1346" t="s">
        <v>11969</v>
      </c>
      <c r="G1219" s="1345" t="s">
        <v>144</v>
      </c>
      <c r="H1219" s="1345" t="s">
        <v>1267</v>
      </c>
      <c r="I1219" s="1350"/>
      <c r="J1219" s="1350"/>
      <c r="K1219" s="1348">
        <v>440000.0</v>
      </c>
    </row>
    <row r="1220">
      <c r="A1220" s="1344" t="s">
        <v>13896</v>
      </c>
      <c r="B1220" s="1345" t="s">
        <v>13897</v>
      </c>
      <c r="C1220" s="1346" t="s">
        <v>5154</v>
      </c>
      <c r="D1220" s="1346" t="s">
        <v>1271</v>
      </c>
      <c r="E1220" s="1346" t="s">
        <v>11943</v>
      </c>
      <c r="F1220" s="1346" t="s">
        <v>11969</v>
      </c>
      <c r="G1220" s="1345" t="s">
        <v>146</v>
      </c>
      <c r="H1220" s="1345" t="s">
        <v>1267</v>
      </c>
      <c r="I1220" s="1350"/>
      <c r="J1220" s="1350"/>
      <c r="K1220" s="1348">
        <v>440000.0</v>
      </c>
    </row>
    <row r="1221">
      <c r="A1221" s="1344" t="s">
        <v>13898</v>
      </c>
      <c r="B1221" s="1345" t="s">
        <v>13899</v>
      </c>
      <c r="C1221" s="1346" t="s">
        <v>5154</v>
      </c>
      <c r="D1221" s="1346" t="s">
        <v>1272</v>
      </c>
      <c r="E1221" s="1346" t="s">
        <v>11940</v>
      </c>
      <c r="F1221" s="1346" t="s">
        <v>11969</v>
      </c>
      <c r="G1221" s="1345" t="s">
        <v>396</v>
      </c>
      <c r="H1221" s="1345" t="s">
        <v>1267</v>
      </c>
      <c r="I1221" s="1350"/>
      <c r="J1221" s="1350"/>
      <c r="K1221" s="1348">
        <v>175000.0</v>
      </c>
    </row>
    <row r="1222">
      <c r="A1222" s="1344" t="s">
        <v>5154</v>
      </c>
      <c r="B1222" s="1345" t="s">
        <v>13900</v>
      </c>
      <c r="C1222" s="1346" t="s">
        <v>5154</v>
      </c>
      <c r="D1222" s="1346" t="s">
        <v>1841</v>
      </c>
      <c r="E1222" s="1346" t="s">
        <v>11930</v>
      </c>
      <c r="F1222" s="1346" t="s">
        <v>11969</v>
      </c>
      <c r="G1222" s="1345" t="s">
        <v>398</v>
      </c>
      <c r="H1222" s="1345" t="s">
        <v>1267</v>
      </c>
      <c r="I1222" s="1350"/>
      <c r="J1222" s="1350"/>
      <c r="K1222" s="1348">
        <v>175000.0</v>
      </c>
    </row>
    <row r="1223">
      <c r="A1223" s="1344" t="s">
        <v>5154</v>
      </c>
      <c r="B1223" s="1345" t="s">
        <v>13901</v>
      </c>
      <c r="C1223" s="1346" t="s">
        <v>5154</v>
      </c>
      <c r="D1223" s="1346" t="s">
        <v>1842</v>
      </c>
      <c r="E1223" s="1346" t="s">
        <v>11930</v>
      </c>
      <c r="F1223" s="1346" t="s">
        <v>11944</v>
      </c>
      <c r="G1223" s="1345" t="s">
        <v>62</v>
      </c>
      <c r="H1223" s="1345" t="s">
        <v>1843</v>
      </c>
      <c r="I1223" s="1349" t="s">
        <v>109</v>
      </c>
      <c r="J1223" s="1357">
        <v>531000.0</v>
      </c>
      <c r="K1223" s="1348">
        <v>1042000.0</v>
      </c>
    </row>
    <row r="1224">
      <c r="A1224" s="1344" t="s">
        <v>5154</v>
      </c>
      <c r="B1224" s="1345" t="s">
        <v>13902</v>
      </c>
      <c r="C1224" s="1346" t="s">
        <v>5154</v>
      </c>
      <c r="D1224" s="1346" t="s">
        <v>1844</v>
      </c>
      <c r="E1224" s="1346" t="s">
        <v>11930</v>
      </c>
      <c r="F1224" s="1346" t="s">
        <v>11944</v>
      </c>
      <c r="G1224" s="1345" t="s">
        <v>62</v>
      </c>
      <c r="H1224" s="1345" t="s">
        <v>1845</v>
      </c>
      <c r="I1224" s="1349" t="s">
        <v>1442</v>
      </c>
      <c r="J1224" s="1357">
        <v>663000.0</v>
      </c>
      <c r="K1224" s="1348">
        <v>1354000.0</v>
      </c>
    </row>
    <row r="1225">
      <c r="A1225" s="1344" t="s">
        <v>13903</v>
      </c>
      <c r="B1225" s="1345" t="s">
        <v>13904</v>
      </c>
      <c r="C1225" s="1346" t="s">
        <v>5154</v>
      </c>
      <c r="D1225" s="1346" t="s">
        <v>1273</v>
      </c>
      <c r="E1225" s="1346" t="s">
        <v>11940</v>
      </c>
      <c r="F1225" s="1346" t="s">
        <v>11931</v>
      </c>
      <c r="G1225" s="1345" t="s">
        <v>60</v>
      </c>
      <c r="H1225" s="1345" t="s">
        <v>13905</v>
      </c>
      <c r="I1225" s="1349" t="s">
        <v>137</v>
      </c>
      <c r="J1225" s="1350"/>
      <c r="K1225" s="1348">
        <v>3326000.0</v>
      </c>
    </row>
    <row r="1226">
      <c r="A1226" s="1344" t="s">
        <v>13906</v>
      </c>
      <c r="B1226" s="1345" t="s">
        <v>13907</v>
      </c>
      <c r="C1226" s="1346" t="s">
        <v>5154</v>
      </c>
      <c r="D1226" s="1346" t="s">
        <v>1275</v>
      </c>
      <c r="E1226" s="1346" t="s">
        <v>11940</v>
      </c>
      <c r="F1226" s="1346" t="s">
        <v>11944</v>
      </c>
      <c r="G1226" s="1345" t="s">
        <v>62</v>
      </c>
      <c r="H1226" s="1345" t="s">
        <v>1847</v>
      </c>
      <c r="I1226" s="1349" t="s">
        <v>1437</v>
      </c>
      <c r="J1226" s="1350"/>
      <c r="K1226" s="1348">
        <v>2767000.0</v>
      </c>
    </row>
    <row r="1227">
      <c r="A1227" s="1344" t="s">
        <v>5154</v>
      </c>
      <c r="B1227" s="1345" t="s">
        <v>13908</v>
      </c>
      <c r="C1227" s="1346" t="s">
        <v>5154</v>
      </c>
      <c r="D1227" s="1346" t="s">
        <v>1848</v>
      </c>
      <c r="E1227" s="1346" t="s">
        <v>11930</v>
      </c>
      <c r="F1227" s="1346" t="s">
        <v>11931</v>
      </c>
      <c r="G1227" s="1349" t="s">
        <v>60</v>
      </c>
      <c r="H1227" s="1345" t="s">
        <v>1849</v>
      </c>
      <c r="I1227" s="1345" t="s">
        <v>90</v>
      </c>
      <c r="J1227" s="1347"/>
      <c r="K1227" s="1348">
        <v>3600000.0</v>
      </c>
    </row>
    <row r="1228">
      <c r="A1228" s="1344" t="s">
        <v>5154</v>
      </c>
      <c r="B1228" s="1345" t="s">
        <v>13909</v>
      </c>
      <c r="C1228" s="1346" t="s">
        <v>5154</v>
      </c>
      <c r="D1228" s="1346" t="s">
        <v>1850</v>
      </c>
      <c r="E1228" s="1346" t="s">
        <v>11930</v>
      </c>
      <c r="F1228" s="1351" t="s">
        <v>11944</v>
      </c>
      <c r="G1228" s="1349" t="s">
        <v>62</v>
      </c>
      <c r="H1228" s="1345" t="s">
        <v>1851</v>
      </c>
      <c r="I1228" s="1349" t="s">
        <v>1442</v>
      </c>
      <c r="J1228" s="1350"/>
      <c r="K1228" s="1348">
        <v>2900000.0</v>
      </c>
    </row>
    <row r="1229">
      <c r="A1229" s="1344" t="s">
        <v>13910</v>
      </c>
      <c r="B1229" s="1345" t="s">
        <v>13911</v>
      </c>
      <c r="C1229" s="1346" t="s">
        <v>5154</v>
      </c>
      <c r="D1229" s="1346" t="s">
        <v>1277</v>
      </c>
      <c r="E1229" s="1346" t="s">
        <v>11940</v>
      </c>
      <c r="F1229" s="1346" t="s">
        <v>11931</v>
      </c>
      <c r="G1229" s="1345" t="s">
        <v>60</v>
      </c>
      <c r="H1229" s="1345" t="s">
        <v>1278</v>
      </c>
      <c r="I1229" s="1349" t="s">
        <v>137</v>
      </c>
      <c r="J1229" s="1350"/>
      <c r="K1229" s="1348">
        <v>2801000.0</v>
      </c>
    </row>
    <row r="1230">
      <c r="A1230" s="1344" t="s">
        <v>13912</v>
      </c>
      <c r="B1230" s="1345" t="s">
        <v>13913</v>
      </c>
      <c r="C1230" s="1346" t="s">
        <v>5154</v>
      </c>
      <c r="D1230" s="1346" t="s">
        <v>1279</v>
      </c>
      <c r="E1230" s="1346" t="s">
        <v>11940</v>
      </c>
      <c r="F1230" s="1346" t="s">
        <v>11944</v>
      </c>
      <c r="G1230" s="1345" t="s">
        <v>62</v>
      </c>
      <c r="H1230" s="1345" t="s">
        <v>1278</v>
      </c>
      <c r="I1230" s="1349" t="s">
        <v>1437</v>
      </c>
      <c r="J1230" s="1350"/>
      <c r="K1230" s="1348">
        <v>2650000.0</v>
      </c>
    </row>
    <row r="1231">
      <c r="A1231" s="1344" t="s">
        <v>13914</v>
      </c>
      <c r="B1231" s="1345" t="s">
        <v>13915</v>
      </c>
      <c r="C1231" s="1346" t="s">
        <v>13916</v>
      </c>
      <c r="D1231" s="1346" t="s">
        <v>1280</v>
      </c>
      <c r="E1231" s="1346" t="s">
        <v>12061</v>
      </c>
      <c r="F1231" s="1346" t="s">
        <v>11931</v>
      </c>
      <c r="G1231" s="1345" t="s">
        <v>60</v>
      </c>
      <c r="H1231" s="1345" t="s">
        <v>1281</v>
      </c>
      <c r="I1231" s="1349" t="s">
        <v>137</v>
      </c>
      <c r="J1231" s="1350"/>
      <c r="K1231" s="1348">
        <v>1199000.0</v>
      </c>
    </row>
    <row r="1232">
      <c r="A1232" s="1344" t="s">
        <v>13917</v>
      </c>
      <c r="B1232" s="1345" t="s">
        <v>13918</v>
      </c>
      <c r="C1232" s="1346" t="s">
        <v>5154</v>
      </c>
      <c r="D1232" s="1346" t="s">
        <v>1282</v>
      </c>
      <c r="E1232" s="1346" t="s">
        <v>11940</v>
      </c>
      <c r="F1232" s="1346" t="s">
        <v>11944</v>
      </c>
      <c r="G1232" s="1345" t="s">
        <v>62</v>
      </c>
      <c r="H1232" s="1345" t="s">
        <v>1281</v>
      </c>
      <c r="I1232" s="1349" t="s">
        <v>1442</v>
      </c>
      <c r="J1232" s="1357">
        <v>409000.0</v>
      </c>
      <c r="K1232" s="1348">
        <v>938000.0</v>
      </c>
    </row>
    <row r="1233">
      <c r="A1233" s="1344" t="s">
        <v>13919</v>
      </c>
      <c r="B1233" s="1345" t="s">
        <v>13920</v>
      </c>
      <c r="C1233" s="1346" t="s">
        <v>13921</v>
      </c>
      <c r="D1233" s="1346" t="s">
        <v>1283</v>
      </c>
      <c r="E1233" s="1346" t="s">
        <v>12061</v>
      </c>
      <c r="F1233" s="1346" t="s">
        <v>11931</v>
      </c>
      <c r="G1233" s="1345" t="s">
        <v>60</v>
      </c>
      <c r="H1233" s="1345" t="s">
        <v>1284</v>
      </c>
      <c r="I1233" s="1349" t="s">
        <v>137</v>
      </c>
      <c r="J1233" s="1350"/>
      <c r="K1233" s="1348">
        <v>1319000.0</v>
      </c>
    </row>
    <row r="1234">
      <c r="A1234" s="1344" t="s">
        <v>5154</v>
      </c>
      <c r="B1234" s="1345" t="s">
        <v>13922</v>
      </c>
      <c r="C1234" s="1346" t="s">
        <v>5154</v>
      </c>
      <c r="D1234" s="1346" t="s">
        <v>1852</v>
      </c>
      <c r="E1234" s="1346" t="s">
        <v>11930</v>
      </c>
      <c r="F1234" s="1346" t="s">
        <v>11944</v>
      </c>
      <c r="G1234" s="1345" t="s">
        <v>62</v>
      </c>
      <c r="H1234" s="1345" t="s">
        <v>1853</v>
      </c>
      <c r="I1234" s="1349" t="s">
        <v>1442</v>
      </c>
      <c r="J1234" s="1357">
        <v>595000.0</v>
      </c>
      <c r="K1234" s="1348">
        <v>1103000.0</v>
      </c>
    </row>
    <row r="1235">
      <c r="A1235" s="1344" t="s">
        <v>5154</v>
      </c>
      <c r="B1235" s="1345" t="s">
        <v>13923</v>
      </c>
      <c r="C1235" s="1346" t="s">
        <v>5154</v>
      </c>
      <c r="D1235" s="1346" t="s">
        <v>1854</v>
      </c>
      <c r="E1235" s="1346" t="s">
        <v>11930</v>
      </c>
      <c r="F1235" s="1346" t="s">
        <v>11944</v>
      </c>
      <c r="G1235" s="1345" t="s">
        <v>62</v>
      </c>
      <c r="H1235" s="1345" t="s">
        <v>1855</v>
      </c>
      <c r="I1235" s="1349" t="s">
        <v>1442</v>
      </c>
      <c r="J1235" s="1350"/>
      <c r="K1235" s="1348">
        <v>1272000.0</v>
      </c>
    </row>
    <row r="1236">
      <c r="A1236" s="1341" t="s">
        <v>13924</v>
      </c>
      <c r="B1236" s="1342" t="s">
        <v>13924</v>
      </c>
      <c r="C1236" s="1343"/>
      <c r="D1236" s="1343"/>
      <c r="E1236" s="1343"/>
      <c r="F1236" s="1343"/>
      <c r="G1236" s="1343"/>
      <c r="H1236" s="1342" t="s">
        <v>13924</v>
      </c>
      <c r="I1236" s="1343"/>
      <c r="J1236" s="1343"/>
      <c r="K1236" s="1343"/>
    </row>
    <row r="1237">
      <c r="A1237" s="1344" t="s">
        <v>5154</v>
      </c>
      <c r="B1237" s="1345" t="s">
        <v>13925</v>
      </c>
      <c r="C1237" s="1346" t="s">
        <v>5154</v>
      </c>
      <c r="D1237" s="1346" t="s">
        <v>13926</v>
      </c>
      <c r="E1237" s="1346" t="s">
        <v>11930</v>
      </c>
      <c r="F1237" s="1351" t="s">
        <v>11931</v>
      </c>
      <c r="G1237" s="1345" t="s">
        <v>60</v>
      </c>
      <c r="H1237" s="1345" t="s">
        <v>13927</v>
      </c>
      <c r="I1237" s="1345" t="s">
        <v>137</v>
      </c>
      <c r="J1237" s="1347"/>
      <c r="K1237" s="1348">
        <v>2600000.0</v>
      </c>
    </row>
    <row r="1238">
      <c r="A1238" s="1344" t="s">
        <v>13928</v>
      </c>
      <c r="B1238" s="1345" t="s">
        <v>13929</v>
      </c>
      <c r="C1238" s="1346" t="s">
        <v>5154</v>
      </c>
      <c r="D1238" s="1346" t="s">
        <v>1285</v>
      </c>
      <c r="E1238" s="1346" t="s">
        <v>11940</v>
      </c>
      <c r="F1238" s="1346" t="s">
        <v>11931</v>
      </c>
      <c r="G1238" s="1345" t="s">
        <v>60</v>
      </c>
      <c r="H1238" s="1345" t="s">
        <v>1286</v>
      </c>
      <c r="I1238" s="1349" t="s">
        <v>137</v>
      </c>
      <c r="J1238" s="1350"/>
      <c r="K1238" s="1348">
        <v>4927000.0</v>
      </c>
    </row>
    <row r="1239">
      <c r="A1239" s="1344" t="s">
        <v>13930</v>
      </c>
      <c r="B1239" s="1345" t="s">
        <v>13931</v>
      </c>
      <c r="C1239" s="1346" t="s">
        <v>5154</v>
      </c>
      <c r="D1239" s="1346" t="s">
        <v>1287</v>
      </c>
      <c r="E1239" s="1346" t="s">
        <v>11940</v>
      </c>
      <c r="F1239" s="1346" t="s">
        <v>11944</v>
      </c>
      <c r="G1239" s="1345" t="s">
        <v>62</v>
      </c>
      <c r="H1239" s="1345" t="s">
        <v>1286</v>
      </c>
      <c r="I1239" s="1349" t="s">
        <v>1437</v>
      </c>
      <c r="J1239" s="1350"/>
      <c r="K1239" s="1348">
        <v>4776000.0</v>
      </c>
    </row>
    <row r="1240">
      <c r="A1240" s="1344" t="s">
        <v>5154</v>
      </c>
      <c r="B1240" s="1345" t="s">
        <v>13932</v>
      </c>
      <c r="C1240" s="1346" t="s">
        <v>5154</v>
      </c>
      <c r="D1240" s="1346" t="s">
        <v>13933</v>
      </c>
      <c r="E1240" s="1346" t="s">
        <v>11930</v>
      </c>
      <c r="F1240" s="1346" t="s">
        <v>11944</v>
      </c>
      <c r="G1240" s="1349" t="s">
        <v>62</v>
      </c>
      <c r="H1240" s="1345" t="s">
        <v>13934</v>
      </c>
      <c r="I1240" s="1349" t="s">
        <v>1437</v>
      </c>
      <c r="J1240" s="1350"/>
      <c r="K1240" s="1348">
        <v>4800000.0</v>
      </c>
    </row>
    <row r="1241">
      <c r="A1241" s="1344" t="s">
        <v>13935</v>
      </c>
      <c r="B1241" s="1345" t="s">
        <v>5154</v>
      </c>
      <c r="C1241" s="1346" t="s">
        <v>5154</v>
      </c>
      <c r="D1241" s="1346" t="s">
        <v>1288</v>
      </c>
      <c r="E1241" s="1346" t="s">
        <v>11943</v>
      </c>
      <c r="F1241" s="1346" t="s">
        <v>11944</v>
      </c>
      <c r="G1241" s="1345" t="s">
        <v>62</v>
      </c>
      <c r="H1241" s="1345" t="s">
        <v>1289</v>
      </c>
      <c r="I1241" s="1349" t="s">
        <v>12751</v>
      </c>
      <c r="J1241" s="1350"/>
      <c r="K1241" s="1348">
        <v>4121000.0</v>
      </c>
    </row>
    <row r="1242">
      <c r="A1242" s="1344" t="s">
        <v>13936</v>
      </c>
      <c r="B1242" s="1345" t="s">
        <v>13937</v>
      </c>
      <c r="C1242" s="1346" t="s">
        <v>5154</v>
      </c>
      <c r="D1242" s="1346" t="s">
        <v>1290</v>
      </c>
      <c r="E1242" s="1346" t="s">
        <v>11940</v>
      </c>
      <c r="F1242" s="1346" t="s">
        <v>11931</v>
      </c>
      <c r="G1242" s="1345" t="s">
        <v>60</v>
      </c>
      <c r="H1242" s="1345" t="s">
        <v>13938</v>
      </c>
      <c r="I1242" s="1349" t="s">
        <v>124</v>
      </c>
      <c r="J1242" s="1350"/>
      <c r="K1242" s="1348">
        <v>6383000.0</v>
      </c>
    </row>
    <row r="1243">
      <c r="A1243" s="1344" t="s">
        <v>13939</v>
      </c>
      <c r="B1243" s="1345" t="s">
        <v>13940</v>
      </c>
      <c r="C1243" s="1346" t="s">
        <v>5154</v>
      </c>
      <c r="D1243" s="1346" t="s">
        <v>1292</v>
      </c>
      <c r="E1243" s="1346" t="s">
        <v>11940</v>
      </c>
      <c r="F1243" s="1346" t="s">
        <v>11944</v>
      </c>
      <c r="G1243" s="1345" t="s">
        <v>62</v>
      </c>
      <c r="H1243" s="1345" t="s">
        <v>1291</v>
      </c>
      <c r="I1243" s="1349" t="s">
        <v>12751</v>
      </c>
      <c r="J1243" s="1350"/>
      <c r="K1243" s="1348">
        <v>3412000.0</v>
      </c>
    </row>
    <row r="1244">
      <c r="A1244" s="1344" t="s">
        <v>13941</v>
      </c>
      <c r="B1244" s="1345" t="s">
        <v>13942</v>
      </c>
      <c r="C1244" s="1346" t="s">
        <v>5154</v>
      </c>
      <c r="D1244" s="1346" t="s">
        <v>1293</v>
      </c>
      <c r="E1244" s="1346" t="s">
        <v>11943</v>
      </c>
      <c r="F1244" s="1346" t="s">
        <v>11931</v>
      </c>
      <c r="G1244" s="1345" t="s">
        <v>60</v>
      </c>
      <c r="H1244" s="1345" t="s">
        <v>1294</v>
      </c>
      <c r="I1244" s="1349" t="s">
        <v>124</v>
      </c>
      <c r="J1244" s="1350"/>
      <c r="K1244" s="1348">
        <v>5880000.0</v>
      </c>
    </row>
    <row r="1245">
      <c r="A1245" s="1344" t="s">
        <v>13943</v>
      </c>
      <c r="B1245" s="1345" t="s">
        <v>5154</v>
      </c>
      <c r="C1245" s="1346" t="s">
        <v>5154</v>
      </c>
      <c r="D1245" s="1346" t="s">
        <v>1295</v>
      </c>
      <c r="E1245" s="1346" t="s">
        <v>11943</v>
      </c>
      <c r="F1245" s="1346" t="s">
        <v>11931</v>
      </c>
      <c r="G1245" s="1345" t="s">
        <v>60</v>
      </c>
      <c r="H1245" s="1345" t="s">
        <v>13944</v>
      </c>
      <c r="I1245" s="1349" t="s">
        <v>124</v>
      </c>
      <c r="J1245" s="1350"/>
      <c r="K1245" s="1348">
        <v>5297000.0</v>
      </c>
    </row>
    <row r="1246">
      <c r="A1246" s="1344" t="s">
        <v>13945</v>
      </c>
      <c r="B1246" s="1345" t="s">
        <v>13946</v>
      </c>
      <c r="C1246" s="1346" t="s">
        <v>5154</v>
      </c>
      <c r="D1246" s="1346" t="s">
        <v>1297</v>
      </c>
      <c r="E1246" s="1346" t="s">
        <v>11940</v>
      </c>
      <c r="F1246" s="1346" t="s">
        <v>11931</v>
      </c>
      <c r="G1246" s="1345" t="s">
        <v>60</v>
      </c>
      <c r="H1246" s="1345" t="s">
        <v>1298</v>
      </c>
      <c r="I1246" s="1349" t="s">
        <v>124</v>
      </c>
      <c r="J1246" s="1350"/>
      <c r="K1246" s="1348">
        <v>4927000.0</v>
      </c>
    </row>
    <row r="1247">
      <c r="A1247" s="1344" t="s">
        <v>13947</v>
      </c>
      <c r="B1247" s="1345" t="s">
        <v>13948</v>
      </c>
      <c r="C1247" s="1346" t="s">
        <v>5154</v>
      </c>
      <c r="D1247" s="1346" t="s">
        <v>1299</v>
      </c>
      <c r="E1247" s="1346" t="s">
        <v>11940</v>
      </c>
      <c r="F1247" s="1346" t="s">
        <v>11931</v>
      </c>
      <c r="G1247" s="1345" t="s">
        <v>60</v>
      </c>
      <c r="H1247" s="1345" t="s">
        <v>1300</v>
      </c>
      <c r="I1247" s="1349" t="s">
        <v>745</v>
      </c>
      <c r="J1247" s="1350"/>
      <c r="K1247" s="1348">
        <v>4480000.0</v>
      </c>
    </row>
    <row r="1248">
      <c r="A1248" s="1344" t="s">
        <v>13949</v>
      </c>
      <c r="B1248" s="1345" t="s">
        <v>5154</v>
      </c>
      <c r="C1248" s="1346" t="s">
        <v>5154</v>
      </c>
      <c r="D1248" s="1346" t="s">
        <v>1301</v>
      </c>
      <c r="E1248" s="1346" t="s">
        <v>11943</v>
      </c>
      <c r="F1248" s="1346" t="s">
        <v>11944</v>
      </c>
      <c r="G1248" s="1345" t="s">
        <v>62</v>
      </c>
      <c r="H1248" s="1345" t="s">
        <v>1300</v>
      </c>
      <c r="I1248" s="1349" t="s">
        <v>12751</v>
      </c>
      <c r="J1248" s="1350"/>
      <c r="K1248" s="1348">
        <v>4015000.0</v>
      </c>
    </row>
    <row r="1249">
      <c r="A1249" s="1344" t="s">
        <v>13950</v>
      </c>
      <c r="B1249" s="1345" t="s">
        <v>13951</v>
      </c>
      <c r="C1249" s="1346" t="s">
        <v>5154</v>
      </c>
      <c r="D1249" s="1346" t="s">
        <v>1302</v>
      </c>
      <c r="E1249" s="1346" t="s">
        <v>11940</v>
      </c>
      <c r="F1249" s="1346" t="s">
        <v>11931</v>
      </c>
      <c r="G1249" s="1345" t="s">
        <v>60</v>
      </c>
      <c r="H1249" s="1345" t="s">
        <v>1303</v>
      </c>
      <c r="I1249" s="1349" t="s">
        <v>196</v>
      </c>
      <c r="J1249" s="1350"/>
      <c r="K1249" s="1348">
        <v>4144000.0</v>
      </c>
    </row>
    <row r="1250">
      <c r="A1250" s="1344" t="s">
        <v>5154</v>
      </c>
      <c r="B1250" s="1345" t="s">
        <v>13952</v>
      </c>
      <c r="C1250" s="1346" t="s">
        <v>5154</v>
      </c>
      <c r="D1250" s="1346" t="s">
        <v>1856</v>
      </c>
      <c r="E1250" s="1346" t="s">
        <v>11930</v>
      </c>
      <c r="F1250" s="1346" t="s">
        <v>11944</v>
      </c>
      <c r="G1250" s="1345" t="s">
        <v>62</v>
      </c>
      <c r="H1250" s="1345" t="s">
        <v>1303</v>
      </c>
      <c r="I1250" s="1345" t="s">
        <v>1437</v>
      </c>
      <c r="J1250" s="1347"/>
      <c r="K1250" s="1348">
        <v>4003000.0</v>
      </c>
    </row>
    <row r="1251">
      <c r="A1251" s="1344" t="s">
        <v>13953</v>
      </c>
      <c r="B1251" s="1345" t="s">
        <v>13954</v>
      </c>
      <c r="C1251" s="1346" t="s">
        <v>5154</v>
      </c>
      <c r="D1251" s="1346" t="s">
        <v>1304</v>
      </c>
      <c r="E1251" s="1346" t="s">
        <v>11940</v>
      </c>
      <c r="F1251" s="1346" t="s">
        <v>11931</v>
      </c>
      <c r="G1251" s="1345" t="s">
        <v>60</v>
      </c>
      <c r="H1251" s="1345" t="s">
        <v>1305</v>
      </c>
      <c r="I1251" s="1349" t="s">
        <v>124</v>
      </c>
      <c r="J1251" s="1350"/>
      <c r="K1251" s="1348">
        <v>7200000.0</v>
      </c>
    </row>
    <row r="1252">
      <c r="A1252" s="1344" t="s">
        <v>5154</v>
      </c>
      <c r="B1252" s="1345" t="s">
        <v>13955</v>
      </c>
      <c r="C1252" s="1346" t="s">
        <v>5154</v>
      </c>
      <c r="D1252" s="1351" t="s">
        <v>1857</v>
      </c>
      <c r="E1252" s="1346" t="s">
        <v>11930</v>
      </c>
      <c r="F1252" s="1346" t="s">
        <v>11944</v>
      </c>
      <c r="G1252" s="1345" t="s">
        <v>62</v>
      </c>
      <c r="H1252" s="1345" t="s">
        <v>1305</v>
      </c>
      <c r="I1252" s="1349" t="s">
        <v>1437</v>
      </c>
      <c r="J1252" s="1350"/>
      <c r="K1252" s="1348">
        <v>5994000.0</v>
      </c>
    </row>
    <row r="1253">
      <c r="A1253" s="1344" t="s">
        <v>5154</v>
      </c>
      <c r="B1253" s="1345" t="s">
        <v>13956</v>
      </c>
      <c r="C1253" s="1346" t="s">
        <v>5154</v>
      </c>
      <c r="D1253" s="1351" t="s">
        <v>1858</v>
      </c>
      <c r="E1253" s="1351" t="s">
        <v>11930</v>
      </c>
      <c r="F1253" s="1351" t="s">
        <v>11931</v>
      </c>
      <c r="G1253" s="1345" t="s">
        <v>60</v>
      </c>
      <c r="H1253" s="1345" t="s">
        <v>1859</v>
      </c>
      <c r="I1253" s="1345" t="s">
        <v>124</v>
      </c>
      <c r="J1253" s="1347"/>
      <c r="K1253" s="1348">
        <v>7200000.0</v>
      </c>
    </row>
    <row r="1254">
      <c r="A1254" s="1344" t="s">
        <v>5154</v>
      </c>
      <c r="B1254" s="1345" t="s">
        <v>13957</v>
      </c>
      <c r="C1254" s="1346" t="s">
        <v>5154</v>
      </c>
      <c r="D1254" s="1351" t="s">
        <v>1860</v>
      </c>
      <c r="E1254" s="1346" t="s">
        <v>11930</v>
      </c>
      <c r="F1254" s="1346" t="s">
        <v>11944</v>
      </c>
      <c r="G1254" s="1345" t="s">
        <v>62</v>
      </c>
      <c r="H1254" s="1345" t="s">
        <v>1859</v>
      </c>
      <c r="I1254" s="1349" t="s">
        <v>1437</v>
      </c>
      <c r="J1254" s="1350"/>
      <c r="K1254" s="1348">
        <v>5940000.0</v>
      </c>
    </row>
    <row r="1255">
      <c r="A1255" s="1341" t="s">
        <v>11918</v>
      </c>
      <c r="B1255" s="1342" t="s">
        <v>11918</v>
      </c>
      <c r="C1255" s="1343"/>
      <c r="D1255" s="1343"/>
      <c r="E1255" s="1343"/>
      <c r="F1255" s="1343"/>
      <c r="G1255" s="1343"/>
      <c r="H1255" s="1342" t="s">
        <v>11918</v>
      </c>
      <c r="I1255" s="1343"/>
      <c r="J1255" s="1343"/>
      <c r="K1255" s="1343"/>
    </row>
    <row r="1256">
      <c r="A1256" s="1344" t="s">
        <v>5154</v>
      </c>
      <c r="B1256" s="1345" t="s">
        <v>13958</v>
      </c>
      <c r="C1256" s="1346" t="s">
        <v>5154</v>
      </c>
      <c r="D1256" s="1351" t="s">
        <v>1898</v>
      </c>
      <c r="E1256" s="1346" t="s">
        <v>11930</v>
      </c>
      <c r="F1256" s="1346" t="s">
        <v>11931</v>
      </c>
      <c r="G1256" s="1345" t="s">
        <v>60</v>
      </c>
      <c r="H1256" s="1345" t="s">
        <v>1899</v>
      </c>
      <c r="I1256" s="1349" t="s">
        <v>90</v>
      </c>
      <c r="J1256" s="1350"/>
      <c r="K1256" s="1348">
        <v>2700000.0</v>
      </c>
    </row>
    <row r="1257">
      <c r="A1257" s="1344" t="s">
        <v>5154</v>
      </c>
      <c r="B1257" s="1345" t="s">
        <v>13959</v>
      </c>
      <c r="C1257" s="1346" t="s">
        <v>5154</v>
      </c>
      <c r="D1257" s="1346" t="s">
        <v>1862</v>
      </c>
      <c r="E1257" s="1346" t="s">
        <v>11930</v>
      </c>
      <c r="F1257" s="1346" t="s">
        <v>11931</v>
      </c>
      <c r="G1257" s="1345" t="s">
        <v>60</v>
      </c>
      <c r="H1257" s="1345" t="s">
        <v>1714</v>
      </c>
      <c r="I1257" s="1349" t="s">
        <v>137</v>
      </c>
      <c r="J1257" s="1350"/>
      <c r="K1257" s="1348">
        <v>1848000.0</v>
      </c>
    </row>
    <row r="1258">
      <c r="A1258" s="1344" t="s">
        <v>5154</v>
      </c>
      <c r="B1258" s="1345" t="s">
        <v>13960</v>
      </c>
      <c r="C1258" s="1346" t="s">
        <v>5154</v>
      </c>
      <c r="D1258" s="1346" t="s">
        <v>1713</v>
      </c>
      <c r="E1258" s="1346" t="s">
        <v>11930</v>
      </c>
      <c r="F1258" s="1346" t="s">
        <v>11944</v>
      </c>
      <c r="G1258" s="1345" t="s">
        <v>62</v>
      </c>
      <c r="H1258" s="1345" t="s">
        <v>1714</v>
      </c>
      <c r="I1258" s="1349" t="s">
        <v>1442</v>
      </c>
      <c r="J1258" s="1350"/>
      <c r="K1258" s="1348">
        <v>1119000.0</v>
      </c>
    </row>
    <row r="1259">
      <c r="A1259" s="1344" t="s">
        <v>13961</v>
      </c>
      <c r="B1259" s="1345" t="s">
        <v>13962</v>
      </c>
      <c r="C1259" s="1346" t="s">
        <v>13963</v>
      </c>
      <c r="D1259" s="1346" t="s">
        <v>1306</v>
      </c>
      <c r="E1259" s="1346" t="s">
        <v>12061</v>
      </c>
      <c r="F1259" s="1346" t="s">
        <v>11931</v>
      </c>
      <c r="G1259" s="1345" t="s">
        <v>60</v>
      </c>
      <c r="H1259" s="1345" t="s">
        <v>1867</v>
      </c>
      <c r="I1259" s="1349" t="s">
        <v>137</v>
      </c>
      <c r="J1259" s="1350"/>
      <c r="K1259" s="1348">
        <v>1140000.0</v>
      </c>
    </row>
    <row r="1260">
      <c r="A1260" s="1344" t="s">
        <v>5154</v>
      </c>
      <c r="B1260" s="1345" t="s">
        <v>13964</v>
      </c>
      <c r="C1260" s="1346" t="s">
        <v>5154</v>
      </c>
      <c r="D1260" s="1346" t="s">
        <v>1864</v>
      </c>
      <c r="E1260" s="1346" t="s">
        <v>11930</v>
      </c>
      <c r="F1260" s="1346" t="s">
        <v>11944</v>
      </c>
      <c r="G1260" s="1345" t="s">
        <v>62</v>
      </c>
      <c r="H1260" s="1353" t="s">
        <v>1907</v>
      </c>
      <c r="I1260" s="1349" t="s">
        <v>1437</v>
      </c>
      <c r="J1260" s="1350"/>
      <c r="K1260" s="1348">
        <v>1002000.0</v>
      </c>
    </row>
    <row r="1261">
      <c r="A1261" s="1344" t="s">
        <v>5154</v>
      </c>
      <c r="B1261" s="1345" t="s">
        <v>13965</v>
      </c>
      <c r="C1261" s="1346" t="s">
        <v>5154</v>
      </c>
      <c r="D1261" s="1346" t="s">
        <v>1906</v>
      </c>
      <c r="E1261" s="1346" t="s">
        <v>11930</v>
      </c>
      <c r="F1261" s="1346" t="s">
        <v>11944</v>
      </c>
      <c r="G1261" s="1345" t="s">
        <v>62</v>
      </c>
      <c r="H1261" s="1345" t="s">
        <v>1907</v>
      </c>
      <c r="I1261" s="1345" t="s">
        <v>546</v>
      </c>
      <c r="J1261" s="1347"/>
      <c r="K1261" s="1348">
        <v>1002000.0</v>
      </c>
    </row>
    <row r="1262">
      <c r="A1262" s="1344" t="s">
        <v>5154</v>
      </c>
      <c r="B1262" s="1345" t="s">
        <v>13966</v>
      </c>
      <c r="C1262" s="1346" t="s">
        <v>5154</v>
      </c>
      <c r="D1262" s="1346" t="s">
        <v>1866</v>
      </c>
      <c r="E1262" s="1346" t="s">
        <v>11930</v>
      </c>
      <c r="F1262" s="1346" t="s">
        <v>11944</v>
      </c>
      <c r="G1262" s="1345" t="s">
        <v>62</v>
      </c>
      <c r="H1262" s="1345" t="s">
        <v>1907</v>
      </c>
      <c r="I1262" s="1345" t="s">
        <v>109</v>
      </c>
      <c r="J1262" s="1347"/>
      <c r="K1262" s="1348">
        <v>1002000.0</v>
      </c>
    </row>
    <row r="1263">
      <c r="A1263" s="1344" t="s">
        <v>5154</v>
      </c>
      <c r="B1263" s="1345" t="s">
        <v>13967</v>
      </c>
      <c r="C1263" s="1346" t="s">
        <v>5154</v>
      </c>
      <c r="D1263" s="1346" t="s">
        <v>13967</v>
      </c>
      <c r="E1263" s="1346" t="s">
        <v>99</v>
      </c>
      <c r="F1263" s="1351" t="s">
        <v>11969</v>
      </c>
      <c r="G1263" s="1345" t="s">
        <v>243</v>
      </c>
      <c r="H1263" s="1345" t="s">
        <v>13968</v>
      </c>
      <c r="I1263" s="1349" t="s">
        <v>13969</v>
      </c>
      <c r="J1263" s="1350"/>
      <c r="K1263" s="1348">
        <v>355000.0</v>
      </c>
    </row>
    <row r="1264">
      <c r="A1264" s="1344" t="s">
        <v>5154</v>
      </c>
      <c r="B1264" s="1345" t="s">
        <v>13970</v>
      </c>
      <c r="C1264" s="1346" t="s">
        <v>5154</v>
      </c>
      <c r="D1264" s="1346" t="s">
        <v>13970</v>
      </c>
      <c r="E1264" s="1346" t="s">
        <v>99</v>
      </c>
      <c r="F1264" s="1351" t="s">
        <v>11969</v>
      </c>
      <c r="G1264" s="1345" t="s">
        <v>209</v>
      </c>
      <c r="H1264" s="1345" t="s">
        <v>13968</v>
      </c>
      <c r="I1264" s="1349" t="s">
        <v>13969</v>
      </c>
      <c r="J1264" s="1350"/>
      <c r="K1264" s="1348">
        <v>355000.0</v>
      </c>
    </row>
    <row r="1265">
      <c r="A1265" s="1344" t="s">
        <v>5154</v>
      </c>
      <c r="B1265" s="1345" t="s">
        <v>13971</v>
      </c>
      <c r="C1265" s="1346" t="s">
        <v>5154</v>
      </c>
      <c r="D1265" s="1346" t="s">
        <v>13971</v>
      </c>
      <c r="E1265" s="1346" t="s">
        <v>99</v>
      </c>
      <c r="F1265" s="1351" t="s">
        <v>11969</v>
      </c>
      <c r="G1265" s="1345" t="s">
        <v>243</v>
      </c>
      <c r="H1265" s="1345" t="s">
        <v>13972</v>
      </c>
      <c r="I1265" s="1345" t="s">
        <v>13973</v>
      </c>
      <c r="J1265" s="1347"/>
      <c r="K1265" s="1348">
        <v>650000.0</v>
      </c>
    </row>
    <row r="1266">
      <c r="A1266" s="1344" t="s">
        <v>5154</v>
      </c>
      <c r="B1266" s="1345" t="s">
        <v>13974</v>
      </c>
      <c r="C1266" s="1346" t="s">
        <v>5154</v>
      </c>
      <c r="D1266" s="1346" t="s">
        <v>13974</v>
      </c>
      <c r="E1266" s="1346" t="s">
        <v>99</v>
      </c>
      <c r="F1266" s="1351" t="s">
        <v>11969</v>
      </c>
      <c r="G1266" s="1345" t="s">
        <v>209</v>
      </c>
      <c r="H1266" s="1345" t="s">
        <v>13972</v>
      </c>
      <c r="I1266" s="1345" t="s">
        <v>13973</v>
      </c>
      <c r="J1266" s="1347"/>
      <c r="K1266" s="1348">
        <v>650000.0</v>
      </c>
    </row>
    <row r="1267">
      <c r="A1267" s="1344" t="s">
        <v>5154</v>
      </c>
      <c r="B1267" s="1345" t="s">
        <v>13975</v>
      </c>
      <c r="C1267" s="1346" t="s">
        <v>5154</v>
      </c>
      <c r="D1267" s="1346" t="s">
        <v>2345</v>
      </c>
      <c r="E1267" s="1346" t="s">
        <v>11930</v>
      </c>
      <c r="F1267" s="1346" t="s">
        <v>11931</v>
      </c>
      <c r="G1267" s="1345" t="s">
        <v>60</v>
      </c>
      <c r="H1267" s="1345" t="s">
        <v>1869</v>
      </c>
      <c r="I1267" s="1349" t="s">
        <v>90</v>
      </c>
      <c r="J1267" s="1350"/>
      <c r="K1267" s="1348">
        <v>1787000.0</v>
      </c>
    </row>
    <row r="1268">
      <c r="A1268" s="1344" t="s">
        <v>5154</v>
      </c>
      <c r="B1268" s="1345" t="s">
        <v>13976</v>
      </c>
      <c r="C1268" s="1346" t="s">
        <v>5154</v>
      </c>
      <c r="D1268" s="1346" t="s">
        <v>1871</v>
      </c>
      <c r="E1268" s="1346" t="s">
        <v>11930</v>
      </c>
      <c r="F1268" s="1346" t="s">
        <v>11944</v>
      </c>
      <c r="G1268" s="1345" t="s">
        <v>62</v>
      </c>
      <c r="H1268" s="1353" t="s">
        <v>1869</v>
      </c>
      <c r="I1268" s="1349" t="s">
        <v>1437</v>
      </c>
      <c r="J1268" s="1350"/>
      <c r="K1268" s="1348">
        <v>1143000.0</v>
      </c>
    </row>
    <row r="1269">
      <c r="A1269" s="1344" t="s">
        <v>5154</v>
      </c>
      <c r="B1269" s="1345" t="s">
        <v>13976</v>
      </c>
      <c r="C1269" s="1346" t="s">
        <v>5154</v>
      </c>
      <c r="D1269" s="1346" t="s">
        <v>1871</v>
      </c>
      <c r="E1269" s="1346" t="s">
        <v>11930</v>
      </c>
      <c r="F1269" s="1346" t="s">
        <v>11944</v>
      </c>
      <c r="G1269" s="1345" t="s">
        <v>62</v>
      </c>
      <c r="H1269" s="1345" t="s">
        <v>1869</v>
      </c>
      <c r="I1269" s="1349" t="s">
        <v>1437</v>
      </c>
      <c r="J1269" s="1350"/>
      <c r="K1269" s="1348">
        <v>1143000.0</v>
      </c>
    </row>
    <row r="1270">
      <c r="A1270" s="1344" t="s">
        <v>5154</v>
      </c>
      <c r="B1270" s="1345" t="s">
        <v>13977</v>
      </c>
      <c r="C1270" s="1346" t="s">
        <v>5154</v>
      </c>
      <c r="D1270" s="1346" t="s">
        <v>13977</v>
      </c>
      <c r="E1270" s="1346" t="s">
        <v>99</v>
      </c>
      <c r="F1270" s="1351" t="s">
        <v>11969</v>
      </c>
      <c r="G1270" s="1345" t="s">
        <v>243</v>
      </c>
      <c r="H1270" s="1345" t="s">
        <v>13978</v>
      </c>
      <c r="I1270" s="1349" t="s">
        <v>13969</v>
      </c>
      <c r="J1270" s="1350"/>
      <c r="K1270" s="1348">
        <v>650000.0</v>
      </c>
    </row>
    <row r="1271">
      <c r="A1271" s="1344" t="s">
        <v>5154</v>
      </c>
      <c r="B1271" s="1345" t="s">
        <v>13979</v>
      </c>
      <c r="C1271" s="1346" t="s">
        <v>5154</v>
      </c>
      <c r="D1271" s="1346" t="s">
        <v>13979</v>
      </c>
      <c r="E1271" s="1346" t="s">
        <v>99</v>
      </c>
      <c r="F1271" s="1351" t="s">
        <v>11969</v>
      </c>
      <c r="G1271" s="1345" t="s">
        <v>209</v>
      </c>
      <c r="H1271" s="1345" t="s">
        <v>13978</v>
      </c>
      <c r="I1271" s="1349" t="s">
        <v>13969</v>
      </c>
      <c r="J1271" s="1350"/>
      <c r="K1271" s="1348">
        <v>650000.0</v>
      </c>
    </row>
    <row r="1272">
      <c r="A1272" s="1344" t="s">
        <v>5154</v>
      </c>
      <c r="B1272" s="1345" t="s">
        <v>13980</v>
      </c>
      <c r="C1272" s="1346" t="s">
        <v>5154</v>
      </c>
      <c r="D1272" s="1346" t="s">
        <v>13980</v>
      </c>
      <c r="E1272" s="1346" t="s">
        <v>99</v>
      </c>
      <c r="F1272" s="1351" t="s">
        <v>11969</v>
      </c>
      <c r="G1272" s="1345" t="s">
        <v>243</v>
      </c>
      <c r="H1272" s="1345" t="s">
        <v>13981</v>
      </c>
      <c r="I1272" s="1345" t="s">
        <v>13973</v>
      </c>
      <c r="J1272" s="1347"/>
      <c r="K1272" s="1348">
        <v>946000.0</v>
      </c>
    </row>
    <row r="1273">
      <c r="A1273" s="1344" t="s">
        <v>5154</v>
      </c>
      <c r="B1273" s="1345" t="s">
        <v>13982</v>
      </c>
      <c r="C1273" s="1346" t="s">
        <v>5154</v>
      </c>
      <c r="D1273" s="1346" t="s">
        <v>13982</v>
      </c>
      <c r="E1273" s="1346" t="s">
        <v>99</v>
      </c>
      <c r="F1273" s="1351" t="s">
        <v>11969</v>
      </c>
      <c r="G1273" s="1345" t="s">
        <v>209</v>
      </c>
      <c r="H1273" s="1345" t="s">
        <v>13981</v>
      </c>
      <c r="I1273" s="1345" t="s">
        <v>13973</v>
      </c>
      <c r="J1273" s="1347"/>
      <c r="K1273" s="1348">
        <v>946000.0</v>
      </c>
    </row>
  </sheetData>
  <drawing r:id="rId1"/>
</worksheet>
</file>